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reening" sheetId="1" r:id="rId4"/>
    <sheet state="visible" name="Studies" sheetId="2" r:id="rId5"/>
    <sheet state="visible" name="ROB" sheetId="3" r:id="rId6"/>
    <sheet state="visible" name="Features" sheetId="4" r:id="rId7"/>
    <sheet state="visible" name="Management" sheetId="5" r:id="rId8"/>
    <sheet state="visible" name="Outcomes" sheetId="6" r:id="rId9"/>
  </sheets>
  <definedNames>
    <definedName hidden="1" localSheetId="0" name="_xlnm._FilterDatabase">Screening!$A$1:$G$2196</definedName>
  </definedNames>
  <calcPr/>
</workbook>
</file>

<file path=xl/sharedStrings.xml><?xml version="1.0" encoding="utf-8"?>
<sst xmlns="http://schemas.openxmlformats.org/spreadsheetml/2006/main" count="942" uniqueCount="333">
  <si>
    <t>Title</t>
  </si>
  <si>
    <t>First_author</t>
  </si>
  <si>
    <t>Year_of_publication</t>
  </si>
  <si>
    <t>Decision_abstract</t>
  </si>
  <si>
    <t>Decision_fulltext</t>
  </si>
  <si>
    <t>Decision_extraction</t>
  </si>
  <si>
    <t>Reason or ID</t>
  </si>
  <si>
    <t>wrong study design</t>
  </si>
  <si>
    <t>Exclude</t>
  </si>
  <si>
    <t>Wrong outcome</t>
  </si>
  <si>
    <t>Wrong study design</t>
  </si>
  <si>
    <t>Singh</t>
  </si>
  <si>
    <t>Upadhyaya</t>
  </si>
  <si>
    <t>Duplicate</t>
  </si>
  <si>
    <t>Include</t>
  </si>
  <si>
    <t>wrong population</t>
  </si>
  <si>
    <t>Wrong study population</t>
  </si>
  <si>
    <t>No disaggregate data on MMCaHC</t>
  </si>
  <si>
    <t>Yumer</t>
  </si>
  <si>
    <t>Lo</t>
  </si>
  <si>
    <t>wrong intervention</t>
  </si>
  <si>
    <t>Worley</t>
  </si>
  <si>
    <t>Warf</t>
  </si>
  <si>
    <t>Wrong intervention</t>
  </si>
  <si>
    <t>Ali</t>
  </si>
  <si>
    <t>Bussadori</t>
  </si>
  <si>
    <t>Rajshekhar</t>
  </si>
  <si>
    <t>Nejat</t>
  </si>
  <si>
    <t>Ante-natal intervention</t>
  </si>
  <si>
    <t>Dabdoub</t>
  </si>
  <si>
    <t>Portillo</t>
  </si>
  <si>
    <t>ID 82</t>
  </si>
  <si>
    <t>ID 83</t>
  </si>
  <si>
    <t>Talamonti</t>
  </si>
  <si>
    <t>wrong outcome</t>
  </si>
  <si>
    <t>No full text</t>
  </si>
  <si>
    <t>Morota</t>
  </si>
  <si>
    <t>Flannery</t>
  </si>
  <si>
    <t>Wrong population</t>
  </si>
  <si>
    <t>Martinez-Lage</t>
  </si>
  <si>
    <t>Copp</t>
  </si>
  <si>
    <t>Wrong publication type</t>
  </si>
  <si>
    <t>Buffart</t>
  </si>
  <si>
    <t>Habibi</t>
  </si>
  <si>
    <t>Raybaud</t>
  </si>
  <si>
    <t>Wilkinson</t>
  </si>
  <si>
    <t>ID 166</t>
  </si>
  <si>
    <t>Cervical Meningomyelocoele: A Case Report and Review of the Literature</t>
  </si>
  <si>
    <t>Major malformations of the central nervous system as sedn at the University Teaching hospital , Ilorin</t>
  </si>
  <si>
    <t>no disaggregate data on mmcahc</t>
  </si>
  <si>
    <t>PROFILE AND MANAGEMENT OF CENTRAL NERVOUS SYSTEM MALFORMATIONS IN A TERTIARY HOSPITAL</t>
  </si>
  <si>
    <t>Managing Children with Spina Bifida in sub-Saharan Africa: the Zambian experience?</t>
  </si>
  <si>
    <t>wrong study population</t>
  </si>
  <si>
    <t>A case of meningitis due to Achromobacter xylosoxidans in a child with a polymalformative syndrome: a case report</t>
  </si>
  <si>
    <t>Aetiology and antenatal diagnosis of spina bifida</t>
  </si>
  <si>
    <t>ETIOLOGIES OF HYDROCEPHALUS AMONG CHILDREN AT THE YALGADO OUEDRAOGO UNIVERSITY HOSPITAL (YO-CHU) OF BURKINA FASO</t>
  </si>
  <si>
    <t>An approach to the developmental and cognitive profile of the child with spina bifida</t>
  </si>
  <si>
    <t>An audit of the perioperative anaesthetic management of ventriculoperitoneal shunt insertion in the paediatric population at Inkosi Albert Luthuli Central Hospital</t>
  </si>
  <si>
    <t>wrong publication type</t>
  </si>
  <si>
    <t>Anaesthetic management of a three-month-old baby for cervical limited dorsal myeloschisis repair using propofol and alfentanil infusions guided by pharmacokinetic simulation software: A case report</t>
  </si>
  <si>
    <t>Analysis of the distribution pattern of spinal meningoceles and meningo-myeloceles</t>
  </si>
  <si>
    <t>Aplasia cutis congenita: a report of two cases from National Hospital Abuja, Nigeria and review of the literature</t>
  </si>
  <si>
    <t>Blindness following ventriculoperitoneal shunt block in a child with spinal dysraphism: Case report</t>
  </si>
  <si>
    <t>Bucket-handle tear of posterior uterine cervical lip in a second-trimester unscarred uterus after use of misoprostol: A first report of two cases</t>
  </si>
  <si>
    <t>A solitary hemangioblastoma of the posterior brain fossa: the role of radiotherapy</t>
  </si>
  <si>
    <t>Hydrocéphalie du nouveau-né et du nourrisson au Centre Hospitalier National de Nouakchott</t>
  </si>
  <si>
    <t>Challenges and outcome of cranial neuroendoscopic surgery in a resource constrained developing African country</t>
  </si>
  <si>
    <t>Clinico-epidemiologic features of oculocutaneous albinism in northeast section of Cairo – Egypt</t>
  </si>
  <si>
    <t>Hydrocephalus in spina bi_x001f_da</t>
  </si>
  <si>
    <t>The International Federation for Spina Bifida and Hydrocephalus: Priorities in developing countries</t>
  </si>
  <si>
    <t>Congenital disorders in South Africa: A review of Child Healthcare Problem Identification Programme (Child PIP) mortality data, 2005 - 2017</t>
  </si>
  <si>
    <t>CONGENITAL HEART DISEASE IN THE BANTU: AN AUTOPSY ANALYSIS OF 123 CASES*</t>
  </si>
  <si>
    <t>ENCEPHALOCELE – A SINGLE INSTITUTION AFRICAN EXPERIENCE</t>
  </si>
  <si>
    <t>Pattern of Neurosurgical Procedures in Ethiopia: Experience from Two Major Neurosurgical Centres in Addis Ababa.</t>
  </si>
  <si>
    <t>Laryngeal palsy in association with myelomeningocele, hydrocephalus, and the arnold-chiari malformation</t>
  </si>
  <si>
    <t>Kirsch</t>
  </si>
  <si>
    <t>ID 169</t>
  </si>
  <si>
    <t>One-stage meningomyelocele closure and ventriculoperitoneal shunt placement</t>
  </si>
  <si>
    <t>Bell</t>
  </si>
  <si>
    <t>ID 170</t>
  </si>
  <si>
    <t>Perfil dos pacientes com mielomeningocele da Associação de Assistência à Criança Deficiente (AACD) em São Paulo - SP, Brasil</t>
  </si>
  <si>
    <t>Rocco</t>
  </si>
  <si>
    <t>Efficacy of endoscopic third ventriculostomy in the management of hydrocephalus in children under 2 years of age: Experience from a tertiary institution in Nigeria</t>
  </si>
  <si>
    <t>Ojo</t>
  </si>
  <si>
    <t>ID 172</t>
  </si>
  <si>
    <t>Endoscopic third ventriculostomy and choroid plexus cauterization in childhood hydrocephalus in Zambia</t>
  </si>
  <si>
    <t>Endoscopic third ventriculostomy versus ventriculoperitoneal shunt placement in children with obstructive hydrocephalus</t>
  </si>
  <si>
    <t>Epidemiology Of Neural Tube Defects In North Central Nigeria</t>
  </si>
  <si>
    <t>Etiologies of hydrocephalus among children at the Yalgado Ouedraogo University hospital (YO-CHU) of Burkina Faso</t>
  </si>
  <si>
    <t>Evaluation of fetal MRI in a South African referral centre</t>
  </si>
  <si>
    <t>EXPERIENCES WITH ILEAL AND COLONIC CONDUITS IN THE TREATMENT OF URINARY I CONTINENCE</t>
  </si>
  <si>
    <t>Familial Peters Plus syndrome with absent anal canal, sacral agenesis and sensorineural hearing loss: Expanding the clinical spectrum</t>
  </si>
  <si>
    <t>HIV infection, tuberculosis and workload in a general paediatric ward</t>
  </si>
  <si>
    <t>Hydrocephalus in Africa: A surgical perspective</t>
  </si>
  <si>
    <t>IMPORTANCE OF PRENATAL DIAGNOSIS IN THE EFFECTIVE MANAGEMENT OF THE HYDROCEPHALIC FETUS: A case report in the Douala General Hospital, Cameroon</t>
  </si>
  <si>
    <t>Importance of prenatal diagnosis in the effective management of the hydrocephalic fetus: a case report in the Douala General Hospital, Cameroon.</t>
  </si>
  <si>
    <t>Evolution of surgical interventions for hydrocephalus: patient preferences and the need for proper information</t>
  </si>
  <si>
    <t>Management and Functional Outcome of Childhood Hydrocephalus at the Kenyatta National Hospital.</t>
  </si>
  <si>
    <t>MYELOMENINGOCOELE IN DIZYGOTIC TWINS</t>
  </si>
  <si>
    <t>Aspects épidémiologiques, cliniques et thérapeutiques de l’hydrocéphalie aux Cliniques Universitaires de Kinshasa</t>
  </si>
  <si>
    <t>Managing Children with Spina Bifida in sub-Saharan Africa: The Zambian experience?</t>
  </si>
  <si>
    <t>no full text</t>
  </si>
  <si>
    <t>Recognising congenital anomalies of the nervous system</t>
  </si>
  <si>
    <t>Neurobehavioral Deficits in Progressive Experimental Hydrocephalus in Neonatal Rats</t>
  </si>
  <si>
    <t>Open neural tube defects at the National Hospital, Abuja: an analysis of clinical patterns and neonatal outcome</t>
  </si>
  <si>
    <t>Congenital Anomalies in Neonates Admitted to a Tertiary Hospital in Southwest Ethiopia: A Cross Sectional Study</t>
  </si>
  <si>
    <t>Pattern of birth defects at a university teaching hospital in Northern Nigeria: Retrospective review over a decade</t>
  </si>
  <si>
    <t>ARE CONGENITAL ANOMALIES COMMON IN JOS-NIGERIA?</t>
  </si>
  <si>
    <t>Perinatal management of spina bifida</t>
  </si>
  <si>
    <t>Point of View: Exit ventriculoperitoneal shunt; enter endoscopic third ventriculostomy (ETV): contemporary views on hydrocephalus and their implications on managemen</t>
  </si>
  <si>
    <t>Prevalence of neural tube defect and hydrocephalus in Northern Ghana</t>
  </si>
  <si>
    <t>Prevention of hereditary disease</t>
  </si>
  <si>
    <t>Prevention of spina bifida: folic acid intake during pregnancy in Gulu district, northern Uganda</t>
  </si>
  <si>
    <t>Prospective Comparative Trial of Ceftriaxone versus Ceftazidime as Prophylactic Perioperative Antimicrobials in Neurosurgery</t>
  </si>
  <si>
    <t>Risk factors for congenital anomalies in high risk pregnant women: A large study from South India</t>
  </si>
  <si>
    <t>Risk factors of neural tube defects: A reality of Batna region in Algeria</t>
  </si>
  <si>
    <t>Neonatal Bacterial Meningitis And Dexamethasone Adjunctive Usage In Nigeria</t>
  </si>
  <si>
    <t>Sirenomelia (symelia apus) with Potterís syndrome in connection with gestational diabetes mellitus: a case report and literature review</t>
  </si>
  <si>
    <t>Spina Bifi da Cystica; features and early postoperative outcomes an experience in Kampala</t>
  </si>
  <si>
    <t>Spina bifida: A multidisciplinary perspective on a many-faceted condition</t>
  </si>
  <si>
    <t>Study of congenital malformations in infants and children in Menoufia governorate, Egypt</t>
  </si>
  <si>
    <t>Surgical inpatient mortality in a Nigerian Tertiary Hospital</t>
  </si>
  <si>
    <t>The effect of the seasonal cerebro-spinal meningitis on the incidence of hydrocephalus in Sudanese children</t>
  </si>
  <si>
    <t>Mortality and Morbidity following repair of lumbosacral myelomeningoceles</t>
  </si>
  <si>
    <t>Igun</t>
  </si>
  <si>
    <t>Psychosocial Adjustment to Epilepsy among Nigerians.</t>
  </si>
  <si>
    <t>Thoracic myelocystomeningocele in a neurologically intact infant</t>
  </si>
  <si>
    <t>Ankyloblepharon Filiforme Adnatum in an African Baby – A case report</t>
  </si>
  <si>
    <t>Focal dermal hypoplasia: a case report and review of literature</t>
  </si>
  <si>
    <t>An unfortunate outcome in a child with an encephalocoele from a rural area</t>
  </si>
  <si>
    <t>Ventriculoperitoneal shunt infections in children A 6-year study</t>
  </si>
  <si>
    <t>VENTRICULOPERITONEAL SHUNT SURGERY AND SHUNT INFECTIONS IN CHILDREN WITH NON-TUMOUR HYDROCEPHALUS AT THE KENYATTA NATIONAL HOSPITAL, NAIROBI.</t>
  </si>
  <si>
    <t>Vocal cord palsy in an infant with myelomeningocoele</t>
  </si>
  <si>
    <t>Journal Volume/Issue</t>
  </si>
  <si>
    <t>IID</t>
  </si>
  <si>
    <t>DOI</t>
  </si>
  <si>
    <t>Income_group</t>
  </si>
  <si>
    <t>Region</t>
  </si>
  <si>
    <t>Country</t>
  </si>
  <si>
    <t>Study_design</t>
  </si>
  <si>
    <t>Patient_sample</t>
  </si>
  <si>
    <t>N</t>
  </si>
  <si>
    <t>N_female</t>
  </si>
  <si>
    <t>N_male</t>
  </si>
  <si>
    <t>Age_mean</t>
  </si>
  <si>
    <t>Age_median</t>
  </si>
  <si>
    <t>Age_sd</t>
  </si>
  <si>
    <t>Age_range</t>
  </si>
  <si>
    <t>Years_of_data_collection</t>
  </si>
  <si>
    <t>Publication_language</t>
  </si>
  <si>
    <t>https://doi.org/10.1016/s1130-1473(05)70417-6</t>
  </si>
  <si>
    <t>https://doi.org/10.1186/1471-2334-6-43</t>
  </si>
  <si>
    <t>https://doi.org/10.1007/s00381-010-1113-2</t>
  </si>
  <si>
    <t>https://doi.org/10.1159/000072870</t>
  </si>
  <si>
    <t>https://doi.org/10.1177/000348947208100604</t>
  </si>
  <si>
    <t>https://doi.org/10.1038/sc.1993.5</t>
  </si>
  <si>
    <t>https://doi.org/10.1007/s00381-006-0261-x</t>
  </si>
  <si>
    <t>https://doi.org/10.1159/000095569</t>
  </si>
  <si>
    <t>https://doi.org/10.1016/s0028-3843(14)60055-4</t>
  </si>
  <si>
    <t>https://doi.org/10.1007/s003810000439</t>
  </si>
  <si>
    <t>https://doi.org/10.1007/bf00271135</t>
  </si>
  <si>
    <t>https://doi.org/10.1227/01.neu.0000215955.18762.32</t>
  </si>
  <si>
    <t>https://doi.org/10.3889/oamjms.2021.6265</t>
  </si>
  <si>
    <t>https://doi.org/10.1590/0004-282x20150110</t>
  </si>
  <si>
    <t>https://doi.org/10.1159/000317259</t>
  </si>
  <si>
    <t>https://doi.org/10.3171/ped.2008.2.11.310</t>
  </si>
  <si>
    <t>https://doi.org/10.1055/s-2008-1043329</t>
  </si>
  <si>
    <t>https://doi.org/10.1007/s00381-020-04796-z</t>
  </si>
  <si>
    <t>https://doi.org/10.3171/ped.2005.103.6.0475</t>
  </si>
  <si>
    <t>https://doi.org/10.5137/1019-5149.jtn.4263-11.1</t>
  </si>
  <si>
    <t>https://doi.org/10.1177/088307389601100504</t>
  </si>
  <si>
    <t>https://pubmed.ncbi.nlm.nih.gov/30632328/</t>
  </si>
  <si>
    <t>https://doi.org/10.1159/000120890</t>
  </si>
  <si>
    <t>https://doi.org/10.3171/2019.7.FOCUS19447</t>
  </si>
  <si>
    <t>https://doi.org/10.1007/s00381-021-05217-5</t>
  </si>
  <si>
    <t>https://doi.org/10.3171/jns.1992.77.4.0551</t>
  </si>
  <si>
    <t>https://doi.org/10.1093/neuros/nyz302</t>
  </si>
  <si>
    <t>https://doi.org/10.14245%2Fkjs.2017.14.1.7</t>
  </si>
  <si>
    <t>https://doi.org/10.1007/s00381-002-0557-4</t>
  </si>
  <si>
    <t>https://doi.org/10.5137/1019-5149.jtn.18547-16.1</t>
  </si>
  <si>
    <t>https://doi.org/10.3171/ped.2007.106.4.316</t>
  </si>
  <si>
    <t>https://doi.org/10.1007/s00381-012-1961-z</t>
  </si>
  <si>
    <t>https://doi.org/10.3171/2015.5.peds14692</t>
  </si>
  <si>
    <t>https://doi.org/10.3171/ped.2005.103.1.0050</t>
  </si>
  <si>
    <t>https://doi.org/10.1007/s00381-020-04596-5</t>
  </si>
  <si>
    <t>https://doi.org/10.4103/1817-1745.84399</t>
  </si>
  <si>
    <t>https://doi.org/10.1007/s00381-018-3781-2</t>
  </si>
  <si>
    <t>https://doi.org/10.1007/s00381-015-2701-y</t>
  </si>
  <si>
    <t>https://doi.org/10.1055/s-0029-1202282</t>
  </si>
  <si>
    <t>https://doi.org/10.1007/bf00298448</t>
  </si>
  <si>
    <t>https://doi.org/10.1007/s00381-003-0759-4</t>
  </si>
  <si>
    <t>https://ecommons.aku.edu/pakistan_fhs_mc_surg_neurosurg/261</t>
  </si>
  <si>
    <t>https://doi.org/10.1590/s0004-282x2004000600006</t>
  </si>
  <si>
    <t>https://doi.org/10.3171/2018.7.focus18280</t>
  </si>
  <si>
    <t>https://doi.org/10.1007/s00383-018-4238-0</t>
  </si>
  <si>
    <t>https://doi.org/10.1136%2Fbjo.52.9.670</t>
  </si>
  <si>
    <t>https://doi.org/10.1007/s00701-008-0002-x</t>
  </si>
  <si>
    <t>https://doi.org/10.3390/jcm10194510</t>
  </si>
  <si>
    <t>https://doi.org/10.3171/2014.4.peds13470</t>
  </si>
  <si>
    <t>https://doi.org/10.1136%2Fadc.49.2.112</t>
  </si>
  <si>
    <t>https://doi.org/10.1111/j.1469-8749.1991.tb14964.x</t>
  </si>
  <si>
    <t>https://doi.org/10.3171/2019.7.focus19434</t>
  </si>
  <si>
    <t>https://jpma.org.pk/article-details/8517?article_id=8517</t>
  </si>
  <si>
    <t>https://doi.org/10.1136%2Fadc.56.11.822</t>
  </si>
  <si>
    <t>https://www.jkns.or.kr/journal/view.php?number=5024</t>
  </si>
  <si>
    <t>https://doi.org/10.3171/2019.7.focus19462</t>
  </si>
  <si>
    <t>https://doi.org/10.1016/j.wneu.2015.07.071</t>
  </si>
  <si>
    <t>https://doi.org/10.1007/s00381-016-3012-7</t>
  </si>
  <si>
    <t>https://doi.org/10.1007/bf00261592</t>
  </si>
  <si>
    <t>https://doi.org/10.1007/bf00735728</t>
  </si>
  <si>
    <t>https://doi.org/10.1007/s00381-017-3663-z</t>
  </si>
  <si>
    <t>https://doi.org/10.1007/s00381-020-04786-1</t>
  </si>
  <si>
    <t>https://doi.org/10.1007/s00381-003-0853-7</t>
  </si>
  <si>
    <t>https://www.sid.ir/paper/291889/en</t>
  </si>
  <si>
    <t>https://doi.org/10.1590/0004-282x20150169</t>
  </si>
  <si>
    <t>https://doi.org/10.1159/000209285</t>
  </si>
  <si>
    <t>https://doi.org/10.5137/1019-5149.jtn.26510-19.1</t>
  </si>
  <si>
    <t>https://doi.org/10.3171/2013.11.peds13138</t>
  </si>
  <si>
    <t>https://doi.org/10.5137/1019-5149.jtn.32611-20.4</t>
  </si>
  <si>
    <t>https://doi.org/10.1159/000516379</t>
  </si>
  <si>
    <t>https://doi.org/10.1007/bf00274056</t>
  </si>
  <si>
    <t>https://doi.org/10.1159/000485251</t>
  </si>
  <si>
    <t>https://doi.org/10.1016/j.surneu.2003.11.014</t>
  </si>
  <si>
    <t>https://doi.org/10.3171/2019.7.focus19355</t>
  </si>
  <si>
    <t>https://doi.org/10.5137/1019-5149.jtn.26588-19.1</t>
  </si>
  <si>
    <t>https://doi.org/10.1007/s00381-010-1156-4</t>
  </si>
  <si>
    <t>https://doi.org/10.1007/s00381-016-3237-5</t>
  </si>
  <si>
    <t>https://advances.umw.edu.pl/en/article/2011/20/5/543/</t>
  </si>
  <si>
    <t>https://www.scielo.org.mx/scielo.php?script=sci_arttext&amp;pid=S1870-72032017000200105</t>
  </si>
  <si>
    <t>https://doi.org/10.1007/s00381-020-04929-4</t>
  </si>
  <si>
    <t>https://doi.org/10.1159/000330539</t>
  </si>
  <si>
    <t>https://doi.org/10.3171/jns.1968.28.3.0207</t>
  </si>
  <si>
    <t>https://doi.org/10.1016/0090-3019(87)90035-8</t>
  </si>
  <si>
    <t>https://www.ajol.info/index.php/njcp/article/view/114862/104498</t>
  </si>
  <si>
    <t>ROB_tool</t>
  </si>
  <si>
    <t>Overall_judgement</t>
  </si>
  <si>
    <t>Domain1</t>
  </si>
  <si>
    <t>Domain2</t>
  </si>
  <si>
    <t>Domain3</t>
  </si>
  <si>
    <t>Domain4</t>
  </si>
  <si>
    <t>Domain5</t>
  </si>
  <si>
    <t>Domain6</t>
  </si>
  <si>
    <t>Domain7</t>
  </si>
  <si>
    <t>MMC_cervical</t>
  </si>
  <si>
    <t>MMC_thoracic</t>
  </si>
  <si>
    <t>MMC_thoracolumbar</t>
  </si>
  <si>
    <t>MMC_lumbar</t>
  </si>
  <si>
    <t>MMC_lumbosacral</t>
  </si>
  <si>
    <t>MMC_sacral</t>
  </si>
  <si>
    <t>MMC_closure</t>
  </si>
  <si>
    <t>MMC_age_mean</t>
  </si>
  <si>
    <t>Mortality_intraop</t>
  </si>
  <si>
    <t>Mortality_periop</t>
  </si>
  <si>
    <t>Mortality_reasons</t>
  </si>
  <si>
    <t>HC_age_mean_prenatal</t>
  </si>
  <si>
    <t>HC_age_mean_postnatal</t>
  </si>
  <si>
    <t>HC_fontanelle</t>
  </si>
  <si>
    <t>HC_circumf</t>
  </si>
  <si>
    <t>HC_CSF</t>
  </si>
  <si>
    <t>HC_other_ICP</t>
  </si>
  <si>
    <t>HC_preop_meningitis</t>
  </si>
  <si>
    <t>HC_preop_ventriculitis</t>
  </si>
  <si>
    <t>HC_preop_otherinfex</t>
  </si>
  <si>
    <t>Tx_age_mean</t>
  </si>
  <si>
    <t>Tx_age_std</t>
  </si>
  <si>
    <t>FU</t>
  </si>
  <si>
    <t>Tx_per_pt_mean</t>
  </si>
  <si>
    <t>Tx_per_pt_median</t>
  </si>
  <si>
    <t>Tx_per_pt_sd</t>
  </si>
  <si>
    <t>Tx_per_pt_range</t>
  </si>
  <si>
    <t>Conservative_1st_line</t>
  </si>
  <si>
    <t>VPS_1st_line</t>
  </si>
  <si>
    <t>ETV_1st_line</t>
  </si>
  <si>
    <t>ETV_CPC_1st_line</t>
  </si>
  <si>
    <t>ETV_to_VPS_1st_line</t>
  </si>
  <si>
    <t>Other_1st_line</t>
  </si>
  <si>
    <t>Subgaleal_temp</t>
  </si>
  <si>
    <t>EVD_temp</t>
  </si>
  <si>
    <t>Conservative_2nd_line</t>
  </si>
  <si>
    <t>VPS_2nd_line</t>
  </si>
  <si>
    <t>ETV_2nd_line</t>
  </si>
  <si>
    <t>ETV_CPC_2nd_line</t>
  </si>
  <si>
    <t>ETV_to_VPS_2nd_line</t>
  </si>
  <si>
    <t>Other_2nd_line</t>
  </si>
  <si>
    <t>Ix_CT</t>
  </si>
  <si>
    <t>Ix_MRI</t>
  </si>
  <si>
    <t>Ix_USS</t>
  </si>
  <si>
    <t>Ix_clinical</t>
  </si>
  <si>
    <t>Failure_rate</t>
  </si>
  <si>
    <t>Failure_rate_conservative</t>
  </si>
  <si>
    <t>Failure_rate_VPS</t>
  </si>
  <si>
    <t>Failure_rate_ETV</t>
  </si>
  <si>
    <t>Failure_rate_ETV_CPC</t>
  </si>
  <si>
    <t>Failure_rate_ETV_to_VP</t>
  </si>
  <si>
    <t>Time_to_failure_mean</t>
  </si>
  <si>
    <t>Time_to_failure_mean_conservative</t>
  </si>
  <si>
    <t>Time_to_failure_mean_VPS</t>
  </si>
  <si>
    <t>Time_to_failure_mean_ETV</t>
  </si>
  <si>
    <t>Time_to_failure_mean_ETV_CPC</t>
  </si>
  <si>
    <t>Time_to_failure_mean_ETV_to_VP</t>
  </si>
  <si>
    <t>Time_to_failure_median</t>
  </si>
  <si>
    <t>Time_to_failure_sd</t>
  </si>
  <si>
    <t>Time_to_failure_range</t>
  </si>
  <si>
    <t>Failure_reasons</t>
  </si>
  <si>
    <t>Mortality_intraop_1st_line</t>
  </si>
  <si>
    <t>Mortality_intraop_1st_line_conservative</t>
  </si>
  <si>
    <t>Mortality_intraop_1st_line_VPS</t>
  </si>
  <si>
    <t>Mortality_intraop_1st_line_ETV</t>
  </si>
  <si>
    <t>Mortality_intraop_1st_line_ETV_CPC</t>
  </si>
  <si>
    <t>Mortality_intraop_1st_line_ETV_to_VP</t>
  </si>
  <si>
    <t>Mortality_periop_1st_line</t>
  </si>
  <si>
    <t>Mortality_periop_1st_line_conservative</t>
  </si>
  <si>
    <t>Mortality_periop_1st_line_VPS</t>
  </si>
  <si>
    <t>Mortality_periop_1st_line_ETV</t>
  </si>
  <si>
    <t>Mortality_periop_1st_line_ETV_CPC</t>
  </si>
  <si>
    <t>Mortality_periop_1st_line_ETV_to_VP</t>
  </si>
  <si>
    <t>Mortality_reasons_1st_line</t>
  </si>
  <si>
    <t>Complication_rate_1st_line</t>
  </si>
  <si>
    <t>Complication_rate_1st_line_conservative</t>
  </si>
  <si>
    <t>Complication_rate_1st_line_VPS</t>
  </si>
  <si>
    <t>Complication_rate_1st_line_ETV</t>
  </si>
  <si>
    <t>Complication_rate_1st_line_ETV_CPC</t>
  </si>
  <si>
    <t>Complication_rate_1st_line_ETV_to_VP</t>
  </si>
  <si>
    <t>Mortality_intraop_2nd_line</t>
  </si>
  <si>
    <t>Mortality_periop_2nd_line</t>
  </si>
  <si>
    <t>Mortality_reasons_2nd_line</t>
  </si>
  <si>
    <t>HC_postop_wbreak</t>
  </si>
  <si>
    <t>HC_postop_winfex</t>
  </si>
  <si>
    <t>HC_postop_meningitis</t>
  </si>
  <si>
    <t>MMC_postop_wbreak</t>
  </si>
  <si>
    <t>MMC_postop_winfex</t>
  </si>
  <si>
    <t>MMC_postop_meningitis</t>
  </si>
  <si>
    <t>MMC_postop_other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</si>
</sst>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2" fontId="1" numFmtId="0" xfId="0" applyFill="1" applyFont="1"/>
    <xf borderId="0" fillId="2" fontId="1" numFmtId="0" xfId="0" applyAlignment="1" applyFont="1">
      <alignment horizontal="left"/>
    </xf>
    <xf borderId="0" fillId="2" fontId="1" numFmtId="0" xfId="0" applyAlignment="1" applyFont="1">
      <alignment horizontal="right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1" numFmtId="1" xfId="0" applyFont="1" applyNumberFormat="1"/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/>
    </xf>
    <xf borderId="0" fillId="0" fontId="1" numFmtId="1" xfId="0" applyAlignment="1" applyFont="1" applyNumberFormat="1">
      <alignment horizontal="right" readingOrder="0"/>
    </xf>
    <xf borderId="0" fillId="0" fontId="4" numFmtId="0" xfId="0" applyAlignment="1" applyFont="1">
      <alignment vertical="bottom"/>
    </xf>
    <xf borderId="0" fillId="0" fontId="1" numFmtId="1" xfId="0" applyAlignment="1" applyFont="1" applyNumberFormat="1">
      <alignment horizontal="right"/>
    </xf>
    <xf borderId="0" fillId="0" fontId="1" numFmtId="2" xfId="0" applyFont="1" applyNumberFormat="1"/>
    <xf borderId="0" fillId="0" fontId="1" numFmtId="2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07/bf00298448" TargetMode="External"/><Relationship Id="rId84" Type="http://schemas.openxmlformats.org/officeDocument/2006/relationships/hyperlink" Target="https://www.ajol.info/index.php/njcp/article/view/114862/104498" TargetMode="External"/><Relationship Id="rId83" Type="http://schemas.openxmlformats.org/officeDocument/2006/relationships/hyperlink" Target="https://doi.org/10.1016/0090-3019(87)90035-8" TargetMode="External"/><Relationship Id="rId42" Type="http://schemas.openxmlformats.org/officeDocument/2006/relationships/hyperlink" Target="https://ecommons.aku.edu/pakistan_fhs_mc_surg_neurosurg/261" TargetMode="External"/><Relationship Id="rId41" Type="http://schemas.openxmlformats.org/officeDocument/2006/relationships/hyperlink" Target="https://doi.org/10.1007/s00381-003-0759-4" TargetMode="External"/><Relationship Id="rId85" Type="http://schemas.openxmlformats.org/officeDocument/2006/relationships/drawing" Target="../drawings/drawing2.xml"/><Relationship Id="rId44" Type="http://schemas.openxmlformats.org/officeDocument/2006/relationships/hyperlink" Target="https://doi.org/10.3171/2018.7.focus18280" TargetMode="External"/><Relationship Id="rId43" Type="http://schemas.openxmlformats.org/officeDocument/2006/relationships/hyperlink" Target="https://doi.org/10.1590/s0004-282x2004000600006" TargetMode="External"/><Relationship Id="rId46" Type="http://schemas.openxmlformats.org/officeDocument/2006/relationships/hyperlink" Target="https://doi.org/10.1136%2Fbjo.52.9.670" TargetMode="External"/><Relationship Id="rId45" Type="http://schemas.openxmlformats.org/officeDocument/2006/relationships/hyperlink" Target="https://doi.org/10.1007/s00383-018-4238-0" TargetMode="External"/><Relationship Id="rId80" Type="http://schemas.openxmlformats.org/officeDocument/2006/relationships/hyperlink" Target="https://doi.org/10.1007/s00381-020-04929-4" TargetMode="External"/><Relationship Id="rId82" Type="http://schemas.openxmlformats.org/officeDocument/2006/relationships/hyperlink" Target="https://www.ajol.info/index.php/njcp/article/view/114862/104498" TargetMode="External"/><Relationship Id="rId81" Type="http://schemas.openxmlformats.org/officeDocument/2006/relationships/hyperlink" Target="https://doi.org/10.1159/000330539" TargetMode="External"/><Relationship Id="rId1" Type="http://schemas.openxmlformats.org/officeDocument/2006/relationships/hyperlink" Target="https://doi.org/10.1016/s1130-1473(05)70417-6" TargetMode="External"/><Relationship Id="rId2" Type="http://schemas.openxmlformats.org/officeDocument/2006/relationships/hyperlink" Target="https://doi.org/10.1186/1471-2334-6-43" TargetMode="External"/><Relationship Id="rId3" Type="http://schemas.openxmlformats.org/officeDocument/2006/relationships/hyperlink" Target="https://doi.org/10.1007/s00381-010-1113-2" TargetMode="External"/><Relationship Id="rId4" Type="http://schemas.openxmlformats.org/officeDocument/2006/relationships/hyperlink" Target="https://doi.org/10.1159/000072870" TargetMode="External"/><Relationship Id="rId9" Type="http://schemas.openxmlformats.org/officeDocument/2006/relationships/hyperlink" Target="https://doi.org/10.1016/s0028-3843(14)60055-4" TargetMode="External"/><Relationship Id="rId48" Type="http://schemas.openxmlformats.org/officeDocument/2006/relationships/hyperlink" Target="https://doi.org/10.3390/jcm10194510" TargetMode="External"/><Relationship Id="rId47" Type="http://schemas.openxmlformats.org/officeDocument/2006/relationships/hyperlink" Target="https://doi.org/10.1007/s00701-008-0002-x" TargetMode="External"/><Relationship Id="rId49" Type="http://schemas.openxmlformats.org/officeDocument/2006/relationships/hyperlink" Target="https://doi.org/10.3171/2014.4.peds13470" TargetMode="External"/><Relationship Id="rId5" Type="http://schemas.openxmlformats.org/officeDocument/2006/relationships/hyperlink" Target="https://doi.org/10.1177/000348947208100604" TargetMode="External"/><Relationship Id="rId6" Type="http://schemas.openxmlformats.org/officeDocument/2006/relationships/hyperlink" Target="https://doi.org/10.1038/sc.1993.5" TargetMode="External"/><Relationship Id="rId7" Type="http://schemas.openxmlformats.org/officeDocument/2006/relationships/hyperlink" Target="https://doi.org/10.1007/s00381-006-0261-x" TargetMode="External"/><Relationship Id="rId8" Type="http://schemas.openxmlformats.org/officeDocument/2006/relationships/hyperlink" Target="https://doi.org/10.1159/000095569" TargetMode="External"/><Relationship Id="rId73" Type="http://schemas.openxmlformats.org/officeDocument/2006/relationships/hyperlink" Target="https://doi.org/10.1016/j.surneu.2003.11.014" TargetMode="External"/><Relationship Id="rId72" Type="http://schemas.openxmlformats.org/officeDocument/2006/relationships/hyperlink" Target="https://doi.org/10.1159/000485251" TargetMode="External"/><Relationship Id="rId31" Type="http://schemas.openxmlformats.org/officeDocument/2006/relationships/hyperlink" Target="https://doi.org/10.3171/ped.2007.106.4.316" TargetMode="External"/><Relationship Id="rId75" Type="http://schemas.openxmlformats.org/officeDocument/2006/relationships/hyperlink" Target="https://doi.org/10.5137/1019-5149.jtn.26588-19.1" TargetMode="External"/><Relationship Id="rId30" Type="http://schemas.openxmlformats.org/officeDocument/2006/relationships/hyperlink" Target="https://doi.org/10.5137/1019-5149.jtn.18547-16.1" TargetMode="External"/><Relationship Id="rId74" Type="http://schemas.openxmlformats.org/officeDocument/2006/relationships/hyperlink" Target="https://doi.org/10.3171/2019.7.focus19355" TargetMode="External"/><Relationship Id="rId33" Type="http://schemas.openxmlformats.org/officeDocument/2006/relationships/hyperlink" Target="https://doi.org/10.3171/2015.5.peds14692" TargetMode="External"/><Relationship Id="rId77" Type="http://schemas.openxmlformats.org/officeDocument/2006/relationships/hyperlink" Target="https://doi.org/10.1007/s00381-016-3237-5" TargetMode="External"/><Relationship Id="rId32" Type="http://schemas.openxmlformats.org/officeDocument/2006/relationships/hyperlink" Target="https://doi.org/10.1007/s00381-012-1961-z" TargetMode="External"/><Relationship Id="rId76" Type="http://schemas.openxmlformats.org/officeDocument/2006/relationships/hyperlink" Target="https://doi.org/10.1007/s00381-010-1156-4" TargetMode="External"/><Relationship Id="rId35" Type="http://schemas.openxmlformats.org/officeDocument/2006/relationships/hyperlink" Target="https://doi.org/10.1007/s00381-020-04596-5" TargetMode="External"/><Relationship Id="rId79" Type="http://schemas.openxmlformats.org/officeDocument/2006/relationships/hyperlink" Target="https://www.scielo.org.mx/scielo.php?script=sci_arttext&amp;pid=S1870-72032017000200105" TargetMode="External"/><Relationship Id="rId34" Type="http://schemas.openxmlformats.org/officeDocument/2006/relationships/hyperlink" Target="https://doi.org/10.3171/ped.2005.103.1.0050" TargetMode="External"/><Relationship Id="rId78" Type="http://schemas.openxmlformats.org/officeDocument/2006/relationships/hyperlink" Target="https://advances.umw.edu.pl/en/article/2011/20/5/543/" TargetMode="External"/><Relationship Id="rId71" Type="http://schemas.openxmlformats.org/officeDocument/2006/relationships/hyperlink" Target="https://doi.org/10.1007/bf00274056" TargetMode="External"/><Relationship Id="rId70" Type="http://schemas.openxmlformats.org/officeDocument/2006/relationships/hyperlink" Target="https://doi.org/10.1159/000516379" TargetMode="External"/><Relationship Id="rId37" Type="http://schemas.openxmlformats.org/officeDocument/2006/relationships/hyperlink" Target="https://doi.org/10.1007/s00381-018-3781-2" TargetMode="External"/><Relationship Id="rId36" Type="http://schemas.openxmlformats.org/officeDocument/2006/relationships/hyperlink" Target="https://doi.org/10.4103/1817-1745.84399" TargetMode="External"/><Relationship Id="rId39" Type="http://schemas.openxmlformats.org/officeDocument/2006/relationships/hyperlink" Target="https://doi.org/10.1055/s-0029-1202282" TargetMode="External"/><Relationship Id="rId38" Type="http://schemas.openxmlformats.org/officeDocument/2006/relationships/hyperlink" Target="https://doi.org/10.1007/s00381-015-2701-y" TargetMode="External"/><Relationship Id="rId62" Type="http://schemas.openxmlformats.org/officeDocument/2006/relationships/hyperlink" Target="https://doi.org/10.1007/s00381-020-04786-1" TargetMode="External"/><Relationship Id="rId61" Type="http://schemas.openxmlformats.org/officeDocument/2006/relationships/hyperlink" Target="https://doi.org/10.1007/s00381-017-3663-z" TargetMode="External"/><Relationship Id="rId20" Type="http://schemas.openxmlformats.org/officeDocument/2006/relationships/hyperlink" Target="https://doi.org/10.5137/1019-5149.jtn.4263-11.1" TargetMode="External"/><Relationship Id="rId64" Type="http://schemas.openxmlformats.org/officeDocument/2006/relationships/hyperlink" Target="https://www.sid.ir/paper/291889/en" TargetMode="External"/><Relationship Id="rId63" Type="http://schemas.openxmlformats.org/officeDocument/2006/relationships/hyperlink" Target="https://doi.org/10.1007/s00381-003-0853-7" TargetMode="External"/><Relationship Id="rId22" Type="http://schemas.openxmlformats.org/officeDocument/2006/relationships/hyperlink" Target="https://pubmed.ncbi.nlm.nih.gov/30632328/" TargetMode="External"/><Relationship Id="rId66" Type="http://schemas.openxmlformats.org/officeDocument/2006/relationships/hyperlink" Target="https://doi.org/10.1159/000209285" TargetMode="External"/><Relationship Id="rId21" Type="http://schemas.openxmlformats.org/officeDocument/2006/relationships/hyperlink" Target="https://doi.org/10.1177/088307389601100504" TargetMode="External"/><Relationship Id="rId65" Type="http://schemas.openxmlformats.org/officeDocument/2006/relationships/hyperlink" Target="https://doi.org/10.1590/0004-282x20150169" TargetMode="External"/><Relationship Id="rId24" Type="http://schemas.openxmlformats.org/officeDocument/2006/relationships/hyperlink" Target="https://doi.org/10.3171/2019.7.FOCUS19447" TargetMode="External"/><Relationship Id="rId68" Type="http://schemas.openxmlformats.org/officeDocument/2006/relationships/hyperlink" Target="https://doi.org/10.3171/2013.11.peds13138" TargetMode="External"/><Relationship Id="rId23" Type="http://schemas.openxmlformats.org/officeDocument/2006/relationships/hyperlink" Target="https://doi.org/10.1159/000120890" TargetMode="External"/><Relationship Id="rId67" Type="http://schemas.openxmlformats.org/officeDocument/2006/relationships/hyperlink" Target="https://doi.org/10.5137/1019-5149.jtn.26510-19.1" TargetMode="External"/><Relationship Id="rId60" Type="http://schemas.openxmlformats.org/officeDocument/2006/relationships/hyperlink" Target="https://doi.org/10.1007/bf00735728" TargetMode="External"/><Relationship Id="rId26" Type="http://schemas.openxmlformats.org/officeDocument/2006/relationships/hyperlink" Target="https://doi.org/10.3171/jns.1992.77.4.0551" TargetMode="External"/><Relationship Id="rId25" Type="http://schemas.openxmlformats.org/officeDocument/2006/relationships/hyperlink" Target="https://doi.org/10.1007/s00381-021-05217-5" TargetMode="External"/><Relationship Id="rId69" Type="http://schemas.openxmlformats.org/officeDocument/2006/relationships/hyperlink" Target="https://doi.org/10.5137/1019-5149.jtn.32611-20.4" TargetMode="External"/><Relationship Id="rId28" Type="http://schemas.openxmlformats.org/officeDocument/2006/relationships/hyperlink" Target="https://doi.org/10.14245%2Fkjs.2017.14.1.7" TargetMode="External"/><Relationship Id="rId27" Type="http://schemas.openxmlformats.org/officeDocument/2006/relationships/hyperlink" Target="https://doi.org/10.1093/neuros/nyz302" TargetMode="External"/><Relationship Id="rId29" Type="http://schemas.openxmlformats.org/officeDocument/2006/relationships/hyperlink" Target="https://doi.org/10.1007/s00381-002-0557-4" TargetMode="External"/><Relationship Id="rId51" Type="http://schemas.openxmlformats.org/officeDocument/2006/relationships/hyperlink" Target="https://doi.org/10.1111/j.1469-8749.1991.tb14964.x" TargetMode="External"/><Relationship Id="rId50" Type="http://schemas.openxmlformats.org/officeDocument/2006/relationships/hyperlink" Target="https://doi.org/10.1136%2Fadc.49.2.112" TargetMode="External"/><Relationship Id="rId53" Type="http://schemas.openxmlformats.org/officeDocument/2006/relationships/hyperlink" Target="https://jpma.org.pk/article-details/8517?article_id=8517" TargetMode="External"/><Relationship Id="rId52" Type="http://schemas.openxmlformats.org/officeDocument/2006/relationships/hyperlink" Target="https://doi.org/10.3171/2019.7.focus19434" TargetMode="External"/><Relationship Id="rId11" Type="http://schemas.openxmlformats.org/officeDocument/2006/relationships/hyperlink" Target="https://doi.org/10.1007/bf00271135" TargetMode="External"/><Relationship Id="rId55" Type="http://schemas.openxmlformats.org/officeDocument/2006/relationships/hyperlink" Target="https://www.jkns.or.kr/journal/view.php?number=5024" TargetMode="External"/><Relationship Id="rId10" Type="http://schemas.openxmlformats.org/officeDocument/2006/relationships/hyperlink" Target="https://doi.org/10.1007/s003810000439" TargetMode="External"/><Relationship Id="rId54" Type="http://schemas.openxmlformats.org/officeDocument/2006/relationships/hyperlink" Target="https://doi.org/10.1136%2Fadc.56.11.822" TargetMode="External"/><Relationship Id="rId13" Type="http://schemas.openxmlformats.org/officeDocument/2006/relationships/hyperlink" Target="https://doi.org/10.3889/oamjms.2021.6265" TargetMode="External"/><Relationship Id="rId57" Type="http://schemas.openxmlformats.org/officeDocument/2006/relationships/hyperlink" Target="https://doi.org/10.1016/j.wneu.2015.07.071" TargetMode="External"/><Relationship Id="rId12" Type="http://schemas.openxmlformats.org/officeDocument/2006/relationships/hyperlink" Target="https://doi.org/10.1227/01.neu.0000215955.18762.32" TargetMode="External"/><Relationship Id="rId56" Type="http://schemas.openxmlformats.org/officeDocument/2006/relationships/hyperlink" Target="https://doi.org/10.3171/2019.7.focus19462" TargetMode="External"/><Relationship Id="rId15" Type="http://schemas.openxmlformats.org/officeDocument/2006/relationships/hyperlink" Target="https://doi.org/10.1159/000317259" TargetMode="External"/><Relationship Id="rId59" Type="http://schemas.openxmlformats.org/officeDocument/2006/relationships/hyperlink" Target="https://doi.org/10.1007/bf00261592" TargetMode="External"/><Relationship Id="rId14" Type="http://schemas.openxmlformats.org/officeDocument/2006/relationships/hyperlink" Target="https://doi.org/10.1590/0004-282x20150110" TargetMode="External"/><Relationship Id="rId58" Type="http://schemas.openxmlformats.org/officeDocument/2006/relationships/hyperlink" Target="https://doi.org/10.1007/s00381-016-3012-7" TargetMode="External"/><Relationship Id="rId17" Type="http://schemas.openxmlformats.org/officeDocument/2006/relationships/hyperlink" Target="https://doi.org/10.1055/s-2008-1043329" TargetMode="External"/><Relationship Id="rId16" Type="http://schemas.openxmlformats.org/officeDocument/2006/relationships/hyperlink" Target="https://doi.org/10.3171/ped.2008.2.11.310" TargetMode="External"/><Relationship Id="rId19" Type="http://schemas.openxmlformats.org/officeDocument/2006/relationships/hyperlink" Target="https://doi.org/10.3171/ped.2005.103.6.0475" TargetMode="External"/><Relationship Id="rId18" Type="http://schemas.openxmlformats.org/officeDocument/2006/relationships/hyperlink" Target="https://doi.org/10.1007/s00381-020-04796-z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5.25"/>
    <col customWidth="1" min="3" max="3" width="19.38"/>
    <col customWidth="1" min="4" max="4" width="17.88"/>
    <col customWidth="1" min="5" max="5" width="16.88"/>
    <col customWidth="1" min="6" max="6" width="19.38"/>
    <col customWidth="1" min="7" max="7" width="17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>
      <c r="A2" s="4" t="str">
        <f>IFERROR(__xludf.DUMMYFUNCTION("SORT(IMPORTRANGE(""https://docs.google.com/spreadsheets/d/1BJSV3WBYJGRhQ6zExamkszQ5VutGIcaQqmbD9ZTVXMQ/edit#gid=1251630045"",""articles_with_PRISMA_reasons!B2:B2113""))"),"[(3)Treatment for Hydrocephalus with Myelomeningocele in Infant:CSF Shunt vs. ETV]")</f>
        <v>[(3)Treatment for Hydrocephalus with Myelomeningocele in Infant:CSF Shunt vs. ETV]</v>
      </c>
      <c r="B2" s="5" t="str">
        <f>IFERROR(__xludf.DUMMYFUNCTION("LEFT(FILTER(IMPORTRANGE(""https://docs.google.com/spreadsheets/d/1BJSV3WBYJGRhQ6zExamkszQ5VutGIcaQqmbD9ZTVXMQ/edit#gid=1251630045"",""articles_with_PRISMA_reasons!K2:K2113""), $A2=IMPORTRANGE(""https://docs.google.com/spreadsheets/d/1BJSV3WBYJGRhQ6zExamks"&amp;"zQ5VutGIcaQqmbD9ZTVXMQ/edit#gid=1251630045"",""articles_with_PRISMA_reasons!B2:B2113"")),SEARCH("","",FILTER(IMPORTRANGE(""https://docs.google.com/spreadsheets/d/1BJSV3WBYJGRhQ6zExamkszQ5VutGIcaQqmbD9ZTVXMQ/edit#gid=1251630045"",""articles_with_PRISMA_rea"&amp;"sons!K2:K2113""), $A2=IMPORTRANGE(""https://docs.google.com/spreadsheets/d/1BJSV3WBYJGRhQ6zExamkszQ5VutGIcaQqmbD9ZTVXMQ/edit#gid=1251630045"",""articles_with_PRISMA_reasons!B2:B2113"")))-1)"),"Nishiyama")</f>
        <v>Nishiyama</v>
      </c>
      <c r="C2" s="6">
        <f>IFERROR(__xludf.DUMMYFUNCTION("FILTER(IMPORTRANGE(""https://docs.google.com/spreadsheets/d/1BJSV3WBYJGRhQ6zExamkszQ5VutGIcaQqmbD9ZTVXMQ/edit#gid=1251630045"",""articles_with_PRISMA_reasons!C2:C2113""), $A2=IMPORTRANGE(""https://docs.google.com/spreadsheets/d/1BJSV3WBYJGRhQ6zExamkszQ5Vu"&amp;"tGIcaQqmbD9ZTVXMQ/edit#gid=1251630045"",""articles_with_PRISMA_reasons!B2:B2113""))"),2019.0)</f>
        <v>2019</v>
      </c>
      <c r="D2" s="5" t="str">
        <f>IFERROR(__xludf.DUMMYFUNCTION("IFS(AND(
FILTER(IMPORTRANGE(""https://docs.google.com/spreadsheets/d/1BJSV3WBYJGRhQ6zExamkszQ5VutGIcaQqmbD9ZTVXMQ/edit#gid=1251630045"",""articles_with_PRISMA_reasons!Y2:Y2113""), $A2=IMPORTRANGE(""https://docs.google.com/spreadsheets/d/1BJSV3WBYJGRhQ6zEx"&amp;"amkszQ5VutGIcaQqmbD9ZTVXMQ/edit#gid=1251630045"",""articles_with_PRISMA_reasons!B2:B2113""))&gt;=2,
FILTER(IMPORTRANGE(""https://docs.google.com/spreadsheets/d/1BJSV3WBYJGRhQ6zExamkszQ5VutGIcaQqmbD9ZTVXMQ/edit#gid=1251630045"",""articles_with_PRISMA_reasons!"&amp;"Z2:Z2113""), $A2=IMPORTRANGE(""https://docs.google.com/spreadsheets/d/1BJSV3WBYJGRhQ6zExamkszQ5VutGIcaQqmbD9ZTVXMQ/edit#gid=1251630045"",""articles_with_PRISMA_reasons!B2:B2113""))&lt;2),
""Include"",
AND(
FILTER(IMPORTRANGE(""https://docs.google.com/spreads"&amp;"heets/d/1BJSV3WBYJGRhQ6zExamkszQ5VutGIcaQqmbD9ZTVXMQ/edit#gid=1251630045"",""articles_with_PRISMA_reasons!Y2:Y2113""), $A2=IMPORTRANGE(""https://docs.google.com/spreadsheets/d/1BJSV3WBYJGRhQ6zExamkszQ5VutGIcaQqmbD9ZTVXMQ/edit#gid=1251630045"",""articles_w"&amp;"ith_PRISMA_reasons!B2:B2113""))&lt;2,
FILTER(IMPORTRANGE(""https://docs.google.com/spreadsheets/d/1BJSV3WBYJGRhQ6zExamkszQ5VutGIcaQqmbD9ZTVXMQ/edit#gid=1251630045"",""articles_with_PRISMA_reasons!Z2:Z2113""), $A2=IMPORTRANGE(""https://docs.google.com/spreads"&amp;"heets/d/1BJSV3WBYJGRhQ6zExamkszQ5VutGIcaQqmbD9ZTVXMQ/edit#gid=1251630045"",""articles_with_PRISMA_reasons!B2:B2113""))&gt;=2),
""Exclude""
)"),"Exclude")</f>
        <v>Exclude</v>
      </c>
      <c r="E2" s="5" t="str">
        <f>IFERROR(__xludf.DUMMYFUNCTION("IFS(
D2=""Exclude"",""Exclude"",
AND(
FILTER(IMPORTRANGE(""https://docs.google.com/spreadsheets/d/1qpEmbGH0JjaJbUdp21-y2cPbobDbMjr09BbtdKROZWc/edit#gid=1444865654"",""articles_with_PRISMA_reasons!W2:W2113""), $A2=IMPORTRANGE(""https://docs.google.com/spre"&amp;"adsheets/d/1qpEmbGH0JjaJbUdp21-y2cPbobDbMjr09BbtdKROZWc/edit#gid=1444865654"",""articles_with_PRISMA_reasons!B2:B2113""))&gt;=2,
FILTER(IMPORTRANGE(""https://docs.google.com/spreadsheets/d/1qpEmbGH0JjaJbUdp21-y2cPbobDbMjr09BbtdKROZWc/edit#gid=1444865654"","""&amp;"articles_with_PRISMA_reasons!X2:X2113""), $A2=IMPORTRANGE(""https://docs.google.com/spreadsheets/d/1qpEmbGH0JjaJbUdp21-y2cPbobDbMjr09BbtdKROZWc/edit#gid=1444865654"",""articles_with_PRISMA_reasons!B2:B2113""))&lt;2),
""Include"",
AND(
FILTER(IMPORTRANGE(""ht"&amp;"tps://docs.google.com/spreadsheets/d/1qpEmbGH0JjaJbUdp21-y2cPbobDbMjr09BbtdKROZWc/edit#gid=1444865654"",""articles_with_PRISMA_reasons!W2:W2113""), $A2=IMPORTRANGE(""https://docs.google.com/spreadsheets/d/1qpEmbGH0JjaJbUdp21-y2cPbobDbMjr09BbtdKROZWc/edit#"&amp;"gid=1444865654"",""articles_with_PRISMA_reasons!B2:B2113""))&lt;2,
FILTER(IMPORTRANGE(""https://docs.google.com/spreadsheets/d/1qpEmbGH0JjaJbUdp21-y2cPbobDbMjr09BbtdKROZWc/edit#gid=1444865654"",""articles_with_PRISMA_reasons!X2:X2113""), $A2=IMPORTRANGE(""ht"&amp;"tps://docs.google.com/spreadsheets/d/1qpEmbGH0JjaJbUdp21-y2cPbobDbMjr09BbtdKROZWc/edit#gid=1444865654"",""articles_with_PRISMA_reasons!B2:B2113""))&gt;=2),
""Exclude""
)"),"Exclude")</f>
        <v>Exclude</v>
      </c>
      <c r="F2" s="5" t="str">
        <f>IFERROR(__xludf.DUMMYFUNCTION("IFS(
E2=""Exclude"",""Exclude"",
AND(
COUNTIF(
IMPORTRANGE(""https://docs.google.com/spreadsheets/d/1kGrh75X1cNR1D7_FcY9zMnHP8iPO4M5RCRjy6nZY0TY/edit#gid=0"",""Table 1: Study characteristics!B4:B171""),A2)&gt;0,
COUNTIF(Studies!$A$2:$A$85,FILTER(IMPORTRANGE("&amp;"""https://docs.google.com/spreadsheets/d/1kGrh75X1cNR1D7_FcY9zMnHP8iPO4M5RCRjy6nZY0TY/edit#gid=0"",""Table 1: Study characteristics!A4:A171""), $A2=IMPORTRANGE(""https://docs.google.com/spreadsheets/d/1kGrh75X1cNR1D7_FcY9zMnHP8iPO4M5RCRjy6nZY0TY/edit#gid="&amp;"0"",""Table 1: Study characteristics!B4:B171"")))&gt;0
),
""Include""
)"),"Exclude")</f>
        <v>Exclude</v>
      </c>
      <c r="G2" s="5" t="str">
        <f>IFERROR(__xludf.DUMMYFUNCTION("IFS(
D2=""Exclude"",
FILTER(IMPORTRANGE(""https://docs.google.com/spreadsheets/d/1BJSV3WBYJGRhQ6zExamkszQ5VutGIcaQqmbD9ZTVXMQ/edit#gid=1251630045"",""articles_with_PRISMA_reasons!AB2:AB2113""), $A2=IMPORTRANGE(""https://docs.google.com/spreadsheets/d/1BJS"&amp;"V3WBYJGRhQ6zExamkszQ5VutGIcaQqmbD9ZTVXMQ/edit#gid=1251630045"",""articles_with_PRISMA_reasons!B2:B2113"")),
E2=""Exclude"",
FILTER(IMPORTRANGE(""https://docs.google.com/spreadsheets/d/1qpEmbGH0JjaJbUdp21-y2cPbobDbMjr09BbtdKROZWc/edit#gid=1444865654"",""ar"&amp;"ticles_with_PRISMA_reasons!Z2:Z2113""), $A2=IMPORTRANGE(""https://docs.google.com/spreadsheets/d/1qpEmbGH0JjaJbUdp21-y2cPbobDbMjr09BbtdKROZWc/edit#gid=1444865654"",""articles_with_PRISMA_reasons!B2:B2113"")),F2
=""Include"",FILTER(IMPORTRANGE(""https://do"&amp;"cs.google.com/spreadsheets/d/1kGrh75X1cNR1D7_FcY9zMnHP8iPO4M5RCRjy6nZY0TY/edit#gid=0"",""Table 1: Study characteristics!A4:A171""), $A2=IMPORTRANGE(""https://docs.google.com/spreadsheets/d/1kGrh75X1cNR1D7_FcY9zMnHP8iPO4M5RCRjy6nZY0TY/edit#gid=0"",""Table "&amp;"1: Study characteristics!B4:B171""))
)"),"wrong study design")</f>
        <v>wrong study design</v>
      </c>
    </row>
    <row r="3">
      <c r="A3" s="4" t="str">
        <f>IFERROR(__xludf.DUMMYFUNCTION("""COMPUTED_VALUE"""),"[20 years of treatment of hydrocephalus. A catamnestic application (author's transl)]")</f>
        <v>[20 years of treatment of hydrocephalus. A catamnestic application (author's transl)]</v>
      </c>
      <c r="B3" s="5" t="str">
        <f>IFERROR(__xludf.DUMMYFUNCTION("LEFT(FILTER(IMPORTRANGE(""https://docs.google.com/spreadsheets/d/1BJSV3WBYJGRhQ6zExamkszQ5VutGIcaQqmbD9ZTVXMQ/edit#gid=1251630045"",""articles_with_PRISMA_reasons!K2:K2113""), $A3=IMPORTRANGE(""https://docs.google.com/spreadsheets/d/1BJSV3WBYJGRhQ6zExamks"&amp;"zQ5VutGIcaQqmbD9ZTVXMQ/edit#gid=1251630045"",""articles_with_PRISMA_reasons!B2:B2113"")),SEARCH("","",FILTER(IMPORTRANGE(""https://docs.google.com/spreadsheets/d/1BJSV3WBYJGRhQ6zExamkszQ5VutGIcaQqmbD9ZTVXMQ/edit#gid=1251630045"",""articles_with_PRISMA_rea"&amp;"sons!K2:K2113""), $A3=IMPORTRANGE(""https://docs.google.com/spreadsheets/d/1BJSV3WBYJGRhQ6zExamkszQ5VutGIcaQqmbD9ZTVXMQ/edit#gid=1251630045"",""articles_with_PRISMA_reasons!B2:B2113"")))-1)"),"Hemmer")</f>
        <v>Hemmer</v>
      </c>
      <c r="C3" s="6">
        <f>IFERROR(__xludf.DUMMYFUNCTION("FILTER(IMPORTRANGE(""https://docs.google.com/spreadsheets/d/1BJSV3WBYJGRhQ6zExamkszQ5VutGIcaQqmbD9ZTVXMQ/edit#gid=1251630045"",""articles_with_PRISMA_reasons!C2:C2113""), $A3=IMPORTRANGE(""https://docs.google.com/spreadsheets/d/1BJSV3WBYJGRhQ6zExamkszQ5Vu"&amp;"tGIcaQqmbD9ZTVXMQ/edit#gid=1251630045"",""articles_with_PRISMA_reasons!B2:B2113""))"),1981.0)</f>
        <v>1981</v>
      </c>
      <c r="D3" s="5" t="str">
        <f>IFERROR(__xludf.DUMMYFUNCTION("IFS(AND(
FILTER(IMPORTRANGE(""https://docs.google.com/spreadsheets/d/1BJSV3WBYJGRhQ6zExamkszQ5VutGIcaQqmbD9ZTVXMQ/edit#gid=1251630045"",""articles_with_PRISMA_reasons!Y2:Y2113""), $A3=IMPORTRANGE(""https://docs.google.com/spreadsheets/d/1BJSV3WBYJGRhQ6zEx"&amp;"amkszQ5VutGIcaQqmbD9ZTVXMQ/edit#gid=1251630045"",""articles_with_PRISMA_reasons!B2:B2113""))&gt;=2,
FILTER(IMPORTRANGE(""https://docs.google.com/spreadsheets/d/1BJSV3WBYJGRhQ6zExamkszQ5VutGIcaQqmbD9ZTVXMQ/edit#gid=1251630045"",""articles_with_PRISMA_reasons!"&amp;"Z2:Z2113""), $A3=IMPORTRANGE(""https://docs.google.com/spreadsheets/d/1BJSV3WBYJGRhQ6zExamkszQ5VutGIcaQqmbD9ZTVXMQ/edit#gid=1251630045"",""articles_with_PRISMA_reasons!B2:B2113""))&lt;2),
""Include"",
AND(
FILTER(IMPORTRANGE(""https://docs.google.com/spreads"&amp;"heets/d/1BJSV3WBYJGRhQ6zExamkszQ5VutGIcaQqmbD9ZTVXMQ/edit#gid=1251630045"",""articles_with_PRISMA_reasons!Y2:Y2113""), $A3=IMPORTRANGE(""https://docs.google.com/spreadsheets/d/1BJSV3WBYJGRhQ6zExamkszQ5VutGIcaQqmbD9ZTVXMQ/edit#gid=1251630045"",""articles_w"&amp;"ith_PRISMA_reasons!B2:B2113""))&lt;2,
FILTER(IMPORTRANGE(""https://docs.google.com/spreadsheets/d/1BJSV3WBYJGRhQ6zExamkszQ5VutGIcaQqmbD9ZTVXMQ/edit#gid=1251630045"",""articles_with_PRISMA_reasons!Z2:Z2113""), $A3=IMPORTRANGE(""https://docs.google.com/spreads"&amp;"heets/d/1BJSV3WBYJGRhQ6zExamkszQ5VutGIcaQqmbD9ZTVXMQ/edit#gid=1251630045"",""articles_with_PRISMA_reasons!B2:B2113""))&gt;=2),
""Exclude""
)"),"Exclude")</f>
        <v>Exclude</v>
      </c>
      <c r="E3" s="5" t="str">
        <f>IFERROR(__xludf.DUMMYFUNCTION("IFS(
D3=""Exclude"",""Exclude"",
AND(
FILTER(IMPORTRANGE(""https://docs.google.com/spreadsheets/d/1qpEmbGH0JjaJbUdp21-y2cPbobDbMjr09BbtdKROZWc/edit#gid=1444865654"",""articles_with_PRISMA_reasons!W2:W2113""), $A3=IMPORTRANGE(""https://docs.google.com/spre"&amp;"adsheets/d/1qpEmbGH0JjaJbUdp21-y2cPbobDbMjr09BbtdKROZWc/edit#gid=1444865654"",""articles_with_PRISMA_reasons!B2:B2113""))&gt;=2,
FILTER(IMPORTRANGE(""https://docs.google.com/spreadsheets/d/1qpEmbGH0JjaJbUdp21-y2cPbobDbMjr09BbtdKROZWc/edit#gid=1444865654"","""&amp;"articles_with_PRISMA_reasons!X2:X2113""), $A3=IMPORTRANGE(""https://docs.google.com/spreadsheets/d/1qpEmbGH0JjaJbUdp21-y2cPbobDbMjr09BbtdKROZWc/edit#gid=1444865654"",""articles_with_PRISMA_reasons!B2:B2113""))&lt;2),
""Include"",
AND(
FILTER(IMPORTRANGE(""ht"&amp;"tps://docs.google.com/spreadsheets/d/1qpEmbGH0JjaJbUdp21-y2cPbobDbMjr09BbtdKROZWc/edit#gid=1444865654"",""articles_with_PRISMA_reasons!W2:W2113""), $A3=IMPORTRANGE(""https://docs.google.com/spreadsheets/d/1qpEmbGH0JjaJbUdp21-y2cPbobDbMjr09BbtdKROZWc/edit#"&amp;"gid=1444865654"",""articles_with_PRISMA_reasons!B2:B2113""))&lt;2,
FILTER(IMPORTRANGE(""https://docs.google.com/spreadsheets/d/1qpEmbGH0JjaJbUdp21-y2cPbobDbMjr09BbtdKROZWc/edit#gid=1444865654"",""articles_with_PRISMA_reasons!X2:X2113""), $A3=IMPORTRANGE(""ht"&amp;"tps://docs.google.com/spreadsheets/d/1qpEmbGH0JjaJbUdp21-y2cPbobDbMjr09BbtdKROZWc/edit#gid=1444865654"",""articles_with_PRISMA_reasons!B2:B2113""))&gt;=2),
""Exclude""
)"),"Exclude")</f>
        <v>Exclude</v>
      </c>
      <c r="F3" s="5" t="str">
        <f>IFERROR(__xludf.DUMMYFUNCTION("IFS(
E3=""Exclude"",""Exclude"",
AND(
COUNTIF(
IMPORTRANGE(""https://docs.google.com/spreadsheets/d/1kGrh75X1cNR1D7_FcY9zMnHP8iPO4M5RCRjy6nZY0TY/edit#gid=0"",""Table 1: Study characteristics!B4:B171""),A3)&gt;0,
COUNTIF(Studies!$A$2:$A$85,FILTER(IMPORTRANGE("&amp;"""https://docs.google.com/spreadsheets/d/1kGrh75X1cNR1D7_FcY9zMnHP8iPO4M5RCRjy6nZY0TY/edit#gid=0"",""Table 1: Study characteristics!A4:A171""), $A3=IMPORTRANGE(""https://docs.google.com/spreadsheets/d/1kGrh75X1cNR1D7_FcY9zMnHP8iPO4M5RCRjy6nZY0TY/edit#gid="&amp;"0"",""Table 1: Study characteristics!B4:B171"")))&gt;0
),
""Include""
)"),"Exclude")</f>
        <v>Exclude</v>
      </c>
      <c r="G3" s="5" t="str">
        <f>IFERROR(__xludf.DUMMYFUNCTION("IFS(
D3=""Exclude"",
FILTER(IMPORTRANGE(""https://docs.google.com/spreadsheets/d/1BJSV3WBYJGRhQ6zExamkszQ5VutGIcaQqmbD9ZTVXMQ/edit#gid=1251630045"",""articles_with_PRISMA_reasons!AB2:AB2113""), $A3=IMPORTRANGE(""https://docs.google.com/spreadsheets/d/1BJS"&amp;"V3WBYJGRhQ6zExamkszQ5VutGIcaQqmbD9ZTVXMQ/edit#gid=1251630045"",""articles_with_PRISMA_reasons!B2:B2113"")),
E3=""Exclude"",
FILTER(IMPORTRANGE(""https://docs.google.com/spreadsheets/d/1qpEmbGH0JjaJbUdp21-y2cPbobDbMjr09BbtdKROZWc/edit#gid=1444865654"",""ar"&amp;"ticles_with_PRISMA_reasons!Z2:Z2113""), $A3=IMPORTRANGE(""https://docs.google.com/spreadsheets/d/1qpEmbGH0JjaJbUdp21-y2cPbobDbMjr09BbtdKROZWc/edit#gid=1444865654"",""articles_with_PRISMA_reasons!B2:B2113"")),F3
=""Include"",FILTER(IMPORTRANGE(""https://do"&amp;"cs.google.com/spreadsheets/d/1kGrh75X1cNR1D7_FcY9zMnHP8iPO4M5RCRjy6nZY0TY/edit#gid=0"",""Table 1: Study characteristics!A4:A171""), $A3=IMPORTRANGE(""https://docs.google.com/spreadsheets/d/1kGrh75X1cNR1D7_FcY9zMnHP8iPO4M5RCRjy6nZY0TY/edit#gid=0"",""Table "&amp;"1: Study characteristics!B4:B171""))
)"),"wrong population")</f>
        <v>wrong population</v>
      </c>
    </row>
    <row r="4">
      <c r="A4" s="4" t="str">
        <f>IFERROR(__xludf.DUMMYFUNCTION("""COMPUTED_VALUE"""),"[25 years experience in cerebrospinal shunt. Are new systems better?]")</f>
        <v>[25 years experience in cerebrospinal shunt. Are new systems better?]</v>
      </c>
      <c r="B4" s="5" t="str">
        <f>IFERROR(__xludf.DUMMYFUNCTION("LEFT(FILTER(IMPORTRANGE(""https://docs.google.com/spreadsheets/d/1BJSV3WBYJGRhQ6zExamkszQ5VutGIcaQqmbD9ZTVXMQ/edit#gid=1251630045"",""articles_with_PRISMA_reasons!K2:K2113""), $A4=IMPORTRANGE(""https://docs.google.com/spreadsheets/d/1BJSV3WBYJGRhQ6zExamks"&amp;"zQ5VutGIcaQqmbD9ZTVXMQ/edit#gid=1251630045"",""articles_with_PRISMA_reasons!B2:B2113"")),SEARCH("","",FILTER(IMPORTRANGE(""https://docs.google.com/spreadsheets/d/1BJSV3WBYJGRhQ6zExamkszQ5VutGIcaQqmbD9ZTVXMQ/edit#gid=1251630045"",""articles_with_PRISMA_rea"&amp;"sons!K2:K2113""), $A4=IMPORTRANGE(""https://docs.google.com/spreadsheets/d/1BJSV3WBYJGRhQ6zExamkszQ5VutGIcaQqmbD9ZTVXMQ/edit#gid=1251630045"",""articles_with_PRISMA_reasons!B2:B2113"")))-1)"),"Molina")</f>
        <v>Molina</v>
      </c>
      <c r="C4" s="6">
        <f>IFERROR(__xludf.DUMMYFUNCTION("FILTER(IMPORTRANGE(""https://docs.google.com/spreadsheets/d/1BJSV3WBYJGRhQ6zExamkszQ5VutGIcaQqmbD9ZTVXMQ/edit#gid=1251630045"",""articles_with_PRISMA_reasons!C2:C2113""), $A4=IMPORTRANGE(""https://docs.google.com/spreadsheets/d/1BJSV3WBYJGRhQ6zExamkszQ5Vu"&amp;"tGIcaQqmbD9ZTVXMQ/edit#gid=1251630045"",""articles_with_PRISMA_reasons!B2:B2113""))"),2008.0)</f>
        <v>2008</v>
      </c>
      <c r="D4" s="5" t="str">
        <f>IFERROR(__xludf.DUMMYFUNCTION("IFS(AND(
FILTER(IMPORTRANGE(""https://docs.google.com/spreadsheets/d/1BJSV3WBYJGRhQ6zExamkszQ5VutGIcaQqmbD9ZTVXMQ/edit#gid=1251630045"",""articles_with_PRISMA_reasons!Y2:Y2113""), $A4=IMPORTRANGE(""https://docs.google.com/spreadsheets/d/1BJSV3WBYJGRhQ6zEx"&amp;"amkszQ5VutGIcaQqmbD9ZTVXMQ/edit#gid=1251630045"",""articles_with_PRISMA_reasons!B2:B2113""))&gt;=2,
FILTER(IMPORTRANGE(""https://docs.google.com/spreadsheets/d/1BJSV3WBYJGRhQ6zExamkszQ5VutGIcaQqmbD9ZTVXMQ/edit#gid=1251630045"",""articles_with_PRISMA_reasons!"&amp;"Z2:Z2113""), $A4=IMPORTRANGE(""https://docs.google.com/spreadsheets/d/1BJSV3WBYJGRhQ6zExamkszQ5VutGIcaQqmbD9ZTVXMQ/edit#gid=1251630045"",""articles_with_PRISMA_reasons!B2:B2113""))&lt;2),
""Include"",
AND(
FILTER(IMPORTRANGE(""https://docs.google.com/spreads"&amp;"heets/d/1BJSV3WBYJGRhQ6zExamkszQ5VutGIcaQqmbD9ZTVXMQ/edit#gid=1251630045"",""articles_with_PRISMA_reasons!Y2:Y2113""), $A4=IMPORTRANGE(""https://docs.google.com/spreadsheets/d/1BJSV3WBYJGRhQ6zExamkszQ5VutGIcaQqmbD9ZTVXMQ/edit#gid=1251630045"",""articles_w"&amp;"ith_PRISMA_reasons!B2:B2113""))&lt;2,
FILTER(IMPORTRANGE(""https://docs.google.com/spreadsheets/d/1BJSV3WBYJGRhQ6zExamkszQ5VutGIcaQqmbD9ZTVXMQ/edit#gid=1251630045"",""articles_with_PRISMA_reasons!Z2:Z2113""), $A4=IMPORTRANGE(""https://docs.google.com/spreads"&amp;"heets/d/1BJSV3WBYJGRhQ6zExamkszQ5VutGIcaQqmbD9ZTVXMQ/edit#gid=1251630045"",""articles_with_PRISMA_reasons!B2:B2113""))&gt;=2),
""Exclude""
)"),"Include")</f>
        <v>Include</v>
      </c>
      <c r="E4" s="5" t="str">
        <f>IFERROR(__xludf.DUMMYFUNCTION("IFS(
D4=""Exclude"",""Exclude"",
AND(
FILTER(IMPORTRANGE(""https://docs.google.com/spreadsheets/d/1qpEmbGH0JjaJbUdp21-y2cPbobDbMjr09BbtdKROZWc/edit#gid=1444865654"",""articles_with_PRISMA_reasons!W2:W2113""), $A4=IMPORTRANGE(""https://docs.google.com/spre"&amp;"adsheets/d/1qpEmbGH0JjaJbUdp21-y2cPbobDbMjr09BbtdKROZWc/edit#gid=1444865654"",""articles_with_PRISMA_reasons!B2:B2113""))&gt;=2,
FILTER(IMPORTRANGE(""https://docs.google.com/spreadsheets/d/1qpEmbGH0JjaJbUdp21-y2cPbobDbMjr09BbtdKROZWc/edit#gid=1444865654"","""&amp;"articles_with_PRISMA_reasons!X2:X2113""), $A4=IMPORTRANGE(""https://docs.google.com/spreadsheets/d/1qpEmbGH0JjaJbUdp21-y2cPbobDbMjr09BbtdKROZWc/edit#gid=1444865654"",""articles_with_PRISMA_reasons!B2:B2113""))&lt;2),
""Include"",
AND(
FILTER(IMPORTRANGE(""ht"&amp;"tps://docs.google.com/spreadsheets/d/1qpEmbGH0JjaJbUdp21-y2cPbobDbMjr09BbtdKROZWc/edit#gid=1444865654"",""articles_with_PRISMA_reasons!W2:W2113""), $A4=IMPORTRANGE(""https://docs.google.com/spreadsheets/d/1qpEmbGH0JjaJbUdp21-y2cPbobDbMjr09BbtdKROZWc/edit#"&amp;"gid=1444865654"",""articles_with_PRISMA_reasons!B2:B2113""))&lt;2,
FILTER(IMPORTRANGE(""https://docs.google.com/spreadsheets/d/1qpEmbGH0JjaJbUdp21-y2cPbobDbMjr09BbtdKROZWc/edit#gid=1444865654"",""articles_with_PRISMA_reasons!X2:X2113""), $A4=IMPORTRANGE(""ht"&amp;"tps://docs.google.com/spreadsheets/d/1qpEmbGH0JjaJbUdp21-y2cPbobDbMjr09BbtdKROZWc/edit#gid=1444865654"",""articles_with_PRISMA_reasons!B2:B2113""))&gt;=2),
""Exclude""
)"),"Exclude")</f>
        <v>Exclude</v>
      </c>
      <c r="F4" s="5" t="str">
        <f>IFERROR(__xludf.DUMMYFUNCTION("IFS(
E4=""Exclude"",""Exclude"",
AND(
COUNTIF(
IMPORTRANGE(""https://docs.google.com/spreadsheets/d/1kGrh75X1cNR1D7_FcY9zMnHP8iPO4M5RCRjy6nZY0TY/edit#gid=0"",""Table 1: Study characteristics!B4:B171""),A4)&gt;0,
COUNTIF(Studies!$A$2:$A$85,FILTER(IMPORTRANGE("&amp;"""https://docs.google.com/spreadsheets/d/1kGrh75X1cNR1D7_FcY9zMnHP8iPO4M5RCRjy6nZY0TY/edit#gid=0"",""Table 1: Study characteristics!A4:A171""), $A4=IMPORTRANGE(""https://docs.google.com/spreadsheets/d/1kGrh75X1cNR1D7_FcY9zMnHP8iPO4M5RCRjy6nZY0TY/edit#gid="&amp;"0"",""Table 1: Study characteristics!B4:B171"")))&gt;0
),
""Include""
)"),"Exclude")</f>
        <v>Exclude</v>
      </c>
      <c r="G4" s="5" t="str">
        <f>IFERROR(__xludf.DUMMYFUNCTION("IFS(
D4=""Exclude"",
FILTER(IMPORTRANGE(""https://docs.google.com/spreadsheets/d/1BJSV3WBYJGRhQ6zExamkszQ5VutGIcaQqmbD9ZTVXMQ/edit#gid=1251630045"",""articles_with_PRISMA_reasons!AB2:AB2113""), $A4=IMPORTRANGE(""https://docs.google.com/spreadsheets/d/1BJS"&amp;"V3WBYJGRhQ6zExamkszQ5VutGIcaQqmbD9ZTVXMQ/edit#gid=1251630045"",""articles_with_PRISMA_reasons!B2:B2113"")),
E4=""Exclude"",
FILTER(IMPORTRANGE(""https://docs.google.com/spreadsheets/d/1qpEmbGH0JjaJbUdp21-y2cPbobDbMjr09BbtdKROZWc/edit#gid=1444865654"",""ar"&amp;"ticles_with_PRISMA_reasons!Z2:Z2113""), $A4=IMPORTRANGE(""https://docs.google.com/spreadsheets/d/1qpEmbGH0JjaJbUdp21-y2cPbobDbMjr09BbtdKROZWc/edit#gid=1444865654"",""articles_with_PRISMA_reasons!B2:B2113"")),F4
=""Include"",FILTER(IMPORTRANGE(""https://do"&amp;"cs.google.com/spreadsheets/d/1kGrh75X1cNR1D7_FcY9zMnHP8iPO4M5RCRjy6nZY0TY/edit#gid=0"",""Table 1: Study characteristics!A4:A171""), $A4=IMPORTRANGE(""https://docs.google.com/spreadsheets/d/1kGrh75X1cNR1D7_FcY9zMnHP8iPO4M5RCRjy6nZY0TY/edit#gid=0"",""Table "&amp;"1: Study characteristics!B4:B171""))
)"),"wrong population")</f>
        <v>wrong population</v>
      </c>
    </row>
    <row r="5">
      <c r="A5" s="4" t="str">
        <f>IFERROR(__xludf.DUMMYFUNCTION("""COMPUTED_VALUE"""),"[A case of double monster--duplicitas anterior with diprosopia]")</f>
        <v>[A case of double monster--duplicitas anterior with diprosopia]</v>
      </c>
      <c r="B5" s="5" t="str">
        <f>IFERROR(__xludf.DUMMYFUNCTION("LEFT(FILTER(IMPORTRANGE(""https://docs.google.com/spreadsheets/d/1BJSV3WBYJGRhQ6zExamkszQ5VutGIcaQqmbD9ZTVXMQ/edit#gid=1251630045"",""articles_with_PRISMA_reasons!K2:K2113""), $A5=IMPORTRANGE(""https://docs.google.com/spreadsheets/d/1BJSV3WBYJGRhQ6zExamks"&amp;"zQ5VutGIcaQqmbD9ZTVXMQ/edit#gid=1251630045"",""articles_with_PRISMA_reasons!B2:B2113"")),SEARCH("","",FILTER(IMPORTRANGE(""https://docs.google.com/spreadsheets/d/1BJSV3WBYJGRhQ6zExamkszQ5VutGIcaQqmbD9ZTVXMQ/edit#gid=1251630045"",""articles_with_PRISMA_rea"&amp;"sons!K2:K2113""), $A5=IMPORTRANGE(""https://docs.google.com/spreadsheets/d/1BJSV3WBYJGRhQ6zExamkszQ5VutGIcaQqmbD9ZTVXMQ/edit#gid=1251630045"",""articles_with_PRISMA_reasons!B2:B2113"")))-1)"),"Meyer")</f>
        <v>Meyer</v>
      </c>
      <c r="C5" s="6">
        <f>IFERROR(__xludf.DUMMYFUNCTION("FILTER(IMPORTRANGE(""https://docs.google.com/spreadsheets/d/1BJSV3WBYJGRhQ6zExamkszQ5VutGIcaQqmbD9ZTVXMQ/edit#gid=1251630045"",""articles_with_PRISMA_reasons!C2:C2113""), $A5=IMPORTRANGE(""https://docs.google.com/spreadsheets/d/1BJSV3WBYJGRhQ6zExamkszQ5Vu"&amp;"tGIcaQqmbD9ZTVXMQ/edit#gid=1251630045"",""articles_with_PRISMA_reasons!B2:B2113""))"),1983.0)</f>
        <v>1983</v>
      </c>
      <c r="D5" s="5" t="str">
        <f>IFERROR(__xludf.DUMMYFUNCTION("IFS(AND(
FILTER(IMPORTRANGE(""https://docs.google.com/spreadsheets/d/1BJSV3WBYJGRhQ6zExamkszQ5VutGIcaQqmbD9ZTVXMQ/edit#gid=1251630045"",""articles_with_PRISMA_reasons!Y2:Y2113""), $A5=IMPORTRANGE(""https://docs.google.com/spreadsheets/d/1BJSV3WBYJGRhQ6zEx"&amp;"amkszQ5VutGIcaQqmbD9ZTVXMQ/edit#gid=1251630045"",""articles_with_PRISMA_reasons!B2:B2113""))&gt;=2,
FILTER(IMPORTRANGE(""https://docs.google.com/spreadsheets/d/1BJSV3WBYJGRhQ6zExamkszQ5VutGIcaQqmbD9ZTVXMQ/edit#gid=1251630045"",""articles_with_PRISMA_reasons!"&amp;"Z2:Z2113""), $A5=IMPORTRANGE(""https://docs.google.com/spreadsheets/d/1BJSV3WBYJGRhQ6zExamkszQ5VutGIcaQqmbD9ZTVXMQ/edit#gid=1251630045"",""articles_with_PRISMA_reasons!B2:B2113""))&lt;2),
""Include"",
AND(
FILTER(IMPORTRANGE(""https://docs.google.com/spreads"&amp;"heets/d/1BJSV3WBYJGRhQ6zExamkszQ5VutGIcaQqmbD9ZTVXMQ/edit#gid=1251630045"",""articles_with_PRISMA_reasons!Y2:Y2113""), $A5=IMPORTRANGE(""https://docs.google.com/spreadsheets/d/1BJSV3WBYJGRhQ6zExamkszQ5VutGIcaQqmbD9ZTVXMQ/edit#gid=1251630045"",""articles_w"&amp;"ith_PRISMA_reasons!B2:B2113""))&lt;2,
FILTER(IMPORTRANGE(""https://docs.google.com/spreadsheets/d/1BJSV3WBYJGRhQ6zExamkszQ5VutGIcaQqmbD9ZTVXMQ/edit#gid=1251630045"",""articles_with_PRISMA_reasons!Z2:Z2113""), $A5=IMPORTRANGE(""https://docs.google.com/spreads"&amp;"heets/d/1BJSV3WBYJGRhQ6zExamkszQ5VutGIcaQqmbD9ZTVXMQ/edit#gid=1251630045"",""articles_with_PRISMA_reasons!B2:B2113""))&gt;=2),
""Exclude""
)"),"Exclude")</f>
        <v>Exclude</v>
      </c>
      <c r="E5" s="5" t="str">
        <f>IFERROR(__xludf.DUMMYFUNCTION("IFS(
D5=""Exclude"",""Exclude"",
AND(
FILTER(IMPORTRANGE(""https://docs.google.com/spreadsheets/d/1qpEmbGH0JjaJbUdp21-y2cPbobDbMjr09BbtdKROZWc/edit#gid=1444865654"",""articles_with_PRISMA_reasons!W2:W2113""), $A5=IMPORTRANGE(""https://docs.google.com/spre"&amp;"adsheets/d/1qpEmbGH0JjaJbUdp21-y2cPbobDbMjr09BbtdKROZWc/edit#gid=1444865654"",""articles_with_PRISMA_reasons!B2:B2113""))&gt;=2,
FILTER(IMPORTRANGE(""https://docs.google.com/spreadsheets/d/1qpEmbGH0JjaJbUdp21-y2cPbobDbMjr09BbtdKROZWc/edit#gid=1444865654"","""&amp;"articles_with_PRISMA_reasons!X2:X2113""), $A5=IMPORTRANGE(""https://docs.google.com/spreadsheets/d/1qpEmbGH0JjaJbUdp21-y2cPbobDbMjr09BbtdKROZWc/edit#gid=1444865654"",""articles_with_PRISMA_reasons!B2:B2113""))&lt;2),
""Include"",
AND(
FILTER(IMPORTRANGE(""ht"&amp;"tps://docs.google.com/spreadsheets/d/1qpEmbGH0JjaJbUdp21-y2cPbobDbMjr09BbtdKROZWc/edit#gid=1444865654"",""articles_with_PRISMA_reasons!W2:W2113""), $A5=IMPORTRANGE(""https://docs.google.com/spreadsheets/d/1qpEmbGH0JjaJbUdp21-y2cPbobDbMjr09BbtdKROZWc/edit#"&amp;"gid=1444865654"",""articles_with_PRISMA_reasons!B2:B2113""))&lt;2,
FILTER(IMPORTRANGE(""https://docs.google.com/spreadsheets/d/1qpEmbGH0JjaJbUdp21-y2cPbobDbMjr09BbtdKROZWc/edit#gid=1444865654"",""articles_with_PRISMA_reasons!X2:X2113""), $A5=IMPORTRANGE(""ht"&amp;"tps://docs.google.com/spreadsheets/d/1qpEmbGH0JjaJbUdp21-y2cPbobDbMjr09BbtdKROZWc/edit#gid=1444865654"",""articles_with_PRISMA_reasons!B2:B2113""))&gt;=2),
""Exclude""
)"),"Exclude")</f>
        <v>Exclude</v>
      </c>
      <c r="F5" s="5" t="str">
        <f>IFERROR(__xludf.DUMMYFUNCTION("IFS(
E5=""Exclude"",""Exclude"",
AND(
COUNTIF(
IMPORTRANGE(""https://docs.google.com/spreadsheets/d/1kGrh75X1cNR1D7_FcY9zMnHP8iPO4M5RCRjy6nZY0TY/edit#gid=0"",""Table 1: Study characteristics!B4:B171""),A5)&gt;0,
COUNTIF(Studies!$A$2:$A$85,FILTER(IMPORTRANGE("&amp;"""https://docs.google.com/spreadsheets/d/1kGrh75X1cNR1D7_FcY9zMnHP8iPO4M5RCRjy6nZY0TY/edit#gid=0"",""Table 1: Study characteristics!A4:A171""), $A5=IMPORTRANGE(""https://docs.google.com/spreadsheets/d/1kGrh75X1cNR1D7_FcY9zMnHP8iPO4M5RCRjy6nZY0TY/edit#gid="&amp;"0"",""Table 1: Study characteristics!B4:B171"")))&gt;0
),
""Include""
)"),"Exclude")</f>
        <v>Exclude</v>
      </c>
      <c r="G5" s="5" t="str">
        <f>IFERROR(__xludf.DUMMYFUNCTION("IFS(
D5=""Exclude"",
FILTER(IMPORTRANGE(""https://docs.google.com/spreadsheets/d/1BJSV3WBYJGRhQ6zExamkszQ5VutGIcaQqmbD9ZTVXMQ/edit#gid=1251630045"",""articles_with_PRISMA_reasons!AB2:AB2113""), $A5=IMPORTRANGE(""https://docs.google.com/spreadsheets/d/1BJS"&amp;"V3WBYJGRhQ6zExamkszQ5VutGIcaQqmbD9ZTVXMQ/edit#gid=1251630045"",""articles_with_PRISMA_reasons!B2:B2113"")),
E5=""Exclude"",
FILTER(IMPORTRANGE(""https://docs.google.com/spreadsheets/d/1qpEmbGH0JjaJbUdp21-y2cPbobDbMjr09BbtdKROZWc/edit#gid=1444865654"",""ar"&amp;"ticles_with_PRISMA_reasons!Z2:Z2113""), $A5=IMPORTRANGE(""https://docs.google.com/spreadsheets/d/1qpEmbGH0JjaJbUdp21-y2cPbobDbMjr09BbtdKROZWc/edit#gid=1444865654"",""articles_with_PRISMA_reasons!B2:B2113"")),F5
=""Include"",FILTER(IMPORTRANGE(""https://do"&amp;"cs.google.com/spreadsheets/d/1kGrh75X1cNR1D7_FcY9zMnHP8iPO4M5RCRjy6nZY0TY/edit#gid=0"",""Table 1: Study characteristics!A4:A171""), $A5=IMPORTRANGE(""https://docs.google.com/spreadsheets/d/1kGrh75X1cNR1D7_FcY9zMnHP8iPO4M5RCRjy6nZY0TY/edit#gid=0"",""Table "&amp;"1: Study characteristics!B4:B171""))
)"),"wrong study design")</f>
        <v>wrong study design</v>
      </c>
    </row>
    <row r="6">
      <c r="A6" s="4" t="str">
        <f>IFERROR(__xludf.DUMMYFUNCTION("""COMPUTED_VALUE"""),"[A case of lumbosacral myelomeningocele--infected shunt system and the treatment (author's transl)]")</f>
        <v>[A case of lumbosacral myelomeningocele--infected shunt system and the treatment (author's transl)]</v>
      </c>
      <c r="B6" s="5" t="str">
        <f>IFERROR(__xludf.DUMMYFUNCTION("LEFT(FILTER(IMPORTRANGE(""https://docs.google.com/spreadsheets/d/1BJSV3WBYJGRhQ6zExamkszQ5VutGIcaQqmbD9ZTVXMQ/edit#gid=1251630045"",""articles_with_PRISMA_reasons!K2:K2113""), $A6=IMPORTRANGE(""https://docs.google.com/spreadsheets/d/1BJSV3WBYJGRhQ6zExamks"&amp;"zQ5VutGIcaQqmbD9ZTVXMQ/edit#gid=1251630045"",""articles_with_PRISMA_reasons!B2:B2113"")),SEARCH("","",FILTER(IMPORTRANGE(""https://docs.google.com/spreadsheets/d/1BJSV3WBYJGRhQ6zExamkszQ5VutGIcaQqmbD9ZTVXMQ/edit#gid=1251630045"",""articles_with_PRISMA_rea"&amp;"sons!K2:K2113""), $A6=IMPORTRANGE(""https://docs.google.com/spreadsheets/d/1BJSV3WBYJGRhQ6zExamkszQ5VutGIcaQqmbD9ZTVXMQ/edit#gid=1251630045"",""articles_with_PRISMA_reasons!B2:B2113"")))-1)"),"Matsumoto")</f>
        <v>Matsumoto</v>
      </c>
      <c r="C6" s="6">
        <f>IFERROR(__xludf.DUMMYFUNCTION("FILTER(IMPORTRANGE(""https://docs.google.com/spreadsheets/d/1BJSV3WBYJGRhQ6zExamkszQ5VutGIcaQqmbD9ZTVXMQ/edit#gid=1251630045"",""articles_with_PRISMA_reasons!C2:C2113""), $A6=IMPORTRANGE(""https://docs.google.com/spreadsheets/d/1BJSV3WBYJGRhQ6zExamkszQ5Vu"&amp;"tGIcaQqmbD9ZTVXMQ/edit#gid=1251630045"",""articles_with_PRISMA_reasons!B2:B2113""))"),1978.0)</f>
        <v>1978</v>
      </c>
      <c r="D6" s="5" t="str">
        <f>IFERROR(__xludf.DUMMYFUNCTION("IFS(AND(
FILTER(IMPORTRANGE(""https://docs.google.com/spreadsheets/d/1BJSV3WBYJGRhQ6zExamkszQ5VutGIcaQqmbD9ZTVXMQ/edit#gid=1251630045"",""articles_with_PRISMA_reasons!Y2:Y2113""), $A6=IMPORTRANGE(""https://docs.google.com/spreadsheets/d/1BJSV3WBYJGRhQ6zEx"&amp;"amkszQ5VutGIcaQqmbD9ZTVXMQ/edit#gid=1251630045"",""articles_with_PRISMA_reasons!B2:B2113""))&gt;=2,
FILTER(IMPORTRANGE(""https://docs.google.com/spreadsheets/d/1BJSV3WBYJGRhQ6zExamkszQ5VutGIcaQqmbD9ZTVXMQ/edit#gid=1251630045"",""articles_with_PRISMA_reasons!"&amp;"Z2:Z2113""), $A6=IMPORTRANGE(""https://docs.google.com/spreadsheets/d/1BJSV3WBYJGRhQ6zExamkszQ5VutGIcaQqmbD9ZTVXMQ/edit#gid=1251630045"",""articles_with_PRISMA_reasons!B2:B2113""))&lt;2),
""Include"",
AND(
FILTER(IMPORTRANGE(""https://docs.google.com/spreads"&amp;"heets/d/1BJSV3WBYJGRhQ6zExamkszQ5VutGIcaQqmbD9ZTVXMQ/edit#gid=1251630045"",""articles_with_PRISMA_reasons!Y2:Y2113""), $A6=IMPORTRANGE(""https://docs.google.com/spreadsheets/d/1BJSV3WBYJGRhQ6zExamkszQ5VutGIcaQqmbD9ZTVXMQ/edit#gid=1251630045"",""articles_w"&amp;"ith_PRISMA_reasons!B2:B2113""))&lt;2,
FILTER(IMPORTRANGE(""https://docs.google.com/spreadsheets/d/1BJSV3WBYJGRhQ6zExamkszQ5VutGIcaQqmbD9ZTVXMQ/edit#gid=1251630045"",""articles_with_PRISMA_reasons!Z2:Z2113""), $A6=IMPORTRANGE(""https://docs.google.com/spreads"&amp;"heets/d/1BJSV3WBYJGRhQ6zExamkszQ5VutGIcaQqmbD9ZTVXMQ/edit#gid=1251630045"",""articles_with_PRISMA_reasons!B2:B2113""))&gt;=2),
""Exclude""
)"),"Exclude")</f>
        <v>Exclude</v>
      </c>
      <c r="E6" s="5" t="str">
        <f>IFERROR(__xludf.DUMMYFUNCTION("IFS(
D6=""Exclude"",""Exclude"",
AND(
FILTER(IMPORTRANGE(""https://docs.google.com/spreadsheets/d/1qpEmbGH0JjaJbUdp21-y2cPbobDbMjr09BbtdKROZWc/edit#gid=1444865654"",""articles_with_PRISMA_reasons!W2:W2113""), $A6=IMPORTRANGE(""https://docs.google.com/spre"&amp;"adsheets/d/1qpEmbGH0JjaJbUdp21-y2cPbobDbMjr09BbtdKROZWc/edit#gid=1444865654"",""articles_with_PRISMA_reasons!B2:B2113""))&gt;=2,
FILTER(IMPORTRANGE(""https://docs.google.com/spreadsheets/d/1qpEmbGH0JjaJbUdp21-y2cPbobDbMjr09BbtdKROZWc/edit#gid=1444865654"","""&amp;"articles_with_PRISMA_reasons!X2:X2113""), $A6=IMPORTRANGE(""https://docs.google.com/spreadsheets/d/1qpEmbGH0JjaJbUdp21-y2cPbobDbMjr09BbtdKROZWc/edit#gid=1444865654"",""articles_with_PRISMA_reasons!B2:B2113""))&lt;2),
""Include"",
AND(
FILTER(IMPORTRANGE(""ht"&amp;"tps://docs.google.com/spreadsheets/d/1qpEmbGH0JjaJbUdp21-y2cPbobDbMjr09BbtdKROZWc/edit#gid=1444865654"",""articles_with_PRISMA_reasons!W2:W2113""), $A6=IMPORTRANGE(""https://docs.google.com/spreadsheets/d/1qpEmbGH0JjaJbUdp21-y2cPbobDbMjr09BbtdKROZWc/edit#"&amp;"gid=1444865654"",""articles_with_PRISMA_reasons!B2:B2113""))&lt;2,
FILTER(IMPORTRANGE(""https://docs.google.com/spreadsheets/d/1qpEmbGH0JjaJbUdp21-y2cPbobDbMjr09BbtdKROZWc/edit#gid=1444865654"",""articles_with_PRISMA_reasons!X2:X2113""), $A6=IMPORTRANGE(""ht"&amp;"tps://docs.google.com/spreadsheets/d/1qpEmbGH0JjaJbUdp21-y2cPbobDbMjr09BbtdKROZWc/edit#gid=1444865654"",""articles_with_PRISMA_reasons!B2:B2113""))&gt;=2),
""Exclude""
)"),"Exclude")</f>
        <v>Exclude</v>
      </c>
      <c r="F6" s="5" t="str">
        <f>IFERROR(__xludf.DUMMYFUNCTION("IFS(
E6=""Exclude"",""Exclude"",
AND(
COUNTIF(
IMPORTRANGE(""https://docs.google.com/spreadsheets/d/1kGrh75X1cNR1D7_FcY9zMnHP8iPO4M5RCRjy6nZY0TY/edit#gid=0"",""Table 1: Study characteristics!B4:B171""),A6)&gt;0,
COUNTIF(Studies!$A$2:$A$85,FILTER(IMPORTRANGE("&amp;"""https://docs.google.com/spreadsheets/d/1kGrh75X1cNR1D7_FcY9zMnHP8iPO4M5RCRjy6nZY0TY/edit#gid=0"",""Table 1: Study characteristics!A4:A171""), $A6=IMPORTRANGE(""https://docs.google.com/spreadsheets/d/1kGrh75X1cNR1D7_FcY9zMnHP8iPO4M5RCRjy6nZY0TY/edit#gid="&amp;"0"",""Table 1: Study characteristics!B4:B171"")))&gt;0
),
""Include""
)"),"Exclude")</f>
        <v>Exclude</v>
      </c>
      <c r="G6" s="5" t="str">
        <f>IFERROR(__xludf.DUMMYFUNCTION("IFS(
D6=""Exclude"",
FILTER(IMPORTRANGE(""https://docs.google.com/spreadsheets/d/1BJSV3WBYJGRhQ6zExamkszQ5VutGIcaQqmbD9ZTVXMQ/edit#gid=1251630045"",""articles_with_PRISMA_reasons!AB2:AB2113""), $A6=IMPORTRANGE(""https://docs.google.com/spreadsheets/d/1BJS"&amp;"V3WBYJGRhQ6zExamkszQ5VutGIcaQqmbD9ZTVXMQ/edit#gid=1251630045"",""articles_with_PRISMA_reasons!B2:B2113"")),
E6=""Exclude"",
FILTER(IMPORTRANGE(""https://docs.google.com/spreadsheets/d/1qpEmbGH0JjaJbUdp21-y2cPbobDbMjr09BbtdKROZWc/edit#gid=1444865654"",""ar"&amp;"ticles_with_PRISMA_reasons!Z2:Z2113""), $A6=IMPORTRANGE(""https://docs.google.com/spreadsheets/d/1qpEmbGH0JjaJbUdp21-y2cPbobDbMjr09BbtdKROZWc/edit#gid=1444865654"",""articles_with_PRISMA_reasons!B2:B2113"")),F6
=""Include"",FILTER(IMPORTRANGE(""https://do"&amp;"cs.google.com/spreadsheets/d/1kGrh75X1cNR1D7_FcY9zMnHP8iPO4M5RCRjy6nZY0TY/edit#gid=0"",""Table 1: Study characteristics!A4:A171""), $A6=IMPORTRANGE(""https://docs.google.com/spreadsheets/d/1kGrh75X1cNR1D7_FcY9zMnHP8iPO4M5RCRjy6nZY0TY/edit#gid=0"",""Table "&amp;"1: Study characteristics!B4:B171""))
)"),"wrong study design")</f>
        <v>wrong study design</v>
      </c>
    </row>
    <row r="7">
      <c r="A7" s="4" t="str">
        <f>IFERROR(__xludf.DUMMYFUNCTION("""COMPUTED_VALUE"""),"[A case of paravertebral lumbar meningomyelocele (author's transl)]")</f>
        <v>[A case of paravertebral lumbar meningomyelocele (author's transl)]</v>
      </c>
      <c r="B7" s="5" t="str">
        <f>IFERROR(__xludf.DUMMYFUNCTION("LEFT(FILTER(IMPORTRANGE(""https://docs.google.com/spreadsheets/d/1BJSV3WBYJGRhQ6zExamkszQ5VutGIcaQqmbD9ZTVXMQ/edit#gid=1251630045"",""articles_with_PRISMA_reasons!K2:K2113""), $A7=IMPORTRANGE(""https://docs.google.com/spreadsheets/d/1BJSV3WBYJGRhQ6zExamks"&amp;"zQ5VutGIcaQqmbD9ZTVXMQ/edit#gid=1251630045"",""articles_with_PRISMA_reasons!B2:B2113"")),SEARCH("","",FILTER(IMPORTRANGE(""https://docs.google.com/spreadsheets/d/1BJSV3WBYJGRhQ6zExamkszQ5VutGIcaQqmbD9ZTVXMQ/edit#gid=1251630045"",""articles_with_PRISMA_rea"&amp;"sons!K2:K2113""), $A7=IMPORTRANGE(""https://docs.google.com/spreadsheets/d/1BJSV3WBYJGRhQ6zExamkszQ5VutGIcaQqmbD9ZTVXMQ/edit#gid=1251630045"",""articles_with_PRISMA_reasons!B2:B2113"")))-1)"),"Kishihara")</f>
        <v>Kishihara</v>
      </c>
      <c r="C7" s="6">
        <f>IFERROR(__xludf.DUMMYFUNCTION("FILTER(IMPORTRANGE(""https://docs.google.com/spreadsheets/d/1BJSV3WBYJGRhQ6zExamkszQ5VutGIcaQqmbD9ZTVXMQ/edit#gid=1251630045"",""articles_with_PRISMA_reasons!C2:C2113""), $A7=IMPORTRANGE(""https://docs.google.com/spreadsheets/d/1BJSV3WBYJGRhQ6zExamkszQ5Vu"&amp;"tGIcaQqmbD9ZTVXMQ/edit#gid=1251630045"",""articles_with_PRISMA_reasons!B2:B2113""))"),1976.0)</f>
        <v>1976</v>
      </c>
      <c r="D7" s="5" t="str">
        <f>IFERROR(__xludf.DUMMYFUNCTION("IFS(AND(
FILTER(IMPORTRANGE(""https://docs.google.com/spreadsheets/d/1BJSV3WBYJGRhQ6zExamkszQ5VutGIcaQqmbD9ZTVXMQ/edit#gid=1251630045"",""articles_with_PRISMA_reasons!Y2:Y2113""), $A7=IMPORTRANGE(""https://docs.google.com/spreadsheets/d/1BJSV3WBYJGRhQ6zEx"&amp;"amkszQ5VutGIcaQqmbD9ZTVXMQ/edit#gid=1251630045"",""articles_with_PRISMA_reasons!B2:B2113""))&gt;=2,
FILTER(IMPORTRANGE(""https://docs.google.com/spreadsheets/d/1BJSV3WBYJGRhQ6zExamkszQ5VutGIcaQqmbD9ZTVXMQ/edit#gid=1251630045"",""articles_with_PRISMA_reasons!"&amp;"Z2:Z2113""), $A7=IMPORTRANGE(""https://docs.google.com/spreadsheets/d/1BJSV3WBYJGRhQ6zExamkszQ5VutGIcaQqmbD9ZTVXMQ/edit#gid=1251630045"",""articles_with_PRISMA_reasons!B2:B2113""))&lt;2),
""Include"",
AND(
FILTER(IMPORTRANGE(""https://docs.google.com/spreads"&amp;"heets/d/1BJSV3WBYJGRhQ6zExamkszQ5VutGIcaQqmbD9ZTVXMQ/edit#gid=1251630045"",""articles_with_PRISMA_reasons!Y2:Y2113""), $A7=IMPORTRANGE(""https://docs.google.com/spreadsheets/d/1BJSV3WBYJGRhQ6zExamkszQ5VutGIcaQqmbD9ZTVXMQ/edit#gid=1251630045"",""articles_w"&amp;"ith_PRISMA_reasons!B2:B2113""))&lt;2,
FILTER(IMPORTRANGE(""https://docs.google.com/spreadsheets/d/1BJSV3WBYJGRhQ6zExamkszQ5VutGIcaQqmbD9ZTVXMQ/edit#gid=1251630045"",""articles_with_PRISMA_reasons!Z2:Z2113""), $A7=IMPORTRANGE(""https://docs.google.com/spreads"&amp;"heets/d/1BJSV3WBYJGRhQ6zExamkszQ5VutGIcaQqmbD9ZTVXMQ/edit#gid=1251630045"",""articles_with_PRISMA_reasons!B2:B2113""))&gt;=2),
""Exclude""
)"),"Exclude")</f>
        <v>Exclude</v>
      </c>
      <c r="E7" s="5" t="str">
        <f>IFERROR(__xludf.DUMMYFUNCTION("IFS(
D7=""Exclude"",""Exclude"",
AND(
FILTER(IMPORTRANGE(""https://docs.google.com/spreadsheets/d/1qpEmbGH0JjaJbUdp21-y2cPbobDbMjr09BbtdKROZWc/edit#gid=1444865654"",""articles_with_PRISMA_reasons!W2:W2113""), $A7=IMPORTRANGE(""https://docs.google.com/spre"&amp;"adsheets/d/1qpEmbGH0JjaJbUdp21-y2cPbobDbMjr09BbtdKROZWc/edit#gid=1444865654"",""articles_with_PRISMA_reasons!B2:B2113""))&gt;=2,
FILTER(IMPORTRANGE(""https://docs.google.com/spreadsheets/d/1qpEmbGH0JjaJbUdp21-y2cPbobDbMjr09BbtdKROZWc/edit#gid=1444865654"","""&amp;"articles_with_PRISMA_reasons!X2:X2113""), $A7=IMPORTRANGE(""https://docs.google.com/spreadsheets/d/1qpEmbGH0JjaJbUdp21-y2cPbobDbMjr09BbtdKROZWc/edit#gid=1444865654"",""articles_with_PRISMA_reasons!B2:B2113""))&lt;2),
""Include"",
AND(
FILTER(IMPORTRANGE(""ht"&amp;"tps://docs.google.com/spreadsheets/d/1qpEmbGH0JjaJbUdp21-y2cPbobDbMjr09BbtdKROZWc/edit#gid=1444865654"",""articles_with_PRISMA_reasons!W2:W2113""), $A7=IMPORTRANGE(""https://docs.google.com/spreadsheets/d/1qpEmbGH0JjaJbUdp21-y2cPbobDbMjr09BbtdKROZWc/edit#"&amp;"gid=1444865654"",""articles_with_PRISMA_reasons!B2:B2113""))&lt;2,
FILTER(IMPORTRANGE(""https://docs.google.com/spreadsheets/d/1qpEmbGH0JjaJbUdp21-y2cPbobDbMjr09BbtdKROZWc/edit#gid=1444865654"",""articles_with_PRISMA_reasons!X2:X2113""), $A7=IMPORTRANGE(""ht"&amp;"tps://docs.google.com/spreadsheets/d/1qpEmbGH0JjaJbUdp21-y2cPbobDbMjr09BbtdKROZWc/edit#gid=1444865654"",""articles_with_PRISMA_reasons!B2:B2113""))&gt;=2),
""Exclude""
)"),"Exclude")</f>
        <v>Exclude</v>
      </c>
      <c r="F7" s="5" t="str">
        <f>IFERROR(__xludf.DUMMYFUNCTION("IFS(
E7=""Exclude"",""Exclude"",
AND(
COUNTIF(
IMPORTRANGE(""https://docs.google.com/spreadsheets/d/1kGrh75X1cNR1D7_FcY9zMnHP8iPO4M5RCRjy6nZY0TY/edit#gid=0"",""Table 1: Study characteristics!B4:B171""),A7)&gt;0,
COUNTIF(Studies!$A$2:$A$85,FILTER(IMPORTRANGE("&amp;"""https://docs.google.com/spreadsheets/d/1kGrh75X1cNR1D7_FcY9zMnHP8iPO4M5RCRjy6nZY0TY/edit#gid=0"",""Table 1: Study characteristics!A4:A171""), $A7=IMPORTRANGE(""https://docs.google.com/spreadsheets/d/1kGrh75X1cNR1D7_FcY9zMnHP8iPO4M5RCRjy6nZY0TY/edit#gid="&amp;"0"",""Table 1: Study characteristics!B4:B171"")))&gt;0
),
""Include""
)"),"Exclude")</f>
        <v>Exclude</v>
      </c>
      <c r="G7" s="5" t="str">
        <f>IFERROR(__xludf.DUMMYFUNCTION("IFS(
D7=""Exclude"",
FILTER(IMPORTRANGE(""https://docs.google.com/spreadsheets/d/1BJSV3WBYJGRhQ6zExamkszQ5VutGIcaQqmbD9ZTVXMQ/edit#gid=1251630045"",""articles_with_PRISMA_reasons!AB2:AB2113""), $A7=IMPORTRANGE(""https://docs.google.com/spreadsheets/d/1BJS"&amp;"V3WBYJGRhQ6zExamkszQ5VutGIcaQqmbD9ZTVXMQ/edit#gid=1251630045"",""articles_with_PRISMA_reasons!B2:B2113"")),
E7=""Exclude"",
FILTER(IMPORTRANGE(""https://docs.google.com/spreadsheets/d/1qpEmbGH0JjaJbUdp21-y2cPbobDbMjr09BbtdKROZWc/edit#gid=1444865654"",""ar"&amp;"ticles_with_PRISMA_reasons!Z2:Z2113""), $A7=IMPORTRANGE(""https://docs.google.com/spreadsheets/d/1qpEmbGH0JjaJbUdp21-y2cPbobDbMjr09BbtdKROZWc/edit#gid=1444865654"",""articles_with_PRISMA_reasons!B2:B2113"")),F7
=""Include"",FILTER(IMPORTRANGE(""https://do"&amp;"cs.google.com/spreadsheets/d/1kGrh75X1cNR1D7_FcY9zMnHP8iPO4M5RCRjy6nZY0TY/edit#gid=0"",""Table 1: Study characteristics!A4:A171""), $A7=IMPORTRANGE(""https://docs.google.com/spreadsheets/d/1kGrh75X1cNR1D7_FcY9zMnHP8iPO4M5RCRjy6nZY0TY/edit#gid=0"",""Table "&amp;"1: Study characteristics!B4:B171""))
)"),"wrong study design")</f>
        <v>wrong study design</v>
      </c>
    </row>
    <row r="8">
      <c r="A8" s="4" t="str">
        <f>IFERROR(__xludf.DUMMYFUNCTION("""COMPUTED_VALUE"""),"[A child with myelomeningocele as a dialytic patient]")</f>
        <v>[A child with myelomeningocele as a dialytic patient]</v>
      </c>
      <c r="B8" s="5" t="str">
        <f>IFERROR(__xludf.DUMMYFUNCTION("LEFT(FILTER(IMPORTRANGE(""https://docs.google.com/spreadsheets/d/1BJSV3WBYJGRhQ6zExamkszQ5VutGIcaQqmbD9ZTVXMQ/edit#gid=1251630045"",""articles_with_PRISMA_reasons!K2:K2113""), $A8=IMPORTRANGE(""https://docs.google.com/spreadsheets/d/1BJSV3WBYJGRhQ6zExamks"&amp;"zQ5VutGIcaQqmbD9ZTVXMQ/edit#gid=1251630045"",""articles_with_PRISMA_reasons!B2:B2113"")),SEARCH("","",FILTER(IMPORTRANGE(""https://docs.google.com/spreadsheets/d/1BJSV3WBYJGRhQ6zExamkszQ5VutGIcaQqmbD9ZTVXMQ/edit#gid=1251630045"",""articles_with_PRISMA_rea"&amp;"sons!K2:K2113""), $A8=IMPORTRANGE(""https://docs.google.com/spreadsheets/d/1BJSV3WBYJGRhQ6zExamkszQ5VutGIcaQqmbD9ZTVXMQ/edit#gid=1251630045"",""articles_with_PRISMA_reasons!B2:B2113"")))-1)"),"Jachimiak")</f>
        <v>Jachimiak</v>
      </c>
      <c r="C8" s="6">
        <f>IFERROR(__xludf.DUMMYFUNCTION("FILTER(IMPORTRANGE(""https://docs.google.com/spreadsheets/d/1BJSV3WBYJGRhQ6zExamkszQ5VutGIcaQqmbD9ZTVXMQ/edit#gid=1251630045"",""articles_with_PRISMA_reasons!C2:C2113""), $A8=IMPORTRANGE(""https://docs.google.com/spreadsheets/d/1BJSV3WBYJGRhQ6zExamkszQ5Vu"&amp;"tGIcaQqmbD9ZTVXMQ/edit#gid=1251630045"",""articles_with_PRISMA_reasons!B2:B2113""))"),2006.0)</f>
        <v>2006</v>
      </c>
      <c r="D8" s="5" t="str">
        <f>IFERROR(__xludf.DUMMYFUNCTION("IFS(AND(
FILTER(IMPORTRANGE(""https://docs.google.com/spreadsheets/d/1BJSV3WBYJGRhQ6zExamkszQ5VutGIcaQqmbD9ZTVXMQ/edit#gid=1251630045"",""articles_with_PRISMA_reasons!Y2:Y2113""), $A8=IMPORTRANGE(""https://docs.google.com/spreadsheets/d/1BJSV3WBYJGRhQ6zEx"&amp;"amkszQ5VutGIcaQqmbD9ZTVXMQ/edit#gid=1251630045"",""articles_with_PRISMA_reasons!B2:B2113""))&gt;=2,
FILTER(IMPORTRANGE(""https://docs.google.com/spreadsheets/d/1BJSV3WBYJGRhQ6zExamkszQ5VutGIcaQqmbD9ZTVXMQ/edit#gid=1251630045"",""articles_with_PRISMA_reasons!"&amp;"Z2:Z2113""), $A8=IMPORTRANGE(""https://docs.google.com/spreadsheets/d/1BJSV3WBYJGRhQ6zExamkszQ5VutGIcaQqmbD9ZTVXMQ/edit#gid=1251630045"",""articles_with_PRISMA_reasons!B2:B2113""))&lt;2),
""Include"",
AND(
FILTER(IMPORTRANGE(""https://docs.google.com/spreads"&amp;"heets/d/1BJSV3WBYJGRhQ6zExamkszQ5VutGIcaQqmbD9ZTVXMQ/edit#gid=1251630045"",""articles_with_PRISMA_reasons!Y2:Y2113""), $A8=IMPORTRANGE(""https://docs.google.com/spreadsheets/d/1BJSV3WBYJGRhQ6zExamkszQ5VutGIcaQqmbD9ZTVXMQ/edit#gid=1251630045"",""articles_w"&amp;"ith_PRISMA_reasons!B2:B2113""))&lt;2,
FILTER(IMPORTRANGE(""https://docs.google.com/spreadsheets/d/1BJSV3WBYJGRhQ6zExamkszQ5VutGIcaQqmbD9ZTVXMQ/edit#gid=1251630045"",""articles_with_PRISMA_reasons!Z2:Z2113""), $A8=IMPORTRANGE(""https://docs.google.com/spreads"&amp;"heets/d/1BJSV3WBYJGRhQ6zExamkszQ5VutGIcaQqmbD9ZTVXMQ/edit#gid=1251630045"",""articles_with_PRISMA_reasons!B2:B2113""))&gt;=2),
""Exclude""
)"),"Exclude")</f>
        <v>Exclude</v>
      </c>
      <c r="E8" s="5" t="str">
        <f>IFERROR(__xludf.DUMMYFUNCTION("IFS(
D8=""Exclude"",""Exclude"",
AND(
FILTER(IMPORTRANGE(""https://docs.google.com/spreadsheets/d/1qpEmbGH0JjaJbUdp21-y2cPbobDbMjr09BbtdKROZWc/edit#gid=1444865654"",""articles_with_PRISMA_reasons!W2:W2113""), $A8=IMPORTRANGE(""https://docs.google.com/spre"&amp;"adsheets/d/1qpEmbGH0JjaJbUdp21-y2cPbobDbMjr09BbtdKROZWc/edit#gid=1444865654"",""articles_with_PRISMA_reasons!B2:B2113""))&gt;=2,
FILTER(IMPORTRANGE(""https://docs.google.com/spreadsheets/d/1qpEmbGH0JjaJbUdp21-y2cPbobDbMjr09BbtdKROZWc/edit#gid=1444865654"","""&amp;"articles_with_PRISMA_reasons!X2:X2113""), $A8=IMPORTRANGE(""https://docs.google.com/spreadsheets/d/1qpEmbGH0JjaJbUdp21-y2cPbobDbMjr09BbtdKROZWc/edit#gid=1444865654"",""articles_with_PRISMA_reasons!B2:B2113""))&lt;2),
""Include"",
AND(
FILTER(IMPORTRANGE(""ht"&amp;"tps://docs.google.com/spreadsheets/d/1qpEmbGH0JjaJbUdp21-y2cPbobDbMjr09BbtdKROZWc/edit#gid=1444865654"",""articles_with_PRISMA_reasons!W2:W2113""), $A8=IMPORTRANGE(""https://docs.google.com/spreadsheets/d/1qpEmbGH0JjaJbUdp21-y2cPbobDbMjr09BbtdKROZWc/edit#"&amp;"gid=1444865654"",""articles_with_PRISMA_reasons!B2:B2113""))&lt;2,
FILTER(IMPORTRANGE(""https://docs.google.com/spreadsheets/d/1qpEmbGH0JjaJbUdp21-y2cPbobDbMjr09BbtdKROZWc/edit#gid=1444865654"",""articles_with_PRISMA_reasons!X2:X2113""), $A8=IMPORTRANGE(""ht"&amp;"tps://docs.google.com/spreadsheets/d/1qpEmbGH0JjaJbUdp21-y2cPbobDbMjr09BbtdKROZWc/edit#gid=1444865654"",""articles_with_PRISMA_reasons!B2:B2113""))&gt;=2),
""Exclude""
)"),"Exclude")</f>
        <v>Exclude</v>
      </c>
      <c r="F8" s="5" t="str">
        <f>IFERROR(__xludf.DUMMYFUNCTION("IFS(
E8=""Exclude"",""Exclude"",
AND(
COUNTIF(
IMPORTRANGE(""https://docs.google.com/spreadsheets/d/1kGrh75X1cNR1D7_FcY9zMnHP8iPO4M5RCRjy6nZY0TY/edit#gid=0"",""Table 1: Study characteristics!B4:B171""),A8)&gt;0,
COUNTIF(Studies!$A$2:$A$85,FILTER(IMPORTRANGE("&amp;"""https://docs.google.com/spreadsheets/d/1kGrh75X1cNR1D7_FcY9zMnHP8iPO4M5RCRjy6nZY0TY/edit#gid=0"",""Table 1: Study characteristics!A4:A171""), $A8=IMPORTRANGE(""https://docs.google.com/spreadsheets/d/1kGrh75X1cNR1D7_FcY9zMnHP8iPO4M5RCRjy6nZY0TY/edit#gid="&amp;"0"",""Table 1: Study characteristics!B4:B171"")))&gt;0
),
""Include""
)"),"Exclude")</f>
        <v>Exclude</v>
      </c>
      <c r="G8" s="5" t="str">
        <f>IFERROR(__xludf.DUMMYFUNCTION("IFS(
D8=""Exclude"",
FILTER(IMPORTRANGE(""https://docs.google.com/spreadsheets/d/1BJSV3WBYJGRhQ6zExamkszQ5VutGIcaQqmbD9ZTVXMQ/edit#gid=1251630045"",""articles_with_PRISMA_reasons!AB2:AB2113""), $A8=IMPORTRANGE(""https://docs.google.com/spreadsheets/d/1BJS"&amp;"V3WBYJGRhQ6zExamkszQ5VutGIcaQqmbD9ZTVXMQ/edit#gid=1251630045"",""articles_with_PRISMA_reasons!B2:B2113"")),
E8=""Exclude"",
FILTER(IMPORTRANGE(""https://docs.google.com/spreadsheets/d/1qpEmbGH0JjaJbUdp21-y2cPbobDbMjr09BbtdKROZWc/edit#gid=1444865654"",""ar"&amp;"ticles_with_PRISMA_reasons!Z2:Z2113""), $A8=IMPORTRANGE(""https://docs.google.com/spreadsheets/d/1qpEmbGH0JjaJbUdp21-y2cPbobDbMjr09BbtdKROZWc/edit#gid=1444865654"",""articles_with_PRISMA_reasons!B2:B2113"")),F8
=""Include"",FILTER(IMPORTRANGE(""https://do"&amp;"cs.google.com/spreadsheets/d/1kGrh75X1cNR1D7_FcY9zMnHP8iPO4M5RCRjy6nZY0TY/edit#gid=0"",""Table 1: Study characteristics!A4:A171""), $A8=IMPORTRANGE(""https://docs.google.com/spreadsheets/d/1kGrh75X1cNR1D7_FcY9zMnHP8iPO4M5RCRjy6nZY0TY/edit#gid=0"",""Table "&amp;"1: Study characteristics!B4:B171""))
)"),"duplicate")</f>
        <v>duplicate</v>
      </c>
    </row>
    <row r="9">
      <c r="A9" s="4" t="str">
        <f>IFERROR(__xludf.DUMMYFUNCTION("""COMPUTED_VALUE"""),"[A conservative, surgery-delaying attitude in the treatment of concomitant hydrocephalus in patients with meningomyelocele]")</f>
        <v>[A conservative, surgery-delaying attitude in the treatment of concomitant hydrocephalus in patients with meningomyelocele]</v>
      </c>
      <c r="B9" s="5" t="str">
        <f>IFERROR(__xludf.DUMMYFUNCTION("LEFT(FILTER(IMPORTRANGE(""https://docs.google.com/spreadsheets/d/1BJSV3WBYJGRhQ6zExamkszQ5VutGIcaQqmbD9ZTVXMQ/edit#gid=1251630045"",""articles_with_PRISMA_reasons!K2:K2113""), $A9=IMPORTRANGE(""https://docs.google.com/spreadsheets/d/1BJSV3WBYJGRhQ6zExamks"&amp;"zQ5VutGIcaQqmbD9ZTVXMQ/edit#gid=1251630045"",""articles_with_PRISMA_reasons!B2:B2113"")),SEARCH("","",FILTER(IMPORTRANGE(""https://docs.google.com/spreadsheets/d/1BJSV3WBYJGRhQ6zExamkszQ5VutGIcaQqmbD9ZTVXMQ/edit#gid=1251630045"",""articles_with_PRISMA_rea"&amp;"sons!K2:K2113""), $A9=IMPORTRANGE(""https://docs.google.com/spreadsheets/d/1BJSV3WBYJGRhQ6zExamkszQ5VutGIcaQqmbD9ZTVXMQ/edit#gid=1251630045"",""articles_with_PRISMA_reasons!B2:B2113"")))-1)"),"Jenny")</f>
        <v>Jenny</v>
      </c>
      <c r="C9" s="6">
        <f>IFERROR(__xludf.DUMMYFUNCTION("FILTER(IMPORTRANGE(""https://docs.google.com/spreadsheets/d/1BJSV3WBYJGRhQ6zExamkszQ5VutGIcaQqmbD9ZTVXMQ/edit#gid=1251630045"",""articles_with_PRISMA_reasons!C2:C2113""), $A9=IMPORTRANGE(""https://docs.google.com/spreadsheets/d/1BJSV3WBYJGRhQ6zExamkszQ5Vu"&amp;"tGIcaQqmbD9ZTVXMQ/edit#gid=1251630045"",""articles_with_PRISMA_reasons!B2:B2113""))"),1989.0)</f>
        <v>1989</v>
      </c>
      <c r="D9" s="5" t="str">
        <f>IFERROR(__xludf.DUMMYFUNCTION("IFS(AND(
FILTER(IMPORTRANGE(""https://docs.google.com/spreadsheets/d/1BJSV3WBYJGRhQ6zExamkszQ5VutGIcaQqmbD9ZTVXMQ/edit#gid=1251630045"",""articles_with_PRISMA_reasons!Y2:Y2113""), $A9=IMPORTRANGE(""https://docs.google.com/spreadsheets/d/1BJSV3WBYJGRhQ6zEx"&amp;"amkszQ5VutGIcaQqmbD9ZTVXMQ/edit#gid=1251630045"",""articles_with_PRISMA_reasons!B2:B2113""))&gt;=2,
FILTER(IMPORTRANGE(""https://docs.google.com/spreadsheets/d/1BJSV3WBYJGRhQ6zExamkszQ5VutGIcaQqmbD9ZTVXMQ/edit#gid=1251630045"",""articles_with_PRISMA_reasons!"&amp;"Z2:Z2113""), $A9=IMPORTRANGE(""https://docs.google.com/spreadsheets/d/1BJSV3WBYJGRhQ6zExamkszQ5VutGIcaQqmbD9ZTVXMQ/edit#gid=1251630045"",""articles_with_PRISMA_reasons!B2:B2113""))&lt;2),
""Include"",
AND(
FILTER(IMPORTRANGE(""https://docs.google.com/spreads"&amp;"heets/d/1BJSV3WBYJGRhQ6zExamkszQ5VutGIcaQqmbD9ZTVXMQ/edit#gid=1251630045"",""articles_with_PRISMA_reasons!Y2:Y2113""), $A9=IMPORTRANGE(""https://docs.google.com/spreadsheets/d/1BJSV3WBYJGRhQ6zExamkszQ5VutGIcaQqmbD9ZTVXMQ/edit#gid=1251630045"",""articles_w"&amp;"ith_PRISMA_reasons!B2:B2113""))&lt;2,
FILTER(IMPORTRANGE(""https://docs.google.com/spreadsheets/d/1BJSV3WBYJGRhQ6zExamkszQ5VutGIcaQqmbD9ZTVXMQ/edit#gid=1251630045"",""articles_with_PRISMA_reasons!Z2:Z2113""), $A9=IMPORTRANGE(""https://docs.google.com/spreads"&amp;"heets/d/1BJSV3WBYJGRhQ6zExamkszQ5VutGIcaQqmbD9ZTVXMQ/edit#gid=1251630045"",""articles_with_PRISMA_reasons!B2:B2113""))&gt;=2),
""Exclude""
)"),"Include")</f>
        <v>Include</v>
      </c>
      <c r="E9" s="5" t="str">
        <f>IFERROR(__xludf.DUMMYFUNCTION("IFS(
D9=""Exclude"",""Exclude"",
AND(
FILTER(IMPORTRANGE(""https://docs.google.com/spreadsheets/d/1qpEmbGH0JjaJbUdp21-y2cPbobDbMjr09BbtdKROZWc/edit#gid=1444865654"",""articles_with_PRISMA_reasons!W2:W2113""), $A9=IMPORTRANGE(""https://docs.google.com/spre"&amp;"adsheets/d/1qpEmbGH0JjaJbUdp21-y2cPbobDbMjr09BbtdKROZWc/edit#gid=1444865654"",""articles_with_PRISMA_reasons!B2:B2113""))&gt;=2,
FILTER(IMPORTRANGE(""https://docs.google.com/spreadsheets/d/1qpEmbGH0JjaJbUdp21-y2cPbobDbMjr09BbtdKROZWc/edit#gid=1444865654"","""&amp;"articles_with_PRISMA_reasons!X2:X2113""), $A9=IMPORTRANGE(""https://docs.google.com/spreadsheets/d/1qpEmbGH0JjaJbUdp21-y2cPbobDbMjr09BbtdKROZWc/edit#gid=1444865654"",""articles_with_PRISMA_reasons!B2:B2113""))&lt;2),
""Include"",
AND(
FILTER(IMPORTRANGE(""ht"&amp;"tps://docs.google.com/spreadsheets/d/1qpEmbGH0JjaJbUdp21-y2cPbobDbMjr09BbtdKROZWc/edit#gid=1444865654"",""articles_with_PRISMA_reasons!W2:W2113""), $A9=IMPORTRANGE(""https://docs.google.com/spreadsheets/d/1qpEmbGH0JjaJbUdp21-y2cPbobDbMjr09BbtdKROZWc/edit#"&amp;"gid=1444865654"",""articles_with_PRISMA_reasons!B2:B2113""))&lt;2,
FILTER(IMPORTRANGE(""https://docs.google.com/spreadsheets/d/1qpEmbGH0JjaJbUdp21-y2cPbobDbMjr09BbtdKROZWc/edit#gid=1444865654"",""articles_with_PRISMA_reasons!X2:X2113""), $A9=IMPORTRANGE(""ht"&amp;"tps://docs.google.com/spreadsheets/d/1qpEmbGH0JjaJbUdp21-y2cPbobDbMjr09BbtdKROZWc/edit#gid=1444865654"",""articles_with_PRISMA_reasons!B2:B2113""))&gt;=2),
""Exclude""
)"),"Exclude")</f>
        <v>Exclude</v>
      </c>
      <c r="F9" s="5" t="str">
        <f>IFERROR(__xludf.DUMMYFUNCTION("IFS(
E9=""Exclude"",""Exclude"",
AND(
COUNTIF(
IMPORTRANGE(""https://docs.google.com/spreadsheets/d/1kGrh75X1cNR1D7_FcY9zMnHP8iPO4M5RCRjy6nZY0TY/edit#gid=0"",""Table 1: Study characteristics!B4:B171""),A9)&gt;0,
COUNTIF(Studies!$A$2:$A$85,FILTER(IMPORTRANGE("&amp;"""https://docs.google.com/spreadsheets/d/1kGrh75X1cNR1D7_FcY9zMnHP8iPO4M5RCRjy6nZY0TY/edit#gid=0"",""Table 1: Study characteristics!A4:A171""), $A9=IMPORTRANGE(""https://docs.google.com/spreadsheets/d/1kGrh75X1cNR1D7_FcY9zMnHP8iPO4M5RCRjy6nZY0TY/edit#gid="&amp;"0"",""Table 1: Study characteristics!B4:B171"")))&gt;0
),
""Include""
)"),"Exclude")</f>
        <v>Exclude</v>
      </c>
      <c r="G9" s="5" t="str">
        <f>IFERROR(__xludf.DUMMYFUNCTION("IFS(
D9=""Exclude"",
FILTER(IMPORTRANGE(""https://docs.google.com/spreadsheets/d/1BJSV3WBYJGRhQ6zExamkszQ5VutGIcaQqmbD9ZTVXMQ/edit#gid=1251630045"",""articles_with_PRISMA_reasons!AB2:AB2113""), $A9=IMPORTRANGE(""https://docs.google.com/spreadsheets/d/1BJS"&amp;"V3WBYJGRhQ6zExamkszQ5VutGIcaQqmbD9ZTVXMQ/edit#gid=1251630045"",""articles_with_PRISMA_reasons!B2:B2113"")),
E9=""Exclude"",
FILTER(IMPORTRANGE(""https://docs.google.com/spreadsheets/d/1qpEmbGH0JjaJbUdp21-y2cPbobDbMjr09BbtdKROZWc/edit#gid=1444865654"",""ar"&amp;"ticles_with_PRISMA_reasons!Z2:Z2113""), $A9=IMPORTRANGE(""https://docs.google.com/spreadsheets/d/1qpEmbGH0JjaJbUdp21-y2cPbobDbMjr09BbtdKROZWc/edit#gid=1444865654"",""articles_with_PRISMA_reasons!B2:B2113"")),F9
=""Include"",FILTER(IMPORTRANGE(""https://do"&amp;"cs.google.com/spreadsheets/d/1kGrh75X1cNR1D7_FcY9zMnHP8iPO4M5RCRjy6nZY0TY/edit#gid=0"",""Table 1: Study characteristics!A4:A171""), $A9=IMPORTRANGE(""https://docs.google.com/spreadsheets/d/1kGrh75X1cNR1D7_FcY9zMnHP8iPO4M5RCRjy6nZY0TY/edit#gid=0"",""Table "&amp;"1: Study characteristics!B4:B171""))
)"),"wrong study design")</f>
        <v>wrong study design</v>
      </c>
    </row>
    <row r="10">
      <c r="A10" s="4" t="str">
        <f>IFERROR(__xludf.DUMMYFUNCTION("""COMPUTED_VALUE"""),"[Abdominal complications of the ventriculo peritoneal derivations]")</f>
        <v>[Abdominal complications of the ventriculo peritoneal derivations]</v>
      </c>
      <c r="B10" s="5" t="str">
        <f>IFERROR(__xludf.DUMMYFUNCTION("LEFT(FILTER(IMPORTRANGE(""https://docs.google.com/spreadsheets/d/1BJSV3WBYJGRhQ6zExamkszQ5VutGIcaQqmbD9ZTVXMQ/edit#gid=1251630045"",""articles_with_PRISMA_reasons!K2:K2113""), $A10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$A10=IMPORTRANGE(""https://docs.google.com/spreadsheets/d/1BJSV3WBYJGRhQ6zExamkszQ5VutGIcaQqmbD9ZTVXMQ/edit#gid=1251630045"",""articles_with_PRISMA_reasons!B2:B2113"")))-1)"),"Calvo")</f>
        <v>Calvo</v>
      </c>
      <c r="C10" s="6">
        <f>IFERROR(__xludf.DUMMYFUNCTION("FILTER(IMPORTRANGE(""https://docs.google.com/spreadsheets/d/1BJSV3WBYJGRhQ6zExamkszQ5VutGIcaQqmbD9ZTVXMQ/edit#gid=1251630045"",""articles_with_PRISMA_reasons!C2:C2113""), $A10=IMPORTRANGE(""https://docs.google.com/spreadsheets/d/1BJSV3WBYJGRhQ6zExamkszQ5V"&amp;"utGIcaQqmbD9ZTVXMQ/edit#gid=1251630045"",""articles_with_PRISMA_reasons!B2:B2113""))"),1976.0)</f>
        <v>1976</v>
      </c>
      <c r="D10" s="5" t="str">
        <f>IFERROR(__xludf.DUMMYFUNCTION("IFS(AND(
FILTER(IMPORTRANGE(""https://docs.google.com/spreadsheets/d/1BJSV3WBYJGRhQ6zExamkszQ5VutGIcaQqmbD9ZTVXMQ/edit#gid=1251630045"",""articles_with_PRISMA_reasons!Y2:Y2113""), $A10=IMPORTRANGE(""https://docs.google.com/spreadsheets/d/1BJSV3WBYJGRhQ6zE"&amp;"xamkszQ5VutGIcaQqmbD9ZTVXMQ/edit#gid=1251630045"",""articles_with_PRISMA_reasons!B2:B2113""))&gt;=2,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$A10=IMPORTRANGE(""https://docs.google.com/spreadsheets/d/1BJSV3WBYJGRhQ6zExamkszQ5VutGIcaQqmbD9ZTVXMQ/edit#gid=1251630045"",""articles_with_PRISMA_reasons!B2:B2113""))&lt;2),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$A10=IMPORTRANGE(""https://docs.google.com/spreadsheets/d/1BJSV3WBYJGRhQ6zExamkszQ5VutGIcaQqmbD9ZTVXMQ/edit#gid=1251630045"",""article"&amp;"s_with_PRISMA_reasons!B2:B2113""))&lt;2,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$A10=IMPORTRANGE(""https://docs.google.com/spr"&amp;"eadsheets/d/1BJSV3WBYJGRhQ6zExamkszQ5VutGIcaQqmbD9ZTVXMQ/edit#gid=1251630045"",""articles_with_PRISMA_reasons!B2:B2113""))&gt;=2),
""Exclude""
)"),"Exclude")</f>
        <v>Exclude</v>
      </c>
      <c r="E10" s="5" t="str">
        <f>IFERROR(__xludf.DUMMYFUNCTION("IFS(
D10=""Exclude"",""Exclude"",
AND(
FILTER(IMPORTRANGE(""https://docs.google.com/spreadsheets/d/1qpEmbGH0JjaJbUdp21-y2cPbobDbMjr09BbtdKROZWc/edit#gid=1444865654"",""articles_with_PRISMA_reasons!W2:W2113""), $A10=IMPORTRANGE(""https://docs.google.com/sp"&amp;"readsheets/d/1qpEmbGH0JjaJbUdp21-y2cPbobDbMjr09BbtdKROZWc/edit#gid=1444865654"",""articles_with_PRISMA_reasons!B2:B2113""))&gt;=2,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$A10=IMPORTRANGE(""https://docs.google.com/spreadsheets/d/1qpEmbGH0JjaJbUdp21-y2cPbobDbMjr09BbtdKROZWc/edit#gid=1444865654"",""articles_with_PRISMA_reasons!B2:B2113""))&lt;2),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$A10=IMPORTRANGE(""https://docs.google.com/spreadsheets/d/1qpEmbGH0JjaJbUdp21-y2cPbobDbMjr09BbtdKROZWc/"&amp;"edit#gid=1444865654"",""articles_with_PRISMA_reasons!B2:B2113""))&lt;2,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$A10=IMPORTRANG"&amp;"E(""https://docs.google.com/spreadsheets/d/1qpEmbGH0JjaJbUdp21-y2cPbobDbMjr09BbtdKROZWc/edit#gid=1444865654"",""articles_with_PRISMA_reasons!B2:B2113""))&gt;=2),
""Exclude""
)"),"Exclude")</f>
        <v>Exclude</v>
      </c>
      <c r="F10" s="5" t="str">
        <f>IFERROR(__xludf.DUMMYFUNCTION("IFS(
E10=""Exclude"",""Exclude"",
AND(
COUNTIF(
IMPORTRANGE(""https://docs.google.com/spreadsheets/d/1kGrh75X1cNR1D7_FcY9zMnHP8iPO4M5RCRjy6nZY0TY/edit#gid=0"",""Table 1: Study characteristics!B4:B171""),A10)&gt;0,
COUNTIF(Studies!$A$2:$A$85,FILTER(IMPORTRANG"&amp;"E(""https://docs.google.com/spreadsheets/d/1kGrh75X1cNR1D7_FcY9zMnHP8iPO4M5RCRjy6nZY0TY/edit#gid=0"",""Table 1: Study characteristics!A4:A171""), $A10=IMPORTRANGE(""https://docs.google.com/spreadsheets/d/1kGrh75X1cNR1D7_FcY9zMnHP8iPO4M5RCRjy6nZY0TY/edit#g"&amp;"id=0"",""Table 1: Study characteristics!B4:B171"")))&gt;0
),
""Include""
)"),"Exclude")</f>
        <v>Exclude</v>
      </c>
      <c r="G10" s="5" t="str">
        <f>IFERROR(__xludf.DUMMYFUNCTION("IFS(
D10=""Exclude"",
FILTER(IMPORTRANGE(""https://docs.google.com/spreadsheets/d/1BJSV3WBYJGRhQ6zExamkszQ5VutGIcaQqmbD9ZTVXMQ/edit#gid=1251630045"",""articles_with_PRISMA_reasons!AB2:AB2113""), $A10=IMPORTRANGE(""https://docs.google.com/spreadsheets/d/1B"&amp;"JSV3WBYJGRhQ6zExamkszQ5VutGIcaQqmbD9ZTVXMQ/edit#gid=1251630045"",""articles_with_PRISMA_reasons!B2:B2113"")),
E10=""Exclude"",
FILTER(IMPORTRANGE(""https://docs.google.com/spreadsheets/d/1qpEmbGH0JjaJbUdp21-y2cPbobDbMjr09BbtdKROZWc/edit#gid=1444865654"","&amp;"""articles_with_PRISMA_reasons!Z2:Z2113""), $A10=IMPORTRANGE(""https://docs.google.com/spreadsheets/d/1qpEmbGH0JjaJbUdp21-y2cPbobDbMjr09BbtdKROZWc/edit#gid=1444865654"",""articles_with_PRISMA_reasons!B2:B2113"")),F10
=""Include"",FILTER(IMPORTRANGE(""http"&amp;"s://docs.google.com/spreadsheets/d/1kGrh75X1cNR1D7_FcY9zMnHP8iPO4M5RCRjy6nZY0TY/edit#gid=0"",""Table 1: Study characteristics!A4:A171""), $A10=IMPORTRANGE(""https://docs.google.com/spreadsheets/d/1kGrh75X1cNR1D7_FcY9zMnHP8iPO4M5RCRjy6nZY0TY/edit#gid=0"","&amp;"""Table 1: Study characteristics!B4:B171""))
)"),"duplicate")</f>
        <v>duplicate</v>
      </c>
    </row>
    <row r="11">
      <c r="A11" s="4" t="str">
        <f>IFERROR(__xludf.DUMMYFUNCTION("""COMPUTED_VALUE"""),"[About the treatment and prognosis of meningoceles, myeloceles and encephaloceles with reference to modern procedures of treatment of hydrocephalus]")</f>
        <v>[About the treatment and prognosis of meningoceles, myeloceles and encephaloceles with reference to modern procedures of treatment of hydrocephalus]</v>
      </c>
      <c r="B11" s="5" t="str">
        <f>IFERROR(__xludf.DUMMYFUNCTION("LEFT(FILTER(IMPORTRANGE(""https://docs.google.com/spreadsheets/d/1BJSV3WBYJGRhQ6zExamkszQ5VutGIcaQqmbD9ZTVXMQ/edit#gid=1251630045"",""articles_with_PRISMA_reasons!K2:K2113""), $A11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$A11=IMPORTRANGE(""https://docs.google.com/spreadsheets/d/1BJSV3WBYJGRhQ6zExamkszQ5VutGIcaQqmbD9ZTVXMQ/edit#gid=1251630045"",""articles_with_PRISMA_reasons!B2:B2113"")))-1)"),"Hemmer")</f>
        <v>Hemmer</v>
      </c>
      <c r="C11" s="6">
        <f>IFERROR(__xludf.DUMMYFUNCTION("FILTER(IMPORTRANGE(""https://docs.google.com/spreadsheets/d/1BJSV3WBYJGRhQ6zExamkszQ5VutGIcaQqmbD9ZTVXMQ/edit#gid=1251630045"",""articles_with_PRISMA_reasons!C2:C2113""), $A11=IMPORTRANGE(""https://docs.google.com/spreadsheets/d/1BJSV3WBYJGRhQ6zExamkszQ5V"&amp;"utGIcaQqmbD9ZTVXMQ/edit#gid=1251630045"",""articles_with_PRISMA_reasons!B2:B2113""))"),1962.0)</f>
        <v>1962</v>
      </c>
      <c r="D11" s="5" t="str">
        <f>IFERROR(__xludf.DUMMYFUNCTION("IFS(AND(
FILTER(IMPORTRANGE(""https://docs.google.com/spreadsheets/d/1BJSV3WBYJGRhQ6zExamkszQ5VutGIcaQqmbD9ZTVXMQ/edit#gid=1251630045"",""articles_with_PRISMA_reasons!Y2:Y2113""), $A11=IMPORTRANGE(""https://docs.google.com/spreadsheets/d/1BJSV3WBYJGRhQ6zE"&amp;"xamkszQ5VutGIcaQqmbD9ZTVXMQ/edit#gid=1251630045"",""articles_with_PRISMA_reasons!B2:B2113""))&gt;=2,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$A11=IMPORTRANGE(""https://docs.google.com/spreadsheets/d/1BJSV3WBYJGRhQ6zExamkszQ5VutGIcaQqmbD9ZTVXMQ/edit#gid=1251630045"",""articles_with_PRISMA_reasons!B2:B2113""))&lt;2),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$A11=IMPORTRANGE(""https://docs.google.com/spreadsheets/d/1BJSV3WBYJGRhQ6zExamkszQ5VutGIcaQqmbD9ZTVXMQ/edit#gid=1251630045"",""article"&amp;"s_with_PRISMA_reasons!B2:B2113""))&lt;2,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$A11=IMPORTRANGE(""https://docs.google.com/spr"&amp;"eadsheets/d/1BJSV3WBYJGRhQ6zExamkszQ5VutGIcaQqmbD9ZTVXMQ/edit#gid=1251630045"",""articles_with_PRISMA_reasons!B2:B2113""))&gt;=2),
""Exclude""
)"),"Exclude")</f>
        <v>Exclude</v>
      </c>
      <c r="E11" s="5" t="str">
        <f>IFERROR(__xludf.DUMMYFUNCTION("IFS(
D11=""Exclude"",""Exclude"",
AND(
FILTER(IMPORTRANGE(""https://docs.google.com/spreadsheets/d/1qpEmbGH0JjaJbUdp21-y2cPbobDbMjr09BbtdKROZWc/edit#gid=1444865654"",""articles_with_PRISMA_reasons!W2:W2113""), $A11=IMPORTRANGE(""https://docs.google.com/sp"&amp;"readsheets/d/1qpEmbGH0JjaJbUdp21-y2cPbobDbMjr09BbtdKROZWc/edit#gid=1444865654"",""articles_with_PRISMA_reasons!B2:B2113""))&gt;=2,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$A11=IMPORTRANGE(""https://docs.google.com/spreadsheets/d/1qpEmbGH0JjaJbUdp21-y2cPbobDbMjr09BbtdKROZWc/edit#gid=1444865654"",""articles_with_PRISMA_reasons!B2:B2113""))&lt;2),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$A11=IMPORTRANGE(""https://docs.google.com/spreadsheets/d/1qpEmbGH0JjaJbUdp21-y2cPbobDbMjr09BbtdKROZWc/"&amp;"edit#gid=1444865654"",""articles_with_PRISMA_reasons!B2:B2113""))&lt;2,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$A11=IMPORTRANG"&amp;"E(""https://docs.google.com/spreadsheets/d/1qpEmbGH0JjaJbUdp21-y2cPbobDbMjr09BbtdKROZWc/edit#gid=1444865654"",""articles_with_PRISMA_reasons!B2:B2113""))&gt;=2),
""Exclude""
)"),"Exclude")</f>
        <v>Exclude</v>
      </c>
      <c r="F11" s="5" t="str">
        <f>IFERROR(__xludf.DUMMYFUNCTION("IFS(
E11=""Exclude"",""Exclude"",
AND(
COUNTIF(
IMPORTRANGE(""https://docs.google.com/spreadsheets/d/1kGrh75X1cNR1D7_FcY9zMnHP8iPO4M5RCRjy6nZY0TY/edit#gid=0"",""Table 1: Study characteristics!B4:B171""),A11)&gt;0,
COUNTIF(Studies!$A$2:$A$85,FILTER(IMPORTRANG"&amp;"E(""https://docs.google.com/spreadsheets/d/1kGrh75X1cNR1D7_FcY9zMnHP8iPO4M5RCRjy6nZY0TY/edit#gid=0"",""Table 1: Study characteristics!A4:A171""), $A11=IMPORTRANGE(""https://docs.google.com/spreadsheets/d/1kGrh75X1cNR1D7_FcY9zMnHP8iPO4M5RCRjy6nZY0TY/edit#g"&amp;"id=0"",""Table 1: Study characteristics!B4:B171"")))&gt;0
),
""Include""
)"),"Exclude")</f>
        <v>Exclude</v>
      </c>
      <c r="G11" s="5" t="str">
        <f>IFERROR(__xludf.DUMMYFUNCTION("IFS(
D11=""Exclude"",
FILTER(IMPORTRANGE(""https://docs.google.com/spreadsheets/d/1BJSV3WBYJGRhQ6zExamkszQ5VutGIcaQqmbD9ZTVXMQ/edit#gid=1251630045"",""articles_with_PRISMA_reasons!AB2:AB2113""), $A11=IMPORTRANGE(""https://docs.google.com/spreadsheets/d/1B"&amp;"JSV3WBYJGRhQ6zExamkszQ5VutGIcaQqmbD9ZTVXMQ/edit#gid=1251630045"",""articles_with_PRISMA_reasons!B2:B2113"")),
E11=""Exclude"",
FILTER(IMPORTRANGE(""https://docs.google.com/spreadsheets/d/1qpEmbGH0JjaJbUdp21-y2cPbobDbMjr09BbtdKROZWc/edit#gid=1444865654"","&amp;"""articles_with_PRISMA_reasons!Z2:Z2113""), $A11=IMPORTRANGE(""https://docs.google.com/spreadsheets/d/1qpEmbGH0JjaJbUdp21-y2cPbobDbMjr09BbtdKROZWc/edit#gid=1444865654"",""articles_with_PRISMA_reasons!B2:B2113"")),F11
=""Include"",FILTER(IMPORTRANGE(""http"&amp;"s://docs.google.com/spreadsheets/d/1kGrh75X1cNR1D7_FcY9zMnHP8iPO4M5RCRjy6nZY0TY/edit#gid=0"",""Table 1: Study characteristics!A4:A171""), $A11=IMPORTRANGE(""https://docs.google.com/spreadsheets/d/1kGrh75X1cNR1D7_FcY9zMnHP8iPO4M5RCRjy6nZY0TY/edit#gid=0"","&amp;"""Table 1: Study characteristics!B4:B171""))
)"),"wrong study design")</f>
        <v>wrong study design</v>
      </c>
    </row>
    <row r="12">
      <c r="A12" s="4" t="str">
        <f>IFERROR(__xludf.DUMMYFUNCTION("""COMPUTED_VALUE"""),"[Anal migration of ventriculo-peritoneal shunt catheter. Apropos of 3 cases]")</f>
        <v>[Anal migration of ventriculo-peritoneal shunt catheter. Apropos of 3 cases]</v>
      </c>
      <c r="B12" s="5" t="str">
        <f>IFERROR(__xludf.DUMMYFUNCTION("LEFT(FILTER(IMPORTRANGE(""https://docs.google.com/spreadsheets/d/1BJSV3WBYJGRhQ6zExamkszQ5VutGIcaQqmbD9ZTVXMQ/edit#gid=1251630045"",""articles_with_PRISMA_reasons!K2:K2113""), $A12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$A12=IMPORTRANGE(""https://docs.google.com/spreadsheets/d/1BJSV3WBYJGRhQ6zExamkszQ5VutGIcaQqmbD9ZTVXMQ/edit#gid=1251630045"",""articles_with_PRISMA_reasons!B2:B2113"")))-1)"),"Sami")</f>
        <v>Sami</v>
      </c>
      <c r="C12" s="6">
        <f>IFERROR(__xludf.DUMMYFUNCTION("FILTER(IMPORTRANGE(""https://docs.google.com/spreadsheets/d/1BJSV3WBYJGRhQ6zExamkszQ5VutGIcaQqmbD9ZTVXMQ/edit#gid=1251630045"",""articles_with_PRISMA_reasons!C2:C2113""), $A12=IMPORTRANGE(""https://docs.google.com/spreadsheets/d/1BJSV3WBYJGRhQ6zExamkszQ5V"&amp;"utGIcaQqmbD9ZTVXMQ/edit#gid=1251630045"",""articles_with_PRISMA_reasons!B2:B2113""))"),1995.0)</f>
        <v>1995</v>
      </c>
      <c r="D12" s="5" t="str">
        <f>IFERROR(__xludf.DUMMYFUNCTION("IFS(AND(
FILTER(IMPORTRANGE(""https://docs.google.com/spreadsheets/d/1BJSV3WBYJGRhQ6zExamkszQ5VutGIcaQqmbD9ZTVXMQ/edit#gid=1251630045"",""articles_with_PRISMA_reasons!Y2:Y2113""), $A12=IMPORTRANGE(""https://docs.google.com/spreadsheets/d/1BJSV3WBYJGRhQ6zE"&amp;"xamkszQ5VutGIcaQqmbD9ZTVXMQ/edit#gid=1251630045"",""articles_with_PRISMA_reasons!B2:B2113""))&gt;=2,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$A12=IMPORTRANGE(""https://docs.google.com/spreadsheets/d/1BJSV3WBYJGRhQ6zExamkszQ5VutGIcaQqmbD9ZTVXMQ/edit#gid=1251630045"",""articles_with_PRISMA_reasons!B2:B2113""))&lt;2),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$A12=IMPORTRANGE(""https://docs.google.com/spreadsheets/d/1BJSV3WBYJGRhQ6zExamkszQ5VutGIcaQqmbD9ZTVXMQ/edit#gid=1251630045"",""article"&amp;"s_with_PRISMA_reasons!B2:B2113""))&lt;2,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$A12=IMPORTRANGE(""https://docs.google.com/spr"&amp;"eadsheets/d/1BJSV3WBYJGRhQ6zExamkszQ5VutGIcaQqmbD9ZTVXMQ/edit#gid=1251630045"",""articles_with_PRISMA_reasons!B2:B2113""))&gt;=2),
""Exclude""
)"),"Exclude")</f>
        <v>Exclude</v>
      </c>
      <c r="E12" s="5" t="str">
        <f>IFERROR(__xludf.DUMMYFUNCTION("IFS(
D12=""Exclude"",""Exclude"",
AND(
FILTER(IMPORTRANGE(""https://docs.google.com/spreadsheets/d/1qpEmbGH0JjaJbUdp21-y2cPbobDbMjr09BbtdKROZWc/edit#gid=1444865654"",""articles_with_PRISMA_reasons!W2:W2113""), $A12=IMPORTRANGE(""https://docs.google.com/sp"&amp;"readsheets/d/1qpEmbGH0JjaJbUdp21-y2cPbobDbMjr09BbtdKROZWc/edit#gid=1444865654"",""articles_with_PRISMA_reasons!B2:B2113""))&gt;=2,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$A12=IMPORTRANGE(""https://docs.google.com/spreadsheets/d/1qpEmbGH0JjaJbUdp21-y2cPbobDbMjr09BbtdKROZWc/edit#gid=1444865654"",""articles_with_PRISMA_reasons!B2:B2113""))&lt;2),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$A12=IMPORTRANGE(""https://docs.google.com/spreadsheets/d/1qpEmbGH0JjaJbUdp21-y2cPbobDbMjr09BbtdKROZWc/"&amp;"edit#gid=1444865654"",""articles_with_PRISMA_reasons!B2:B2113""))&lt;2,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$A12=IMPORTRANG"&amp;"E(""https://docs.google.com/spreadsheets/d/1qpEmbGH0JjaJbUdp21-y2cPbobDbMjr09BbtdKROZWc/edit#gid=1444865654"",""articles_with_PRISMA_reasons!B2:B2113""))&gt;=2),
""Exclude""
)"),"Exclude")</f>
        <v>Exclude</v>
      </c>
      <c r="F12" s="5" t="str">
        <f>IFERROR(__xludf.DUMMYFUNCTION("IFS(
E12=""Exclude"",""Exclude"",
AND(
COUNTIF(
IMPORTRANGE(""https://docs.google.com/spreadsheets/d/1kGrh75X1cNR1D7_FcY9zMnHP8iPO4M5RCRjy6nZY0TY/edit#gid=0"",""Table 1: Study characteristics!B4:B171""),A12)&gt;0,
COUNTIF(Studies!$A$2:$A$85,FILTER(IMPORTRANG"&amp;"E(""https://docs.google.com/spreadsheets/d/1kGrh75X1cNR1D7_FcY9zMnHP8iPO4M5RCRjy6nZY0TY/edit#gid=0"",""Table 1: Study characteristics!A4:A171""), $A12=IMPORTRANGE(""https://docs.google.com/spreadsheets/d/1kGrh75X1cNR1D7_FcY9zMnHP8iPO4M5RCRjy6nZY0TY/edit#g"&amp;"id=0"",""Table 1: Study characteristics!B4:B171"")))&gt;0
),
""Include""
)"),"Exclude")</f>
        <v>Exclude</v>
      </c>
      <c r="G12" s="5" t="str">
        <f>IFERROR(__xludf.DUMMYFUNCTION("IFS(
D12=""Exclude"",
FILTER(IMPORTRANGE(""https://docs.google.com/spreadsheets/d/1BJSV3WBYJGRhQ6zExamkszQ5VutGIcaQqmbD9ZTVXMQ/edit#gid=1251630045"",""articles_with_PRISMA_reasons!AB2:AB2113""), $A12=IMPORTRANGE(""https://docs.google.com/spreadsheets/d/1B"&amp;"JSV3WBYJGRhQ6zExamkszQ5VutGIcaQqmbD9ZTVXMQ/edit#gid=1251630045"",""articles_with_PRISMA_reasons!B2:B2113"")),
E12=""Exclude"",
FILTER(IMPORTRANGE(""https://docs.google.com/spreadsheets/d/1qpEmbGH0JjaJbUdp21-y2cPbobDbMjr09BbtdKROZWc/edit#gid=1444865654"","&amp;"""articles_with_PRISMA_reasons!Z2:Z2113""), $A12=IMPORTRANGE(""https://docs.google.com/spreadsheets/d/1qpEmbGH0JjaJbUdp21-y2cPbobDbMjr09BbtdKROZWc/edit#gid=1444865654"",""articles_with_PRISMA_reasons!B2:B2113"")),F12
=""Include"",FILTER(IMPORTRANGE(""http"&amp;"s://docs.google.com/spreadsheets/d/1kGrh75X1cNR1D7_FcY9zMnHP8iPO4M5RCRjy6nZY0TY/edit#gid=0"",""Table 1: Study characteristics!A4:A171""), $A12=IMPORTRANGE(""https://docs.google.com/spreadsheets/d/1kGrh75X1cNR1D7_FcY9zMnHP8iPO4M5RCRjy6nZY0TY/edit#gid=0"","&amp;"""Table 1: Study characteristics!B4:B171""))
)"),"wrong publication type")</f>
        <v>wrong publication type</v>
      </c>
    </row>
    <row r="13">
      <c r="A13" s="4" t="str">
        <f>IFERROR(__xludf.DUMMYFUNCTION("""COMPUTED_VALUE"""),"[Arnold-Chiari malformation. Contribution of cerebral echography in the pretherapeutic evaluation]")</f>
        <v>[Arnold-Chiari malformation. Contribution of cerebral echography in the pretherapeutic evaluation]</v>
      </c>
      <c r="B13" s="5" t="str">
        <f>IFERROR(__xludf.DUMMYFUNCTION("LEFT(FILTER(IMPORTRANGE(""https://docs.google.com/spreadsheets/d/1BJSV3WBYJGRhQ6zExamkszQ5VutGIcaQqmbD9ZTVXMQ/edit#gid=1251630045"",""articles_with_PRISMA_reasons!K2:K2113""), $A13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$A13=IMPORTRANGE(""https://docs.google.com/spreadsheets/d/1BJSV3WBYJGRhQ6zExamkszQ5VutGIcaQqmbD9ZTVXMQ/edit#gid=1251630045"",""articles_with_PRISMA_reasons!B2:B2113"")))-1)"),"Nko'o Amvene")</f>
        <v>Nko'o Amvene</v>
      </c>
      <c r="C13" s="6">
        <f>IFERROR(__xludf.DUMMYFUNCTION("FILTER(IMPORTRANGE(""https://docs.google.com/spreadsheets/d/1BJSV3WBYJGRhQ6zExamkszQ5VutGIcaQqmbD9ZTVXMQ/edit#gid=1251630045"",""articles_with_PRISMA_reasons!C2:C2113""), $A13=IMPORTRANGE(""https://docs.google.com/spreadsheets/d/1BJSV3WBYJGRhQ6zExamkszQ5V"&amp;"utGIcaQqmbD9ZTVXMQ/edit#gid=1251630045"",""articles_with_PRISMA_reasons!B2:B2113""))"),1992.0)</f>
        <v>1992</v>
      </c>
      <c r="D13" s="5" t="str">
        <f>IFERROR(__xludf.DUMMYFUNCTION("IFS(AND(
FILTER(IMPORTRANGE(""https://docs.google.com/spreadsheets/d/1BJSV3WBYJGRhQ6zExamkszQ5VutGIcaQqmbD9ZTVXMQ/edit#gid=1251630045"",""articles_with_PRISMA_reasons!Y2:Y2113""), $A13=IMPORTRANGE(""https://docs.google.com/spreadsheets/d/1BJSV3WBYJGRhQ6zE"&amp;"xamkszQ5VutGIcaQqmbD9ZTVXMQ/edit#gid=1251630045"",""articles_with_PRISMA_reasons!B2:B2113""))&gt;=2,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$A13=IMPORTRANGE(""https://docs.google.com/spreadsheets/d/1BJSV3WBYJGRhQ6zExamkszQ5VutGIcaQqmbD9ZTVXMQ/edit#gid=1251630045"",""articles_with_PRISMA_reasons!B2:B2113""))&lt;2),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$A13=IMPORTRANGE(""https://docs.google.com/spreadsheets/d/1BJSV3WBYJGRhQ6zExamkszQ5VutGIcaQqmbD9ZTVXMQ/edit#gid=1251630045"",""article"&amp;"s_with_PRISMA_reasons!B2:B2113""))&lt;2,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$A13=IMPORTRANGE(""https://docs.google.com/spr"&amp;"eadsheets/d/1BJSV3WBYJGRhQ6zExamkszQ5VutGIcaQqmbD9ZTVXMQ/edit#gid=1251630045"",""articles_with_PRISMA_reasons!B2:B2113""))&gt;=2),
""Exclude""
)"),"Exclude")</f>
        <v>Exclude</v>
      </c>
      <c r="E13" s="5" t="str">
        <f>IFERROR(__xludf.DUMMYFUNCTION("IFS(
D13=""Exclude"",""Exclude"",
AND(
FILTER(IMPORTRANGE(""https://docs.google.com/spreadsheets/d/1qpEmbGH0JjaJbUdp21-y2cPbobDbMjr09BbtdKROZWc/edit#gid=1444865654"",""articles_with_PRISMA_reasons!W2:W2113""), $A13=IMPORTRANGE(""https://docs.google.com/sp"&amp;"readsheets/d/1qpEmbGH0JjaJbUdp21-y2cPbobDbMjr09BbtdKROZWc/edit#gid=1444865654"",""articles_with_PRISMA_reasons!B2:B2113""))&gt;=2,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$A13=IMPORTRANGE(""https://docs.google.com/spreadsheets/d/1qpEmbGH0JjaJbUdp21-y2cPbobDbMjr09BbtdKROZWc/edit#gid=1444865654"",""articles_with_PRISMA_reasons!B2:B2113""))&lt;2),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$A13=IMPORTRANGE(""https://docs.google.com/spreadsheets/d/1qpEmbGH0JjaJbUdp21-y2cPbobDbMjr09BbtdKROZWc/"&amp;"edit#gid=1444865654"",""articles_with_PRISMA_reasons!B2:B2113""))&lt;2,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$A13=IMPORTRANG"&amp;"E(""https://docs.google.com/spreadsheets/d/1qpEmbGH0JjaJbUdp21-y2cPbobDbMjr09BbtdKROZWc/edit#gid=1444865654"",""articles_with_PRISMA_reasons!B2:B2113""))&gt;=2),
""Exclude""
)"),"Exclude")</f>
        <v>Exclude</v>
      </c>
      <c r="F13" s="5" t="str">
        <f>IFERROR(__xludf.DUMMYFUNCTION("IFS(
E13=""Exclude"",""Exclude"",
AND(
COUNTIF(
IMPORTRANGE(""https://docs.google.com/spreadsheets/d/1kGrh75X1cNR1D7_FcY9zMnHP8iPO4M5RCRjy6nZY0TY/edit#gid=0"",""Table 1: Study characteristics!B4:B171""),A13)&gt;0,
COUNTIF(Studies!$A$2:$A$85,FILTER(IMPORTRANG"&amp;"E(""https://docs.google.com/spreadsheets/d/1kGrh75X1cNR1D7_FcY9zMnHP8iPO4M5RCRjy6nZY0TY/edit#gid=0"",""Table 1: Study characteristics!A4:A171""), $A13=IMPORTRANGE(""https://docs.google.com/spreadsheets/d/1kGrh75X1cNR1D7_FcY9zMnHP8iPO4M5RCRjy6nZY0TY/edit#g"&amp;"id=0"",""Table 1: Study characteristics!B4:B171"")))&gt;0
),
""Include""
)"),"Exclude")</f>
        <v>Exclude</v>
      </c>
      <c r="G13" s="5" t="str">
        <f>IFERROR(__xludf.DUMMYFUNCTION("IFS(
D13=""Exclude"",
FILTER(IMPORTRANGE(""https://docs.google.com/spreadsheets/d/1BJSV3WBYJGRhQ6zExamkszQ5VutGIcaQqmbD9ZTVXMQ/edit#gid=1251630045"",""articles_with_PRISMA_reasons!AB2:AB2113""), $A13=IMPORTRANGE(""https://docs.google.com/spreadsheets/d/1B"&amp;"JSV3WBYJGRhQ6zExamkszQ5VutGIcaQqmbD9ZTVXMQ/edit#gid=1251630045"",""articles_with_PRISMA_reasons!B2:B2113"")),
E13=""Exclude"",
FILTER(IMPORTRANGE(""https://docs.google.com/spreadsheets/d/1qpEmbGH0JjaJbUdp21-y2cPbobDbMjr09BbtdKROZWc/edit#gid=1444865654"","&amp;"""articles_with_PRISMA_reasons!Z2:Z2113""), $A13=IMPORTRANGE(""https://docs.google.com/spreadsheets/d/1qpEmbGH0JjaJbUdp21-y2cPbobDbMjr09BbtdKROZWc/edit#gid=1444865654"",""articles_with_PRISMA_reasons!B2:B2113"")),F13
=""Include"",FILTER(IMPORTRANGE(""http"&amp;"s://docs.google.com/spreadsheets/d/1kGrh75X1cNR1D7_FcY9zMnHP8iPO4M5RCRjy6nZY0TY/edit#gid=0"",""Table 1: Study characteristics!A4:A171""), $A13=IMPORTRANGE(""https://docs.google.com/spreadsheets/d/1kGrh75X1cNR1D7_FcY9zMnHP8iPO4M5RCRjy6nZY0TY/edit#gid=0"","&amp;"""Table 1: Study characteristics!B4:B171""))
)"),"wrong study design")</f>
        <v>wrong study design</v>
      </c>
    </row>
    <row r="14">
      <c r="A14" s="4" t="str">
        <f>IFERROR(__xludf.DUMMYFUNCTION("""COMPUTED_VALUE"""),"[Aspects of long-term management of children with myelomeningocele. Analysis of the last 10 years from the neuropediatric-neurosurgical viewpoint]")</f>
        <v>[Aspects of long-term management of children with myelomeningocele. Analysis of the last 10 years from the neuropediatric-neurosurgical viewpoint]</v>
      </c>
      <c r="B14" s="5" t="str">
        <f>IFERROR(__xludf.DUMMYFUNCTION("LEFT(FILTER(IMPORTRANGE(""https://docs.google.com/spreadsheets/d/1BJSV3WBYJGRhQ6zExamkszQ5VutGIcaQqmbD9ZTVXMQ/edit#gid=1251630045"",""articles_with_PRISMA_reasons!K2:K2113""), $A14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$A14=IMPORTRANGE(""https://docs.google.com/spreadsheets/d/1BJSV3WBYJGRhQ6zExamkszQ5VutGIcaQqmbD9ZTVXMQ/edit#gid=1251630045"",""articles_with_PRISMA_reasons!B2:B2113"")))-1)"),"Holder")</f>
        <v>Holder</v>
      </c>
      <c r="C14" s="6">
        <f>IFERROR(__xludf.DUMMYFUNCTION("FILTER(IMPORTRANGE(""https://docs.google.com/spreadsheets/d/1BJSV3WBYJGRhQ6zExamkszQ5VutGIcaQqmbD9ZTVXMQ/edit#gid=1251630045"",""articles_with_PRISMA_reasons!C2:C2113""), $A14=IMPORTRANGE(""https://docs.google.com/spreadsheets/d/1BJSV3WBYJGRhQ6zExamkszQ5V"&amp;"utGIcaQqmbD9ZTVXMQ/edit#gid=1251630045"",""articles_with_PRISMA_reasons!B2:B2113""))"),1993.0)</f>
        <v>1993</v>
      </c>
      <c r="D14" s="5" t="str">
        <f>IFERROR(__xludf.DUMMYFUNCTION("IFS(AND(
FILTER(IMPORTRANGE(""https://docs.google.com/spreadsheets/d/1BJSV3WBYJGRhQ6zExamkszQ5VutGIcaQqmbD9ZTVXMQ/edit#gid=1251630045"",""articles_with_PRISMA_reasons!Y2:Y2113""), $A14=IMPORTRANGE(""https://docs.google.com/spreadsheets/d/1BJSV3WBYJGRhQ6zE"&amp;"xamkszQ5VutGIcaQqmbD9ZTVXMQ/edit#gid=1251630045"",""articles_with_PRISMA_reasons!B2:B2113""))&gt;=2,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$A14=IMPORTRANGE(""https://docs.google.com/spreadsheets/d/1BJSV3WBYJGRhQ6zExamkszQ5VutGIcaQqmbD9ZTVXMQ/edit#gid=1251630045"",""articles_with_PRISMA_reasons!B2:B2113""))&lt;2),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$A14=IMPORTRANGE(""https://docs.google.com/spreadsheets/d/1BJSV3WBYJGRhQ6zExamkszQ5VutGIcaQqmbD9ZTVXMQ/edit#gid=1251630045"",""article"&amp;"s_with_PRISMA_reasons!B2:B2113""))&lt;2,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$A14=IMPORTRANGE(""https://docs.google.com/spr"&amp;"eadsheets/d/1BJSV3WBYJGRhQ6zExamkszQ5VutGIcaQqmbD9ZTVXMQ/edit#gid=1251630045"",""articles_with_PRISMA_reasons!B2:B2113""))&gt;=2),
""Exclude""
)"),"Include")</f>
        <v>Include</v>
      </c>
      <c r="E14" s="5" t="str">
        <f>IFERROR(__xludf.DUMMYFUNCTION("IFS(
D14=""Exclude"",""Exclude"",
AND(
FILTER(IMPORTRANGE(""https://docs.google.com/spreadsheets/d/1qpEmbGH0JjaJbUdp21-y2cPbobDbMjr09BbtdKROZWc/edit#gid=1444865654"",""articles_with_PRISMA_reasons!W2:W2113""), $A14=IMPORTRANGE(""https://docs.google.com/sp"&amp;"readsheets/d/1qpEmbGH0JjaJbUdp21-y2cPbobDbMjr09BbtdKROZWc/edit#gid=1444865654"",""articles_with_PRISMA_reasons!B2:B2113""))&gt;=2,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$A14=IMPORTRANGE(""https://docs.google.com/spreadsheets/d/1qpEmbGH0JjaJbUdp21-y2cPbobDbMjr09BbtdKROZWc/edit#gid=1444865654"",""articles_with_PRISMA_reasons!B2:B2113""))&lt;2),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$A14=IMPORTRANGE(""https://docs.google.com/spreadsheets/d/1qpEmbGH0JjaJbUdp21-y2cPbobDbMjr09BbtdKROZWc/"&amp;"edit#gid=1444865654"",""articles_with_PRISMA_reasons!B2:B2113""))&lt;2,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$A14=IMPORTRANG"&amp;"E(""https://docs.google.com/spreadsheets/d/1qpEmbGH0JjaJbUdp21-y2cPbobDbMjr09BbtdKROZWc/edit#gid=1444865654"",""articles_with_PRISMA_reasons!B2:B2113""))&gt;=2),
""Exclude""
)"),"Exclude")</f>
        <v>Exclude</v>
      </c>
      <c r="F14" s="5" t="str">
        <f>IFERROR(__xludf.DUMMYFUNCTION("IFS(
E14=""Exclude"",""Exclude"",
AND(
COUNTIF(
IMPORTRANGE(""https://docs.google.com/spreadsheets/d/1kGrh75X1cNR1D7_FcY9zMnHP8iPO4M5RCRjy6nZY0TY/edit#gid=0"",""Table 1: Study characteristics!B4:B171""),A14)&gt;0,
COUNTIF(Studies!$A$2:$A$85,FILTER(IMPORTRANG"&amp;"E(""https://docs.google.com/spreadsheets/d/1kGrh75X1cNR1D7_FcY9zMnHP8iPO4M5RCRjy6nZY0TY/edit#gid=0"",""Table 1: Study characteristics!A4:A171""), $A14=IMPORTRANGE(""https://docs.google.com/spreadsheets/d/1kGrh75X1cNR1D7_FcY9zMnHP8iPO4M5RCRjy6nZY0TY/edit#g"&amp;"id=0"",""Table 1: Study characteristics!B4:B171"")))&gt;0
),
""Include""
)"),"Exclude")</f>
        <v>Exclude</v>
      </c>
      <c r="G14" s="5" t="str">
        <f>IFERROR(__xludf.DUMMYFUNCTION("IFS(
D14=""Exclude"",
FILTER(IMPORTRANGE(""https://docs.google.com/spreadsheets/d/1BJSV3WBYJGRhQ6zExamkszQ5VutGIcaQqmbD9ZTVXMQ/edit#gid=1251630045"",""articles_with_PRISMA_reasons!AB2:AB2113""), $A14=IMPORTRANGE(""https://docs.google.com/spreadsheets/d/1B"&amp;"JSV3WBYJGRhQ6zExamkszQ5VutGIcaQqmbD9ZTVXMQ/edit#gid=1251630045"",""articles_with_PRISMA_reasons!B2:B2113"")),
E14=""Exclude"",
FILTER(IMPORTRANGE(""https://docs.google.com/spreadsheets/d/1qpEmbGH0JjaJbUdp21-y2cPbobDbMjr09BbtdKROZWc/edit#gid=1444865654"","&amp;"""articles_with_PRISMA_reasons!Z2:Z2113""), $A14=IMPORTRANGE(""https://docs.google.com/spreadsheets/d/1qpEmbGH0JjaJbUdp21-y2cPbobDbMjr09BbtdKROZWc/edit#gid=1444865654"",""articles_with_PRISMA_reasons!B2:B2113"")),F14
=""Include"",FILTER(IMPORTRANGE(""http"&amp;"s://docs.google.com/spreadsheets/d/1kGrh75X1cNR1D7_FcY9zMnHP8iPO4M5RCRjy6nZY0TY/edit#gid=0"",""Table 1: Study characteristics!A4:A171""), $A14=IMPORTRANGE(""https://docs.google.com/spreadsheets/d/1kGrh75X1cNR1D7_FcY9zMnHP8iPO4M5RCRjy6nZY0TY/edit#gid=0"","&amp;"""Table 1: Study characteristics!B4:B171""))
)"),"no full text")</f>
        <v>no full text</v>
      </c>
    </row>
    <row r="15">
      <c r="A15" s="4" t="str">
        <f>IFERROR(__xludf.DUMMYFUNCTION("""COMPUTED_VALUE"""),"[Brain changes in dysraphic syndromes occurring in cases of meningomyelocele]")</f>
        <v>[Brain changes in dysraphic syndromes occurring in cases of meningomyelocele]</v>
      </c>
      <c r="B15" s="5" t="str">
        <f>IFERROR(__xludf.DUMMYFUNCTION("LEFT(FILTER(IMPORTRANGE(""https://docs.google.com/spreadsheets/d/1BJSV3WBYJGRhQ6zExamkszQ5VutGIcaQqmbD9ZTVXMQ/edit#gid=1251630045"",""articles_with_PRISMA_reasons!K2:K2113""), $A15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$A15=IMPORTRANGE(""https://docs.google.com/spreadsheets/d/1BJSV3WBYJGRhQ6zExamkszQ5VutGIcaQqmbD9ZTVXMQ/edit#gid=1251630045"",""articles_with_PRISMA_reasons!B2:B2113"")))-1)"),"Dambska")</f>
        <v>Dambska</v>
      </c>
      <c r="C15" s="6">
        <f>IFERROR(__xludf.DUMMYFUNCTION("FILTER(IMPORTRANGE(""https://docs.google.com/spreadsheets/d/1BJSV3WBYJGRhQ6zExamkszQ5VutGIcaQqmbD9ZTVXMQ/edit#gid=1251630045"",""articles_with_PRISMA_reasons!C2:C2113""), $A15=IMPORTRANGE(""https://docs.google.com/spreadsheets/d/1BJSV3WBYJGRhQ6zExamkszQ5V"&amp;"utGIcaQqmbD9ZTVXMQ/edit#gid=1251630045"",""articles_with_PRISMA_reasons!B2:B2113""))"),1998.0)</f>
        <v>1998</v>
      </c>
      <c r="D15" s="5" t="str">
        <f>IFERROR(__xludf.DUMMYFUNCTION("IFS(AND(
FILTER(IMPORTRANGE(""https://docs.google.com/spreadsheets/d/1BJSV3WBYJGRhQ6zExamkszQ5VutGIcaQqmbD9ZTVXMQ/edit#gid=1251630045"",""articles_with_PRISMA_reasons!Y2:Y2113""), $A15=IMPORTRANGE(""https://docs.google.com/spreadsheets/d/1BJSV3WBYJGRhQ6zE"&amp;"xamkszQ5VutGIcaQqmbD9ZTVXMQ/edit#gid=1251630045"",""articles_with_PRISMA_reasons!B2:B2113""))&gt;=2,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$A15=IMPORTRANGE(""https://docs.google.com/spreadsheets/d/1BJSV3WBYJGRhQ6zExamkszQ5VutGIcaQqmbD9ZTVXMQ/edit#gid=1251630045"",""articles_with_PRISMA_reasons!B2:B2113""))&lt;2),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$A15=IMPORTRANGE(""https://docs.google.com/spreadsheets/d/1BJSV3WBYJGRhQ6zExamkszQ5VutGIcaQqmbD9ZTVXMQ/edit#gid=1251630045"",""article"&amp;"s_with_PRISMA_reasons!B2:B2113""))&lt;2,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$A15=IMPORTRANGE(""https://docs.google.com/spr"&amp;"eadsheets/d/1BJSV3WBYJGRhQ6zExamkszQ5VutGIcaQqmbD9ZTVXMQ/edit#gid=1251630045"",""articles_with_PRISMA_reasons!B2:B2113""))&gt;=2),
""Exclude""
)"),"Exclude")</f>
        <v>Exclude</v>
      </c>
      <c r="E15" s="5" t="str">
        <f>IFERROR(__xludf.DUMMYFUNCTION("IFS(
D15=""Exclude"",""Exclude"",
AND(
FILTER(IMPORTRANGE(""https://docs.google.com/spreadsheets/d/1qpEmbGH0JjaJbUdp21-y2cPbobDbMjr09BbtdKROZWc/edit#gid=1444865654"",""articles_with_PRISMA_reasons!W2:W2113""), $A15=IMPORTRANGE(""https://docs.google.com/sp"&amp;"readsheets/d/1qpEmbGH0JjaJbUdp21-y2cPbobDbMjr09BbtdKROZWc/edit#gid=1444865654"",""articles_with_PRISMA_reasons!B2:B2113""))&gt;=2,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$A15=IMPORTRANGE(""https://docs.google.com/spreadsheets/d/1qpEmbGH0JjaJbUdp21-y2cPbobDbMjr09BbtdKROZWc/edit#gid=1444865654"",""articles_with_PRISMA_reasons!B2:B2113""))&lt;2),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$A15=IMPORTRANGE(""https://docs.google.com/spreadsheets/d/1qpEmbGH0JjaJbUdp21-y2cPbobDbMjr09BbtdKROZWc/"&amp;"edit#gid=1444865654"",""articles_with_PRISMA_reasons!B2:B2113""))&lt;2,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$A15=IMPORTRANG"&amp;"E(""https://docs.google.com/spreadsheets/d/1qpEmbGH0JjaJbUdp21-y2cPbobDbMjr09BbtdKROZWc/edit#gid=1444865654"",""articles_with_PRISMA_reasons!B2:B2113""))&gt;=2),
""Exclude""
)"),"Exclude")</f>
        <v>Exclude</v>
      </c>
      <c r="F15" s="5" t="str">
        <f>IFERROR(__xludf.DUMMYFUNCTION("IFS(
E15=""Exclude"",""Exclude"",
AND(
COUNTIF(
IMPORTRANGE(""https://docs.google.com/spreadsheets/d/1kGrh75X1cNR1D7_FcY9zMnHP8iPO4M5RCRjy6nZY0TY/edit#gid=0"",""Table 1: Study characteristics!B4:B171""),A15)&gt;0,
COUNTIF(Studies!$A$2:$A$85,FILTER(IMPORTRANG"&amp;"E(""https://docs.google.com/spreadsheets/d/1kGrh75X1cNR1D7_FcY9zMnHP8iPO4M5RCRjy6nZY0TY/edit#gid=0"",""Table 1: Study characteristics!A4:A171""), $A15=IMPORTRANGE(""https://docs.google.com/spreadsheets/d/1kGrh75X1cNR1D7_FcY9zMnHP8iPO4M5RCRjy6nZY0TY/edit#g"&amp;"id=0"",""Table 1: Study characteristics!B4:B171"")))&gt;0
),
""Include""
)"),"Exclude")</f>
        <v>Exclude</v>
      </c>
      <c r="G15" s="5" t="str">
        <f>IFERROR(__xludf.DUMMYFUNCTION("IFS(
D15=""Exclude"",
FILTER(IMPORTRANGE(""https://docs.google.com/spreadsheets/d/1BJSV3WBYJGRhQ6zExamkszQ5VutGIcaQqmbD9ZTVXMQ/edit#gid=1251630045"",""articles_with_PRISMA_reasons!AB2:AB2113""), $A15=IMPORTRANGE(""https://docs.google.com/spreadsheets/d/1B"&amp;"JSV3WBYJGRhQ6zExamkszQ5VutGIcaQqmbD9ZTVXMQ/edit#gid=1251630045"",""articles_with_PRISMA_reasons!B2:B2113"")),
E15=""Exclude"",
FILTER(IMPORTRANGE(""https://docs.google.com/spreadsheets/d/1qpEmbGH0JjaJbUdp21-y2cPbobDbMjr09BbtdKROZWc/edit#gid=1444865654"","&amp;"""articles_with_PRISMA_reasons!Z2:Z2113""), $A15=IMPORTRANGE(""https://docs.google.com/spreadsheets/d/1qpEmbGH0JjaJbUdp21-y2cPbobDbMjr09BbtdKROZWc/edit#gid=1444865654"",""articles_with_PRISMA_reasons!B2:B2113"")),F15
=""Include"",FILTER(IMPORTRANGE(""http"&amp;"s://docs.google.com/spreadsheets/d/1kGrh75X1cNR1D7_FcY9zMnHP8iPO4M5RCRjy6nZY0TY/edit#gid=0"",""Table 1: Study characteristics!A4:A171""), $A15=IMPORTRANGE(""https://docs.google.com/spreadsheets/d/1kGrh75X1cNR1D7_FcY9zMnHP8iPO4M5RCRjy6nZY0TY/edit#gid=0"","&amp;"""Table 1: Study characteristics!B4:B171""))
)"),"wrong study design")</f>
        <v>wrong study design</v>
      </c>
    </row>
    <row r="16">
      <c r="A16" s="4" t="str">
        <f>IFERROR(__xludf.DUMMYFUNCTION("""COMPUTED_VALUE"""),"[Brain stem dysfunction in Arnold-Chiari II syndrome]")</f>
        <v>[Brain stem dysfunction in Arnold-Chiari II syndrome]</v>
      </c>
      <c r="B16" s="5" t="str">
        <f>IFERROR(__xludf.DUMMYFUNCTION("LEFT(FILTER(IMPORTRANGE(""https://docs.google.com/spreadsheets/d/1BJSV3WBYJGRhQ6zExamkszQ5VutGIcaQqmbD9ZTVXMQ/edit#gid=1251630045"",""articles_with_PRISMA_reasons!K2:K2113""), $A16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$A16=IMPORTRANGE(""https://docs.google.com/spreadsheets/d/1BJSV3WBYJGRhQ6zExamkszQ5VutGIcaQqmbD9ZTVXMQ/edit#gid=1251630045"",""articles_with_PRISMA_reasons!B2:B2113"")))-1)"),"Holschneider")</f>
        <v>Holschneider</v>
      </c>
      <c r="C16" s="6">
        <f>IFERROR(__xludf.DUMMYFUNCTION("FILTER(IMPORTRANGE(""https://docs.google.com/spreadsheets/d/1BJSV3WBYJGRhQ6zExamkszQ5VutGIcaQqmbD9ZTVXMQ/edit#gid=1251630045"",""articles_with_PRISMA_reasons!C2:C2113""), $A16=IMPORTRANGE(""https://docs.google.com/spreadsheets/d/1BJSV3WBYJGRhQ6zExamkszQ5V"&amp;"utGIcaQqmbD9ZTVXMQ/edit#gid=1251630045"",""articles_with_PRISMA_reasons!B2:B2113""))"),1990.0)</f>
        <v>1990</v>
      </c>
      <c r="D16" s="5" t="str">
        <f>IFERROR(__xludf.DUMMYFUNCTION("IFS(AND(
FILTER(IMPORTRANGE(""https://docs.google.com/spreadsheets/d/1BJSV3WBYJGRhQ6zExamkszQ5VutGIcaQqmbD9ZTVXMQ/edit#gid=1251630045"",""articles_with_PRISMA_reasons!Y2:Y2113""), $A16=IMPORTRANGE(""https://docs.google.com/spreadsheets/d/1BJSV3WBYJGRhQ6zE"&amp;"xamkszQ5VutGIcaQqmbD9ZTVXMQ/edit#gid=1251630045"",""articles_with_PRISMA_reasons!B2:B2113""))&gt;=2,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$A16=IMPORTRANGE(""https://docs.google.com/spreadsheets/d/1BJSV3WBYJGRhQ6zExamkszQ5VutGIcaQqmbD9ZTVXMQ/edit#gid=1251630045"",""articles_with_PRISMA_reasons!B2:B2113""))&lt;2),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$A16=IMPORTRANGE(""https://docs.google.com/spreadsheets/d/1BJSV3WBYJGRhQ6zExamkszQ5VutGIcaQqmbD9ZTVXMQ/edit#gid=1251630045"",""article"&amp;"s_with_PRISMA_reasons!B2:B2113""))&lt;2,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$A16=IMPORTRANGE(""https://docs.google.com/spr"&amp;"eadsheets/d/1BJSV3WBYJGRhQ6zExamkszQ5VutGIcaQqmbD9ZTVXMQ/edit#gid=1251630045"",""articles_with_PRISMA_reasons!B2:B2113""))&gt;=2),
""Exclude""
)"),"Exclude")</f>
        <v>Exclude</v>
      </c>
      <c r="E16" s="5" t="str">
        <f>IFERROR(__xludf.DUMMYFUNCTION("IFS(
D16=""Exclude"",""Exclude"",
AND(
FILTER(IMPORTRANGE(""https://docs.google.com/spreadsheets/d/1qpEmbGH0JjaJbUdp21-y2cPbobDbMjr09BbtdKROZWc/edit#gid=1444865654"",""articles_with_PRISMA_reasons!W2:W2113""), $A16=IMPORTRANGE(""https://docs.google.com/sp"&amp;"readsheets/d/1qpEmbGH0JjaJbUdp21-y2cPbobDbMjr09BbtdKROZWc/edit#gid=1444865654"",""articles_with_PRISMA_reasons!B2:B2113""))&gt;=2,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$A16=IMPORTRANGE(""https://docs.google.com/spreadsheets/d/1qpEmbGH0JjaJbUdp21-y2cPbobDbMjr09BbtdKROZWc/edit#gid=1444865654"",""articles_with_PRISMA_reasons!B2:B2113""))&lt;2),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$A16=IMPORTRANGE(""https://docs.google.com/spreadsheets/d/1qpEmbGH0JjaJbUdp21-y2cPbobDbMjr09BbtdKROZWc/"&amp;"edit#gid=1444865654"",""articles_with_PRISMA_reasons!B2:B2113""))&lt;2,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$A16=IMPORTRANG"&amp;"E(""https://docs.google.com/spreadsheets/d/1qpEmbGH0JjaJbUdp21-y2cPbobDbMjr09BbtdKROZWc/edit#gid=1444865654"",""articles_with_PRISMA_reasons!B2:B2113""))&gt;=2),
""Exclude""
)"),"Exclude")</f>
        <v>Exclude</v>
      </c>
      <c r="F16" s="5" t="str">
        <f>IFERROR(__xludf.DUMMYFUNCTION("IFS(
E16=""Exclude"",""Exclude"",
AND(
COUNTIF(
IMPORTRANGE(""https://docs.google.com/spreadsheets/d/1kGrh75X1cNR1D7_FcY9zMnHP8iPO4M5RCRjy6nZY0TY/edit#gid=0"",""Table 1: Study characteristics!B4:B171""),A16)&gt;0,
COUNTIF(Studies!$A$2:$A$85,FILTER(IMPORTRANG"&amp;"E(""https://docs.google.com/spreadsheets/d/1kGrh75X1cNR1D7_FcY9zMnHP8iPO4M5RCRjy6nZY0TY/edit#gid=0"",""Table 1: Study characteristics!A4:A171""), $A16=IMPORTRANGE(""https://docs.google.com/spreadsheets/d/1kGrh75X1cNR1D7_FcY9zMnHP8iPO4M5RCRjy6nZY0TY/edit#g"&amp;"id=0"",""Table 1: Study characteristics!B4:B171"")))&gt;0
),
""Include""
)"),"Exclude")</f>
        <v>Exclude</v>
      </c>
      <c r="G16" s="5" t="str">
        <f>IFERROR(__xludf.DUMMYFUNCTION("IFS(
D16=""Exclude"",
FILTER(IMPORTRANGE(""https://docs.google.com/spreadsheets/d/1BJSV3WBYJGRhQ6zExamkszQ5VutGIcaQqmbD9ZTVXMQ/edit#gid=1251630045"",""articles_with_PRISMA_reasons!AB2:AB2113""), $A16=IMPORTRANGE(""https://docs.google.com/spreadsheets/d/1B"&amp;"JSV3WBYJGRhQ6zExamkszQ5VutGIcaQqmbD9ZTVXMQ/edit#gid=1251630045"",""articles_with_PRISMA_reasons!B2:B2113"")),
E16=""Exclude"",
FILTER(IMPORTRANGE(""https://docs.google.com/spreadsheets/d/1qpEmbGH0JjaJbUdp21-y2cPbobDbMjr09BbtdKROZWc/edit#gid=1444865654"","&amp;"""articles_with_PRISMA_reasons!Z2:Z2113""), $A16=IMPORTRANGE(""https://docs.google.com/spreadsheets/d/1qpEmbGH0JjaJbUdp21-y2cPbobDbMjr09BbtdKROZWc/edit#gid=1444865654"",""articles_with_PRISMA_reasons!B2:B2113"")),F16
=""Include"",FILTER(IMPORTRANGE(""http"&amp;"s://docs.google.com/spreadsheets/d/1kGrh75X1cNR1D7_FcY9zMnHP8iPO4M5RCRjy6nZY0TY/edit#gid=0"",""Table 1: Study characteristics!A4:A171""), $A16=IMPORTRANGE(""https://docs.google.com/spreadsheets/d/1kGrh75X1cNR1D7_FcY9zMnHP8iPO4M5RCRjy6nZY0TY/edit#gid=0"","&amp;"""Table 1: Study characteristics!B4:B171""))
)"),"wrong population")</f>
        <v>wrong population</v>
      </c>
    </row>
    <row r="17">
      <c r="A17" s="4" t="str">
        <f>IFERROR(__xludf.DUMMYFUNCTION("""COMPUTED_VALUE"""),"[Care and control of the myelomeningocele in practice]")</f>
        <v>[Care and control of the myelomeningocele in practice]</v>
      </c>
      <c r="B17" s="5" t="str">
        <f>IFERROR(__xludf.DUMMYFUNCTION("LEFT(FILTER(IMPORTRANGE(""https://docs.google.com/spreadsheets/d/1BJSV3WBYJGRhQ6zExamkszQ5VutGIcaQqmbD9ZTVXMQ/edit#gid=1251630045"",""articles_with_PRISMA_reasons!K2:K2113""), $A17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$A17=IMPORTRANGE(""https://docs.google.com/spreadsheets/d/1BJSV3WBYJGRhQ6zExamkszQ5VutGIcaQqmbD9ZTVXMQ/edit#gid=1251630045"",""articles_with_PRISMA_reasons!B2:B2113"")))-1)"),"Kuffer")</f>
        <v>Kuffer</v>
      </c>
      <c r="C17" s="6">
        <f>IFERROR(__xludf.DUMMYFUNCTION("FILTER(IMPORTRANGE(""https://docs.google.com/spreadsheets/d/1BJSV3WBYJGRhQ6zExamkszQ5VutGIcaQqmbD9ZTVXMQ/edit#gid=1251630045"",""articles_with_PRISMA_reasons!C2:C2113""), $A17=IMPORTRANGE(""https://docs.google.com/spreadsheets/d/1BJSV3WBYJGRhQ6zExamkszQ5V"&amp;"utGIcaQqmbD9ZTVXMQ/edit#gid=1251630045"",""articles_with_PRISMA_reasons!B2:B2113""))"),1968.0)</f>
        <v>1968</v>
      </c>
      <c r="D17" s="5" t="str">
        <f>IFERROR(__xludf.DUMMYFUNCTION("IFS(AND(
FILTER(IMPORTRANGE(""https://docs.google.com/spreadsheets/d/1BJSV3WBYJGRhQ6zExamkszQ5VutGIcaQqmbD9ZTVXMQ/edit#gid=1251630045"",""articles_with_PRISMA_reasons!Y2:Y2113""), $A17=IMPORTRANGE(""https://docs.google.com/spreadsheets/d/1BJSV3WBYJGRhQ6zE"&amp;"xamkszQ5VutGIcaQqmbD9ZTVXMQ/edit#gid=1251630045"",""articles_with_PRISMA_reasons!B2:B2113""))&gt;=2,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$A17=IMPORTRANGE(""https://docs.google.com/spreadsheets/d/1BJSV3WBYJGRhQ6zExamkszQ5VutGIcaQqmbD9ZTVXMQ/edit#gid=1251630045"",""articles_with_PRISMA_reasons!B2:B2113""))&lt;2),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$A17=IMPORTRANGE(""https://docs.google.com/spreadsheets/d/1BJSV3WBYJGRhQ6zExamkszQ5VutGIcaQqmbD9ZTVXMQ/edit#gid=1251630045"",""article"&amp;"s_with_PRISMA_reasons!B2:B2113""))&lt;2,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$A17=IMPORTRANGE(""https://docs.google.com/spr"&amp;"eadsheets/d/1BJSV3WBYJGRhQ6zExamkszQ5VutGIcaQqmbD9ZTVXMQ/edit#gid=1251630045"",""articles_with_PRISMA_reasons!B2:B2113""))&gt;=2),
""Exclude""
)"),"Exclude")</f>
        <v>Exclude</v>
      </c>
      <c r="E17" s="5" t="str">
        <f>IFERROR(__xludf.DUMMYFUNCTION("IFS(
D17=""Exclude"",""Exclude"",
AND(
FILTER(IMPORTRANGE(""https://docs.google.com/spreadsheets/d/1qpEmbGH0JjaJbUdp21-y2cPbobDbMjr09BbtdKROZWc/edit#gid=1444865654"",""articles_with_PRISMA_reasons!W2:W2113""), $A17=IMPORTRANGE(""https://docs.google.com/sp"&amp;"readsheets/d/1qpEmbGH0JjaJbUdp21-y2cPbobDbMjr09BbtdKROZWc/edit#gid=1444865654"",""articles_with_PRISMA_reasons!B2:B2113""))&gt;=2,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$A17=IMPORTRANGE(""https://docs.google.com/spreadsheets/d/1qpEmbGH0JjaJbUdp21-y2cPbobDbMjr09BbtdKROZWc/edit#gid=1444865654"",""articles_with_PRISMA_reasons!B2:B2113""))&lt;2),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$A17=IMPORTRANGE(""https://docs.google.com/spreadsheets/d/1qpEmbGH0JjaJbUdp21-y2cPbobDbMjr09BbtdKROZWc/"&amp;"edit#gid=1444865654"",""articles_with_PRISMA_reasons!B2:B2113""))&lt;2,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$A17=IMPORTRANG"&amp;"E(""https://docs.google.com/spreadsheets/d/1qpEmbGH0JjaJbUdp21-y2cPbobDbMjr09BbtdKROZWc/edit#gid=1444865654"",""articles_with_PRISMA_reasons!B2:B2113""))&gt;=2),
""Exclude""
)"),"Exclude")</f>
        <v>Exclude</v>
      </c>
      <c r="F17" s="5" t="str">
        <f>IFERROR(__xludf.DUMMYFUNCTION("IFS(
E17=""Exclude"",""Exclude"",
AND(
COUNTIF(
IMPORTRANGE(""https://docs.google.com/spreadsheets/d/1kGrh75X1cNR1D7_FcY9zMnHP8iPO4M5RCRjy6nZY0TY/edit#gid=0"",""Table 1: Study characteristics!B4:B171""),A17)&gt;0,
COUNTIF(Studies!$A$2:$A$85,FILTER(IMPORTRANG"&amp;"E(""https://docs.google.com/spreadsheets/d/1kGrh75X1cNR1D7_FcY9zMnHP8iPO4M5RCRjy6nZY0TY/edit#gid=0"",""Table 1: Study characteristics!A4:A171""), $A17=IMPORTRANGE(""https://docs.google.com/spreadsheets/d/1kGrh75X1cNR1D7_FcY9zMnHP8iPO4M5RCRjy6nZY0TY/edit#g"&amp;"id=0"",""Table 1: Study characteristics!B4:B171"")))&gt;0
),
""Include""
)"),"Exclude")</f>
        <v>Exclude</v>
      </c>
      <c r="G17" s="5" t="str">
        <f>IFERROR(__xludf.DUMMYFUNCTION("IFS(
D17=""Exclude"",
FILTER(IMPORTRANGE(""https://docs.google.com/spreadsheets/d/1BJSV3WBYJGRhQ6zExamkszQ5VutGIcaQqmbD9ZTVXMQ/edit#gid=1251630045"",""articles_with_PRISMA_reasons!AB2:AB2113""), $A17=IMPORTRANGE(""https://docs.google.com/spreadsheets/d/1B"&amp;"JSV3WBYJGRhQ6zExamkszQ5VutGIcaQqmbD9ZTVXMQ/edit#gid=1251630045"",""articles_with_PRISMA_reasons!B2:B2113"")),
E17=""Exclude"",
FILTER(IMPORTRANGE(""https://docs.google.com/spreadsheets/d/1qpEmbGH0JjaJbUdp21-y2cPbobDbMjr09BbtdKROZWc/edit#gid=1444865654"","&amp;"""articles_with_PRISMA_reasons!Z2:Z2113""), $A17=IMPORTRANGE(""https://docs.google.com/spreadsheets/d/1qpEmbGH0JjaJbUdp21-y2cPbobDbMjr09BbtdKROZWc/edit#gid=1444865654"",""articles_with_PRISMA_reasons!B2:B2113"")),F17
=""Include"",FILTER(IMPORTRANGE(""http"&amp;"s://docs.google.com/spreadsheets/d/1kGrh75X1cNR1D7_FcY9zMnHP8iPO4M5RCRjy6nZY0TY/edit#gid=0"",""Table 1: Study characteristics!A4:A171""), $A17=IMPORTRANGE(""https://docs.google.com/spreadsheets/d/1kGrh75X1cNR1D7_FcY9zMnHP8iPO4M5RCRjy6nZY0TY/edit#gid=0"","&amp;"""Table 1: Study characteristics!B4:B171""))
)"),"wrong study design")</f>
        <v>wrong study design</v>
      </c>
    </row>
    <row r="18">
      <c r="A18" s="4" t="str">
        <f>IFERROR(__xludf.DUMMYFUNCTION("""COMPUTED_VALUE"""),"[Cerebral ultrasonography in children during the 1st year of life. A method for diagnosis and follow-up of ventricular dilatation]")</f>
        <v>[Cerebral ultrasonography in children during the 1st year of life. A method for diagnosis and follow-up of ventricular dilatation]</v>
      </c>
      <c r="B18" s="5" t="str">
        <f>IFERROR(__xludf.DUMMYFUNCTION("LEFT(FILTER(IMPORTRANGE(""https://docs.google.com/spreadsheets/d/1BJSV3WBYJGRhQ6zExamkszQ5VutGIcaQqmbD9ZTVXMQ/edit#gid=1251630045"",""articles_with_PRISMA_reasons!K2:K2113""), $A18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$A18=IMPORTRANGE(""https://docs.google.com/spreadsheets/d/1BJSV3WBYJGRhQ6zExamkszQ5VutGIcaQqmbD9ZTVXMQ/edit#gid=1251630045"",""articles_with_PRISMA_reasons!B2:B2113"")))-1)"),"Machado")</f>
        <v>Machado</v>
      </c>
      <c r="C18" s="6">
        <f>IFERROR(__xludf.DUMMYFUNCTION("FILTER(IMPORTRANGE(""https://docs.google.com/spreadsheets/d/1BJSV3WBYJGRhQ6zExamkszQ5VutGIcaQqmbD9ZTVXMQ/edit#gid=1251630045"",""articles_with_PRISMA_reasons!C2:C2113""), $A18=IMPORTRANGE(""https://docs.google.com/spreadsheets/d/1BJSV3WBYJGRhQ6zExamkszQ5V"&amp;"utGIcaQqmbD9ZTVXMQ/edit#gid=1251630045"",""articles_with_PRISMA_reasons!B2:B2113""))"),1982.0)</f>
        <v>1982</v>
      </c>
      <c r="D18" s="5" t="str">
        <f>IFERROR(__xludf.DUMMYFUNCTION("IFS(AND(
FILTER(IMPORTRANGE(""https://docs.google.com/spreadsheets/d/1BJSV3WBYJGRhQ6zExamkszQ5VutGIcaQqmbD9ZTVXMQ/edit#gid=1251630045"",""articles_with_PRISMA_reasons!Y2:Y2113""), $A18=IMPORTRANGE(""https://docs.google.com/spreadsheets/d/1BJSV3WBYJGRhQ6zE"&amp;"xamkszQ5VutGIcaQqmbD9ZTVXMQ/edit#gid=1251630045"",""articles_with_PRISMA_reasons!B2:B2113""))&gt;=2,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$A18=IMPORTRANGE(""https://docs.google.com/spreadsheets/d/1BJSV3WBYJGRhQ6zExamkszQ5VutGIcaQqmbD9ZTVXMQ/edit#gid=1251630045"",""articles_with_PRISMA_reasons!B2:B2113""))&lt;2),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$A18=IMPORTRANGE(""https://docs.google.com/spreadsheets/d/1BJSV3WBYJGRhQ6zExamkszQ5VutGIcaQqmbD9ZTVXMQ/edit#gid=1251630045"",""article"&amp;"s_with_PRISMA_reasons!B2:B2113""))&lt;2,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$A18=IMPORTRANGE(""https://docs.google.com/spr"&amp;"eadsheets/d/1BJSV3WBYJGRhQ6zExamkszQ5VutGIcaQqmbD9ZTVXMQ/edit#gid=1251630045"",""articles_with_PRISMA_reasons!B2:B2113""))&gt;=2),
""Exclude""
)"),"Include")</f>
        <v>Include</v>
      </c>
      <c r="E18" s="5" t="str">
        <f>IFERROR(__xludf.DUMMYFUNCTION("IFS(
D18=""Exclude"",""Exclude"",
AND(
FILTER(IMPORTRANGE(""https://docs.google.com/spreadsheets/d/1qpEmbGH0JjaJbUdp21-y2cPbobDbMjr09BbtdKROZWc/edit#gid=1444865654"",""articles_with_PRISMA_reasons!W2:W2113""), $A18=IMPORTRANGE(""https://docs.google.com/sp"&amp;"readsheets/d/1qpEmbGH0JjaJbUdp21-y2cPbobDbMjr09BbtdKROZWc/edit#gid=1444865654"",""articles_with_PRISMA_reasons!B2:B2113""))&gt;=2,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$A18=IMPORTRANGE(""https://docs.google.com/spreadsheets/d/1qpEmbGH0JjaJbUdp21-y2cPbobDbMjr09BbtdKROZWc/edit#gid=1444865654"",""articles_with_PRISMA_reasons!B2:B2113""))&lt;2),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$A18=IMPORTRANGE(""https://docs.google.com/spreadsheets/d/1qpEmbGH0JjaJbUdp21-y2cPbobDbMjr09BbtdKROZWc/"&amp;"edit#gid=1444865654"",""articles_with_PRISMA_reasons!B2:B2113""))&lt;2,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$A18=IMPORTRANG"&amp;"E(""https://docs.google.com/spreadsheets/d/1qpEmbGH0JjaJbUdp21-y2cPbobDbMjr09BbtdKROZWc/edit#gid=1444865654"",""articles_with_PRISMA_reasons!B2:B2113""))&gt;=2),
""Exclude""
)"),"Exclude")</f>
        <v>Exclude</v>
      </c>
      <c r="F18" s="5" t="str">
        <f>IFERROR(__xludf.DUMMYFUNCTION("IFS(
E18=""Exclude"",""Exclude"",
AND(
COUNTIF(
IMPORTRANGE(""https://docs.google.com/spreadsheets/d/1kGrh75X1cNR1D7_FcY9zMnHP8iPO4M5RCRjy6nZY0TY/edit#gid=0"",""Table 1: Study characteristics!B4:B171""),A18)&gt;0,
COUNTIF(Studies!$A$2:$A$85,FILTER(IMPORTRANG"&amp;"E(""https://docs.google.com/spreadsheets/d/1kGrh75X1cNR1D7_FcY9zMnHP8iPO4M5RCRjy6nZY0TY/edit#gid=0"",""Table 1: Study characteristics!A4:A171""), $A18=IMPORTRANGE(""https://docs.google.com/spreadsheets/d/1kGrh75X1cNR1D7_FcY9zMnHP8iPO4M5RCRjy6nZY0TY/edit#g"&amp;"id=0"",""Table 1: Study characteristics!B4:B171"")))&gt;0
),
""Include""
)"),"Exclude")</f>
        <v>Exclude</v>
      </c>
      <c r="G18" s="5" t="str">
        <f>IFERROR(__xludf.DUMMYFUNCTION("IFS(
D18=""Exclude"",
FILTER(IMPORTRANGE(""https://docs.google.com/spreadsheets/d/1BJSV3WBYJGRhQ6zExamkszQ5VutGIcaQqmbD9ZTVXMQ/edit#gid=1251630045"",""articles_with_PRISMA_reasons!AB2:AB2113""), $A18=IMPORTRANGE(""https://docs.google.com/spreadsheets/d/1B"&amp;"JSV3WBYJGRhQ6zExamkszQ5VutGIcaQqmbD9ZTVXMQ/edit#gid=1251630045"",""articles_with_PRISMA_reasons!B2:B2113"")),
E18=""Exclude"",
FILTER(IMPORTRANGE(""https://docs.google.com/spreadsheets/d/1qpEmbGH0JjaJbUdp21-y2cPbobDbMjr09BbtdKROZWc/edit#gid=1444865654"","&amp;"""articles_with_PRISMA_reasons!Z2:Z2113""), $A18=IMPORTRANGE(""https://docs.google.com/spreadsheets/d/1qpEmbGH0JjaJbUdp21-y2cPbobDbMjr09BbtdKROZWc/edit#gid=1444865654"",""articles_with_PRISMA_reasons!B2:B2113"")),F18
=""Include"",FILTER(IMPORTRANGE(""http"&amp;"s://docs.google.com/spreadsheets/d/1kGrh75X1cNR1D7_FcY9zMnHP8iPO4M5RCRjy6nZY0TY/edit#gid=0"",""Table 1: Study characteristics!A4:A171""), $A18=IMPORTRANGE(""https://docs.google.com/spreadsheets/d/1kGrh75X1cNR1D7_FcY9zMnHP8iPO4M5RCRjy6nZY0TY/edit#gid=0"","&amp;"""Table 1: Study characteristics!B4:B171""))
)"),"wrong population")</f>
        <v>wrong population</v>
      </c>
    </row>
    <row r="19">
      <c r="A19" s="4" t="str">
        <f>IFERROR(__xludf.DUMMYFUNCTION("""COMPUTED_VALUE"""),"[Cerebrospinal fluid cells in children with meningomyelocele]")</f>
        <v>[Cerebrospinal fluid cells in children with meningomyelocele]</v>
      </c>
      <c r="B19" s="5" t="str">
        <f>IFERROR(__xludf.DUMMYFUNCTION("LEFT(FILTER(IMPORTRANGE(""https://docs.google.com/spreadsheets/d/1BJSV3WBYJGRhQ6zExamkszQ5VutGIcaQqmbD9ZTVXMQ/edit#gid=1251630045"",""articles_with_PRISMA_reasons!K2:K2113""), $A19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$A19=IMPORTRANGE(""https://docs.google.com/spreadsheets/d/1BJSV3WBYJGRhQ6zExamkszQ5VutGIcaQqmbD9ZTVXMQ/edit#gid=1251630045"",""articles_with_PRISMA_reasons!B2:B2113"")))-1)"),"Wiersbitzky")</f>
        <v>Wiersbitzky</v>
      </c>
      <c r="C19" s="6">
        <f>IFERROR(__xludf.DUMMYFUNCTION("FILTER(IMPORTRANGE(""https://docs.google.com/spreadsheets/d/1BJSV3WBYJGRhQ6zExamkszQ5VutGIcaQqmbD9ZTVXMQ/edit#gid=1251630045"",""articles_with_PRISMA_reasons!C2:C2113""), $A19=IMPORTRANGE(""https://docs.google.com/spreadsheets/d/1BJSV3WBYJGRhQ6zExamkszQ5V"&amp;"utGIcaQqmbD9ZTVXMQ/edit#gid=1251630045"",""articles_with_PRISMA_reasons!B2:B2113""))"),1967.0)</f>
        <v>1967</v>
      </c>
      <c r="D19" s="5" t="str">
        <f>IFERROR(__xludf.DUMMYFUNCTION("IFS(AND(
FILTER(IMPORTRANGE(""https://docs.google.com/spreadsheets/d/1BJSV3WBYJGRhQ6zExamkszQ5VutGIcaQqmbD9ZTVXMQ/edit#gid=1251630045"",""articles_with_PRISMA_reasons!Y2:Y2113""), $A19=IMPORTRANGE(""https://docs.google.com/spreadsheets/d/1BJSV3WBYJGRhQ6zE"&amp;"xamkszQ5VutGIcaQqmbD9ZTVXMQ/edit#gid=1251630045"",""articles_with_PRISMA_reasons!B2:B2113""))&gt;=2,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$A19=IMPORTRANGE(""https://docs.google.com/spreadsheets/d/1BJSV3WBYJGRhQ6zExamkszQ5VutGIcaQqmbD9ZTVXMQ/edit#gid=1251630045"",""articles_with_PRISMA_reasons!B2:B2113""))&lt;2),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$A19=IMPORTRANGE(""https://docs.google.com/spreadsheets/d/1BJSV3WBYJGRhQ6zExamkszQ5VutGIcaQqmbD9ZTVXMQ/edit#gid=1251630045"",""article"&amp;"s_with_PRISMA_reasons!B2:B2113""))&lt;2,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$A19=IMPORTRANGE(""https://docs.google.com/spr"&amp;"eadsheets/d/1BJSV3WBYJGRhQ6zExamkszQ5VutGIcaQqmbD9ZTVXMQ/edit#gid=1251630045"",""articles_with_PRISMA_reasons!B2:B2113""))&gt;=2),
""Exclude""
)"),"Exclude")</f>
        <v>Exclude</v>
      </c>
      <c r="E19" s="5" t="str">
        <f>IFERROR(__xludf.DUMMYFUNCTION("IFS(
D19=""Exclude"",""Exclude"",
AND(
FILTER(IMPORTRANGE(""https://docs.google.com/spreadsheets/d/1qpEmbGH0JjaJbUdp21-y2cPbobDbMjr09BbtdKROZWc/edit#gid=1444865654"",""articles_with_PRISMA_reasons!W2:W2113""), $A19=IMPORTRANGE(""https://docs.google.com/sp"&amp;"readsheets/d/1qpEmbGH0JjaJbUdp21-y2cPbobDbMjr09BbtdKROZWc/edit#gid=1444865654"",""articles_with_PRISMA_reasons!B2:B2113""))&gt;=2,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$A19=IMPORTRANGE(""https://docs.google.com/spreadsheets/d/1qpEmbGH0JjaJbUdp21-y2cPbobDbMjr09BbtdKROZWc/edit#gid=1444865654"",""articles_with_PRISMA_reasons!B2:B2113""))&lt;2),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$A19=IMPORTRANGE(""https://docs.google.com/spreadsheets/d/1qpEmbGH0JjaJbUdp21-y2cPbobDbMjr09BbtdKROZWc/"&amp;"edit#gid=1444865654"",""articles_with_PRISMA_reasons!B2:B2113""))&lt;2,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$A19=IMPORTRANG"&amp;"E(""https://docs.google.com/spreadsheets/d/1qpEmbGH0JjaJbUdp21-y2cPbobDbMjr09BbtdKROZWc/edit#gid=1444865654"",""articles_with_PRISMA_reasons!B2:B2113""))&gt;=2),
""Exclude""
)"),"Exclude")</f>
        <v>Exclude</v>
      </c>
      <c r="F19" s="5" t="str">
        <f>IFERROR(__xludf.DUMMYFUNCTION("IFS(
E19=""Exclude"",""Exclude"",
AND(
COUNTIF(
IMPORTRANGE(""https://docs.google.com/spreadsheets/d/1kGrh75X1cNR1D7_FcY9zMnHP8iPO4M5RCRjy6nZY0TY/edit#gid=0"",""Table 1: Study characteristics!B4:B171""),A19)&gt;0,
COUNTIF(Studies!$A$2:$A$85,FILTER(IMPORTRANG"&amp;"E(""https://docs.google.com/spreadsheets/d/1kGrh75X1cNR1D7_FcY9zMnHP8iPO4M5RCRjy6nZY0TY/edit#gid=0"",""Table 1: Study characteristics!A4:A171""), $A19=IMPORTRANGE(""https://docs.google.com/spreadsheets/d/1kGrh75X1cNR1D7_FcY9zMnHP8iPO4M5RCRjy6nZY0TY/edit#g"&amp;"id=0"",""Table 1: Study characteristics!B4:B171"")))&gt;0
),
""Include""
)"),"Exclude")</f>
        <v>Exclude</v>
      </c>
      <c r="G19" s="5" t="str">
        <f>IFERROR(__xludf.DUMMYFUNCTION("IFS(
D19=""Exclude"",
FILTER(IMPORTRANGE(""https://docs.google.com/spreadsheets/d/1BJSV3WBYJGRhQ6zExamkszQ5VutGIcaQqmbD9ZTVXMQ/edit#gid=1251630045"",""articles_with_PRISMA_reasons!AB2:AB2113""), $A19=IMPORTRANGE(""https://docs.google.com/spreadsheets/d/1B"&amp;"JSV3WBYJGRhQ6zExamkszQ5VutGIcaQqmbD9ZTVXMQ/edit#gid=1251630045"",""articles_with_PRISMA_reasons!B2:B2113"")),
E19=""Exclude"",
FILTER(IMPORTRANGE(""https://docs.google.com/spreadsheets/d/1qpEmbGH0JjaJbUdp21-y2cPbobDbMjr09BbtdKROZWc/edit#gid=1444865654"","&amp;"""articles_with_PRISMA_reasons!Z2:Z2113""), $A19=IMPORTRANGE(""https://docs.google.com/spreadsheets/d/1qpEmbGH0JjaJbUdp21-y2cPbobDbMjr09BbtdKROZWc/edit#gid=1444865654"",""articles_with_PRISMA_reasons!B2:B2113"")),F19
=""Include"",FILTER(IMPORTRANGE(""http"&amp;"s://docs.google.com/spreadsheets/d/1kGrh75X1cNR1D7_FcY9zMnHP8iPO4M5RCRjy6nZY0TY/edit#gid=0"",""Table 1: Study characteristics!A4:A171""), $A19=IMPORTRANGE(""https://docs.google.com/spreadsheets/d/1kGrh75X1cNR1D7_FcY9zMnHP8iPO4M5RCRjy6nZY0TY/edit#gid=0"","&amp;"""Table 1: Study characteristics!B4:B171""))
)"),"wrong study design")</f>
        <v>wrong study design</v>
      </c>
    </row>
    <row r="20">
      <c r="A20" s="4" t="str">
        <f>IFERROR(__xludf.DUMMYFUNCTION("""COMPUTED_VALUE"""),"[Cervical meningocele and meningomyelocystocele. Apropos of 4 cases]")</f>
        <v>[Cervical meningocele and meningomyelocystocele. Apropos of 4 cases]</v>
      </c>
      <c r="B20" s="5" t="str">
        <f>IFERROR(__xludf.DUMMYFUNCTION("LEFT(FILTER(IMPORTRANGE(""https://docs.google.com/spreadsheets/d/1BJSV3WBYJGRhQ6zExamkszQ5VutGIcaQqmbD9ZTVXMQ/edit#gid=1251630045"",""articles_with_PRISMA_reasons!K2:K2113""), $A20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$A20=IMPORTRANGE(""https://docs.google.com/spreadsheets/d/1BJSV3WBYJGRhQ6zExamkszQ5VutGIcaQqmbD9ZTVXMQ/edit#gid=1251630045"",""articles_with_PRISMA_reasons!B2:B2113"")))-1)"),"May")</f>
        <v>May</v>
      </c>
      <c r="C20" s="6">
        <f>IFERROR(__xludf.DUMMYFUNCTION("FILTER(IMPORTRANGE(""https://docs.google.com/spreadsheets/d/1BJSV3WBYJGRhQ6zExamkszQ5VutGIcaQqmbD9ZTVXMQ/edit#gid=1251630045"",""articles_with_PRISMA_reasons!C2:C2113""), $A20=IMPORTRANGE(""https://docs.google.com/spreadsheets/d/1BJSV3WBYJGRhQ6zExamkszQ5V"&amp;"utGIcaQqmbD9ZTVXMQ/edit#gid=1251630045"",""articles_with_PRISMA_reasons!B2:B2113""))"),1992.0)</f>
        <v>1992</v>
      </c>
      <c r="D20" s="5" t="str">
        <f>IFERROR(__xludf.DUMMYFUNCTION("IFS(AND(
FILTER(IMPORTRANGE(""https://docs.google.com/spreadsheets/d/1BJSV3WBYJGRhQ6zExamkszQ5VutGIcaQqmbD9ZTVXMQ/edit#gid=1251630045"",""articles_with_PRISMA_reasons!Y2:Y2113""), $A20=IMPORTRANGE(""https://docs.google.com/spreadsheets/d/1BJSV3WBYJGRhQ6zE"&amp;"xamkszQ5VutGIcaQqmbD9ZTVXMQ/edit#gid=1251630045"",""articles_with_PRISMA_reasons!B2:B2113""))&gt;=2,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$A20=IMPORTRANGE(""https://docs.google.com/spreadsheets/d/1BJSV3WBYJGRhQ6zExamkszQ5VutGIcaQqmbD9ZTVXMQ/edit#gid=1251630045"",""articles_with_PRISMA_reasons!B2:B2113""))&lt;2),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$A20=IMPORTRANGE(""https://docs.google.com/spreadsheets/d/1BJSV3WBYJGRhQ6zExamkszQ5VutGIcaQqmbD9ZTVXMQ/edit#gid=1251630045"",""article"&amp;"s_with_PRISMA_reasons!B2:B2113""))&lt;2,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$A20=IMPORTRANGE(""https://docs.google.com/spr"&amp;"eadsheets/d/1BJSV3WBYJGRhQ6zExamkszQ5VutGIcaQqmbD9ZTVXMQ/edit#gid=1251630045"",""articles_with_PRISMA_reasons!B2:B2113""))&gt;=2),
""Exclude""
)"),"Exclude")</f>
        <v>Exclude</v>
      </c>
      <c r="E20" s="5" t="str">
        <f>IFERROR(__xludf.DUMMYFUNCTION("IFS(
D20=""Exclude"",""Exclude"",
AND(
FILTER(IMPORTRANGE(""https://docs.google.com/spreadsheets/d/1qpEmbGH0JjaJbUdp21-y2cPbobDbMjr09BbtdKROZWc/edit#gid=1444865654"",""articles_with_PRISMA_reasons!W2:W2113""), $A20=IMPORTRANGE(""https://docs.google.com/sp"&amp;"readsheets/d/1qpEmbGH0JjaJbUdp21-y2cPbobDbMjr09BbtdKROZWc/edit#gid=1444865654"",""articles_with_PRISMA_reasons!B2:B2113""))&gt;=2,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$A20=IMPORTRANGE(""https://docs.google.com/spreadsheets/d/1qpEmbGH0JjaJbUdp21-y2cPbobDbMjr09BbtdKROZWc/edit#gid=1444865654"",""articles_with_PRISMA_reasons!B2:B2113""))&lt;2),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$A20=IMPORTRANGE(""https://docs.google.com/spreadsheets/d/1qpEmbGH0JjaJbUdp21-y2cPbobDbMjr09BbtdKROZWc/"&amp;"edit#gid=1444865654"",""articles_with_PRISMA_reasons!B2:B2113""))&lt;2,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$A20=IMPORTRANG"&amp;"E(""https://docs.google.com/spreadsheets/d/1qpEmbGH0JjaJbUdp21-y2cPbobDbMjr09BbtdKROZWc/edit#gid=1444865654"",""articles_with_PRISMA_reasons!B2:B2113""))&gt;=2),
""Exclude""
)"),"Exclude")</f>
        <v>Exclude</v>
      </c>
      <c r="F20" s="5" t="str">
        <f>IFERROR(__xludf.DUMMYFUNCTION("IFS(
E20=""Exclude"",""Exclude"",
AND(
COUNTIF(
IMPORTRANGE(""https://docs.google.com/spreadsheets/d/1kGrh75X1cNR1D7_FcY9zMnHP8iPO4M5RCRjy6nZY0TY/edit#gid=0"",""Table 1: Study characteristics!B4:B171""),A20)&gt;0,
COUNTIF(Studies!$A$2:$A$85,FILTER(IMPORTRANG"&amp;"E(""https://docs.google.com/spreadsheets/d/1kGrh75X1cNR1D7_FcY9zMnHP8iPO4M5RCRjy6nZY0TY/edit#gid=0"",""Table 1: Study characteristics!A4:A171""), $A20=IMPORTRANGE(""https://docs.google.com/spreadsheets/d/1kGrh75X1cNR1D7_FcY9zMnHP8iPO4M5RCRjy6nZY0TY/edit#g"&amp;"id=0"",""Table 1: Study characteristics!B4:B171"")))&gt;0
),
""Include""
)"),"Exclude")</f>
        <v>Exclude</v>
      </c>
      <c r="G20" s="5" t="str">
        <f>IFERROR(__xludf.DUMMYFUNCTION("IFS(
D20=""Exclude"",
FILTER(IMPORTRANGE(""https://docs.google.com/spreadsheets/d/1BJSV3WBYJGRhQ6zExamkszQ5VutGIcaQqmbD9ZTVXMQ/edit#gid=1251630045"",""articles_with_PRISMA_reasons!AB2:AB2113""), $A20=IMPORTRANGE(""https://docs.google.com/spreadsheets/d/1B"&amp;"JSV3WBYJGRhQ6zExamkszQ5VutGIcaQqmbD9ZTVXMQ/edit#gid=1251630045"",""articles_with_PRISMA_reasons!B2:B2113"")),
E20=""Exclude"",
FILTER(IMPORTRANGE(""https://docs.google.com/spreadsheets/d/1qpEmbGH0JjaJbUdp21-y2cPbobDbMjr09BbtdKROZWc/edit#gid=1444865654"","&amp;"""articles_with_PRISMA_reasons!Z2:Z2113""), $A20=IMPORTRANGE(""https://docs.google.com/spreadsheets/d/1qpEmbGH0JjaJbUdp21-y2cPbobDbMjr09BbtdKROZWc/edit#gid=1444865654"",""articles_with_PRISMA_reasons!B2:B2113"")),F20
=""Include"",FILTER(IMPORTRANGE(""http"&amp;"s://docs.google.com/spreadsheets/d/1kGrh75X1cNR1D7_FcY9zMnHP8iPO4M5RCRjy6nZY0TY/edit#gid=0"",""Table 1: Study characteristics!A4:A171""), $A20=IMPORTRANGE(""https://docs.google.com/spreadsheets/d/1kGrh75X1cNR1D7_FcY9zMnHP8iPO4M5RCRjy6nZY0TY/edit#gid=0"","&amp;"""Table 1: Study characteristics!B4:B171""))
)"),"wrong publication type")</f>
        <v>wrong publication type</v>
      </c>
    </row>
    <row r="21">
      <c r="A21" s="4" t="str">
        <f>IFERROR(__xludf.DUMMYFUNCTION("""COMPUTED_VALUE"""),"[Children of former cancer patients]")</f>
        <v>[Children of former cancer patients]</v>
      </c>
      <c r="B21" s="5" t="str">
        <f>IFERROR(__xludf.DUMMYFUNCTION("LEFT(FILTER(IMPORTRANGE(""https://docs.google.com/spreadsheets/d/1BJSV3WBYJGRhQ6zExamkszQ5VutGIcaQqmbD9ZTVXMQ/edit#gid=1251630045"",""articles_with_PRISMA_reasons!K2:K2113""), $A21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$A21=IMPORTRANGE(""https://docs.google.com/spreadsheets/d/1BJSV3WBYJGRhQ6zExamkszQ5VutGIcaQqmbD9ZTVXMQ/edit#gid=1251630045"",""articles_with_PRISMA_reasons!B2:B2113"")))-1)"),"Rister")</f>
        <v>Rister</v>
      </c>
      <c r="C21" s="6">
        <f>IFERROR(__xludf.DUMMYFUNCTION("FILTER(IMPORTRANGE(""https://docs.google.com/spreadsheets/d/1BJSV3WBYJGRhQ6zExamkszQ5VutGIcaQqmbD9ZTVXMQ/edit#gid=1251630045"",""articles_with_PRISMA_reasons!C2:C2113""), $A21=IMPORTRANGE(""https://docs.google.com/spreadsheets/d/1BJSV3WBYJGRhQ6zExamkszQ5V"&amp;"utGIcaQqmbD9ZTVXMQ/edit#gid=1251630045"",""articles_with_PRISMA_reasons!B2:B2113""))"),1983.0)</f>
        <v>1983</v>
      </c>
      <c r="D21" s="5" t="str">
        <f>IFERROR(__xludf.DUMMYFUNCTION("IFS(AND(
FILTER(IMPORTRANGE(""https://docs.google.com/spreadsheets/d/1BJSV3WBYJGRhQ6zExamkszQ5VutGIcaQqmbD9ZTVXMQ/edit#gid=1251630045"",""articles_with_PRISMA_reasons!Y2:Y2113""), $A21=IMPORTRANGE(""https://docs.google.com/spreadsheets/d/1BJSV3WBYJGRhQ6zE"&amp;"xamkszQ5VutGIcaQqmbD9ZTVXMQ/edit#gid=1251630045"",""articles_with_PRISMA_reasons!B2:B2113""))&gt;=2,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$A21=IMPORTRANGE(""https://docs.google.com/spreadsheets/d/1BJSV3WBYJGRhQ6zExamkszQ5VutGIcaQqmbD9ZTVXMQ/edit#gid=1251630045"",""articles_with_PRISMA_reasons!B2:B2113""))&lt;2),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$A21=IMPORTRANGE(""https://docs.google.com/spreadsheets/d/1BJSV3WBYJGRhQ6zExamkszQ5VutGIcaQqmbD9ZTVXMQ/edit#gid=1251630045"",""article"&amp;"s_with_PRISMA_reasons!B2:B2113""))&lt;2,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$A21=IMPORTRANGE(""https://docs.google.com/spr"&amp;"eadsheets/d/1BJSV3WBYJGRhQ6zExamkszQ5VutGIcaQqmbD9ZTVXMQ/edit#gid=1251630045"",""articles_with_PRISMA_reasons!B2:B2113""))&gt;=2),
""Exclude""
)"),"Exclude")</f>
        <v>Exclude</v>
      </c>
      <c r="E21" s="5" t="str">
        <f>IFERROR(__xludf.DUMMYFUNCTION("IFS(
D21=""Exclude"",""Exclude"",
AND(
FILTER(IMPORTRANGE(""https://docs.google.com/spreadsheets/d/1qpEmbGH0JjaJbUdp21-y2cPbobDbMjr09BbtdKROZWc/edit#gid=1444865654"",""articles_with_PRISMA_reasons!W2:W2113""), $A21=IMPORTRANGE(""https://docs.google.com/sp"&amp;"readsheets/d/1qpEmbGH0JjaJbUdp21-y2cPbobDbMjr09BbtdKROZWc/edit#gid=1444865654"",""articles_with_PRISMA_reasons!B2:B2113""))&gt;=2,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$A21=IMPORTRANGE(""https://docs.google.com/spreadsheets/d/1qpEmbGH0JjaJbUdp21-y2cPbobDbMjr09BbtdKROZWc/edit#gid=1444865654"",""articles_with_PRISMA_reasons!B2:B2113""))&lt;2),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$A21=IMPORTRANGE(""https://docs.google.com/spreadsheets/d/1qpEmbGH0JjaJbUdp21-y2cPbobDbMjr09BbtdKROZWc/"&amp;"edit#gid=1444865654"",""articles_with_PRISMA_reasons!B2:B2113""))&lt;2,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$A21=IMPORTRANG"&amp;"E(""https://docs.google.com/spreadsheets/d/1qpEmbGH0JjaJbUdp21-y2cPbobDbMjr09BbtdKROZWc/edit#gid=1444865654"",""articles_with_PRISMA_reasons!B2:B2113""))&gt;=2),
""Exclude""
)"),"Exclude")</f>
        <v>Exclude</v>
      </c>
      <c r="F21" s="5" t="str">
        <f>IFERROR(__xludf.DUMMYFUNCTION("IFS(
E21=""Exclude"",""Exclude"",
AND(
COUNTIF(
IMPORTRANGE(""https://docs.google.com/spreadsheets/d/1kGrh75X1cNR1D7_FcY9zMnHP8iPO4M5RCRjy6nZY0TY/edit#gid=0"",""Table 1: Study characteristics!B4:B171""),A21)&gt;0,
COUNTIF(Studies!$A$2:$A$85,FILTER(IMPORTRANG"&amp;"E(""https://docs.google.com/spreadsheets/d/1kGrh75X1cNR1D7_FcY9zMnHP8iPO4M5RCRjy6nZY0TY/edit#gid=0"",""Table 1: Study characteristics!A4:A171""), $A21=IMPORTRANGE(""https://docs.google.com/spreadsheets/d/1kGrh75X1cNR1D7_FcY9zMnHP8iPO4M5RCRjy6nZY0TY/edit#g"&amp;"id=0"",""Table 1: Study characteristics!B4:B171"")))&gt;0
),
""Include""
)"),"Exclude")</f>
        <v>Exclude</v>
      </c>
      <c r="G21" s="5" t="str">
        <f>IFERROR(__xludf.DUMMYFUNCTION("IFS(
D21=""Exclude"",
FILTER(IMPORTRANGE(""https://docs.google.com/spreadsheets/d/1BJSV3WBYJGRhQ6zExamkszQ5VutGIcaQqmbD9ZTVXMQ/edit#gid=1251630045"",""articles_with_PRISMA_reasons!AB2:AB2113""), $A21=IMPORTRANGE(""https://docs.google.com/spreadsheets/d/1B"&amp;"JSV3WBYJGRhQ6zExamkszQ5VutGIcaQqmbD9ZTVXMQ/edit#gid=1251630045"",""articles_with_PRISMA_reasons!B2:B2113"")),
E21=""Exclude"",
FILTER(IMPORTRANGE(""https://docs.google.com/spreadsheets/d/1qpEmbGH0JjaJbUdp21-y2cPbobDbMjr09BbtdKROZWc/edit#gid=1444865654"","&amp;"""articles_with_PRISMA_reasons!Z2:Z2113""), $A21=IMPORTRANGE(""https://docs.google.com/spreadsheets/d/1qpEmbGH0JjaJbUdp21-y2cPbobDbMjr09BbtdKROZWc/edit#gid=1444865654"",""articles_with_PRISMA_reasons!B2:B2113"")),F21
=""Include"",FILTER(IMPORTRANGE(""http"&amp;"s://docs.google.com/spreadsheets/d/1kGrh75X1cNR1D7_FcY9zMnHP8iPO4M5RCRjy6nZY0TY/edit#gid=0"",""Table 1: Study characteristics!A4:A171""), $A21=IMPORTRANGE(""https://docs.google.com/spreadsheets/d/1kGrh75X1cNR1D7_FcY9zMnHP8iPO4M5RCRjy6nZY0TY/edit#gid=0"","&amp;"""Table 1: Study characteristics!B4:B171""))
)"),"wrong population")</f>
        <v>wrong population</v>
      </c>
    </row>
    <row r="22">
      <c r="A22" s="4" t="str">
        <f>IFERROR(__xludf.DUMMYFUNCTION("""COMPUTED_VALUE"""),"[Children with spina bifida--report on a 10 year series]")</f>
        <v>[Children with spina bifida--report on a 10 year series]</v>
      </c>
      <c r="B22" s="5" t="str">
        <f>IFERROR(__xludf.DUMMYFUNCTION("LEFT(FILTER(IMPORTRANGE(""https://docs.google.com/spreadsheets/d/1BJSV3WBYJGRhQ6zExamkszQ5VutGIcaQqmbD9ZTVXMQ/edit#gid=1251630045"",""articles_with_PRISMA_reasons!K2:K2113""), $A22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$A22=IMPORTRANGE(""https://docs.google.com/spreadsheets/d/1BJSV3WBYJGRhQ6zExamkszQ5VutGIcaQqmbD9ZTVXMQ/edit#gid=1251630045"",""articles_with_PRISMA_reasons!B2:B2113"")))-1)"),"Borjeson")</f>
        <v>Borjeson</v>
      </c>
      <c r="C22" s="6">
        <f>IFERROR(__xludf.DUMMYFUNCTION("FILTER(IMPORTRANGE(""https://docs.google.com/spreadsheets/d/1BJSV3WBYJGRhQ6zExamkszQ5VutGIcaQqmbD9ZTVXMQ/edit#gid=1251630045"",""articles_with_PRISMA_reasons!C2:C2113""), $A22=IMPORTRANGE(""https://docs.google.com/spreadsheets/d/1BJSV3WBYJGRhQ6zExamkszQ5V"&amp;"utGIcaQqmbD9ZTVXMQ/edit#gid=1251630045"",""articles_with_PRISMA_reasons!B2:B2113""))"),1978.0)</f>
        <v>1978</v>
      </c>
      <c r="D22" s="5" t="str">
        <f>IFERROR(__xludf.DUMMYFUNCTION("IFS(AND(
FILTER(IMPORTRANGE(""https://docs.google.com/spreadsheets/d/1BJSV3WBYJGRhQ6zExamkszQ5VutGIcaQqmbD9ZTVXMQ/edit#gid=1251630045"",""articles_with_PRISMA_reasons!Y2:Y2113""), $A22=IMPORTRANGE(""https://docs.google.com/spreadsheets/d/1BJSV3WBYJGRhQ6zE"&amp;"xamkszQ5VutGIcaQqmbD9ZTVXMQ/edit#gid=1251630045"",""articles_with_PRISMA_reasons!B2:B2113""))&gt;=2,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$A22=IMPORTRANGE(""https://docs.google.com/spreadsheets/d/1BJSV3WBYJGRhQ6zExamkszQ5VutGIcaQqmbD9ZTVXMQ/edit#gid=1251630045"",""articles_with_PRISMA_reasons!B2:B2113""))&lt;2),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$A22=IMPORTRANGE(""https://docs.google.com/spreadsheets/d/1BJSV3WBYJGRhQ6zExamkszQ5VutGIcaQqmbD9ZTVXMQ/edit#gid=1251630045"",""article"&amp;"s_with_PRISMA_reasons!B2:B2113""))&lt;2,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$A22=IMPORTRANGE(""https://docs.google.com/spr"&amp;"eadsheets/d/1BJSV3WBYJGRhQ6zExamkszQ5VutGIcaQqmbD9ZTVXMQ/edit#gid=1251630045"",""articles_with_PRISMA_reasons!B2:B2113""))&gt;=2),
""Exclude""
)"),"Exclude")</f>
        <v>Exclude</v>
      </c>
      <c r="E22" s="5" t="str">
        <f>IFERROR(__xludf.DUMMYFUNCTION("IFS(
D22=""Exclude"",""Exclude"",
AND(
FILTER(IMPORTRANGE(""https://docs.google.com/spreadsheets/d/1qpEmbGH0JjaJbUdp21-y2cPbobDbMjr09BbtdKROZWc/edit#gid=1444865654"",""articles_with_PRISMA_reasons!W2:W2113""), $A22=IMPORTRANGE(""https://docs.google.com/sp"&amp;"readsheets/d/1qpEmbGH0JjaJbUdp21-y2cPbobDbMjr09BbtdKROZWc/edit#gid=1444865654"",""articles_with_PRISMA_reasons!B2:B2113""))&gt;=2,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$A22=IMPORTRANGE(""https://docs.google.com/spreadsheets/d/1qpEmbGH0JjaJbUdp21-y2cPbobDbMjr09BbtdKROZWc/edit#gid=1444865654"",""articles_with_PRISMA_reasons!B2:B2113""))&lt;2),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$A22=IMPORTRANGE(""https://docs.google.com/spreadsheets/d/1qpEmbGH0JjaJbUdp21-y2cPbobDbMjr09BbtdKROZWc/"&amp;"edit#gid=1444865654"",""articles_with_PRISMA_reasons!B2:B2113""))&lt;2,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$A22=IMPORTRANG"&amp;"E(""https://docs.google.com/spreadsheets/d/1qpEmbGH0JjaJbUdp21-y2cPbobDbMjr09BbtdKROZWc/edit#gid=1444865654"",""articles_with_PRISMA_reasons!B2:B2113""))&gt;=2),
""Exclude""
)"),"Exclude")</f>
        <v>Exclude</v>
      </c>
      <c r="F22" s="5" t="str">
        <f>IFERROR(__xludf.DUMMYFUNCTION("IFS(
E22=""Exclude"",""Exclude"",
AND(
COUNTIF(
IMPORTRANGE(""https://docs.google.com/spreadsheets/d/1kGrh75X1cNR1D7_FcY9zMnHP8iPO4M5RCRjy6nZY0TY/edit#gid=0"",""Table 1: Study characteristics!B4:B171""),A22)&gt;0,
COUNTIF(Studies!$A$2:$A$85,FILTER(IMPORTRANG"&amp;"E(""https://docs.google.com/spreadsheets/d/1kGrh75X1cNR1D7_FcY9zMnHP8iPO4M5RCRjy6nZY0TY/edit#gid=0"",""Table 1: Study characteristics!A4:A171""), $A22=IMPORTRANGE(""https://docs.google.com/spreadsheets/d/1kGrh75X1cNR1D7_FcY9zMnHP8iPO4M5RCRjy6nZY0TY/edit#g"&amp;"id=0"",""Table 1: Study characteristics!B4:B171"")))&gt;0
),
""Include""
)"),"Exclude")</f>
        <v>Exclude</v>
      </c>
      <c r="G22" s="5" t="str">
        <f>IFERROR(__xludf.DUMMYFUNCTION("IFS(
D22=""Exclude"",
FILTER(IMPORTRANGE(""https://docs.google.com/spreadsheets/d/1BJSV3WBYJGRhQ6zExamkszQ5VutGIcaQqmbD9ZTVXMQ/edit#gid=1251630045"",""articles_with_PRISMA_reasons!AB2:AB2113""), $A22=IMPORTRANGE(""https://docs.google.com/spreadsheets/d/1B"&amp;"JSV3WBYJGRhQ6zExamkszQ5VutGIcaQqmbD9ZTVXMQ/edit#gid=1251630045"",""articles_with_PRISMA_reasons!B2:B2113"")),
E22=""Exclude"",
FILTER(IMPORTRANGE(""https://docs.google.com/spreadsheets/d/1qpEmbGH0JjaJbUdp21-y2cPbobDbMjr09BbtdKROZWc/edit#gid=1444865654"","&amp;"""articles_with_PRISMA_reasons!Z2:Z2113""), $A22=IMPORTRANGE(""https://docs.google.com/spreadsheets/d/1qpEmbGH0JjaJbUdp21-y2cPbobDbMjr09BbtdKROZWc/edit#gid=1444865654"",""articles_with_PRISMA_reasons!B2:B2113"")),F22
=""Include"",FILTER(IMPORTRANGE(""http"&amp;"s://docs.google.com/spreadsheets/d/1kGrh75X1cNR1D7_FcY9zMnHP8iPO4M5RCRjy6nZY0TY/edit#gid=0"",""Table 1: Study characteristics!A4:A171""), $A22=IMPORTRANGE(""https://docs.google.com/spreadsheets/d/1kGrh75X1cNR1D7_FcY9zMnHP8iPO4M5RCRjy6nZY0TY/edit#gid=0"","&amp;"""Table 1: Study characteristics!B4:B171""))
)"),"wrong population")</f>
        <v>wrong population</v>
      </c>
    </row>
    <row r="23">
      <c r="A23" s="4" t="str">
        <f>IFERROR(__xludf.DUMMYFUNCTION("""COMPUTED_VALUE"""),"[Clinical analysis of shunted hydrocephalic neonates and sucklings--observation on obstruction and infection of shunting system]")</f>
        <v>[Clinical analysis of shunted hydrocephalic neonates and sucklings--observation on obstruction and infection of shunting system]</v>
      </c>
      <c r="B23" s="5" t="str">
        <f>IFERROR(__xludf.DUMMYFUNCTION("LEFT(FILTER(IMPORTRANGE(""https://docs.google.com/spreadsheets/d/1BJSV3WBYJGRhQ6zExamkszQ5VutGIcaQqmbD9ZTVXMQ/edit#gid=1251630045"",""articles_with_PRISMA_reasons!K2:K2113""), $A23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$A23=IMPORTRANGE(""https://docs.google.com/spreadsheets/d/1BJSV3WBYJGRhQ6zExamkszQ5VutGIcaQqmbD9ZTVXMQ/edit#gid=1251630045"",""articles_with_PRISMA_reasons!B2:B2113"")))-1)"),"Hayashi")</f>
        <v>Hayashi</v>
      </c>
      <c r="C23" s="6">
        <f>IFERROR(__xludf.DUMMYFUNCTION("FILTER(IMPORTRANGE(""https://docs.google.com/spreadsheets/d/1BJSV3WBYJGRhQ6zExamkszQ5VutGIcaQqmbD9ZTVXMQ/edit#gid=1251630045"",""articles_with_PRISMA_reasons!C2:C2113""), $A23=IMPORTRANGE(""https://docs.google.com/spreadsheets/d/1BJSV3WBYJGRhQ6zExamkszQ5V"&amp;"utGIcaQqmbD9ZTVXMQ/edit#gid=1251630045"",""articles_with_PRISMA_reasons!B2:B2113""))"),1990.0)</f>
        <v>1990</v>
      </c>
      <c r="D23" s="5" t="str">
        <f>IFERROR(__xludf.DUMMYFUNCTION("IFS(AND(
FILTER(IMPORTRANGE(""https://docs.google.com/spreadsheets/d/1BJSV3WBYJGRhQ6zExamkszQ5VutGIcaQqmbD9ZTVXMQ/edit#gid=1251630045"",""articles_with_PRISMA_reasons!Y2:Y2113""), $A23=IMPORTRANGE(""https://docs.google.com/spreadsheets/d/1BJSV3WBYJGRhQ6zE"&amp;"xamkszQ5VutGIcaQqmbD9ZTVXMQ/edit#gid=1251630045"",""articles_with_PRISMA_reasons!B2:B2113""))&gt;=2,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$A23=IMPORTRANGE(""https://docs.google.com/spreadsheets/d/1BJSV3WBYJGRhQ6zExamkszQ5VutGIcaQqmbD9ZTVXMQ/edit#gid=1251630045"",""articles_with_PRISMA_reasons!B2:B2113""))&lt;2),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$A23=IMPORTRANGE(""https://docs.google.com/spreadsheets/d/1BJSV3WBYJGRhQ6zExamkszQ5VutGIcaQqmbD9ZTVXMQ/edit#gid=1251630045"",""article"&amp;"s_with_PRISMA_reasons!B2:B2113""))&lt;2,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$A23=IMPORTRANGE(""https://docs.google.com/spr"&amp;"eadsheets/d/1BJSV3WBYJGRhQ6zExamkszQ5VutGIcaQqmbD9ZTVXMQ/edit#gid=1251630045"",""articles_with_PRISMA_reasons!B2:B2113""))&gt;=2),
""Exclude""
)"),"Include")</f>
        <v>Include</v>
      </c>
      <c r="E23" s="5" t="str">
        <f>IFERROR(__xludf.DUMMYFUNCTION("IFS(
D23=""Exclude"",""Exclude"",
AND(
FILTER(IMPORTRANGE(""https://docs.google.com/spreadsheets/d/1qpEmbGH0JjaJbUdp21-y2cPbobDbMjr09BbtdKROZWc/edit#gid=1444865654"",""articles_with_PRISMA_reasons!W2:W2113""), $A23=IMPORTRANGE(""https://docs.google.com/sp"&amp;"readsheets/d/1qpEmbGH0JjaJbUdp21-y2cPbobDbMjr09BbtdKROZWc/edit#gid=1444865654"",""articles_with_PRISMA_reasons!B2:B2113""))&gt;=2,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$A23=IMPORTRANGE(""https://docs.google.com/spreadsheets/d/1qpEmbGH0JjaJbUdp21-y2cPbobDbMjr09BbtdKROZWc/edit#gid=1444865654"",""articles_with_PRISMA_reasons!B2:B2113""))&lt;2),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$A23=IMPORTRANGE(""https://docs.google.com/spreadsheets/d/1qpEmbGH0JjaJbUdp21-y2cPbobDbMjr09BbtdKROZWc/"&amp;"edit#gid=1444865654"",""articles_with_PRISMA_reasons!B2:B2113""))&lt;2,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$A23=IMPORTRANG"&amp;"E(""https://docs.google.com/spreadsheets/d/1qpEmbGH0JjaJbUdp21-y2cPbobDbMjr09BbtdKROZWc/edit#gid=1444865654"",""articles_with_PRISMA_reasons!B2:B2113""))&gt;=2),
""Exclude""
)"),"Exclude")</f>
        <v>Exclude</v>
      </c>
      <c r="F23" s="5" t="str">
        <f>IFERROR(__xludf.DUMMYFUNCTION("IFS(
E23=""Exclude"",""Exclude"",
AND(
COUNTIF(
IMPORTRANGE(""https://docs.google.com/spreadsheets/d/1kGrh75X1cNR1D7_FcY9zMnHP8iPO4M5RCRjy6nZY0TY/edit#gid=0"",""Table 1: Study characteristics!B4:B171""),A23)&gt;0,
COUNTIF(Studies!$A$2:$A$85,FILTER(IMPORTRANG"&amp;"E(""https://docs.google.com/spreadsheets/d/1kGrh75X1cNR1D7_FcY9zMnHP8iPO4M5RCRjy6nZY0TY/edit#gid=0"",""Table 1: Study characteristics!A4:A171""), $A23=IMPORTRANGE(""https://docs.google.com/spreadsheets/d/1kGrh75X1cNR1D7_FcY9zMnHP8iPO4M5RCRjy6nZY0TY/edit#g"&amp;"id=0"",""Table 1: Study characteristics!B4:B171"")))&gt;0
),
""Include""
)"),"Exclude")</f>
        <v>Exclude</v>
      </c>
      <c r="G23" s="5" t="str">
        <f>IFERROR(__xludf.DUMMYFUNCTION("IFS(
D23=""Exclude"",
FILTER(IMPORTRANGE(""https://docs.google.com/spreadsheets/d/1BJSV3WBYJGRhQ6zExamkszQ5VutGIcaQqmbD9ZTVXMQ/edit#gid=1251630045"",""articles_with_PRISMA_reasons!AB2:AB2113""), $A23=IMPORTRANGE(""https://docs.google.com/spreadsheets/d/1B"&amp;"JSV3WBYJGRhQ6zExamkszQ5VutGIcaQqmbD9ZTVXMQ/edit#gid=1251630045"",""articles_with_PRISMA_reasons!B2:B2113"")),
E23=""Exclude"",
FILTER(IMPORTRANGE(""https://docs.google.com/spreadsheets/d/1qpEmbGH0JjaJbUdp21-y2cPbobDbMjr09BbtdKROZWc/edit#gid=1444865654"","&amp;"""articles_with_PRISMA_reasons!Z2:Z2113""), $A23=IMPORTRANGE(""https://docs.google.com/spreadsheets/d/1qpEmbGH0JjaJbUdp21-y2cPbobDbMjr09BbtdKROZWc/edit#gid=1444865654"",""articles_with_PRISMA_reasons!B2:B2113"")),F23
=""Include"",FILTER(IMPORTRANGE(""http"&amp;"s://docs.google.com/spreadsheets/d/1kGrh75X1cNR1D7_FcY9zMnHP8iPO4M5RCRjy6nZY0TY/edit#gid=0"",""Table 1: Study characteristics!A4:A171""), $A23=IMPORTRANGE(""https://docs.google.com/spreadsheets/d/1kGrh75X1cNR1D7_FcY9zMnHP8iPO4M5RCRjy6nZY0TY/edit#gid=0"","&amp;"""Table 1: Study characteristics!B4:B171""))
)"),"no full text")</f>
        <v>no full text</v>
      </c>
    </row>
    <row r="24">
      <c r="A24" s="4" t="str">
        <f>IFERROR(__xludf.DUMMYFUNCTION("""COMPUTED_VALUE"""),"[Clinical analysis of shunted hydrocephalic neonates and sucklings. Observation of postshunt complication due to overdrainage from intraventricular CSF]")</f>
        <v>[Clinical analysis of shunted hydrocephalic neonates and sucklings. Observation of postshunt complication due to overdrainage from intraventricular CSF]</v>
      </c>
      <c r="B24" s="5" t="str">
        <f>IFERROR(__xludf.DUMMYFUNCTION("LEFT(FILTER(IMPORTRANGE(""https://docs.google.com/spreadsheets/d/1BJSV3WBYJGRhQ6zExamkszQ5VutGIcaQqmbD9ZTVXMQ/edit#gid=1251630045"",""articles_with_PRISMA_reasons!K2:K2113""), $A24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$A24=IMPORTRANGE(""https://docs.google.com/spreadsheets/d/1BJSV3WBYJGRhQ6zExamkszQ5VutGIcaQqmbD9ZTVXMQ/edit#gid=1251630045"",""articles_with_PRISMA_reasons!B2:B2113"")))-1)"),"Hayashi")</f>
        <v>Hayashi</v>
      </c>
      <c r="C24" s="6">
        <f>IFERROR(__xludf.DUMMYFUNCTION("FILTER(IMPORTRANGE(""https://docs.google.com/spreadsheets/d/1BJSV3WBYJGRhQ6zExamkszQ5VutGIcaQqmbD9ZTVXMQ/edit#gid=1251630045"",""articles_with_PRISMA_reasons!C2:C2113""), $A24=IMPORTRANGE(""https://docs.google.com/spreadsheets/d/1BJSV3WBYJGRhQ6zExamkszQ5V"&amp;"utGIcaQqmbD9ZTVXMQ/edit#gid=1251630045"",""articles_with_PRISMA_reasons!B2:B2113""))"),1990.0)</f>
        <v>1990</v>
      </c>
      <c r="D24" s="5" t="str">
        <f>IFERROR(__xludf.DUMMYFUNCTION("IFS(AND(
FILTER(IMPORTRANGE(""https://docs.google.com/spreadsheets/d/1BJSV3WBYJGRhQ6zExamkszQ5VutGIcaQqmbD9ZTVXMQ/edit#gid=1251630045"",""articles_with_PRISMA_reasons!Y2:Y2113""), $A24=IMPORTRANGE(""https://docs.google.com/spreadsheets/d/1BJSV3WBYJGRhQ6zE"&amp;"xamkszQ5VutGIcaQqmbD9ZTVXMQ/edit#gid=1251630045"",""articles_with_PRISMA_reasons!B2:B2113""))&gt;=2,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$A24=IMPORTRANGE(""https://docs.google.com/spreadsheets/d/1BJSV3WBYJGRhQ6zExamkszQ5VutGIcaQqmbD9ZTVXMQ/edit#gid=1251630045"",""articles_with_PRISMA_reasons!B2:B2113""))&lt;2),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$A24=IMPORTRANGE(""https://docs.google.com/spreadsheets/d/1BJSV3WBYJGRhQ6zExamkszQ5VutGIcaQqmbD9ZTVXMQ/edit#gid=1251630045"",""article"&amp;"s_with_PRISMA_reasons!B2:B2113""))&lt;2,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$A24=IMPORTRANGE(""https://docs.google.com/spr"&amp;"eadsheets/d/1BJSV3WBYJGRhQ6zExamkszQ5VutGIcaQqmbD9ZTVXMQ/edit#gid=1251630045"",""articles_with_PRISMA_reasons!B2:B2113""))&gt;=2),
""Exclude""
)"),"Include")</f>
        <v>Include</v>
      </c>
      <c r="E24" s="5" t="str">
        <f>IFERROR(__xludf.DUMMYFUNCTION("IFS(
D24=""Exclude"",""Exclude"",
AND(
FILTER(IMPORTRANGE(""https://docs.google.com/spreadsheets/d/1qpEmbGH0JjaJbUdp21-y2cPbobDbMjr09BbtdKROZWc/edit#gid=1444865654"",""articles_with_PRISMA_reasons!W2:W2113""), $A24=IMPORTRANGE(""https://docs.google.com/sp"&amp;"readsheets/d/1qpEmbGH0JjaJbUdp21-y2cPbobDbMjr09BbtdKROZWc/edit#gid=1444865654"",""articles_with_PRISMA_reasons!B2:B2113""))&gt;=2,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$A24=IMPORTRANGE(""https://docs.google.com/spreadsheets/d/1qpEmbGH0JjaJbUdp21-y2cPbobDbMjr09BbtdKROZWc/edit#gid=1444865654"",""articles_with_PRISMA_reasons!B2:B2113""))&lt;2),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$A24=IMPORTRANGE(""https://docs.google.com/spreadsheets/d/1qpEmbGH0JjaJbUdp21-y2cPbobDbMjr09BbtdKROZWc/"&amp;"edit#gid=1444865654"",""articles_with_PRISMA_reasons!B2:B2113""))&lt;2,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$A24=IMPORTRANG"&amp;"E(""https://docs.google.com/spreadsheets/d/1qpEmbGH0JjaJbUdp21-y2cPbobDbMjr09BbtdKROZWc/edit#gid=1444865654"",""articles_with_PRISMA_reasons!B2:B2113""))&gt;=2),
""Exclude""
)"),"Exclude")</f>
        <v>Exclude</v>
      </c>
      <c r="F24" s="5" t="str">
        <f>IFERROR(__xludf.DUMMYFUNCTION("IFS(
E24=""Exclude"",""Exclude"",
AND(
COUNTIF(
IMPORTRANGE(""https://docs.google.com/spreadsheets/d/1kGrh75X1cNR1D7_FcY9zMnHP8iPO4M5RCRjy6nZY0TY/edit#gid=0"",""Table 1: Study characteristics!B4:B171""),A24)&gt;0,
COUNTIF(Studies!$A$2:$A$85,FILTER(IMPORTRANG"&amp;"E(""https://docs.google.com/spreadsheets/d/1kGrh75X1cNR1D7_FcY9zMnHP8iPO4M5RCRjy6nZY0TY/edit#gid=0"",""Table 1: Study characteristics!A4:A171""), $A24=IMPORTRANGE(""https://docs.google.com/spreadsheets/d/1kGrh75X1cNR1D7_FcY9zMnHP8iPO4M5RCRjy6nZY0TY/edit#g"&amp;"id=0"",""Table 1: Study characteristics!B4:B171"")))&gt;0
),
""Include""
)"),"Exclude")</f>
        <v>Exclude</v>
      </c>
      <c r="G24" s="5" t="str">
        <f>IFERROR(__xludf.DUMMYFUNCTION("IFS(
D24=""Exclude"",
FILTER(IMPORTRANGE(""https://docs.google.com/spreadsheets/d/1BJSV3WBYJGRhQ6zExamkszQ5VutGIcaQqmbD9ZTVXMQ/edit#gid=1251630045"",""articles_with_PRISMA_reasons!AB2:AB2113""), $A24=IMPORTRANGE(""https://docs.google.com/spreadsheets/d/1B"&amp;"JSV3WBYJGRhQ6zExamkszQ5VutGIcaQqmbD9ZTVXMQ/edit#gid=1251630045"",""articles_with_PRISMA_reasons!B2:B2113"")),
E24=""Exclude"",
FILTER(IMPORTRANGE(""https://docs.google.com/spreadsheets/d/1qpEmbGH0JjaJbUdp21-y2cPbobDbMjr09BbtdKROZWc/edit#gid=1444865654"","&amp;"""articles_with_PRISMA_reasons!Z2:Z2113""), $A24=IMPORTRANGE(""https://docs.google.com/spreadsheets/d/1qpEmbGH0JjaJbUdp21-y2cPbobDbMjr09BbtdKROZWc/edit#gid=1444865654"",""articles_with_PRISMA_reasons!B2:B2113"")),F24
=""Include"",FILTER(IMPORTRANGE(""http"&amp;"s://docs.google.com/spreadsheets/d/1kGrh75X1cNR1D7_FcY9zMnHP8iPO4M5RCRjy6nZY0TY/edit#gid=0"",""Table 1: Study characteristics!A4:A171""), $A24=IMPORTRANGE(""https://docs.google.com/spreadsheets/d/1kGrh75X1cNR1D7_FcY9zMnHP8iPO4M5RCRjy6nZY0TY/edit#gid=0"","&amp;"""Table 1: Study characteristics!B4:B171""))
)"),"no full text")</f>
        <v>no full text</v>
      </c>
    </row>
    <row r="25">
      <c r="A25" s="4" t="str">
        <f>IFERROR(__xludf.DUMMYFUNCTION("""COMPUTED_VALUE"""),"[Clinical condition of patients with neural tube defects]")</f>
        <v>[Clinical condition of patients with neural tube defects]</v>
      </c>
      <c r="B25" s="5" t="str">
        <f>IFERROR(__xludf.DUMMYFUNCTION("LEFT(FILTER(IMPORTRANGE(""https://docs.google.com/spreadsheets/d/1BJSV3WBYJGRhQ6zExamkszQ5VutGIcaQqmbD9ZTVXMQ/edit#gid=1251630045"",""articles_with_PRISMA_reasons!K2:K2113""), $A25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$A25=IMPORTRANGE(""https://docs.google.com/spreadsheets/d/1BJSV3WBYJGRhQ6zExamkszQ5VutGIcaQqmbD9ZTVXMQ/edit#gid=1251630045"",""articles_with_PRISMA_reasons!B2:B2113"")))-1)"),"Sabova")</f>
        <v>Sabova</v>
      </c>
      <c r="C25" s="6">
        <f>IFERROR(__xludf.DUMMYFUNCTION("FILTER(IMPORTRANGE(""https://docs.google.com/spreadsheets/d/1BJSV3WBYJGRhQ6zExamkszQ5VutGIcaQqmbD9ZTVXMQ/edit#gid=1251630045"",""articles_with_PRISMA_reasons!C2:C2113""), $A25=IMPORTRANGE(""https://docs.google.com/spreadsheets/d/1BJSV3WBYJGRhQ6zExamkszQ5V"&amp;"utGIcaQqmbD9ZTVXMQ/edit#gid=1251630045"",""articles_with_PRISMA_reasons!B2:B2113""))"),2010.0)</f>
        <v>2010</v>
      </c>
      <c r="D25" s="5" t="str">
        <f>IFERROR(__xludf.DUMMYFUNCTION("IFS(AND(
FILTER(IMPORTRANGE(""https://docs.google.com/spreadsheets/d/1BJSV3WBYJGRhQ6zExamkszQ5VutGIcaQqmbD9ZTVXMQ/edit#gid=1251630045"",""articles_with_PRISMA_reasons!Y2:Y2113""), $A25=IMPORTRANGE(""https://docs.google.com/spreadsheets/d/1BJSV3WBYJGRhQ6zE"&amp;"xamkszQ5VutGIcaQqmbD9ZTVXMQ/edit#gid=1251630045"",""articles_with_PRISMA_reasons!B2:B2113""))&gt;=2,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$A25=IMPORTRANGE(""https://docs.google.com/spreadsheets/d/1BJSV3WBYJGRhQ6zExamkszQ5VutGIcaQqmbD9ZTVXMQ/edit#gid=1251630045"",""articles_with_PRISMA_reasons!B2:B2113""))&lt;2),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$A25=IMPORTRANGE(""https://docs.google.com/spreadsheets/d/1BJSV3WBYJGRhQ6zExamkszQ5VutGIcaQqmbD9ZTVXMQ/edit#gid=1251630045"",""article"&amp;"s_with_PRISMA_reasons!B2:B2113""))&lt;2,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$A25=IMPORTRANGE(""https://docs.google.com/spr"&amp;"eadsheets/d/1BJSV3WBYJGRhQ6zExamkszQ5VutGIcaQqmbD9ZTVXMQ/edit#gid=1251630045"",""articles_with_PRISMA_reasons!B2:B2113""))&gt;=2),
""Exclude""
)"),"Exclude")</f>
        <v>Exclude</v>
      </c>
      <c r="E25" s="5" t="str">
        <f>IFERROR(__xludf.DUMMYFUNCTION("IFS(
D25=""Exclude"",""Exclude"",
AND(
FILTER(IMPORTRANGE(""https://docs.google.com/spreadsheets/d/1qpEmbGH0JjaJbUdp21-y2cPbobDbMjr09BbtdKROZWc/edit#gid=1444865654"",""articles_with_PRISMA_reasons!W2:W2113""), $A25=IMPORTRANGE(""https://docs.google.com/sp"&amp;"readsheets/d/1qpEmbGH0JjaJbUdp21-y2cPbobDbMjr09BbtdKROZWc/edit#gid=1444865654"",""articles_with_PRISMA_reasons!B2:B2113""))&gt;=2,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$A25=IMPORTRANGE(""https://docs.google.com/spreadsheets/d/1qpEmbGH0JjaJbUdp21-y2cPbobDbMjr09BbtdKROZWc/edit#gid=1444865654"",""articles_with_PRISMA_reasons!B2:B2113""))&lt;2),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$A25=IMPORTRANGE(""https://docs.google.com/spreadsheets/d/1qpEmbGH0JjaJbUdp21-y2cPbobDbMjr09BbtdKROZWc/"&amp;"edit#gid=1444865654"",""articles_with_PRISMA_reasons!B2:B2113""))&lt;2,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$A25=IMPORTRANG"&amp;"E(""https://docs.google.com/spreadsheets/d/1qpEmbGH0JjaJbUdp21-y2cPbobDbMjr09BbtdKROZWc/edit#gid=1444865654"",""articles_with_PRISMA_reasons!B2:B2113""))&gt;=2),
""Exclude""
)"),"Exclude")</f>
        <v>Exclude</v>
      </c>
      <c r="F25" s="5" t="str">
        <f>IFERROR(__xludf.DUMMYFUNCTION("IFS(
E25=""Exclude"",""Exclude"",
AND(
COUNTIF(
IMPORTRANGE(""https://docs.google.com/spreadsheets/d/1kGrh75X1cNR1D7_FcY9zMnHP8iPO4M5RCRjy6nZY0TY/edit#gid=0"",""Table 1: Study characteristics!B4:B171""),A25)&gt;0,
COUNTIF(Studies!$A$2:$A$85,FILTER(IMPORTRANG"&amp;"E(""https://docs.google.com/spreadsheets/d/1kGrh75X1cNR1D7_FcY9zMnHP8iPO4M5RCRjy6nZY0TY/edit#gid=0"",""Table 1: Study characteristics!A4:A171""), $A25=IMPORTRANGE(""https://docs.google.com/spreadsheets/d/1kGrh75X1cNR1D7_FcY9zMnHP8iPO4M5RCRjy6nZY0TY/edit#g"&amp;"id=0"",""Table 1: Study characteristics!B4:B171"")))&gt;0
),
""Include""
)"),"Exclude")</f>
        <v>Exclude</v>
      </c>
      <c r="G25" s="5" t="str">
        <f>IFERROR(__xludf.DUMMYFUNCTION("IFS(
D25=""Exclude"",
FILTER(IMPORTRANGE(""https://docs.google.com/spreadsheets/d/1BJSV3WBYJGRhQ6zExamkszQ5VutGIcaQqmbD9ZTVXMQ/edit#gid=1251630045"",""articles_with_PRISMA_reasons!AB2:AB2113""), $A25=IMPORTRANGE(""https://docs.google.com/spreadsheets/d/1B"&amp;"JSV3WBYJGRhQ6zExamkszQ5VutGIcaQqmbD9ZTVXMQ/edit#gid=1251630045"",""articles_with_PRISMA_reasons!B2:B2113"")),
E25=""Exclude"",
FILTER(IMPORTRANGE(""https://docs.google.com/spreadsheets/d/1qpEmbGH0JjaJbUdp21-y2cPbobDbMjr09BbtdKROZWc/edit#gid=1444865654"","&amp;"""articles_with_PRISMA_reasons!Z2:Z2113""), $A25=IMPORTRANGE(""https://docs.google.com/spreadsheets/d/1qpEmbGH0JjaJbUdp21-y2cPbobDbMjr09BbtdKROZWc/edit#gid=1444865654"",""articles_with_PRISMA_reasons!B2:B2113"")),F25
=""Include"",FILTER(IMPORTRANGE(""http"&amp;"s://docs.google.com/spreadsheets/d/1kGrh75X1cNR1D7_FcY9zMnHP8iPO4M5RCRjy6nZY0TY/edit#gid=0"",""Table 1: Study characteristics!A4:A171""), $A25=IMPORTRANGE(""https://docs.google.com/spreadsheets/d/1kGrh75X1cNR1D7_FcY9zMnHP8iPO4M5RCRjy6nZY0TY/edit#gid=0"","&amp;"""Table 1: Study characteristics!B4:B171""))
)"),"wrong population")</f>
        <v>wrong population</v>
      </c>
    </row>
    <row r="26">
      <c r="A26" s="4" t="str">
        <f>IFERROR(__xludf.DUMMYFUNCTION("""COMPUTED_VALUE"""),"[Clinical evaluation of an isolated fourth ventricle]")</f>
        <v>[Clinical evaluation of an isolated fourth ventricle]</v>
      </c>
      <c r="B26" s="5" t="str">
        <f>IFERROR(__xludf.DUMMYFUNCTION("LEFT(FILTER(IMPORTRANGE(""https://docs.google.com/spreadsheets/d/1BJSV3WBYJGRhQ6zExamkszQ5VutGIcaQqmbD9ZTVXMQ/edit#gid=1251630045"",""articles_with_PRISMA_reasons!K2:K2113""), $A26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$A26=IMPORTRANGE(""https://docs.google.com/spreadsheets/d/1BJSV3WBYJGRhQ6zExamkszQ5VutGIcaQqmbD9ZTVXMQ/edit#gid=1251630045"",""articles_with_PRISMA_reasons!B2:B2113"")))-1)"),"Kojima")</f>
        <v>Kojima</v>
      </c>
      <c r="C26" s="6">
        <f>IFERROR(__xludf.DUMMYFUNCTION("FILTER(IMPORTRANGE(""https://docs.google.com/spreadsheets/d/1BJSV3WBYJGRhQ6zExamkszQ5VutGIcaQqmbD9ZTVXMQ/edit#gid=1251630045"",""articles_with_PRISMA_reasons!C2:C2113""), $A26=IMPORTRANGE(""https://docs.google.com/spreadsheets/d/1BJSV3WBYJGRhQ6zExamkszQ5V"&amp;"utGIcaQqmbD9ZTVXMQ/edit#gid=1251630045"",""articles_with_PRISMA_reasons!B2:B2113""))"),1988.0)</f>
        <v>1988</v>
      </c>
      <c r="D26" s="5" t="str">
        <f>IFERROR(__xludf.DUMMYFUNCTION("IFS(AND(
FILTER(IMPORTRANGE(""https://docs.google.com/spreadsheets/d/1BJSV3WBYJGRhQ6zExamkszQ5VutGIcaQqmbD9ZTVXMQ/edit#gid=1251630045"",""articles_with_PRISMA_reasons!Y2:Y2113""), $A26=IMPORTRANGE(""https://docs.google.com/spreadsheets/d/1BJSV3WBYJGRhQ6zE"&amp;"xamkszQ5VutGIcaQqmbD9ZTVXMQ/edit#gid=1251630045"",""articles_with_PRISMA_reasons!B2:B2113""))&gt;=2,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$A26=IMPORTRANGE(""https://docs.google.com/spreadsheets/d/1BJSV3WBYJGRhQ6zExamkszQ5VutGIcaQqmbD9ZTVXMQ/edit#gid=1251630045"",""articles_with_PRISMA_reasons!B2:B2113""))&lt;2),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$A26=IMPORTRANGE(""https://docs.google.com/spreadsheets/d/1BJSV3WBYJGRhQ6zExamkszQ5VutGIcaQqmbD9ZTVXMQ/edit#gid=1251630045"",""article"&amp;"s_with_PRISMA_reasons!B2:B2113""))&lt;2,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$A26=IMPORTRANGE(""https://docs.google.com/spr"&amp;"eadsheets/d/1BJSV3WBYJGRhQ6zExamkszQ5VutGIcaQqmbD9ZTVXMQ/edit#gid=1251630045"",""articles_with_PRISMA_reasons!B2:B2113""))&gt;=2),
""Exclude""
)"),"Exclude")</f>
        <v>Exclude</v>
      </c>
      <c r="E26" s="5" t="str">
        <f>IFERROR(__xludf.DUMMYFUNCTION("IFS(
D26=""Exclude"",""Exclude"",
AND(
FILTER(IMPORTRANGE(""https://docs.google.com/spreadsheets/d/1qpEmbGH0JjaJbUdp21-y2cPbobDbMjr09BbtdKROZWc/edit#gid=1444865654"",""articles_with_PRISMA_reasons!W2:W2113""), $A26=IMPORTRANGE(""https://docs.google.com/sp"&amp;"readsheets/d/1qpEmbGH0JjaJbUdp21-y2cPbobDbMjr09BbtdKROZWc/edit#gid=1444865654"",""articles_with_PRISMA_reasons!B2:B2113""))&gt;=2,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$A26=IMPORTRANGE(""https://docs.google.com/spreadsheets/d/1qpEmbGH0JjaJbUdp21-y2cPbobDbMjr09BbtdKROZWc/edit#gid=1444865654"",""articles_with_PRISMA_reasons!B2:B2113""))&lt;2),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$A26=IMPORTRANGE(""https://docs.google.com/spreadsheets/d/1qpEmbGH0JjaJbUdp21-y2cPbobDbMjr09BbtdKROZWc/"&amp;"edit#gid=1444865654"",""articles_with_PRISMA_reasons!B2:B2113""))&lt;2,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$A26=IMPORTRANG"&amp;"E(""https://docs.google.com/spreadsheets/d/1qpEmbGH0JjaJbUdp21-y2cPbobDbMjr09BbtdKROZWc/edit#gid=1444865654"",""articles_with_PRISMA_reasons!B2:B2113""))&gt;=2),
""Exclude""
)"),"Exclude")</f>
        <v>Exclude</v>
      </c>
      <c r="F26" s="5" t="str">
        <f>IFERROR(__xludf.DUMMYFUNCTION("IFS(
E26=""Exclude"",""Exclude"",
AND(
COUNTIF(
IMPORTRANGE(""https://docs.google.com/spreadsheets/d/1kGrh75X1cNR1D7_FcY9zMnHP8iPO4M5RCRjy6nZY0TY/edit#gid=0"",""Table 1: Study characteristics!B4:B171""),A26)&gt;0,
COUNTIF(Studies!$A$2:$A$85,FILTER(IMPORTRANG"&amp;"E(""https://docs.google.com/spreadsheets/d/1kGrh75X1cNR1D7_FcY9zMnHP8iPO4M5RCRjy6nZY0TY/edit#gid=0"",""Table 1: Study characteristics!A4:A171""), $A26=IMPORTRANGE(""https://docs.google.com/spreadsheets/d/1kGrh75X1cNR1D7_FcY9zMnHP8iPO4M5RCRjy6nZY0TY/edit#g"&amp;"id=0"",""Table 1: Study characteristics!B4:B171"")))&gt;0
),
""Include""
)"),"Exclude")</f>
        <v>Exclude</v>
      </c>
      <c r="G26" s="5" t="str">
        <f>IFERROR(__xludf.DUMMYFUNCTION("IFS(
D26=""Exclude"",
FILTER(IMPORTRANGE(""https://docs.google.com/spreadsheets/d/1BJSV3WBYJGRhQ6zExamkszQ5VutGIcaQqmbD9ZTVXMQ/edit#gid=1251630045"",""articles_with_PRISMA_reasons!AB2:AB2113""), $A26=IMPORTRANGE(""https://docs.google.com/spreadsheets/d/1B"&amp;"JSV3WBYJGRhQ6zExamkszQ5VutGIcaQqmbD9ZTVXMQ/edit#gid=1251630045"",""articles_with_PRISMA_reasons!B2:B2113"")),
E26=""Exclude"",
FILTER(IMPORTRANGE(""https://docs.google.com/spreadsheets/d/1qpEmbGH0JjaJbUdp21-y2cPbobDbMjr09BbtdKROZWc/edit#gid=1444865654"","&amp;"""articles_with_PRISMA_reasons!Z2:Z2113""), $A26=IMPORTRANGE(""https://docs.google.com/spreadsheets/d/1qpEmbGH0JjaJbUdp21-y2cPbobDbMjr09BbtdKROZWc/edit#gid=1444865654"",""articles_with_PRISMA_reasons!B2:B2113"")),F26
=""Include"",FILTER(IMPORTRANGE(""http"&amp;"s://docs.google.com/spreadsheets/d/1kGrh75X1cNR1D7_FcY9zMnHP8iPO4M5RCRjy6nZY0TY/edit#gid=0"",""Table 1: Study characteristics!A4:A171""), $A26=IMPORTRANGE(""https://docs.google.com/spreadsheets/d/1kGrh75X1cNR1D7_FcY9zMnHP8iPO4M5RCRjy6nZY0TY/edit#gid=0"","&amp;"""Table 1: Study characteristics!B4:B171""))
)"),"wrong study design")</f>
        <v>wrong study design</v>
      </c>
    </row>
    <row r="27">
      <c r="A27" s="4" t="str">
        <f>IFERROR(__xludf.DUMMYFUNCTION("""COMPUTED_VALUE"""),"[Clinical manifestations of spinal lesions in dysraphic malformations of the caudal neuropore in children]")</f>
        <v>[Clinical manifestations of spinal lesions in dysraphic malformations of the caudal neuropore in children]</v>
      </c>
      <c r="B27" s="5" t="str">
        <f>IFERROR(__xludf.DUMMYFUNCTION("LEFT(FILTER(IMPORTRANGE(""https://docs.google.com/spreadsheets/d/1BJSV3WBYJGRhQ6zExamkszQ5VutGIcaQqmbD9ZTVXMQ/edit#gid=1251630045"",""articles_with_PRISMA_reasons!K2:K2113""), $A27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$A27=IMPORTRANGE(""https://docs.google.com/spreadsheets/d/1BJSV3WBYJGRhQ6zExamkszQ5VutGIcaQqmbD9ZTVXMQ/edit#gid=1251630045"",""articles_with_PRISMA_reasons!B2:B2113"")))-1)"),"Borisev")</f>
        <v>Borisev</v>
      </c>
      <c r="C27" s="6">
        <f>IFERROR(__xludf.DUMMYFUNCTION("FILTER(IMPORTRANGE(""https://docs.google.com/spreadsheets/d/1BJSV3WBYJGRhQ6zExamkszQ5VutGIcaQqmbD9ZTVXMQ/edit#gid=1251630045"",""articles_with_PRISMA_reasons!C2:C2113""), $A27=IMPORTRANGE(""https://docs.google.com/spreadsheets/d/1BJSV3WBYJGRhQ6zExamkszQ5V"&amp;"utGIcaQqmbD9ZTVXMQ/edit#gid=1251630045"",""articles_with_PRISMA_reasons!B2:B2113""))"),1992.0)</f>
        <v>1992</v>
      </c>
      <c r="D27" s="5" t="str">
        <f>IFERROR(__xludf.DUMMYFUNCTION("IFS(AND(
FILTER(IMPORTRANGE(""https://docs.google.com/spreadsheets/d/1BJSV3WBYJGRhQ6zExamkszQ5VutGIcaQqmbD9ZTVXMQ/edit#gid=1251630045"",""articles_with_PRISMA_reasons!Y2:Y2113""), $A27=IMPORTRANGE(""https://docs.google.com/spreadsheets/d/1BJSV3WBYJGRhQ6zE"&amp;"xamkszQ5VutGIcaQqmbD9ZTVXMQ/edit#gid=1251630045"",""articles_with_PRISMA_reasons!B2:B2113""))&gt;=2,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$A27=IMPORTRANGE(""https://docs.google.com/spreadsheets/d/1BJSV3WBYJGRhQ6zExamkszQ5VutGIcaQqmbD9ZTVXMQ/edit#gid=1251630045"",""articles_with_PRISMA_reasons!B2:B2113""))&lt;2),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$A27=IMPORTRANGE(""https://docs.google.com/spreadsheets/d/1BJSV3WBYJGRhQ6zExamkszQ5VutGIcaQqmbD9ZTVXMQ/edit#gid=1251630045"",""article"&amp;"s_with_PRISMA_reasons!B2:B2113""))&lt;2,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$A27=IMPORTRANGE(""https://docs.google.com/spr"&amp;"eadsheets/d/1BJSV3WBYJGRhQ6zExamkszQ5VutGIcaQqmbD9ZTVXMQ/edit#gid=1251630045"",""articles_with_PRISMA_reasons!B2:B2113""))&gt;=2),
""Exclude""
)"),"Exclude")</f>
        <v>Exclude</v>
      </c>
      <c r="E27" s="5" t="str">
        <f>IFERROR(__xludf.DUMMYFUNCTION("IFS(
D27=""Exclude"",""Exclude"",
AND(
FILTER(IMPORTRANGE(""https://docs.google.com/spreadsheets/d/1qpEmbGH0JjaJbUdp21-y2cPbobDbMjr09BbtdKROZWc/edit#gid=1444865654"",""articles_with_PRISMA_reasons!W2:W2113""), $A27=IMPORTRANGE(""https://docs.google.com/sp"&amp;"readsheets/d/1qpEmbGH0JjaJbUdp21-y2cPbobDbMjr09BbtdKROZWc/edit#gid=1444865654"",""articles_with_PRISMA_reasons!B2:B2113""))&gt;=2,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$A27=IMPORTRANGE(""https://docs.google.com/spreadsheets/d/1qpEmbGH0JjaJbUdp21-y2cPbobDbMjr09BbtdKROZWc/edit#gid=1444865654"",""articles_with_PRISMA_reasons!B2:B2113""))&lt;2),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$A27=IMPORTRANGE(""https://docs.google.com/spreadsheets/d/1qpEmbGH0JjaJbUdp21-y2cPbobDbMjr09BbtdKROZWc/"&amp;"edit#gid=1444865654"",""articles_with_PRISMA_reasons!B2:B2113""))&lt;2,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$A27=IMPORTRANG"&amp;"E(""https://docs.google.com/spreadsheets/d/1qpEmbGH0JjaJbUdp21-y2cPbobDbMjr09BbtdKROZWc/edit#gid=1444865654"",""articles_with_PRISMA_reasons!B2:B2113""))&gt;=2),
""Exclude""
)"),"Exclude")</f>
        <v>Exclude</v>
      </c>
      <c r="F27" s="5" t="str">
        <f>IFERROR(__xludf.DUMMYFUNCTION("IFS(
E27=""Exclude"",""Exclude"",
AND(
COUNTIF(
IMPORTRANGE(""https://docs.google.com/spreadsheets/d/1kGrh75X1cNR1D7_FcY9zMnHP8iPO4M5RCRjy6nZY0TY/edit#gid=0"",""Table 1: Study characteristics!B4:B171""),A27)&gt;0,
COUNTIF(Studies!$A$2:$A$85,FILTER(IMPORTRANG"&amp;"E(""https://docs.google.com/spreadsheets/d/1kGrh75X1cNR1D7_FcY9zMnHP8iPO4M5RCRjy6nZY0TY/edit#gid=0"",""Table 1: Study characteristics!A4:A171""), $A27=IMPORTRANGE(""https://docs.google.com/spreadsheets/d/1kGrh75X1cNR1D7_FcY9zMnHP8iPO4M5RCRjy6nZY0TY/edit#g"&amp;"id=0"",""Table 1: Study characteristics!B4:B171"")))&gt;0
),
""Include""
)"),"Exclude")</f>
        <v>Exclude</v>
      </c>
      <c r="G27" s="5" t="str">
        <f>IFERROR(__xludf.DUMMYFUNCTION("IFS(
D27=""Exclude"",
FILTER(IMPORTRANGE(""https://docs.google.com/spreadsheets/d/1BJSV3WBYJGRhQ6zExamkszQ5VutGIcaQqmbD9ZTVXMQ/edit#gid=1251630045"",""articles_with_PRISMA_reasons!AB2:AB2113""), $A27=IMPORTRANGE(""https://docs.google.com/spreadsheets/d/1B"&amp;"JSV3WBYJGRhQ6zExamkszQ5VutGIcaQqmbD9ZTVXMQ/edit#gid=1251630045"",""articles_with_PRISMA_reasons!B2:B2113"")),
E27=""Exclude"",
FILTER(IMPORTRANGE(""https://docs.google.com/spreadsheets/d/1qpEmbGH0JjaJbUdp21-y2cPbobDbMjr09BbtdKROZWc/edit#gid=1444865654"","&amp;"""articles_with_PRISMA_reasons!Z2:Z2113""), $A27=IMPORTRANGE(""https://docs.google.com/spreadsheets/d/1qpEmbGH0JjaJbUdp21-y2cPbobDbMjr09BbtdKROZWc/edit#gid=1444865654"",""articles_with_PRISMA_reasons!B2:B2113"")),F27
=""Include"",FILTER(IMPORTRANGE(""http"&amp;"s://docs.google.com/spreadsheets/d/1kGrh75X1cNR1D7_FcY9zMnHP8iPO4M5RCRjy6nZY0TY/edit#gid=0"",""Table 1: Study characteristics!A4:A171""), $A27=IMPORTRANGE(""https://docs.google.com/spreadsheets/d/1kGrh75X1cNR1D7_FcY9zMnHP8iPO4M5RCRjy6nZY0TY/edit#gid=0"","&amp;"""Table 1: Study characteristics!B4:B171""))
)"),"wrong population")</f>
        <v>wrong population</v>
      </c>
    </row>
    <row r="28">
      <c r="A28" s="4" t="str">
        <f>IFERROR(__xludf.DUMMYFUNCTION("""COMPUTED_VALUE"""),"[Clinical study on developmental hydrocephalus and its operative timing in lumbo-sacral meningomyelocele]")</f>
        <v>[Clinical study on developmental hydrocephalus and its operative timing in lumbo-sacral meningomyelocele]</v>
      </c>
      <c r="B28" s="5" t="str">
        <f>IFERROR(__xludf.DUMMYFUNCTION("LEFT(FILTER(IMPORTRANGE(""https://docs.google.com/spreadsheets/d/1BJSV3WBYJGRhQ6zExamkszQ5VutGIcaQqmbD9ZTVXMQ/edit#gid=1251630045"",""articles_with_PRISMA_reasons!K2:K2113""), $A28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$A28=IMPORTRANGE(""https://docs.google.com/spreadsheets/d/1BJSV3WBYJGRhQ6zExamkszQ5VutGIcaQqmbD9ZTVXMQ/edit#gid=1251630045"",""articles_with_PRISMA_reasons!B2:B2113"")))-1)"),"Okuyama")</f>
        <v>Okuyama</v>
      </c>
      <c r="C28" s="6">
        <f>IFERROR(__xludf.DUMMYFUNCTION("FILTER(IMPORTRANGE(""https://docs.google.com/spreadsheets/d/1BJSV3WBYJGRhQ6zExamkszQ5VutGIcaQqmbD9ZTVXMQ/edit#gid=1251630045"",""articles_with_PRISMA_reasons!C2:C2113""), $A28=IMPORTRANGE(""https://docs.google.com/spreadsheets/d/1BJSV3WBYJGRhQ6zExamkszQ5V"&amp;"utGIcaQqmbD9ZTVXMQ/edit#gid=1251630045"",""articles_with_PRISMA_reasons!B2:B2113""))"),1990.0)</f>
        <v>1990</v>
      </c>
      <c r="D28" s="5" t="str">
        <f>IFERROR(__xludf.DUMMYFUNCTION("IFS(AND(
FILTER(IMPORTRANGE(""https://docs.google.com/spreadsheets/d/1BJSV3WBYJGRhQ6zExamkszQ5VutGIcaQqmbD9ZTVXMQ/edit#gid=1251630045"",""articles_with_PRISMA_reasons!Y2:Y2113""), $A28=IMPORTRANGE(""https://docs.google.com/spreadsheets/d/1BJSV3WBYJGRhQ6zE"&amp;"xamkszQ5VutGIcaQqmbD9ZTVXMQ/edit#gid=1251630045"",""articles_with_PRISMA_reasons!B2:B2113""))&gt;=2,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$A28=IMPORTRANGE(""https://docs.google.com/spreadsheets/d/1BJSV3WBYJGRhQ6zExamkszQ5VutGIcaQqmbD9ZTVXMQ/edit#gid=1251630045"",""articles_with_PRISMA_reasons!B2:B2113""))&lt;2),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$A28=IMPORTRANGE(""https://docs.google.com/spreadsheets/d/1BJSV3WBYJGRhQ6zExamkszQ5VutGIcaQqmbD9ZTVXMQ/edit#gid=1251630045"",""article"&amp;"s_with_PRISMA_reasons!B2:B2113""))&lt;2,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$A28=IMPORTRANGE(""https://docs.google.com/spr"&amp;"eadsheets/d/1BJSV3WBYJGRhQ6zExamkszQ5VutGIcaQqmbD9ZTVXMQ/edit#gid=1251630045"",""articles_with_PRISMA_reasons!B2:B2113""))&gt;=2),
""Exclude""
)"),"Include")</f>
        <v>Include</v>
      </c>
      <c r="E28" s="5" t="str">
        <f>IFERROR(__xludf.DUMMYFUNCTION("IFS(
D28=""Exclude"",""Exclude"",
AND(
FILTER(IMPORTRANGE(""https://docs.google.com/spreadsheets/d/1qpEmbGH0JjaJbUdp21-y2cPbobDbMjr09BbtdKROZWc/edit#gid=1444865654"",""articles_with_PRISMA_reasons!W2:W2113""), $A28=IMPORTRANGE(""https://docs.google.com/sp"&amp;"readsheets/d/1qpEmbGH0JjaJbUdp21-y2cPbobDbMjr09BbtdKROZWc/edit#gid=1444865654"",""articles_with_PRISMA_reasons!B2:B2113""))&gt;=2,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$A28=IMPORTRANGE(""https://docs.google.com/spreadsheets/d/1qpEmbGH0JjaJbUdp21-y2cPbobDbMjr09BbtdKROZWc/edit#gid=1444865654"",""articles_with_PRISMA_reasons!B2:B2113""))&lt;2),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$A28=IMPORTRANGE(""https://docs.google.com/spreadsheets/d/1qpEmbGH0JjaJbUdp21-y2cPbobDbMjr09BbtdKROZWc/"&amp;"edit#gid=1444865654"",""articles_with_PRISMA_reasons!B2:B2113""))&lt;2,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$A28=IMPORTRANG"&amp;"E(""https://docs.google.com/spreadsheets/d/1qpEmbGH0JjaJbUdp21-y2cPbobDbMjr09BbtdKROZWc/edit#gid=1444865654"",""articles_with_PRISMA_reasons!B2:B2113""))&gt;=2),
""Exclude""
)"),"Exclude")</f>
        <v>Exclude</v>
      </c>
      <c r="F28" s="5" t="str">
        <f>IFERROR(__xludf.DUMMYFUNCTION("IFS(
E28=""Exclude"",""Exclude"",
AND(
COUNTIF(
IMPORTRANGE(""https://docs.google.com/spreadsheets/d/1kGrh75X1cNR1D7_FcY9zMnHP8iPO4M5RCRjy6nZY0TY/edit#gid=0"",""Table 1: Study characteristics!B4:B171""),A28)&gt;0,
COUNTIF(Studies!$A$2:$A$85,FILTER(IMPORTRANG"&amp;"E(""https://docs.google.com/spreadsheets/d/1kGrh75X1cNR1D7_FcY9zMnHP8iPO4M5RCRjy6nZY0TY/edit#gid=0"",""Table 1: Study characteristics!A4:A171""), $A28=IMPORTRANGE(""https://docs.google.com/spreadsheets/d/1kGrh75X1cNR1D7_FcY9zMnHP8iPO4M5RCRjy6nZY0TY/edit#g"&amp;"id=0"",""Table 1: Study characteristics!B4:B171"")))&gt;0
),
""Include""
)"),"Exclude")</f>
        <v>Exclude</v>
      </c>
      <c r="G28" s="5" t="str">
        <f>IFERROR(__xludf.DUMMYFUNCTION("IFS(
D28=""Exclude"",
FILTER(IMPORTRANGE(""https://docs.google.com/spreadsheets/d/1BJSV3WBYJGRhQ6zExamkszQ5VutGIcaQqmbD9ZTVXMQ/edit#gid=1251630045"",""articles_with_PRISMA_reasons!AB2:AB2113""), $A28=IMPORTRANGE(""https://docs.google.com/spreadsheets/d/1B"&amp;"JSV3WBYJGRhQ6zExamkszQ5VutGIcaQqmbD9ZTVXMQ/edit#gid=1251630045"",""articles_with_PRISMA_reasons!B2:B2113"")),
E28=""Exclude"",
FILTER(IMPORTRANGE(""https://docs.google.com/spreadsheets/d/1qpEmbGH0JjaJbUdp21-y2cPbobDbMjr09BbtdKROZWc/edit#gid=1444865654"","&amp;"""articles_with_PRISMA_reasons!Z2:Z2113""), $A28=IMPORTRANGE(""https://docs.google.com/spreadsheets/d/1qpEmbGH0JjaJbUdp21-y2cPbobDbMjr09BbtdKROZWc/edit#gid=1444865654"",""articles_with_PRISMA_reasons!B2:B2113"")),F28
=""Include"",FILTER(IMPORTRANGE(""http"&amp;"s://docs.google.com/spreadsheets/d/1kGrh75X1cNR1D7_FcY9zMnHP8iPO4M5RCRjy6nZY0TY/edit#gid=0"",""Table 1: Study characteristics!A4:A171""), $A28=IMPORTRANGE(""https://docs.google.com/spreadsheets/d/1kGrh75X1cNR1D7_FcY9zMnHP8iPO4M5RCRjy6nZY0TY/edit#gid=0"","&amp;"""Table 1: Study characteristics!B4:B171""))
)"),"no full text")</f>
        <v>no full text</v>
      </c>
    </row>
    <row r="29">
      <c r="A29" s="4" t="str">
        <f>IFERROR(__xludf.DUMMYFUNCTION("""COMPUTED_VALUE"""),"[Complex therapy of children with myelomeningocele]")</f>
        <v>[Complex therapy of children with myelomeningocele]</v>
      </c>
      <c r="B29" s="5" t="str">
        <f>IFERROR(__xludf.DUMMYFUNCTION("LEFT(FILTER(IMPORTRANGE(""https://docs.google.com/spreadsheets/d/1BJSV3WBYJGRhQ6zExamkszQ5VutGIcaQqmbD9ZTVXMQ/edit#gid=1251630045"",""articles_with_PRISMA_reasons!K2:K2113""), $A29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$A29=IMPORTRANGE(""https://docs.google.com/spreadsheets/d/1BJSV3WBYJGRhQ6zExamkszQ5VutGIcaQqmbD9ZTVXMQ/edit#gid=1251630045"",""articles_with_PRISMA_reasons!B2:B2113"")))-1)"),"Tischer")</f>
        <v>Tischer</v>
      </c>
      <c r="C29" s="6">
        <f>IFERROR(__xludf.DUMMYFUNCTION("FILTER(IMPORTRANGE(""https://docs.google.com/spreadsheets/d/1BJSV3WBYJGRhQ6zExamkszQ5VutGIcaQqmbD9ZTVXMQ/edit#gid=1251630045"",""articles_with_PRISMA_reasons!C2:C2113""), $A29=IMPORTRANGE(""https://docs.google.com/spreadsheets/d/1BJSV3WBYJGRhQ6zExamkszQ5V"&amp;"utGIcaQqmbD9ZTVXMQ/edit#gid=1251630045"",""articles_with_PRISMA_reasons!B2:B2113""))"),1975.0)</f>
        <v>1975</v>
      </c>
      <c r="D29" s="5" t="str">
        <f>IFERROR(__xludf.DUMMYFUNCTION("IFS(AND(
FILTER(IMPORTRANGE(""https://docs.google.com/spreadsheets/d/1BJSV3WBYJGRhQ6zExamkszQ5VutGIcaQqmbD9ZTVXMQ/edit#gid=1251630045"",""articles_with_PRISMA_reasons!Y2:Y2113""), $A29=IMPORTRANGE(""https://docs.google.com/spreadsheets/d/1BJSV3WBYJGRhQ6zE"&amp;"xamkszQ5VutGIcaQqmbD9ZTVXMQ/edit#gid=1251630045"",""articles_with_PRISMA_reasons!B2:B2113""))&gt;=2,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$A29=IMPORTRANGE(""https://docs.google.com/spreadsheets/d/1BJSV3WBYJGRhQ6zExamkszQ5VutGIcaQqmbD9ZTVXMQ/edit#gid=1251630045"",""articles_with_PRISMA_reasons!B2:B2113""))&lt;2),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$A29=IMPORTRANGE(""https://docs.google.com/spreadsheets/d/1BJSV3WBYJGRhQ6zExamkszQ5VutGIcaQqmbD9ZTVXMQ/edit#gid=1251630045"",""article"&amp;"s_with_PRISMA_reasons!B2:B2113""))&lt;2,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$A29=IMPORTRANGE(""https://docs.google.com/spr"&amp;"eadsheets/d/1BJSV3WBYJGRhQ6zExamkszQ5VutGIcaQqmbD9ZTVXMQ/edit#gid=1251630045"",""articles_with_PRISMA_reasons!B2:B2113""))&gt;=2),
""Exclude""
)"),"Include")</f>
        <v>Include</v>
      </c>
      <c r="E29" s="5" t="str">
        <f>IFERROR(__xludf.DUMMYFUNCTION("IFS(
D29=""Exclude"",""Exclude"",
AND(
FILTER(IMPORTRANGE(""https://docs.google.com/spreadsheets/d/1qpEmbGH0JjaJbUdp21-y2cPbobDbMjr09BbtdKROZWc/edit#gid=1444865654"",""articles_with_PRISMA_reasons!W2:W2113""), $A29=IMPORTRANGE(""https://docs.google.com/sp"&amp;"readsheets/d/1qpEmbGH0JjaJbUdp21-y2cPbobDbMjr09BbtdKROZWc/edit#gid=1444865654"",""articles_with_PRISMA_reasons!B2:B2113""))&gt;=2,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$A29=IMPORTRANGE(""https://docs.google.com/spreadsheets/d/1qpEmbGH0JjaJbUdp21-y2cPbobDbMjr09BbtdKROZWc/edit#gid=1444865654"",""articles_with_PRISMA_reasons!B2:B2113""))&lt;2),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$A29=IMPORTRANGE(""https://docs.google.com/spreadsheets/d/1qpEmbGH0JjaJbUdp21-y2cPbobDbMjr09BbtdKROZWc/"&amp;"edit#gid=1444865654"",""articles_with_PRISMA_reasons!B2:B2113""))&lt;2,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$A29=IMPORTRANG"&amp;"E(""https://docs.google.com/spreadsheets/d/1qpEmbGH0JjaJbUdp21-y2cPbobDbMjr09BbtdKROZWc/edit#gid=1444865654"",""articles_with_PRISMA_reasons!B2:B2113""))&gt;=2),
""Exclude""
)"),"Exclude")</f>
        <v>Exclude</v>
      </c>
      <c r="F29" s="5" t="str">
        <f>IFERROR(__xludf.DUMMYFUNCTION("IFS(
E29=""Exclude"",""Exclude"",
AND(
COUNTIF(
IMPORTRANGE(""https://docs.google.com/spreadsheets/d/1kGrh75X1cNR1D7_FcY9zMnHP8iPO4M5RCRjy6nZY0TY/edit#gid=0"",""Table 1: Study characteristics!B4:B171""),A29)&gt;0,
COUNTIF(Studies!$A$2:$A$85,FILTER(IMPORTRANG"&amp;"E(""https://docs.google.com/spreadsheets/d/1kGrh75X1cNR1D7_FcY9zMnHP8iPO4M5RCRjy6nZY0TY/edit#gid=0"",""Table 1: Study characteristics!A4:A171""), $A29=IMPORTRANGE(""https://docs.google.com/spreadsheets/d/1kGrh75X1cNR1D7_FcY9zMnHP8iPO4M5RCRjy6nZY0TY/edit#g"&amp;"id=0"",""Table 1: Study characteristics!B4:B171"")))&gt;0
),
""Include""
)"),"Exclude")</f>
        <v>Exclude</v>
      </c>
      <c r="G29" s="5" t="str">
        <f>IFERROR(__xludf.DUMMYFUNCTION("IFS(
D29=""Exclude"",
FILTER(IMPORTRANGE(""https://docs.google.com/spreadsheets/d/1BJSV3WBYJGRhQ6zExamkszQ5VutGIcaQqmbD9ZTVXMQ/edit#gid=1251630045"",""articles_with_PRISMA_reasons!AB2:AB2113""), $A29=IMPORTRANGE(""https://docs.google.com/spreadsheets/d/1B"&amp;"JSV3WBYJGRhQ6zExamkszQ5VutGIcaQqmbD9ZTVXMQ/edit#gid=1251630045"",""articles_with_PRISMA_reasons!B2:B2113"")),
E29=""Exclude"",
FILTER(IMPORTRANGE(""https://docs.google.com/spreadsheets/d/1qpEmbGH0JjaJbUdp21-y2cPbobDbMjr09BbtdKROZWc/edit#gid=1444865654"","&amp;"""articles_with_PRISMA_reasons!Z2:Z2113""), $A29=IMPORTRANGE(""https://docs.google.com/spreadsheets/d/1qpEmbGH0JjaJbUdp21-y2cPbobDbMjr09BbtdKROZWc/edit#gid=1444865654"",""articles_with_PRISMA_reasons!B2:B2113"")),F29
=""Include"",FILTER(IMPORTRANGE(""http"&amp;"s://docs.google.com/spreadsheets/d/1kGrh75X1cNR1D7_FcY9zMnHP8iPO4M5RCRjy6nZY0TY/edit#gid=0"",""Table 1: Study characteristics!A4:A171""), $A29=IMPORTRANGE(""https://docs.google.com/spreadsheets/d/1kGrh75X1cNR1D7_FcY9zMnHP8iPO4M5RCRjy6nZY0TY/edit#gid=0"","&amp;"""Table 1: Study characteristics!B4:B171""))
)"),"text not accessible")</f>
        <v>text not accessible</v>
      </c>
    </row>
    <row r="30">
      <c r="A30" s="4" t="str">
        <f>IFERROR(__xludf.DUMMYFUNCTION("""COMPUTED_VALUE"""),"[Complications of cerebrospinal fluid shunt]")</f>
        <v>[Complications of cerebrospinal fluid shunt]</v>
      </c>
      <c r="B30" s="5" t="str">
        <f>IFERROR(__xludf.DUMMYFUNCTION("LEFT(FILTER(IMPORTRANGE(""https://docs.google.com/spreadsheets/d/1BJSV3WBYJGRhQ6zExamkszQ5VutGIcaQqmbD9ZTVXMQ/edit#gid=1251630045"",""articles_with_PRISMA_reasons!K2:K2113""), $A30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$A30=IMPORTRANGE(""https://docs.google.com/spreadsheets/d/1BJSV3WBYJGRhQ6zExamkszQ5VutGIcaQqmbD9ZTVXMQ/edit#gid=1251630045"",""articles_with_PRISMA_reasons!B2:B2113"")))-1)"),"Gomez Lopez")</f>
        <v>Gomez Lopez</v>
      </c>
      <c r="C30" s="6">
        <f>IFERROR(__xludf.DUMMYFUNCTION("FILTER(IMPORTRANGE(""https://docs.google.com/spreadsheets/d/1BJSV3WBYJGRhQ6zExamkszQ5VutGIcaQqmbD9ZTVXMQ/edit#gid=1251630045"",""articles_with_PRISMA_reasons!C2:C2113""), $A30=IMPORTRANGE(""https://docs.google.com/spreadsheets/d/1BJSV3WBYJGRhQ6zExamkszQ5V"&amp;"utGIcaQqmbD9ZTVXMQ/edit#gid=1251630045"",""articles_with_PRISMA_reasons!B2:B2113""))"),1998.0)</f>
        <v>1998</v>
      </c>
      <c r="D30" s="5" t="str">
        <f>IFERROR(__xludf.DUMMYFUNCTION("IFS(AND(
FILTER(IMPORTRANGE(""https://docs.google.com/spreadsheets/d/1BJSV3WBYJGRhQ6zExamkszQ5VutGIcaQqmbD9ZTVXMQ/edit#gid=1251630045"",""articles_with_PRISMA_reasons!Y2:Y2113""), $A30=IMPORTRANGE(""https://docs.google.com/spreadsheets/d/1BJSV3WBYJGRhQ6zE"&amp;"xamkszQ5VutGIcaQqmbD9ZTVXMQ/edit#gid=1251630045"",""articles_with_PRISMA_reasons!B2:B2113""))&gt;=2,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$A30=IMPORTRANGE(""https://docs.google.com/spreadsheets/d/1BJSV3WBYJGRhQ6zExamkszQ5VutGIcaQqmbD9ZTVXMQ/edit#gid=1251630045"",""articles_with_PRISMA_reasons!B2:B2113""))&lt;2),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$A30=IMPORTRANGE(""https://docs.google.com/spreadsheets/d/1BJSV3WBYJGRhQ6zExamkszQ5VutGIcaQqmbD9ZTVXMQ/edit#gid=1251630045"",""article"&amp;"s_with_PRISMA_reasons!B2:B2113""))&lt;2,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$A30=IMPORTRANGE(""https://docs.google.com/spr"&amp;"eadsheets/d/1BJSV3WBYJGRhQ6zExamkszQ5VutGIcaQqmbD9ZTVXMQ/edit#gid=1251630045"",""articles_with_PRISMA_reasons!B2:B2113""))&gt;=2),
""Exclude""
)"),"Exclude")</f>
        <v>Exclude</v>
      </c>
      <c r="E30" s="5" t="str">
        <f>IFERROR(__xludf.DUMMYFUNCTION("IFS(
D30=""Exclude"",""Exclude"",
AND(
FILTER(IMPORTRANGE(""https://docs.google.com/spreadsheets/d/1qpEmbGH0JjaJbUdp21-y2cPbobDbMjr09BbtdKROZWc/edit#gid=1444865654"",""articles_with_PRISMA_reasons!W2:W2113""), $A30=IMPORTRANGE(""https://docs.google.com/sp"&amp;"readsheets/d/1qpEmbGH0JjaJbUdp21-y2cPbobDbMjr09BbtdKROZWc/edit#gid=1444865654"",""articles_with_PRISMA_reasons!B2:B2113""))&gt;=2,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$A30=IMPORTRANGE(""https://docs.google.com/spreadsheets/d/1qpEmbGH0JjaJbUdp21-y2cPbobDbMjr09BbtdKROZWc/edit#gid=1444865654"",""articles_with_PRISMA_reasons!B2:B2113""))&lt;2),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$A30=IMPORTRANGE(""https://docs.google.com/spreadsheets/d/1qpEmbGH0JjaJbUdp21-y2cPbobDbMjr09BbtdKROZWc/"&amp;"edit#gid=1444865654"",""articles_with_PRISMA_reasons!B2:B2113""))&lt;2,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$A30=IMPORTRANG"&amp;"E(""https://docs.google.com/spreadsheets/d/1qpEmbGH0JjaJbUdp21-y2cPbobDbMjr09BbtdKROZWc/edit#gid=1444865654"",""articles_with_PRISMA_reasons!B2:B2113""))&gt;=2),
""Exclude""
)"),"Exclude")</f>
        <v>Exclude</v>
      </c>
      <c r="F30" s="5" t="str">
        <f>IFERROR(__xludf.DUMMYFUNCTION("IFS(
E30=""Exclude"",""Exclude"",
AND(
COUNTIF(
IMPORTRANGE(""https://docs.google.com/spreadsheets/d/1kGrh75X1cNR1D7_FcY9zMnHP8iPO4M5RCRjy6nZY0TY/edit#gid=0"",""Table 1: Study characteristics!B4:B171""),A30)&gt;0,
COUNTIF(Studies!$A$2:$A$85,FILTER(IMPORTRANG"&amp;"E(""https://docs.google.com/spreadsheets/d/1kGrh75X1cNR1D7_FcY9zMnHP8iPO4M5RCRjy6nZY0TY/edit#gid=0"",""Table 1: Study characteristics!A4:A171""), $A30=IMPORTRANGE(""https://docs.google.com/spreadsheets/d/1kGrh75X1cNR1D7_FcY9zMnHP8iPO4M5RCRjy6nZY0TY/edit#g"&amp;"id=0"",""Table 1: Study characteristics!B4:B171"")))&gt;0
),
""Include""
)"),"Exclude")</f>
        <v>Exclude</v>
      </c>
      <c r="G30" s="5" t="str">
        <f>IFERROR(__xludf.DUMMYFUNCTION("IFS(
D30=""Exclude"",
FILTER(IMPORTRANGE(""https://docs.google.com/spreadsheets/d/1BJSV3WBYJGRhQ6zExamkszQ5VutGIcaQqmbD9ZTVXMQ/edit#gid=1251630045"",""articles_with_PRISMA_reasons!AB2:AB2113""), $A30=IMPORTRANGE(""https://docs.google.com/spreadsheets/d/1B"&amp;"JSV3WBYJGRhQ6zExamkszQ5VutGIcaQqmbD9ZTVXMQ/edit#gid=1251630045"",""articles_with_PRISMA_reasons!B2:B2113"")),
E30=""Exclude"",
FILTER(IMPORTRANGE(""https://docs.google.com/spreadsheets/d/1qpEmbGH0JjaJbUdp21-y2cPbobDbMjr09BbtdKROZWc/edit#gid=1444865654"","&amp;"""articles_with_PRISMA_reasons!Z2:Z2113""), $A30=IMPORTRANGE(""https://docs.google.com/spreadsheets/d/1qpEmbGH0JjaJbUdp21-y2cPbobDbMjr09BbtdKROZWc/edit#gid=1444865654"",""articles_with_PRISMA_reasons!B2:B2113"")),F30
=""Include"",FILTER(IMPORTRANGE(""http"&amp;"s://docs.google.com/spreadsheets/d/1kGrh75X1cNR1D7_FcY9zMnHP8iPO4M5RCRjy6nZY0TY/edit#gid=0"",""Table 1: Study characteristics!A4:A171""), $A30=IMPORTRANGE(""https://docs.google.com/spreadsheets/d/1kGrh75X1cNR1D7_FcY9zMnHP8iPO4M5RCRjy6nZY0TY/edit#gid=0"","&amp;"""Table 1: Study characteristics!B4:B171""))
)"),"wrong population")</f>
        <v>wrong population</v>
      </c>
    </row>
    <row r="31">
      <c r="A31" s="4" t="str">
        <f>IFERROR(__xludf.DUMMYFUNCTION("""COMPUTED_VALUE"""),"[Computer tomographic ventriculography (author's transl)]")</f>
        <v>[Computer tomographic ventriculography (author's transl)]</v>
      </c>
      <c r="B31" s="5" t="str">
        <f>IFERROR(__xludf.DUMMYFUNCTION("LEFT(FILTER(IMPORTRANGE(""https://docs.google.com/spreadsheets/d/1BJSV3WBYJGRhQ6zExamkszQ5VutGIcaQqmbD9ZTVXMQ/edit#gid=1251630045"",""articles_with_PRISMA_reasons!K2:K2113""), $A31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$A31=IMPORTRANGE(""https://docs.google.com/spreadsheets/d/1BJSV3WBYJGRhQ6zExamkszQ5VutGIcaQqmbD9ZTVXMQ/edit#gid=1251630045"",""articles_with_PRISMA_reasons!B2:B2113"")))-1)"),"Distelmaier")</f>
        <v>Distelmaier</v>
      </c>
      <c r="C31" s="6">
        <f>IFERROR(__xludf.DUMMYFUNCTION("FILTER(IMPORTRANGE(""https://docs.google.com/spreadsheets/d/1BJSV3WBYJGRhQ6zExamkszQ5VutGIcaQqmbD9ZTVXMQ/edit#gid=1251630045"",""articles_with_PRISMA_reasons!C2:C2113""), $A31=IMPORTRANGE(""https://docs.google.com/spreadsheets/d/1BJSV3WBYJGRhQ6zExamkszQ5V"&amp;"utGIcaQqmbD9ZTVXMQ/edit#gid=1251630045"",""articles_with_PRISMA_reasons!B2:B2113""))"),1982.0)</f>
        <v>1982</v>
      </c>
      <c r="D31" s="5" t="str">
        <f>IFERROR(__xludf.DUMMYFUNCTION("IFS(AND(
FILTER(IMPORTRANGE(""https://docs.google.com/spreadsheets/d/1BJSV3WBYJGRhQ6zExamkszQ5VutGIcaQqmbD9ZTVXMQ/edit#gid=1251630045"",""articles_with_PRISMA_reasons!Y2:Y2113""), $A31=IMPORTRANGE(""https://docs.google.com/spreadsheets/d/1BJSV3WBYJGRhQ6zE"&amp;"xamkszQ5VutGIcaQqmbD9ZTVXMQ/edit#gid=1251630045"",""articles_with_PRISMA_reasons!B2:B2113""))&gt;=2,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$A31=IMPORTRANGE(""https://docs.google.com/spreadsheets/d/1BJSV3WBYJGRhQ6zExamkszQ5VutGIcaQqmbD9ZTVXMQ/edit#gid=1251630045"",""articles_with_PRISMA_reasons!B2:B2113""))&lt;2),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$A31=IMPORTRANGE(""https://docs.google.com/spreadsheets/d/1BJSV3WBYJGRhQ6zExamkszQ5VutGIcaQqmbD9ZTVXMQ/edit#gid=1251630045"",""article"&amp;"s_with_PRISMA_reasons!B2:B2113""))&lt;2,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$A31=IMPORTRANGE(""https://docs.google.com/spr"&amp;"eadsheets/d/1BJSV3WBYJGRhQ6zExamkszQ5VutGIcaQqmbD9ZTVXMQ/edit#gid=1251630045"",""articles_with_PRISMA_reasons!B2:B2113""))&gt;=2),
""Exclude""
)"),"Exclude")</f>
        <v>Exclude</v>
      </c>
      <c r="E31" s="5" t="str">
        <f>IFERROR(__xludf.DUMMYFUNCTION("IFS(
D31=""Exclude"",""Exclude"",
AND(
FILTER(IMPORTRANGE(""https://docs.google.com/spreadsheets/d/1qpEmbGH0JjaJbUdp21-y2cPbobDbMjr09BbtdKROZWc/edit#gid=1444865654"",""articles_with_PRISMA_reasons!W2:W2113""), $A31=IMPORTRANGE(""https://docs.google.com/sp"&amp;"readsheets/d/1qpEmbGH0JjaJbUdp21-y2cPbobDbMjr09BbtdKROZWc/edit#gid=1444865654"",""articles_with_PRISMA_reasons!B2:B2113""))&gt;=2,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$A31=IMPORTRANGE(""https://docs.google.com/spreadsheets/d/1qpEmbGH0JjaJbUdp21-y2cPbobDbMjr09BbtdKROZWc/edit#gid=1444865654"",""articles_with_PRISMA_reasons!B2:B2113""))&lt;2),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$A31=IMPORTRANGE(""https://docs.google.com/spreadsheets/d/1qpEmbGH0JjaJbUdp21-y2cPbobDbMjr09BbtdKROZWc/"&amp;"edit#gid=1444865654"",""articles_with_PRISMA_reasons!B2:B2113""))&lt;2,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$A31=IMPORTRANG"&amp;"E(""https://docs.google.com/spreadsheets/d/1qpEmbGH0JjaJbUdp21-y2cPbobDbMjr09BbtdKROZWc/edit#gid=1444865654"",""articles_with_PRISMA_reasons!B2:B2113""))&gt;=2),
""Exclude""
)"),"Exclude")</f>
        <v>Exclude</v>
      </c>
      <c r="F31" s="5" t="str">
        <f>IFERROR(__xludf.DUMMYFUNCTION("IFS(
E31=""Exclude"",""Exclude"",
AND(
COUNTIF(
IMPORTRANGE(""https://docs.google.com/spreadsheets/d/1kGrh75X1cNR1D7_FcY9zMnHP8iPO4M5RCRjy6nZY0TY/edit#gid=0"",""Table 1: Study characteristics!B4:B171""),A31)&gt;0,
COUNTIF(Studies!$A$2:$A$85,FILTER(IMPORTRANG"&amp;"E(""https://docs.google.com/spreadsheets/d/1kGrh75X1cNR1D7_FcY9zMnHP8iPO4M5RCRjy6nZY0TY/edit#gid=0"",""Table 1: Study characteristics!A4:A171""), $A31=IMPORTRANGE(""https://docs.google.com/spreadsheets/d/1kGrh75X1cNR1D7_FcY9zMnHP8iPO4M5RCRjy6nZY0TY/edit#g"&amp;"id=0"",""Table 1: Study characteristics!B4:B171"")))&gt;0
),
""Include""
)"),"Exclude")</f>
        <v>Exclude</v>
      </c>
      <c r="G31" s="5" t="str">
        <f>IFERROR(__xludf.DUMMYFUNCTION("IFS(
D31=""Exclude"",
FILTER(IMPORTRANGE(""https://docs.google.com/spreadsheets/d/1BJSV3WBYJGRhQ6zExamkszQ5VutGIcaQqmbD9ZTVXMQ/edit#gid=1251630045"",""articles_with_PRISMA_reasons!AB2:AB2113""), $A31=IMPORTRANGE(""https://docs.google.com/spreadsheets/d/1B"&amp;"JSV3WBYJGRhQ6zExamkszQ5VutGIcaQqmbD9ZTVXMQ/edit#gid=1251630045"",""articles_with_PRISMA_reasons!B2:B2113"")),
E31=""Exclude"",
FILTER(IMPORTRANGE(""https://docs.google.com/spreadsheets/d/1qpEmbGH0JjaJbUdp21-y2cPbobDbMjr09BbtdKROZWc/edit#gid=1444865654"","&amp;"""articles_with_PRISMA_reasons!Z2:Z2113""), $A31=IMPORTRANGE(""https://docs.google.com/spreadsheets/d/1qpEmbGH0JjaJbUdp21-y2cPbobDbMjr09BbtdKROZWc/edit#gid=1444865654"",""articles_with_PRISMA_reasons!B2:B2113"")),F31
=""Include"",FILTER(IMPORTRANGE(""http"&amp;"s://docs.google.com/spreadsheets/d/1kGrh75X1cNR1D7_FcY9zMnHP8iPO4M5RCRjy6nZY0TY/edit#gid=0"",""Table 1: Study characteristics!A4:A171""), $A31=IMPORTRANGE(""https://docs.google.com/spreadsheets/d/1kGrh75X1cNR1D7_FcY9zMnHP8iPO4M5RCRjy6nZY0TY/edit#gid=0"","&amp;"""Table 1: Study characteristics!B4:B171""))
)"),"wrong population")</f>
        <v>wrong population</v>
      </c>
    </row>
    <row r="32">
      <c r="A32" s="4" t="str">
        <f>IFERROR(__xludf.DUMMYFUNCTION("""COMPUTED_VALUE"""),"[Concept of treatment for children with cleft spine. Spina bifida cystica: myelomeningocele, meningocele]")</f>
        <v>[Concept of treatment for children with cleft spine. Spina bifida cystica: myelomeningocele, meningocele]</v>
      </c>
      <c r="B32" s="5" t="str">
        <f>IFERROR(__xludf.DUMMYFUNCTION("LEFT(FILTER(IMPORTRANGE(""https://docs.google.com/spreadsheets/d/1BJSV3WBYJGRhQ6zExamkszQ5VutGIcaQqmbD9ZTVXMQ/edit#gid=1251630045"",""articles_with_PRISMA_reasons!K2:K2113""), $A32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$A32=IMPORTRANGE(""https://docs.google.com/spreadsheets/d/1BJSV3WBYJGRhQ6zExamkszQ5VutGIcaQqmbD9ZTVXMQ/edit#gid=1251630045"",""articles_with_PRISMA_reasons!B2:B2113"")))-1)"),"Pompino")</f>
        <v>Pompino</v>
      </c>
      <c r="C32" s="6">
        <f>IFERROR(__xludf.DUMMYFUNCTION("FILTER(IMPORTRANGE(""https://docs.google.com/spreadsheets/d/1BJSV3WBYJGRhQ6zExamkszQ5VutGIcaQqmbD9ZTVXMQ/edit#gid=1251630045"",""articles_with_PRISMA_reasons!C2:C2113""), $A32=IMPORTRANGE(""https://docs.google.com/spreadsheets/d/1BJSV3WBYJGRhQ6zExamkszQ5V"&amp;"utGIcaQqmbD9ZTVXMQ/edit#gid=1251630045"",""articles_with_PRISMA_reasons!B2:B2113""))"),1974.0)</f>
        <v>1974</v>
      </c>
      <c r="D32" s="5" t="str">
        <f>IFERROR(__xludf.DUMMYFUNCTION("IFS(AND(
FILTER(IMPORTRANGE(""https://docs.google.com/spreadsheets/d/1BJSV3WBYJGRhQ6zExamkszQ5VutGIcaQqmbD9ZTVXMQ/edit#gid=1251630045"",""articles_with_PRISMA_reasons!Y2:Y2113""), $A32=IMPORTRANGE(""https://docs.google.com/spreadsheets/d/1BJSV3WBYJGRhQ6zE"&amp;"xamkszQ5VutGIcaQqmbD9ZTVXMQ/edit#gid=1251630045"",""articles_with_PRISMA_reasons!B2:B2113""))&gt;=2,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$A32=IMPORTRANGE(""https://docs.google.com/spreadsheets/d/1BJSV3WBYJGRhQ6zExamkszQ5VutGIcaQqmbD9ZTVXMQ/edit#gid=1251630045"",""articles_with_PRISMA_reasons!B2:B2113""))&lt;2),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$A32=IMPORTRANGE(""https://docs.google.com/spreadsheets/d/1BJSV3WBYJGRhQ6zExamkszQ5VutGIcaQqmbD9ZTVXMQ/edit#gid=1251630045"",""article"&amp;"s_with_PRISMA_reasons!B2:B2113""))&lt;2,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$A32=IMPORTRANGE(""https://docs.google.com/spr"&amp;"eadsheets/d/1BJSV3WBYJGRhQ6zExamkszQ5VutGIcaQqmbD9ZTVXMQ/edit#gid=1251630045"",""articles_with_PRISMA_reasons!B2:B2113""))&gt;=2),
""Exclude""
)"),"Exclude")</f>
        <v>Exclude</v>
      </c>
      <c r="E32" s="5" t="str">
        <f>IFERROR(__xludf.DUMMYFUNCTION("IFS(
D32=""Exclude"",""Exclude"",
AND(
FILTER(IMPORTRANGE(""https://docs.google.com/spreadsheets/d/1qpEmbGH0JjaJbUdp21-y2cPbobDbMjr09BbtdKROZWc/edit#gid=1444865654"",""articles_with_PRISMA_reasons!W2:W2113""), $A32=IMPORTRANGE(""https://docs.google.com/sp"&amp;"readsheets/d/1qpEmbGH0JjaJbUdp21-y2cPbobDbMjr09BbtdKROZWc/edit#gid=1444865654"",""articles_with_PRISMA_reasons!B2:B2113""))&gt;=2,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$A32=IMPORTRANGE(""https://docs.google.com/spreadsheets/d/1qpEmbGH0JjaJbUdp21-y2cPbobDbMjr09BbtdKROZWc/edit#gid=1444865654"",""articles_with_PRISMA_reasons!B2:B2113""))&lt;2),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$A32=IMPORTRANGE(""https://docs.google.com/spreadsheets/d/1qpEmbGH0JjaJbUdp21-y2cPbobDbMjr09BbtdKROZWc/"&amp;"edit#gid=1444865654"",""articles_with_PRISMA_reasons!B2:B2113""))&lt;2,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$A32=IMPORTRANG"&amp;"E(""https://docs.google.com/spreadsheets/d/1qpEmbGH0JjaJbUdp21-y2cPbobDbMjr09BbtdKROZWc/edit#gid=1444865654"",""articles_with_PRISMA_reasons!B2:B2113""))&gt;=2),
""Exclude""
)"),"Exclude")</f>
        <v>Exclude</v>
      </c>
      <c r="F32" s="5" t="str">
        <f>IFERROR(__xludf.DUMMYFUNCTION("IFS(
E32=""Exclude"",""Exclude"",
AND(
COUNTIF(
IMPORTRANGE(""https://docs.google.com/spreadsheets/d/1kGrh75X1cNR1D7_FcY9zMnHP8iPO4M5RCRjy6nZY0TY/edit#gid=0"",""Table 1: Study characteristics!B4:B171""),A32)&gt;0,
COUNTIF(Studies!$A$2:$A$85,FILTER(IMPORTRANG"&amp;"E(""https://docs.google.com/spreadsheets/d/1kGrh75X1cNR1D7_FcY9zMnHP8iPO4M5RCRjy6nZY0TY/edit#gid=0"",""Table 1: Study characteristics!A4:A171""), $A32=IMPORTRANGE(""https://docs.google.com/spreadsheets/d/1kGrh75X1cNR1D7_FcY9zMnHP8iPO4M5RCRjy6nZY0TY/edit#g"&amp;"id=0"",""Table 1: Study characteristics!B4:B171"")))&gt;0
),
""Include""
)"),"Exclude")</f>
        <v>Exclude</v>
      </c>
      <c r="G32" s="5" t="str">
        <f>IFERROR(__xludf.DUMMYFUNCTION("IFS(
D32=""Exclude"",
FILTER(IMPORTRANGE(""https://docs.google.com/spreadsheets/d/1BJSV3WBYJGRhQ6zExamkszQ5VutGIcaQqmbD9ZTVXMQ/edit#gid=1251630045"",""articles_with_PRISMA_reasons!AB2:AB2113""), $A32=IMPORTRANGE(""https://docs.google.com/spreadsheets/d/1B"&amp;"JSV3WBYJGRhQ6zExamkszQ5VutGIcaQqmbD9ZTVXMQ/edit#gid=1251630045"",""articles_with_PRISMA_reasons!B2:B2113"")),
E32=""Exclude"",
FILTER(IMPORTRANGE(""https://docs.google.com/spreadsheets/d/1qpEmbGH0JjaJbUdp21-y2cPbobDbMjr09BbtdKROZWc/edit#gid=1444865654"","&amp;"""articles_with_PRISMA_reasons!Z2:Z2113""), $A32=IMPORTRANGE(""https://docs.google.com/spreadsheets/d/1qpEmbGH0JjaJbUdp21-y2cPbobDbMjr09BbtdKROZWc/edit#gid=1444865654"",""articles_with_PRISMA_reasons!B2:B2113"")),F32
=""Include"",FILTER(IMPORTRANGE(""http"&amp;"s://docs.google.com/spreadsheets/d/1kGrh75X1cNR1D7_FcY9zMnHP8iPO4M5RCRjy6nZY0TY/edit#gid=0"",""Table 1: Study characteristics!A4:A171""), $A32=IMPORTRANGE(""https://docs.google.com/spreadsheets/d/1kGrh75X1cNR1D7_FcY9zMnHP8iPO4M5RCRjy6nZY0TY/edit#gid=0"","&amp;"""Table 1: Study characteristics!B4:B171""))
)"),"wrong study design")</f>
        <v>wrong study design</v>
      </c>
    </row>
    <row r="33">
      <c r="A33" s="4" t="str">
        <f>IFERROR(__xludf.DUMMYFUNCTION("""COMPUTED_VALUE"""),"[Craniolacunia associated with myelomeningocele, hydrocephalus, a huge cavum septi pellucidi, and hypoplasia of the corpus callosum: report of a case]")</f>
        <v>[Craniolacunia associated with myelomeningocele, hydrocephalus, a huge cavum septi pellucidi, and hypoplasia of the corpus callosum: report of a case]</v>
      </c>
      <c r="B33" s="5" t="str">
        <f>IFERROR(__xludf.DUMMYFUNCTION("LEFT(FILTER(IMPORTRANGE(""https://docs.google.com/spreadsheets/d/1BJSV3WBYJGRhQ6zExamkszQ5VutGIcaQqmbD9ZTVXMQ/edit#gid=1251630045"",""articles_with_PRISMA_reasons!K2:K2113""), $A33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$A33=IMPORTRANGE(""https://docs.google.com/spreadsheets/d/1BJSV3WBYJGRhQ6zExamkszQ5VutGIcaQqmbD9ZTVXMQ/edit#gid=1251630045"",""articles_with_PRISMA_reasons!B2:B2113"")))-1)"),"Sasabe")</f>
        <v>Sasabe</v>
      </c>
      <c r="C33" s="6">
        <f>IFERROR(__xludf.DUMMYFUNCTION("FILTER(IMPORTRANGE(""https://docs.google.com/spreadsheets/d/1BJSV3WBYJGRhQ6zExamkszQ5VutGIcaQqmbD9ZTVXMQ/edit#gid=1251630045"",""articles_with_PRISMA_reasons!C2:C2113""), $A33=IMPORTRANGE(""https://docs.google.com/spreadsheets/d/1BJSV3WBYJGRhQ6zExamkszQ5V"&amp;"utGIcaQqmbD9ZTVXMQ/edit#gid=1251630045"",""articles_with_PRISMA_reasons!B2:B2113""))"),1969.0)</f>
        <v>1969</v>
      </c>
      <c r="D33" s="5" t="str">
        <f>IFERROR(__xludf.DUMMYFUNCTION("IFS(AND(
FILTER(IMPORTRANGE(""https://docs.google.com/spreadsheets/d/1BJSV3WBYJGRhQ6zExamkszQ5VutGIcaQqmbD9ZTVXMQ/edit#gid=1251630045"",""articles_with_PRISMA_reasons!Y2:Y2113""), $A33=IMPORTRANGE(""https://docs.google.com/spreadsheets/d/1BJSV3WBYJGRhQ6zE"&amp;"xamkszQ5VutGIcaQqmbD9ZTVXMQ/edit#gid=1251630045"",""articles_with_PRISMA_reasons!B2:B2113""))&gt;=2,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$A33=IMPORTRANGE(""https://docs.google.com/spreadsheets/d/1BJSV3WBYJGRhQ6zExamkszQ5VutGIcaQqmbD9ZTVXMQ/edit#gid=1251630045"",""articles_with_PRISMA_reasons!B2:B2113""))&lt;2),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$A33=IMPORTRANGE(""https://docs.google.com/spreadsheets/d/1BJSV3WBYJGRhQ6zExamkszQ5VutGIcaQqmbD9ZTVXMQ/edit#gid=1251630045"",""article"&amp;"s_with_PRISMA_reasons!B2:B2113""))&lt;2,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$A33=IMPORTRANGE(""https://docs.google.com/spr"&amp;"eadsheets/d/1BJSV3WBYJGRhQ6zExamkszQ5VutGIcaQqmbD9ZTVXMQ/edit#gid=1251630045"",""articles_with_PRISMA_reasons!B2:B2113""))&gt;=2),
""Exclude""
)"),"Exclude")</f>
        <v>Exclude</v>
      </c>
      <c r="E33" s="5" t="str">
        <f>IFERROR(__xludf.DUMMYFUNCTION("IFS(
D33=""Exclude"",""Exclude"",
AND(
FILTER(IMPORTRANGE(""https://docs.google.com/spreadsheets/d/1qpEmbGH0JjaJbUdp21-y2cPbobDbMjr09BbtdKROZWc/edit#gid=1444865654"",""articles_with_PRISMA_reasons!W2:W2113""), $A33=IMPORTRANGE(""https://docs.google.com/sp"&amp;"readsheets/d/1qpEmbGH0JjaJbUdp21-y2cPbobDbMjr09BbtdKROZWc/edit#gid=1444865654"",""articles_with_PRISMA_reasons!B2:B2113""))&gt;=2,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$A33=IMPORTRANGE(""https://docs.google.com/spreadsheets/d/1qpEmbGH0JjaJbUdp21-y2cPbobDbMjr09BbtdKROZWc/edit#gid=1444865654"",""articles_with_PRISMA_reasons!B2:B2113""))&lt;2),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$A33=IMPORTRANGE(""https://docs.google.com/spreadsheets/d/1qpEmbGH0JjaJbUdp21-y2cPbobDbMjr09BbtdKROZWc/"&amp;"edit#gid=1444865654"",""articles_with_PRISMA_reasons!B2:B2113""))&lt;2,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$A33=IMPORTRANG"&amp;"E(""https://docs.google.com/spreadsheets/d/1qpEmbGH0JjaJbUdp21-y2cPbobDbMjr09BbtdKROZWc/edit#gid=1444865654"",""articles_with_PRISMA_reasons!B2:B2113""))&gt;=2),
""Exclude""
)"),"Exclude")</f>
        <v>Exclude</v>
      </c>
      <c r="F33" s="5" t="str">
        <f>IFERROR(__xludf.DUMMYFUNCTION("IFS(
E33=""Exclude"",""Exclude"",
AND(
COUNTIF(
IMPORTRANGE(""https://docs.google.com/spreadsheets/d/1kGrh75X1cNR1D7_FcY9zMnHP8iPO4M5RCRjy6nZY0TY/edit#gid=0"",""Table 1: Study characteristics!B4:B171""),A33)&gt;0,
COUNTIF(Studies!$A$2:$A$85,FILTER(IMPORTRANG"&amp;"E(""https://docs.google.com/spreadsheets/d/1kGrh75X1cNR1D7_FcY9zMnHP8iPO4M5RCRjy6nZY0TY/edit#gid=0"",""Table 1: Study characteristics!A4:A171""), $A33=IMPORTRANGE(""https://docs.google.com/spreadsheets/d/1kGrh75X1cNR1D7_FcY9zMnHP8iPO4M5RCRjy6nZY0TY/edit#g"&amp;"id=0"",""Table 1: Study characteristics!B4:B171"")))&gt;0
),
""Include""
)"),"Exclude")</f>
        <v>Exclude</v>
      </c>
      <c r="G33" s="5" t="str">
        <f>IFERROR(__xludf.DUMMYFUNCTION("IFS(
D33=""Exclude"",
FILTER(IMPORTRANGE(""https://docs.google.com/spreadsheets/d/1BJSV3WBYJGRhQ6zExamkszQ5VutGIcaQqmbD9ZTVXMQ/edit#gid=1251630045"",""articles_with_PRISMA_reasons!AB2:AB2113""), $A33=IMPORTRANGE(""https://docs.google.com/spreadsheets/d/1B"&amp;"JSV3WBYJGRhQ6zExamkszQ5VutGIcaQqmbD9ZTVXMQ/edit#gid=1251630045"",""articles_with_PRISMA_reasons!B2:B2113"")),
E33=""Exclude"",
FILTER(IMPORTRANGE(""https://docs.google.com/spreadsheets/d/1qpEmbGH0JjaJbUdp21-y2cPbobDbMjr09BbtdKROZWc/edit#gid=1444865654"","&amp;"""articles_with_PRISMA_reasons!Z2:Z2113""), $A33=IMPORTRANGE(""https://docs.google.com/spreadsheets/d/1qpEmbGH0JjaJbUdp21-y2cPbobDbMjr09BbtdKROZWc/edit#gid=1444865654"",""articles_with_PRISMA_reasons!B2:B2113"")),F33
=""Include"",FILTER(IMPORTRANGE(""http"&amp;"s://docs.google.com/spreadsheets/d/1kGrh75X1cNR1D7_FcY9zMnHP8iPO4M5RCRjy6nZY0TY/edit#gid=0"",""Table 1: Study characteristics!A4:A171""), $A33=IMPORTRANGE(""https://docs.google.com/spreadsheets/d/1kGrh75X1cNR1D7_FcY9zMnHP8iPO4M5RCRjy6nZY0TY/edit#gid=0"","&amp;"""Table 1: Study characteristics!B4:B171""))
)"),"wrong publication type")</f>
        <v>wrong publication type</v>
      </c>
    </row>
    <row r="34">
      <c r="A34" s="4" t="str">
        <f>IFERROR(__xludf.DUMMYFUNCTION("""COMPUTED_VALUE"""),"[Craniolacunia in newborns with myelomeningocele and encephalocele (author's transl)]")</f>
        <v>[Craniolacunia in newborns with myelomeningocele and encephalocele (author's transl)]</v>
      </c>
      <c r="B34" s="5" t="str">
        <f>IFERROR(__xludf.DUMMYFUNCTION("LEFT(FILTER(IMPORTRANGE(""https://docs.google.com/spreadsheets/d/1BJSV3WBYJGRhQ6zExamkszQ5VutGIcaQqmbD9ZTVXMQ/edit#gid=1251630045"",""articles_with_PRISMA_reasons!K2:K2113""), $A34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$A34=IMPORTRANGE(""https://docs.google.com/spreadsheets/d/1BJSV3WBYJGRhQ6zExamkszQ5VutGIcaQqmbD9ZTVXMQ/edit#gid=1251630045"",""articles_with_PRISMA_reasons!B2:B2113"")))-1)"),"Tajima")</f>
        <v>Tajima</v>
      </c>
      <c r="C34" s="6">
        <f>IFERROR(__xludf.DUMMYFUNCTION("FILTER(IMPORTRANGE(""https://docs.google.com/spreadsheets/d/1BJSV3WBYJGRhQ6zExamkszQ5VutGIcaQqmbD9ZTVXMQ/edit#gid=1251630045"",""articles_with_PRISMA_reasons!C2:C2113""), $A34=IMPORTRANGE(""https://docs.google.com/spreadsheets/d/1BJSV3WBYJGRhQ6zExamkszQ5V"&amp;"utGIcaQqmbD9ZTVXMQ/edit#gid=1251630045"",""articles_with_PRISMA_reasons!B2:B2113""))"),1978.0)</f>
        <v>1978</v>
      </c>
      <c r="D34" s="5" t="str">
        <f>IFERROR(__xludf.DUMMYFUNCTION("IFS(AND(
FILTER(IMPORTRANGE(""https://docs.google.com/spreadsheets/d/1BJSV3WBYJGRhQ6zExamkszQ5VutGIcaQqmbD9ZTVXMQ/edit#gid=1251630045"",""articles_with_PRISMA_reasons!Y2:Y2113""), $A34=IMPORTRANGE(""https://docs.google.com/spreadsheets/d/1BJSV3WBYJGRhQ6zE"&amp;"xamkszQ5VutGIcaQqmbD9ZTVXMQ/edit#gid=1251630045"",""articles_with_PRISMA_reasons!B2:B2113""))&gt;=2,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$A34=IMPORTRANGE(""https://docs.google.com/spreadsheets/d/1BJSV3WBYJGRhQ6zExamkszQ5VutGIcaQqmbD9ZTVXMQ/edit#gid=1251630045"",""articles_with_PRISMA_reasons!B2:B2113""))&lt;2),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$A34=IMPORTRANGE(""https://docs.google.com/spreadsheets/d/1BJSV3WBYJGRhQ6zExamkszQ5VutGIcaQqmbD9ZTVXMQ/edit#gid=1251630045"",""article"&amp;"s_with_PRISMA_reasons!B2:B2113""))&lt;2,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$A34=IMPORTRANGE(""https://docs.google.com/spr"&amp;"eadsheets/d/1BJSV3WBYJGRhQ6zExamkszQ5VutGIcaQqmbD9ZTVXMQ/edit#gid=1251630045"",""articles_with_PRISMA_reasons!B2:B2113""))&gt;=2),
""Exclude""
)"),"Exclude")</f>
        <v>Exclude</v>
      </c>
      <c r="E34" s="5" t="str">
        <f>IFERROR(__xludf.DUMMYFUNCTION("IFS(
D34=""Exclude"",""Exclude"",
AND(
FILTER(IMPORTRANGE(""https://docs.google.com/spreadsheets/d/1qpEmbGH0JjaJbUdp21-y2cPbobDbMjr09BbtdKROZWc/edit#gid=1444865654"",""articles_with_PRISMA_reasons!W2:W2113""), $A34=IMPORTRANGE(""https://docs.google.com/sp"&amp;"readsheets/d/1qpEmbGH0JjaJbUdp21-y2cPbobDbMjr09BbtdKROZWc/edit#gid=1444865654"",""articles_with_PRISMA_reasons!B2:B2113""))&gt;=2,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$A34=IMPORTRANGE(""https://docs.google.com/spreadsheets/d/1qpEmbGH0JjaJbUdp21-y2cPbobDbMjr09BbtdKROZWc/edit#gid=1444865654"",""articles_with_PRISMA_reasons!B2:B2113""))&lt;2),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$A34=IMPORTRANGE(""https://docs.google.com/spreadsheets/d/1qpEmbGH0JjaJbUdp21-y2cPbobDbMjr09BbtdKROZWc/"&amp;"edit#gid=1444865654"",""articles_with_PRISMA_reasons!B2:B2113""))&lt;2,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$A34=IMPORTRANG"&amp;"E(""https://docs.google.com/spreadsheets/d/1qpEmbGH0JjaJbUdp21-y2cPbobDbMjr09BbtdKROZWc/edit#gid=1444865654"",""articles_with_PRISMA_reasons!B2:B2113""))&gt;=2),
""Exclude""
)"),"Exclude")</f>
        <v>Exclude</v>
      </c>
      <c r="F34" s="5" t="str">
        <f>IFERROR(__xludf.DUMMYFUNCTION("IFS(
E34=""Exclude"",""Exclude"",
AND(
COUNTIF(
IMPORTRANGE(""https://docs.google.com/spreadsheets/d/1kGrh75X1cNR1D7_FcY9zMnHP8iPO4M5RCRjy6nZY0TY/edit#gid=0"",""Table 1: Study characteristics!B4:B171""),A34)&gt;0,
COUNTIF(Studies!$A$2:$A$85,FILTER(IMPORTRANG"&amp;"E(""https://docs.google.com/spreadsheets/d/1kGrh75X1cNR1D7_FcY9zMnHP8iPO4M5RCRjy6nZY0TY/edit#gid=0"",""Table 1: Study characteristics!A4:A171""), $A34=IMPORTRANGE(""https://docs.google.com/spreadsheets/d/1kGrh75X1cNR1D7_FcY9zMnHP8iPO4M5RCRjy6nZY0TY/edit#g"&amp;"id=0"",""Table 1: Study characteristics!B4:B171"")))&gt;0
),
""Include""
)"),"Exclude")</f>
        <v>Exclude</v>
      </c>
      <c r="G34" s="5" t="str">
        <f>IFERROR(__xludf.DUMMYFUNCTION("IFS(
D34=""Exclude"",
FILTER(IMPORTRANGE(""https://docs.google.com/spreadsheets/d/1BJSV3WBYJGRhQ6zExamkszQ5VutGIcaQqmbD9ZTVXMQ/edit#gid=1251630045"",""articles_with_PRISMA_reasons!AB2:AB2113""), $A34=IMPORTRANGE(""https://docs.google.com/spreadsheets/d/1B"&amp;"JSV3WBYJGRhQ6zExamkszQ5VutGIcaQqmbD9ZTVXMQ/edit#gid=1251630045"",""articles_with_PRISMA_reasons!B2:B2113"")),
E34=""Exclude"",
FILTER(IMPORTRANGE(""https://docs.google.com/spreadsheets/d/1qpEmbGH0JjaJbUdp21-y2cPbobDbMjr09BbtdKROZWc/edit#gid=1444865654"","&amp;"""articles_with_PRISMA_reasons!Z2:Z2113""), $A34=IMPORTRANGE(""https://docs.google.com/spreadsheets/d/1qpEmbGH0JjaJbUdp21-y2cPbobDbMjr09BbtdKROZWc/edit#gid=1444865654"",""articles_with_PRISMA_reasons!B2:B2113"")),F34
=""Include"",FILTER(IMPORTRANGE(""http"&amp;"s://docs.google.com/spreadsheets/d/1kGrh75X1cNR1D7_FcY9zMnHP8iPO4M5RCRjy6nZY0TY/edit#gid=0"",""Table 1: Study characteristics!A4:A171""), $A34=IMPORTRANGE(""https://docs.google.com/spreadsheets/d/1kGrh75X1cNR1D7_FcY9zMnHP8iPO4M5RCRjy6nZY0TY/edit#gid=0"","&amp;"""Table 1: Study characteristics!B4:B171""))
)"),"wrong intervention")</f>
        <v>wrong intervention</v>
      </c>
    </row>
    <row r="35">
      <c r="A35" s="4" t="str">
        <f>IFERROR(__xludf.DUMMYFUNCTION("""COMPUTED_VALUE"""),"[Creation of a model for myelomeningocele in rabbit embryos]")</f>
        <v>[Creation of a model for myelomeningocele in rabbit embryos]</v>
      </c>
      <c r="B35" s="5" t="str">
        <f>IFERROR(__xludf.DUMMYFUNCTION("LEFT(FILTER(IMPORTRANGE(""https://docs.google.com/spreadsheets/d/1BJSV3WBYJGRhQ6zExamkszQ5VutGIcaQqmbD9ZTVXMQ/edit#gid=1251630045"",""articles_with_PRISMA_reasons!K2:K2113""), $A35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$A35=IMPORTRANGE(""https://docs.google.com/spreadsheets/d/1BJSV3WBYJGRhQ6zExamkszQ5VutGIcaQqmbD9ZTVXMQ/edit#gid=1251630045"",""articles_with_PRISMA_reasons!B2:B2113"")))-1)"),"Gr and e")</f>
        <v>Gr and e</v>
      </c>
      <c r="C35" s="6">
        <f>IFERROR(__xludf.DUMMYFUNCTION("FILTER(IMPORTRANGE(""https://docs.google.com/spreadsheets/d/1BJSV3WBYJGRhQ6zExamkszQ5VutGIcaQqmbD9ZTVXMQ/edit#gid=1251630045"",""articles_with_PRISMA_reasons!C2:C2113""), $A35=IMPORTRANGE(""https://docs.google.com/spreadsheets/d/1BJSV3WBYJGRhQ6zExamkszQ5V"&amp;"utGIcaQqmbD9ZTVXMQ/edit#gid=1251630045"",""articles_with_PRISMA_reasons!B2:B2113""))"),2002.0)</f>
        <v>2002</v>
      </c>
      <c r="D35" s="5" t="str">
        <f>IFERROR(__xludf.DUMMYFUNCTION("IFS(AND(
FILTER(IMPORTRANGE(""https://docs.google.com/spreadsheets/d/1BJSV3WBYJGRhQ6zExamkszQ5VutGIcaQqmbD9ZTVXMQ/edit#gid=1251630045"",""articles_with_PRISMA_reasons!Y2:Y2113""), $A35=IMPORTRANGE(""https://docs.google.com/spreadsheets/d/1BJSV3WBYJGRhQ6zE"&amp;"xamkszQ5VutGIcaQqmbD9ZTVXMQ/edit#gid=1251630045"",""articles_with_PRISMA_reasons!B2:B2113""))&gt;=2,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$A35=IMPORTRANGE(""https://docs.google.com/spreadsheets/d/1BJSV3WBYJGRhQ6zExamkszQ5VutGIcaQqmbD9ZTVXMQ/edit#gid=1251630045"",""articles_with_PRISMA_reasons!B2:B2113""))&lt;2),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$A35=IMPORTRANGE(""https://docs.google.com/spreadsheets/d/1BJSV3WBYJGRhQ6zExamkszQ5VutGIcaQqmbD9ZTVXMQ/edit#gid=1251630045"",""article"&amp;"s_with_PRISMA_reasons!B2:B2113""))&lt;2,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$A35=IMPORTRANGE(""https://docs.google.com/spr"&amp;"eadsheets/d/1BJSV3WBYJGRhQ6zExamkszQ5VutGIcaQqmbD9ZTVXMQ/edit#gid=1251630045"",""articles_with_PRISMA_reasons!B2:B2113""))&gt;=2),
""Exclude""
)"),"Exclude")</f>
        <v>Exclude</v>
      </c>
      <c r="E35" s="5" t="str">
        <f>IFERROR(__xludf.DUMMYFUNCTION("IFS(
D35=""Exclude"",""Exclude"",
AND(
FILTER(IMPORTRANGE(""https://docs.google.com/spreadsheets/d/1qpEmbGH0JjaJbUdp21-y2cPbobDbMjr09BbtdKROZWc/edit#gid=1444865654"",""articles_with_PRISMA_reasons!W2:W2113""), $A35=IMPORTRANGE(""https://docs.google.com/sp"&amp;"readsheets/d/1qpEmbGH0JjaJbUdp21-y2cPbobDbMjr09BbtdKROZWc/edit#gid=1444865654"",""articles_with_PRISMA_reasons!B2:B2113""))&gt;=2,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$A35=IMPORTRANGE(""https://docs.google.com/spreadsheets/d/1qpEmbGH0JjaJbUdp21-y2cPbobDbMjr09BbtdKROZWc/edit#gid=1444865654"",""articles_with_PRISMA_reasons!B2:B2113""))&lt;2),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$A35=IMPORTRANGE(""https://docs.google.com/spreadsheets/d/1qpEmbGH0JjaJbUdp21-y2cPbobDbMjr09BbtdKROZWc/"&amp;"edit#gid=1444865654"",""articles_with_PRISMA_reasons!B2:B2113""))&lt;2,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$A35=IMPORTRANG"&amp;"E(""https://docs.google.com/spreadsheets/d/1qpEmbGH0JjaJbUdp21-y2cPbobDbMjr09BbtdKROZWc/edit#gid=1444865654"",""articles_with_PRISMA_reasons!B2:B2113""))&gt;=2),
""Exclude""
)"),"Exclude")</f>
        <v>Exclude</v>
      </c>
      <c r="F35" s="5" t="str">
        <f>IFERROR(__xludf.DUMMYFUNCTION("IFS(
E35=""Exclude"",""Exclude"",
AND(
COUNTIF(
IMPORTRANGE(""https://docs.google.com/spreadsheets/d/1kGrh75X1cNR1D7_FcY9zMnHP8iPO4M5RCRjy6nZY0TY/edit#gid=0"",""Table 1: Study characteristics!B4:B171""),A35)&gt;0,
COUNTIF(Studies!$A$2:$A$85,FILTER(IMPORTRANG"&amp;"E(""https://docs.google.com/spreadsheets/d/1kGrh75X1cNR1D7_FcY9zMnHP8iPO4M5RCRjy6nZY0TY/edit#gid=0"",""Table 1: Study characteristics!A4:A171""), $A35=IMPORTRANGE(""https://docs.google.com/spreadsheets/d/1kGrh75X1cNR1D7_FcY9zMnHP8iPO4M5RCRjy6nZY0TY/edit#g"&amp;"id=0"",""Table 1: Study characteristics!B4:B171"")))&gt;0
),
""Include""
)"),"Exclude")</f>
        <v>Exclude</v>
      </c>
      <c r="G35" s="5" t="str">
        <f>IFERROR(__xludf.DUMMYFUNCTION("IFS(
D35=""Exclude"",
FILTER(IMPORTRANGE(""https://docs.google.com/spreadsheets/d/1BJSV3WBYJGRhQ6zExamkszQ5VutGIcaQqmbD9ZTVXMQ/edit#gid=1251630045"",""articles_with_PRISMA_reasons!AB2:AB2113""), $A35=IMPORTRANGE(""https://docs.google.com/spreadsheets/d/1B"&amp;"JSV3WBYJGRhQ6zExamkszQ5VutGIcaQqmbD9ZTVXMQ/edit#gid=1251630045"",""articles_with_PRISMA_reasons!B2:B2113"")),
E35=""Exclude"",
FILTER(IMPORTRANGE(""https://docs.google.com/spreadsheets/d/1qpEmbGH0JjaJbUdp21-y2cPbobDbMjr09BbtdKROZWc/edit#gid=1444865654"","&amp;"""articles_with_PRISMA_reasons!Z2:Z2113""), $A35=IMPORTRANGE(""https://docs.google.com/spreadsheets/d/1qpEmbGH0JjaJbUdp21-y2cPbobDbMjr09BbtdKROZWc/edit#gid=1444865654"",""articles_with_PRISMA_reasons!B2:B2113"")),F35
=""Include"",FILTER(IMPORTRANGE(""http"&amp;"s://docs.google.com/spreadsheets/d/1kGrh75X1cNR1D7_FcY9zMnHP8iPO4M5RCRjy6nZY0TY/edit#gid=0"",""Table 1: Study characteristics!A4:A171""), $A35=IMPORTRANGE(""https://docs.google.com/spreadsheets/d/1kGrh75X1cNR1D7_FcY9zMnHP8iPO4M5RCRjy6nZY0TY/edit#gid=0"","&amp;"""Table 1: Study characteristics!B4:B171""))
)"),"wrong study design")</f>
        <v>wrong study design</v>
      </c>
    </row>
    <row r="36">
      <c r="A36" s="4" t="str">
        <f>IFERROR(__xludf.DUMMYFUNCTION("""COMPUTED_VALUE"""),"[Current trends in the various diagnostic and therapeutic methods in myelodysplasia and its sequelae]")</f>
        <v>[Current trends in the various diagnostic and therapeutic methods in myelodysplasia and its sequelae]</v>
      </c>
      <c r="B36" s="5" t="str">
        <f>IFERROR(__xludf.DUMMYFUNCTION("LEFT(FILTER(IMPORTRANGE(""https://docs.google.com/spreadsheets/d/1BJSV3WBYJGRhQ6zExamkszQ5VutGIcaQqmbD9ZTVXMQ/edit#gid=1251630045"",""articles_with_PRISMA_reasons!K2:K2113""), $A36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$A36=IMPORTRANGE(""https://docs.google.com/spreadsheets/d/1BJSV3WBYJGRhQ6zExamkszQ5VutGIcaQqmbD9ZTVXMQ/edit#gid=1251630045"",""articles_with_PRISMA_reasons!B2:B2113"")))-1)"),"Tischer")</f>
        <v>Tischer</v>
      </c>
      <c r="C36" s="6">
        <f>IFERROR(__xludf.DUMMYFUNCTION("FILTER(IMPORTRANGE(""https://docs.google.com/spreadsheets/d/1BJSV3WBYJGRhQ6zExamkszQ5VutGIcaQqmbD9ZTVXMQ/edit#gid=1251630045"",""articles_with_PRISMA_reasons!C2:C2113""), $A36=IMPORTRANGE(""https://docs.google.com/spreadsheets/d/1BJSV3WBYJGRhQ6zExamkszQ5V"&amp;"utGIcaQqmbD9ZTVXMQ/edit#gid=1251630045"",""articles_with_PRISMA_reasons!B2:B2113""))"),1982.0)</f>
        <v>1982</v>
      </c>
      <c r="D36" s="5" t="str">
        <f>IFERROR(__xludf.DUMMYFUNCTION("IFS(AND(
FILTER(IMPORTRANGE(""https://docs.google.com/spreadsheets/d/1BJSV3WBYJGRhQ6zExamkszQ5VutGIcaQqmbD9ZTVXMQ/edit#gid=1251630045"",""articles_with_PRISMA_reasons!Y2:Y2113""), $A36=IMPORTRANGE(""https://docs.google.com/spreadsheets/d/1BJSV3WBYJGRhQ6zE"&amp;"xamkszQ5VutGIcaQqmbD9ZTVXMQ/edit#gid=1251630045"",""articles_with_PRISMA_reasons!B2:B2113""))&gt;=2,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$A36=IMPORTRANGE(""https://docs.google.com/spreadsheets/d/1BJSV3WBYJGRhQ6zExamkszQ5VutGIcaQqmbD9ZTVXMQ/edit#gid=1251630045"",""articles_with_PRISMA_reasons!B2:B2113""))&lt;2),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$A36=IMPORTRANGE(""https://docs.google.com/spreadsheets/d/1BJSV3WBYJGRhQ6zExamkszQ5VutGIcaQqmbD9ZTVXMQ/edit#gid=1251630045"",""article"&amp;"s_with_PRISMA_reasons!B2:B2113""))&lt;2,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$A36=IMPORTRANGE(""https://docs.google.com/spr"&amp;"eadsheets/d/1BJSV3WBYJGRhQ6zExamkszQ5VutGIcaQqmbD9ZTVXMQ/edit#gid=1251630045"",""articles_with_PRISMA_reasons!B2:B2113""))&gt;=2),
""Exclude""
)"),"Exclude")</f>
        <v>Exclude</v>
      </c>
      <c r="E36" s="5" t="str">
        <f>IFERROR(__xludf.DUMMYFUNCTION("IFS(
D36=""Exclude"",""Exclude"",
AND(
FILTER(IMPORTRANGE(""https://docs.google.com/spreadsheets/d/1qpEmbGH0JjaJbUdp21-y2cPbobDbMjr09BbtdKROZWc/edit#gid=1444865654"",""articles_with_PRISMA_reasons!W2:W2113""), $A36=IMPORTRANGE(""https://docs.google.com/sp"&amp;"readsheets/d/1qpEmbGH0JjaJbUdp21-y2cPbobDbMjr09BbtdKROZWc/edit#gid=1444865654"",""articles_with_PRISMA_reasons!B2:B2113""))&gt;=2,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$A36=IMPORTRANGE(""https://docs.google.com/spreadsheets/d/1qpEmbGH0JjaJbUdp21-y2cPbobDbMjr09BbtdKROZWc/edit#gid=1444865654"",""articles_with_PRISMA_reasons!B2:B2113""))&lt;2),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$A36=IMPORTRANGE(""https://docs.google.com/spreadsheets/d/1qpEmbGH0JjaJbUdp21-y2cPbobDbMjr09BbtdKROZWc/"&amp;"edit#gid=1444865654"",""articles_with_PRISMA_reasons!B2:B2113""))&lt;2,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$A36=IMPORTRANG"&amp;"E(""https://docs.google.com/spreadsheets/d/1qpEmbGH0JjaJbUdp21-y2cPbobDbMjr09BbtdKROZWc/edit#gid=1444865654"",""articles_with_PRISMA_reasons!B2:B2113""))&gt;=2),
""Exclude""
)"),"Exclude")</f>
        <v>Exclude</v>
      </c>
      <c r="F36" s="5" t="str">
        <f>IFERROR(__xludf.DUMMYFUNCTION("IFS(
E36=""Exclude"",""Exclude"",
AND(
COUNTIF(
IMPORTRANGE(""https://docs.google.com/spreadsheets/d/1kGrh75X1cNR1D7_FcY9zMnHP8iPO4M5RCRjy6nZY0TY/edit#gid=0"",""Table 1: Study characteristics!B4:B171""),A36)&gt;0,
COUNTIF(Studies!$A$2:$A$85,FILTER(IMPORTRANG"&amp;"E(""https://docs.google.com/spreadsheets/d/1kGrh75X1cNR1D7_FcY9zMnHP8iPO4M5RCRjy6nZY0TY/edit#gid=0"",""Table 1: Study characteristics!A4:A171""), $A36=IMPORTRANGE(""https://docs.google.com/spreadsheets/d/1kGrh75X1cNR1D7_FcY9zMnHP8iPO4M5RCRjy6nZY0TY/edit#g"&amp;"id=0"",""Table 1: Study characteristics!B4:B171"")))&gt;0
),
""Include""
)"),"Exclude")</f>
        <v>Exclude</v>
      </c>
      <c r="G36" s="5" t="str">
        <f>IFERROR(__xludf.DUMMYFUNCTION("IFS(
D36=""Exclude"",
FILTER(IMPORTRANGE(""https://docs.google.com/spreadsheets/d/1BJSV3WBYJGRhQ6zExamkszQ5VutGIcaQqmbD9ZTVXMQ/edit#gid=1251630045"",""articles_with_PRISMA_reasons!AB2:AB2113""), $A36=IMPORTRANGE(""https://docs.google.com/spreadsheets/d/1B"&amp;"JSV3WBYJGRhQ6zExamkszQ5VutGIcaQqmbD9ZTVXMQ/edit#gid=1251630045"",""articles_with_PRISMA_reasons!B2:B2113"")),
E36=""Exclude"",
FILTER(IMPORTRANGE(""https://docs.google.com/spreadsheets/d/1qpEmbGH0JjaJbUdp21-y2cPbobDbMjr09BbtdKROZWc/edit#gid=1444865654"","&amp;"""articles_with_PRISMA_reasons!Z2:Z2113""), $A36=IMPORTRANGE(""https://docs.google.com/spreadsheets/d/1qpEmbGH0JjaJbUdp21-y2cPbobDbMjr09BbtdKROZWc/edit#gid=1444865654"",""articles_with_PRISMA_reasons!B2:B2113"")),F36
=""Include"",FILTER(IMPORTRANGE(""http"&amp;"s://docs.google.com/spreadsheets/d/1kGrh75X1cNR1D7_FcY9zMnHP8iPO4M5RCRjy6nZY0TY/edit#gid=0"",""Table 1: Study characteristics!A4:A171""), $A36=IMPORTRANGE(""https://docs.google.com/spreadsheets/d/1kGrh75X1cNR1D7_FcY9zMnHP8iPO4M5RCRjy6nZY0TY/edit#gid=0"","&amp;"""Table 1: Study characteristics!B4:B171""))
)"),"wrong study design")</f>
        <v>wrong study design</v>
      </c>
    </row>
    <row r="37">
      <c r="A37" s="4" t="str">
        <f>IFERROR(__xludf.DUMMYFUNCTION("""COMPUTED_VALUE"""),"[Diagnosis and early treatment of subclinical hydrocephalus in newborn infants with myelomeningocele. Value of RISA-Ventriculography]")</f>
        <v>[Diagnosis and early treatment of subclinical hydrocephalus in newborn infants with myelomeningocele. Value of RISA-Ventriculography]</v>
      </c>
      <c r="B37" s="5" t="str">
        <f>IFERROR(__xludf.DUMMYFUNCTION("LEFT(FILTER(IMPORTRANGE(""https://docs.google.com/spreadsheets/d/1BJSV3WBYJGRhQ6zExamkszQ5VutGIcaQqmbD9ZTVXMQ/edit#gid=1251630045"",""articles_with_PRISMA_reasons!K2:K2113""), $A37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$A37=IMPORTRANGE(""https://docs.google.com/spreadsheets/d/1BJSV3WBYJGRhQ6zExamkszQ5VutGIcaQqmbD9ZTVXMQ/edit#gid=1251630045"",""articles_with_PRISMA_reasons!B2:B2113"")))-1)"),"Dujovny")</f>
        <v>Dujovny</v>
      </c>
      <c r="C37" s="6">
        <f>IFERROR(__xludf.DUMMYFUNCTION("FILTER(IMPORTRANGE(""https://docs.google.com/spreadsheets/d/1BJSV3WBYJGRhQ6zExamkszQ5VutGIcaQqmbD9ZTVXMQ/edit#gid=1251630045"",""articles_with_PRISMA_reasons!C2:C2113""), $A37=IMPORTRANGE(""https://docs.google.com/spreadsheets/d/1BJSV3WBYJGRhQ6zExamkszQ5V"&amp;"utGIcaQqmbD9ZTVXMQ/edit#gid=1251630045"",""articles_with_PRISMA_reasons!B2:B2113""))"),1972.0)</f>
        <v>1972</v>
      </c>
      <c r="D37" s="5" t="str">
        <f>IFERROR(__xludf.DUMMYFUNCTION("IFS(AND(
FILTER(IMPORTRANGE(""https://docs.google.com/spreadsheets/d/1BJSV3WBYJGRhQ6zExamkszQ5VutGIcaQqmbD9ZTVXMQ/edit#gid=1251630045"",""articles_with_PRISMA_reasons!Y2:Y2113""), $A37=IMPORTRANGE(""https://docs.google.com/spreadsheets/d/1BJSV3WBYJGRhQ6zE"&amp;"xamkszQ5VutGIcaQqmbD9ZTVXMQ/edit#gid=1251630045"",""articles_with_PRISMA_reasons!B2:B2113""))&gt;=2,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$A37=IMPORTRANGE(""https://docs.google.com/spreadsheets/d/1BJSV3WBYJGRhQ6zExamkszQ5VutGIcaQqmbD9ZTVXMQ/edit#gid=1251630045"",""articles_with_PRISMA_reasons!B2:B2113""))&lt;2),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$A37=IMPORTRANGE(""https://docs.google.com/spreadsheets/d/1BJSV3WBYJGRhQ6zExamkszQ5VutGIcaQqmbD9ZTVXMQ/edit#gid=1251630045"",""article"&amp;"s_with_PRISMA_reasons!B2:B2113""))&lt;2,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$A37=IMPORTRANGE(""https://docs.google.com/spr"&amp;"eadsheets/d/1BJSV3WBYJGRhQ6zExamkszQ5VutGIcaQqmbD9ZTVXMQ/edit#gid=1251630045"",""articles_with_PRISMA_reasons!B2:B2113""))&gt;=2),
""Exclude""
)"),"Include")</f>
        <v>Include</v>
      </c>
      <c r="E37" s="5" t="str">
        <f>IFERROR(__xludf.DUMMYFUNCTION("IFS(
D37=""Exclude"",""Exclude"",
AND(
FILTER(IMPORTRANGE(""https://docs.google.com/spreadsheets/d/1qpEmbGH0JjaJbUdp21-y2cPbobDbMjr09BbtdKROZWc/edit#gid=1444865654"",""articles_with_PRISMA_reasons!W2:W2113""), $A37=IMPORTRANGE(""https://docs.google.com/sp"&amp;"readsheets/d/1qpEmbGH0JjaJbUdp21-y2cPbobDbMjr09BbtdKROZWc/edit#gid=1444865654"",""articles_with_PRISMA_reasons!B2:B2113""))&gt;=2,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$A37=IMPORTRANGE(""https://docs.google.com/spreadsheets/d/1qpEmbGH0JjaJbUdp21-y2cPbobDbMjr09BbtdKROZWc/edit#gid=1444865654"",""articles_with_PRISMA_reasons!B2:B2113""))&lt;2),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$A37=IMPORTRANGE(""https://docs.google.com/spreadsheets/d/1qpEmbGH0JjaJbUdp21-y2cPbobDbMjr09BbtdKROZWc/"&amp;"edit#gid=1444865654"",""articles_with_PRISMA_reasons!B2:B2113""))&lt;2,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$A37=IMPORTRANG"&amp;"E(""https://docs.google.com/spreadsheets/d/1qpEmbGH0JjaJbUdp21-y2cPbobDbMjr09BbtdKROZWc/edit#gid=1444865654"",""articles_with_PRISMA_reasons!B2:B2113""))&gt;=2),
""Exclude""
)"),"Exclude")</f>
        <v>Exclude</v>
      </c>
      <c r="F37" s="5" t="str">
        <f>IFERROR(__xludf.DUMMYFUNCTION("IFS(
E37=""Exclude"",""Exclude"",
AND(
COUNTIF(
IMPORTRANGE(""https://docs.google.com/spreadsheets/d/1kGrh75X1cNR1D7_FcY9zMnHP8iPO4M5RCRjy6nZY0TY/edit#gid=0"",""Table 1: Study characteristics!B4:B171""),A37)&gt;0,
COUNTIF(Studies!$A$2:$A$85,FILTER(IMPORTRANG"&amp;"E(""https://docs.google.com/spreadsheets/d/1kGrh75X1cNR1D7_FcY9zMnHP8iPO4M5RCRjy6nZY0TY/edit#gid=0"",""Table 1: Study characteristics!A4:A171""), $A37=IMPORTRANGE(""https://docs.google.com/spreadsheets/d/1kGrh75X1cNR1D7_FcY9zMnHP8iPO4M5RCRjy6nZY0TY/edit#g"&amp;"id=0"",""Table 1: Study characteristics!B4:B171"")))&gt;0
),
""Include""
)"),"Exclude")</f>
        <v>Exclude</v>
      </c>
      <c r="G37" s="5" t="str">
        <f>IFERROR(__xludf.DUMMYFUNCTION("IFS(
D37=""Exclude"",
FILTER(IMPORTRANGE(""https://docs.google.com/spreadsheets/d/1BJSV3WBYJGRhQ6zExamkszQ5VutGIcaQqmbD9ZTVXMQ/edit#gid=1251630045"",""articles_with_PRISMA_reasons!AB2:AB2113""), $A37=IMPORTRANGE(""https://docs.google.com/spreadsheets/d/1B"&amp;"JSV3WBYJGRhQ6zExamkszQ5VutGIcaQqmbD9ZTVXMQ/edit#gid=1251630045"",""articles_with_PRISMA_reasons!B2:B2113"")),
E37=""Exclude"",
FILTER(IMPORTRANGE(""https://docs.google.com/spreadsheets/d/1qpEmbGH0JjaJbUdp21-y2cPbobDbMjr09BbtdKROZWc/edit#gid=1444865654"","&amp;"""articles_with_PRISMA_reasons!Z2:Z2113""), $A37=IMPORTRANGE(""https://docs.google.com/spreadsheets/d/1qpEmbGH0JjaJbUdp21-y2cPbobDbMjr09BbtdKROZWc/edit#gid=1444865654"",""articles_with_PRISMA_reasons!B2:B2113"")),F37
=""Include"",FILTER(IMPORTRANGE(""http"&amp;"s://docs.google.com/spreadsheets/d/1kGrh75X1cNR1D7_FcY9zMnHP8iPO4M5RCRjy6nZY0TY/edit#gid=0"",""Table 1: Study characteristics!A4:A171""), $A37=IMPORTRANGE(""https://docs.google.com/spreadsheets/d/1kGrh75X1cNR1D7_FcY9zMnHP8iPO4M5RCRjy6nZY0TY/edit#gid=0"","&amp;"""Table 1: Study characteristics!B4:B171""))
)"),"no full text")</f>
        <v>no full text</v>
      </c>
    </row>
    <row r="38">
      <c r="A38" s="4" t="str">
        <f>IFERROR(__xludf.DUMMYFUNCTION("""COMPUTED_VALUE"""),"[Diagnosis of fetal malformations with ultrasound--state of development]")</f>
        <v>[Diagnosis of fetal malformations with ultrasound--state of development]</v>
      </c>
      <c r="B38" s="5" t="str">
        <f>IFERROR(__xludf.DUMMYFUNCTION("LEFT(FILTER(IMPORTRANGE(""https://docs.google.com/spreadsheets/d/1BJSV3WBYJGRhQ6zExamkszQ5VutGIcaQqmbD9ZTVXMQ/edit#gid=1251630045"",""articles_with_PRISMA_reasons!K2:K2113""), $A38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$A38=IMPORTRANGE(""https://docs.google.com/spreadsheets/d/1BJSV3WBYJGRhQ6zExamkszQ5VutGIcaQqmbD9ZTVXMQ/edit#gid=1251630045"",""articles_with_PRISMA_reasons!B2:B2113"")))-1)"),"Fendel")</f>
        <v>Fendel</v>
      </c>
      <c r="C38" s="6">
        <f>IFERROR(__xludf.DUMMYFUNCTION("FILTER(IMPORTRANGE(""https://docs.google.com/spreadsheets/d/1BJSV3WBYJGRhQ6zExamkszQ5VutGIcaQqmbD9ZTVXMQ/edit#gid=1251630045"",""articles_with_PRISMA_reasons!C2:C2113""), $A38=IMPORTRANGE(""https://docs.google.com/spreadsheets/d/1BJSV3WBYJGRhQ6zExamkszQ5V"&amp;"utGIcaQqmbD9ZTVXMQ/edit#gid=1251630045"",""articles_with_PRISMA_reasons!B2:B2113""))"),1983.0)</f>
        <v>1983</v>
      </c>
      <c r="D38" s="5" t="str">
        <f>IFERROR(__xludf.DUMMYFUNCTION("IFS(AND(
FILTER(IMPORTRANGE(""https://docs.google.com/spreadsheets/d/1BJSV3WBYJGRhQ6zExamkszQ5VutGIcaQqmbD9ZTVXMQ/edit#gid=1251630045"",""articles_with_PRISMA_reasons!Y2:Y2113""), $A38=IMPORTRANGE(""https://docs.google.com/spreadsheets/d/1BJSV3WBYJGRhQ6zE"&amp;"xamkszQ5VutGIcaQqmbD9ZTVXMQ/edit#gid=1251630045"",""articles_with_PRISMA_reasons!B2:B2113""))&gt;=2,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$A38=IMPORTRANGE(""https://docs.google.com/spreadsheets/d/1BJSV3WBYJGRhQ6zExamkszQ5VutGIcaQqmbD9ZTVXMQ/edit#gid=1251630045"",""articles_with_PRISMA_reasons!B2:B2113""))&lt;2),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$A38=IMPORTRANGE(""https://docs.google.com/spreadsheets/d/1BJSV3WBYJGRhQ6zExamkszQ5VutGIcaQqmbD9ZTVXMQ/edit#gid=1251630045"",""article"&amp;"s_with_PRISMA_reasons!B2:B2113""))&lt;2,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$A38=IMPORTRANGE(""https://docs.google.com/spr"&amp;"eadsheets/d/1BJSV3WBYJGRhQ6zExamkszQ5VutGIcaQqmbD9ZTVXMQ/edit#gid=1251630045"",""articles_with_PRISMA_reasons!B2:B2113""))&gt;=2),
""Exclude""
)"),"Exclude")</f>
        <v>Exclude</v>
      </c>
      <c r="E38" s="5" t="str">
        <f>IFERROR(__xludf.DUMMYFUNCTION("IFS(
D38=""Exclude"",""Exclude"",
AND(
FILTER(IMPORTRANGE(""https://docs.google.com/spreadsheets/d/1qpEmbGH0JjaJbUdp21-y2cPbobDbMjr09BbtdKROZWc/edit#gid=1444865654"",""articles_with_PRISMA_reasons!W2:W2113""), $A38=IMPORTRANGE(""https://docs.google.com/sp"&amp;"readsheets/d/1qpEmbGH0JjaJbUdp21-y2cPbobDbMjr09BbtdKROZWc/edit#gid=1444865654"",""articles_with_PRISMA_reasons!B2:B2113""))&gt;=2,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$A38=IMPORTRANGE(""https://docs.google.com/spreadsheets/d/1qpEmbGH0JjaJbUdp21-y2cPbobDbMjr09BbtdKROZWc/edit#gid=1444865654"",""articles_with_PRISMA_reasons!B2:B2113""))&lt;2),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$A38=IMPORTRANGE(""https://docs.google.com/spreadsheets/d/1qpEmbGH0JjaJbUdp21-y2cPbobDbMjr09BbtdKROZWc/"&amp;"edit#gid=1444865654"",""articles_with_PRISMA_reasons!B2:B2113""))&lt;2,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$A38=IMPORTRANG"&amp;"E(""https://docs.google.com/spreadsheets/d/1qpEmbGH0JjaJbUdp21-y2cPbobDbMjr09BbtdKROZWc/edit#gid=1444865654"",""articles_with_PRISMA_reasons!B2:B2113""))&gt;=2),
""Exclude""
)"),"Exclude")</f>
        <v>Exclude</v>
      </c>
      <c r="F38" s="5" t="str">
        <f>IFERROR(__xludf.DUMMYFUNCTION("IFS(
E38=""Exclude"",""Exclude"",
AND(
COUNTIF(
IMPORTRANGE(""https://docs.google.com/spreadsheets/d/1kGrh75X1cNR1D7_FcY9zMnHP8iPO4M5RCRjy6nZY0TY/edit#gid=0"",""Table 1: Study characteristics!B4:B171""),A38)&gt;0,
COUNTIF(Studies!$A$2:$A$85,FILTER(IMPORTRANG"&amp;"E(""https://docs.google.com/spreadsheets/d/1kGrh75X1cNR1D7_FcY9zMnHP8iPO4M5RCRjy6nZY0TY/edit#gid=0"",""Table 1: Study characteristics!A4:A171""), $A38=IMPORTRANGE(""https://docs.google.com/spreadsheets/d/1kGrh75X1cNR1D7_FcY9zMnHP8iPO4M5RCRjy6nZY0TY/edit#g"&amp;"id=0"",""Table 1: Study characteristics!B4:B171"")))&gt;0
),
""Include""
)"),"Exclude")</f>
        <v>Exclude</v>
      </c>
      <c r="G38" s="5" t="str">
        <f>IFERROR(__xludf.DUMMYFUNCTION("IFS(
D38=""Exclude"",
FILTER(IMPORTRANGE(""https://docs.google.com/spreadsheets/d/1BJSV3WBYJGRhQ6zExamkszQ5VutGIcaQqmbD9ZTVXMQ/edit#gid=1251630045"",""articles_with_PRISMA_reasons!AB2:AB2113""), $A38=IMPORTRANGE(""https://docs.google.com/spreadsheets/d/1B"&amp;"JSV3WBYJGRhQ6zExamkszQ5VutGIcaQqmbD9ZTVXMQ/edit#gid=1251630045"",""articles_with_PRISMA_reasons!B2:B2113"")),
E38=""Exclude"",
FILTER(IMPORTRANGE(""https://docs.google.com/spreadsheets/d/1qpEmbGH0JjaJbUdp21-y2cPbobDbMjr09BbtdKROZWc/edit#gid=1444865654"","&amp;"""articles_with_PRISMA_reasons!Z2:Z2113""), $A38=IMPORTRANGE(""https://docs.google.com/spreadsheets/d/1qpEmbGH0JjaJbUdp21-y2cPbobDbMjr09BbtdKROZWc/edit#gid=1444865654"",""articles_with_PRISMA_reasons!B2:B2113"")),F38
=""Include"",FILTER(IMPORTRANGE(""http"&amp;"s://docs.google.com/spreadsheets/d/1kGrh75X1cNR1D7_FcY9zMnHP8iPO4M5RCRjy6nZY0TY/edit#gid=0"",""Table 1: Study characteristics!A4:A171""), $A38=IMPORTRANGE(""https://docs.google.com/spreadsheets/d/1kGrh75X1cNR1D7_FcY9zMnHP8iPO4M5RCRjy6nZY0TY/edit#gid=0"","&amp;"""Table 1: Study characteristics!B4:B171""))
)"),"wrong population")</f>
        <v>wrong population</v>
      </c>
    </row>
    <row r="39">
      <c r="A39" s="4" t="str">
        <f>IFERROR(__xludf.DUMMYFUNCTION("""COMPUTED_VALUE"""),"[Echoencephalography in myelomeningocele]")</f>
        <v>[Echoencephalography in myelomeningocele]</v>
      </c>
      <c r="B39" s="5" t="str">
        <f>IFERROR(__xludf.DUMMYFUNCTION("LEFT(FILTER(IMPORTRANGE(""https://docs.google.com/spreadsheets/d/1BJSV3WBYJGRhQ6zExamkszQ5VutGIcaQqmbD9ZTVXMQ/edit#gid=1251630045"",""articles_with_PRISMA_reasons!K2:K2113""), $A39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$A39=IMPORTRANGE(""https://docs.google.com/spreadsheets/d/1BJSV3WBYJGRhQ6zExamkszQ5VutGIcaQqmbD9ZTVXMQ/edit#gid=1251630045"",""articles_with_PRISMA_reasons!B2:B2113"")))-1)"),"Dumas")</f>
        <v>Dumas</v>
      </c>
      <c r="C39" s="6">
        <f>IFERROR(__xludf.DUMMYFUNCTION("FILTER(IMPORTRANGE(""https://docs.google.com/spreadsheets/d/1BJSV3WBYJGRhQ6zExamkszQ5VutGIcaQqmbD9ZTVXMQ/edit#gid=1251630045"",""articles_with_PRISMA_reasons!C2:C2113""), $A39=IMPORTRANGE(""https://docs.google.com/spreadsheets/d/1BJSV3WBYJGRhQ6zExamkszQ5V"&amp;"utGIcaQqmbD9ZTVXMQ/edit#gid=1251630045"",""articles_with_PRISMA_reasons!B2:B2113""))"),1991.0)</f>
        <v>1991</v>
      </c>
      <c r="D39" s="5" t="str">
        <f>IFERROR(__xludf.DUMMYFUNCTION("IFS(AND(
FILTER(IMPORTRANGE(""https://docs.google.com/spreadsheets/d/1BJSV3WBYJGRhQ6zExamkszQ5VutGIcaQqmbD9ZTVXMQ/edit#gid=1251630045"",""articles_with_PRISMA_reasons!Y2:Y2113""), $A39=IMPORTRANGE(""https://docs.google.com/spreadsheets/d/1BJSV3WBYJGRhQ6zE"&amp;"xamkszQ5VutGIcaQqmbD9ZTVXMQ/edit#gid=1251630045"",""articles_with_PRISMA_reasons!B2:B2113""))&gt;=2,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$A39=IMPORTRANGE(""https://docs.google.com/spreadsheets/d/1BJSV3WBYJGRhQ6zExamkszQ5VutGIcaQqmbD9ZTVXMQ/edit#gid=1251630045"",""articles_with_PRISMA_reasons!B2:B2113""))&lt;2),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$A39=IMPORTRANGE(""https://docs.google.com/spreadsheets/d/1BJSV3WBYJGRhQ6zExamkszQ5VutGIcaQqmbD9ZTVXMQ/edit#gid=1251630045"",""article"&amp;"s_with_PRISMA_reasons!B2:B2113""))&lt;2,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$A39=IMPORTRANGE(""https://docs.google.com/spr"&amp;"eadsheets/d/1BJSV3WBYJGRhQ6zExamkszQ5VutGIcaQqmbD9ZTVXMQ/edit#gid=1251630045"",""articles_with_PRISMA_reasons!B2:B2113""))&gt;=2),
""Exclude""
)"),"Exclude")</f>
        <v>Exclude</v>
      </c>
      <c r="E39" s="5" t="str">
        <f>IFERROR(__xludf.DUMMYFUNCTION("IFS(
D39=""Exclude"",""Exclude"",
AND(
FILTER(IMPORTRANGE(""https://docs.google.com/spreadsheets/d/1qpEmbGH0JjaJbUdp21-y2cPbobDbMjr09BbtdKROZWc/edit#gid=1444865654"",""articles_with_PRISMA_reasons!W2:W2113""), $A39=IMPORTRANGE(""https://docs.google.com/sp"&amp;"readsheets/d/1qpEmbGH0JjaJbUdp21-y2cPbobDbMjr09BbtdKROZWc/edit#gid=1444865654"",""articles_with_PRISMA_reasons!B2:B2113""))&gt;=2,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$A39=IMPORTRANGE(""https://docs.google.com/spreadsheets/d/1qpEmbGH0JjaJbUdp21-y2cPbobDbMjr09BbtdKROZWc/edit#gid=1444865654"",""articles_with_PRISMA_reasons!B2:B2113""))&lt;2),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$A39=IMPORTRANGE(""https://docs.google.com/spreadsheets/d/1qpEmbGH0JjaJbUdp21-y2cPbobDbMjr09BbtdKROZWc/"&amp;"edit#gid=1444865654"",""articles_with_PRISMA_reasons!B2:B2113""))&lt;2,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$A39=IMPORTRANG"&amp;"E(""https://docs.google.com/spreadsheets/d/1qpEmbGH0JjaJbUdp21-y2cPbobDbMjr09BbtdKROZWc/edit#gid=1444865654"",""articles_with_PRISMA_reasons!B2:B2113""))&gt;=2),
""Exclude""
)"),"Exclude")</f>
        <v>Exclude</v>
      </c>
      <c r="F39" s="5" t="str">
        <f>IFERROR(__xludf.DUMMYFUNCTION("IFS(
E39=""Exclude"",""Exclude"",
AND(
COUNTIF(
IMPORTRANGE(""https://docs.google.com/spreadsheets/d/1kGrh75X1cNR1D7_FcY9zMnHP8iPO4M5RCRjy6nZY0TY/edit#gid=0"",""Table 1: Study characteristics!B4:B171""),A39)&gt;0,
COUNTIF(Studies!$A$2:$A$85,FILTER(IMPORTRANG"&amp;"E(""https://docs.google.com/spreadsheets/d/1kGrh75X1cNR1D7_FcY9zMnHP8iPO4M5RCRjy6nZY0TY/edit#gid=0"",""Table 1: Study characteristics!A4:A171""), $A39=IMPORTRANGE(""https://docs.google.com/spreadsheets/d/1kGrh75X1cNR1D7_FcY9zMnHP8iPO4M5RCRjy6nZY0TY/edit#g"&amp;"id=0"",""Table 1: Study characteristics!B4:B171"")))&gt;0
),
""Include""
)"),"Exclude")</f>
        <v>Exclude</v>
      </c>
      <c r="G39" s="5" t="str">
        <f>IFERROR(__xludf.DUMMYFUNCTION("IFS(
D39=""Exclude"",
FILTER(IMPORTRANGE(""https://docs.google.com/spreadsheets/d/1BJSV3WBYJGRhQ6zExamkszQ5VutGIcaQqmbD9ZTVXMQ/edit#gid=1251630045"",""articles_with_PRISMA_reasons!AB2:AB2113""), $A39=IMPORTRANGE(""https://docs.google.com/spreadsheets/d/1B"&amp;"JSV3WBYJGRhQ6zExamkszQ5VutGIcaQqmbD9ZTVXMQ/edit#gid=1251630045"",""articles_with_PRISMA_reasons!B2:B2113"")),
E39=""Exclude"",
FILTER(IMPORTRANGE(""https://docs.google.com/spreadsheets/d/1qpEmbGH0JjaJbUdp21-y2cPbobDbMjr09BbtdKROZWc/edit#gid=1444865654"","&amp;"""articles_with_PRISMA_reasons!Z2:Z2113""), $A39=IMPORTRANGE(""https://docs.google.com/spreadsheets/d/1qpEmbGH0JjaJbUdp21-y2cPbobDbMjr09BbtdKROZWc/edit#gid=1444865654"",""articles_with_PRISMA_reasons!B2:B2113"")),F39
=""Include"",FILTER(IMPORTRANGE(""http"&amp;"s://docs.google.com/spreadsheets/d/1kGrh75X1cNR1D7_FcY9zMnHP8iPO4M5RCRjy6nZY0TY/edit#gid=0"",""Table 1: Study characteristics!A4:A171""), $A39=IMPORTRANGE(""https://docs.google.com/spreadsheets/d/1kGrh75X1cNR1D7_FcY9zMnHP8iPO4M5RCRjy6nZY0TY/edit#gid=0"","&amp;"""Table 1: Study characteristics!B4:B171""))
)"),"wrong population")</f>
        <v>wrong population</v>
      </c>
    </row>
    <row r="40">
      <c r="A40" s="4" t="str">
        <f>IFERROR(__xludf.DUMMYFUNCTION("""COMPUTED_VALUE"""),"[Encephalographic tomography of the posterior cranial fossa in myelomeningoceles]")</f>
        <v>[Encephalographic tomography of the posterior cranial fossa in myelomeningoceles]</v>
      </c>
      <c r="B40" s="5" t="str">
        <f>IFERROR(__xludf.DUMMYFUNCTION("LEFT(FILTER(IMPORTRANGE(""https://docs.google.com/spreadsheets/d/1BJSV3WBYJGRhQ6zExamkszQ5VutGIcaQqmbD9ZTVXMQ/edit#gid=1251630045"",""articles_with_PRISMA_reasons!K2:K2113""), $A40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$A40=IMPORTRANGE(""https://docs.google.com/spreadsheets/d/1BJSV3WBYJGRhQ6zExamkszQ5VutGIcaQqmbD9ZTVXMQ/edit#gid=1251630045"",""articles_with_PRISMA_reasons!B2:B2113"")))-1)"),"Bock")</f>
        <v>Bock</v>
      </c>
      <c r="C40" s="6" t="str">
        <f>IFERROR(__xludf.DUMMYFUNCTION("FILTER(IMPORTRANGE(""https://docs.google.com/spreadsheets/d/1BJSV3WBYJGRhQ6zExamkszQ5VutGIcaQqmbD9ZTVXMQ/edit#gid=1251630045"",""articles_with_PRISMA_reasons!C2:C2113""), $A40=IMPORTRANGE(""https://docs.google.com/spreadsheets/d/1BJSV3WBYJGRhQ6zExamkszQ5V"&amp;"utGIcaQqmbD9ZTVXMQ/edit#gid=1251630045"",""articles_with_PRISMA_reasons!B2:B2113""))"),"Mar")</f>
        <v>Mar</v>
      </c>
      <c r="D40" s="5" t="str">
        <f>IFERROR(__xludf.DUMMYFUNCTION("IFS(AND(
FILTER(IMPORTRANGE(""https://docs.google.com/spreadsheets/d/1BJSV3WBYJGRhQ6zExamkszQ5VutGIcaQqmbD9ZTVXMQ/edit#gid=1251630045"",""articles_with_PRISMA_reasons!Y2:Y2113""), $A40=IMPORTRANGE(""https://docs.google.com/spreadsheets/d/1BJSV3WBYJGRhQ6zE"&amp;"xamkszQ5VutGIcaQqmbD9ZTVXMQ/edit#gid=1251630045"",""articles_with_PRISMA_reasons!B2:B2113""))&gt;=2,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$A40=IMPORTRANGE(""https://docs.google.com/spreadsheets/d/1BJSV3WBYJGRhQ6zExamkszQ5VutGIcaQqmbD9ZTVXMQ/edit#gid=1251630045"",""articles_with_PRISMA_reasons!B2:B2113""))&lt;2),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$A40=IMPORTRANGE(""https://docs.google.com/spreadsheets/d/1BJSV3WBYJGRhQ6zExamkszQ5VutGIcaQqmbD9ZTVXMQ/edit#gid=1251630045"",""article"&amp;"s_with_PRISMA_reasons!B2:B2113""))&lt;2,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$A40=IMPORTRANGE(""https://docs.google.com/spr"&amp;"eadsheets/d/1BJSV3WBYJGRhQ6zExamkszQ5VutGIcaQqmbD9ZTVXMQ/edit#gid=1251630045"",""articles_with_PRISMA_reasons!B2:B2113""))&gt;=2),
""Exclude""
)"),"Exclude")</f>
        <v>Exclude</v>
      </c>
      <c r="E40" s="5" t="str">
        <f>IFERROR(__xludf.DUMMYFUNCTION("IFS(
D40=""Exclude"",""Exclude"",
AND(
FILTER(IMPORTRANGE(""https://docs.google.com/spreadsheets/d/1qpEmbGH0JjaJbUdp21-y2cPbobDbMjr09BbtdKROZWc/edit#gid=1444865654"",""articles_with_PRISMA_reasons!W2:W2113""), $A40=IMPORTRANGE(""https://docs.google.com/sp"&amp;"readsheets/d/1qpEmbGH0JjaJbUdp21-y2cPbobDbMjr09BbtdKROZWc/edit#gid=1444865654"",""articles_with_PRISMA_reasons!B2:B2113""))&gt;=2,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$A40=IMPORTRANGE(""https://docs.google.com/spreadsheets/d/1qpEmbGH0JjaJbUdp21-y2cPbobDbMjr09BbtdKROZWc/edit#gid=1444865654"",""articles_with_PRISMA_reasons!B2:B2113""))&lt;2),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$A40=IMPORTRANGE(""https://docs.google.com/spreadsheets/d/1qpEmbGH0JjaJbUdp21-y2cPbobDbMjr09BbtdKROZWc/"&amp;"edit#gid=1444865654"",""articles_with_PRISMA_reasons!B2:B2113""))&lt;2,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$A40=IMPORTRANG"&amp;"E(""https://docs.google.com/spreadsheets/d/1qpEmbGH0JjaJbUdp21-y2cPbobDbMjr09BbtdKROZWc/edit#gid=1444865654"",""articles_with_PRISMA_reasons!B2:B2113""))&gt;=2),
""Exclude""
)"),"Exclude")</f>
        <v>Exclude</v>
      </c>
      <c r="F40" s="5" t="str">
        <f>IFERROR(__xludf.DUMMYFUNCTION("IFS(
E40=""Exclude"",""Exclude"",
AND(
COUNTIF(
IMPORTRANGE(""https://docs.google.com/spreadsheets/d/1kGrh75X1cNR1D7_FcY9zMnHP8iPO4M5RCRjy6nZY0TY/edit#gid=0"",""Table 1: Study characteristics!B4:B171""),A40)&gt;0,
COUNTIF(Studies!$A$2:$A$85,FILTER(IMPORTRANG"&amp;"E(""https://docs.google.com/spreadsheets/d/1kGrh75X1cNR1D7_FcY9zMnHP8iPO4M5RCRjy6nZY0TY/edit#gid=0"",""Table 1: Study characteristics!A4:A171""), $A40=IMPORTRANGE(""https://docs.google.com/spreadsheets/d/1kGrh75X1cNR1D7_FcY9zMnHP8iPO4M5RCRjy6nZY0TY/edit#g"&amp;"id=0"",""Table 1: Study characteristics!B4:B171"")))&gt;0
),
""Include""
)"),"Exclude")</f>
        <v>Exclude</v>
      </c>
      <c r="G40" s="5" t="str">
        <f>IFERROR(__xludf.DUMMYFUNCTION("IFS(
D40=""Exclude"",
FILTER(IMPORTRANGE(""https://docs.google.com/spreadsheets/d/1BJSV3WBYJGRhQ6zExamkszQ5VutGIcaQqmbD9ZTVXMQ/edit#gid=1251630045"",""articles_with_PRISMA_reasons!AB2:AB2113""), $A40=IMPORTRANGE(""https://docs.google.com/spreadsheets/d/1B"&amp;"JSV3WBYJGRhQ6zExamkszQ5VutGIcaQqmbD9ZTVXMQ/edit#gid=1251630045"",""articles_with_PRISMA_reasons!B2:B2113"")),
E40=""Exclude"",
FILTER(IMPORTRANGE(""https://docs.google.com/spreadsheets/d/1qpEmbGH0JjaJbUdp21-y2cPbobDbMjr09BbtdKROZWc/edit#gid=1444865654"","&amp;"""articles_with_PRISMA_reasons!Z2:Z2113""), $A40=IMPORTRANGE(""https://docs.google.com/spreadsheets/d/1qpEmbGH0JjaJbUdp21-y2cPbobDbMjr09BbtdKROZWc/edit#gid=1444865654"",""articles_with_PRISMA_reasons!B2:B2113"")),F40
=""Include"",FILTER(IMPORTRANGE(""http"&amp;"s://docs.google.com/spreadsheets/d/1kGrh75X1cNR1D7_FcY9zMnHP8iPO4M5RCRjy6nZY0TY/edit#gid=0"",""Table 1: Study characteristics!A4:A171""), $A40=IMPORTRANGE(""https://docs.google.com/spreadsheets/d/1kGrh75X1cNR1D7_FcY9zMnHP8iPO4M5RCRjy6nZY0TY/edit#gid=0"","&amp;"""Table 1: Study characteristics!B4:B171""))
)"),"wrong study design")</f>
        <v>wrong study design</v>
      </c>
    </row>
    <row r="41">
      <c r="A41" s="4" t="str">
        <f>IFERROR(__xludf.DUMMYFUNCTION("""COMPUTED_VALUE"""),"[EVALUATION OF REMOTE THERAPEUTIC RESULTS IN CONGENITAL ENCEPHALOCELE AND MENINGOCELE IN CHILDREN]")</f>
        <v>[EVALUATION OF REMOTE THERAPEUTIC RESULTS IN CONGENITAL ENCEPHALOCELE AND MENINGOCELE IN CHILDREN]</v>
      </c>
      <c r="B41" s="5" t="str">
        <f>IFERROR(__xludf.DUMMYFUNCTION("LEFT(FILTER(IMPORTRANGE(""https://docs.google.com/spreadsheets/d/1BJSV3WBYJGRhQ6zExamkszQ5VutGIcaQqmbD9ZTVXMQ/edit#gid=1251630045"",""articles_with_PRISMA_reasons!K2:K2113""), $A41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$A41=IMPORTRANGE(""https://docs.google.com/spreadsheets/d/1BJSV3WBYJGRhQ6zExamkszQ5VutGIcaQqmbD9ZTVXMQ/edit#gid=1251630045"",""articles_with_PRISMA_reasons!B2:B2113"")))-1)"),"Lodzinski")</f>
        <v>Lodzinski</v>
      </c>
      <c r="C41" s="6">
        <f>IFERROR(__xludf.DUMMYFUNCTION("FILTER(IMPORTRANGE(""https://docs.google.com/spreadsheets/d/1BJSV3WBYJGRhQ6zExamkszQ5VutGIcaQqmbD9ZTVXMQ/edit#gid=1251630045"",""articles_with_PRISMA_reasons!C2:C2113""), $A41=IMPORTRANGE(""https://docs.google.com/spreadsheets/d/1BJSV3WBYJGRhQ6zExamkszQ5V"&amp;"utGIcaQqmbD9ZTVXMQ/edit#gid=1251630045"",""articles_with_PRISMA_reasons!B2:B2113""))"),1964.0)</f>
        <v>1964</v>
      </c>
      <c r="D41" s="5" t="str">
        <f>IFERROR(__xludf.DUMMYFUNCTION("IFS(AND(
FILTER(IMPORTRANGE(""https://docs.google.com/spreadsheets/d/1BJSV3WBYJGRhQ6zExamkszQ5VutGIcaQqmbD9ZTVXMQ/edit#gid=1251630045"",""articles_with_PRISMA_reasons!Y2:Y2113""), $A41=IMPORTRANGE(""https://docs.google.com/spreadsheets/d/1BJSV3WBYJGRhQ6zE"&amp;"xamkszQ5VutGIcaQqmbD9ZTVXMQ/edit#gid=1251630045"",""articles_with_PRISMA_reasons!B2:B2113""))&gt;=2,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$A41=IMPORTRANGE(""https://docs.google.com/spreadsheets/d/1BJSV3WBYJGRhQ6zExamkszQ5VutGIcaQqmbD9ZTVXMQ/edit#gid=1251630045"",""articles_with_PRISMA_reasons!B2:B2113""))&lt;2),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$A41=IMPORTRANGE(""https://docs.google.com/spreadsheets/d/1BJSV3WBYJGRhQ6zExamkszQ5VutGIcaQqmbD9ZTVXMQ/edit#gid=1251630045"",""article"&amp;"s_with_PRISMA_reasons!B2:B2113""))&lt;2,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$A41=IMPORTRANGE(""https://docs.google.com/spr"&amp;"eadsheets/d/1BJSV3WBYJGRhQ6zExamkszQ5VutGIcaQqmbD9ZTVXMQ/edit#gid=1251630045"",""articles_with_PRISMA_reasons!B2:B2113""))&gt;=2),
""Exclude""
)"),"Exclude")</f>
        <v>Exclude</v>
      </c>
      <c r="E41" s="5" t="str">
        <f>IFERROR(__xludf.DUMMYFUNCTION("IFS(
D41=""Exclude"",""Exclude"",
AND(
FILTER(IMPORTRANGE(""https://docs.google.com/spreadsheets/d/1qpEmbGH0JjaJbUdp21-y2cPbobDbMjr09BbtdKROZWc/edit#gid=1444865654"",""articles_with_PRISMA_reasons!W2:W2113""), $A41=IMPORTRANGE(""https://docs.google.com/sp"&amp;"readsheets/d/1qpEmbGH0JjaJbUdp21-y2cPbobDbMjr09BbtdKROZWc/edit#gid=1444865654"",""articles_with_PRISMA_reasons!B2:B2113""))&gt;=2,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$A41=IMPORTRANGE(""https://docs.google.com/spreadsheets/d/1qpEmbGH0JjaJbUdp21-y2cPbobDbMjr09BbtdKROZWc/edit#gid=1444865654"",""articles_with_PRISMA_reasons!B2:B2113""))&lt;2),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$A41=IMPORTRANGE(""https://docs.google.com/spreadsheets/d/1qpEmbGH0JjaJbUdp21-y2cPbobDbMjr09BbtdKROZWc/"&amp;"edit#gid=1444865654"",""articles_with_PRISMA_reasons!B2:B2113""))&lt;2,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$A41=IMPORTRANG"&amp;"E(""https://docs.google.com/spreadsheets/d/1qpEmbGH0JjaJbUdp21-y2cPbobDbMjr09BbtdKROZWc/edit#gid=1444865654"",""articles_with_PRISMA_reasons!B2:B2113""))&gt;=2),
""Exclude""
)"),"Exclude")</f>
        <v>Exclude</v>
      </c>
      <c r="F41" s="5" t="str">
        <f>IFERROR(__xludf.DUMMYFUNCTION("IFS(
E41=""Exclude"",""Exclude"",
AND(
COUNTIF(
IMPORTRANGE(""https://docs.google.com/spreadsheets/d/1kGrh75X1cNR1D7_FcY9zMnHP8iPO4M5RCRjy6nZY0TY/edit#gid=0"",""Table 1: Study characteristics!B4:B171""),A41)&gt;0,
COUNTIF(Studies!$A$2:$A$85,FILTER(IMPORTRANG"&amp;"E(""https://docs.google.com/spreadsheets/d/1kGrh75X1cNR1D7_FcY9zMnHP8iPO4M5RCRjy6nZY0TY/edit#gid=0"",""Table 1: Study characteristics!A4:A171""), $A41=IMPORTRANGE(""https://docs.google.com/spreadsheets/d/1kGrh75X1cNR1D7_FcY9zMnHP8iPO4M5RCRjy6nZY0TY/edit#g"&amp;"id=0"",""Table 1: Study characteristics!B4:B171"")))&gt;0
),
""Include""
)"),"Exclude")</f>
        <v>Exclude</v>
      </c>
      <c r="G41" s="5" t="str">
        <f>IFERROR(__xludf.DUMMYFUNCTION("IFS(
D41=""Exclude"",
FILTER(IMPORTRANGE(""https://docs.google.com/spreadsheets/d/1BJSV3WBYJGRhQ6zExamkszQ5VutGIcaQqmbD9ZTVXMQ/edit#gid=1251630045"",""articles_with_PRISMA_reasons!AB2:AB2113""), $A41=IMPORTRANGE(""https://docs.google.com/spreadsheets/d/1B"&amp;"JSV3WBYJGRhQ6zExamkszQ5VutGIcaQqmbD9ZTVXMQ/edit#gid=1251630045"",""articles_with_PRISMA_reasons!B2:B2113"")),
E41=""Exclude"",
FILTER(IMPORTRANGE(""https://docs.google.com/spreadsheets/d/1qpEmbGH0JjaJbUdp21-y2cPbobDbMjr09BbtdKROZWc/edit#gid=1444865654"","&amp;"""articles_with_PRISMA_reasons!Z2:Z2113""), $A41=IMPORTRANGE(""https://docs.google.com/spreadsheets/d/1qpEmbGH0JjaJbUdp21-y2cPbobDbMjr09BbtdKROZWc/edit#gid=1444865654"",""articles_with_PRISMA_reasons!B2:B2113"")),F41
=""Include"",FILTER(IMPORTRANGE(""http"&amp;"s://docs.google.com/spreadsheets/d/1kGrh75X1cNR1D7_FcY9zMnHP8iPO4M5RCRjy6nZY0TY/edit#gid=0"",""Table 1: Study characteristics!A4:A171""), $A41=IMPORTRANGE(""https://docs.google.com/spreadsheets/d/1kGrh75X1cNR1D7_FcY9zMnHP8iPO4M5RCRjy6nZY0TY/edit#gid=0"","&amp;"""Table 1: Study characteristics!B4:B171""))
)"),"wrong study design")</f>
        <v>wrong study design</v>
      </c>
    </row>
    <row r="42">
      <c r="A42" s="4" t="str">
        <f>IFERROR(__xludf.DUMMYFUNCTION("""COMPUTED_VALUE"""),"[Expansive hydrocephalus in children]")</f>
        <v>[Expansive hydrocephalus in children]</v>
      </c>
      <c r="B42" s="5" t="str">
        <f>IFERROR(__xludf.DUMMYFUNCTION("LEFT(FILTER(IMPORTRANGE(""https://docs.google.com/spreadsheets/d/1BJSV3WBYJGRhQ6zExamkszQ5VutGIcaQqmbD9ZTVXMQ/edit#gid=1251630045"",""articles_with_PRISMA_reasons!K2:K2113""), $A42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$A42=IMPORTRANGE(""https://docs.google.com/spreadsheets/d/1BJSV3WBYJGRhQ6zExamkszQ5VutGIcaQqmbD9ZTVXMQ/edit#gid=1251630045"",""articles_with_PRISMA_reasons!B2:B2113"")))-1)"),"Sillanpaa")</f>
        <v>Sillanpaa</v>
      </c>
      <c r="C42" s="6">
        <f>IFERROR(__xludf.DUMMYFUNCTION("FILTER(IMPORTRANGE(""https://docs.google.com/spreadsheets/d/1BJSV3WBYJGRhQ6zExamkszQ5VutGIcaQqmbD9ZTVXMQ/edit#gid=1251630045"",""articles_with_PRISMA_reasons!C2:C2113""), $A42=IMPORTRANGE(""https://docs.google.com/spreadsheets/d/1BJSV3WBYJGRhQ6zExamkszQ5V"&amp;"utGIcaQqmbD9ZTVXMQ/edit#gid=1251630045"",""articles_with_PRISMA_reasons!B2:B2113""))"),1975.0)</f>
        <v>1975</v>
      </c>
      <c r="D42" s="5" t="str">
        <f>IFERROR(__xludf.DUMMYFUNCTION("IFS(AND(
FILTER(IMPORTRANGE(""https://docs.google.com/spreadsheets/d/1BJSV3WBYJGRhQ6zExamkszQ5VutGIcaQqmbD9ZTVXMQ/edit#gid=1251630045"",""articles_with_PRISMA_reasons!Y2:Y2113""), $A42=IMPORTRANGE(""https://docs.google.com/spreadsheets/d/1BJSV3WBYJGRhQ6zE"&amp;"xamkszQ5VutGIcaQqmbD9ZTVXMQ/edit#gid=1251630045"",""articles_with_PRISMA_reasons!B2:B2113""))&gt;=2,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$A42=IMPORTRANGE(""https://docs.google.com/spreadsheets/d/1BJSV3WBYJGRhQ6zExamkszQ5VutGIcaQqmbD9ZTVXMQ/edit#gid=1251630045"",""articles_with_PRISMA_reasons!B2:B2113""))&lt;2),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$A42=IMPORTRANGE(""https://docs.google.com/spreadsheets/d/1BJSV3WBYJGRhQ6zExamkszQ5VutGIcaQqmbD9ZTVXMQ/edit#gid=1251630045"",""article"&amp;"s_with_PRISMA_reasons!B2:B2113""))&lt;2,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$A42=IMPORTRANGE(""https://docs.google.com/spr"&amp;"eadsheets/d/1BJSV3WBYJGRhQ6zExamkszQ5VutGIcaQqmbD9ZTVXMQ/edit#gid=1251630045"",""articles_with_PRISMA_reasons!B2:B2113""))&gt;=2),
""Exclude""
)"),"Exclude")</f>
        <v>Exclude</v>
      </c>
      <c r="E42" s="5" t="str">
        <f>IFERROR(__xludf.DUMMYFUNCTION("IFS(
D42=""Exclude"",""Exclude"",
AND(
FILTER(IMPORTRANGE(""https://docs.google.com/spreadsheets/d/1qpEmbGH0JjaJbUdp21-y2cPbobDbMjr09BbtdKROZWc/edit#gid=1444865654"",""articles_with_PRISMA_reasons!W2:W2113""), $A42=IMPORTRANGE(""https://docs.google.com/sp"&amp;"readsheets/d/1qpEmbGH0JjaJbUdp21-y2cPbobDbMjr09BbtdKROZWc/edit#gid=1444865654"",""articles_with_PRISMA_reasons!B2:B2113""))&gt;=2,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$A42=IMPORTRANGE(""https://docs.google.com/spreadsheets/d/1qpEmbGH0JjaJbUdp21-y2cPbobDbMjr09BbtdKROZWc/edit#gid=1444865654"",""articles_with_PRISMA_reasons!B2:B2113""))&lt;2),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$A42=IMPORTRANGE(""https://docs.google.com/spreadsheets/d/1qpEmbGH0JjaJbUdp21-y2cPbobDbMjr09BbtdKROZWc/"&amp;"edit#gid=1444865654"",""articles_with_PRISMA_reasons!B2:B2113""))&lt;2,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$A42=IMPORTRANG"&amp;"E(""https://docs.google.com/spreadsheets/d/1qpEmbGH0JjaJbUdp21-y2cPbobDbMjr09BbtdKROZWc/edit#gid=1444865654"",""articles_with_PRISMA_reasons!B2:B2113""))&gt;=2),
""Exclude""
)"),"Exclude")</f>
        <v>Exclude</v>
      </c>
      <c r="F42" s="5" t="str">
        <f>IFERROR(__xludf.DUMMYFUNCTION("IFS(
E42=""Exclude"",""Exclude"",
AND(
COUNTIF(
IMPORTRANGE(""https://docs.google.com/spreadsheets/d/1kGrh75X1cNR1D7_FcY9zMnHP8iPO4M5RCRjy6nZY0TY/edit#gid=0"",""Table 1: Study characteristics!B4:B171""),A42)&gt;0,
COUNTIF(Studies!$A$2:$A$85,FILTER(IMPORTRANG"&amp;"E(""https://docs.google.com/spreadsheets/d/1kGrh75X1cNR1D7_FcY9zMnHP8iPO4M5RCRjy6nZY0TY/edit#gid=0"",""Table 1: Study characteristics!A4:A171""), $A42=IMPORTRANGE(""https://docs.google.com/spreadsheets/d/1kGrh75X1cNR1D7_FcY9zMnHP8iPO4M5RCRjy6nZY0TY/edit#g"&amp;"id=0"",""Table 1: Study characteristics!B4:B171"")))&gt;0
),
""Include""
)"),"Exclude")</f>
        <v>Exclude</v>
      </c>
      <c r="G42" s="5" t="str">
        <f>IFERROR(__xludf.DUMMYFUNCTION("IFS(
D42=""Exclude"",
FILTER(IMPORTRANGE(""https://docs.google.com/spreadsheets/d/1BJSV3WBYJGRhQ6zExamkszQ5VutGIcaQqmbD9ZTVXMQ/edit#gid=1251630045"",""articles_with_PRISMA_reasons!AB2:AB2113""), $A42=IMPORTRANGE(""https://docs.google.com/spreadsheets/d/1B"&amp;"JSV3WBYJGRhQ6zExamkszQ5VutGIcaQqmbD9ZTVXMQ/edit#gid=1251630045"",""articles_with_PRISMA_reasons!B2:B2113"")),
E42=""Exclude"",
FILTER(IMPORTRANGE(""https://docs.google.com/spreadsheets/d/1qpEmbGH0JjaJbUdp21-y2cPbobDbMjr09BbtdKROZWc/edit#gid=1444865654"","&amp;"""articles_with_PRISMA_reasons!Z2:Z2113""), $A42=IMPORTRANGE(""https://docs.google.com/spreadsheets/d/1qpEmbGH0JjaJbUdp21-y2cPbobDbMjr09BbtdKROZWc/edit#gid=1444865654"",""articles_with_PRISMA_reasons!B2:B2113"")),F42
=""Include"",FILTER(IMPORTRANGE(""http"&amp;"s://docs.google.com/spreadsheets/d/1kGrh75X1cNR1D7_FcY9zMnHP8iPO4M5RCRjy6nZY0TY/edit#gid=0"",""Table 1: Study characteristics!A4:A171""), $A42=IMPORTRANGE(""https://docs.google.com/spreadsheets/d/1kGrh75X1cNR1D7_FcY9zMnHP8iPO4M5RCRjy6nZY0TY/edit#gid=0"","&amp;"""Table 1: Study characteristics!B4:B171""))
)"),"wrong study design")</f>
        <v>wrong study design</v>
      </c>
    </row>
    <row r="43">
      <c r="A43" s="4" t="str">
        <f>IFERROR(__xludf.DUMMYFUNCTION("""COMPUTED_VALUE"""),"[Expended indications for the surgical treatment of meningomyelocele due to improved surgical technic for the treatment of consecutive hydrocephalus]")</f>
        <v>[Expended indications for the surgical treatment of meningomyelocele due to improved surgical technic for the treatment of consecutive hydrocephalus]</v>
      </c>
      <c r="B43" s="5" t="str">
        <f>IFERROR(__xludf.DUMMYFUNCTION("LEFT(FILTER(IMPORTRANGE(""https://docs.google.com/spreadsheets/d/1BJSV3WBYJGRhQ6zExamkszQ5VutGIcaQqmbD9ZTVXMQ/edit#gid=1251630045"",""articles_with_PRISMA_reasons!K2:K2113""), $A43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$A43=IMPORTRANGE(""https://docs.google.com/spreadsheets/d/1BJSV3WBYJGRhQ6zExamkszQ5VutGIcaQqmbD9ZTVXMQ/edit#gid=1251630045"",""articles_with_PRISMA_reasons!B2:B2113"")))-1)"),"Schubert")</f>
        <v>Schubert</v>
      </c>
      <c r="C43" s="6">
        <f>IFERROR(__xludf.DUMMYFUNCTION("FILTER(IMPORTRANGE(""https://docs.google.com/spreadsheets/d/1BJSV3WBYJGRhQ6zExamkszQ5VutGIcaQqmbD9ZTVXMQ/edit#gid=1251630045"",""articles_with_PRISMA_reasons!C2:C2113""), $A43=IMPORTRANGE(""https://docs.google.com/spreadsheets/d/1BJSV3WBYJGRhQ6zExamkszQ5V"&amp;"utGIcaQqmbD9ZTVXMQ/edit#gid=1251630045"",""articles_with_PRISMA_reasons!B2:B2113""))"),1968.0)</f>
        <v>1968</v>
      </c>
      <c r="D43" s="5" t="str">
        <f>IFERROR(__xludf.DUMMYFUNCTION("IFS(AND(
FILTER(IMPORTRANGE(""https://docs.google.com/spreadsheets/d/1BJSV3WBYJGRhQ6zExamkszQ5VutGIcaQqmbD9ZTVXMQ/edit#gid=1251630045"",""articles_with_PRISMA_reasons!Y2:Y2113""), $A43=IMPORTRANGE(""https://docs.google.com/spreadsheets/d/1BJSV3WBYJGRhQ6zE"&amp;"xamkszQ5VutGIcaQqmbD9ZTVXMQ/edit#gid=1251630045"",""articles_with_PRISMA_reasons!B2:B2113""))&gt;=2,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$A43=IMPORTRANGE(""https://docs.google.com/spreadsheets/d/1BJSV3WBYJGRhQ6zExamkszQ5VutGIcaQqmbD9ZTVXMQ/edit#gid=1251630045"",""articles_with_PRISMA_reasons!B2:B2113""))&lt;2),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$A43=IMPORTRANGE(""https://docs.google.com/spreadsheets/d/1BJSV3WBYJGRhQ6zExamkszQ5VutGIcaQqmbD9ZTVXMQ/edit#gid=1251630045"",""article"&amp;"s_with_PRISMA_reasons!B2:B2113""))&lt;2,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$A43=IMPORTRANGE(""https://docs.google.com/spr"&amp;"eadsheets/d/1BJSV3WBYJGRhQ6zExamkszQ5VutGIcaQqmbD9ZTVXMQ/edit#gid=1251630045"",""articles_with_PRISMA_reasons!B2:B2113""))&gt;=2),
""Exclude""
)"),"Exclude")</f>
        <v>Exclude</v>
      </c>
      <c r="E43" s="5" t="str">
        <f>IFERROR(__xludf.DUMMYFUNCTION("IFS(
D43=""Exclude"",""Exclude"",
AND(
FILTER(IMPORTRANGE(""https://docs.google.com/spreadsheets/d/1qpEmbGH0JjaJbUdp21-y2cPbobDbMjr09BbtdKROZWc/edit#gid=1444865654"",""articles_with_PRISMA_reasons!W2:W2113""), $A43=IMPORTRANGE(""https://docs.google.com/sp"&amp;"readsheets/d/1qpEmbGH0JjaJbUdp21-y2cPbobDbMjr09BbtdKROZWc/edit#gid=1444865654"",""articles_with_PRISMA_reasons!B2:B2113""))&gt;=2,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$A43=IMPORTRANGE(""https://docs.google.com/spreadsheets/d/1qpEmbGH0JjaJbUdp21-y2cPbobDbMjr09BbtdKROZWc/edit#gid=1444865654"",""articles_with_PRISMA_reasons!B2:B2113""))&lt;2),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$A43=IMPORTRANGE(""https://docs.google.com/spreadsheets/d/1qpEmbGH0JjaJbUdp21-y2cPbobDbMjr09BbtdKROZWc/"&amp;"edit#gid=1444865654"",""articles_with_PRISMA_reasons!B2:B2113""))&lt;2,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$A43=IMPORTRANG"&amp;"E(""https://docs.google.com/spreadsheets/d/1qpEmbGH0JjaJbUdp21-y2cPbobDbMjr09BbtdKROZWc/edit#gid=1444865654"",""articles_with_PRISMA_reasons!B2:B2113""))&gt;=2),
""Exclude""
)"),"Exclude")</f>
        <v>Exclude</v>
      </c>
      <c r="F43" s="5" t="str">
        <f>IFERROR(__xludf.DUMMYFUNCTION("IFS(
E43=""Exclude"",""Exclude"",
AND(
COUNTIF(
IMPORTRANGE(""https://docs.google.com/spreadsheets/d/1kGrh75X1cNR1D7_FcY9zMnHP8iPO4M5RCRjy6nZY0TY/edit#gid=0"",""Table 1: Study characteristics!B4:B171""),A43)&gt;0,
COUNTIF(Studies!$A$2:$A$85,FILTER(IMPORTRANG"&amp;"E(""https://docs.google.com/spreadsheets/d/1kGrh75X1cNR1D7_FcY9zMnHP8iPO4M5RCRjy6nZY0TY/edit#gid=0"",""Table 1: Study characteristics!A4:A171""), $A43=IMPORTRANGE(""https://docs.google.com/spreadsheets/d/1kGrh75X1cNR1D7_FcY9zMnHP8iPO4M5RCRjy6nZY0TY/edit#g"&amp;"id=0"",""Table 1: Study characteristics!B4:B171"")))&gt;0
),
""Include""
)"),"Exclude")</f>
        <v>Exclude</v>
      </c>
      <c r="G43" s="5" t="str">
        <f>IFERROR(__xludf.DUMMYFUNCTION("IFS(
D43=""Exclude"",
FILTER(IMPORTRANGE(""https://docs.google.com/spreadsheets/d/1BJSV3WBYJGRhQ6zExamkszQ5VutGIcaQqmbD9ZTVXMQ/edit#gid=1251630045"",""articles_with_PRISMA_reasons!AB2:AB2113""), $A43=IMPORTRANGE(""https://docs.google.com/spreadsheets/d/1B"&amp;"JSV3WBYJGRhQ6zExamkszQ5VutGIcaQqmbD9ZTVXMQ/edit#gid=1251630045"",""articles_with_PRISMA_reasons!B2:B2113"")),
E43=""Exclude"",
FILTER(IMPORTRANGE(""https://docs.google.com/spreadsheets/d/1qpEmbGH0JjaJbUdp21-y2cPbobDbMjr09BbtdKROZWc/edit#gid=1444865654"","&amp;"""articles_with_PRISMA_reasons!Z2:Z2113""), $A43=IMPORTRANGE(""https://docs.google.com/spreadsheets/d/1qpEmbGH0JjaJbUdp21-y2cPbobDbMjr09BbtdKROZWc/edit#gid=1444865654"",""articles_with_PRISMA_reasons!B2:B2113"")),F43
=""Include"",FILTER(IMPORTRANGE(""http"&amp;"s://docs.google.com/spreadsheets/d/1kGrh75X1cNR1D7_FcY9zMnHP8iPO4M5RCRjy6nZY0TY/edit#gid=0"",""Table 1: Study characteristics!A4:A171""), $A43=IMPORTRANGE(""https://docs.google.com/spreadsheets/d/1kGrh75X1cNR1D7_FcY9zMnHP8iPO4M5RCRjy6nZY0TY/edit#gid=0"","&amp;"""Table 1: Study characteristics!B4:B171""))
)"),"wrong study design")</f>
        <v>wrong study design</v>
      </c>
    </row>
    <row r="44">
      <c r="A44" s="4" t="str">
        <f>IFERROR(__xludf.DUMMYFUNCTION("""COMPUTED_VALUE"""),"[Experiences with selection criteria in myelomeningocele surgery]")</f>
        <v>[Experiences with selection criteria in myelomeningocele surgery]</v>
      </c>
      <c r="B44" s="5" t="str">
        <f>IFERROR(__xludf.DUMMYFUNCTION("LEFT(FILTER(IMPORTRANGE(""https://docs.google.com/spreadsheets/d/1BJSV3WBYJGRhQ6zExamkszQ5VutGIcaQqmbD9ZTVXMQ/edit#gid=1251630045"",""articles_with_PRISMA_reasons!K2:K2113""), $A44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$A44=IMPORTRANGE(""https://docs.google.com/spreadsheets/d/1BJSV3WBYJGRhQ6zExamkszQ5VutGIcaQqmbD9ZTVXMQ/edit#gid=1251630045"",""articles_with_PRISMA_reasons!B2:B2113"")))-1)"),"Hansel-Friedrich")</f>
        <v>Hansel-Friedrich</v>
      </c>
      <c r="C44" s="6">
        <f>IFERROR(__xludf.DUMMYFUNCTION("FILTER(IMPORTRANGE(""https://docs.google.com/spreadsheets/d/1BJSV3WBYJGRhQ6zExamkszQ5VutGIcaQqmbD9ZTVXMQ/edit#gid=1251630045"",""articles_with_PRISMA_reasons!C2:C2113""), $A44=IMPORTRANGE(""https://docs.google.com/spreadsheets/d/1BJSV3WBYJGRhQ6zExamkszQ5V"&amp;"utGIcaQqmbD9ZTVXMQ/edit#gid=1251630045"",""articles_with_PRISMA_reasons!B2:B2113""))"),1985.0)</f>
        <v>1985</v>
      </c>
      <c r="D44" s="5" t="str">
        <f>IFERROR(__xludf.DUMMYFUNCTION("IFS(AND(
FILTER(IMPORTRANGE(""https://docs.google.com/spreadsheets/d/1BJSV3WBYJGRhQ6zExamkszQ5VutGIcaQqmbD9ZTVXMQ/edit#gid=1251630045"",""articles_with_PRISMA_reasons!Y2:Y2113""), $A44=IMPORTRANGE(""https://docs.google.com/spreadsheets/d/1BJSV3WBYJGRhQ6zE"&amp;"xamkszQ5VutGIcaQqmbD9ZTVXMQ/edit#gid=1251630045"",""articles_with_PRISMA_reasons!B2:B2113""))&gt;=2,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$A44=IMPORTRANGE(""https://docs.google.com/spreadsheets/d/1BJSV3WBYJGRhQ6zExamkszQ5VutGIcaQqmbD9ZTVXMQ/edit#gid=1251630045"",""articles_with_PRISMA_reasons!B2:B2113""))&lt;2),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$A44=IMPORTRANGE(""https://docs.google.com/spreadsheets/d/1BJSV3WBYJGRhQ6zExamkszQ5VutGIcaQqmbD9ZTVXMQ/edit#gid=1251630045"",""article"&amp;"s_with_PRISMA_reasons!B2:B2113""))&lt;2,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$A44=IMPORTRANGE(""https://docs.google.com/spr"&amp;"eadsheets/d/1BJSV3WBYJGRhQ6zExamkszQ5VutGIcaQqmbD9ZTVXMQ/edit#gid=1251630045"",""articles_with_PRISMA_reasons!B2:B2113""))&gt;=2),
""Exclude""
)"),"Exclude")</f>
        <v>Exclude</v>
      </c>
      <c r="E44" s="5" t="str">
        <f>IFERROR(__xludf.DUMMYFUNCTION("IFS(
D44=""Exclude"",""Exclude"",
AND(
FILTER(IMPORTRANGE(""https://docs.google.com/spreadsheets/d/1qpEmbGH0JjaJbUdp21-y2cPbobDbMjr09BbtdKROZWc/edit#gid=1444865654"",""articles_with_PRISMA_reasons!W2:W2113""), $A44=IMPORTRANGE(""https://docs.google.com/sp"&amp;"readsheets/d/1qpEmbGH0JjaJbUdp21-y2cPbobDbMjr09BbtdKROZWc/edit#gid=1444865654"",""articles_with_PRISMA_reasons!B2:B2113""))&gt;=2,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$A44=IMPORTRANGE(""https://docs.google.com/spreadsheets/d/1qpEmbGH0JjaJbUdp21-y2cPbobDbMjr09BbtdKROZWc/edit#gid=1444865654"",""articles_with_PRISMA_reasons!B2:B2113""))&lt;2),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$A44=IMPORTRANGE(""https://docs.google.com/spreadsheets/d/1qpEmbGH0JjaJbUdp21-y2cPbobDbMjr09BbtdKROZWc/"&amp;"edit#gid=1444865654"",""articles_with_PRISMA_reasons!B2:B2113""))&lt;2,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$A44=IMPORTRANG"&amp;"E(""https://docs.google.com/spreadsheets/d/1qpEmbGH0JjaJbUdp21-y2cPbobDbMjr09BbtdKROZWc/edit#gid=1444865654"",""articles_with_PRISMA_reasons!B2:B2113""))&gt;=2),
""Exclude""
)"),"Exclude")</f>
        <v>Exclude</v>
      </c>
      <c r="F44" s="5" t="str">
        <f>IFERROR(__xludf.DUMMYFUNCTION("IFS(
E44=""Exclude"",""Exclude"",
AND(
COUNTIF(
IMPORTRANGE(""https://docs.google.com/spreadsheets/d/1kGrh75X1cNR1D7_FcY9zMnHP8iPO4M5RCRjy6nZY0TY/edit#gid=0"",""Table 1: Study characteristics!B4:B171""),A44)&gt;0,
COUNTIF(Studies!$A$2:$A$85,FILTER(IMPORTRANG"&amp;"E(""https://docs.google.com/spreadsheets/d/1kGrh75X1cNR1D7_FcY9zMnHP8iPO4M5RCRjy6nZY0TY/edit#gid=0"",""Table 1: Study characteristics!A4:A171""), $A44=IMPORTRANGE(""https://docs.google.com/spreadsheets/d/1kGrh75X1cNR1D7_FcY9zMnHP8iPO4M5RCRjy6nZY0TY/edit#g"&amp;"id=0"",""Table 1: Study characteristics!B4:B171"")))&gt;0
),
""Include""
)"),"Exclude")</f>
        <v>Exclude</v>
      </c>
      <c r="G44" s="5" t="str">
        <f>IFERROR(__xludf.DUMMYFUNCTION("IFS(
D44=""Exclude"",
FILTER(IMPORTRANGE(""https://docs.google.com/spreadsheets/d/1BJSV3WBYJGRhQ6zExamkszQ5VutGIcaQqmbD9ZTVXMQ/edit#gid=1251630045"",""articles_with_PRISMA_reasons!AB2:AB2113""), $A44=IMPORTRANGE(""https://docs.google.com/spreadsheets/d/1B"&amp;"JSV3WBYJGRhQ6zExamkszQ5VutGIcaQqmbD9ZTVXMQ/edit#gid=1251630045"",""articles_with_PRISMA_reasons!B2:B2113"")),
E44=""Exclude"",
FILTER(IMPORTRANGE(""https://docs.google.com/spreadsheets/d/1qpEmbGH0JjaJbUdp21-y2cPbobDbMjr09BbtdKROZWc/edit#gid=1444865654"","&amp;"""articles_with_PRISMA_reasons!Z2:Z2113""), $A44=IMPORTRANGE(""https://docs.google.com/spreadsheets/d/1qpEmbGH0JjaJbUdp21-y2cPbobDbMjr09BbtdKROZWc/edit#gid=1444865654"",""articles_with_PRISMA_reasons!B2:B2113"")),F44
=""Include"",FILTER(IMPORTRANGE(""http"&amp;"s://docs.google.com/spreadsheets/d/1kGrh75X1cNR1D7_FcY9zMnHP8iPO4M5RCRjy6nZY0TY/edit#gid=0"",""Table 1: Study characteristics!A4:A171""), $A44=IMPORTRANGE(""https://docs.google.com/spreadsheets/d/1kGrh75X1cNR1D7_FcY9zMnHP8iPO4M5RCRjy6nZY0TY/edit#gid=0"","&amp;"""Table 1: Study characteristics!B4:B171""))
)"),"wrong population")</f>
        <v>wrong population</v>
      </c>
    </row>
    <row r="45">
      <c r="A45" s="4" t="str">
        <f>IFERROR(__xludf.DUMMYFUNCTION("""COMPUTED_VALUE"""),"[Extracardiac malformations in infants with congenital heart diseases: clinical research and statistics covering period 1969-79 (author's transl)]")</f>
        <v>[Extracardiac malformations in infants with congenital heart diseases: clinical research and statistics covering period 1969-79 (author's transl)]</v>
      </c>
      <c r="B45" s="5" t="str">
        <f>IFERROR(__xludf.DUMMYFUNCTION("LEFT(FILTER(IMPORTRANGE(""https://docs.google.com/spreadsheets/d/1BJSV3WBYJGRhQ6zExamkszQ5VutGIcaQqmbD9ZTVXMQ/edit#gid=1251630045"",""articles_with_PRISMA_reasons!K2:K2113""), $A45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$A45=IMPORTRANGE(""https://docs.google.com/spreadsheets/d/1BJSV3WBYJGRhQ6zExamkszQ5VutGIcaQqmbD9ZTVXMQ/edit#gid=1251630045"",""articles_with_PRISMA_reasons!B2:B2113"")))-1)"),"Belisario")</f>
        <v>Belisario</v>
      </c>
      <c r="C45" s="6">
        <f>IFERROR(__xludf.DUMMYFUNCTION("FILTER(IMPORTRANGE(""https://docs.google.com/spreadsheets/d/1BJSV3WBYJGRhQ6zExamkszQ5VutGIcaQqmbD9ZTVXMQ/edit#gid=1251630045"",""articles_with_PRISMA_reasons!C2:C2113""), $A45=IMPORTRANGE(""https://docs.google.com/spreadsheets/d/1BJSV3WBYJGRhQ6zExamkszQ5V"&amp;"utGIcaQqmbD9ZTVXMQ/edit#gid=1251630045"",""articles_with_PRISMA_reasons!B2:B2113""))"),1981.0)</f>
        <v>1981</v>
      </c>
      <c r="D45" s="5" t="str">
        <f>IFERROR(__xludf.DUMMYFUNCTION("IFS(AND(
FILTER(IMPORTRANGE(""https://docs.google.com/spreadsheets/d/1BJSV3WBYJGRhQ6zExamkszQ5VutGIcaQqmbD9ZTVXMQ/edit#gid=1251630045"",""articles_with_PRISMA_reasons!Y2:Y2113""), $A45=IMPORTRANGE(""https://docs.google.com/spreadsheets/d/1BJSV3WBYJGRhQ6zE"&amp;"xamkszQ5VutGIcaQqmbD9ZTVXMQ/edit#gid=1251630045"",""articles_with_PRISMA_reasons!B2:B2113""))&gt;=2,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$A45=IMPORTRANGE(""https://docs.google.com/spreadsheets/d/1BJSV3WBYJGRhQ6zExamkszQ5VutGIcaQqmbD9ZTVXMQ/edit#gid=1251630045"",""articles_with_PRISMA_reasons!B2:B2113""))&lt;2),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$A45=IMPORTRANGE(""https://docs.google.com/spreadsheets/d/1BJSV3WBYJGRhQ6zExamkszQ5VutGIcaQqmbD9ZTVXMQ/edit#gid=1251630045"",""article"&amp;"s_with_PRISMA_reasons!B2:B2113""))&lt;2,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$A45=IMPORTRANGE(""https://docs.google.com/spr"&amp;"eadsheets/d/1BJSV3WBYJGRhQ6zExamkszQ5VutGIcaQqmbD9ZTVXMQ/edit#gid=1251630045"",""articles_with_PRISMA_reasons!B2:B2113""))&gt;=2),
""Exclude""
)"),"Exclude")</f>
        <v>Exclude</v>
      </c>
      <c r="E45" s="5" t="str">
        <f>IFERROR(__xludf.DUMMYFUNCTION("IFS(
D45=""Exclude"",""Exclude"",
AND(
FILTER(IMPORTRANGE(""https://docs.google.com/spreadsheets/d/1qpEmbGH0JjaJbUdp21-y2cPbobDbMjr09BbtdKROZWc/edit#gid=1444865654"",""articles_with_PRISMA_reasons!W2:W2113""), $A45=IMPORTRANGE(""https://docs.google.com/sp"&amp;"readsheets/d/1qpEmbGH0JjaJbUdp21-y2cPbobDbMjr09BbtdKROZWc/edit#gid=1444865654"",""articles_with_PRISMA_reasons!B2:B2113""))&gt;=2,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$A45=IMPORTRANGE(""https://docs.google.com/spreadsheets/d/1qpEmbGH0JjaJbUdp21-y2cPbobDbMjr09BbtdKROZWc/edit#gid=1444865654"",""articles_with_PRISMA_reasons!B2:B2113""))&lt;2),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$A45=IMPORTRANGE(""https://docs.google.com/spreadsheets/d/1qpEmbGH0JjaJbUdp21-y2cPbobDbMjr09BbtdKROZWc/"&amp;"edit#gid=1444865654"",""articles_with_PRISMA_reasons!B2:B2113""))&lt;2,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$A45=IMPORTRANG"&amp;"E(""https://docs.google.com/spreadsheets/d/1qpEmbGH0JjaJbUdp21-y2cPbobDbMjr09BbtdKROZWc/edit#gid=1444865654"",""articles_with_PRISMA_reasons!B2:B2113""))&gt;=2),
""Exclude""
)"),"Exclude")</f>
        <v>Exclude</v>
      </c>
      <c r="F45" s="5" t="str">
        <f>IFERROR(__xludf.DUMMYFUNCTION("IFS(
E45=""Exclude"",""Exclude"",
AND(
COUNTIF(
IMPORTRANGE(""https://docs.google.com/spreadsheets/d/1kGrh75X1cNR1D7_FcY9zMnHP8iPO4M5RCRjy6nZY0TY/edit#gid=0"",""Table 1: Study characteristics!B4:B171""),A45)&gt;0,
COUNTIF(Studies!$A$2:$A$85,FILTER(IMPORTRANG"&amp;"E(""https://docs.google.com/spreadsheets/d/1kGrh75X1cNR1D7_FcY9zMnHP8iPO4M5RCRjy6nZY0TY/edit#gid=0"",""Table 1: Study characteristics!A4:A171""), $A45=IMPORTRANGE(""https://docs.google.com/spreadsheets/d/1kGrh75X1cNR1D7_FcY9zMnHP8iPO4M5RCRjy6nZY0TY/edit#g"&amp;"id=0"",""Table 1: Study characteristics!B4:B171"")))&gt;0
),
""Include""
)"),"Exclude")</f>
        <v>Exclude</v>
      </c>
      <c r="G45" s="5" t="str">
        <f>IFERROR(__xludf.DUMMYFUNCTION("IFS(
D45=""Exclude"",
FILTER(IMPORTRANGE(""https://docs.google.com/spreadsheets/d/1BJSV3WBYJGRhQ6zExamkszQ5VutGIcaQqmbD9ZTVXMQ/edit#gid=1251630045"",""articles_with_PRISMA_reasons!AB2:AB2113""), $A45=IMPORTRANGE(""https://docs.google.com/spreadsheets/d/1B"&amp;"JSV3WBYJGRhQ6zExamkszQ5VutGIcaQqmbD9ZTVXMQ/edit#gid=1251630045"",""articles_with_PRISMA_reasons!B2:B2113"")),
E45=""Exclude"",
FILTER(IMPORTRANGE(""https://docs.google.com/spreadsheets/d/1qpEmbGH0JjaJbUdp21-y2cPbobDbMjr09BbtdKROZWc/edit#gid=1444865654"","&amp;"""articles_with_PRISMA_reasons!Z2:Z2113""), $A45=IMPORTRANGE(""https://docs.google.com/spreadsheets/d/1qpEmbGH0JjaJbUdp21-y2cPbobDbMjr09BbtdKROZWc/edit#gid=1444865654"",""articles_with_PRISMA_reasons!B2:B2113"")),F45
=""Include"",FILTER(IMPORTRANGE(""http"&amp;"s://docs.google.com/spreadsheets/d/1kGrh75X1cNR1D7_FcY9zMnHP8iPO4M5RCRjy6nZY0TY/edit#gid=0"",""Table 1: Study characteristics!A4:A171""), $A45=IMPORTRANGE(""https://docs.google.com/spreadsheets/d/1kGrh75X1cNR1D7_FcY9zMnHP8iPO4M5RCRjy6nZY0TY/edit#gid=0"","&amp;"""Table 1: Study characteristics!B4:B171""))
)"),"wrong study design")</f>
        <v>wrong study design</v>
      </c>
    </row>
    <row r="46">
      <c r="A46" s="4" t="str">
        <f>IFERROR(__xludf.DUMMYFUNCTION("""COMPUTED_VALUE"""),"[First aid measures in emergency pediatric surgery (author's transl)]")</f>
        <v>[First aid measures in emergency pediatric surgery (author's transl)]</v>
      </c>
      <c r="B46" s="5" t="str">
        <f>IFERROR(__xludf.DUMMYFUNCTION("LEFT(FILTER(IMPORTRANGE(""https://docs.google.com/spreadsheets/d/1BJSV3WBYJGRhQ6zExamkszQ5VutGIcaQqmbD9ZTVXMQ/edit#gid=1251630045"",""articles_with_PRISMA_reasons!K2:K2113""), $A46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$A46=IMPORTRANGE(""https://docs.google.com/spreadsheets/d/1BJSV3WBYJGRhQ6zExamkszQ5VutGIcaQqmbD9ZTVXMQ/edit#gid=1251630045"",""articles_with_PRISMA_reasons!B2:B2113"")))-1)"),"Hopner")</f>
        <v>Hopner</v>
      </c>
      <c r="C46" s="6">
        <f>IFERROR(__xludf.DUMMYFUNCTION("FILTER(IMPORTRANGE(""https://docs.google.com/spreadsheets/d/1BJSV3WBYJGRhQ6zExamkszQ5VutGIcaQqmbD9ZTVXMQ/edit#gid=1251630045"",""articles_with_PRISMA_reasons!C2:C2113""), $A46=IMPORTRANGE(""https://docs.google.com/spreadsheets/d/1BJSV3WBYJGRhQ6zExamkszQ5V"&amp;"utGIcaQqmbD9ZTVXMQ/edit#gid=1251630045"",""articles_with_PRISMA_reasons!B2:B2113""))"),1977.0)</f>
        <v>1977</v>
      </c>
      <c r="D46" s="5" t="str">
        <f>IFERROR(__xludf.DUMMYFUNCTION("IFS(AND(
FILTER(IMPORTRANGE(""https://docs.google.com/spreadsheets/d/1BJSV3WBYJGRhQ6zExamkszQ5VutGIcaQqmbD9ZTVXMQ/edit#gid=1251630045"",""articles_with_PRISMA_reasons!Y2:Y2113""), $A46=IMPORTRANGE(""https://docs.google.com/spreadsheets/d/1BJSV3WBYJGRhQ6zE"&amp;"xamkszQ5VutGIcaQqmbD9ZTVXMQ/edit#gid=1251630045"",""articles_with_PRISMA_reasons!B2:B2113""))&gt;=2,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$A46=IMPORTRANGE(""https://docs.google.com/spreadsheets/d/1BJSV3WBYJGRhQ6zExamkszQ5VutGIcaQqmbD9ZTVXMQ/edit#gid=1251630045"",""articles_with_PRISMA_reasons!B2:B2113""))&lt;2),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$A46=IMPORTRANGE(""https://docs.google.com/spreadsheets/d/1BJSV3WBYJGRhQ6zExamkszQ5VutGIcaQqmbD9ZTVXMQ/edit#gid=1251630045"",""article"&amp;"s_with_PRISMA_reasons!B2:B2113""))&lt;2,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$A46=IMPORTRANGE(""https://docs.google.com/spr"&amp;"eadsheets/d/1BJSV3WBYJGRhQ6zExamkszQ5VutGIcaQqmbD9ZTVXMQ/edit#gid=1251630045"",""articles_with_PRISMA_reasons!B2:B2113""))&gt;=2),
""Exclude""
)"),"Exclude")</f>
        <v>Exclude</v>
      </c>
      <c r="E46" s="5" t="str">
        <f>IFERROR(__xludf.DUMMYFUNCTION("IFS(
D46=""Exclude"",""Exclude"",
AND(
FILTER(IMPORTRANGE(""https://docs.google.com/spreadsheets/d/1qpEmbGH0JjaJbUdp21-y2cPbobDbMjr09BbtdKROZWc/edit#gid=1444865654"",""articles_with_PRISMA_reasons!W2:W2113""), $A46=IMPORTRANGE(""https://docs.google.com/sp"&amp;"readsheets/d/1qpEmbGH0JjaJbUdp21-y2cPbobDbMjr09BbtdKROZWc/edit#gid=1444865654"",""articles_with_PRISMA_reasons!B2:B2113""))&gt;=2,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$A46=IMPORTRANGE(""https://docs.google.com/spreadsheets/d/1qpEmbGH0JjaJbUdp21-y2cPbobDbMjr09BbtdKROZWc/edit#gid=1444865654"",""articles_with_PRISMA_reasons!B2:B2113""))&lt;2),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$A46=IMPORTRANGE(""https://docs.google.com/spreadsheets/d/1qpEmbGH0JjaJbUdp21-y2cPbobDbMjr09BbtdKROZWc/"&amp;"edit#gid=1444865654"",""articles_with_PRISMA_reasons!B2:B2113""))&lt;2,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$A46=IMPORTRANG"&amp;"E(""https://docs.google.com/spreadsheets/d/1qpEmbGH0JjaJbUdp21-y2cPbobDbMjr09BbtdKROZWc/edit#gid=1444865654"",""articles_with_PRISMA_reasons!B2:B2113""))&gt;=2),
""Exclude""
)"),"Exclude")</f>
        <v>Exclude</v>
      </c>
      <c r="F46" s="5" t="str">
        <f>IFERROR(__xludf.DUMMYFUNCTION("IFS(
E46=""Exclude"",""Exclude"",
AND(
COUNTIF(
IMPORTRANGE(""https://docs.google.com/spreadsheets/d/1kGrh75X1cNR1D7_FcY9zMnHP8iPO4M5RCRjy6nZY0TY/edit#gid=0"",""Table 1: Study characteristics!B4:B171""),A46)&gt;0,
COUNTIF(Studies!$A$2:$A$85,FILTER(IMPORTRANG"&amp;"E(""https://docs.google.com/spreadsheets/d/1kGrh75X1cNR1D7_FcY9zMnHP8iPO4M5RCRjy6nZY0TY/edit#gid=0"",""Table 1: Study characteristics!A4:A171""), $A46=IMPORTRANGE(""https://docs.google.com/spreadsheets/d/1kGrh75X1cNR1D7_FcY9zMnHP8iPO4M5RCRjy6nZY0TY/edit#g"&amp;"id=0"",""Table 1: Study characteristics!B4:B171"")))&gt;0
),
""Include""
)"),"Exclude")</f>
        <v>Exclude</v>
      </c>
      <c r="G46" s="5" t="str">
        <f>IFERROR(__xludf.DUMMYFUNCTION("IFS(
D46=""Exclude"",
FILTER(IMPORTRANGE(""https://docs.google.com/spreadsheets/d/1BJSV3WBYJGRhQ6zExamkszQ5VutGIcaQqmbD9ZTVXMQ/edit#gid=1251630045"",""articles_with_PRISMA_reasons!AB2:AB2113""), $A46=IMPORTRANGE(""https://docs.google.com/spreadsheets/d/1B"&amp;"JSV3WBYJGRhQ6zExamkszQ5VutGIcaQqmbD9ZTVXMQ/edit#gid=1251630045"",""articles_with_PRISMA_reasons!B2:B2113"")),
E46=""Exclude"",
FILTER(IMPORTRANGE(""https://docs.google.com/spreadsheets/d/1qpEmbGH0JjaJbUdp21-y2cPbobDbMjr09BbtdKROZWc/edit#gid=1444865654"","&amp;"""articles_with_PRISMA_reasons!Z2:Z2113""), $A46=IMPORTRANGE(""https://docs.google.com/spreadsheets/d/1qpEmbGH0JjaJbUdp21-y2cPbobDbMjr09BbtdKROZWc/edit#gid=1444865654"",""articles_with_PRISMA_reasons!B2:B2113"")),F46
=""Include"",FILTER(IMPORTRANGE(""http"&amp;"s://docs.google.com/spreadsheets/d/1kGrh75X1cNR1D7_FcY9zMnHP8iPO4M5RCRjy6nZY0TY/edit#gid=0"",""Table 1: Study characteristics!A4:A171""), $A46=IMPORTRANGE(""https://docs.google.com/spreadsheets/d/1kGrh75X1cNR1D7_FcY9zMnHP8iPO4M5RCRjy6nZY0TY/edit#gid=0"","&amp;"""Table 1: Study characteristics!B4:B171""))
)"),"wrong population")</f>
        <v>wrong population</v>
      </c>
    </row>
    <row r="47">
      <c r="A47" s="4" t="str">
        <f>IFERROR(__xludf.DUMMYFUNCTION("""COMPUTED_VALUE"""),"[Follow-up of children with early neonatal surgery of fetal hydrocephalus]")</f>
        <v>[Follow-up of children with early neonatal surgery of fetal hydrocephalus]</v>
      </c>
      <c r="B47" s="5" t="str">
        <f>IFERROR(__xludf.DUMMYFUNCTION("LEFT(FILTER(IMPORTRANGE(""https://docs.google.com/spreadsheets/d/1BJSV3WBYJGRhQ6zExamkszQ5VutGIcaQqmbD9ZTVXMQ/edit#gid=1251630045"",""articles_with_PRISMA_reasons!K2:K2113""), $A47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$A47=IMPORTRANGE(""https://docs.google.com/spreadsheets/d/1BJSV3WBYJGRhQ6zExamkszQ5VutGIcaQqmbD9ZTVXMQ/edit#gid=1251630045"",""articles_with_PRISMA_reasons!B2:B2113"")))-1)"),"Wada")</f>
        <v>Wada</v>
      </c>
      <c r="C47" s="6">
        <f>IFERROR(__xludf.DUMMYFUNCTION("FILTER(IMPORTRANGE(""https://docs.google.com/spreadsheets/d/1BJSV3WBYJGRhQ6zExamkszQ5VutGIcaQqmbD9ZTVXMQ/edit#gid=1251630045"",""articles_with_PRISMA_reasons!C2:C2113""), $A47=IMPORTRANGE(""https://docs.google.com/spreadsheets/d/1BJSV3WBYJGRhQ6zExamkszQ5V"&amp;"utGIcaQqmbD9ZTVXMQ/edit#gid=1251630045"",""articles_with_PRISMA_reasons!B2:B2113""))"),1999.0)</f>
        <v>1999</v>
      </c>
      <c r="D47" s="5" t="str">
        <f>IFERROR(__xludf.DUMMYFUNCTION("IFS(AND(
FILTER(IMPORTRANGE(""https://docs.google.com/spreadsheets/d/1BJSV3WBYJGRhQ6zExamkszQ5VutGIcaQqmbD9ZTVXMQ/edit#gid=1251630045"",""articles_with_PRISMA_reasons!Y2:Y2113""), $A47=IMPORTRANGE(""https://docs.google.com/spreadsheets/d/1BJSV3WBYJGRhQ6zE"&amp;"xamkszQ5VutGIcaQqmbD9ZTVXMQ/edit#gid=1251630045"",""articles_with_PRISMA_reasons!B2:B2113""))&gt;=2,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$A47=IMPORTRANGE(""https://docs.google.com/spreadsheets/d/1BJSV3WBYJGRhQ6zExamkszQ5VutGIcaQqmbD9ZTVXMQ/edit#gid=1251630045"",""articles_with_PRISMA_reasons!B2:B2113""))&lt;2),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$A47=IMPORTRANGE(""https://docs.google.com/spreadsheets/d/1BJSV3WBYJGRhQ6zExamkszQ5VutGIcaQqmbD9ZTVXMQ/edit#gid=1251630045"",""article"&amp;"s_with_PRISMA_reasons!B2:B2113""))&lt;2,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$A47=IMPORTRANGE(""https://docs.google.com/spr"&amp;"eadsheets/d/1BJSV3WBYJGRhQ6zExamkszQ5VutGIcaQqmbD9ZTVXMQ/edit#gid=1251630045"",""articles_with_PRISMA_reasons!B2:B2113""))&gt;=2),
""Exclude""
)"),"Exclude")</f>
        <v>Exclude</v>
      </c>
      <c r="E47" s="5" t="str">
        <f>IFERROR(__xludf.DUMMYFUNCTION("IFS(
D47=""Exclude"",""Exclude"",
AND(
FILTER(IMPORTRANGE(""https://docs.google.com/spreadsheets/d/1qpEmbGH0JjaJbUdp21-y2cPbobDbMjr09BbtdKROZWc/edit#gid=1444865654"",""articles_with_PRISMA_reasons!W2:W2113""), $A47=IMPORTRANGE(""https://docs.google.com/sp"&amp;"readsheets/d/1qpEmbGH0JjaJbUdp21-y2cPbobDbMjr09BbtdKROZWc/edit#gid=1444865654"",""articles_with_PRISMA_reasons!B2:B2113""))&gt;=2,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$A47=IMPORTRANGE(""https://docs.google.com/spreadsheets/d/1qpEmbGH0JjaJbUdp21-y2cPbobDbMjr09BbtdKROZWc/edit#gid=1444865654"",""articles_with_PRISMA_reasons!B2:B2113""))&lt;2),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$A47=IMPORTRANGE(""https://docs.google.com/spreadsheets/d/1qpEmbGH0JjaJbUdp21-y2cPbobDbMjr09BbtdKROZWc/"&amp;"edit#gid=1444865654"",""articles_with_PRISMA_reasons!B2:B2113""))&lt;2,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$A47=IMPORTRANG"&amp;"E(""https://docs.google.com/spreadsheets/d/1qpEmbGH0JjaJbUdp21-y2cPbobDbMjr09BbtdKROZWc/edit#gid=1444865654"",""articles_with_PRISMA_reasons!B2:B2113""))&gt;=2),
""Exclude""
)"),"Exclude")</f>
        <v>Exclude</v>
      </c>
      <c r="F47" s="5" t="str">
        <f>IFERROR(__xludf.DUMMYFUNCTION("IFS(
E47=""Exclude"",""Exclude"",
AND(
COUNTIF(
IMPORTRANGE(""https://docs.google.com/spreadsheets/d/1kGrh75X1cNR1D7_FcY9zMnHP8iPO4M5RCRjy6nZY0TY/edit#gid=0"",""Table 1: Study characteristics!B4:B171""),A47)&gt;0,
COUNTIF(Studies!$A$2:$A$85,FILTER(IMPORTRANG"&amp;"E(""https://docs.google.com/spreadsheets/d/1kGrh75X1cNR1D7_FcY9zMnHP8iPO4M5RCRjy6nZY0TY/edit#gid=0"",""Table 1: Study characteristics!A4:A171""), $A47=IMPORTRANGE(""https://docs.google.com/spreadsheets/d/1kGrh75X1cNR1D7_FcY9zMnHP8iPO4M5RCRjy6nZY0TY/edit#g"&amp;"id=0"",""Table 1: Study characteristics!B4:B171"")))&gt;0
),
""Include""
)"),"Exclude")</f>
        <v>Exclude</v>
      </c>
      <c r="G47" s="5" t="str">
        <f>IFERROR(__xludf.DUMMYFUNCTION("IFS(
D47=""Exclude"",
FILTER(IMPORTRANGE(""https://docs.google.com/spreadsheets/d/1BJSV3WBYJGRhQ6zExamkszQ5VutGIcaQqmbD9ZTVXMQ/edit#gid=1251630045"",""articles_with_PRISMA_reasons!AB2:AB2113""), $A47=IMPORTRANGE(""https://docs.google.com/spreadsheets/d/1B"&amp;"JSV3WBYJGRhQ6zExamkszQ5VutGIcaQqmbD9ZTVXMQ/edit#gid=1251630045"",""articles_with_PRISMA_reasons!B2:B2113"")),
E47=""Exclude"",
FILTER(IMPORTRANGE(""https://docs.google.com/spreadsheets/d/1qpEmbGH0JjaJbUdp21-y2cPbobDbMjr09BbtdKROZWc/edit#gid=1444865654"","&amp;"""articles_with_PRISMA_reasons!Z2:Z2113""), $A47=IMPORTRANGE(""https://docs.google.com/spreadsheets/d/1qpEmbGH0JjaJbUdp21-y2cPbobDbMjr09BbtdKROZWc/edit#gid=1444865654"",""articles_with_PRISMA_reasons!B2:B2113"")),F47
=""Include"",FILTER(IMPORTRANGE(""http"&amp;"s://docs.google.com/spreadsheets/d/1kGrh75X1cNR1D7_FcY9zMnHP8iPO4M5RCRjy6nZY0TY/edit#gid=0"",""Table 1: Study characteristics!A4:A171""), $A47=IMPORTRANGE(""https://docs.google.com/spreadsheets/d/1kGrh75X1cNR1D7_FcY9zMnHP8iPO4M5RCRjy6nZY0TY/edit#gid=0"","&amp;"""Table 1: Study characteristics!B4:B171""))
)"),"wrong population")</f>
        <v>wrong population</v>
      </c>
    </row>
    <row r="48">
      <c r="A48" s="4" t="str">
        <f>IFERROR(__xludf.DUMMYFUNCTION("""COMPUTED_VALUE"""),"[Fontanelle pressure in infantile hydrocephalus--with special reference to 6 cases of hydrocephalus with normal head circumference and without shunting operation]")</f>
        <v>[Fontanelle pressure in infantile hydrocephalus--with special reference to 6 cases of hydrocephalus with normal head circumference and without shunting operation]</v>
      </c>
      <c r="B48" s="5" t="str">
        <f>IFERROR(__xludf.DUMMYFUNCTION("LEFT(FILTER(IMPORTRANGE(""https://docs.google.com/spreadsheets/d/1BJSV3WBYJGRhQ6zExamkszQ5VutGIcaQqmbD9ZTVXMQ/edit#gid=1251630045"",""articles_with_PRISMA_reasons!K2:K2113""), $A48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$A48=IMPORTRANGE(""https://docs.google.com/spreadsheets/d/1BJSV3WBYJGRhQ6zExamkszQ5VutGIcaQqmbD9ZTVXMQ/edit#gid=1251630045"",""articles_with_PRISMA_reasons!B2:B2113"")))-1)"),"Honda")</f>
        <v>Honda</v>
      </c>
      <c r="C48" s="6">
        <f>IFERROR(__xludf.DUMMYFUNCTION("FILTER(IMPORTRANGE(""https://docs.google.com/spreadsheets/d/1BJSV3WBYJGRhQ6zExamkszQ5VutGIcaQqmbD9ZTVXMQ/edit#gid=1251630045"",""articles_with_PRISMA_reasons!C2:C2113""), $A48=IMPORTRANGE(""https://docs.google.com/spreadsheets/d/1BJSV3WBYJGRhQ6zExamkszQ5V"&amp;"utGIcaQqmbD9ZTVXMQ/edit#gid=1251630045"",""articles_with_PRISMA_reasons!B2:B2113""))"),1983.0)</f>
        <v>1983</v>
      </c>
      <c r="D48" s="5" t="str">
        <f>IFERROR(__xludf.DUMMYFUNCTION("IFS(AND(
FILTER(IMPORTRANGE(""https://docs.google.com/spreadsheets/d/1BJSV3WBYJGRhQ6zExamkszQ5VutGIcaQqmbD9ZTVXMQ/edit#gid=1251630045"",""articles_with_PRISMA_reasons!Y2:Y2113""), $A48=IMPORTRANGE(""https://docs.google.com/spreadsheets/d/1BJSV3WBYJGRhQ6zE"&amp;"xamkszQ5VutGIcaQqmbD9ZTVXMQ/edit#gid=1251630045"",""articles_with_PRISMA_reasons!B2:B2113""))&gt;=2,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$A48=IMPORTRANGE(""https://docs.google.com/spreadsheets/d/1BJSV3WBYJGRhQ6zExamkszQ5VutGIcaQqmbD9ZTVXMQ/edit#gid=1251630045"",""articles_with_PRISMA_reasons!B2:B2113""))&lt;2),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$A48=IMPORTRANGE(""https://docs.google.com/spreadsheets/d/1BJSV3WBYJGRhQ6zExamkszQ5VutGIcaQqmbD9ZTVXMQ/edit#gid=1251630045"",""article"&amp;"s_with_PRISMA_reasons!B2:B2113""))&lt;2,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$A48=IMPORTRANGE(""https://docs.google.com/spr"&amp;"eadsheets/d/1BJSV3WBYJGRhQ6zExamkszQ5VutGIcaQqmbD9ZTVXMQ/edit#gid=1251630045"",""articles_with_PRISMA_reasons!B2:B2113""))&gt;=2),
""Exclude""
)"),"Exclude")</f>
        <v>Exclude</v>
      </c>
      <c r="E48" s="5" t="str">
        <f>IFERROR(__xludf.DUMMYFUNCTION("IFS(
D48=""Exclude"",""Exclude"",
AND(
FILTER(IMPORTRANGE(""https://docs.google.com/spreadsheets/d/1qpEmbGH0JjaJbUdp21-y2cPbobDbMjr09BbtdKROZWc/edit#gid=1444865654"",""articles_with_PRISMA_reasons!W2:W2113""), $A48=IMPORTRANGE(""https://docs.google.com/sp"&amp;"readsheets/d/1qpEmbGH0JjaJbUdp21-y2cPbobDbMjr09BbtdKROZWc/edit#gid=1444865654"",""articles_with_PRISMA_reasons!B2:B2113""))&gt;=2,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$A48=IMPORTRANGE(""https://docs.google.com/spreadsheets/d/1qpEmbGH0JjaJbUdp21-y2cPbobDbMjr09BbtdKROZWc/edit#gid=1444865654"",""articles_with_PRISMA_reasons!B2:B2113""))&lt;2),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$A48=IMPORTRANGE(""https://docs.google.com/spreadsheets/d/1qpEmbGH0JjaJbUdp21-y2cPbobDbMjr09BbtdKROZWc/"&amp;"edit#gid=1444865654"",""articles_with_PRISMA_reasons!B2:B2113""))&lt;2,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$A48=IMPORTRANG"&amp;"E(""https://docs.google.com/spreadsheets/d/1qpEmbGH0JjaJbUdp21-y2cPbobDbMjr09BbtdKROZWc/edit#gid=1444865654"",""articles_with_PRISMA_reasons!B2:B2113""))&gt;=2),
""Exclude""
)"),"Exclude")</f>
        <v>Exclude</v>
      </c>
      <c r="F48" s="5" t="str">
        <f>IFERROR(__xludf.DUMMYFUNCTION("IFS(
E48=""Exclude"",""Exclude"",
AND(
COUNTIF(
IMPORTRANGE(""https://docs.google.com/spreadsheets/d/1kGrh75X1cNR1D7_FcY9zMnHP8iPO4M5RCRjy6nZY0TY/edit#gid=0"",""Table 1: Study characteristics!B4:B171""),A48)&gt;0,
COUNTIF(Studies!$A$2:$A$85,FILTER(IMPORTRANG"&amp;"E(""https://docs.google.com/spreadsheets/d/1kGrh75X1cNR1D7_FcY9zMnHP8iPO4M5RCRjy6nZY0TY/edit#gid=0"",""Table 1: Study characteristics!A4:A171""), $A48=IMPORTRANGE(""https://docs.google.com/spreadsheets/d/1kGrh75X1cNR1D7_FcY9zMnHP8iPO4M5RCRjy6nZY0TY/edit#g"&amp;"id=0"",""Table 1: Study characteristics!B4:B171"")))&gt;0
),
""Include""
)"),"Exclude")</f>
        <v>Exclude</v>
      </c>
      <c r="G48" s="5" t="str">
        <f>IFERROR(__xludf.DUMMYFUNCTION("IFS(
D48=""Exclude"",
FILTER(IMPORTRANGE(""https://docs.google.com/spreadsheets/d/1BJSV3WBYJGRhQ6zExamkszQ5VutGIcaQqmbD9ZTVXMQ/edit#gid=1251630045"",""articles_with_PRISMA_reasons!AB2:AB2113""), $A48=IMPORTRANGE(""https://docs.google.com/spreadsheets/d/1B"&amp;"JSV3WBYJGRhQ6zExamkszQ5VutGIcaQqmbD9ZTVXMQ/edit#gid=1251630045"",""articles_with_PRISMA_reasons!B2:B2113"")),
E48=""Exclude"",
FILTER(IMPORTRANGE(""https://docs.google.com/spreadsheets/d/1qpEmbGH0JjaJbUdp21-y2cPbobDbMjr09BbtdKROZWc/edit#gid=1444865654"","&amp;"""articles_with_PRISMA_reasons!Z2:Z2113""), $A48=IMPORTRANGE(""https://docs.google.com/spreadsheets/d/1qpEmbGH0JjaJbUdp21-y2cPbobDbMjr09BbtdKROZWc/edit#gid=1444865654"",""articles_with_PRISMA_reasons!B2:B2113"")),F48
=""Include"",FILTER(IMPORTRANGE(""http"&amp;"s://docs.google.com/spreadsheets/d/1kGrh75X1cNR1D7_FcY9zMnHP8iPO4M5RCRjy6nZY0TY/edit#gid=0"",""Table 1: Study characteristics!A4:A171""), $A48=IMPORTRANGE(""https://docs.google.com/spreadsheets/d/1kGrh75X1cNR1D7_FcY9zMnHP8iPO4M5RCRjy6nZY0TY/edit#gid=0"","&amp;"""Table 1: Study characteristics!B4:B171""))
)"),"wrong population")</f>
        <v>wrong population</v>
      </c>
    </row>
    <row r="49">
      <c r="A49" s="4" t="str">
        <f>IFERROR(__xludf.DUMMYFUNCTION("""COMPUTED_VALUE"""),"[Fontanelle pressure in infants (Part II). Discussion on 6 cases of macrocrania]")</f>
        <v>[Fontanelle pressure in infants (Part II). Discussion on 6 cases of macrocrania]</v>
      </c>
      <c r="B49" s="5" t="str">
        <f>IFERROR(__xludf.DUMMYFUNCTION("LEFT(FILTER(IMPORTRANGE(""https://docs.google.com/spreadsheets/d/1BJSV3WBYJGRhQ6zExamkszQ5VutGIcaQqmbD9ZTVXMQ/edit#gid=1251630045"",""articles_with_PRISMA_reasons!K2:K2113""), $A49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$A49=IMPORTRANGE(""https://docs.google.com/spreadsheets/d/1BJSV3WBYJGRhQ6zExamkszQ5VutGIcaQqmbD9ZTVXMQ/edit#gid=1251630045"",""articles_with_PRISMA_reasons!B2:B2113"")))-1)"),"Honda")</f>
        <v>Honda</v>
      </c>
      <c r="C49" s="6">
        <f>IFERROR(__xludf.DUMMYFUNCTION("FILTER(IMPORTRANGE(""https://docs.google.com/spreadsheets/d/1BJSV3WBYJGRhQ6zExamkszQ5VutGIcaQqmbD9ZTVXMQ/edit#gid=1251630045"",""articles_with_PRISMA_reasons!C2:C2113""), $A49=IMPORTRANGE(""https://docs.google.com/spreadsheets/d/1BJSV3WBYJGRhQ6zExamkszQ5V"&amp;"utGIcaQqmbD9ZTVXMQ/edit#gid=1251630045"",""articles_with_PRISMA_reasons!B2:B2113""))"),1985.0)</f>
        <v>1985</v>
      </c>
      <c r="D49" s="5" t="str">
        <f>IFERROR(__xludf.DUMMYFUNCTION("IFS(AND(
FILTER(IMPORTRANGE(""https://docs.google.com/spreadsheets/d/1BJSV3WBYJGRhQ6zExamkszQ5VutGIcaQqmbD9ZTVXMQ/edit#gid=1251630045"",""articles_with_PRISMA_reasons!Y2:Y2113""), $A49=IMPORTRANGE(""https://docs.google.com/spreadsheets/d/1BJSV3WBYJGRhQ6zE"&amp;"xamkszQ5VutGIcaQqmbD9ZTVXMQ/edit#gid=1251630045"",""articles_with_PRISMA_reasons!B2:B2113""))&gt;=2,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$A49=IMPORTRANGE(""https://docs.google.com/spreadsheets/d/1BJSV3WBYJGRhQ6zExamkszQ5VutGIcaQqmbD9ZTVXMQ/edit#gid=1251630045"",""articles_with_PRISMA_reasons!B2:B2113""))&lt;2),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$A49=IMPORTRANGE(""https://docs.google.com/spreadsheets/d/1BJSV3WBYJGRhQ6zExamkszQ5VutGIcaQqmbD9ZTVXMQ/edit#gid=1251630045"",""article"&amp;"s_with_PRISMA_reasons!B2:B2113""))&lt;2,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$A49=IMPORTRANGE(""https://docs.google.com/spr"&amp;"eadsheets/d/1BJSV3WBYJGRhQ6zExamkszQ5VutGIcaQqmbD9ZTVXMQ/edit#gid=1251630045"",""articles_with_PRISMA_reasons!B2:B2113""))&gt;=2),
""Exclude""
)"),"Exclude")</f>
        <v>Exclude</v>
      </c>
      <c r="E49" s="5" t="str">
        <f>IFERROR(__xludf.DUMMYFUNCTION("IFS(
D49=""Exclude"",""Exclude"",
AND(
FILTER(IMPORTRANGE(""https://docs.google.com/spreadsheets/d/1qpEmbGH0JjaJbUdp21-y2cPbobDbMjr09BbtdKROZWc/edit#gid=1444865654"",""articles_with_PRISMA_reasons!W2:W2113""), $A49=IMPORTRANGE(""https://docs.google.com/sp"&amp;"readsheets/d/1qpEmbGH0JjaJbUdp21-y2cPbobDbMjr09BbtdKROZWc/edit#gid=1444865654"",""articles_with_PRISMA_reasons!B2:B2113""))&gt;=2,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$A49=IMPORTRANGE(""https://docs.google.com/spreadsheets/d/1qpEmbGH0JjaJbUdp21-y2cPbobDbMjr09BbtdKROZWc/edit#gid=1444865654"",""articles_with_PRISMA_reasons!B2:B2113""))&lt;2),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$A49=IMPORTRANGE(""https://docs.google.com/spreadsheets/d/1qpEmbGH0JjaJbUdp21-y2cPbobDbMjr09BbtdKROZWc/"&amp;"edit#gid=1444865654"",""articles_with_PRISMA_reasons!B2:B2113""))&lt;2,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$A49=IMPORTRANG"&amp;"E(""https://docs.google.com/spreadsheets/d/1qpEmbGH0JjaJbUdp21-y2cPbobDbMjr09BbtdKROZWc/edit#gid=1444865654"",""articles_with_PRISMA_reasons!B2:B2113""))&gt;=2),
""Exclude""
)"),"Exclude")</f>
        <v>Exclude</v>
      </c>
      <c r="F49" s="5" t="str">
        <f>IFERROR(__xludf.DUMMYFUNCTION("IFS(
E49=""Exclude"",""Exclude"",
AND(
COUNTIF(
IMPORTRANGE(""https://docs.google.com/spreadsheets/d/1kGrh75X1cNR1D7_FcY9zMnHP8iPO4M5RCRjy6nZY0TY/edit#gid=0"",""Table 1: Study characteristics!B4:B171""),A49)&gt;0,
COUNTIF(Studies!$A$2:$A$85,FILTER(IMPORTRANG"&amp;"E(""https://docs.google.com/spreadsheets/d/1kGrh75X1cNR1D7_FcY9zMnHP8iPO4M5RCRjy6nZY0TY/edit#gid=0"",""Table 1: Study characteristics!A4:A171""), $A49=IMPORTRANGE(""https://docs.google.com/spreadsheets/d/1kGrh75X1cNR1D7_FcY9zMnHP8iPO4M5RCRjy6nZY0TY/edit#g"&amp;"id=0"",""Table 1: Study characteristics!B4:B171"")))&gt;0
),
""Include""
)"),"Exclude")</f>
        <v>Exclude</v>
      </c>
      <c r="G49" s="5" t="str">
        <f>IFERROR(__xludf.DUMMYFUNCTION("IFS(
D49=""Exclude"",
FILTER(IMPORTRANGE(""https://docs.google.com/spreadsheets/d/1BJSV3WBYJGRhQ6zExamkszQ5VutGIcaQqmbD9ZTVXMQ/edit#gid=1251630045"",""articles_with_PRISMA_reasons!AB2:AB2113""), $A49=IMPORTRANGE(""https://docs.google.com/spreadsheets/d/1B"&amp;"JSV3WBYJGRhQ6zExamkszQ5VutGIcaQqmbD9ZTVXMQ/edit#gid=1251630045"",""articles_with_PRISMA_reasons!B2:B2113"")),
E49=""Exclude"",
FILTER(IMPORTRANGE(""https://docs.google.com/spreadsheets/d/1qpEmbGH0JjaJbUdp21-y2cPbobDbMjr09BbtdKROZWc/edit#gid=1444865654"","&amp;"""articles_with_PRISMA_reasons!Z2:Z2113""), $A49=IMPORTRANGE(""https://docs.google.com/spreadsheets/d/1qpEmbGH0JjaJbUdp21-y2cPbobDbMjr09BbtdKROZWc/edit#gid=1444865654"",""articles_with_PRISMA_reasons!B2:B2113"")),F49
=""Include"",FILTER(IMPORTRANGE(""http"&amp;"s://docs.google.com/spreadsheets/d/1kGrh75X1cNR1D7_FcY9zMnHP8iPO4M5RCRjy6nZY0TY/edit#gid=0"",""Table 1: Study characteristics!A4:A171""), $A49=IMPORTRANGE(""https://docs.google.com/spreadsheets/d/1kGrh75X1cNR1D7_FcY9zMnHP8iPO4M5RCRjy6nZY0TY/edit#gid=0"","&amp;"""Table 1: Study characteristics!B4:B171""))
)"),"wrong population")</f>
        <v>wrong population</v>
      </c>
    </row>
    <row r="50">
      <c r="A50" s="4" t="str">
        <f>IFERROR(__xludf.DUMMYFUNCTION("""COMPUTED_VALUE"""),"[Hydramnios with a fetus having multiple malformation: hydrocephalus, meningocele, arthrogryposis &amp; horseshoe kidney]")</f>
        <v>[Hydramnios with a fetus having multiple malformation: hydrocephalus, meningocele, arthrogryposis &amp; horseshoe kidney]</v>
      </c>
      <c r="B50" s="5" t="str">
        <f>IFERROR(__xludf.DUMMYFUNCTION("LEFT(FILTER(IMPORTRANGE(""https://docs.google.com/spreadsheets/d/1BJSV3WBYJGRhQ6zExamkszQ5VutGIcaQqmbD9ZTVXMQ/edit#gid=1251630045"",""articles_with_PRISMA_reasons!K2:K2113""), $A50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$A50=IMPORTRANGE(""https://docs.google.com/spreadsheets/d/1BJSV3WBYJGRhQ6zExamkszQ5VutGIcaQqmbD9ZTVXMQ/edit#gid=1251630045"",""articles_with_PRISMA_reasons!B2:B2113"")))-1)"),"Dargallo")</f>
        <v>Dargallo</v>
      </c>
      <c r="C50" s="6">
        <f>IFERROR(__xludf.DUMMYFUNCTION("FILTER(IMPORTRANGE(""https://docs.google.com/spreadsheets/d/1BJSV3WBYJGRhQ6zExamkszQ5VutGIcaQqmbD9ZTVXMQ/edit#gid=1251630045"",""articles_with_PRISMA_reasons!C2:C2113""), $A50=IMPORTRANGE(""https://docs.google.com/spreadsheets/d/1BJSV3WBYJGRhQ6zExamkszQ5V"&amp;"utGIcaQqmbD9ZTVXMQ/edit#gid=1251630045"",""articles_with_PRISMA_reasons!B2:B2113""))"),1957.0)</f>
        <v>1957</v>
      </c>
      <c r="D50" s="5" t="str">
        <f>IFERROR(__xludf.DUMMYFUNCTION("IFS(AND(
FILTER(IMPORTRANGE(""https://docs.google.com/spreadsheets/d/1BJSV3WBYJGRhQ6zExamkszQ5VutGIcaQqmbD9ZTVXMQ/edit#gid=1251630045"",""articles_with_PRISMA_reasons!Y2:Y2113""), $A50=IMPORTRANGE(""https://docs.google.com/spreadsheets/d/1BJSV3WBYJGRhQ6zE"&amp;"xamkszQ5VutGIcaQqmbD9ZTVXMQ/edit#gid=1251630045"",""articles_with_PRISMA_reasons!B2:B2113""))&gt;=2,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$A50=IMPORTRANGE(""https://docs.google.com/spreadsheets/d/1BJSV3WBYJGRhQ6zExamkszQ5VutGIcaQqmbD9ZTVXMQ/edit#gid=1251630045"",""articles_with_PRISMA_reasons!B2:B2113""))&lt;2),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$A50=IMPORTRANGE(""https://docs.google.com/spreadsheets/d/1BJSV3WBYJGRhQ6zExamkszQ5VutGIcaQqmbD9ZTVXMQ/edit#gid=1251630045"",""article"&amp;"s_with_PRISMA_reasons!B2:B2113""))&lt;2,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$A50=IMPORTRANGE(""https://docs.google.com/spr"&amp;"eadsheets/d/1BJSV3WBYJGRhQ6zExamkszQ5VutGIcaQqmbD9ZTVXMQ/edit#gid=1251630045"",""articles_with_PRISMA_reasons!B2:B2113""))&gt;=2),
""Exclude""
)"),"Exclude")</f>
        <v>Exclude</v>
      </c>
      <c r="E50" s="5" t="str">
        <f>IFERROR(__xludf.DUMMYFUNCTION("IFS(
D50=""Exclude"",""Exclude"",
AND(
FILTER(IMPORTRANGE(""https://docs.google.com/spreadsheets/d/1qpEmbGH0JjaJbUdp21-y2cPbobDbMjr09BbtdKROZWc/edit#gid=1444865654"",""articles_with_PRISMA_reasons!W2:W2113""), $A50=IMPORTRANGE(""https://docs.google.com/sp"&amp;"readsheets/d/1qpEmbGH0JjaJbUdp21-y2cPbobDbMjr09BbtdKROZWc/edit#gid=1444865654"",""articles_with_PRISMA_reasons!B2:B2113""))&gt;=2,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$A50=IMPORTRANGE(""https://docs.google.com/spreadsheets/d/1qpEmbGH0JjaJbUdp21-y2cPbobDbMjr09BbtdKROZWc/edit#gid=1444865654"",""articles_with_PRISMA_reasons!B2:B2113""))&lt;2),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$A50=IMPORTRANGE(""https://docs.google.com/spreadsheets/d/1qpEmbGH0JjaJbUdp21-y2cPbobDbMjr09BbtdKROZWc/"&amp;"edit#gid=1444865654"",""articles_with_PRISMA_reasons!B2:B2113""))&lt;2,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$A50=IMPORTRANG"&amp;"E(""https://docs.google.com/spreadsheets/d/1qpEmbGH0JjaJbUdp21-y2cPbobDbMjr09BbtdKROZWc/edit#gid=1444865654"",""articles_with_PRISMA_reasons!B2:B2113""))&gt;=2),
""Exclude""
)"),"Exclude")</f>
        <v>Exclude</v>
      </c>
      <c r="F50" s="5" t="str">
        <f>IFERROR(__xludf.DUMMYFUNCTION("IFS(
E50=""Exclude"",""Exclude"",
AND(
COUNTIF(
IMPORTRANGE(""https://docs.google.com/spreadsheets/d/1kGrh75X1cNR1D7_FcY9zMnHP8iPO4M5RCRjy6nZY0TY/edit#gid=0"",""Table 1: Study characteristics!B4:B171""),A50)&gt;0,
COUNTIF(Studies!$A$2:$A$85,FILTER(IMPORTRANG"&amp;"E(""https://docs.google.com/spreadsheets/d/1kGrh75X1cNR1D7_FcY9zMnHP8iPO4M5RCRjy6nZY0TY/edit#gid=0"",""Table 1: Study characteristics!A4:A171""), $A50=IMPORTRANGE(""https://docs.google.com/spreadsheets/d/1kGrh75X1cNR1D7_FcY9zMnHP8iPO4M5RCRjy6nZY0TY/edit#g"&amp;"id=0"",""Table 1: Study characteristics!B4:B171"")))&gt;0
),
""Include""
)"),"Exclude")</f>
        <v>Exclude</v>
      </c>
      <c r="G50" s="5" t="str">
        <f>IFERROR(__xludf.DUMMYFUNCTION("IFS(
D50=""Exclude"",
FILTER(IMPORTRANGE(""https://docs.google.com/spreadsheets/d/1BJSV3WBYJGRhQ6zExamkszQ5VutGIcaQqmbD9ZTVXMQ/edit#gid=1251630045"",""articles_with_PRISMA_reasons!AB2:AB2113""), $A50=IMPORTRANGE(""https://docs.google.com/spreadsheets/d/1B"&amp;"JSV3WBYJGRhQ6zExamkszQ5VutGIcaQqmbD9ZTVXMQ/edit#gid=1251630045"",""articles_with_PRISMA_reasons!B2:B2113"")),
E50=""Exclude"",
FILTER(IMPORTRANGE(""https://docs.google.com/spreadsheets/d/1qpEmbGH0JjaJbUdp21-y2cPbobDbMjr09BbtdKROZWc/edit#gid=1444865654"","&amp;"""articles_with_PRISMA_reasons!Z2:Z2113""), $A50=IMPORTRANGE(""https://docs.google.com/spreadsheets/d/1qpEmbGH0JjaJbUdp21-y2cPbobDbMjr09BbtdKROZWc/edit#gid=1444865654"",""articles_with_PRISMA_reasons!B2:B2113"")),F50
=""Include"",FILTER(IMPORTRANGE(""http"&amp;"s://docs.google.com/spreadsheets/d/1kGrh75X1cNR1D7_FcY9zMnHP8iPO4M5RCRjy6nZY0TY/edit#gid=0"",""Table 1: Study characteristics!A4:A171""), $A50=IMPORTRANGE(""https://docs.google.com/spreadsheets/d/1kGrh75X1cNR1D7_FcY9zMnHP8iPO4M5RCRjy6nZY0TY/edit#gid=0"","&amp;"""Table 1: Study characteristics!B4:B171""))
)"),"wrong study design")</f>
        <v>wrong study design</v>
      </c>
    </row>
    <row r="51">
      <c r="A51" s="4" t="str">
        <f>IFERROR(__xludf.DUMMYFUNCTION("""COMPUTED_VALUE"""),"[Hydrocephalus and dystrophic state; surgical treatment of meningomyelocele, meningocele, and hydrocephalus]")</f>
        <v>[Hydrocephalus and dystrophic state; surgical treatment of meningomyelocele, meningocele, and hydrocephalus]</v>
      </c>
      <c r="B51" s="5" t="str">
        <f>IFERROR(__xludf.DUMMYFUNCTION("LEFT(FILTER(IMPORTRANGE(""https://docs.google.com/spreadsheets/d/1BJSV3WBYJGRhQ6zExamkszQ5VutGIcaQqmbD9ZTVXMQ/edit#gid=1251630045"",""articles_with_PRISMA_reasons!K2:K2113""), $A51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$A51=IMPORTRANGE(""https://docs.google.com/spreadsheets/d/1BJSV3WBYJGRhQ6zExamkszQ5VutGIcaQqmbD9ZTVXMQ/edit#gid=1251630045"",""articles_with_PRISMA_reasons!B2:B2113"")))-1)"),"Carrea")</f>
        <v>Carrea</v>
      </c>
      <c r="C51" s="6">
        <f>IFERROR(__xludf.DUMMYFUNCTION("FILTER(IMPORTRANGE(""https://docs.google.com/spreadsheets/d/1BJSV3WBYJGRhQ6zExamkszQ5VutGIcaQqmbD9ZTVXMQ/edit#gid=1251630045"",""articles_with_PRISMA_reasons!C2:C2113""), $A51=IMPORTRANGE(""https://docs.google.com/spreadsheets/d/1BJSV3WBYJGRhQ6zExamkszQ5V"&amp;"utGIcaQqmbD9ZTVXMQ/edit#gid=1251630045"",""articles_with_PRISMA_reasons!B2:B2113""))"),1952.0)</f>
        <v>1952</v>
      </c>
      <c r="D51" s="5" t="str">
        <f>IFERROR(__xludf.DUMMYFUNCTION("IFS(AND(
FILTER(IMPORTRANGE(""https://docs.google.com/spreadsheets/d/1BJSV3WBYJGRhQ6zExamkszQ5VutGIcaQqmbD9ZTVXMQ/edit#gid=1251630045"",""articles_with_PRISMA_reasons!Y2:Y2113""), $A51=IMPORTRANGE(""https://docs.google.com/spreadsheets/d/1BJSV3WBYJGRhQ6zE"&amp;"xamkszQ5VutGIcaQqmbD9ZTVXMQ/edit#gid=1251630045"",""articles_with_PRISMA_reasons!B2:B2113""))&gt;=2,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$A51=IMPORTRANGE(""https://docs.google.com/spreadsheets/d/1BJSV3WBYJGRhQ6zExamkszQ5VutGIcaQqmbD9ZTVXMQ/edit#gid=1251630045"",""articles_with_PRISMA_reasons!B2:B2113""))&lt;2),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$A51=IMPORTRANGE(""https://docs.google.com/spreadsheets/d/1BJSV3WBYJGRhQ6zExamkszQ5VutGIcaQqmbD9ZTVXMQ/edit#gid=1251630045"",""article"&amp;"s_with_PRISMA_reasons!B2:B2113""))&lt;2,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$A51=IMPORTRANGE(""https://docs.google.com/spr"&amp;"eadsheets/d/1BJSV3WBYJGRhQ6zExamkszQ5VutGIcaQqmbD9ZTVXMQ/edit#gid=1251630045"",""articles_with_PRISMA_reasons!B2:B2113""))&gt;=2),
""Exclude""
)"),"Exclude")</f>
        <v>Exclude</v>
      </c>
      <c r="E51" s="5" t="str">
        <f>IFERROR(__xludf.DUMMYFUNCTION("IFS(
D51=""Exclude"",""Exclude"",
AND(
FILTER(IMPORTRANGE(""https://docs.google.com/spreadsheets/d/1qpEmbGH0JjaJbUdp21-y2cPbobDbMjr09BbtdKROZWc/edit#gid=1444865654"",""articles_with_PRISMA_reasons!W2:W2113""), $A51=IMPORTRANGE(""https://docs.google.com/sp"&amp;"readsheets/d/1qpEmbGH0JjaJbUdp21-y2cPbobDbMjr09BbtdKROZWc/edit#gid=1444865654"",""articles_with_PRISMA_reasons!B2:B2113""))&gt;=2,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$A51=IMPORTRANGE(""https://docs.google.com/spreadsheets/d/1qpEmbGH0JjaJbUdp21-y2cPbobDbMjr09BbtdKROZWc/edit#gid=1444865654"",""articles_with_PRISMA_reasons!B2:B2113""))&lt;2),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$A51=IMPORTRANGE(""https://docs.google.com/spreadsheets/d/1qpEmbGH0JjaJbUdp21-y2cPbobDbMjr09BbtdKROZWc/"&amp;"edit#gid=1444865654"",""articles_with_PRISMA_reasons!B2:B2113""))&lt;2,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$A51=IMPORTRANG"&amp;"E(""https://docs.google.com/spreadsheets/d/1qpEmbGH0JjaJbUdp21-y2cPbobDbMjr09BbtdKROZWc/edit#gid=1444865654"",""articles_with_PRISMA_reasons!B2:B2113""))&gt;=2),
""Exclude""
)"),"Exclude")</f>
        <v>Exclude</v>
      </c>
      <c r="F51" s="5" t="str">
        <f>IFERROR(__xludf.DUMMYFUNCTION("IFS(
E51=""Exclude"",""Exclude"",
AND(
COUNTIF(
IMPORTRANGE(""https://docs.google.com/spreadsheets/d/1kGrh75X1cNR1D7_FcY9zMnHP8iPO4M5RCRjy6nZY0TY/edit#gid=0"",""Table 1: Study characteristics!B4:B171""),A51)&gt;0,
COUNTIF(Studies!$A$2:$A$85,FILTER(IMPORTRANG"&amp;"E(""https://docs.google.com/spreadsheets/d/1kGrh75X1cNR1D7_FcY9zMnHP8iPO4M5RCRjy6nZY0TY/edit#gid=0"",""Table 1: Study characteristics!A4:A171""), $A51=IMPORTRANGE(""https://docs.google.com/spreadsheets/d/1kGrh75X1cNR1D7_FcY9zMnHP8iPO4M5RCRjy6nZY0TY/edit#g"&amp;"id=0"",""Table 1: Study characteristics!B4:B171"")))&gt;0
),
""Include""
)"),"Exclude")</f>
        <v>Exclude</v>
      </c>
      <c r="G51" s="5" t="str">
        <f>IFERROR(__xludf.DUMMYFUNCTION("IFS(
D51=""Exclude"",
FILTER(IMPORTRANGE(""https://docs.google.com/spreadsheets/d/1BJSV3WBYJGRhQ6zExamkszQ5VutGIcaQqmbD9ZTVXMQ/edit#gid=1251630045"",""articles_with_PRISMA_reasons!AB2:AB2113""), $A51=IMPORTRANGE(""https://docs.google.com/spreadsheets/d/1B"&amp;"JSV3WBYJGRhQ6zExamkszQ5VutGIcaQqmbD9ZTVXMQ/edit#gid=1251630045"",""articles_with_PRISMA_reasons!B2:B2113"")),
E51=""Exclude"",
FILTER(IMPORTRANGE(""https://docs.google.com/spreadsheets/d/1qpEmbGH0JjaJbUdp21-y2cPbobDbMjr09BbtdKROZWc/edit#gid=1444865654"","&amp;"""articles_with_PRISMA_reasons!Z2:Z2113""), $A51=IMPORTRANGE(""https://docs.google.com/spreadsheets/d/1qpEmbGH0JjaJbUdp21-y2cPbobDbMjr09BbtdKROZWc/edit#gid=1444865654"",""articles_with_PRISMA_reasons!B2:B2113"")),F51
=""Include"",FILTER(IMPORTRANGE(""http"&amp;"s://docs.google.com/spreadsheets/d/1kGrh75X1cNR1D7_FcY9zMnHP8iPO4M5RCRjy6nZY0TY/edit#gid=0"",""Table 1: Study characteristics!A4:A171""), $A51=IMPORTRANGE(""https://docs.google.com/spreadsheets/d/1kGrh75X1cNR1D7_FcY9zMnHP8iPO4M5RCRjy6nZY0TY/edit#gid=0"","&amp;"""Table 1: Study characteristics!B4:B171""))
)"),"wrong study design")</f>
        <v>wrong study design</v>
      </c>
    </row>
    <row r="52">
      <c r="A52" s="4" t="str">
        <f>IFERROR(__xludf.DUMMYFUNCTION("""COMPUTED_VALUE"""),"[Hydrocephalus internus with shunt system in meningomyelocele, generalized epilepsy, somatomotor and mental retardation and hemiplegia and recurrent urinary tract infections in neurogenic bladder--is BCG vaccination possible?]")</f>
        <v>[Hydrocephalus internus with shunt system in meningomyelocele, generalized epilepsy, somatomotor and mental retardation and hemiplegia and recurrent urinary tract infections in neurogenic bladder--is BCG vaccination possible?]</v>
      </c>
      <c r="B52" s="5" t="str">
        <f>IFERROR(__xludf.DUMMYFUNCTION("LEFT(FILTER(IMPORTRANGE(""https://docs.google.com/spreadsheets/d/1BJSV3WBYJGRhQ6zExamkszQ5VutGIcaQqmbD9ZTVXMQ/edit#gid=1251630045"",""articles_with_PRISMA_reasons!K2:K2113""), $A52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$A52=IMPORTRANGE(""https://docs.google.com/spreadsheets/d/1BJSV3WBYJGRhQ6zExamkszQ5VutGIcaQqmbD9ZTVXMQ/edit#gid=1251630045"",""articles_with_PRISMA_reasons!B2:B2113"")))-1)"),"Wiersbitzky")</f>
        <v>Wiersbitzky</v>
      </c>
      <c r="C52" s="6">
        <f>IFERROR(__xludf.DUMMYFUNCTION("FILTER(IMPORTRANGE(""https://docs.google.com/spreadsheets/d/1BJSV3WBYJGRhQ6zExamkszQ5VutGIcaQqmbD9ZTVXMQ/edit#gid=1251630045"",""articles_with_PRISMA_reasons!C2:C2113""), $A52=IMPORTRANGE(""https://docs.google.com/spreadsheets/d/1BJSV3WBYJGRhQ6zExamkszQ5V"&amp;"utGIcaQqmbD9ZTVXMQ/edit#gid=1251630045"",""articles_with_PRISMA_reasons!B2:B2113""))"),1993.0)</f>
        <v>1993</v>
      </c>
      <c r="D52" s="5" t="str">
        <f>IFERROR(__xludf.DUMMYFUNCTION("IFS(AND(
FILTER(IMPORTRANGE(""https://docs.google.com/spreadsheets/d/1BJSV3WBYJGRhQ6zExamkszQ5VutGIcaQqmbD9ZTVXMQ/edit#gid=1251630045"",""articles_with_PRISMA_reasons!Y2:Y2113""), $A52=IMPORTRANGE(""https://docs.google.com/spreadsheets/d/1BJSV3WBYJGRhQ6zE"&amp;"xamkszQ5VutGIcaQqmbD9ZTVXMQ/edit#gid=1251630045"",""articles_with_PRISMA_reasons!B2:B2113""))&gt;=2,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$A52=IMPORTRANGE(""https://docs.google.com/spreadsheets/d/1BJSV3WBYJGRhQ6zExamkszQ5VutGIcaQqmbD9ZTVXMQ/edit#gid=1251630045"",""articles_with_PRISMA_reasons!B2:B2113""))&lt;2),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$A52=IMPORTRANGE(""https://docs.google.com/spreadsheets/d/1BJSV3WBYJGRhQ6zExamkszQ5VutGIcaQqmbD9ZTVXMQ/edit#gid=1251630045"",""article"&amp;"s_with_PRISMA_reasons!B2:B2113""))&lt;2,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$A52=IMPORTRANGE(""https://docs.google.com/spr"&amp;"eadsheets/d/1BJSV3WBYJGRhQ6zExamkszQ5VutGIcaQqmbD9ZTVXMQ/edit#gid=1251630045"",""articles_with_PRISMA_reasons!B2:B2113""))&gt;=2),
""Exclude""
)"),"Exclude")</f>
        <v>Exclude</v>
      </c>
      <c r="E52" s="5" t="str">
        <f>IFERROR(__xludf.DUMMYFUNCTION("IFS(
D52=""Exclude"",""Exclude"",
AND(
FILTER(IMPORTRANGE(""https://docs.google.com/spreadsheets/d/1qpEmbGH0JjaJbUdp21-y2cPbobDbMjr09BbtdKROZWc/edit#gid=1444865654"",""articles_with_PRISMA_reasons!W2:W2113""), $A52=IMPORTRANGE(""https://docs.google.com/sp"&amp;"readsheets/d/1qpEmbGH0JjaJbUdp21-y2cPbobDbMjr09BbtdKROZWc/edit#gid=1444865654"",""articles_with_PRISMA_reasons!B2:B2113""))&gt;=2,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$A52=IMPORTRANGE(""https://docs.google.com/spreadsheets/d/1qpEmbGH0JjaJbUdp21-y2cPbobDbMjr09BbtdKROZWc/edit#gid=1444865654"",""articles_with_PRISMA_reasons!B2:B2113""))&lt;2),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$A52=IMPORTRANGE(""https://docs.google.com/spreadsheets/d/1qpEmbGH0JjaJbUdp21-y2cPbobDbMjr09BbtdKROZWc/"&amp;"edit#gid=1444865654"",""articles_with_PRISMA_reasons!B2:B2113""))&lt;2,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$A52=IMPORTRANG"&amp;"E(""https://docs.google.com/spreadsheets/d/1qpEmbGH0JjaJbUdp21-y2cPbobDbMjr09BbtdKROZWc/edit#gid=1444865654"",""articles_with_PRISMA_reasons!B2:B2113""))&gt;=2),
""Exclude""
)"),"Exclude")</f>
        <v>Exclude</v>
      </c>
      <c r="F52" s="5" t="str">
        <f>IFERROR(__xludf.DUMMYFUNCTION("IFS(
E52=""Exclude"",""Exclude"",
AND(
COUNTIF(
IMPORTRANGE(""https://docs.google.com/spreadsheets/d/1kGrh75X1cNR1D7_FcY9zMnHP8iPO4M5RCRjy6nZY0TY/edit#gid=0"",""Table 1: Study characteristics!B4:B171""),A52)&gt;0,
COUNTIF(Studies!$A$2:$A$85,FILTER(IMPORTRANG"&amp;"E(""https://docs.google.com/spreadsheets/d/1kGrh75X1cNR1D7_FcY9zMnHP8iPO4M5RCRjy6nZY0TY/edit#gid=0"",""Table 1: Study characteristics!A4:A171""), $A52=IMPORTRANGE(""https://docs.google.com/spreadsheets/d/1kGrh75X1cNR1D7_FcY9zMnHP8iPO4M5RCRjy6nZY0TY/edit#g"&amp;"id=0"",""Table 1: Study characteristics!B4:B171"")))&gt;0
),
""Include""
)"),"Exclude")</f>
        <v>Exclude</v>
      </c>
      <c r="G52" s="5" t="str">
        <f>IFERROR(__xludf.DUMMYFUNCTION("IFS(
D52=""Exclude"",
FILTER(IMPORTRANGE(""https://docs.google.com/spreadsheets/d/1BJSV3WBYJGRhQ6zExamkszQ5VutGIcaQqmbD9ZTVXMQ/edit#gid=1251630045"",""articles_with_PRISMA_reasons!AB2:AB2113""), $A52=IMPORTRANGE(""https://docs.google.com/spreadsheets/d/1B"&amp;"JSV3WBYJGRhQ6zExamkszQ5VutGIcaQqmbD9ZTVXMQ/edit#gid=1251630045"",""articles_with_PRISMA_reasons!B2:B2113"")),
E52=""Exclude"",
FILTER(IMPORTRANGE(""https://docs.google.com/spreadsheets/d/1qpEmbGH0JjaJbUdp21-y2cPbobDbMjr09BbtdKROZWc/edit#gid=1444865654"","&amp;"""articles_with_PRISMA_reasons!Z2:Z2113""), $A52=IMPORTRANGE(""https://docs.google.com/spreadsheets/d/1qpEmbGH0JjaJbUdp21-y2cPbobDbMjr09BbtdKROZWc/edit#gid=1444865654"",""articles_with_PRISMA_reasons!B2:B2113"")),F52
=""Include"",FILTER(IMPORTRANGE(""http"&amp;"s://docs.google.com/spreadsheets/d/1kGrh75X1cNR1D7_FcY9zMnHP8iPO4M5RCRjy6nZY0TY/edit#gid=0"",""Table 1: Study characteristics!A4:A171""), $A52=IMPORTRANGE(""https://docs.google.com/spreadsheets/d/1kGrh75X1cNR1D7_FcY9zMnHP8iPO4M5RCRjy6nZY0TY/edit#gid=0"","&amp;"""Table 1: Study characteristics!B4:B171""))
)"),"wrong study design")</f>
        <v>wrong study design</v>
      </c>
    </row>
    <row r="53">
      <c r="A53" s="4" t="str">
        <f>IFERROR(__xludf.DUMMYFUNCTION("""COMPUTED_VALUE"""),"[Hydrodynamics of syringomyelia]")</f>
        <v>[Hydrodynamics of syringomyelia]</v>
      </c>
      <c r="B53" s="5" t="str">
        <f>IFERROR(__xludf.DUMMYFUNCTION("LEFT(FILTER(IMPORTRANGE(""https://docs.google.com/spreadsheets/d/1BJSV3WBYJGRhQ6zExamkszQ5VutGIcaQqmbD9ZTVXMQ/edit#gid=1251630045"",""articles_with_PRISMA_reasons!K2:K2113""), $A53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$A53=IMPORTRANGE(""https://docs.google.com/spreadsheets/d/1BJSV3WBYJGRhQ6zExamkszQ5VutGIcaQqmbD9ZTVXMQ/edit#gid=1251630045"",""articles_with_PRISMA_reasons!B2:B2113"")))-1)"),"Tamaki")</f>
        <v>Tamaki</v>
      </c>
      <c r="C53" s="6">
        <f>IFERROR(__xludf.DUMMYFUNCTION("FILTER(IMPORTRANGE(""https://docs.google.com/spreadsheets/d/1BJSV3WBYJGRhQ6zExamkszQ5VutGIcaQqmbD9ZTVXMQ/edit#gid=1251630045"",""articles_with_PRISMA_reasons!C2:C2113""), $A53=IMPORTRANGE(""https://docs.google.com/spreadsheets/d/1BJSV3WBYJGRhQ6zExamkszQ5V"&amp;"utGIcaQqmbD9ZTVXMQ/edit#gid=1251630045"",""articles_with_PRISMA_reasons!B2:B2113""))"),1995.0)</f>
        <v>1995</v>
      </c>
      <c r="D53" s="5" t="str">
        <f>IFERROR(__xludf.DUMMYFUNCTION("IFS(AND(
FILTER(IMPORTRANGE(""https://docs.google.com/spreadsheets/d/1BJSV3WBYJGRhQ6zExamkszQ5VutGIcaQqmbD9ZTVXMQ/edit#gid=1251630045"",""articles_with_PRISMA_reasons!Y2:Y2113""), $A53=IMPORTRANGE(""https://docs.google.com/spreadsheets/d/1BJSV3WBYJGRhQ6zE"&amp;"xamkszQ5VutGIcaQqmbD9ZTVXMQ/edit#gid=1251630045"",""articles_with_PRISMA_reasons!B2:B2113""))&gt;=2,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$A53=IMPORTRANGE(""https://docs.google.com/spreadsheets/d/1BJSV3WBYJGRhQ6zExamkszQ5VutGIcaQqmbD9ZTVXMQ/edit#gid=1251630045"",""articles_with_PRISMA_reasons!B2:B2113""))&lt;2),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$A53=IMPORTRANGE(""https://docs.google.com/spreadsheets/d/1BJSV3WBYJGRhQ6zExamkszQ5VutGIcaQqmbD9ZTVXMQ/edit#gid=1251630045"",""article"&amp;"s_with_PRISMA_reasons!B2:B2113""))&lt;2,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$A53=IMPORTRANGE(""https://docs.google.com/spr"&amp;"eadsheets/d/1BJSV3WBYJGRhQ6zExamkszQ5VutGIcaQqmbD9ZTVXMQ/edit#gid=1251630045"",""articles_with_PRISMA_reasons!B2:B2113""))&gt;=2),
""Exclude""
)"),"Exclude")</f>
        <v>Exclude</v>
      </c>
      <c r="E53" s="5" t="str">
        <f>IFERROR(__xludf.DUMMYFUNCTION("IFS(
D53=""Exclude"",""Exclude"",
AND(
FILTER(IMPORTRANGE(""https://docs.google.com/spreadsheets/d/1qpEmbGH0JjaJbUdp21-y2cPbobDbMjr09BbtdKROZWc/edit#gid=1444865654"",""articles_with_PRISMA_reasons!W2:W2113""), $A53=IMPORTRANGE(""https://docs.google.com/sp"&amp;"readsheets/d/1qpEmbGH0JjaJbUdp21-y2cPbobDbMjr09BbtdKROZWc/edit#gid=1444865654"",""articles_with_PRISMA_reasons!B2:B2113""))&gt;=2,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$A53=IMPORTRANGE(""https://docs.google.com/spreadsheets/d/1qpEmbGH0JjaJbUdp21-y2cPbobDbMjr09BbtdKROZWc/edit#gid=1444865654"",""articles_with_PRISMA_reasons!B2:B2113""))&lt;2),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$A53=IMPORTRANGE(""https://docs.google.com/spreadsheets/d/1qpEmbGH0JjaJbUdp21-y2cPbobDbMjr09BbtdKROZWc/"&amp;"edit#gid=1444865654"",""articles_with_PRISMA_reasons!B2:B2113""))&lt;2,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$A53=IMPORTRANG"&amp;"E(""https://docs.google.com/spreadsheets/d/1qpEmbGH0JjaJbUdp21-y2cPbobDbMjr09BbtdKROZWc/edit#gid=1444865654"",""articles_with_PRISMA_reasons!B2:B2113""))&gt;=2),
""Exclude""
)"),"Exclude")</f>
        <v>Exclude</v>
      </c>
      <c r="F53" s="5" t="str">
        <f>IFERROR(__xludf.DUMMYFUNCTION("IFS(
E53=""Exclude"",""Exclude"",
AND(
COUNTIF(
IMPORTRANGE(""https://docs.google.com/spreadsheets/d/1kGrh75X1cNR1D7_FcY9zMnHP8iPO4M5RCRjy6nZY0TY/edit#gid=0"",""Table 1: Study characteristics!B4:B171""),A53)&gt;0,
COUNTIF(Studies!$A$2:$A$85,FILTER(IMPORTRANG"&amp;"E(""https://docs.google.com/spreadsheets/d/1kGrh75X1cNR1D7_FcY9zMnHP8iPO4M5RCRjy6nZY0TY/edit#gid=0"",""Table 1: Study characteristics!A4:A171""), $A53=IMPORTRANGE(""https://docs.google.com/spreadsheets/d/1kGrh75X1cNR1D7_FcY9zMnHP8iPO4M5RCRjy6nZY0TY/edit#g"&amp;"id=0"",""Table 1: Study characteristics!B4:B171"")))&gt;0
),
""Include""
)"),"Exclude")</f>
        <v>Exclude</v>
      </c>
      <c r="G53" s="5" t="str">
        <f>IFERROR(__xludf.DUMMYFUNCTION("IFS(
D53=""Exclude"",
FILTER(IMPORTRANGE(""https://docs.google.com/spreadsheets/d/1BJSV3WBYJGRhQ6zExamkszQ5VutGIcaQqmbD9ZTVXMQ/edit#gid=1251630045"",""articles_with_PRISMA_reasons!AB2:AB2113""), $A53=IMPORTRANGE(""https://docs.google.com/spreadsheets/d/1B"&amp;"JSV3WBYJGRhQ6zExamkszQ5VutGIcaQqmbD9ZTVXMQ/edit#gid=1251630045"",""articles_with_PRISMA_reasons!B2:B2113"")),
E53=""Exclude"",
FILTER(IMPORTRANGE(""https://docs.google.com/spreadsheets/d/1qpEmbGH0JjaJbUdp21-y2cPbobDbMjr09BbtdKROZWc/edit#gid=1444865654"","&amp;"""articles_with_PRISMA_reasons!Z2:Z2113""), $A53=IMPORTRANGE(""https://docs.google.com/spreadsheets/d/1qpEmbGH0JjaJbUdp21-y2cPbobDbMjr09BbtdKROZWc/edit#gid=1444865654"",""articles_with_PRISMA_reasons!B2:B2113"")),F53
=""Include"",FILTER(IMPORTRANGE(""http"&amp;"s://docs.google.com/spreadsheets/d/1kGrh75X1cNR1D7_FcY9zMnHP8iPO4M5RCRjy6nZY0TY/edit#gid=0"",""Table 1: Study characteristics!A4:A171""), $A53=IMPORTRANGE(""https://docs.google.com/spreadsheets/d/1kGrh75X1cNR1D7_FcY9zMnHP8iPO4M5RCRjy6nZY0TY/edit#gid=0"","&amp;"""Table 1: Study characteristics!B4:B171""))
)"),"wrong population")</f>
        <v>wrong population</v>
      </c>
    </row>
    <row r="54">
      <c r="A54" s="4" t="str">
        <f>IFERROR(__xludf.DUMMYFUNCTION("""COMPUTED_VALUE"""),"[Imaging of non-traumatic spinal diseases in children]")</f>
        <v>[Imaging of non-traumatic spinal diseases in children]</v>
      </c>
      <c r="B54" s="5" t="str">
        <f>IFERROR(__xludf.DUMMYFUNCTION("LEFT(FILTER(IMPORTRANGE(""https://docs.google.com/spreadsheets/d/1BJSV3WBYJGRhQ6zExamkszQ5VutGIcaQqmbD9ZTVXMQ/edit#gid=1251630045"",""articles_with_PRISMA_reasons!K2:K2113""), $A54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$A54=IMPORTRANGE(""https://docs.google.com/spreadsheets/d/1BJSV3WBYJGRhQ6zExamkszQ5VutGIcaQqmbD9ZTVXMQ/edit#gid=1251630045"",""articles_with_PRISMA_reasons!B2:B2113"")))-1)"),"Partan")</f>
        <v>Partan</v>
      </c>
      <c r="C54" s="6">
        <f>IFERROR(__xludf.DUMMYFUNCTION("FILTER(IMPORTRANGE(""https://docs.google.com/spreadsheets/d/1BJSV3WBYJGRhQ6zExamkszQ5VutGIcaQqmbD9ZTVXMQ/edit#gid=1251630045"",""articles_with_PRISMA_reasons!C2:C2113""), $A54=IMPORTRANGE(""https://docs.google.com/spreadsheets/d/1BJSV3WBYJGRhQ6zExamkszQ5V"&amp;"utGIcaQqmbD9ZTVXMQ/edit#gid=1251630045"",""articles_with_PRISMA_reasons!B2:B2113""))"),2010.0)</f>
        <v>2010</v>
      </c>
      <c r="D54" s="5" t="str">
        <f>IFERROR(__xludf.DUMMYFUNCTION("IFS(AND(
FILTER(IMPORTRANGE(""https://docs.google.com/spreadsheets/d/1BJSV3WBYJGRhQ6zExamkszQ5VutGIcaQqmbD9ZTVXMQ/edit#gid=1251630045"",""articles_with_PRISMA_reasons!Y2:Y2113""), $A54=IMPORTRANGE(""https://docs.google.com/spreadsheets/d/1BJSV3WBYJGRhQ6zE"&amp;"xamkszQ5VutGIcaQqmbD9ZTVXMQ/edit#gid=1251630045"",""articles_with_PRISMA_reasons!B2:B2113""))&gt;=2,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$A54=IMPORTRANGE(""https://docs.google.com/spreadsheets/d/1BJSV3WBYJGRhQ6zExamkszQ5VutGIcaQqmbD9ZTVXMQ/edit#gid=1251630045"",""articles_with_PRISMA_reasons!B2:B2113""))&lt;2),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$A54=IMPORTRANGE(""https://docs.google.com/spreadsheets/d/1BJSV3WBYJGRhQ6zExamkszQ5VutGIcaQqmbD9ZTVXMQ/edit#gid=1251630045"",""article"&amp;"s_with_PRISMA_reasons!B2:B2113""))&lt;2,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$A54=IMPORTRANGE(""https://docs.google.com/spr"&amp;"eadsheets/d/1BJSV3WBYJGRhQ6zExamkszQ5VutGIcaQqmbD9ZTVXMQ/edit#gid=1251630045"",""articles_with_PRISMA_reasons!B2:B2113""))&gt;=2),
""Exclude""
)"),"Exclude")</f>
        <v>Exclude</v>
      </c>
      <c r="E54" s="5" t="str">
        <f>IFERROR(__xludf.DUMMYFUNCTION("IFS(
D54=""Exclude"",""Exclude"",
AND(
FILTER(IMPORTRANGE(""https://docs.google.com/spreadsheets/d/1qpEmbGH0JjaJbUdp21-y2cPbobDbMjr09BbtdKROZWc/edit#gid=1444865654"",""articles_with_PRISMA_reasons!W2:W2113""), $A54=IMPORTRANGE(""https://docs.google.com/sp"&amp;"readsheets/d/1qpEmbGH0JjaJbUdp21-y2cPbobDbMjr09BbtdKROZWc/edit#gid=1444865654"",""articles_with_PRISMA_reasons!B2:B2113""))&gt;=2,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$A54=IMPORTRANGE(""https://docs.google.com/spreadsheets/d/1qpEmbGH0JjaJbUdp21-y2cPbobDbMjr09BbtdKROZWc/edit#gid=1444865654"",""articles_with_PRISMA_reasons!B2:B2113""))&lt;2),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$A54=IMPORTRANGE(""https://docs.google.com/spreadsheets/d/1qpEmbGH0JjaJbUdp21-y2cPbobDbMjr09BbtdKROZWc/"&amp;"edit#gid=1444865654"",""articles_with_PRISMA_reasons!B2:B2113""))&lt;2,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$A54=IMPORTRANG"&amp;"E(""https://docs.google.com/spreadsheets/d/1qpEmbGH0JjaJbUdp21-y2cPbobDbMjr09BbtdKROZWc/edit#gid=1444865654"",""articles_with_PRISMA_reasons!B2:B2113""))&gt;=2),
""Exclude""
)"),"Exclude")</f>
        <v>Exclude</v>
      </c>
      <c r="F54" s="5" t="str">
        <f>IFERROR(__xludf.DUMMYFUNCTION("IFS(
E54=""Exclude"",""Exclude"",
AND(
COUNTIF(
IMPORTRANGE(""https://docs.google.com/spreadsheets/d/1kGrh75X1cNR1D7_FcY9zMnHP8iPO4M5RCRjy6nZY0TY/edit#gid=0"",""Table 1: Study characteristics!B4:B171""),A54)&gt;0,
COUNTIF(Studies!$A$2:$A$85,FILTER(IMPORTRANG"&amp;"E(""https://docs.google.com/spreadsheets/d/1kGrh75X1cNR1D7_FcY9zMnHP8iPO4M5RCRjy6nZY0TY/edit#gid=0"",""Table 1: Study characteristics!A4:A171""), $A54=IMPORTRANGE(""https://docs.google.com/spreadsheets/d/1kGrh75X1cNR1D7_FcY9zMnHP8iPO4M5RCRjy6nZY0TY/edit#g"&amp;"id=0"",""Table 1: Study characteristics!B4:B171"")))&gt;0
),
""Include""
)"),"Exclude")</f>
        <v>Exclude</v>
      </c>
      <c r="G54" s="5" t="str">
        <f>IFERROR(__xludf.DUMMYFUNCTION("IFS(
D54=""Exclude"",
FILTER(IMPORTRANGE(""https://docs.google.com/spreadsheets/d/1BJSV3WBYJGRhQ6zExamkszQ5VutGIcaQqmbD9ZTVXMQ/edit#gid=1251630045"",""articles_with_PRISMA_reasons!AB2:AB2113""), $A54=IMPORTRANGE(""https://docs.google.com/spreadsheets/d/1B"&amp;"JSV3WBYJGRhQ6zExamkszQ5VutGIcaQqmbD9ZTVXMQ/edit#gid=1251630045"",""articles_with_PRISMA_reasons!B2:B2113"")),
E54=""Exclude"",
FILTER(IMPORTRANGE(""https://docs.google.com/spreadsheets/d/1qpEmbGH0JjaJbUdp21-y2cPbobDbMjr09BbtdKROZWc/edit#gid=1444865654"","&amp;"""articles_with_PRISMA_reasons!Z2:Z2113""), $A54=IMPORTRANGE(""https://docs.google.com/spreadsheets/d/1qpEmbGH0JjaJbUdp21-y2cPbobDbMjr09BbtdKROZWc/edit#gid=1444865654"",""articles_with_PRISMA_reasons!B2:B2113"")),F54
=""Include"",FILTER(IMPORTRANGE(""http"&amp;"s://docs.google.com/spreadsheets/d/1kGrh75X1cNR1D7_FcY9zMnHP8iPO4M5RCRjy6nZY0TY/edit#gid=0"",""Table 1: Study characteristics!A4:A171""), $A54=IMPORTRANGE(""https://docs.google.com/spreadsheets/d/1kGrh75X1cNR1D7_FcY9zMnHP8iPO4M5RCRjy6nZY0TY/edit#gid=0"","&amp;"""Table 1: Study characteristics!B4:B171""))
)"),"Duplicate")</f>
        <v>Duplicate</v>
      </c>
    </row>
    <row r="55">
      <c r="A55" s="4" t="str">
        <f>IFERROR(__xludf.DUMMYFUNCTION("""COMPUTED_VALUE"""),"[Incidence of spina bifida occulta in relatives of children with myelodysplasia. Indications for high-risk screening]")</f>
        <v>[Incidence of spina bifida occulta in relatives of children with myelodysplasia. Indications for high-risk screening]</v>
      </c>
      <c r="B55" s="5" t="str">
        <f>IFERROR(__xludf.DUMMYFUNCTION("LEFT(FILTER(IMPORTRANGE(""https://docs.google.com/spreadsheets/d/1BJSV3WBYJGRhQ6zExamkszQ5VutGIcaQqmbD9ZTVXMQ/edit#gid=1251630045"",""articles_with_PRISMA_reasons!K2:K2113""), $A55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$A55=IMPORTRANGE(""https://docs.google.com/spreadsheets/d/1BJSV3WBYJGRhQ6zExamkszQ5VutGIcaQqmbD9ZTVXMQ/edit#gid=1251630045"",""articles_with_PRISMA_reasons!B2:B2113"")))-1)"),"Jahrig")</f>
        <v>Jahrig</v>
      </c>
      <c r="C55" s="6">
        <f>IFERROR(__xludf.DUMMYFUNCTION("FILTER(IMPORTRANGE(""https://docs.google.com/spreadsheets/d/1BJSV3WBYJGRhQ6zExamkszQ5VutGIcaQqmbD9ZTVXMQ/edit#gid=1251630045"",""articles_with_PRISMA_reasons!C2:C2113""), $A55=IMPORTRANGE(""https://docs.google.com/spreadsheets/d/1BJSV3WBYJGRhQ6zExamkszQ5V"&amp;"utGIcaQqmbD9ZTVXMQ/edit#gid=1251630045"",""articles_with_PRISMA_reasons!B2:B2113""))"),1985.0)</f>
        <v>1985</v>
      </c>
      <c r="D55" s="5" t="str">
        <f>IFERROR(__xludf.DUMMYFUNCTION("IFS(AND(
FILTER(IMPORTRANGE(""https://docs.google.com/spreadsheets/d/1BJSV3WBYJGRhQ6zExamkszQ5VutGIcaQqmbD9ZTVXMQ/edit#gid=1251630045"",""articles_with_PRISMA_reasons!Y2:Y2113""), $A55=IMPORTRANGE(""https://docs.google.com/spreadsheets/d/1BJSV3WBYJGRhQ6zE"&amp;"xamkszQ5VutGIcaQqmbD9ZTVXMQ/edit#gid=1251630045"",""articles_with_PRISMA_reasons!B2:B2113""))&gt;=2,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$A55=IMPORTRANGE(""https://docs.google.com/spreadsheets/d/1BJSV3WBYJGRhQ6zExamkszQ5VutGIcaQqmbD9ZTVXMQ/edit#gid=1251630045"",""articles_with_PRISMA_reasons!B2:B2113""))&lt;2),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$A55=IMPORTRANGE(""https://docs.google.com/spreadsheets/d/1BJSV3WBYJGRhQ6zExamkszQ5VutGIcaQqmbD9ZTVXMQ/edit#gid=1251630045"",""article"&amp;"s_with_PRISMA_reasons!B2:B2113""))&lt;2,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$A55=IMPORTRANGE(""https://docs.google.com/spr"&amp;"eadsheets/d/1BJSV3WBYJGRhQ6zExamkszQ5VutGIcaQqmbD9ZTVXMQ/edit#gid=1251630045"",""articles_with_PRISMA_reasons!B2:B2113""))&gt;=2),
""Exclude""
)"),"Exclude")</f>
        <v>Exclude</v>
      </c>
      <c r="E55" s="5" t="str">
        <f>IFERROR(__xludf.DUMMYFUNCTION("IFS(
D55=""Exclude"",""Exclude"",
AND(
FILTER(IMPORTRANGE(""https://docs.google.com/spreadsheets/d/1qpEmbGH0JjaJbUdp21-y2cPbobDbMjr09BbtdKROZWc/edit#gid=1444865654"",""articles_with_PRISMA_reasons!W2:W2113""), $A55=IMPORTRANGE(""https://docs.google.com/sp"&amp;"readsheets/d/1qpEmbGH0JjaJbUdp21-y2cPbobDbMjr09BbtdKROZWc/edit#gid=1444865654"",""articles_with_PRISMA_reasons!B2:B2113""))&gt;=2,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$A55=IMPORTRANGE(""https://docs.google.com/spreadsheets/d/1qpEmbGH0JjaJbUdp21-y2cPbobDbMjr09BbtdKROZWc/edit#gid=1444865654"",""articles_with_PRISMA_reasons!B2:B2113""))&lt;2),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$A55=IMPORTRANGE(""https://docs.google.com/spreadsheets/d/1qpEmbGH0JjaJbUdp21-y2cPbobDbMjr09BbtdKROZWc/"&amp;"edit#gid=1444865654"",""articles_with_PRISMA_reasons!B2:B2113""))&lt;2,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$A55=IMPORTRANG"&amp;"E(""https://docs.google.com/spreadsheets/d/1qpEmbGH0JjaJbUdp21-y2cPbobDbMjr09BbtdKROZWc/edit#gid=1444865654"",""articles_with_PRISMA_reasons!B2:B2113""))&gt;=2),
""Exclude""
)"),"Exclude")</f>
        <v>Exclude</v>
      </c>
      <c r="F55" s="5" t="str">
        <f>IFERROR(__xludf.DUMMYFUNCTION("IFS(
E55=""Exclude"",""Exclude"",
AND(
COUNTIF(
IMPORTRANGE(""https://docs.google.com/spreadsheets/d/1kGrh75X1cNR1D7_FcY9zMnHP8iPO4M5RCRjy6nZY0TY/edit#gid=0"",""Table 1: Study characteristics!B4:B171""),A55)&gt;0,
COUNTIF(Studies!$A$2:$A$85,FILTER(IMPORTRANG"&amp;"E(""https://docs.google.com/spreadsheets/d/1kGrh75X1cNR1D7_FcY9zMnHP8iPO4M5RCRjy6nZY0TY/edit#gid=0"",""Table 1: Study characteristics!A4:A171""), $A55=IMPORTRANGE(""https://docs.google.com/spreadsheets/d/1kGrh75X1cNR1D7_FcY9zMnHP8iPO4M5RCRjy6nZY0TY/edit#g"&amp;"id=0"",""Table 1: Study characteristics!B4:B171"")))&gt;0
),
""Include""
)"),"Exclude")</f>
        <v>Exclude</v>
      </c>
      <c r="G55" s="5" t="str">
        <f>IFERROR(__xludf.DUMMYFUNCTION("IFS(
D55=""Exclude"",
FILTER(IMPORTRANGE(""https://docs.google.com/spreadsheets/d/1BJSV3WBYJGRhQ6zExamkszQ5VutGIcaQqmbD9ZTVXMQ/edit#gid=1251630045"",""articles_with_PRISMA_reasons!AB2:AB2113""), $A55=IMPORTRANGE(""https://docs.google.com/spreadsheets/d/1B"&amp;"JSV3WBYJGRhQ6zExamkszQ5VutGIcaQqmbD9ZTVXMQ/edit#gid=1251630045"",""articles_with_PRISMA_reasons!B2:B2113"")),
E55=""Exclude"",
FILTER(IMPORTRANGE(""https://docs.google.com/spreadsheets/d/1qpEmbGH0JjaJbUdp21-y2cPbobDbMjr09BbtdKROZWc/edit#gid=1444865654"","&amp;"""articles_with_PRISMA_reasons!Z2:Z2113""), $A55=IMPORTRANGE(""https://docs.google.com/spreadsheets/d/1qpEmbGH0JjaJbUdp21-y2cPbobDbMjr09BbtdKROZWc/edit#gid=1444865654"",""articles_with_PRISMA_reasons!B2:B2113"")),F55
=""Include"",FILTER(IMPORTRANGE(""http"&amp;"s://docs.google.com/spreadsheets/d/1kGrh75X1cNR1D7_FcY9zMnHP8iPO4M5RCRjy6nZY0TY/edit#gid=0"",""Table 1: Study characteristics!A4:A171""), $A55=IMPORTRANGE(""https://docs.google.com/spreadsheets/d/1kGrh75X1cNR1D7_FcY9zMnHP8iPO4M5RCRjy6nZY0TY/edit#gid=0"","&amp;"""Table 1: Study characteristics!B4:B171""))
)"),"wrong population")</f>
        <v>wrong population</v>
      </c>
    </row>
    <row r="56">
      <c r="A56" s="4" t="str">
        <f>IFERROR(__xludf.DUMMYFUNCTION("""COMPUTED_VALUE"""),"[Indications for early surgical treatment of children with congenital myelomeningocele]")</f>
        <v>[Indications for early surgical treatment of children with congenital myelomeningocele]</v>
      </c>
      <c r="B56" s="5" t="str">
        <f>IFERROR(__xludf.DUMMYFUNCTION("LEFT(FILTER(IMPORTRANGE(""https://docs.google.com/spreadsheets/d/1BJSV3WBYJGRhQ6zExamkszQ5VutGIcaQqmbD9ZTVXMQ/edit#gid=1251630045"",""articles_with_PRISMA_reasons!K2:K2113""), $A56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$A56=IMPORTRANGE(""https://docs.google.com/spreadsheets/d/1BJSV3WBYJGRhQ6zExamkszQ5VutGIcaQqmbD9ZTVXMQ/edit#gid=1251630045"",""articles_with_PRISMA_reasons!B2:B2113"")))-1)"),"Lodzinski")</f>
        <v>Lodzinski</v>
      </c>
      <c r="C56" s="6">
        <f>IFERROR(__xludf.DUMMYFUNCTION("FILTER(IMPORTRANGE(""https://docs.google.com/spreadsheets/d/1BJSV3WBYJGRhQ6zExamkszQ5VutGIcaQqmbD9ZTVXMQ/edit#gid=1251630045"",""articles_with_PRISMA_reasons!C2:C2113""), $A56=IMPORTRANGE(""https://docs.google.com/spreadsheets/d/1BJSV3WBYJGRhQ6zExamkszQ5V"&amp;"utGIcaQqmbD9ZTVXMQ/edit#gid=1251630045"",""articles_with_PRISMA_reasons!B2:B2113""))"),1969.0)</f>
        <v>1969</v>
      </c>
      <c r="D56" s="5" t="str">
        <f>IFERROR(__xludf.DUMMYFUNCTION("IFS(AND(
FILTER(IMPORTRANGE(""https://docs.google.com/spreadsheets/d/1BJSV3WBYJGRhQ6zExamkszQ5VutGIcaQqmbD9ZTVXMQ/edit#gid=1251630045"",""articles_with_PRISMA_reasons!Y2:Y2113""), $A56=IMPORTRANGE(""https://docs.google.com/spreadsheets/d/1BJSV3WBYJGRhQ6zE"&amp;"xamkszQ5VutGIcaQqmbD9ZTVXMQ/edit#gid=1251630045"",""articles_with_PRISMA_reasons!B2:B2113""))&gt;=2,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$A56=IMPORTRANGE(""https://docs.google.com/spreadsheets/d/1BJSV3WBYJGRhQ6zExamkszQ5VutGIcaQqmbD9ZTVXMQ/edit#gid=1251630045"",""articles_with_PRISMA_reasons!B2:B2113""))&lt;2),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$A56=IMPORTRANGE(""https://docs.google.com/spreadsheets/d/1BJSV3WBYJGRhQ6zExamkszQ5VutGIcaQqmbD9ZTVXMQ/edit#gid=1251630045"",""article"&amp;"s_with_PRISMA_reasons!B2:B2113""))&lt;2,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$A56=IMPORTRANGE(""https://docs.google.com/spr"&amp;"eadsheets/d/1BJSV3WBYJGRhQ6zExamkszQ5VutGIcaQqmbD9ZTVXMQ/edit#gid=1251630045"",""articles_with_PRISMA_reasons!B2:B2113""))&gt;=2),
""Exclude""
)"),"Exclude")</f>
        <v>Exclude</v>
      </c>
      <c r="E56" s="5" t="str">
        <f>IFERROR(__xludf.DUMMYFUNCTION("IFS(
D56=""Exclude"",""Exclude"",
AND(
FILTER(IMPORTRANGE(""https://docs.google.com/spreadsheets/d/1qpEmbGH0JjaJbUdp21-y2cPbobDbMjr09BbtdKROZWc/edit#gid=1444865654"",""articles_with_PRISMA_reasons!W2:W2113""), $A56=IMPORTRANGE(""https://docs.google.com/sp"&amp;"readsheets/d/1qpEmbGH0JjaJbUdp21-y2cPbobDbMjr09BbtdKROZWc/edit#gid=1444865654"",""articles_with_PRISMA_reasons!B2:B2113""))&gt;=2,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$A56=IMPORTRANGE(""https://docs.google.com/spreadsheets/d/1qpEmbGH0JjaJbUdp21-y2cPbobDbMjr09BbtdKROZWc/edit#gid=1444865654"",""articles_with_PRISMA_reasons!B2:B2113""))&lt;2),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$A56=IMPORTRANGE(""https://docs.google.com/spreadsheets/d/1qpEmbGH0JjaJbUdp21-y2cPbobDbMjr09BbtdKROZWc/"&amp;"edit#gid=1444865654"",""articles_with_PRISMA_reasons!B2:B2113""))&lt;2,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$A56=IMPORTRANG"&amp;"E(""https://docs.google.com/spreadsheets/d/1qpEmbGH0JjaJbUdp21-y2cPbobDbMjr09BbtdKROZWc/edit#gid=1444865654"",""articles_with_PRISMA_reasons!B2:B2113""))&gt;=2),
""Exclude""
)"),"Exclude")</f>
        <v>Exclude</v>
      </c>
      <c r="F56" s="5" t="str">
        <f>IFERROR(__xludf.DUMMYFUNCTION("IFS(
E56=""Exclude"",""Exclude"",
AND(
COUNTIF(
IMPORTRANGE(""https://docs.google.com/spreadsheets/d/1kGrh75X1cNR1D7_FcY9zMnHP8iPO4M5RCRjy6nZY0TY/edit#gid=0"",""Table 1: Study characteristics!B4:B171""),A56)&gt;0,
COUNTIF(Studies!$A$2:$A$85,FILTER(IMPORTRANG"&amp;"E(""https://docs.google.com/spreadsheets/d/1kGrh75X1cNR1D7_FcY9zMnHP8iPO4M5RCRjy6nZY0TY/edit#gid=0"",""Table 1: Study characteristics!A4:A171""), $A56=IMPORTRANGE(""https://docs.google.com/spreadsheets/d/1kGrh75X1cNR1D7_FcY9zMnHP8iPO4M5RCRjy6nZY0TY/edit#g"&amp;"id=0"",""Table 1: Study characteristics!B4:B171"")))&gt;0
),
""Include""
)"),"Exclude")</f>
        <v>Exclude</v>
      </c>
      <c r="G56" s="5" t="str">
        <f>IFERROR(__xludf.DUMMYFUNCTION("IFS(
D56=""Exclude"",
FILTER(IMPORTRANGE(""https://docs.google.com/spreadsheets/d/1BJSV3WBYJGRhQ6zExamkszQ5VutGIcaQqmbD9ZTVXMQ/edit#gid=1251630045"",""articles_with_PRISMA_reasons!AB2:AB2113""), $A56=IMPORTRANGE(""https://docs.google.com/spreadsheets/d/1B"&amp;"JSV3WBYJGRhQ6zExamkszQ5VutGIcaQqmbD9ZTVXMQ/edit#gid=1251630045"",""articles_with_PRISMA_reasons!B2:B2113"")),
E56=""Exclude"",
FILTER(IMPORTRANGE(""https://docs.google.com/spreadsheets/d/1qpEmbGH0JjaJbUdp21-y2cPbobDbMjr09BbtdKROZWc/edit#gid=1444865654"","&amp;"""articles_with_PRISMA_reasons!Z2:Z2113""), $A56=IMPORTRANGE(""https://docs.google.com/spreadsheets/d/1qpEmbGH0JjaJbUdp21-y2cPbobDbMjr09BbtdKROZWc/edit#gid=1444865654"",""articles_with_PRISMA_reasons!B2:B2113"")),F56
=""Include"",FILTER(IMPORTRANGE(""http"&amp;"s://docs.google.com/spreadsheets/d/1kGrh75X1cNR1D7_FcY9zMnHP8iPO4M5RCRjy6nZY0TY/edit#gid=0"",""Table 1: Study characteristics!A4:A171""), $A56=IMPORTRANGE(""https://docs.google.com/spreadsheets/d/1kGrh75X1cNR1D7_FcY9zMnHP8iPO4M5RCRjy6nZY0TY/edit#gid=0"","&amp;"""Table 1: Study characteristics!B4:B171""))
)"),"wrong study design")</f>
        <v>wrong study design</v>
      </c>
    </row>
    <row r="57">
      <c r="A57" s="4" t="str">
        <f>IFERROR(__xludf.DUMMYFUNCTION("""COMPUTED_VALUE"""),"[Infectious diseases of the central nervous system in childhood]")</f>
        <v>[Infectious diseases of the central nervous system in childhood]</v>
      </c>
      <c r="B57" s="5" t="str">
        <f>IFERROR(__xludf.DUMMYFUNCTION("LEFT(FILTER(IMPORTRANGE(""https://docs.google.com/spreadsheets/d/1BJSV3WBYJGRhQ6zExamkszQ5VutGIcaQqmbD9ZTVXMQ/edit#gid=1251630045"",""articles_with_PRISMA_reasons!K2:K2113""), $A57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$A57=IMPORTRANGE(""https://docs.google.com/spreadsheets/d/1BJSV3WBYJGRhQ6zExamkszQ5VutGIcaQqmbD9ZTVXMQ/edit#gid=1251630045"",""articles_with_PRISMA_reasons!B2:B2113"")))-1)"),"Schiefer")</f>
        <v>Schiefer</v>
      </c>
      <c r="C57" s="6">
        <f>IFERROR(__xludf.DUMMYFUNCTION("FILTER(IMPORTRANGE(""https://docs.google.com/spreadsheets/d/1BJSV3WBYJGRhQ6zExamkszQ5VutGIcaQqmbD9ZTVXMQ/edit#gid=1251630045"",""articles_with_PRISMA_reasons!C2:C2113""), $A57=IMPORTRANGE(""https://docs.google.com/spreadsheets/d/1BJSV3WBYJGRhQ6zExamkszQ5V"&amp;"utGIcaQqmbD9ZTVXMQ/edit#gid=1251630045"",""articles_with_PRISMA_reasons!B2:B2113""))"),1974.0)</f>
        <v>1974</v>
      </c>
      <c r="D57" s="5" t="str">
        <f>IFERROR(__xludf.DUMMYFUNCTION("IFS(AND(
FILTER(IMPORTRANGE(""https://docs.google.com/spreadsheets/d/1BJSV3WBYJGRhQ6zExamkszQ5VutGIcaQqmbD9ZTVXMQ/edit#gid=1251630045"",""articles_with_PRISMA_reasons!Y2:Y2113""), $A57=IMPORTRANGE(""https://docs.google.com/spreadsheets/d/1BJSV3WBYJGRhQ6zE"&amp;"xamkszQ5VutGIcaQqmbD9ZTVXMQ/edit#gid=1251630045"",""articles_with_PRISMA_reasons!B2:B2113""))&gt;=2,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$A57=IMPORTRANGE(""https://docs.google.com/spreadsheets/d/1BJSV3WBYJGRhQ6zExamkszQ5VutGIcaQqmbD9ZTVXMQ/edit#gid=1251630045"",""articles_with_PRISMA_reasons!B2:B2113""))&lt;2),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$A57=IMPORTRANGE(""https://docs.google.com/spreadsheets/d/1BJSV3WBYJGRhQ6zExamkszQ5VutGIcaQqmbD9ZTVXMQ/edit#gid=1251630045"",""article"&amp;"s_with_PRISMA_reasons!B2:B2113""))&lt;2,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$A57=IMPORTRANGE(""https://docs.google.com/spr"&amp;"eadsheets/d/1BJSV3WBYJGRhQ6zExamkszQ5VutGIcaQqmbD9ZTVXMQ/edit#gid=1251630045"",""articles_with_PRISMA_reasons!B2:B2113""))&gt;=2),
""Exclude""
)"),"Exclude")</f>
        <v>Exclude</v>
      </c>
      <c r="E57" s="5" t="str">
        <f>IFERROR(__xludf.DUMMYFUNCTION("IFS(
D57=""Exclude"",""Exclude"",
AND(
FILTER(IMPORTRANGE(""https://docs.google.com/spreadsheets/d/1qpEmbGH0JjaJbUdp21-y2cPbobDbMjr09BbtdKROZWc/edit#gid=1444865654"",""articles_with_PRISMA_reasons!W2:W2113""), $A57=IMPORTRANGE(""https://docs.google.com/sp"&amp;"readsheets/d/1qpEmbGH0JjaJbUdp21-y2cPbobDbMjr09BbtdKROZWc/edit#gid=1444865654"",""articles_with_PRISMA_reasons!B2:B2113""))&gt;=2,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$A57=IMPORTRANGE(""https://docs.google.com/spreadsheets/d/1qpEmbGH0JjaJbUdp21-y2cPbobDbMjr09BbtdKROZWc/edit#gid=1444865654"",""articles_with_PRISMA_reasons!B2:B2113""))&lt;2),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$A57=IMPORTRANGE(""https://docs.google.com/spreadsheets/d/1qpEmbGH0JjaJbUdp21-y2cPbobDbMjr09BbtdKROZWc/"&amp;"edit#gid=1444865654"",""articles_with_PRISMA_reasons!B2:B2113""))&lt;2,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$A57=IMPORTRANG"&amp;"E(""https://docs.google.com/spreadsheets/d/1qpEmbGH0JjaJbUdp21-y2cPbobDbMjr09BbtdKROZWc/edit#gid=1444865654"",""articles_with_PRISMA_reasons!B2:B2113""))&gt;=2),
""Exclude""
)"),"Exclude")</f>
        <v>Exclude</v>
      </c>
      <c r="F57" s="5" t="str">
        <f>IFERROR(__xludf.DUMMYFUNCTION("IFS(
E57=""Exclude"",""Exclude"",
AND(
COUNTIF(
IMPORTRANGE(""https://docs.google.com/spreadsheets/d/1kGrh75X1cNR1D7_FcY9zMnHP8iPO4M5RCRjy6nZY0TY/edit#gid=0"",""Table 1: Study characteristics!B4:B171""),A57)&gt;0,
COUNTIF(Studies!$A$2:$A$85,FILTER(IMPORTRANG"&amp;"E(""https://docs.google.com/spreadsheets/d/1kGrh75X1cNR1D7_FcY9zMnHP8iPO4M5RCRjy6nZY0TY/edit#gid=0"",""Table 1: Study characteristics!A4:A171""), $A57=IMPORTRANGE(""https://docs.google.com/spreadsheets/d/1kGrh75X1cNR1D7_FcY9zMnHP8iPO4M5RCRjy6nZY0TY/edit#g"&amp;"id=0"",""Table 1: Study characteristics!B4:B171"")))&gt;0
),
""Include""
)"),"Exclude")</f>
        <v>Exclude</v>
      </c>
      <c r="G57" s="5" t="str">
        <f>IFERROR(__xludf.DUMMYFUNCTION("IFS(
D57=""Exclude"",
FILTER(IMPORTRANGE(""https://docs.google.com/spreadsheets/d/1BJSV3WBYJGRhQ6zExamkszQ5VutGIcaQqmbD9ZTVXMQ/edit#gid=1251630045"",""articles_with_PRISMA_reasons!AB2:AB2113""), $A57=IMPORTRANGE(""https://docs.google.com/spreadsheets/d/1B"&amp;"JSV3WBYJGRhQ6zExamkszQ5VutGIcaQqmbD9ZTVXMQ/edit#gid=1251630045"",""articles_with_PRISMA_reasons!B2:B2113"")),
E57=""Exclude"",
FILTER(IMPORTRANGE(""https://docs.google.com/spreadsheets/d/1qpEmbGH0JjaJbUdp21-y2cPbobDbMjr09BbtdKROZWc/edit#gid=1444865654"","&amp;"""articles_with_PRISMA_reasons!Z2:Z2113""), $A57=IMPORTRANGE(""https://docs.google.com/spreadsheets/d/1qpEmbGH0JjaJbUdp21-y2cPbobDbMjr09BbtdKROZWc/edit#gid=1444865654"",""articles_with_PRISMA_reasons!B2:B2113"")),F57
=""Include"",FILTER(IMPORTRANGE(""http"&amp;"s://docs.google.com/spreadsheets/d/1kGrh75X1cNR1D7_FcY9zMnHP8iPO4M5RCRjy6nZY0TY/edit#gid=0"",""Table 1: Study characteristics!A4:A171""), $A57=IMPORTRANGE(""https://docs.google.com/spreadsheets/d/1kGrh75X1cNR1D7_FcY9zMnHP8iPO4M5RCRjy6nZY0TY/edit#gid=0"","&amp;"""Table 1: Study characteristics!B4:B171""))
)"),"Duplicate")</f>
        <v>Duplicate</v>
      </c>
    </row>
    <row r="58">
      <c r="A58" s="4" t="str">
        <f>IFERROR(__xludf.DUMMYFUNCTION("""COMPUTED_VALUE"""),"[Inspiratory stridor due to vocal cord paralysis in children with myelomeningocele and hydrocephalus]")</f>
        <v>[Inspiratory stridor due to vocal cord paralysis in children with myelomeningocele and hydrocephalus]</v>
      </c>
      <c r="B58" s="5" t="str">
        <f>IFERROR(__xludf.DUMMYFUNCTION("LEFT(FILTER(IMPORTRANGE(""https://docs.google.com/spreadsheets/d/1BJSV3WBYJGRhQ6zExamkszQ5VutGIcaQqmbD9ZTVXMQ/edit#gid=1251630045"",""articles_with_PRISMA_reasons!K2:K2113""), $A58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$A58=IMPORTRANGE(""https://docs.google.com/spreadsheets/d/1BJSV3WBYJGRhQ6zExamkszQ5VutGIcaQqmbD9ZTVXMQ/edit#gid=1251630045"",""articles_with_PRISMA_reasons!B2:B2113"")))-1)"),"Klinkers")</f>
        <v>Klinkers</v>
      </c>
      <c r="C58" s="6">
        <f>IFERROR(__xludf.DUMMYFUNCTION("FILTER(IMPORTRANGE(""https://docs.google.com/spreadsheets/d/1BJSV3WBYJGRhQ6zExamkszQ5VutGIcaQqmbD9ZTVXMQ/edit#gid=1251630045"",""articles_with_PRISMA_reasons!C2:C2113""), $A58=IMPORTRANGE(""https://docs.google.com/spreadsheets/d/1BJSV3WBYJGRhQ6zExamkszQ5V"&amp;"utGIcaQqmbD9ZTVXMQ/edit#gid=1251630045"",""articles_with_PRISMA_reasons!B2:B2113""))"),1982.0)</f>
        <v>1982</v>
      </c>
      <c r="D58" s="5" t="str">
        <f>IFERROR(__xludf.DUMMYFUNCTION("IFS(AND(
FILTER(IMPORTRANGE(""https://docs.google.com/spreadsheets/d/1BJSV3WBYJGRhQ6zExamkszQ5VutGIcaQqmbD9ZTVXMQ/edit#gid=1251630045"",""articles_with_PRISMA_reasons!Y2:Y2113""), $A58=IMPORTRANGE(""https://docs.google.com/spreadsheets/d/1BJSV3WBYJGRhQ6zE"&amp;"xamkszQ5VutGIcaQqmbD9ZTVXMQ/edit#gid=1251630045"",""articles_with_PRISMA_reasons!B2:B2113""))&gt;=2,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$A58=IMPORTRANGE(""https://docs.google.com/spreadsheets/d/1BJSV3WBYJGRhQ6zExamkszQ5VutGIcaQqmbD9ZTVXMQ/edit#gid=1251630045"",""articles_with_PRISMA_reasons!B2:B2113""))&lt;2),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$A58=IMPORTRANGE(""https://docs.google.com/spreadsheets/d/1BJSV3WBYJGRhQ6zExamkszQ5VutGIcaQqmbD9ZTVXMQ/edit#gid=1251630045"",""article"&amp;"s_with_PRISMA_reasons!B2:B2113""))&lt;2,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$A58=IMPORTRANGE(""https://docs.google.com/spr"&amp;"eadsheets/d/1BJSV3WBYJGRhQ6zExamkszQ5VutGIcaQqmbD9ZTVXMQ/edit#gid=1251630045"",""articles_with_PRISMA_reasons!B2:B2113""))&gt;=2),
""Exclude""
)"),"Exclude")</f>
        <v>Exclude</v>
      </c>
      <c r="E58" s="5" t="str">
        <f>IFERROR(__xludf.DUMMYFUNCTION("IFS(
D58=""Exclude"",""Exclude"",
AND(
FILTER(IMPORTRANGE(""https://docs.google.com/spreadsheets/d/1qpEmbGH0JjaJbUdp21-y2cPbobDbMjr09BbtdKROZWc/edit#gid=1444865654"",""articles_with_PRISMA_reasons!W2:W2113""), $A58=IMPORTRANGE(""https://docs.google.com/sp"&amp;"readsheets/d/1qpEmbGH0JjaJbUdp21-y2cPbobDbMjr09BbtdKROZWc/edit#gid=1444865654"",""articles_with_PRISMA_reasons!B2:B2113""))&gt;=2,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$A58=IMPORTRANGE(""https://docs.google.com/spreadsheets/d/1qpEmbGH0JjaJbUdp21-y2cPbobDbMjr09BbtdKROZWc/edit#gid=1444865654"",""articles_with_PRISMA_reasons!B2:B2113""))&lt;2),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$A58=IMPORTRANGE(""https://docs.google.com/spreadsheets/d/1qpEmbGH0JjaJbUdp21-y2cPbobDbMjr09BbtdKROZWc/"&amp;"edit#gid=1444865654"",""articles_with_PRISMA_reasons!B2:B2113""))&lt;2,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$A58=IMPORTRANG"&amp;"E(""https://docs.google.com/spreadsheets/d/1qpEmbGH0JjaJbUdp21-y2cPbobDbMjr09BbtdKROZWc/edit#gid=1444865654"",""articles_with_PRISMA_reasons!B2:B2113""))&gt;=2),
""Exclude""
)"),"Exclude")</f>
        <v>Exclude</v>
      </c>
      <c r="F58" s="5" t="str">
        <f>IFERROR(__xludf.DUMMYFUNCTION("IFS(
E58=""Exclude"",""Exclude"",
AND(
COUNTIF(
IMPORTRANGE(""https://docs.google.com/spreadsheets/d/1kGrh75X1cNR1D7_FcY9zMnHP8iPO4M5RCRjy6nZY0TY/edit#gid=0"",""Table 1: Study characteristics!B4:B171""),A58)&gt;0,
COUNTIF(Studies!$A$2:$A$85,FILTER(IMPORTRANG"&amp;"E(""https://docs.google.com/spreadsheets/d/1kGrh75X1cNR1D7_FcY9zMnHP8iPO4M5RCRjy6nZY0TY/edit#gid=0"",""Table 1: Study characteristics!A4:A171""), $A58=IMPORTRANGE(""https://docs.google.com/spreadsheets/d/1kGrh75X1cNR1D7_FcY9zMnHP8iPO4M5RCRjy6nZY0TY/edit#g"&amp;"id=0"",""Table 1: Study characteristics!B4:B171"")))&gt;0
),
""Include""
)"),"Exclude")</f>
        <v>Exclude</v>
      </c>
      <c r="G58" s="5" t="str">
        <f>IFERROR(__xludf.DUMMYFUNCTION("IFS(
D58=""Exclude"",
FILTER(IMPORTRANGE(""https://docs.google.com/spreadsheets/d/1BJSV3WBYJGRhQ6zExamkszQ5VutGIcaQqmbD9ZTVXMQ/edit#gid=1251630045"",""articles_with_PRISMA_reasons!AB2:AB2113""), $A58=IMPORTRANGE(""https://docs.google.com/spreadsheets/d/1B"&amp;"JSV3WBYJGRhQ6zExamkszQ5VutGIcaQqmbD9ZTVXMQ/edit#gid=1251630045"",""articles_with_PRISMA_reasons!B2:B2113"")),
E58=""Exclude"",
FILTER(IMPORTRANGE(""https://docs.google.com/spreadsheets/d/1qpEmbGH0JjaJbUdp21-y2cPbobDbMjr09BbtdKROZWc/edit#gid=1444865654"","&amp;"""articles_with_PRISMA_reasons!Z2:Z2113""), $A58=IMPORTRANGE(""https://docs.google.com/spreadsheets/d/1qpEmbGH0JjaJbUdp21-y2cPbobDbMjr09BbtdKROZWc/edit#gid=1444865654"",""articles_with_PRISMA_reasons!B2:B2113"")),F58
=""Include"",FILTER(IMPORTRANGE(""http"&amp;"s://docs.google.com/spreadsheets/d/1kGrh75X1cNR1D7_FcY9zMnHP8iPO4M5RCRjy6nZY0TY/edit#gid=0"",""Table 1: Study characteristics!A4:A171""), $A58=IMPORTRANGE(""https://docs.google.com/spreadsheets/d/1kGrh75X1cNR1D7_FcY9zMnHP8iPO4M5RCRjy6nZY0TY/edit#gid=0"","&amp;"""Table 1: Study characteristics!B4:B171""))
)"),"wrong population")</f>
        <v>wrong population</v>
      </c>
    </row>
    <row r="59">
      <c r="A59" s="4" t="str">
        <f>IFERROR(__xludf.DUMMYFUNCTION("""COMPUTED_VALUE"""),"[Interdisciplinary care of children with myelodysplasia in the Department of Rehabilitation of the Hubertusburg Clinic]")</f>
        <v>[Interdisciplinary care of children with myelodysplasia in the Department of Rehabilitation of the Hubertusburg Clinic]</v>
      </c>
      <c r="B59" s="5" t="str">
        <f>IFERROR(__xludf.DUMMYFUNCTION("LEFT(FILTER(IMPORTRANGE(""https://docs.google.com/spreadsheets/d/1BJSV3WBYJGRhQ6zExamkszQ5VutGIcaQqmbD9ZTVXMQ/edit#gid=1251630045"",""articles_with_PRISMA_reasons!K2:K2113""), $A59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$A59=IMPORTRANGE(""https://docs.google.com/spreadsheets/d/1BJSV3WBYJGRhQ6zExamkszQ5VutGIcaQqmbD9ZTVXMQ/edit#gid=1251630045"",""articles_with_PRISMA_reasons!B2:B2113"")))-1)"),"Pinder")</f>
        <v>Pinder</v>
      </c>
      <c r="C59" s="6">
        <f>IFERROR(__xludf.DUMMYFUNCTION("FILTER(IMPORTRANGE(""https://docs.google.com/spreadsheets/d/1BJSV3WBYJGRhQ6zExamkszQ5VutGIcaQqmbD9ZTVXMQ/edit#gid=1251630045"",""articles_with_PRISMA_reasons!C2:C2113""), $A59=IMPORTRANGE(""https://docs.google.com/spreadsheets/d/1BJSV3WBYJGRhQ6zExamkszQ5V"&amp;"utGIcaQqmbD9ZTVXMQ/edit#gid=1251630045"",""articles_with_PRISMA_reasons!B2:B2113""))"),1981.0)</f>
        <v>1981</v>
      </c>
      <c r="D59" s="5" t="str">
        <f>IFERROR(__xludf.DUMMYFUNCTION("IFS(AND(
FILTER(IMPORTRANGE(""https://docs.google.com/spreadsheets/d/1BJSV3WBYJGRhQ6zExamkszQ5VutGIcaQqmbD9ZTVXMQ/edit#gid=1251630045"",""articles_with_PRISMA_reasons!Y2:Y2113""), $A59=IMPORTRANGE(""https://docs.google.com/spreadsheets/d/1BJSV3WBYJGRhQ6zE"&amp;"xamkszQ5VutGIcaQqmbD9ZTVXMQ/edit#gid=1251630045"",""articles_with_PRISMA_reasons!B2:B2113""))&gt;=2,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$A59=IMPORTRANGE(""https://docs.google.com/spreadsheets/d/1BJSV3WBYJGRhQ6zExamkszQ5VutGIcaQqmbD9ZTVXMQ/edit#gid=1251630045"",""articles_with_PRISMA_reasons!B2:B2113""))&lt;2),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$A59=IMPORTRANGE(""https://docs.google.com/spreadsheets/d/1BJSV3WBYJGRhQ6zExamkszQ5VutGIcaQqmbD9ZTVXMQ/edit#gid=1251630045"",""article"&amp;"s_with_PRISMA_reasons!B2:B2113""))&lt;2,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$A59=IMPORTRANGE(""https://docs.google.com/spr"&amp;"eadsheets/d/1BJSV3WBYJGRhQ6zExamkszQ5VutGIcaQqmbD9ZTVXMQ/edit#gid=1251630045"",""articles_with_PRISMA_reasons!B2:B2113""))&gt;=2),
""Exclude""
)"),"Exclude")</f>
        <v>Exclude</v>
      </c>
      <c r="E59" s="5" t="str">
        <f>IFERROR(__xludf.DUMMYFUNCTION("IFS(
D59=""Exclude"",""Exclude"",
AND(
FILTER(IMPORTRANGE(""https://docs.google.com/spreadsheets/d/1qpEmbGH0JjaJbUdp21-y2cPbobDbMjr09BbtdKROZWc/edit#gid=1444865654"",""articles_with_PRISMA_reasons!W2:W2113""), $A59=IMPORTRANGE(""https://docs.google.com/sp"&amp;"readsheets/d/1qpEmbGH0JjaJbUdp21-y2cPbobDbMjr09BbtdKROZWc/edit#gid=1444865654"",""articles_with_PRISMA_reasons!B2:B2113""))&gt;=2,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$A59=IMPORTRANGE(""https://docs.google.com/spreadsheets/d/1qpEmbGH0JjaJbUdp21-y2cPbobDbMjr09BbtdKROZWc/edit#gid=1444865654"",""articles_with_PRISMA_reasons!B2:B2113""))&lt;2),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$A59=IMPORTRANGE(""https://docs.google.com/spreadsheets/d/1qpEmbGH0JjaJbUdp21-y2cPbobDbMjr09BbtdKROZWc/"&amp;"edit#gid=1444865654"",""articles_with_PRISMA_reasons!B2:B2113""))&lt;2,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$A59=IMPORTRANG"&amp;"E(""https://docs.google.com/spreadsheets/d/1qpEmbGH0JjaJbUdp21-y2cPbobDbMjr09BbtdKROZWc/edit#gid=1444865654"",""articles_with_PRISMA_reasons!B2:B2113""))&gt;=2),
""Exclude""
)"),"Exclude")</f>
        <v>Exclude</v>
      </c>
      <c r="F59" s="5" t="str">
        <f>IFERROR(__xludf.DUMMYFUNCTION("IFS(
E59=""Exclude"",""Exclude"",
AND(
COUNTIF(
IMPORTRANGE(""https://docs.google.com/spreadsheets/d/1kGrh75X1cNR1D7_FcY9zMnHP8iPO4M5RCRjy6nZY0TY/edit#gid=0"",""Table 1: Study characteristics!B4:B171""),A59)&gt;0,
COUNTIF(Studies!$A$2:$A$85,FILTER(IMPORTRANG"&amp;"E(""https://docs.google.com/spreadsheets/d/1kGrh75X1cNR1D7_FcY9zMnHP8iPO4M5RCRjy6nZY0TY/edit#gid=0"",""Table 1: Study characteristics!A4:A171""), $A59=IMPORTRANGE(""https://docs.google.com/spreadsheets/d/1kGrh75X1cNR1D7_FcY9zMnHP8iPO4M5RCRjy6nZY0TY/edit#g"&amp;"id=0"",""Table 1: Study characteristics!B4:B171"")))&gt;0
),
""Include""
)"),"Exclude")</f>
        <v>Exclude</v>
      </c>
      <c r="G59" s="5" t="str">
        <f>IFERROR(__xludf.DUMMYFUNCTION("IFS(
D59=""Exclude"",
FILTER(IMPORTRANGE(""https://docs.google.com/spreadsheets/d/1BJSV3WBYJGRhQ6zExamkszQ5VutGIcaQqmbD9ZTVXMQ/edit#gid=1251630045"",""articles_with_PRISMA_reasons!AB2:AB2113""), $A59=IMPORTRANGE(""https://docs.google.com/spreadsheets/d/1B"&amp;"JSV3WBYJGRhQ6zExamkszQ5VutGIcaQqmbD9ZTVXMQ/edit#gid=1251630045"",""articles_with_PRISMA_reasons!B2:B2113"")),
E59=""Exclude"",
FILTER(IMPORTRANGE(""https://docs.google.com/spreadsheets/d/1qpEmbGH0JjaJbUdp21-y2cPbobDbMjr09BbtdKROZWc/edit#gid=1444865654"","&amp;"""articles_with_PRISMA_reasons!Z2:Z2113""), $A59=IMPORTRANGE(""https://docs.google.com/spreadsheets/d/1qpEmbGH0JjaJbUdp21-y2cPbobDbMjr09BbtdKROZWc/edit#gid=1444865654"",""articles_with_PRISMA_reasons!B2:B2113"")),F59
=""Include"",FILTER(IMPORTRANGE(""http"&amp;"s://docs.google.com/spreadsheets/d/1kGrh75X1cNR1D7_FcY9zMnHP8iPO4M5RCRjy6nZY0TY/edit#gid=0"",""Table 1: Study characteristics!A4:A171""), $A59=IMPORTRANGE(""https://docs.google.com/spreadsheets/d/1kGrh75X1cNR1D7_FcY9zMnHP8iPO4M5RCRjy6nZY0TY/edit#gid=0"","&amp;"""Table 1: Study characteristics!B4:B171""))
)"),"wrong study design")</f>
        <v>wrong study design</v>
      </c>
    </row>
    <row r="60">
      <c r="A60" s="4" t="str">
        <f>IFERROR(__xludf.DUMMYFUNCTION("""COMPUTED_VALUE"""),"[Intracranial alterations in infants and small children. Techniques and results of sonography (author's transl)]")</f>
        <v>[Intracranial alterations in infants and small children. Techniques and results of sonography (author's transl)]</v>
      </c>
      <c r="B60" s="5" t="str">
        <f>IFERROR(__xludf.DUMMYFUNCTION("LEFT(FILTER(IMPORTRANGE(""https://docs.google.com/spreadsheets/d/1BJSV3WBYJGRhQ6zExamkszQ5VutGIcaQqmbD9ZTVXMQ/edit#gid=1251630045"",""articles_with_PRISMA_reasons!K2:K2113""), $A60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$A60=IMPORTRANGE(""https://docs.google.com/spreadsheets/d/1BJSV3WBYJGRhQ6zExamkszQ5VutGIcaQqmbD9ZTVXMQ/edit#gid=1251630045"",""articles_with_PRISMA_reasons!B2:B2113"")))-1)"),"Bliesener")</f>
        <v>Bliesener</v>
      </c>
      <c r="C60" s="6">
        <f>IFERROR(__xludf.DUMMYFUNCTION("FILTER(IMPORTRANGE(""https://docs.google.com/spreadsheets/d/1BJSV3WBYJGRhQ6zExamkszQ5VutGIcaQqmbD9ZTVXMQ/edit#gid=1251630045"",""articles_with_PRISMA_reasons!C2:C2113""), $A60=IMPORTRANGE(""https://docs.google.com/spreadsheets/d/1BJSV3WBYJGRhQ6zExamkszQ5V"&amp;"utGIcaQqmbD9ZTVXMQ/edit#gid=1251630045"",""articles_with_PRISMA_reasons!B2:B2113""))"),1981.0)</f>
        <v>1981</v>
      </c>
      <c r="D60" s="5" t="str">
        <f>IFERROR(__xludf.DUMMYFUNCTION("IFS(AND(
FILTER(IMPORTRANGE(""https://docs.google.com/spreadsheets/d/1BJSV3WBYJGRhQ6zExamkszQ5VutGIcaQqmbD9ZTVXMQ/edit#gid=1251630045"",""articles_with_PRISMA_reasons!Y2:Y2113""), $A60=IMPORTRANGE(""https://docs.google.com/spreadsheets/d/1BJSV3WBYJGRhQ6zE"&amp;"xamkszQ5VutGIcaQqmbD9ZTVXMQ/edit#gid=1251630045"",""articles_with_PRISMA_reasons!B2:B2113""))&gt;=2,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$A60=IMPORTRANGE(""https://docs.google.com/spreadsheets/d/1BJSV3WBYJGRhQ6zExamkszQ5VutGIcaQqmbD9ZTVXMQ/edit#gid=1251630045"",""articles_with_PRISMA_reasons!B2:B2113""))&lt;2),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$A60=IMPORTRANGE(""https://docs.google.com/spreadsheets/d/1BJSV3WBYJGRhQ6zExamkszQ5VutGIcaQqmbD9ZTVXMQ/edit#gid=1251630045"",""article"&amp;"s_with_PRISMA_reasons!B2:B2113""))&lt;2,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$A60=IMPORTRANGE(""https://docs.google.com/spr"&amp;"eadsheets/d/1BJSV3WBYJGRhQ6zExamkszQ5VutGIcaQqmbD9ZTVXMQ/edit#gid=1251630045"",""articles_with_PRISMA_reasons!B2:B2113""))&gt;=2),
""Exclude""
)"),"Exclude")</f>
        <v>Exclude</v>
      </c>
      <c r="E60" s="5" t="str">
        <f>IFERROR(__xludf.DUMMYFUNCTION("IFS(
D60=""Exclude"",""Exclude"",
AND(
FILTER(IMPORTRANGE(""https://docs.google.com/spreadsheets/d/1qpEmbGH0JjaJbUdp21-y2cPbobDbMjr09BbtdKROZWc/edit#gid=1444865654"",""articles_with_PRISMA_reasons!W2:W2113""), $A60=IMPORTRANGE(""https://docs.google.com/sp"&amp;"readsheets/d/1qpEmbGH0JjaJbUdp21-y2cPbobDbMjr09BbtdKROZWc/edit#gid=1444865654"",""articles_with_PRISMA_reasons!B2:B2113""))&gt;=2,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$A60=IMPORTRANGE(""https://docs.google.com/spreadsheets/d/1qpEmbGH0JjaJbUdp21-y2cPbobDbMjr09BbtdKROZWc/edit#gid=1444865654"",""articles_with_PRISMA_reasons!B2:B2113""))&lt;2),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$A60=IMPORTRANGE(""https://docs.google.com/spreadsheets/d/1qpEmbGH0JjaJbUdp21-y2cPbobDbMjr09BbtdKROZWc/"&amp;"edit#gid=1444865654"",""articles_with_PRISMA_reasons!B2:B2113""))&lt;2,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$A60=IMPORTRANG"&amp;"E(""https://docs.google.com/spreadsheets/d/1qpEmbGH0JjaJbUdp21-y2cPbobDbMjr09BbtdKROZWc/edit#gid=1444865654"",""articles_with_PRISMA_reasons!B2:B2113""))&gt;=2),
""Exclude""
)"),"Exclude")</f>
        <v>Exclude</v>
      </c>
      <c r="F60" s="5" t="str">
        <f>IFERROR(__xludf.DUMMYFUNCTION("IFS(
E60=""Exclude"",""Exclude"",
AND(
COUNTIF(
IMPORTRANGE(""https://docs.google.com/spreadsheets/d/1kGrh75X1cNR1D7_FcY9zMnHP8iPO4M5RCRjy6nZY0TY/edit#gid=0"",""Table 1: Study characteristics!B4:B171""),A60)&gt;0,
COUNTIF(Studies!$A$2:$A$85,FILTER(IMPORTRANG"&amp;"E(""https://docs.google.com/spreadsheets/d/1kGrh75X1cNR1D7_FcY9zMnHP8iPO4M5RCRjy6nZY0TY/edit#gid=0"",""Table 1: Study characteristics!A4:A171""), $A60=IMPORTRANGE(""https://docs.google.com/spreadsheets/d/1kGrh75X1cNR1D7_FcY9zMnHP8iPO4M5RCRjy6nZY0TY/edit#g"&amp;"id=0"",""Table 1: Study characteristics!B4:B171"")))&gt;0
),
""Include""
)"),"Exclude")</f>
        <v>Exclude</v>
      </c>
      <c r="G60" s="5" t="str">
        <f>IFERROR(__xludf.DUMMYFUNCTION("IFS(
D60=""Exclude"",
FILTER(IMPORTRANGE(""https://docs.google.com/spreadsheets/d/1BJSV3WBYJGRhQ6zExamkszQ5VutGIcaQqmbD9ZTVXMQ/edit#gid=1251630045"",""articles_with_PRISMA_reasons!AB2:AB2113""), $A60=IMPORTRANGE(""https://docs.google.com/spreadsheets/d/1B"&amp;"JSV3WBYJGRhQ6zExamkszQ5VutGIcaQqmbD9ZTVXMQ/edit#gid=1251630045"",""articles_with_PRISMA_reasons!B2:B2113"")),
E60=""Exclude"",
FILTER(IMPORTRANGE(""https://docs.google.com/spreadsheets/d/1qpEmbGH0JjaJbUdp21-y2cPbobDbMjr09BbtdKROZWc/edit#gid=1444865654"","&amp;"""articles_with_PRISMA_reasons!Z2:Z2113""), $A60=IMPORTRANGE(""https://docs.google.com/spreadsheets/d/1qpEmbGH0JjaJbUdp21-y2cPbobDbMjr09BbtdKROZWc/edit#gid=1444865654"",""articles_with_PRISMA_reasons!B2:B2113"")),F60
=""Include"",FILTER(IMPORTRANGE(""http"&amp;"s://docs.google.com/spreadsheets/d/1kGrh75X1cNR1D7_FcY9zMnHP8iPO4M5RCRjy6nZY0TY/edit#gid=0"",""Table 1: Study characteristics!A4:A171""), $A60=IMPORTRANGE(""https://docs.google.com/spreadsheets/d/1kGrh75X1cNR1D7_FcY9zMnHP8iPO4M5RCRjy6nZY0TY/edit#gid=0"","&amp;"""Table 1: Study characteristics!B4:B171""))
)"),"wrong population")</f>
        <v>wrong population</v>
      </c>
    </row>
    <row r="61">
      <c r="A61" s="4" t="str">
        <f>IFERROR(__xludf.DUMMYFUNCTION("""COMPUTED_VALUE"""),"[Justification of the early treatment of open myelomeningoceles]")</f>
        <v>[Justification of the early treatment of open myelomeningoceles]</v>
      </c>
      <c r="B61" s="5" t="str">
        <f>IFERROR(__xludf.DUMMYFUNCTION("LEFT(FILTER(IMPORTRANGE(""https://docs.google.com/spreadsheets/d/1BJSV3WBYJGRhQ6zExamkszQ5VutGIcaQqmbD9ZTVXMQ/edit#gid=1251630045"",""articles_with_PRISMA_reasons!K2:K2113""), $A61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$A61=IMPORTRANGE(""https://docs.google.com/spreadsheets/d/1BJSV3WBYJGRhQ6zExamkszQ5VutGIcaQqmbD9ZTVXMQ/edit#gid=1251630045"",""articles_with_PRISMA_reasons!B2:B2113"")))-1)"),"Berney")</f>
        <v>Berney</v>
      </c>
      <c r="C61" s="6" t="str">
        <f>IFERROR(__xludf.DUMMYFUNCTION("FILTER(IMPORTRANGE(""https://docs.google.com/spreadsheets/d/1BJSV3WBYJGRhQ6zExamkszQ5VutGIcaQqmbD9ZTVXMQ/edit#gid=1251630045"",""articles_with_PRISMA_reasons!C2:C2113""), $A61=IMPORTRANGE(""https://docs.google.com/spreadsheets/d/1BJSV3WBYJGRhQ6zExamkszQ5V"&amp;"utGIcaQqmbD9ZTVXMQ/edit#gid=1251630045"",""articles_with_PRISMA_reasons!B2:B2113""))"),"Mar")</f>
        <v>Mar</v>
      </c>
      <c r="D61" s="5" t="str">
        <f>IFERROR(__xludf.DUMMYFUNCTION("IFS(AND(
FILTER(IMPORTRANGE(""https://docs.google.com/spreadsheets/d/1BJSV3WBYJGRhQ6zExamkszQ5VutGIcaQqmbD9ZTVXMQ/edit#gid=1251630045"",""articles_with_PRISMA_reasons!Y2:Y2113""), $A61=IMPORTRANGE(""https://docs.google.com/spreadsheets/d/1BJSV3WBYJGRhQ6zE"&amp;"xamkszQ5VutGIcaQqmbD9ZTVXMQ/edit#gid=1251630045"",""articles_with_PRISMA_reasons!B2:B2113""))&gt;=2,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$A61=IMPORTRANGE(""https://docs.google.com/spreadsheets/d/1BJSV3WBYJGRhQ6zExamkszQ5VutGIcaQqmbD9ZTVXMQ/edit#gid=1251630045"",""articles_with_PRISMA_reasons!B2:B2113""))&lt;2),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$A61=IMPORTRANGE(""https://docs.google.com/spreadsheets/d/1BJSV3WBYJGRhQ6zExamkszQ5VutGIcaQqmbD9ZTVXMQ/edit#gid=1251630045"",""article"&amp;"s_with_PRISMA_reasons!B2:B2113""))&lt;2,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$A61=IMPORTRANGE(""https://docs.google.com/spr"&amp;"eadsheets/d/1BJSV3WBYJGRhQ6zExamkszQ5VutGIcaQqmbD9ZTVXMQ/edit#gid=1251630045"",""articles_with_PRISMA_reasons!B2:B2113""))&gt;=2),
""Exclude""
)"),"Exclude")</f>
        <v>Exclude</v>
      </c>
      <c r="E61" s="5" t="str">
        <f>IFERROR(__xludf.DUMMYFUNCTION("IFS(
D61=""Exclude"",""Exclude"",
AND(
FILTER(IMPORTRANGE(""https://docs.google.com/spreadsheets/d/1qpEmbGH0JjaJbUdp21-y2cPbobDbMjr09BbtdKROZWc/edit#gid=1444865654"",""articles_with_PRISMA_reasons!W2:W2113""), $A61=IMPORTRANGE(""https://docs.google.com/sp"&amp;"readsheets/d/1qpEmbGH0JjaJbUdp21-y2cPbobDbMjr09BbtdKROZWc/edit#gid=1444865654"",""articles_with_PRISMA_reasons!B2:B2113""))&gt;=2,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$A61=IMPORTRANGE(""https://docs.google.com/spreadsheets/d/1qpEmbGH0JjaJbUdp21-y2cPbobDbMjr09BbtdKROZWc/edit#gid=1444865654"",""articles_with_PRISMA_reasons!B2:B2113""))&lt;2),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$A61=IMPORTRANGE(""https://docs.google.com/spreadsheets/d/1qpEmbGH0JjaJbUdp21-y2cPbobDbMjr09BbtdKROZWc/"&amp;"edit#gid=1444865654"",""articles_with_PRISMA_reasons!B2:B2113""))&lt;2,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$A61=IMPORTRANG"&amp;"E(""https://docs.google.com/spreadsheets/d/1qpEmbGH0JjaJbUdp21-y2cPbobDbMjr09BbtdKROZWc/edit#gid=1444865654"",""articles_with_PRISMA_reasons!B2:B2113""))&gt;=2),
""Exclude""
)"),"Exclude")</f>
        <v>Exclude</v>
      </c>
      <c r="F61" s="5" t="str">
        <f>IFERROR(__xludf.DUMMYFUNCTION("IFS(
E61=""Exclude"",""Exclude"",
AND(
COUNTIF(
IMPORTRANGE(""https://docs.google.com/spreadsheets/d/1kGrh75X1cNR1D7_FcY9zMnHP8iPO4M5RCRjy6nZY0TY/edit#gid=0"",""Table 1: Study characteristics!B4:B171""),A61)&gt;0,
COUNTIF(Studies!$A$2:$A$85,FILTER(IMPORTRANG"&amp;"E(""https://docs.google.com/spreadsheets/d/1kGrh75X1cNR1D7_FcY9zMnHP8iPO4M5RCRjy6nZY0TY/edit#gid=0"",""Table 1: Study characteristics!A4:A171""), $A61=IMPORTRANGE(""https://docs.google.com/spreadsheets/d/1kGrh75X1cNR1D7_FcY9zMnHP8iPO4M5RCRjy6nZY0TY/edit#g"&amp;"id=0"",""Table 1: Study characteristics!B4:B171"")))&gt;0
),
""Include""
)"),"Exclude")</f>
        <v>Exclude</v>
      </c>
      <c r="G61" s="5" t="str">
        <f>IFERROR(__xludf.DUMMYFUNCTION("IFS(
D61=""Exclude"",
FILTER(IMPORTRANGE(""https://docs.google.com/spreadsheets/d/1BJSV3WBYJGRhQ6zExamkszQ5VutGIcaQqmbD9ZTVXMQ/edit#gid=1251630045"",""articles_with_PRISMA_reasons!AB2:AB2113""), $A61=IMPORTRANGE(""https://docs.google.com/spreadsheets/d/1B"&amp;"JSV3WBYJGRhQ6zExamkszQ5VutGIcaQqmbD9ZTVXMQ/edit#gid=1251630045"",""articles_with_PRISMA_reasons!B2:B2113"")),
E61=""Exclude"",
FILTER(IMPORTRANGE(""https://docs.google.com/spreadsheets/d/1qpEmbGH0JjaJbUdp21-y2cPbobDbMjr09BbtdKROZWc/edit#gid=1444865654"","&amp;"""articles_with_PRISMA_reasons!Z2:Z2113""), $A61=IMPORTRANGE(""https://docs.google.com/spreadsheets/d/1qpEmbGH0JjaJbUdp21-y2cPbobDbMjr09BbtdKROZWc/edit#gid=1444865654"",""articles_with_PRISMA_reasons!B2:B2113"")),F61
=""Include"",FILTER(IMPORTRANGE(""http"&amp;"s://docs.google.com/spreadsheets/d/1kGrh75X1cNR1D7_FcY9zMnHP8iPO4M5RCRjy6nZY0TY/edit#gid=0"",""Table 1: Study characteristics!A4:A171""), $A61=IMPORTRANGE(""https://docs.google.com/spreadsheets/d/1kGrh75X1cNR1D7_FcY9zMnHP8iPO4M5RCRjy6nZY0TY/edit#gid=0"","&amp;"""Table 1: Study characteristics!B4:B171""))
)"),"no full text")</f>
        <v>no full text</v>
      </c>
    </row>
    <row r="62">
      <c r="A62" s="4" t="str">
        <f>IFERROR(__xludf.DUMMYFUNCTION("""COMPUTED_VALUE"""),"[Laryngo-pharyngeal paralysis. Complications during the course of myelomeningoceles]")</f>
        <v>[Laryngo-pharyngeal paralysis. Complications during the course of myelomeningoceles]</v>
      </c>
      <c r="B62" s="5" t="str">
        <f>IFERROR(__xludf.DUMMYFUNCTION("LEFT(FILTER(IMPORTRANGE(""https://docs.google.com/spreadsheets/d/1BJSV3WBYJGRhQ6zExamkszQ5VutGIcaQqmbD9ZTVXMQ/edit#gid=1251630045"",""articles_with_PRISMA_reasons!K2:K2113""), $A62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$A62=IMPORTRANGE(""https://docs.google.com/spreadsheets/d/1BJSV3WBYJGRhQ6zExamkszQ5VutGIcaQqmbD9ZTVXMQ/edit#gid=1251630045"",""articles_with_PRISMA_reasons!B2:B2113"")))-1)"),"Jehan")</f>
        <v>Jehan</v>
      </c>
      <c r="C62" s="6">
        <f>IFERROR(__xludf.DUMMYFUNCTION("FILTER(IMPORTRANGE(""https://docs.google.com/spreadsheets/d/1BJSV3WBYJGRhQ6zExamkszQ5VutGIcaQqmbD9ZTVXMQ/edit#gid=1251630045"",""articles_with_PRISMA_reasons!C2:C2113""), $A62=IMPORTRANGE(""https://docs.google.com/spreadsheets/d/1BJSV3WBYJGRhQ6zExamkszQ5V"&amp;"utGIcaQqmbD9ZTVXMQ/edit#gid=1251630045"",""articles_with_PRISMA_reasons!B2:B2113""))"),1975.0)</f>
        <v>1975</v>
      </c>
      <c r="D62" s="5" t="str">
        <f>IFERROR(__xludf.DUMMYFUNCTION("IFS(AND(
FILTER(IMPORTRANGE(""https://docs.google.com/spreadsheets/d/1BJSV3WBYJGRhQ6zExamkszQ5VutGIcaQqmbD9ZTVXMQ/edit#gid=1251630045"",""articles_with_PRISMA_reasons!Y2:Y2113""), $A62=IMPORTRANGE(""https://docs.google.com/spreadsheets/d/1BJSV3WBYJGRhQ6zE"&amp;"xamkszQ5VutGIcaQqmbD9ZTVXMQ/edit#gid=1251630045"",""articles_with_PRISMA_reasons!B2:B2113""))&gt;=2,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$A62=IMPORTRANGE(""https://docs.google.com/spreadsheets/d/1BJSV3WBYJGRhQ6zExamkszQ5VutGIcaQqmbD9ZTVXMQ/edit#gid=1251630045"",""articles_with_PRISMA_reasons!B2:B2113""))&lt;2),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$A62=IMPORTRANGE(""https://docs.google.com/spreadsheets/d/1BJSV3WBYJGRhQ6zExamkszQ5VutGIcaQqmbD9ZTVXMQ/edit#gid=1251630045"",""article"&amp;"s_with_PRISMA_reasons!B2:B2113""))&lt;2,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$A62=IMPORTRANGE(""https://docs.google.com/spr"&amp;"eadsheets/d/1BJSV3WBYJGRhQ6zExamkszQ5VutGIcaQqmbD9ZTVXMQ/edit#gid=1251630045"",""articles_with_PRISMA_reasons!B2:B2113""))&gt;=2),
""Exclude""
)"),"Exclude")</f>
        <v>Exclude</v>
      </c>
      <c r="E62" s="5" t="str">
        <f>IFERROR(__xludf.DUMMYFUNCTION("IFS(
D62=""Exclude"",""Exclude"",
AND(
FILTER(IMPORTRANGE(""https://docs.google.com/spreadsheets/d/1qpEmbGH0JjaJbUdp21-y2cPbobDbMjr09BbtdKROZWc/edit#gid=1444865654"",""articles_with_PRISMA_reasons!W2:W2113""), $A62=IMPORTRANGE(""https://docs.google.com/sp"&amp;"readsheets/d/1qpEmbGH0JjaJbUdp21-y2cPbobDbMjr09BbtdKROZWc/edit#gid=1444865654"",""articles_with_PRISMA_reasons!B2:B2113""))&gt;=2,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$A62=IMPORTRANGE(""https://docs.google.com/spreadsheets/d/1qpEmbGH0JjaJbUdp21-y2cPbobDbMjr09BbtdKROZWc/edit#gid=1444865654"",""articles_with_PRISMA_reasons!B2:B2113""))&lt;2),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$A62=IMPORTRANGE(""https://docs.google.com/spreadsheets/d/1qpEmbGH0JjaJbUdp21-y2cPbobDbMjr09BbtdKROZWc/"&amp;"edit#gid=1444865654"",""articles_with_PRISMA_reasons!B2:B2113""))&lt;2,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$A62=IMPORTRANG"&amp;"E(""https://docs.google.com/spreadsheets/d/1qpEmbGH0JjaJbUdp21-y2cPbobDbMjr09BbtdKROZWc/edit#gid=1444865654"",""articles_with_PRISMA_reasons!B2:B2113""))&gt;=2),
""Exclude""
)"),"Exclude")</f>
        <v>Exclude</v>
      </c>
      <c r="F62" s="5" t="str">
        <f>IFERROR(__xludf.DUMMYFUNCTION("IFS(
E62=""Exclude"",""Exclude"",
AND(
COUNTIF(
IMPORTRANGE(""https://docs.google.com/spreadsheets/d/1kGrh75X1cNR1D7_FcY9zMnHP8iPO4M5RCRjy6nZY0TY/edit#gid=0"",""Table 1: Study characteristics!B4:B171""),A62)&gt;0,
COUNTIF(Studies!$A$2:$A$85,FILTER(IMPORTRANG"&amp;"E(""https://docs.google.com/spreadsheets/d/1kGrh75X1cNR1D7_FcY9zMnHP8iPO4M5RCRjy6nZY0TY/edit#gid=0"",""Table 1: Study characteristics!A4:A171""), $A62=IMPORTRANGE(""https://docs.google.com/spreadsheets/d/1kGrh75X1cNR1D7_FcY9zMnHP8iPO4M5RCRjy6nZY0TY/edit#g"&amp;"id=0"",""Table 1: Study characteristics!B4:B171"")))&gt;0
),
""Include""
)"),"Exclude")</f>
        <v>Exclude</v>
      </c>
      <c r="G62" s="5" t="str">
        <f>IFERROR(__xludf.DUMMYFUNCTION("IFS(
D62=""Exclude"",
FILTER(IMPORTRANGE(""https://docs.google.com/spreadsheets/d/1BJSV3WBYJGRhQ6zExamkszQ5VutGIcaQqmbD9ZTVXMQ/edit#gid=1251630045"",""articles_with_PRISMA_reasons!AB2:AB2113""), $A62=IMPORTRANGE(""https://docs.google.com/spreadsheets/d/1B"&amp;"JSV3WBYJGRhQ6zExamkszQ5VutGIcaQqmbD9ZTVXMQ/edit#gid=1251630045"",""articles_with_PRISMA_reasons!B2:B2113"")),
E62=""Exclude"",
FILTER(IMPORTRANGE(""https://docs.google.com/spreadsheets/d/1qpEmbGH0JjaJbUdp21-y2cPbobDbMjr09BbtdKROZWc/edit#gid=1444865654"","&amp;"""articles_with_PRISMA_reasons!Z2:Z2113""), $A62=IMPORTRANGE(""https://docs.google.com/spreadsheets/d/1qpEmbGH0JjaJbUdp21-y2cPbobDbMjr09BbtdKROZWc/edit#gid=1444865654"",""articles_with_PRISMA_reasons!B2:B2113"")),F62
=""Include"",FILTER(IMPORTRANGE(""http"&amp;"s://docs.google.com/spreadsheets/d/1kGrh75X1cNR1D7_FcY9zMnHP8iPO4M5RCRjy6nZY0TY/edit#gid=0"",""Table 1: Study characteristics!A4:A171""), $A62=IMPORTRANGE(""https://docs.google.com/spreadsheets/d/1kGrh75X1cNR1D7_FcY9zMnHP8iPO4M5RCRjy6nZY0TY/edit#gid=0"","&amp;"""Table 1: Study characteristics!B4:B171""))
)"),"wrong study design")</f>
        <v>wrong study design</v>
      </c>
    </row>
    <row r="63">
      <c r="A63" s="4" t="str">
        <f>IFERROR(__xludf.DUMMYFUNCTION("""COMPUTED_VALUE"""),"[LATE PROGNOSIS IN CHILDREN WITH SURGICALLY TREATED MENINGOMYELOCELE]")</f>
        <v>[LATE PROGNOSIS IN CHILDREN WITH SURGICALLY TREATED MENINGOMYELOCELE]</v>
      </c>
      <c r="B63" s="5" t="str">
        <f>IFERROR(__xludf.DUMMYFUNCTION("LEFT(FILTER(IMPORTRANGE(""https://docs.google.com/spreadsheets/d/1BJSV3WBYJGRhQ6zExamkszQ5VutGIcaQqmbD9ZTVXMQ/edit#gid=1251630045"",""articles_with_PRISMA_reasons!K2:K2113""), $A63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$A63=IMPORTRANGE(""https://docs.google.com/spreadsheets/d/1BJSV3WBYJGRhQ6zExamkszQ5VutGIcaQqmbD9ZTVXMQ/edit#gid=1251630045"",""articles_with_PRISMA_reasons!B2:B2113"")))-1)"),"Lagrange")</f>
        <v>Lagrange</v>
      </c>
      <c r="C63" s="6">
        <f>IFERROR(__xludf.DUMMYFUNCTION("FILTER(IMPORTRANGE(""https://docs.google.com/spreadsheets/d/1BJSV3WBYJGRhQ6zExamkszQ5VutGIcaQqmbD9ZTVXMQ/edit#gid=1251630045"",""articles_with_PRISMA_reasons!C2:C2113""), $A63=IMPORTRANGE(""https://docs.google.com/spreadsheets/d/1BJSV3WBYJGRhQ6zExamkszQ5V"&amp;"utGIcaQqmbD9ZTVXMQ/edit#gid=1251630045"",""articles_with_PRISMA_reasons!B2:B2113""))"),1964.0)</f>
        <v>1964</v>
      </c>
      <c r="D63" s="5" t="str">
        <f>IFERROR(__xludf.DUMMYFUNCTION("IFS(AND(
FILTER(IMPORTRANGE(""https://docs.google.com/spreadsheets/d/1BJSV3WBYJGRhQ6zExamkszQ5VutGIcaQqmbD9ZTVXMQ/edit#gid=1251630045"",""articles_with_PRISMA_reasons!Y2:Y2113""), $A63=IMPORTRANGE(""https://docs.google.com/spreadsheets/d/1BJSV3WBYJGRhQ6zE"&amp;"xamkszQ5VutGIcaQqmbD9ZTVXMQ/edit#gid=1251630045"",""articles_with_PRISMA_reasons!B2:B2113""))&gt;=2,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$A63=IMPORTRANGE(""https://docs.google.com/spreadsheets/d/1BJSV3WBYJGRhQ6zExamkszQ5VutGIcaQqmbD9ZTVXMQ/edit#gid=1251630045"",""articles_with_PRISMA_reasons!B2:B2113""))&lt;2),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$A63=IMPORTRANGE(""https://docs.google.com/spreadsheets/d/1BJSV3WBYJGRhQ6zExamkszQ5VutGIcaQqmbD9ZTVXMQ/edit#gid=1251630045"",""article"&amp;"s_with_PRISMA_reasons!B2:B2113""))&lt;2,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$A63=IMPORTRANGE(""https://docs.google.com/spr"&amp;"eadsheets/d/1BJSV3WBYJGRhQ6zExamkszQ5VutGIcaQqmbD9ZTVXMQ/edit#gid=1251630045"",""articles_with_PRISMA_reasons!B2:B2113""))&gt;=2),
""Exclude""
)"),"Exclude")</f>
        <v>Exclude</v>
      </c>
      <c r="E63" s="5" t="str">
        <f>IFERROR(__xludf.DUMMYFUNCTION("IFS(
D63=""Exclude"",""Exclude"",
AND(
FILTER(IMPORTRANGE(""https://docs.google.com/spreadsheets/d/1qpEmbGH0JjaJbUdp21-y2cPbobDbMjr09BbtdKROZWc/edit#gid=1444865654"",""articles_with_PRISMA_reasons!W2:W2113""), $A63=IMPORTRANGE(""https://docs.google.com/sp"&amp;"readsheets/d/1qpEmbGH0JjaJbUdp21-y2cPbobDbMjr09BbtdKROZWc/edit#gid=1444865654"",""articles_with_PRISMA_reasons!B2:B2113""))&gt;=2,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$A63=IMPORTRANGE(""https://docs.google.com/spreadsheets/d/1qpEmbGH0JjaJbUdp21-y2cPbobDbMjr09BbtdKROZWc/edit#gid=1444865654"",""articles_with_PRISMA_reasons!B2:B2113""))&lt;2),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$A63=IMPORTRANGE(""https://docs.google.com/spreadsheets/d/1qpEmbGH0JjaJbUdp21-y2cPbobDbMjr09BbtdKROZWc/"&amp;"edit#gid=1444865654"",""articles_with_PRISMA_reasons!B2:B2113""))&lt;2,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$A63=IMPORTRANG"&amp;"E(""https://docs.google.com/spreadsheets/d/1qpEmbGH0JjaJbUdp21-y2cPbobDbMjr09BbtdKROZWc/edit#gid=1444865654"",""articles_with_PRISMA_reasons!B2:B2113""))&gt;=2),
""Exclude""
)"),"Exclude")</f>
        <v>Exclude</v>
      </c>
      <c r="F63" s="5" t="str">
        <f>IFERROR(__xludf.DUMMYFUNCTION("IFS(
E63=""Exclude"",""Exclude"",
AND(
COUNTIF(
IMPORTRANGE(""https://docs.google.com/spreadsheets/d/1kGrh75X1cNR1D7_FcY9zMnHP8iPO4M5RCRjy6nZY0TY/edit#gid=0"",""Table 1: Study characteristics!B4:B171""),A63)&gt;0,
COUNTIF(Studies!$A$2:$A$85,FILTER(IMPORTRANG"&amp;"E(""https://docs.google.com/spreadsheets/d/1kGrh75X1cNR1D7_FcY9zMnHP8iPO4M5RCRjy6nZY0TY/edit#gid=0"",""Table 1: Study characteristics!A4:A171""), $A63=IMPORTRANGE(""https://docs.google.com/spreadsheets/d/1kGrh75X1cNR1D7_FcY9zMnHP8iPO4M5RCRjy6nZY0TY/edit#g"&amp;"id=0"",""Table 1: Study characteristics!B4:B171"")))&gt;0
),
""Include""
)"),"Exclude")</f>
        <v>Exclude</v>
      </c>
      <c r="G63" s="5" t="str">
        <f>IFERROR(__xludf.DUMMYFUNCTION("IFS(
D63=""Exclude"",
FILTER(IMPORTRANGE(""https://docs.google.com/spreadsheets/d/1BJSV3WBYJGRhQ6zExamkszQ5VutGIcaQqmbD9ZTVXMQ/edit#gid=1251630045"",""articles_with_PRISMA_reasons!AB2:AB2113""), $A63=IMPORTRANGE(""https://docs.google.com/spreadsheets/d/1B"&amp;"JSV3WBYJGRhQ6zExamkszQ5VutGIcaQqmbD9ZTVXMQ/edit#gid=1251630045"",""articles_with_PRISMA_reasons!B2:B2113"")),
E63=""Exclude"",
FILTER(IMPORTRANGE(""https://docs.google.com/spreadsheets/d/1qpEmbGH0JjaJbUdp21-y2cPbobDbMjr09BbtdKROZWc/edit#gid=1444865654"","&amp;"""articles_with_PRISMA_reasons!Z2:Z2113""), $A63=IMPORTRANGE(""https://docs.google.com/spreadsheets/d/1qpEmbGH0JjaJbUdp21-y2cPbobDbMjr09BbtdKROZWc/edit#gid=1444865654"",""articles_with_PRISMA_reasons!B2:B2113"")),F63
=""Include"",FILTER(IMPORTRANGE(""http"&amp;"s://docs.google.com/spreadsheets/d/1kGrh75X1cNR1D7_FcY9zMnHP8iPO4M5RCRjy6nZY0TY/edit#gid=0"",""Table 1: Study characteristics!A4:A171""), $A63=IMPORTRANGE(""https://docs.google.com/spreadsheets/d/1kGrh75X1cNR1D7_FcY9zMnHP8iPO4M5RCRjy6nZY0TY/edit#gid=0"","&amp;"""Table 1: Study characteristics!B4:B171""))
)"),"wrong population")</f>
        <v>wrong population</v>
      </c>
    </row>
    <row r="64">
      <c r="A64" s="4" t="str">
        <f>IFERROR(__xludf.DUMMYFUNCTION("""COMPUTED_VALUE"""),"[Late results in surgically managed myelomeningoceles]")</f>
        <v>[Late results in surgically managed myelomeningoceles]</v>
      </c>
      <c r="B64" s="5" t="str">
        <f>IFERROR(__xludf.DUMMYFUNCTION("LEFT(FILTER(IMPORTRANGE(""https://docs.google.com/spreadsheets/d/1BJSV3WBYJGRhQ6zExamkszQ5VutGIcaQqmbD9ZTVXMQ/edit#gid=1251630045"",""articles_with_PRISMA_reasons!K2:K2113""), $A64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$A64=IMPORTRANGE(""https://docs.google.com/spreadsheets/d/1BJSV3WBYJGRhQ6zExamkszQ5VutGIcaQqmbD9ZTVXMQ/edit#gid=1251630045"",""articles_with_PRISMA_reasons!B2:B2113"")))-1)"),"Reinhardt-Bertsch")</f>
        <v>Reinhardt-Bertsch</v>
      </c>
      <c r="C64" s="6" t="str">
        <f>IFERROR(__xludf.DUMMYFUNCTION("FILTER(IMPORTRANGE(""https://docs.google.com/spreadsheets/d/1BJSV3WBYJGRhQ6zExamkszQ5VutGIcaQqmbD9ZTVXMQ/edit#gid=1251630045"",""articles_with_PRISMA_reasons!C2:C2113""), $A64=IMPORTRANGE(""https://docs.google.com/spreadsheets/d/1BJSV3WBYJGRhQ6zExamkszQ5V"&amp;"utGIcaQqmbD9ZTVXMQ/edit#gid=1251630045"",""articles_with_PRISMA_reasons!B2:B2113""))"),"Mar")</f>
        <v>Mar</v>
      </c>
      <c r="D64" s="5" t="str">
        <f>IFERROR(__xludf.DUMMYFUNCTION("IFS(AND(
FILTER(IMPORTRANGE(""https://docs.google.com/spreadsheets/d/1BJSV3WBYJGRhQ6zExamkszQ5VutGIcaQqmbD9ZTVXMQ/edit#gid=1251630045"",""articles_with_PRISMA_reasons!Y2:Y2113""), $A64=IMPORTRANGE(""https://docs.google.com/spreadsheets/d/1BJSV3WBYJGRhQ6zE"&amp;"xamkszQ5VutGIcaQqmbD9ZTVXMQ/edit#gid=1251630045"",""articles_with_PRISMA_reasons!B2:B2113""))&gt;=2,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$A64=IMPORTRANGE(""https://docs.google.com/spreadsheets/d/1BJSV3WBYJGRhQ6zExamkszQ5VutGIcaQqmbD9ZTVXMQ/edit#gid=1251630045"",""articles_with_PRISMA_reasons!B2:B2113""))&lt;2),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$A64=IMPORTRANGE(""https://docs.google.com/spreadsheets/d/1BJSV3WBYJGRhQ6zExamkszQ5VutGIcaQqmbD9ZTVXMQ/edit#gid=1251630045"",""article"&amp;"s_with_PRISMA_reasons!B2:B2113""))&lt;2,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$A64=IMPORTRANGE(""https://docs.google.com/spr"&amp;"eadsheets/d/1BJSV3WBYJGRhQ6zExamkszQ5VutGIcaQqmbD9ZTVXMQ/edit#gid=1251630045"",""articles_with_PRISMA_reasons!B2:B2113""))&gt;=2),
""Exclude""
)"),"Include")</f>
        <v>Include</v>
      </c>
      <c r="E64" s="5" t="str">
        <f>IFERROR(__xludf.DUMMYFUNCTION("IFS(
D64=""Exclude"",""Exclude"",
AND(
FILTER(IMPORTRANGE(""https://docs.google.com/spreadsheets/d/1qpEmbGH0JjaJbUdp21-y2cPbobDbMjr09BbtdKROZWc/edit#gid=1444865654"",""articles_with_PRISMA_reasons!W2:W2113""), $A64=IMPORTRANGE(""https://docs.google.com/sp"&amp;"readsheets/d/1qpEmbGH0JjaJbUdp21-y2cPbobDbMjr09BbtdKROZWc/edit#gid=1444865654"",""articles_with_PRISMA_reasons!B2:B2113""))&gt;=2,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$A64=IMPORTRANGE(""https://docs.google.com/spreadsheets/d/1qpEmbGH0JjaJbUdp21-y2cPbobDbMjr09BbtdKROZWc/edit#gid=1444865654"",""articles_with_PRISMA_reasons!B2:B2113""))&lt;2),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$A64=IMPORTRANGE(""https://docs.google.com/spreadsheets/d/1qpEmbGH0JjaJbUdp21-y2cPbobDbMjr09BbtdKROZWc/"&amp;"edit#gid=1444865654"",""articles_with_PRISMA_reasons!B2:B2113""))&lt;2,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$A64=IMPORTRANG"&amp;"E(""https://docs.google.com/spreadsheets/d/1qpEmbGH0JjaJbUdp21-y2cPbobDbMjr09BbtdKROZWc/edit#gid=1444865654"",""articles_with_PRISMA_reasons!B2:B2113""))&gt;=2),
""Exclude""
)"),"Exclude")</f>
        <v>Exclude</v>
      </c>
      <c r="F64" s="5" t="str">
        <f>IFERROR(__xludf.DUMMYFUNCTION("IFS(
E64=""Exclude"",""Exclude"",
AND(
COUNTIF(
IMPORTRANGE(""https://docs.google.com/spreadsheets/d/1kGrh75X1cNR1D7_FcY9zMnHP8iPO4M5RCRjy6nZY0TY/edit#gid=0"",""Table 1: Study characteristics!B4:B171""),A64)&gt;0,
COUNTIF(Studies!$A$2:$A$85,FILTER(IMPORTRANG"&amp;"E(""https://docs.google.com/spreadsheets/d/1kGrh75X1cNR1D7_FcY9zMnHP8iPO4M5RCRjy6nZY0TY/edit#gid=0"",""Table 1: Study characteristics!A4:A171""), $A64=IMPORTRANGE(""https://docs.google.com/spreadsheets/d/1kGrh75X1cNR1D7_FcY9zMnHP8iPO4M5RCRjy6nZY0TY/edit#g"&amp;"id=0"",""Table 1: Study characteristics!B4:B171"")))&gt;0
),
""Include""
)"),"Exclude")</f>
        <v>Exclude</v>
      </c>
      <c r="G64" s="5" t="str">
        <f>IFERROR(__xludf.DUMMYFUNCTION("IFS(
D64=""Exclude"",
FILTER(IMPORTRANGE(""https://docs.google.com/spreadsheets/d/1BJSV3WBYJGRhQ6zExamkszQ5VutGIcaQqmbD9ZTVXMQ/edit#gid=1251630045"",""articles_with_PRISMA_reasons!AB2:AB2113""), $A64=IMPORTRANGE(""https://docs.google.com/spreadsheets/d/1B"&amp;"JSV3WBYJGRhQ6zExamkszQ5VutGIcaQqmbD9ZTVXMQ/edit#gid=1251630045"",""articles_with_PRISMA_reasons!B2:B2113"")),
E64=""Exclude"",
FILTER(IMPORTRANGE(""https://docs.google.com/spreadsheets/d/1qpEmbGH0JjaJbUdp21-y2cPbobDbMjr09BbtdKROZWc/edit#gid=1444865654"","&amp;"""articles_with_PRISMA_reasons!Z2:Z2113""), $A64=IMPORTRANGE(""https://docs.google.com/spreadsheets/d/1qpEmbGH0JjaJbUdp21-y2cPbobDbMjr09BbtdKROZWc/edit#gid=1444865654"",""articles_with_PRISMA_reasons!B2:B2113"")),F64
=""Include"",FILTER(IMPORTRANGE(""http"&amp;"s://docs.google.com/spreadsheets/d/1kGrh75X1cNR1D7_FcY9zMnHP8iPO4M5RCRjy6nZY0TY/edit#gid=0"",""Table 1: Study characteristics!A4:A171""), $A64=IMPORTRANGE(""https://docs.google.com/spreadsheets/d/1kGrh75X1cNR1D7_FcY9zMnHP8iPO4M5RCRjy6nZY0TY/edit#gid=0"","&amp;"""Table 1: Study characteristics!B4:B171""))
)"),"wrong population")</f>
        <v>wrong population</v>
      </c>
    </row>
    <row r="65">
      <c r="A65" s="4" t="str">
        <f>IFERROR(__xludf.DUMMYFUNCTION("""COMPUTED_VALUE"""),"[Long-term results of hydrocephalus with myelomeningocele]")</f>
        <v>[Long-term results of hydrocephalus with myelomeningocele]</v>
      </c>
      <c r="B65" s="5" t="str">
        <f>IFERROR(__xludf.DUMMYFUNCTION("LEFT(FILTER(IMPORTRANGE(""https://docs.google.com/spreadsheets/d/1BJSV3WBYJGRhQ6zExamkszQ5VutGIcaQqmbD9ZTVXMQ/edit#gid=1251630045"",""articles_with_PRISMA_reasons!K2:K2113""), $A65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$A65=IMPORTRANGE(""https://docs.google.com/spreadsheets/d/1BJSV3WBYJGRhQ6zExamkszQ5VutGIcaQqmbD9ZTVXMQ/edit#gid=1251630045"",""articles_with_PRISMA_reasons!B2:B2113"")))-1)"),"Kojima")</f>
        <v>Kojima</v>
      </c>
      <c r="C65" s="6">
        <f>IFERROR(__xludf.DUMMYFUNCTION("FILTER(IMPORTRANGE(""https://docs.google.com/spreadsheets/d/1BJSV3WBYJGRhQ6zExamkszQ5VutGIcaQqmbD9ZTVXMQ/edit#gid=1251630045"",""articles_with_PRISMA_reasons!C2:C2113""), $A65=IMPORTRANGE(""https://docs.google.com/spreadsheets/d/1BJSV3WBYJGRhQ6zExamkszQ5V"&amp;"utGIcaQqmbD9ZTVXMQ/edit#gid=1251630045"",""articles_with_PRISMA_reasons!B2:B2113""))"),1990.0)</f>
        <v>1990</v>
      </c>
      <c r="D65" s="5" t="str">
        <f>IFERROR(__xludf.DUMMYFUNCTION("IFS(AND(
FILTER(IMPORTRANGE(""https://docs.google.com/spreadsheets/d/1BJSV3WBYJGRhQ6zExamkszQ5VutGIcaQqmbD9ZTVXMQ/edit#gid=1251630045"",""articles_with_PRISMA_reasons!Y2:Y2113""), $A65=IMPORTRANGE(""https://docs.google.com/spreadsheets/d/1BJSV3WBYJGRhQ6zE"&amp;"xamkszQ5VutGIcaQqmbD9ZTVXMQ/edit#gid=1251630045"",""articles_with_PRISMA_reasons!B2:B2113""))&gt;=2,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$A65=IMPORTRANGE(""https://docs.google.com/spreadsheets/d/1BJSV3WBYJGRhQ6zExamkszQ5VutGIcaQqmbD9ZTVXMQ/edit#gid=1251630045"",""articles_with_PRISMA_reasons!B2:B2113""))&lt;2),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$A65=IMPORTRANGE(""https://docs.google.com/spreadsheets/d/1BJSV3WBYJGRhQ6zExamkszQ5VutGIcaQqmbD9ZTVXMQ/edit#gid=1251630045"",""article"&amp;"s_with_PRISMA_reasons!B2:B2113""))&lt;2,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$A65=IMPORTRANGE(""https://docs.google.com/spr"&amp;"eadsheets/d/1BJSV3WBYJGRhQ6zExamkszQ5VutGIcaQqmbD9ZTVXMQ/edit#gid=1251630045"",""articles_with_PRISMA_reasons!B2:B2113""))&gt;=2),
""Exclude""
)"),"Exclude")</f>
        <v>Exclude</v>
      </c>
      <c r="E65" s="5" t="str">
        <f>IFERROR(__xludf.DUMMYFUNCTION("IFS(
D65=""Exclude"",""Exclude"",
AND(
FILTER(IMPORTRANGE(""https://docs.google.com/spreadsheets/d/1qpEmbGH0JjaJbUdp21-y2cPbobDbMjr09BbtdKROZWc/edit#gid=1444865654"",""articles_with_PRISMA_reasons!W2:W2113""), $A65=IMPORTRANGE(""https://docs.google.com/sp"&amp;"readsheets/d/1qpEmbGH0JjaJbUdp21-y2cPbobDbMjr09BbtdKROZWc/edit#gid=1444865654"",""articles_with_PRISMA_reasons!B2:B2113""))&gt;=2,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$A65=IMPORTRANGE(""https://docs.google.com/spreadsheets/d/1qpEmbGH0JjaJbUdp21-y2cPbobDbMjr09BbtdKROZWc/edit#gid=1444865654"",""articles_with_PRISMA_reasons!B2:B2113""))&lt;2),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$A65=IMPORTRANGE(""https://docs.google.com/spreadsheets/d/1qpEmbGH0JjaJbUdp21-y2cPbobDbMjr09BbtdKROZWc/"&amp;"edit#gid=1444865654"",""articles_with_PRISMA_reasons!B2:B2113""))&lt;2,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$A65=IMPORTRANG"&amp;"E(""https://docs.google.com/spreadsheets/d/1qpEmbGH0JjaJbUdp21-y2cPbobDbMjr09BbtdKROZWc/edit#gid=1444865654"",""articles_with_PRISMA_reasons!B2:B2113""))&gt;=2),
""Exclude""
)"),"Exclude")</f>
        <v>Exclude</v>
      </c>
      <c r="F65" s="5" t="str">
        <f>IFERROR(__xludf.DUMMYFUNCTION("IFS(
E65=""Exclude"",""Exclude"",
AND(
COUNTIF(
IMPORTRANGE(""https://docs.google.com/spreadsheets/d/1kGrh75X1cNR1D7_FcY9zMnHP8iPO4M5RCRjy6nZY0TY/edit#gid=0"",""Table 1: Study characteristics!B4:B171""),A65)&gt;0,
COUNTIF(Studies!$A$2:$A$85,FILTER(IMPORTRANG"&amp;"E(""https://docs.google.com/spreadsheets/d/1kGrh75X1cNR1D7_FcY9zMnHP8iPO4M5RCRjy6nZY0TY/edit#gid=0"",""Table 1: Study characteristics!A4:A171""), $A65=IMPORTRANGE(""https://docs.google.com/spreadsheets/d/1kGrh75X1cNR1D7_FcY9zMnHP8iPO4M5RCRjy6nZY0TY/edit#g"&amp;"id=0"",""Table 1: Study characteristics!B4:B171"")))&gt;0
),
""Include""
)"),"Exclude")</f>
        <v>Exclude</v>
      </c>
      <c r="G65" s="5" t="str">
        <f>IFERROR(__xludf.DUMMYFUNCTION("IFS(
D65=""Exclude"",
FILTER(IMPORTRANGE(""https://docs.google.com/spreadsheets/d/1BJSV3WBYJGRhQ6zExamkszQ5VutGIcaQqmbD9ZTVXMQ/edit#gid=1251630045"",""articles_with_PRISMA_reasons!AB2:AB2113""), $A65=IMPORTRANGE(""https://docs.google.com/spreadsheets/d/1B"&amp;"JSV3WBYJGRhQ6zExamkszQ5VutGIcaQqmbD9ZTVXMQ/edit#gid=1251630045"",""articles_with_PRISMA_reasons!B2:B2113"")),
E65=""Exclude"",
FILTER(IMPORTRANGE(""https://docs.google.com/spreadsheets/d/1qpEmbGH0JjaJbUdp21-y2cPbobDbMjr09BbtdKROZWc/edit#gid=1444865654"","&amp;"""articles_with_PRISMA_reasons!Z2:Z2113""), $A65=IMPORTRANGE(""https://docs.google.com/spreadsheets/d/1qpEmbGH0JjaJbUdp21-y2cPbobDbMjr09BbtdKROZWc/edit#gid=1444865654"",""articles_with_PRISMA_reasons!B2:B2113"")),F65
=""Include"",FILTER(IMPORTRANGE(""http"&amp;"s://docs.google.com/spreadsheets/d/1kGrh75X1cNR1D7_FcY9zMnHP8iPO4M5RCRjy6nZY0TY/edit#gid=0"",""Table 1: Study characteristics!A4:A171""), $A65=IMPORTRANGE(""https://docs.google.com/spreadsheets/d/1kGrh75X1cNR1D7_FcY9zMnHP8iPO4M5RCRjy6nZY0TY/edit#gid=0"","&amp;"""Table 1: Study characteristics!B4:B171""))
)"),"duplicate")</f>
        <v>duplicate</v>
      </c>
    </row>
    <row r="66">
      <c r="A66" s="4" t="str">
        <f>IFERROR(__xludf.DUMMYFUNCTION("""COMPUTED_VALUE"""),"[Manifestation of Chiari II symptoms following peritoneal shunt tube extension]")</f>
        <v>[Manifestation of Chiari II symptoms following peritoneal shunt tube extension]</v>
      </c>
      <c r="B66" s="5" t="str">
        <f>IFERROR(__xludf.DUMMYFUNCTION("LEFT(FILTER(IMPORTRANGE(""https://docs.google.com/spreadsheets/d/1BJSV3WBYJGRhQ6zExamkszQ5VutGIcaQqmbD9ZTVXMQ/edit#gid=1251630045"",""articles_with_PRISMA_reasons!K2:K2113""), $A66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$A66=IMPORTRANGE(""https://docs.google.com/spreadsheets/d/1BJSV3WBYJGRhQ6zExamkszQ5VutGIcaQqmbD9ZTVXMQ/edit#gid=1251630045"",""articles_with_PRISMA_reasons!B2:B2113"")))-1)"),"Yamada")</f>
        <v>Yamada</v>
      </c>
      <c r="C66" s="6">
        <f>IFERROR(__xludf.DUMMYFUNCTION("FILTER(IMPORTRANGE(""https://docs.google.com/spreadsheets/d/1BJSV3WBYJGRhQ6zExamkszQ5VutGIcaQqmbD9ZTVXMQ/edit#gid=1251630045"",""articles_with_PRISMA_reasons!C2:C2113""), $A66=IMPORTRANGE(""https://docs.google.com/spreadsheets/d/1BJSV3WBYJGRhQ6zExamkszQ5V"&amp;"utGIcaQqmbD9ZTVXMQ/edit#gid=1251630045"",""articles_with_PRISMA_reasons!B2:B2113""))"),1998.0)</f>
        <v>1998</v>
      </c>
      <c r="D66" s="5" t="str">
        <f>IFERROR(__xludf.DUMMYFUNCTION("IFS(AND(
FILTER(IMPORTRANGE(""https://docs.google.com/spreadsheets/d/1BJSV3WBYJGRhQ6zExamkszQ5VutGIcaQqmbD9ZTVXMQ/edit#gid=1251630045"",""articles_with_PRISMA_reasons!Y2:Y2113""), $A66=IMPORTRANGE(""https://docs.google.com/spreadsheets/d/1BJSV3WBYJGRhQ6zE"&amp;"xamkszQ5VutGIcaQqmbD9ZTVXMQ/edit#gid=1251630045"",""articles_with_PRISMA_reasons!B2:B2113""))&gt;=2,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$A66=IMPORTRANGE(""https://docs.google.com/spreadsheets/d/1BJSV3WBYJGRhQ6zExamkszQ5VutGIcaQqmbD9ZTVXMQ/edit#gid=1251630045"",""articles_with_PRISMA_reasons!B2:B2113""))&lt;2),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$A66=IMPORTRANGE(""https://docs.google.com/spreadsheets/d/1BJSV3WBYJGRhQ6zExamkszQ5VutGIcaQqmbD9ZTVXMQ/edit#gid=1251630045"",""article"&amp;"s_with_PRISMA_reasons!B2:B2113""))&lt;2,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$A66=IMPORTRANGE(""https://docs.google.com/spr"&amp;"eadsheets/d/1BJSV3WBYJGRhQ6zExamkszQ5VutGIcaQqmbD9ZTVXMQ/edit#gid=1251630045"",""articles_with_PRISMA_reasons!B2:B2113""))&gt;=2),
""Exclude""
)"),"Exclude")</f>
        <v>Exclude</v>
      </c>
      <c r="E66" s="5" t="str">
        <f>IFERROR(__xludf.DUMMYFUNCTION("IFS(
D66=""Exclude"",""Exclude"",
AND(
FILTER(IMPORTRANGE(""https://docs.google.com/spreadsheets/d/1qpEmbGH0JjaJbUdp21-y2cPbobDbMjr09BbtdKROZWc/edit#gid=1444865654"",""articles_with_PRISMA_reasons!W2:W2113""), $A66=IMPORTRANGE(""https://docs.google.com/sp"&amp;"readsheets/d/1qpEmbGH0JjaJbUdp21-y2cPbobDbMjr09BbtdKROZWc/edit#gid=1444865654"",""articles_with_PRISMA_reasons!B2:B2113""))&gt;=2,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$A66=IMPORTRANGE(""https://docs.google.com/spreadsheets/d/1qpEmbGH0JjaJbUdp21-y2cPbobDbMjr09BbtdKROZWc/edit#gid=1444865654"",""articles_with_PRISMA_reasons!B2:B2113""))&lt;2),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$A66=IMPORTRANGE(""https://docs.google.com/spreadsheets/d/1qpEmbGH0JjaJbUdp21-y2cPbobDbMjr09BbtdKROZWc/"&amp;"edit#gid=1444865654"",""articles_with_PRISMA_reasons!B2:B2113""))&lt;2,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$A66=IMPORTRANG"&amp;"E(""https://docs.google.com/spreadsheets/d/1qpEmbGH0JjaJbUdp21-y2cPbobDbMjr09BbtdKROZWc/edit#gid=1444865654"",""articles_with_PRISMA_reasons!B2:B2113""))&gt;=2),
""Exclude""
)"),"Exclude")</f>
        <v>Exclude</v>
      </c>
      <c r="F66" s="5" t="str">
        <f>IFERROR(__xludf.DUMMYFUNCTION("IFS(
E66=""Exclude"",""Exclude"",
AND(
COUNTIF(
IMPORTRANGE(""https://docs.google.com/spreadsheets/d/1kGrh75X1cNR1D7_FcY9zMnHP8iPO4M5RCRjy6nZY0TY/edit#gid=0"",""Table 1: Study characteristics!B4:B171""),A66)&gt;0,
COUNTIF(Studies!$A$2:$A$85,FILTER(IMPORTRANG"&amp;"E(""https://docs.google.com/spreadsheets/d/1kGrh75X1cNR1D7_FcY9zMnHP8iPO4M5RCRjy6nZY0TY/edit#gid=0"",""Table 1: Study characteristics!A4:A171""), $A66=IMPORTRANGE(""https://docs.google.com/spreadsheets/d/1kGrh75X1cNR1D7_FcY9zMnHP8iPO4M5RCRjy6nZY0TY/edit#g"&amp;"id=0"",""Table 1: Study characteristics!B4:B171"")))&gt;0
),
""Include""
)"),"Exclude")</f>
        <v>Exclude</v>
      </c>
      <c r="G66" s="5" t="str">
        <f>IFERROR(__xludf.DUMMYFUNCTION("IFS(
D66=""Exclude"",
FILTER(IMPORTRANGE(""https://docs.google.com/spreadsheets/d/1BJSV3WBYJGRhQ6zExamkszQ5VutGIcaQqmbD9ZTVXMQ/edit#gid=1251630045"",""articles_with_PRISMA_reasons!AB2:AB2113""), $A66=IMPORTRANGE(""https://docs.google.com/spreadsheets/d/1B"&amp;"JSV3WBYJGRhQ6zExamkszQ5VutGIcaQqmbD9ZTVXMQ/edit#gid=1251630045"",""articles_with_PRISMA_reasons!B2:B2113"")),
E66=""Exclude"",
FILTER(IMPORTRANGE(""https://docs.google.com/spreadsheets/d/1qpEmbGH0JjaJbUdp21-y2cPbobDbMjr09BbtdKROZWc/edit#gid=1444865654"","&amp;"""articles_with_PRISMA_reasons!Z2:Z2113""), $A66=IMPORTRANGE(""https://docs.google.com/spreadsheets/d/1qpEmbGH0JjaJbUdp21-y2cPbobDbMjr09BbtdKROZWc/edit#gid=1444865654"",""articles_with_PRISMA_reasons!B2:B2113"")),F66
=""Include"",FILTER(IMPORTRANGE(""http"&amp;"s://docs.google.com/spreadsheets/d/1kGrh75X1cNR1D7_FcY9zMnHP8iPO4M5RCRjy6nZY0TY/edit#gid=0"",""Table 1: Study characteristics!A4:A171""), $A66=IMPORTRANGE(""https://docs.google.com/spreadsheets/d/1kGrh75X1cNR1D7_FcY9zMnHP8iPO4M5RCRjy6nZY0TY/edit#gid=0"","&amp;"""Table 1: Study characteristics!B4:B171""))
)"),"wrong study design")</f>
        <v>wrong study design</v>
      </c>
    </row>
    <row r="67">
      <c r="A67" s="4" t="str">
        <f>IFERROR(__xludf.DUMMYFUNCTION("""COMPUTED_VALUE"""),"[Maternal-fetal surgery for spina bifida: future perspectives]")</f>
        <v>[Maternal-fetal surgery for spina bifida: future perspectives]</v>
      </c>
      <c r="B67" s="5" t="str">
        <f>IFERROR(__xludf.DUMMYFUNCTION("LEFT(FILTER(IMPORTRANGE(""https://docs.google.com/spreadsheets/d/1BJSV3WBYJGRhQ6zExamkszQ5VutGIcaQqmbD9ZTVXMQ/edit#gid=1251630045"",""articles_with_PRISMA_reasons!K2:K2113""), $A67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$A67=IMPORTRANGE(""https://docs.google.com/spreadsheets/d/1BJSV3WBYJGRhQ6zExamkszQ5VutGIcaQqmbD9ZTVXMQ/edit#gid=1251630045"",""articles_with_PRISMA_reasons!B2:B2113"")))-1)"),"Joyeux")</f>
        <v>Joyeux</v>
      </c>
      <c r="C67" s="6">
        <f>IFERROR(__xludf.DUMMYFUNCTION("FILTER(IMPORTRANGE(""https://docs.google.com/spreadsheets/d/1BJSV3WBYJGRhQ6zExamkszQ5VutGIcaQqmbD9ZTVXMQ/edit#gid=1251630045"",""articles_with_PRISMA_reasons!C2:C2113""), $A67=IMPORTRANGE(""https://docs.google.com/spreadsheets/d/1BJSV3WBYJGRhQ6zExamkszQ5V"&amp;"utGIcaQqmbD9ZTVXMQ/edit#gid=1251630045"",""articles_with_PRISMA_reasons!B2:B2113""))"),2014.0)</f>
        <v>2014</v>
      </c>
      <c r="D67" s="5" t="str">
        <f>IFERROR(__xludf.DUMMYFUNCTION("IFS(AND(
FILTER(IMPORTRANGE(""https://docs.google.com/spreadsheets/d/1BJSV3WBYJGRhQ6zExamkszQ5VutGIcaQqmbD9ZTVXMQ/edit#gid=1251630045"",""articles_with_PRISMA_reasons!Y2:Y2113""), $A67=IMPORTRANGE(""https://docs.google.com/spreadsheets/d/1BJSV3WBYJGRhQ6zE"&amp;"xamkszQ5VutGIcaQqmbD9ZTVXMQ/edit#gid=1251630045"",""articles_with_PRISMA_reasons!B2:B2113""))&gt;=2,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$A67=IMPORTRANGE(""https://docs.google.com/spreadsheets/d/1BJSV3WBYJGRhQ6zExamkszQ5VutGIcaQqmbD9ZTVXMQ/edit#gid=1251630045"",""articles_with_PRISMA_reasons!B2:B2113""))&lt;2),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$A67=IMPORTRANGE(""https://docs.google.com/spreadsheets/d/1BJSV3WBYJGRhQ6zExamkszQ5VutGIcaQqmbD9ZTVXMQ/edit#gid=1251630045"",""article"&amp;"s_with_PRISMA_reasons!B2:B2113""))&lt;2,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$A67=IMPORTRANGE(""https://docs.google.com/spr"&amp;"eadsheets/d/1BJSV3WBYJGRhQ6zExamkszQ5VutGIcaQqmbD9ZTVXMQ/edit#gid=1251630045"",""articles_with_PRISMA_reasons!B2:B2113""))&gt;=2),
""Exclude""
)"),"Exclude")</f>
        <v>Exclude</v>
      </c>
      <c r="E67" s="5" t="str">
        <f>IFERROR(__xludf.DUMMYFUNCTION("IFS(
D67=""Exclude"",""Exclude"",
AND(
FILTER(IMPORTRANGE(""https://docs.google.com/spreadsheets/d/1qpEmbGH0JjaJbUdp21-y2cPbobDbMjr09BbtdKROZWc/edit#gid=1444865654"",""articles_with_PRISMA_reasons!W2:W2113""), $A67=IMPORTRANGE(""https://docs.google.com/sp"&amp;"readsheets/d/1qpEmbGH0JjaJbUdp21-y2cPbobDbMjr09BbtdKROZWc/edit#gid=1444865654"",""articles_with_PRISMA_reasons!B2:B2113""))&gt;=2,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$A67=IMPORTRANGE(""https://docs.google.com/spreadsheets/d/1qpEmbGH0JjaJbUdp21-y2cPbobDbMjr09BbtdKROZWc/edit#gid=1444865654"",""articles_with_PRISMA_reasons!B2:B2113""))&lt;2),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$A67=IMPORTRANGE(""https://docs.google.com/spreadsheets/d/1qpEmbGH0JjaJbUdp21-y2cPbobDbMjr09BbtdKROZWc/"&amp;"edit#gid=1444865654"",""articles_with_PRISMA_reasons!B2:B2113""))&lt;2,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$A67=IMPORTRANG"&amp;"E(""https://docs.google.com/spreadsheets/d/1qpEmbGH0JjaJbUdp21-y2cPbobDbMjr09BbtdKROZWc/edit#gid=1444865654"",""articles_with_PRISMA_reasons!B2:B2113""))&gt;=2),
""Exclude""
)"),"Exclude")</f>
        <v>Exclude</v>
      </c>
      <c r="F67" s="5" t="str">
        <f>IFERROR(__xludf.DUMMYFUNCTION("IFS(
E67=""Exclude"",""Exclude"",
AND(
COUNTIF(
IMPORTRANGE(""https://docs.google.com/spreadsheets/d/1kGrh75X1cNR1D7_FcY9zMnHP8iPO4M5RCRjy6nZY0TY/edit#gid=0"",""Table 1: Study characteristics!B4:B171""),A67)&gt;0,
COUNTIF(Studies!$A$2:$A$85,FILTER(IMPORTRANG"&amp;"E(""https://docs.google.com/spreadsheets/d/1kGrh75X1cNR1D7_FcY9zMnHP8iPO4M5RCRjy6nZY0TY/edit#gid=0"",""Table 1: Study characteristics!A4:A171""), $A67=IMPORTRANGE(""https://docs.google.com/spreadsheets/d/1kGrh75X1cNR1D7_FcY9zMnHP8iPO4M5RCRjy6nZY0TY/edit#g"&amp;"id=0"",""Table 1: Study characteristics!B4:B171"")))&gt;0
),
""Include""
)"),"Exclude")</f>
        <v>Exclude</v>
      </c>
      <c r="G67" s="5" t="str">
        <f>IFERROR(__xludf.DUMMYFUNCTION("IFS(
D67=""Exclude"",
FILTER(IMPORTRANGE(""https://docs.google.com/spreadsheets/d/1BJSV3WBYJGRhQ6zExamkszQ5VutGIcaQqmbD9ZTVXMQ/edit#gid=1251630045"",""articles_with_PRISMA_reasons!AB2:AB2113""), $A67=IMPORTRANGE(""https://docs.google.com/spreadsheets/d/1B"&amp;"JSV3WBYJGRhQ6zExamkszQ5VutGIcaQqmbD9ZTVXMQ/edit#gid=1251630045"",""articles_with_PRISMA_reasons!B2:B2113"")),
E67=""Exclude"",
FILTER(IMPORTRANGE(""https://docs.google.com/spreadsheets/d/1qpEmbGH0JjaJbUdp21-y2cPbobDbMjr09BbtdKROZWc/edit#gid=1444865654"","&amp;"""articles_with_PRISMA_reasons!Z2:Z2113""), $A67=IMPORTRANGE(""https://docs.google.com/spreadsheets/d/1qpEmbGH0JjaJbUdp21-y2cPbobDbMjr09BbtdKROZWc/edit#gid=1444865654"",""articles_with_PRISMA_reasons!B2:B2113"")),F67
=""Include"",FILTER(IMPORTRANGE(""http"&amp;"s://docs.google.com/spreadsheets/d/1kGrh75X1cNR1D7_FcY9zMnHP8iPO4M5RCRjy6nZY0TY/edit#gid=0"",""Table 1: Study characteristics!A4:A171""), $A67=IMPORTRANGE(""https://docs.google.com/spreadsheets/d/1kGrh75X1cNR1D7_FcY9zMnHP8iPO4M5RCRjy6nZY0TY/edit#gid=0"","&amp;"""Table 1: Study characteristics!B4:B171""))
)"),"wrong study design")</f>
        <v>wrong study design</v>
      </c>
    </row>
    <row r="68">
      <c r="A68" s="4" t="str">
        <f>IFERROR(__xludf.DUMMYFUNCTION("""COMPUTED_VALUE"""),"[Mental disorders in children with congenital meningomyelocele]")</f>
        <v>[Mental disorders in children with congenital meningomyelocele]</v>
      </c>
      <c r="B68" s="5" t="str">
        <f>IFERROR(__xludf.DUMMYFUNCTION("LEFT(FILTER(IMPORTRANGE(""https://docs.google.com/spreadsheets/d/1BJSV3WBYJGRhQ6zExamkszQ5VutGIcaQqmbD9ZTVXMQ/edit#gid=1251630045"",""articles_with_PRISMA_reasons!K2:K2113""), $A68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$A68=IMPORTRANGE(""https://docs.google.com/spreadsheets/d/1BJSV3WBYJGRhQ6zExamkszQ5VutGIcaQqmbD9ZTVXMQ/edit#gid=1251630045"",""articles_with_PRISMA_reasons!B2:B2113"")))-1)"),"Kalizhniuk")</f>
        <v>Kalizhniuk</v>
      </c>
      <c r="C68" s="6">
        <f>IFERROR(__xludf.DUMMYFUNCTION("FILTER(IMPORTRANGE(""https://docs.google.com/spreadsheets/d/1BJSV3WBYJGRhQ6zExamkszQ5VutGIcaQqmbD9ZTVXMQ/edit#gid=1251630045"",""articles_with_PRISMA_reasons!C2:C2113""), $A68=IMPORTRANGE(""https://docs.google.com/spreadsheets/d/1BJSV3WBYJGRhQ6zExamkszQ5V"&amp;"utGIcaQqmbD9ZTVXMQ/edit#gid=1251630045"",""articles_with_PRISMA_reasons!B2:B2113""))"),1991.0)</f>
        <v>1991</v>
      </c>
      <c r="D68" s="5" t="str">
        <f>IFERROR(__xludf.DUMMYFUNCTION("IFS(AND(
FILTER(IMPORTRANGE(""https://docs.google.com/spreadsheets/d/1BJSV3WBYJGRhQ6zExamkszQ5VutGIcaQqmbD9ZTVXMQ/edit#gid=1251630045"",""articles_with_PRISMA_reasons!Y2:Y2113""), $A68=IMPORTRANGE(""https://docs.google.com/spreadsheets/d/1BJSV3WBYJGRhQ6zE"&amp;"xamkszQ5VutGIcaQqmbD9ZTVXMQ/edit#gid=1251630045"",""articles_with_PRISMA_reasons!B2:B2113""))&gt;=2,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$A68=IMPORTRANGE(""https://docs.google.com/spreadsheets/d/1BJSV3WBYJGRhQ6zExamkszQ5VutGIcaQqmbD9ZTVXMQ/edit#gid=1251630045"",""articles_with_PRISMA_reasons!B2:B2113""))&lt;2),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$A68=IMPORTRANGE(""https://docs.google.com/spreadsheets/d/1BJSV3WBYJGRhQ6zExamkszQ5VutGIcaQqmbD9ZTVXMQ/edit#gid=1251630045"",""article"&amp;"s_with_PRISMA_reasons!B2:B2113""))&lt;2,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$A68=IMPORTRANGE(""https://docs.google.com/spr"&amp;"eadsheets/d/1BJSV3WBYJGRhQ6zExamkszQ5VutGIcaQqmbD9ZTVXMQ/edit#gid=1251630045"",""articles_with_PRISMA_reasons!B2:B2113""))&gt;=2),
""Exclude""
)"),"Exclude")</f>
        <v>Exclude</v>
      </c>
      <c r="E68" s="5" t="str">
        <f>IFERROR(__xludf.DUMMYFUNCTION("IFS(
D68=""Exclude"",""Exclude"",
AND(
FILTER(IMPORTRANGE(""https://docs.google.com/spreadsheets/d/1qpEmbGH0JjaJbUdp21-y2cPbobDbMjr09BbtdKROZWc/edit#gid=1444865654"",""articles_with_PRISMA_reasons!W2:W2113""), $A68=IMPORTRANGE(""https://docs.google.com/sp"&amp;"readsheets/d/1qpEmbGH0JjaJbUdp21-y2cPbobDbMjr09BbtdKROZWc/edit#gid=1444865654"",""articles_with_PRISMA_reasons!B2:B2113""))&gt;=2,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$A68=IMPORTRANGE(""https://docs.google.com/spreadsheets/d/1qpEmbGH0JjaJbUdp21-y2cPbobDbMjr09BbtdKROZWc/edit#gid=1444865654"",""articles_with_PRISMA_reasons!B2:B2113""))&lt;2),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$A68=IMPORTRANGE(""https://docs.google.com/spreadsheets/d/1qpEmbGH0JjaJbUdp21-y2cPbobDbMjr09BbtdKROZWc/"&amp;"edit#gid=1444865654"",""articles_with_PRISMA_reasons!B2:B2113""))&lt;2,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$A68=IMPORTRANG"&amp;"E(""https://docs.google.com/spreadsheets/d/1qpEmbGH0JjaJbUdp21-y2cPbobDbMjr09BbtdKROZWc/edit#gid=1444865654"",""articles_with_PRISMA_reasons!B2:B2113""))&gt;=2),
""Exclude""
)"),"Exclude")</f>
        <v>Exclude</v>
      </c>
      <c r="F68" s="5" t="str">
        <f>IFERROR(__xludf.DUMMYFUNCTION("IFS(
E68=""Exclude"",""Exclude"",
AND(
COUNTIF(
IMPORTRANGE(""https://docs.google.com/spreadsheets/d/1kGrh75X1cNR1D7_FcY9zMnHP8iPO4M5RCRjy6nZY0TY/edit#gid=0"",""Table 1: Study characteristics!B4:B171""),A68)&gt;0,
COUNTIF(Studies!$A$2:$A$85,FILTER(IMPORTRANG"&amp;"E(""https://docs.google.com/spreadsheets/d/1kGrh75X1cNR1D7_FcY9zMnHP8iPO4M5RCRjy6nZY0TY/edit#gid=0"",""Table 1: Study characteristics!A4:A171""), $A68=IMPORTRANGE(""https://docs.google.com/spreadsheets/d/1kGrh75X1cNR1D7_FcY9zMnHP8iPO4M5RCRjy6nZY0TY/edit#g"&amp;"id=0"",""Table 1: Study characteristics!B4:B171"")))&gt;0
),
""Include""
)"),"Exclude")</f>
        <v>Exclude</v>
      </c>
      <c r="G68" s="5" t="str">
        <f>IFERROR(__xludf.DUMMYFUNCTION("IFS(
D68=""Exclude"",
FILTER(IMPORTRANGE(""https://docs.google.com/spreadsheets/d/1BJSV3WBYJGRhQ6zExamkszQ5VutGIcaQqmbD9ZTVXMQ/edit#gid=1251630045"",""articles_with_PRISMA_reasons!AB2:AB2113""), $A68=IMPORTRANGE(""https://docs.google.com/spreadsheets/d/1B"&amp;"JSV3WBYJGRhQ6zExamkszQ5VutGIcaQqmbD9ZTVXMQ/edit#gid=1251630045"",""articles_with_PRISMA_reasons!B2:B2113"")),
E68=""Exclude"",
FILTER(IMPORTRANGE(""https://docs.google.com/spreadsheets/d/1qpEmbGH0JjaJbUdp21-y2cPbobDbMjr09BbtdKROZWc/edit#gid=1444865654"","&amp;"""articles_with_PRISMA_reasons!Z2:Z2113""), $A68=IMPORTRANGE(""https://docs.google.com/spreadsheets/d/1qpEmbGH0JjaJbUdp21-y2cPbobDbMjr09BbtdKROZWc/edit#gid=1444865654"",""articles_with_PRISMA_reasons!B2:B2113"")),F68
=""Include"",FILTER(IMPORTRANGE(""http"&amp;"s://docs.google.com/spreadsheets/d/1kGrh75X1cNR1D7_FcY9zMnHP8iPO4M5RCRjy6nZY0TY/edit#gid=0"",""Table 1: Study characteristics!A4:A171""), $A68=IMPORTRANGE(""https://docs.google.com/spreadsheets/d/1kGrh75X1cNR1D7_FcY9zMnHP8iPO4M5RCRjy6nZY0TY/edit#gid=0"","&amp;"""Table 1: Study characteristics!B4:B171""))
)"),"wrong study design")</f>
        <v>wrong study design</v>
      </c>
    </row>
    <row r="69">
      <c r="A69" s="4" t="str">
        <f>IFERROR(__xludf.DUMMYFUNCTION("""COMPUTED_VALUE"""),"[Modern treatment of meningomyelocele]")</f>
        <v>[Modern treatment of meningomyelocele]</v>
      </c>
      <c r="B69" s="5" t="str">
        <f>IFERROR(__xludf.DUMMYFUNCTION("LEFT(FILTER(IMPORTRANGE(""https://docs.google.com/spreadsheets/d/1BJSV3WBYJGRhQ6zExamkszQ5VutGIcaQqmbD9ZTVXMQ/edit#gid=1251630045"",""articles_with_PRISMA_reasons!K2:K2113""), $A69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$A69=IMPORTRANGE(""https://docs.google.com/spreadsheets/d/1BJSV3WBYJGRhQ6zExamkszQ5VutGIcaQqmbD9ZTVXMQ/edit#gid=1251630045"",""articles_with_PRISMA_reasons!B2:B2113"")))-1)"),"Krenn")</f>
        <v>Krenn</v>
      </c>
      <c r="C69" s="6">
        <f>IFERROR(__xludf.DUMMYFUNCTION("FILTER(IMPORTRANGE(""https://docs.google.com/spreadsheets/d/1BJSV3WBYJGRhQ6zExamkszQ5VutGIcaQqmbD9ZTVXMQ/edit#gid=1251630045"",""articles_with_PRISMA_reasons!C2:C2113""), $A69=IMPORTRANGE(""https://docs.google.com/spreadsheets/d/1BJSV3WBYJGRhQ6zExamkszQ5V"&amp;"utGIcaQqmbD9ZTVXMQ/edit#gid=1251630045"",""articles_with_PRISMA_reasons!B2:B2113""))"),1975.0)</f>
        <v>1975</v>
      </c>
      <c r="D69" s="5" t="str">
        <f>IFERROR(__xludf.DUMMYFUNCTION("IFS(AND(
FILTER(IMPORTRANGE(""https://docs.google.com/spreadsheets/d/1BJSV3WBYJGRhQ6zExamkszQ5VutGIcaQqmbD9ZTVXMQ/edit#gid=1251630045"",""articles_with_PRISMA_reasons!Y2:Y2113""), $A69=IMPORTRANGE(""https://docs.google.com/spreadsheets/d/1BJSV3WBYJGRhQ6zE"&amp;"xamkszQ5VutGIcaQqmbD9ZTVXMQ/edit#gid=1251630045"",""articles_with_PRISMA_reasons!B2:B2113""))&gt;=2,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$A69=IMPORTRANGE(""https://docs.google.com/spreadsheets/d/1BJSV3WBYJGRhQ6zExamkszQ5VutGIcaQqmbD9ZTVXMQ/edit#gid=1251630045"",""articles_with_PRISMA_reasons!B2:B2113""))&lt;2),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$A69=IMPORTRANGE(""https://docs.google.com/spreadsheets/d/1BJSV3WBYJGRhQ6zExamkszQ5VutGIcaQqmbD9ZTVXMQ/edit#gid=1251630045"",""article"&amp;"s_with_PRISMA_reasons!B2:B2113""))&lt;2,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$A69=IMPORTRANGE(""https://docs.google.com/spr"&amp;"eadsheets/d/1BJSV3WBYJGRhQ6zExamkszQ5VutGIcaQqmbD9ZTVXMQ/edit#gid=1251630045"",""articles_with_PRISMA_reasons!B2:B2113""))&gt;=2),
""Exclude""
)"),"Include")</f>
        <v>Include</v>
      </c>
      <c r="E69" s="5" t="str">
        <f>IFERROR(__xludf.DUMMYFUNCTION("IFS(
D69=""Exclude"",""Exclude"",
AND(
FILTER(IMPORTRANGE(""https://docs.google.com/spreadsheets/d/1qpEmbGH0JjaJbUdp21-y2cPbobDbMjr09BbtdKROZWc/edit#gid=1444865654"",""articles_with_PRISMA_reasons!W2:W2113""), $A69=IMPORTRANGE(""https://docs.google.com/sp"&amp;"readsheets/d/1qpEmbGH0JjaJbUdp21-y2cPbobDbMjr09BbtdKROZWc/edit#gid=1444865654"",""articles_with_PRISMA_reasons!B2:B2113""))&gt;=2,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$A69=IMPORTRANGE(""https://docs.google.com/spreadsheets/d/1qpEmbGH0JjaJbUdp21-y2cPbobDbMjr09BbtdKROZWc/edit#gid=1444865654"",""articles_with_PRISMA_reasons!B2:B2113""))&lt;2),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$A69=IMPORTRANGE(""https://docs.google.com/spreadsheets/d/1qpEmbGH0JjaJbUdp21-y2cPbobDbMjr09BbtdKROZWc/"&amp;"edit#gid=1444865654"",""articles_with_PRISMA_reasons!B2:B2113""))&lt;2,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$A69=IMPORTRANG"&amp;"E(""https://docs.google.com/spreadsheets/d/1qpEmbGH0JjaJbUdp21-y2cPbobDbMjr09BbtdKROZWc/edit#gid=1444865654"",""articles_with_PRISMA_reasons!B2:B2113""))&gt;=2),
""Exclude""
)"),"Exclude")</f>
        <v>Exclude</v>
      </c>
      <c r="F69" s="5" t="str">
        <f>IFERROR(__xludf.DUMMYFUNCTION("IFS(
E69=""Exclude"",""Exclude"",
AND(
COUNTIF(
IMPORTRANGE(""https://docs.google.com/spreadsheets/d/1kGrh75X1cNR1D7_FcY9zMnHP8iPO4M5RCRjy6nZY0TY/edit#gid=0"",""Table 1: Study characteristics!B4:B171""),A69)&gt;0,
COUNTIF(Studies!$A$2:$A$85,FILTER(IMPORTRANG"&amp;"E(""https://docs.google.com/spreadsheets/d/1kGrh75X1cNR1D7_FcY9zMnHP8iPO4M5RCRjy6nZY0TY/edit#gid=0"",""Table 1: Study characteristics!A4:A171""), $A69=IMPORTRANGE(""https://docs.google.com/spreadsheets/d/1kGrh75X1cNR1D7_FcY9zMnHP8iPO4M5RCRjy6nZY0TY/edit#g"&amp;"id=0"",""Table 1: Study characteristics!B4:B171"")))&gt;0
),
""Include""
)"),"Exclude")</f>
        <v>Exclude</v>
      </c>
      <c r="G69" s="5" t="str">
        <f>IFERROR(__xludf.DUMMYFUNCTION("IFS(
D69=""Exclude"",
FILTER(IMPORTRANGE(""https://docs.google.com/spreadsheets/d/1BJSV3WBYJGRhQ6zExamkszQ5VutGIcaQqmbD9ZTVXMQ/edit#gid=1251630045"",""articles_with_PRISMA_reasons!AB2:AB2113""), $A69=IMPORTRANGE(""https://docs.google.com/spreadsheets/d/1B"&amp;"JSV3WBYJGRhQ6zExamkszQ5VutGIcaQqmbD9ZTVXMQ/edit#gid=1251630045"",""articles_with_PRISMA_reasons!B2:B2113"")),
E69=""Exclude"",
FILTER(IMPORTRANGE(""https://docs.google.com/spreadsheets/d/1qpEmbGH0JjaJbUdp21-y2cPbobDbMjr09BbtdKROZWc/edit#gid=1444865654"","&amp;"""articles_with_PRISMA_reasons!Z2:Z2113""), $A69=IMPORTRANGE(""https://docs.google.com/spreadsheets/d/1qpEmbGH0JjaJbUdp21-y2cPbobDbMjr09BbtdKROZWc/edit#gid=1444865654"",""articles_with_PRISMA_reasons!B2:B2113"")),F69
=""Include"",FILTER(IMPORTRANGE(""http"&amp;"s://docs.google.com/spreadsheets/d/1kGrh75X1cNR1D7_FcY9zMnHP8iPO4M5RCRjy6nZY0TY/edit#gid=0"",""Table 1: Study characteristics!A4:A171""), $A69=IMPORTRANGE(""https://docs.google.com/spreadsheets/d/1kGrh75X1cNR1D7_FcY9zMnHP8iPO4M5RCRjy6nZY0TY/edit#gid=0"","&amp;"""Table 1: Study characteristics!B4:B171""))
)"),"text not accessible")</f>
        <v>text not accessible</v>
      </c>
    </row>
    <row r="70">
      <c r="A70" s="4" t="str">
        <f>IFERROR(__xludf.DUMMYFUNCTION("""COMPUTED_VALUE"""),"[Morphologic analysis of congenital central nervous system malformations in children from the first of life dying in the years 1986-1990]")</f>
        <v>[Morphologic analysis of congenital central nervous system malformations in children from the first of life dying in the years 1986-1990]</v>
      </c>
      <c r="B70" s="5" t="str">
        <f>IFERROR(__xludf.DUMMYFUNCTION("LEFT(FILTER(IMPORTRANGE(""https://docs.google.com/spreadsheets/d/1BJSV3WBYJGRhQ6zExamkszQ5VutGIcaQqmbD9ZTVXMQ/edit#gid=1251630045"",""articles_with_PRISMA_reasons!K2:K2113""), $A70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$A70=IMPORTRANGE(""https://docs.google.com/spreadsheets/d/1BJSV3WBYJGRhQ6zExamkszQ5VutGIcaQqmbD9ZTVXMQ/edit#gid=1251630045"",""articles_with_PRISMA_reasons!B2:B2113"")))-1)"),"Sobaniec-Lotowska")</f>
        <v>Sobaniec-Lotowska</v>
      </c>
      <c r="C70" s="6">
        <f>IFERROR(__xludf.DUMMYFUNCTION("FILTER(IMPORTRANGE(""https://docs.google.com/spreadsheets/d/1BJSV3WBYJGRhQ6zExamkszQ5VutGIcaQqmbD9ZTVXMQ/edit#gid=1251630045"",""articles_with_PRISMA_reasons!C2:C2113""), $A70=IMPORTRANGE(""https://docs.google.com/spreadsheets/d/1BJSV3WBYJGRhQ6zExamkszQ5V"&amp;"utGIcaQqmbD9ZTVXMQ/edit#gid=1251630045"",""articles_with_PRISMA_reasons!B2:B2113""))"),1996.0)</f>
        <v>1996</v>
      </c>
      <c r="D70" s="5" t="str">
        <f>IFERROR(__xludf.DUMMYFUNCTION("IFS(AND(
FILTER(IMPORTRANGE(""https://docs.google.com/spreadsheets/d/1BJSV3WBYJGRhQ6zExamkszQ5VutGIcaQqmbD9ZTVXMQ/edit#gid=1251630045"",""articles_with_PRISMA_reasons!Y2:Y2113""), $A70=IMPORTRANGE(""https://docs.google.com/spreadsheets/d/1BJSV3WBYJGRhQ6zE"&amp;"xamkszQ5VutGIcaQqmbD9ZTVXMQ/edit#gid=1251630045"",""articles_with_PRISMA_reasons!B2:B2113""))&gt;=2,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$A70=IMPORTRANGE(""https://docs.google.com/spreadsheets/d/1BJSV3WBYJGRhQ6zExamkszQ5VutGIcaQqmbD9ZTVXMQ/edit#gid=1251630045"",""articles_with_PRISMA_reasons!B2:B2113""))&lt;2),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$A70=IMPORTRANGE(""https://docs.google.com/spreadsheets/d/1BJSV3WBYJGRhQ6zExamkszQ5VutGIcaQqmbD9ZTVXMQ/edit#gid=1251630045"",""article"&amp;"s_with_PRISMA_reasons!B2:B2113""))&lt;2,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$A70=IMPORTRANGE(""https://docs.google.com/spr"&amp;"eadsheets/d/1BJSV3WBYJGRhQ6zExamkszQ5VutGIcaQqmbD9ZTVXMQ/edit#gid=1251630045"",""articles_with_PRISMA_reasons!B2:B2113""))&gt;=2),
""Exclude""
)"),"Exclude")</f>
        <v>Exclude</v>
      </c>
      <c r="E70" s="5" t="str">
        <f>IFERROR(__xludf.DUMMYFUNCTION("IFS(
D70=""Exclude"",""Exclude"",
AND(
FILTER(IMPORTRANGE(""https://docs.google.com/spreadsheets/d/1qpEmbGH0JjaJbUdp21-y2cPbobDbMjr09BbtdKROZWc/edit#gid=1444865654"",""articles_with_PRISMA_reasons!W2:W2113""), $A70=IMPORTRANGE(""https://docs.google.com/sp"&amp;"readsheets/d/1qpEmbGH0JjaJbUdp21-y2cPbobDbMjr09BbtdKROZWc/edit#gid=1444865654"",""articles_with_PRISMA_reasons!B2:B2113""))&gt;=2,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$A70=IMPORTRANGE(""https://docs.google.com/spreadsheets/d/1qpEmbGH0JjaJbUdp21-y2cPbobDbMjr09BbtdKROZWc/edit#gid=1444865654"",""articles_with_PRISMA_reasons!B2:B2113""))&lt;2),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$A70=IMPORTRANGE(""https://docs.google.com/spreadsheets/d/1qpEmbGH0JjaJbUdp21-y2cPbobDbMjr09BbtdKROZWc/"&amp;"edit#gid=1444865654"",""articles_with_PRISMA_reasons!B2:B2113""))&lt;2,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$A70=IMPORTRANG"&amp;"E(""https://docs.google.com/spreadsheets/d/1qpEmbGH0JjaJbUdp21-y2cPbobDbMjr09BbtdKROZWc/edit#gid=1444865654"",""articles_with_PRISMA_reasons!B2:B2113""))&gt;=2),
""Exclude""
)"),"Exclude")</f>
        <v>Exclude</v>
      </c>
      <c r="F70" s="5" t="str">
        <f>IFERROR(__xludf.DUMMYFUNCTION("IFS(
E70=""Exclude"",""Exclude"",
AND(
COUNTIF(
IMPORTRANGE(""https://docs.google.com/spreadsheets/d/1kGrh75X1cNR1D7_FcY9zMnHP8iPO4M5RCRjy6nZY0TY/edit#gid=0"",""Table 1: Study characteristics!B4:B171""),A70)&gt;0,
COUNTIF(Studies!$A$2:$A$85,FILTER(IMPORTRANG"&amp;"E(""https://docs.google.com/spreadsheets/d/1kGrh75X1cNR1D7_FcY9zMnHP8iPO4M5RCRjy6nZY0TY/edit#gid=0"",""Table 1: Study characteristics!A4:A171""), $A70=IMPORTRANGE(""https://docs.google.com/spreadsheets/d/1kGrh75X1cNR1D7_FcY9zMnHP8iPO4M5RCRjy6nZY0TY/edit#g"&amp;"id=0"",""Table 1: Study characteristics!B4:B171"")))&gt;0
),
""Include""
)"),"Exclude")</f>
        <v>Exclude</v>
      </c>
      <c r="G70" s="5" t="str">
        <f>IFERROR(__xludf.DUMMYFUNCTION("IFS(
D70=""Exclude"",
FILTER(IMPORTRANGE(""https://docs.google.com/spreadsheets/d/1BJSV3WBYJGRhQ6zExamkszQ5VutGIcaQqmbD9ZTVXMQ/edit#gid=1251630045"",""articles_with_PRISMA_reasons!AB2:AB2113""), $A70=IMPORTRANGE(""https://docs.google.com/spreadsheets/d/1B"&amp;"JSV3WBYJGRhQ6zExamkszQ5VutGIcaQqmbD9ZTVXMQ/edit#gid=1251630045"",""articles_with_PRISMA_reasons!B2:B2113"")),
E70=""Exclude"",
FILTER(IMPORTRANGE(""https://docs.google.com/spreadsheets/d/1qpEmbGH0JjaJbUdp21-y2cPbobDbMjr09BbtdKROZWc/edit#gid=1444865654"","&amp;"""articles_with_PRISMA_reasons!Z2:Z2113""), $A70=IMPORTRANGE(""https://docs.google.com/spreadsheets/d/1qpEmbGH0JjaJbUdp21-y2cPbobDbMjr09BbtdKROZWc/edit#gid=1444865654"",""articles_with_PRISMA_reasons!B2:B2113"")),F70
=""Include"",FILTER(IMPORTRANGE(""http"&amp;"s://docs.google.com/spreadsheets/d/1kGrh75X1cNR1D7_FcY9zMnHP8iPO4M5RCRjy6nZY0TY/edit#gid=0"",""Table 1: Study characteristics!A4:A171""), $A70=IMPORTRANGE(""https://docs.google.com/spreadsheets/d/1kGrh75X1cNR1D7_FcY9zMnHP8iPO4M5RCRjy6nZY0TY/edit#gid=0"","&amp;"""Table 1: Study characteristics!B4:B171""))
)"),"Duplicate")</f>
        <v>Duplicate</v>
      </c>
    </row>
    <row r="71">
      <c r="A71" s="4" t="str">
        <f>IFERROR(__xludf.DUMMYFUNCTION("""COMPUTED_VALUE"""),"[Myelomeningocele and hydrocephalus in infants]")</f>
        <v>[Myelomeningocele and hydrocephalus in infants]</v>
      </c>
      <c r="B71" s="5" t="str">
        <f>IFERROR(__xludf.DUMMYFUNCTION("LEFT(FILTER(IMPORTRANGE(""https://docs.google.com/spreadsheets/d/1BJSV3WBYJGRhQ6zExamkszQ5VutGIcaQqmbD9ZTVXMQ/edit#gid=1251630045"",""articles_with_PRISMA_reasons!K2:K2113""), $A71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$A71=IMPORTRANGE(""https://docs.google.com/spreadsheets/d/1BJSV3WBYJGRhQ6zExamkszQ5VutGIcaQqmbD9ZTVXMQ/edit#gid=1251630045"",""articles_with_PRISMA_reasons!B2:B2113"")))-1)"),"Kuhlendahl")</f>
        <v>Kuhlendahl</v>
      </c>
      <c r="C71" s="6">
        <f>IFERROR(__xludf.DUMMYFUNCTION("FILTER(IMPORTRANGE(""https://docs.google.com/spreadsheets/d/1BJSV3WBYJGRhQ6zExamkszQ5VutGIcaQqmbD9ZTVXMQ/edit#gid=1251630045"",""articles_with_PRISMA_reasons!C2:C2113""), $A71=IMPORTRANGE(""https://docs.google.com/spreadsheets/d/1BJSV3WBYJGRhQ6zExamkszQ5V"&amp;"utGIcaQqmbD9ZTVXMQ/edit#gid=1251630045"",""articles_with_PRISMA_reasons!B2:B2113""))"),1966.0)</f>
        <v>1966</v>
      </c>
      <c r="D71" s="5" t="str">
        <f>IFERROR(__xludf.DUMMYFUNCTION("IFS(AND(
FILTER(IMPORTRANGE(""https://docs.google.com/spreadsheets/d/1BJSV3WBYJGRhQ6zExamkszQ5VutGIcaQqmbD9ZTVXMQ/edit#gid=1251630045"",""articles_with_PRISMA_reasons!Y2:Y2113""), $A71=IMPORTRANGE(""https://docs.google.com/spreadsheets/d/1BJSV3WBYJGRhQ6zE"&amp;"xamkszQ5VutGIcaQqmbD9ZTVXMQ/edit#gid=1251630045"",""articles_with_PRISMA_reasons!B2:B2113""))&gt;=2,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$A71=IMPORTRANGE(""https://docs.google.com/spreadsheets/d/1BJSV3WBYJGRhQ6zExamkszQ5VutGIcaQqmbD9ZTVXMQ/edit#gid=1251630045"",""articles_with_PRISMA_reasons!B2:B2113""))&lt;2),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$A71=IMPORTRANGE(""https://docs.google.com/spreadsheets/d/1BJSV3WBYJGRhQ6zExamkszQ5VutGIcaQqmbD9ZTVXMQ/edit#gid=1251630045"",""article"&amp;"s_with_PRISMA_reasons!B2:B2113""))&lt;2,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$A71=IMPORTRANGE(""https://docs.google.com/spr"&amp;"eadsheets/d/1BJSV3WBYJGRhQ6zExamkszQ5VutGIcaQqmbD9ZTVXMQ/edit#gid=1251630045"",""articles_with_PRISMA_reasons!B2:B2113""))&gt;=2),
""Exclude""
)"),"Include")</f>
        <v>Include</v>
      </c>
      <c r="E71" s="5" t="str">
        <f>IFERROR(__xludf.DUMMYFUNCTION("IFS(
D71=""Exclude"",""Exclude"",
AND(
FILTER(IMPORTRANGE(""https://docs.google.com/spreadsheets/d/1qpEmbGH0JjaJbUdp21-y2cPbobDbMjr09BbtdKROZWc/edit#gid=1444865654"",""articles_with_PRISMA_reasons!W2:W2113""), $A71=IMPORTRANGE(""https://docs.google.com/sp"&amp;"readsheets/d/1qpEmbGH0JjaJbUdp21-y2cPbobDbMjr09BbtdKROZWc/edit#gid=1444865654"",""articles_with_PRISMA_reasons!B2:B2113""))&gt;=2,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$A71=IMPORTRANGE(""https://docs.google.com/spreadsheets/d/1qpEmbGH0JjaJbUdp21-y2cPbobDbMjr09BbtdKROZWc/edit#gid=1444865654"",""articles_with_PRISMA_reasons!B2:B2113""))&lt;2),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$A71=IMPORTRANGE(""https://docs.google.com/spreadsheets/d/1qpEmbGH0JjaJbUdp21-y2cPbobDbMjr09BbtdKROZWc/"&amp;"edit#gid=1444865654"",""articles_with_PRISMA_reasons!B2:B2113""))&lt;2,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$A71=IMPORTRANG"&amp;"E(""https://docs.google.com/spreadsheets/d/1qpEmbGH0JjaJbUdp21-y2cPbobDbMjr09BbtdKROZWc/edit#gid=1444865654"",""articles_with_PRISMA_reasons!B2:B2113""))&gt;=2),
""Exclude""
)"),"Exclude")</f>
        <v>Exclude</v>
      </c>
      <c r="F71" s="5" t="str">
        <f>IFERROR(__xludf.DUMMYFUNCTION("IFS(
E71=""Exclude"",""Exclude"",
AND(
COUNTIF(
IMPORTRANGE(""https://docs.google.com/spreadsheets/d/1kGrh75X1cNR1D7_FcY9zMnHP8iPO4M5RCRjy6nZY0TY/edit#gid=0"",""Table 1: Study characteristics!B4:B171""),A71)&gt;0,
COUNTIF(Studies!$A$2:$A$85,FILTER(IMPORTRANG"&amp;"E(""https://docs.google.com/spreadsheets/d/1kGrh75X1cNR1D7_FcY9zMnHP8iPO4M5RCRjy6nZY0TY/edit#gid=0"",""Table 1: Study characteristics!A4:A171""), $A71=IMPORTRANGE(""https://docs.google.com/spreadsheets/d/1kGrh75X1cNR1D7_FcY9zMnHP8iPO4M5RCRjy6nZY0TY/edit#g"&amp;"id=0"",""Table 1: Study characteristics!B4:B171"")))&gt;0
),
""Include""
)"),"Exclude")</f>
        <v>Exclude</v>
      </c>
      <c r="G71" s="5" t="str">
        <f>IFERROR(__xludf.DUMMYFUNCTION("IFS(
D71=""Exclude"",
FILTER(IMPORTRANGE(""https://docs.google.com/spreadsheets/d/1BJSV3WBYJGRhQ6zExamkszQ5VutGIcaQqmbD9ZTVXMQ/edit#gid=1251630045"",""articles_with_PRISMA_reasons!AB2:AB2113""), $A71=IMPORTRANGE(""https://docs.google.com/spreadsheets/d/1B"&amp;"JSV3WBYJGRhQ6zExamkszQ5VutGIcaQqmbD9ZTVXMQ/edit#gid=1251630045"",""articles_with_PRISMA_reasons!B2:B2113"")),
E71=""Exclude"",
FILTER(IMPORTRANGE(""https://docs.google.com/spreadsheets/d/1qpEmbGH0JjaJbUdp21-y2cPbobDbMjr09BbtdKROZWc/edit#gid=1444865654"","&amp;"""articles_with_PRISMA_reasons!Z2:Z2113""), $A71=IMPORTRANGE(""https://docs.google.com/spreadsheets/d/1qpEmbGH0JjaJbUdp21-y2cPbobDbMjr09BbtdKROZWc/edit#gid=1444865654"",""articles_with_PRISMA_reasons!B2:B2113"")),F71
=""Include"",FILTER(IMPORTRANGE(""http"&amp;"s://docs.google.com/spreadsheets/d/1kGrh75X1cNR1D7_FcY9zMnHP8iPO4M5RCRjy6nZY0TY/edit#gid=0"",""Table 1: Study characteristics!A4:A171""), $A71=IMPORTRANGE(""https://docs.google.com/spreadsheets/d/1kGrh75X1cNR1D7_FcY9zMnHP8iPO4M5RCRjy6nZY0TY/edit#gid=0"","&amp;"""Table 1: Study characteristics!B4:B171""))
)"),"text not accessible")</f>
        <v>text not accessible</v>
      </c>
    </row>
    <row r="72">
      <c r="A72" s="4" t="str">
        <f>IFERROR(__xludf.DUMMYFUNCTION("""COMPUTED_VALUE"""),"[Myelomeningocele with hydrocephalus. Combined surgical treatment using the Spitz-Holter operation]")</f>
        <v>[Myelomeningocele with hydrocephalus. Combined surgical treatment using the Spitz-Holter operation]</v>
      </c>
      <c r="B72" s="5" t="str">
        <f>IFERROR(__xludf.DUMMYFUNCTION("LEFT(FILTER(IMPORTRANGE(""https://docs.google.com/spreadsheets/d/1BJSV3WBYJGRhQ6zExamkszQ5VutGIcaQqmbD9ZTVXMQ/edit#gid=1251630045"",""articles_with_PRISMA_reasons!K2:K2113""), $A72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$A72=IMPORTRANGE(""https://docs.google.com/spreadsheets/d/1BJSV3WBYJGRhQ6zExamkszQ5VutGIcaQqmbD9ZTVXMQ/edit#gid=1251630045"",""articles_with_PRISMA_reasons!B2:B2113"")))-1)"),"Matera")</f>
        <v>Matera</v>
      </c>
      <c r="C72" s="6">
        <f>IFERROR(__xludf.DUMMYFUNCTION("FILTER(IMPORTRANGE(""https://docs.google.com/spreadsheets/d/1BJSV3WBYJGRhQ6zExamkszQ5VutGIcaQqmbD9ZTVXMQ/edit#gid=1251630045"",""articles_with_PRISMA_reasons!C2:C2113""), $A72=IMPORTRANGE(""https://docs.google.com/spreadsheets/d/1BJSV3WBYJGRhQ6zExamkszQ5V"&amp;"utGIcaQqmbD9ZTVXMQ/edit#gid=1251630045"",""articles_with_PRISMA_reasons!B2:B2113""))"),1960.0)</f>
        <v>1960</v>
      </c>
      <c r="D72" s="5" t="str">
        <f>IFERROR(__xludf.DUMMYFUNCTION("IFS(AND(
FILTER(IMPORTRANGE(""https://docs.google.com/spreadsheets/d/1BJSV3WBYJGRhQ6zExamkszQ5VutGIcaQqmbD9ZTVXMQ/edit#gid=1251630045"",""articles_with_PRISMA_reasons!Y2:Y2113""), $A72=IMPORTRANGE(""https://docs.google.com/spreadsheets/d/1BJSV3WBYJGRhQ6zE"&amp;"xamkszQ5VutGIcaQqmbD9ZTVXMQ/edit#gid=1251630045"",""articles_with_PRISMA_reasons!B2:B2113""))&gt;=2,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$A72=IMPORTRANGE(""https://docs.google.com/spreadsheets/d/1BJSV3WBYJGRhQ6zExamkszQ5VutGIcaQqmbD9ZTVXMQ/edit#gid=1251630045"",""articles_with_PRISMA_reasons!B2:B2113""))&lt;2),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$A72=IMPORTRANGE(""https://docs.google.com/spreadsheets/d/1BJSV3WBYJGRhQ6zExamkszQ5VutGIcaQqmbD9ZTVXMQ/edit#gid=1251630045"",""article"&amp;"s_with_PRISMA_reasons!B2:B2113""))&lt;2,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$A72=IMPORTRANGE(""https://docs.google.com/spr"&amp;"eadsheets/d/1BJSV3WBYJGRhQ6zExamkszQ5VutGIcaQqmbD9ZTVXMQ/edit#gid=1251630045"",""articles_with_PRISMA_reasons!B2:B2113""))&gt;=2),
""Exclude""
)"),"Exclude")</f>
        <v>Exclude</v>
      </c>
      <c r="E72" s="5" t="str">
        <f>IFERROR(__xludf.DUMMYFUNCTION("IFS(
D72=""Exclude"",""Exclude"",
AND(
FILTER(IMPORTRANGE(""https://docs.google.com/spreadsheets/d/1qpEmbGH0JjaJbUdp21-y2cPbobDbMjr09BbtdKROZWc/edit#gid=1444865654"",""articles_with_PRISMA_reasons!W2:W2113""), $A72=IMPORTRANGE(""https://docs.google.com/sp"&amp;"readsheets/d/1qpEmbGH0JjaJbUdp21-y2cPbobDbMjr09BbtdKROZWc/edit#gid=1444865654"",""articles_with_PRISMA_reasons!B2:B2113""))&gt;=2,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$A72=IMPORTRANGE(""https://docs.google.com/spreadsheets/d/1qpEmbGH0JjaJbUdp21-y2cPbobDbMjr09BbtdKROZWc/edit#gid=1444865654"",""articles_with_PRISMA_reasons!B2:B2113""))&lt;2),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$A72=IMPORTRANGE(""https://docs.google.com/spreadsheets/d/1qpEmbGH0JjaJbUdp21-y2cPbobDbMjr09BbtdKROZWc/"&amp;"edit#gid=1444865654"",""articles_with_PRISMA_reasons!B2:B2113""))&lt;2,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$A72=IMPORTRANG"&amp;"E(""https://docs.google.com/spreadsheets/d/1qpEmbGH0JjaJbUdp21-y2cPbobDbMjr09BbtdKROZWc/edit#gid=1444865654"",""articles_with_PRISMA_reasons!B2:B2113""))&gt;=2),
""Exclude""
)"),"Exclude")</f>
        <v>Exclude</v>
      </c>
      <c r="F72" s="5" t="str">
        <f>IFERROR(__xludf.DUMMYFUNCTION("IFS(
E72=""Exclude"",""Exclude"",
AND(
COUNTIF(
IMPORTRANGE(""https://docs.google.com/spreadsheets/d/1kGrh75X1cNR1D7_FcY9zMnHP8iPO4M5RCRjy6nZY0TY/edit#gid=0"",""Table 1: Study characteristics!B4:B171""),A72)&gt;0,
COUNTIF(Studies!$A$2:$A$85,FILTER(IMPORTRANG"&amp;"E(""https://docs.google.com/spreadsheets/d/1kGrh75X1cNR1D7_FcY9zMnHP8iPO4M5RCRjy6nZY0TY/edit#gid=0"",""Table 1: Study characteristics!A4:A171""), $A72=IMPORTRANGE(""https://docs.google.com/spreadsheets/d/1kGrh75X1cNR1D7_FcY9zMnHP8iPO4M5RCRjy6nZY0TY/edit#g"&amp;"id=0"",""Table 1: Study characteristics!B4:B171"")))&gt;0
),
""Include""
)"),"Exclude")</f>
        <v>Exclude</v>
      </c>
      <c r="G72" s="5" t="str">
        <f>IFERROR(__xludf.DUMMYFUNCTION("IFS(
D72=""Exclude"",
FILTER(IMPORTRANGE(""https://docs.google.com/spreadsheets/d/1BJSV3WBYJGRhQ6zExamkszQ5VutGIcaQqmbD9ZTVXMQ/edit#gid=1251630045"",""articles_with_PRISMA_reasons!AB2:AB2113""), $A72=IMPORTRANGE(""https://docs.google.com/spreadsheets/d/1B"&amp;"JSV3WBYJGRhQ6zExamkszQ5VutGIcaQqmbD9ZTVXMQ/edit#gid=1251630045"",""articles_with_PRISMA_reasons!B2:B2113"")),
E72=""Exclude"",
FILTER(IMPORTRANGE(""https://docs.google.com/spreadsheets/d/1qpEmbGH0JjaJbUdp21-y2cPbobDbMjr09BbtdKROZWc/edit#gid=1444865654"","&amp;"""articles_with_PRISMA_reasons!Z2:Z2113""), $A72=IMPORTRANGE(""https://docs.google.com/spreadsheets/d/1qpEmbGH0JjaJbUdp21-y2cPbobDbMjr09BbtdKROZWc/edit#gid=1444865654"",""articles_with_PRISMA_reasons!B2:B2113"")),F72
=""Include"",FILTER(IMPORTRANGE(""http"&amp;"s://docs.google.com/spreadsheets/d/1kGrh75X1cNR1D7_FcY9zMnHP8iPO4M5RCRjy6nZY0TY/edit#gid=0"",""Table 1: Study characteristics!A4:A171""), $A72=IMPORTRANGE(""https://docs.google.com/spreadsheets/d/1kGrh75X1cNR1D7_FcY9zMnHP8iPO4M5RCRjy6nZY0TY/edit#gid=0"","&amp;"""Table 1: Study characteristics!B4:B171""))
)"),"wrong study design")</f>
        <v>wrong study design</v>
      </c>
    </row>
    <row r="73">
      <c r="A73" s="4" t="str">
        <f>IFERROR(__xludf.DUMMYFUNCTION("""COMPUTED_VALUE"""),"[Myelomeningocele--what can be done? Aids for evaluating rehabilitation from the orthopedic viewpoint]")</f>
        <v>[Myelomeningocele--what can be done? Aids for evaluating rehabilitation from the orthopedic viewpoint]</v>
      </c>
      <c r="B73" s="5" t="str">
        <f>IFERROR(__xludf.DUMMYFUNCTION("LEFT(FILTER(IMPORTRANGE(""https://docs.google.com/spreadsheets/d/1BJSV3WBYJGRhQ6zExamkszQ5VutGIcaQqmbD9ZTVXMQ/edit#gid=1251630045"",""articles_with_PRISMA_reasons!K2:K2113""), $A73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$A73=IMPORTRANGE(""https://docs.google.com/spreadsheets/d/1BJSV3WBYJGRhQ6zExamkszQ5VutGIcaQqmbD9ZTVXMQ/edit#gid=1251630045"",""articles_with_PRISMA_reasons!B2:B2113"")))-1)"),"Schiltenwolf")</f>
        <v>Schiltenwolf</v>
      </c>
      <c r="C73" s="6">
        <f>IFERROR(__xludf.DUMMYFUNCTION("FILTER(IMPORTRANGE(""https://docs.google.com/spreadsheets/d/1BJSV3WBYJGRhQ6zExamkszQ5VutGIcaQqmbD9ZTVXMQ/edit#gid=1251630045"",""articles_with_PRISMA_reasons!C2:C2113""), $A73=IMPORTRANGE(""https://docs.google.com/spreadsheets/d/1BJSV3WBYJGRhQ6zExamkszQ5V"&amp;"utGIcaQqmbD9ZTVXMQ/edit#gid=1251630045"",""articles_with_PRISMA_reasons!B2:B2113""))"),1992.0)</f>
        <v>1992</v>
      </c>
      <c r="D73" s="5" t="str">
        <f>IFERROR(__xludf.DUMMYFUNCTION("IFS(AND(
FILTER(IMPORTRANGE(""https://docs.google.com/spreadsheets/d/1BJSV3WBYJGRhQ6zExamkszQ5VutGIcaQqmbD9ZTVXMQ/edit#gid=1251630045"",""articles_with_PRISMA_reasons!Y2:Y2113""), $A73=IMPORTRANGE(""https://docs.google.com/spreadsheets/d/1BJSV3WBYJGRhQ6zE"&amp;"xamkszQ5VutGIcaQqmbD9ZTVXMQ/edit#gid=1251630045"",""articles_with_PRISMA_reasons!B2:B2113""))&gt;=2,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$A73=IMPORTRANGE(""https://docs.google.com/spreadsheets/d/1BJSV3WBYJGRhQ6zExamkszQ5VutGIcaQqmbD9ZTVXMQ/edit#gid=1251630045"",""articles_with_PRISMA_reasons!B2:B2113""))&lt;2),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$A73=IMPORTRANGE(""https://docs.google.com/spreadsheets/d/1BJSV3WBYJGRhQ6zExamkszQ5VutGIcaQqmbD9ZTVXMQ/edit#gid=1251630045"",""article"&amp;"s_with_PRISMA_reasons!B2:B2113""))&lt;2,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$A73=IMPORTRANGE(""https://docs.google.com/spr"&amp;"eadsheets/d/1BJSV3WBYJGRhQ6zExamkszQ5VutGIcaQqmbD9ZTVXMQ/edit#gid=1251630045"",""articles_with_PRISMA_reasons!B2:B2113""))&gt;=2),
""Exclude""
)"),"Exclude")</f>
        <v>Exclude</v>
      </c>
      <c r="E73" s="5" t="str">
        <f>IFERROR(__xludf.DUMMYFUNCTION("IFS(
D73=""Exclude"",""Exclude"",
AND(
FILTER(IMPORTRANGE(""https://docs.google.com/spreadsheets/d/1qpEmbGH0JjaJbUdp21-y2cPbobDbMjr09BbtdKROZWc/edit#gid=1444865654"",""articles_with_PRISMA_reasons!W2:W2113""), $A73=IMPORTRANGE(""https://docs.google.com/sp"&amp;"readsheets/d/1qpEmbGH0JjaJbUdp21-y2cPbobDbMjr09BbtdKROZWc/edit#gid=1444865654"",""articles_with_PRISMA_reasons!B2:B2113""))&gt;=2,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$A73=IMPORTRANGE(""https://docs.google.com/spreadsheets/d/1qpEmbGH0JjaJbUdp21-y2cPbobDbMjr09BbtdKROZWc/edit#gid=1444865654"",""articles_with_PRISMA_reasons!B2:B2113""))&lt;2),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$A73=IMPORTRANGE(""https://docs.google.com/spreadsheets/d/1qpEmbGH0JjaJbUdp21-y2cPbobDbMjr09BbtdKROZWc/"&amp;"edit#gid=1444865654"",""articles_with_PRISMA_reasons!B2:B2113""))&lt;2,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$A73=IMPORTRANG"&amp;"E(""https://docs.google.com/spreadsheets/d/1qpEmbGH0JjaJbUdp21-y2cPbobDbMjr09BbtdKROZWc/edit#gid=1444865654"",""articles_with_PRISMA_reasons!B2:B2113""))&gt;=2),
""Exclude""
)"),"Exclude")</f>
        <v>Exclude</v>
      </c>
      <c r="F73" s="5" t="str">
        <f>IFERROR(__xludf.DUMMYFUNCTION("IFS(
E73=""Exclude"",""Exclude"",
AND(
COUNTIF(
IMPORTRANGE(""https://docs.google.com/spreadsheets/d/1kGrh75X1cNR1D7_FcY9zMnHP8iPO4M5RCRjy6nZY0TY/edit#gid=0"",""Table 1: Study characteristics!B4:B171""),A73)&gt;0,
COUNTIF(Studies!$A$2:$A$85,FILTER(IMPORTRANG"&amp;"E(""https://docs.google.com/spreadsheets/d/1kGrh75X1cNR1D7_FcY9zMnHP8iPO4M5RCRjy6nZY0TY/edit#gid=0"",""Table 1: Study characteristics!A4:A171""), $A73=IMPORTRANGE(""https://docs.google.com/spreadsheets/d/1kGrh75X1cNR1D7_FcY9zMnHP8iPO4M5RCRjy6nZY0TY/edit#g"&amp;"id=0"",""Table 1: Study characteristics!B4:B171"")))&gt;0
),
""Include""
)"),"Exclude")</f>
        <v>Exclude</v>
      </c>
      <c r="G73" s="5" t="str">
        <f>IFERROR(__xludf.DUMMYFUNCTION("IFS(
D73=""Exclude"",
FILTER(IMPORTRANGE(""https://docs.google.com/spreadsheets/d/1BJSV3WBYJGRhQ6zExamkszQ5VutGIcaQqmbD9ZTVXMQ/edit#gid=1251630045"",""articles_with_PRISMA_reasons!AB2:AB2113""), $A73=IMPORTRANGE(""https://docs.google.com/spreadsheets/d/1B"&amp;"JSV3WBYJGRhQ6zExamkszQ5VutGIcaQqmbD9ZTVXMQ/edit#gid=1251630045"",""articles_with_PRISMA_reasons!B2:B2113"")),
E73=""Exclude"",
FILTER(IMPORTRANGE(""https://docs.google.com/spreadsheets/d/1qpEmbGH0JjaJbUdp21-y2cPbobDbMjr09BbtdKROZWc/edit#gid=1444865654"","&amp;"""articles_with_PRISMA_reasons!Z2:Z2113""), $A73=IMPORTRANGE(""https://docs.google.com/spreadsheets/d/1qpEmbGH0JjaJbUdp21-y2cPbobDbMjr09BbtdKROZWc/edit#gid=1444865654"",""articles_with_PRISMA_reasons!B2:B2113"")),F73
=""Include"",FILTER(IMPORTRANGE(""http"&amp;"s://docs.google.com/spreadsheets/d/1kGrh75X1cNR1D7_FcY9zMnHP8iPO4M5RCRjy6nZY0TY/edit#gid=0"",""Table 1: Study characteristics!A4:A171""), $A73=IMPORTRANGE(""https://docs.google.com/spreadsheets/d/1kGrh75X1cNR1D7_FcY9zMnHP8iPO4M5RCRjy6nZY0TY/edit#gid=0"","&amp;"""Table 1: Study characteristics!B4:B171""))
)"),"wrong study design")</f>
        <v>wrong study design</v>
      </c>
    </row>
    <row r="74">
      <c r="A74" s="4" t="str">
        <f>IFERROR(__xludf.DUMMYFUNCTION("""COMPUTED_VALUE"""),"[Myelomeningocele. Follow-up on infants operated upon for meningocele during the 10-year period 1957-1966]")</f>
        <v>[Myelomeningocele. Follow-up on infants operated upon for meningocele during the 10-year period 1957-1966]</v>
      </c>
      <c r="B74" s="5" t="str">
        <f>IFERROR(__xludf.DUMMYFUNCTION("LEFT(FILTER(IMPORTRANGE(""https://docs.google.com/spreadsheets/d/1BJSV3WBYJGRhQ6zExamkszQ5VutGIcaQqmbD9ZTVXMQ/edit#gid=1251630045"",""articles_with_PRISMA_reasons!K2:K2113""), $A74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$A74=IMPORTRANGE(""https://docs.google.com/spreadsheets/d/1BJSV3WBYJGRhQ6zExamkszQ5VutGIcaQqmbD9ZTVXMQ/edit#gid=1251630045"",""articles_with_PRISMA_reasons!B2:B2113"")))-1)"),"Vibild")</f>
        <v>Vibild</v>
      </c>
      <c r="C74" s="6">
        <f>IFERROR(__xludf.DUMMYFUNCTION("FILTER(IMPORTRANGE(""https://docs.google.com/spreadsheets/d/1BJSV3WBYJGRhQ6zExamkszQ5VutGIcaQqmbD9ZTVXMQ/edit#gid=1251630045"",""articles_with_PRISMA_reasons!C2:C2113""), $A74=IMPORTRANGE(""https://docs.google.com/spreadsheets/d/1BJSV3WBYJGRhQ6zExamkszQ5V"&amp;"utGIcaQqmbD9ZTVXMQ/edit#gid=1251630045"",""articles_with_PRISMA_reasons!B2:B2113""))"),1971.0)</f>
        <v>1971</v>
      </c>
      <c r="D74" s="5" t="str">
        <f>IFERROR(__xludf.DUMMYFUNCTION("IFS(AND(
FILTER(IMPORTRANGE(""https://docs.google.com/spreadsheets/d/1BJSV3WBYJGRhQ6zExamkszQ5VutGIcaQqmbD9ZTVXMQ/edit#gid=1251630045"",""articles_with_PRISMA_reasons!Y2:Y2113""), $A74=IMPORTRANGE(""https://docs.google.com/spreadsheets/d/1BJSV3WBYJGRhQ6zE"&amp;"xamkszQ5VutGIcaQqmbD9ZTVXMQ/edit#gid=1251630045"",""articles_with_PRISMA_reasons!B2:B2113""))&gt;=2,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$A74=IMPORTRANGE(""https://docs.google.com/spreadsheets/d/1BJSV3WBYJGRhQ6zExamkszQ5VutGIcaQqmbD9ZTVXMQ/edit#gid=1251630045"",""articles_with_PRISMA_reasons!B2:B2113""))&lt;2),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$A74=IMPORTRANGE(""https://docs.google.com/spreadsheets/d/1BJSV3WBYJGRhQ6zExamkszQ5VutGIcaQqmbD9ZTVXMQ/edit#gid=1251630045"",""article"&amp;"s_with_PRISMA_reasons!B2:B2113""))&lt;2,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$A74=IMPORTRANGE(""https://docs.google.com/spr"&amp;"eadsheets/d/1BJSV3WBYJGRhQ6zExamkszQ5VutGIcaQqmbD9ZTVXMQ/edit#gid=1251630045"",""articles_with_PRISMA_reasons!B2:B2113""))&gt;=2),
""Exclude""
)"),"Include")</f>
        <v>Include</v>
      </c>
      <c r="E74" s="5" t="str">
        <f>IFERROR(__xludf.DUMMYFUNCTION("IFS(
D74=""Exclude"",""Exclude"",
AND(
FILTER(IMPORTRANGE(""https://docs.google.com/spreadsheets/d/1qpEmbGH0JjaJbUdp21-y2cPbobDbMjr09BbtdKROZWc/edit#gid=1444865654"",""articles_with_PRISMA_reasons!W2:W2113""), $A74=IMPORTRANGE(""https://docs.google.com/sp"&amp;"readsheets/d/1qpEmbGH0JjaJbUdp21-y2cPbobDbMjr09BbtdKROZWc/edit#gid=1444865654"",""articles_with_PRISMA_reasons!B2:B2113""))&gt;=2,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$A74=IMPORTRANGE(""https://docs.google.com/spreadsheets/d/1qpEmbGH0JjaJbUdp21-y2cPbobDbMjr09BbtdKROZWc/edit#gid=1444865654"",""articles_with_PRISMA_reasons!B2:B2113""))&lt;2),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$A74=IMPORTRANGE(""https://docs.google.com/spreadsheets/d/1qpEmbGH0JjaJbUdp21-y2cPbobDbMjr09BbtdKROZWc/"&amp;"edit#gid=1444865654"",""articles_with_PRISMA_reasons!B2:B2113""))&lt;2,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$A74=IMPORTRANG"&amp;"E(""https://docs.google.com/spreadsheets/d/1qpEmbGH0JjaJbUdp21-y2cPbobDbMjr09BbtdKROZWc/edit#gid=1444865654"",""articles_with_PRISMA_reasons!B2:B2113""))&gt;=2),
""Exclude""
)"),"Exclude")</f>
        <v>Exclude</v>
      </c>
      <c r="F74" s="5" t="str">
        <f>IFERROR(__xludf.DUMMYFUNCTION("IFS(
E74=""Exclude"",""Exclude"",
AND(
COUNTIF(
IMPORTRANGE(""https://docs.google.com/spreadsheets/d/1kGrh75X1cNR1D7_FcY9zMnHP8iPO4M5RCRjy6nZY0TY/edit#gid=0"",""Table 1: Study characteristics!B4:B171""),A74)&gt;0,
COUNTIF(Studies!$A$2:$A$85,FILTER(IMPORTRANG"&amp;"E(""https://docs.google.com/spreadsheets/d/1kGrh75X1cNR1D7_FcY9zMnHP8iPO4M5RCRjy6nZY0TY/edit#gid=0"",""Table 1: Study characteristics!A4:A171""), $A74=IMPORTRANGE(""https://docs.google.com/spreadsheets/d/1kGrh75X1cNR1D7_FcY9zMnHP8iPO4M5RCRjy6nZY0TY/edit#g"&amp;"id=0"",""Table 1: Study characteristics!B4:B171"")))&gt;0
),
""Include""
)"),"Exclude")</f>
        <v>Exclude</v>
      </c>
      <c r="G74" s="5" t="str">
        <f>IFERROR(__xludf.DUMMYFUNCTION("IFS(
D74=""Exclude"",
FILTER(IMPORTRANGE(""https://docs.google.com/spreadsheets/d/1BJSV3WBYJGRhQ6zExamkszQ5VutGIcaQqmbD9ZTVXMQ/edit#gid=1251630045"",""articles_with_PRISMA_reasons!AB2:AB2113""), $A74=IMPORTRANGE(""https://docs.google.com/spreadsheets/d/1B"&amp;"JSV3WBYJGRhQ6zExamkszQ5VutGIcaQqmbD9ZTVXMQ/edit#gid=1251630045"",""articles_with_PRISMA_reasons!B2:B2113"")),
E74=""Exclude"",
FILTER(IMPORTRANGE(""https://docs.google.com/spreadsheets/d/1qpEmbGH0JjaJbUdp21-y2cPbobDbMjr09BbtdKROZWc/edit#gid=1444865654"","&amp;"""articles_with_PRISMA_reasons!Z2:Z2113""), $A74=IMPORTRANGE(""https://docs.google.com/spreadsheets/d/1qpEmbGH0JjaJbUdp21-y2cPbobDbMjr09BbtdKROZWc/edit#gid=1444865654"",""articles_with_PRISMA_reasons!B2:B2113"")),F74
=""Include"",FILTER(IMPORTRANGE(""http"&amp;"s://docs.google.com/spreadsheets/d/1kGrh75X1cNR1D7_FcY9zMnHP8iPO4M5RCRjy6nZY0TY/edit#gid=0"",""Table 1: Study characteristics!A4:A171""), $A74=IMPORTRANGE(""https://docs.google.com/spreadsheets/d/1kGrh75X1cNR1D7_FcY9zMnHP8iPO4M5RCRjy6nZY0TY/edit#gid=0"","&amp;"""Table 1: Study characteristics!B4:B171""))
)"),"text not accessible")</f>
        <v>text not accessible</v>
      </c>
    </row>
    <row r="75">
      <c r="A75" s="4" t="str">
        <f>IFERROR(__xludf.DUMMYFUNCTION("""COMPUTED_VALUE"""),"[Myelomeningocoele - how did the procedure during the first stage of surgical treatment change. Analysis of two groups of patients treated in the years 1986-1992 and 1999-2005]")</f>
        <v>[Myelomeningocoele - how did the procedure during the first stage of surgical treatment change. Analysis of two groups of patients treated in the years 1986-1992 and 1999-2005]</v>
      </c>
      <c r="B75" s="5" t="str">
        <f>IFERROR(__xludf.DUMMYFUNCTION("LEFT(FILTER(IMPORTRANGE(""https://docs.google.com/spreadsheets/d/1BJSV3WBYJGRhQ6zExamkszQ5VutGIcaQqmbD9ZTVXMQ/edit#gid=1251630045"",""articles_with_PRISMA_reasons!K2:K2113""), $A75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$A75=IMPORTRANGE(""https://docs.google.com/spreadsheets/d/1BJSV3WBYJGRhQ6zExamkszQ5VutGIcaQqmbD9ZTVXMQ/edit#gid=1251630045"",""articles_with_PRISMA_reasons!B2:B2113"")))-1)"),"Boczar")</f>
        <v>Boczar</v>
      </c>
      <c r="C75" s="6">
        <f>IFERROR(__xludf.DUMMYFUNCTION("FILTER(IMPORTRANGE(""https://docs.google.com/spreadsheets/d/1BJSV3WBYJGRhQ6zExamkszQ5VutGIcaQqmbD9ZTVXMQ/edit#gid=1251630045"",""articles_with_PRISMA_reasons!C2:C2113""), $A75=IMPORTRANGE(""https://docs.google.com/spreadsheets/d/1BJSV3WBYJGRhQ6zExamkszQ5V"&amp;"utGIcaQqmbD9ZTVXMQ/edit#gid=1251630045"",""articles_with_PRISMA_reasons!B2:B2113""))"),2009.0)</f>
        <v>2009</v>
      </c>
      <c r="D75" s="5" t="str">
        <f>IFERROR(__xludf.DUMMYFUNCTION("IFS(AND(
FILTER(IMPORTRANGE(""https://docs.google.com/spreadsheets/d/1BJSV3WBYJGRhQ6zExamkszQ5VutGIcaQqmbD9ZTVXMQ/edit#gid=1251630045"",""articles_with_PRISMA_reasons!Y2:Y2113""), $A75=IMPORTRANGE(""https://docs.google.com/spreadsheets/d/1BJSV3WBYJGRhQ6zE"&amp;"xamkszQ5VutGIcaQqmbD9ZTVXMQ/edit#gid=1251630045"",""articles_with_PRISMA_reasons!B2:B2113""))&gt;=2,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$A75=IMPORTRANGE(""https://docs.google.com/spreadsheets/d/1BJSV3WBYJGRhQ6zExamkszQ5VutGIcaQqmbD9ZTVXMQ/edit#gid=1251630045"",""articles_with_PRISMA_reasons!B2:B2113""))&lt;2),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$A75=IMPORTRANGE(""https://docs.google.com/spreadsheets/d/1BJSV3WBYJGRhQ6zExamkszQ5VutGIcaQqmbD9ZTVXMQ/edit#gid=1251630045"",""article"&amp;"s_with_PRISMA_reasons!B2:B2113""))&lt;2,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$A75=IMPORTRANGE(""https://docs.google.com/spr"&amp;"eadsheets/d/1BJSV3WBYJGRhQ6zExamkszQ5VutGIcaQqmbD9ZTVXMQ/edit#gid=1251630045"",""articles_with_PRISMA_reasons!B2:B2113""))&gt;=2),
""Exclude""
)"),"Include")</f>
        <v>Include</v>
      </c>
      <c r="E75" s="5" t="str">
        <f>IFERROR(__xludf.DUMMYFUNCTION("IFS(
D75=""Exclude"",""Exclude"",
AND(
FILTER(IMPORTRANGE(""https://docs.google.com/spreadsheets/d/1qpEmbGH0JjaJbUdp21-y2cPbobDbMjr09BbtdKROZWc/edit#gid=1444865654"",""articles_with_PRISMA_reasons!W2:W2113""), $A75=IMPORTRANGE(""https://docs.google.com/sp"&amp;"readsheets/d/1qpEmbGH0JjaJbUdp21-y2cPbobDbMjr09BbtdKROZWc/edit#gid=1444865654"",""articles_with_PRISMA_reasons!B2:B2113""))&gt;=2,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$A75=IMPORTRANGE(""https://docs.google.com/spreadsheets/d/1qpEmbGH0JjaJbUdp21-y2cPbobDbMjr09BbtdKROZWc/edit#gid=1444865654"",""articles_with_PRISMA_reasons!B2:B2113""))&lt;2),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$A75=IMPORTRANGE(""https://docs.google.com/spreadsheets/d/1qpEmbGH0JjaJbUdp21-y2cPbobDbMjr09BbtdKROZWc/"&amp;"edit#gid=1444865654"",""articles_with_PRISMA_reasons!B2:B2113""))&lt;2,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$A75=IMPORTRANG"&amp;"E(""https://docs.google.com/spreadsheets/d/1qpEmbGH0JjaJbUdp21-y2cPbobDbMjr09BbtdKROZWc/edit#gid=1444865654"",""articles_with_PRISMA_reasons!B2:B2113""))&gt;=2),
""Exclude""
)"),"Exclude")</f>
        <v>Exclude</v>
      </c>
      <c r="F75" s="5" t="str">
        <f>IFERROR(__xludf.DUMMYFUNCTION("IFS(
E75=""Exclude"",""Exclude"",
AND(
COUNTIF(
IMPORTRANGE(""https://docs.google.com/spreadsheets/d/1kGrh75X1cNR1D7_FcY9zMnHP8iPO4M5RCRjy6nZY0TY/edit#gid=0"",""Table 1: Study characteristics!B4:B171""),A75)&gt;0,
COUNTIF(Studies!$A$2:$A$85,FILTER(IMPORTRANG"&amp;"E(""https://docs.google.com/spreadsheets/d/1kGrh75X1cNR1D7_FcY9zMnHP8iPO4M5RCRjy6nZY0TY/edit#gid=0"",""Table 1: Study characteristics!A4:A171""), $A75=IMPORTRANGE(""https://docs.google.com/spreadsheets/d/1kGrh75X1cNR1D7_FcY9zMnHP8iPO4M5RCRjy6nZY0TY/edit#g"&amp;"id=0"",""Table 1: Study characteristics!B4:B171"")))&gt;0
),
""Include""
)"),"Exclude")</f>
        <v>Exclude</v>
      </c>
      <c r="G75" s="5" t="str">
        <f>IFERROR(__xludf.DUMMYFUNCTION("IFS(
D75=""Exclude"",
FILTER(IMPORTRANGE(""https://docs.google.com/spreadsheets/d/1BJSV3WBYJGRhQ6zExamkszQ5VutGIcaQqmbD9ZTVXMQ/edit#gid=1251630045"",""articles_with_PRISMA_reasons!AB2:AB2113""), $A75=IMPORTRANGE(""https://docs.google.com/spreadsheets/d/1B"&amp;"JSV3WBYJGRhQ6zExamkszQ5VutGIcaQqmbD9ZTVXMQ/edit#gid=1251630045"",""articles_with_PRISMA_reasons!B2:B2113"")),
E75=""Exclude"",
FILTER(IMPORTRANGE(""https://docs.google.com/spreadsheets/d/1qpEmbGH0JjaJbUdp21-y2cPbobDbMjr09BbtdKROZWc/edit#gid=1444865654"","&amp;"""articles_with_PRISMA_reasons!Z2:Z2113""), $A75=IMPORTRANGE(""https://docs.google.com/spreadsheets/d/1qpEmbGH0JjaJbUdp21-y2cPbobDbMjr09BbtdKROZWc/edit#gid=1444865654"",""articles_with_PRISMA_reasons!B2:B2113"")),F75
=""Include"",FILTER(IMPORTRANGE(""http"&amp;"s://docs.google.com/spreadsheets/d/1kGrh75X1cNR1D7_FcY9zMnHP8iPO4M5RCRjy6nZY0TY/edit#gid=0"",""Table 1: Study characteristics!A4:A171""), $A75=IMPORTRANGE(""https://docs.google.com/spreadsheets/d/1kGrh75X1cNR1D7_FcY9zMnHP8iPO4M5RCRjy6nZY0TY/edit#gid=0"","&amp;"""Table 1: Study characteristics!B4:B171""))
)"),"text not accessible")</f>
        <v>text not accessible</v>
      </c>
    </row>
    <row r="76">
      <c r="A76" s="4" t="str">
        <f>IFERROR(__xludf.DUMMYFUNCTION("""COMPUTED_VALUE"""),"[Neuroendoscopy in the treatment of obstructive hydrocephaly]")</f>
        <v>[Neuroendoscopy in the treatment of obstructive hydrocephaly]</v>
      </c>
      <c r="B76" s="5" t="str">
        <f>IFERROR(__xludf.DUMMYFUNCTION("LEFT(FILTER(IMPORTRANGE(""https://docs.google.com/spreadsheets/d/1BJSV3WBYJGRhQ6zExamkszQ5VutGIcaQqmbD9ZTVXMQ/edit#gid=1251630045"",""articles_with_PRISMA_reasons!K2:K2113""), $A76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$A76=IMPORTRANGE(""https://docs.google.com/spreadsheets/d/1BJSV3WBYJGRhQ6zExamkszQ5VutGIcaQqmbD9ZTVXMQ/edit#gid=1251630045"",""articles_with_PRISMA_reasons!B2:B2113"")))-1)"),"Pereira")</f>
        <v>Pereira</v>
      </c>
      <c r="C76" s="6">
        <f>IFERROR(__xludf.DUMMYFUNCTION("FILTER(IMPORTRANGE(""https://docs.google.com/spreadsheets/d/1BJSV3WBYJGRhQ6zExamkszQ5VutGIcaQqmbD9ZTVXMQ/edit#gid=1251630045"",""articles_with_PRISMA_reasons!C2:C2113""), $A76=IMPORTRANGE(""https://docs.google.com/spreadsheets/d/1BJSV3WBYJGRhQ6zExamkszQ5V"&amp;"utGIcaQqmbD9ZTVXMQ/edit#gid=1251630045"",""articles_with_PRISMA_reasons!B2:B2113""))"),2002.0)</f>
        <v>2002</v>
      </c>
      <c r="D76" s="5" t="str">
        <f>IFERROR(__xludf.DUMMYFUNCTION("IFS(AND(
FILTER(IMPORTRANGE(""https://docs.google.com/spreadsheets/d/1BJSV3WBYJGRhQ6zExamkszQ5VutGIcaQqmbD9ZTVXMQ/edit#gid=1251630045"",""articles_with_PRISMA_reasons!Y2:Y2113""), $A76=IMPORTRANGE(""https://docs.google.com/spreadsheets/d/1BJSV3WBYJGRhQ6zE"&amp;"xamkszQ5VutGIcaQqmbD9ZTVXMQ/edit#gid=1251630045"",""articles_with_PRISMA_reasons!B2:B2113""))&gt;=2,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$A76=IMPORTRANGE(""https://docs.google.com/spreadsheets/d/1BJSV3WBYJGRhQ6zExamkszQ5VutGIcaQqmbD9ZTVXMQ/edit#gid=1251630045"",""articles_with_PRISMA_reasons!B2:B2113""))&lt;2),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$A76=IMPORTRANGE(""https://docs.google.com/spreadsheets/d/1BJSV3WBYJGRhQ6zExamkszQ5VutGIcaQqmbD9ZTVXMQ/edit#gid=1251630045"",""article"&amp;"s_with_PRISMA_reasons!B2:B2113""))&lt;2,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$A76=IMPORTRANGE(""https://docs.google.com/spr"&amp;"eadsheets/d/1BJSV3WBYJGRhQ6zExamkszQ5VutGIcaQqmbD9ZTVXMQ/edit#gid=1251630045"",""articles_with_PRISMA_reasons!B2:B2113""))&gt;=2),
""Exclude""
)"),"Exclude")</f>
        <v>Exclude</v>
      </c>
      <c r="E76" s="5" t="str">
        <f>IFERROR(__xludf.DUMMYFUNCTION("IFS(
D76=""Exclude"",""Exclude"",
AND(
FILTER(IMPORTRANGE(""https://docs.google.com/spreadsheets/d/1qpEmbGH0JjaJbUdp21-y2cPbobDbMjr09BbtdKROZWc/edit#gid=1444865654"",""articles_with_PRISMA_reasons!W2:W2113""), $A76=IMPORTRANGE(""https://docs.google.com/sp"&amp;"readsheets/d/1qpEmbGH0JjaJbUdp21-y2cPbobDbMjr09BbtdKROZWc/edit#gid=1444865654"",""articles_with_PRISMA_reasons!B2:B2113""))&gt;=2,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$A76=IMPORTRANGE(""https://docs.google.com/spreadsheets/d/1qpEmbGH0JjaJbUdp21-y2cPbobDbMjr09BbtdKROZWc/edit#gid=1444865654"",""articles_with_PRISMA_reasons!B2:B2113""))&lt;2),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$A76=IMPORTRANGE(""https://docs.google.com/spreadsheets/d/1qpEmbGH0JjaJbUdp21-y2cPbobDbMjr09BbtdKROZWc/"&amp;"edit#gid=1444865654"",""articles_with_PRISMA_reasons!B2:B2113""))&lt;2,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$A76=IMPORTRANG"&amp;"E(""https://docs.google.com/spreadsheets/d/1qpEmbGH0JjaJbUdp21-y2cPbobDbMjr09BbtdKROZWc/edit#gid=1444865654"",""articles_with_PRISMA_reasons!B2:B2113""))&gt;=2),
""Exclude""
)"),"Exclude")</f>
        <v>Exclude</v>
      </c>
      <c r="F76" s="5" t="str">
        <f>IFERROR(__xludf.DUMMYFUNCTION("IFS(
E76=""Exclude"",""Exclude"",
AND(
COUNTIF(
IMPORTRANGE(""https://docs.google.com/spreadsheets/d/1kGrh75X1cNR1D7_FcY9zMnHP8iPO4M5RCRjy6nZY0TY/edit#gid=0"",""Table 1: Study characteristics!B4:B171""),A76)&gt;0,
COUNTIF(Studies!$A$2:$A$85,FILTER(IMPORTRANG"&amp;"E(""https://docs.google.com/spreadsheets/d/1kGrh75X1cNR1D7_FcY9zMnHP8iPO4M5RCRjy6nZY0TY/edit#gid=0"",""Table 1: Study characteristics!A4:A171""), $A76=IMPORTRANGE(""https://docs.google.com/spreadsheets/d/1kGrh75X1cNR1D7_FcY9zMnHP8iPO4M5RCRjy6nZY0TY/edit#g"&amp;"id=0"",""Table 1: Study characteristics!B4:B171"")))&gt;0
),
""Include""
)"),"Exclude")</f>
        <v>Exclude</v>
      </c>
      <c r="G76" s="5" t="str">
        <f>IFERROR(__xludf.DUMMYFUNCTION("IFS(
D76=""Exclude"",
FILTER(IMPORTRANGE(""https://docs.google.com/spreadsheets/d/1BJSV3WBYJGRhQ6zExamkszQ5VutGIcaQqmbD9ZTVXMQ/edit#gid=1251630045"",""articles_with_PRISMA_reasons!AB2:AB2113""), $A76=IMPORTRANGE(""https://docs.google.com/spreadsheets/d/1B"&amp;"JSV3WBYJGRhQ6zExamkszQ5VutGIcaQqmbD9ZTVXMQ/edit#gid=1251630045"",""articles_with_PRISMA_reasons!B2:B2113"")),
E76=""Exclude"",
FILTER(IMPORTRANGE(""https://docs.google.com/spreadsheets/d/1qpEmbGH0JjaJbUdp21-y2cPbobDbMjr09BbtdKROZWc/edit#gid=1444865654"","&amp;"""articles_with_PRISMA_reasons!Z2:Z2113""), $A76=IMPORTRANGE(""https://docs.google.com/spreadsheets/d/1qpEmbGH0JjaJbUdp21-y2cPbobDbMjr09BbtdKROZWc/edit#gid=1444865654"",""articles_with_PRISMA_reasons!B2:B2113"")),F76
=""Include"",FILTER(IMPORTRANGE(""http"&amp;"s://docs.google.com/spreadsheets/d/1kGrh75X1cNR1D7_FcY9zMnHP8iPO4M5RCRjy6nZY0TY/edit#gid=0"",""Table 1: Study characteristics!A4:A171""), $A76=IMPORTRANGE(""https://docs.google.com/spreadsheets/d/1kGrh75X1cNR1D7_FcY9zMnHP8iPO4M5RCRjy6nZY0TY/edit#gid=0"","&amp;"""Table 1: Study characteristics!B4:B171""))
)"),"Duplicate")</f>
        <v>Duplicate</v>
      </c>
    </row>
    <row r="77">
      <c r="A77" s="4" t="str">
        <f>IFERROR(__xludf.DUMMYFUNCTION("""COMPUTED_VALUE"""),"[Neuroendoscopy. Its usefulness in the hydrocephalus management of children in developing countries]")</f>
        <v>[Neuroendoscopy. Its usefulness in the hydrocephalus management of children in developing countries]</v>
      </c>
      <c r="B77" s="5" t="str">
        <f>IFERROR(__xludf.DUMMYFUNCTION("LEFT(FILTER(IMPORTRANGE(""https://docs.google.com/spreadsheets/d/1BJSV3WBYJGRhQ6zExamkszQ5VutGIcaQqmbD9ZTVXMQ/edit#gid=1251630045"",""articles_with_PRISMA_reasons!K2:K2113""), $A77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$A77=IMPORTRANGE(""https://docs.google.com/spreadsheets/d/1BJSV3WBYJGRhQ6zExamkszQ5VutGIcaQqmbD9ZTVXMQ/edit#gid=1251630045"",""articles_with_PRISMA_reasons!B2:B2113"")))-1)"),"Jimenez-Leon")</f>
        <v>Jimenez-Leon</v>
      </c>
      <c r="C77" s="6">
        <f>IFERROR(__xludf.DUMMYFUNCTION("FILTER(IMPORTRANGE(""https://docs.google.com/spreadsheets/d/1BJSV3WBYJGRhQ6zExamkszQ5VutGIcaQqmbD9ZTVXMQ/edit#gid=1251630045"",""articles_with_PRISMA_reasons!C2:C2113""), $A77=IMPORTRANGE(""https://docs.google.com/spreadsheets/d/1BJSV3WBYJGRhQ6zExamkszQ5V"&amp;"utGIcaQqmbD9ZTVXMQ/edit#gid=1251630045"",""articles_with_PRISMA_reasons!B2:B2113""))"),2007.0)</f>
        <v>2007</v>
      </c>
      <c r="D77" s="5" t="str">
        <f>IFERROR(__xludf.DUMMYFUNCTION("IFS(AND(
FILTER(IMPORTRANGE(""https://docs.google.com/spreadsheets/d/1BJSV3WBYJGRhQ6zExamkszQ5VutGIcaQqmbD9ZTVXMQ/edit#gid=1251630045"",""articles_with_PRISMA_reasons!Y2:Y2113""), $A77=IMPORTRANGE(""https://docs.google.com/spreadsheets/d/1BJSV3WBYJGRhQ6zE"&amp;"xamkszQ5VutGIcaQqmbD9ZTVXMQ/edit#gid=1251630045"",""articles_with_PRISMA_reasons!B2:B2113""))&gt;=2,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$A77=IMPORTRANGE(""https://docs.google.com/spreadsheets/d/1BJSV3WBYJGRhQ6zExamkszQ5VutGIcaQqmbD9ZTVXMQ/edit#gid=1251630045"",""articles_with_PRISMA_reasons!B2:B2113""))&lt;2),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$A77=IMPORTRANGE(""https://docs.google.com/spreadsheets/d/1BJSV3WBYJGRhQ6zExamkszQ5VutGIcaQqmbD9ZTVXMQ/edit#gid=1251630045"",""article"&amp;"s_with_PRISMA_reasons!B2:B2113""))&lt;2,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$A77=IMPORTRANGE(""https://docs.google.com/spr"&amp;"eadsheets/d/1BJSV3WBYJGRhQ6zExamkszQ5VutGIcaQqmbD9ZTVXMQ/edit#gid=1251630045"",""articles_with_PRISMA_reasons!B2:B2113""))&gt;=2),
""Exclude""
)"),"Exclude")</f>
        <v>Exclude</v>
      </c>
      <c r="E77" s="5" t="str">
        <f>IFERROR(__xludf.DUMMYFUNCTION("IFS(
D77=""Exclude"",""Exclude"",
AND(
FILTER(IMPORTRANGE(""https://docs.google.com/spreadsheets/d/1qpEmbGH0JjaJbUdp21-y2cPbobDbMjr09BbtdKROZWc/edit#gid=1444865654"",""articles_with_PRISMA_reasons!W2:W2113""), $A77=IMPORTRANGE(""https://docs.google.com/sp"&amp;"readsheets/d/1qpEmbGH0JjaJbUdp21-y2cPbobDbMjr09BbtdKROZWc/edit#gid=1444865654"",""articles_with_PRISMA_reasons!B2:B2113""))&gt;=2,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$A77=IMPORTRANGE(""https://docs.google.com/spreadsheets/d/1qpEmbGH0JjaJbUdp21-y2cPbobDbMjr09BbtdKROZWc/edit#gid=1444865654"",""articles_with_PRISMA_reasons!B2:B2113""))&lt;2),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$A77=IMPORTRANGE(""https://docs.google.com/spreadsheets/d/1qpEmbGH0JjaJbUdp21-y2cPbobDbMjr09BbtdKROZWc/"&amp;"edit#gid=1444865654"",""articles_with_PRISMA_reasons!B2:B2113""))&lt;2,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$A77=IMPORTRANG"&amp;"E(""https://docs.google.com/spreadsheets/d/1qpEmbGH0JjaJbUdp21-y2cPbobDbMjr09BbtdKROZWc/edit#gid=1444865654"",""articles_with_PRISMA_reasons!B2:B2113""))&gt;=2),
""Exclude""
)"),"Exclude")</f>
        <v>Exclude</v>
      </c>
      <c r="F77" s="5" t="str">
        <f>IFERROR(__xludf.DUMMYFUNCTION("IFS(
E77=""Exclude"",""Exclude"",
AND(
COUNTIF(
IMPORTRANGE(""https://docs.google.com/spreadsheets/d/1kGrh75X1cNR1D7_FcY9zMnHP8iPO4M5RCRjy6nZY0TY/edit#gid=0"",""Table 1: Study characteristics!B4:B171""),A77)&gt;0,
COUNTIF(Studies!$A$2:$A$85,FILTER(IMPORTRANG"&amp;"E(""https://docs.google.com/spreadsheets/d/1kGrh75X1cNR1D7_FcY9zMnHP8iPO4M5RCRjy6nZY0TY/edit#gid=0"",""Table 1: Study characteristics!A4:A171""), $A77=IMPORTRANGE(""https://docs.google.com/spreadsheets/d/1kGrh75X1cNR1D7_FcY9zMnHP8iPO4M5RCRjy6nZY0TY/edit#g"&amp;"id=0"",""Table 1: Study characteristics!B4:B171"")))&gt;0
),
""Include""
)"),"Exclude")</f>
        <v>Exclude</v>
      </c>
      <c r="G77" s="5" t="str">
        <f>IFERROR(__xludf.DUMMYFUNCTION("IFS(
D77=""Exclude"",
FILTER(IMPORTRANGE(""https://docs.google.com/spreadsheets/d/1BJSV3WBYJGRhQ6zExamkszQ5VutGIcaQqmbD9ZTVXMQ/edit#gid=1251630045"",""articles_with_PRISMA_reasons!AB2:AB2113""), $A77=IMPORTRANGE(""https://docs.google.com/spreadsheets/d/1B"&amp;"JSV3WBYJGRhQ6zExamkszQ5VutGIcaQqmbD9ZTVXMQ/edit#gid=1251630045"",""articles_with_PRISMA_reasons!B2:B2113"")),
E77=""Exclude"",
FILTER(IMPORTRANGE(""https://docs.google.com/spreadsheets/d/1qpEmbGH0JjaJbUdp21-y2cPbobDbMjr09BbtdKROZWc/edit#gid=1444865654"","&amp;"""articles_with_PRISMA_reasons!Z2:Z2113""), $A77=IMPORTRANGE(""https://docs.google.com/spreadsheets/d/1qpEmbGH0JjaJbUdp21-y2cPbobDbMjr09BbtdKROZWc/edit#gid=1444865654"",""articles_with_PRISMA_reasons!B2:B2113"")),F77
=""Include"",FILTER(IMPORTRANGE(""http"&amp;"s://docs.google.com/spreadsheets/d/1kGrh75X1cNR1D7_FcY9zMnHP8iPO4M5RCRjy6nZY0TY/edit#gid=0"",""Table 1: Study characteristics!A4:A171""), $A77=IMPORTRANGE(""https://docs.google.com/spreadsheets/d/1kGrh75X1cNR1D7_FcY9zMnHP8iPO4M5RCRjy6nZY0TY/edit#gid=0"","&amp;"""Table 1: Study characteristics!B4:B171""))
)"),"Duplicate")</f>
        <v>Duplicate</v>
      </c>
    </row>
    <row r="78">
      <c r="A78" s="4" t="str">
        <f>IFERROR(__xludf.DUMMYFUNCTION("""COMPUTED_VALUE"""),"[Neuropediatric concept in the diagnosis and therapy of myelodysplasias]")</f>
        <v>[Neuropediatric concept in the diagnosis and therapy of myelodysplasias]</v>
      </c>
      <c r="B78" s="5" t="str">
        <f>IFERROR(__xludf.DUMMYFUNCTION("LEFT(FILTER(IMPORTRANGE(""https://docs.google.com/spreadsheets/d/1BJSV3WBYJGRhQ6zExamkszQ5VutGIcaQqmbD9ZTVXMQ/edit#gid=1251630045"",""articles_with_PRISMA_reasons!K2:K2113""), $A78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$A78=IMPORTRANGE(""https://docs.google.com/spreadsheets/d/1BJSV3WBYJGRhQ6zExamkszQ5VutGIcaQqmbD9ZTVXMQ/edit#gid=1251630045"",""articles_with_PRISMA_reasons!B2:B2113"")))-1)"),"Muller")</f>
        <v>Muller</v>
      </c>
      <c r="C78" s="6">
        <f>IFERROR(__xludf.DUMMYFUNCTION("FILTER(IMPORTRANGE(""https://docs.google.com/spreadsheets/d/1BJSV3WBYJGRhQ6zExamkszQ5VutGIcaQqmbD9ZTVXMQ/edit#gid=1251630045"",""articles_with_PRISMA_reasons!C2:C2113""), $A78=IMPORTRANGE(""https://docs.google.com/spreadsheets/d/1BJSV3WBYJGRhQ6zExamkszQ5V"&amp;"utGIcaQqmbD9ZTVXMQ/edit#gid=1251630045"",""articles_with_PRISMA_reasons!B2:B2113""))"),1981.0)</f>
        <v>1981</v>
      </c>
      <c r="D78" s="5" t="str">
        <f>IFERROR(__xludf.DUMMYFUNCTION("IFS(AND(
FILTER(IMPORTRANGE(""https://docs.google.com/spreadsheets/d/1BJSV3WBYJGRhQ6zExamkszQ5VutGIcaQqmbD9ZTVXMQ/edit#gid=1251630045"",""articles_with_PRISMA_reasons!Y2:Y2113""), $A78=IMPORTRANGE(""https://docs.google.com/spreadsheets/d/1BJSV3WBYJGRhQ6zE"&amp;"xamkszQ5VutGIcaQqmbD9ZTVXMQ/edit#gid=1251630045"",""articles_with_PRISMA_reasons!B2:B2113""))&gt;=2,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$A78=IMPORTRANGE(""https://docs.google.com/spreadsheets/d/1BJSV3WBYJGRhQ6zExamkszQ5VutGIcaQqmbD9ZTVXMQ/edit#gid=1251630045"",""articles_with_PRISMA_reasons!B2:B2113""))&lt;2),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$A78=IMPORTRANGE(""https://docs.google.com/spreadsheets/d/1BJSV3WBYJGRhQ6zExamkszQ5VutGIcaQqmbD9ZTVXMQ/edit#gid=1251630045"",""article"&amp;"s_with_PRISMA_reasons!B2:B2113""))&lt;2,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$A78=IMPORTRANGE(""https://docs.google.com/spr"&amp;"eadsheets/d/1BJSV3WBYJGRhQ6zExamkszQ5VutGIcaQqmbD9ZTVXMQ/edit#gid=1251630045"",""articles_with_PRISMA_reasons!B2:B2113""))&gt;=2),
""Exclude""
)"),"Exclude")</f>
        <v>Exclude</v>
      </c>
      <c r="E78" s="5" t="str">
        <f>IFERROR(__xludf.DUMMYFUNCTION("IFS(
D78=""Exclude"",""Exclude"",
AND(
FILTER(IMPORTRANGE(""https://docs.google.com/spreadsheets/d/1qpEmbGH0JjaJbUdp21-y2cPbobDbMjr09BbtdKROZWc/edit#gid=1444865654"",""articles_with_PRISMA_reasons!W2:W2113""), $A78=IMPORTRANGE(""https://docs.google.com/sp"&amp;"readsheets/d/1qpEmbGH0JjaJbUdp21-y2cPbobDbMjr09BbtdKROZWc/edit#gid=1444865654"",""articles_with_PRISMA_reasons!B2:B2113""))&gt;=2,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$A78=IMPORTRANGE(""https://docs.google.com/spreadsheets/d/1qpEmbGH0JjaJbUdp21-y2cPbobDbMjr09BbtdKROZWc/edit#gid=1444865654"",""articles_with_PRISMA_reasons!B2:B2113""))&lt;2),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$A78=IMPORTRANGE(""https://docs.google.com/spreadsheets/d/1qpEmbGH0JjaJbUdp21-y2cPbobDbMjr09BbtdKROZWc/"&amp;"edit#gid=1444865654"",""articles_with_PRISMA_reasons!B2:B2113""))&lt;2,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$A78=IMPORTRANG"&amp;"E(""https://docs.google.com/spreadsheets/d/1qpEmbGH0JjaJbUdp21-y2cPbobDbMjr09BbtdKROZWc/edit#gid=1444865654"",""articles_with_PRISMA_reasons!B2:B2113""))&gt;=2),
""Exclude""
)"),"Exclude")</f>
        <v>Exclude</v>
      </c>
      <c r="F78" s="5" t="str">
        <f>IFERROR(__xludf.DUMMYFUNCTION("IFS(
E78=""Exclude"",""Exclude"",
AND(
COUNTIF(
IMPORTRANGE(""https://docs.google.com/spreadsheets/d/1kGrh75X1cNR1D7_FcY9zMnHP8iPO4M5RCRjy6nZY0TY/edit#gid=0"",""Table 1: Study characteristics!B4:B171""),A78)&gt;0,
COUNTIF(Studies!$A$2:$A$85,FILTER(IMPORTRANG"&amp;"E(""https://docs.google.com/spreadsheets/d/1kGrh75X1cNR1D7_FcY9zMnHP8iPO4M5RCRjy6nZY0TY/edit#gid=0"",""Table 1: Study characteristics!A4:A171""), $A78=IMPORTRANGE(""https://docs.google.com/spreadsheets/d/1kGrh75X1cNR1D7_FcY9zMnHP8iPO4M5RCRjy6nZY0TY/edit#g"&amp;"id=0"",""Table 1: Study characteristics!B4:B171"")))&gt;0
),
""Include""
)"),"Exclude")</f>
        <v>Exclude</v>
      </c>
      <c r="G78" s="5" t="str">
        <f>IFERROR(__xludf.DUMMYFUNCTION("IFS(
D78=""Exclude"",
FILTER(IMPORTRANGE(""https://docs.google.com/spreadsheets/d/1BJSV3WBYJGRhQ6zExamkszQ5VutGIcaQqmbD9ZTVXMQ/edit#gid=1251630045"",""articles_with_PRISMA_reasons!AB2:AB2113""), $A78=IMPORTRANGE(""https://docs.google.com/spreadsheets/d/1B"&amp;"JSV3WBYJGRhQ6zExamkszQ5VutGIcaQqmbD9ZTVXMQ/edit#gid=1251630045"",""articles_with_PRISMA_reasons!B2:B2113"")),
E78=""Exclude"",
FILTER(IMPORTRANGE(""https://docs.google.com/spreadsheets/d/1qpEmbGH0JjaJbUdp21-y2cPbobDbMjr09BbtdKROZWc/edit#gid=1444865654"","&amp;"""articles_with_PRISMA_reasons!Z2:Z2113""), $A78=IMPORTRANGE(""https://docs.google.com/spreadsheets/d/1qpEmbGH0JjaJbUdp21-y2cPbobDbMjr09BbtdKROZWc/edit#gid=1444865654"",""articles_with_PRISMA_reasons!B2:B2113"")),F78
=""Include"",FILTER(IMPORTRANGE(""http"&amp;"s://docs.google.com/spreadsheets/d/1kGrh75X1cNR1D7_FcY9zMnHP8iPO4M5RCRjy6nZY0TY/edit#gid=0"",""Table 1: Study characteristics!A4:A171""), $A78=IMPORTRANGE(""https://docs.google.com/spreadsheets/d/1kGrh75X1cNR1D7_FcY9zMnHP8iPO4M5RCRjy6nZY0TY/edit#gid=0"","&amp;"""Table 1: Study characteristics!B4:B171""))
)"),"background article")</f>
        <v>background article</v>
      </c>
    </row>
    <row r="79">
      <c r="A79" s="4" t="str">
        <f>IFERROR(__xludf.DUMMYFUNCTION("""COMPUTED_VALUE"""),"[Neuroradiological investigations in the Arnold-Chiari syndrome. Value of computer tomography and myelography with amipaque (author's transl)]")</f>
        <v>[Neuroradiological investigations in the Arnold-Chiari syndrome. Value of computer tomography and myelography with amipaque (author's transl)]</v>
      </c>
      <c r="B79" s="5" t="str">
        <f>IFERROR(__xludf.DUMMYFUNCTION("LEFT(FILTER(IMPORTRANGE(""https://docs.google.com/spreadsheets/d/1BJSV3WBYJGRhQ6zExamkszQ5VutGIcaQqmbD9ZTVXMQ/edit#gid=1251630045"",""articles_with_PRISMA_reasons!K2:K2113""), $A79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$A79=IMPORTRANGE(""https://docs.google.com/spreadsheets/d/1BJSV3WBYJGRhQ6zExamkszQ5VutGIcaQqmbD9ZTVXMQ/edit#gid=1251630045"",""articles_with_PRISMA_reasons!B2:B2113"")))-1)"),"Milliet")</f>
        <v>Milliet</v>
      </c>
      <c r="C79" s="6">
        <f>IFERROR(__xludf.DUMMYFUNCTION("FILTER(IMPORTRANGE(""https://docs.google.com/spreadsheets/d/1BJSV3WBYJGRhQ6zExamkszQ5VutGIcaQqmbD9ZTVXMQ/edit#gid=1251630045"",""articles_with_PRISMA_reasons!C2:C2113""), $A79=IMPORTRANGE(""https://docs.google.com/spreadsheets/d/1BJSV3WBYJGRhQ6zExamkszQ5V"&amp;"utGIcaQqmbD9ZTVXMQ/edit#gid=1251630045"",""articles_with_PRISMA_reasons!B2:B2113""))"),1979.0)</f>
        <v>1979</v>
      </c>
      <c r="D79" s="5" t="str">
        <f>IFERROR(__xludf.DUMMYFUNCTION("IFS(AND(
FILTER(IMPORTRANGE(""https://docs.google.com/spreadsheets/d/1BJSV3WBYJGRhQ6zExamkszQ5VutGIcaQqmbD9ZTVXMQ/edit#gid=1251630045"",""articles_with_PRISMA_reasons!Y2:Y2113""), $A79=IMPORTRANGE(""https://docs.google.com/spreadsheets/d/1BJSV3WBYJGRhQ6zE"&amp;"xamkszQ5VutGIcaQqmbD9ZTVXMQ/edit#gid=1251630045"",""articles_with_PRISMA_reasons!B2:B2113""))&gt;=2,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$A79=IMPORTRANGE(""https://docs.google.com/spreadsheets/d/1BJSV3WBYJGRhQ6zExamkszQ5VutGIcaQqmbD9ZTVXMQ/edit#gid=1251630045"",""articles_with_PRISMA_reasons!B2:B2113""))&lt;2),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$A79=IMPORTRANGE(""https://docs.google.com/spreadsheets/d/1BJSV3WBYJGRhQ6zExamkszQ5VutGIcaQqmbD9ZTVXMQ/edit#gid=1251630045"",""article"&amp;"s_with_PRISMA_reasons!B2:B2113""))&lt;2,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$A79=IMPORTRANGE(""https://docs.google.com/spr"&amp;"eadsheets/d/1BJSV3WBYJGRhQ6zExamkszQ5VutGIcaQqmbD9ZTVXMQ/edit#gid=1251630045"",""articles_with_PRISMA_reasons!B2:B2113""))&gt;=2),
""Exclude""
)"),"Exclude")</f>
        <v>Exclude</v>
      </c>
      <c r="E79" s="5" t="str">
        <f>IFERROR(__xludf.DUMMYFUNCTION("IFS(
D79=""Exclude"",""Exclude"",
AND(
FILTER(IMPORTRANGE(""https://docs.google.com/spreadsheets/d/1qpEmbGH0JjaJbUdp21-y2cPbobDbMjr09BbtdKROZWc/edit#gid=1444865654"",""articles_with_PRISMA_reasons!W2:W2113""), $A79=IMPORTRANGE(""https://docs.google.com/sp"&amp;"readsheets/d/1qpEmbGH0JjaJbUdp21-y2cPbobDbMjr09BbtdKROZWc/edit#gid=1444865654"",""articles_with_PRISMA_reasons!B2:B2113""))&gt;=2,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$A79=IMPORTRANGE(""https://docs.google.com/spreadsheets/d/1qpEmbGH0JjaJbUdp21-y2cPbobDbMjr09BbtdKROZWc/edit#gid=1444865654"",""articles_with_PRISMA_reasons!B2:B2113""))&lt;2),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$A79=IMPORTRANGE(""https://docs.google.com/spreadsheets/d/1qpEmbGH0JjaJbUdp21-y2cPbobDbMjr09BbtdKROZWc/"&amp;"edit#gid=1444865654"",""articles_with_PRISMA_reasons!B2:B2113""))&lt;2,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$A79=IMPORTRANG"&amp;"E(""https://docs.google.com/spreadsheets/d/1qpEmbGH0JjaJbUdp21-y2cPbobDbMjr09BbtdKROZWc/edit#gid=1444865654"",""articles_with_PRISMA_reasons!B2:B2113""))&gt;=2),
""Exclude""
)"),"Exclude")</f>
        <v>Exclude</v>
      </c>
      <c r="F79" s="5" t="str">
        <f>IFERROR(__xludf.DUMMYFUNCTION("IFS(
E79=""Exclude"",""Exclude"",
AND(
COUNTIF(
IMPORTRANGE(""https://docs.google.com/spreadsheets/d/1kGrh75X1cNR1D7_FcY9zMnHP8iPO4M5RCRjy6nZY0TY/edit#gid=0"",""Table 1: Study characteristics!B4:B171""),A79)&gt;0,
COUNTIF(Studies!$A$2:$A$85,FILTER(IMPORTRANG"&amp;"E(""https://docs.google.com/spreadsheets/d/1kGrh75X1cNR1D7_FcY9zMnHP8iPO4M5RCRjy6nZY0TY/edit#gid=0"",""Table 1: Study characteristics!A4:A171""), $A79=IMPORTRANGE(""https://docs.google.com/spreadsheets/d/1kGrh75X1cNR1D7_FcY9zMnHP8iPO4M5RCRjy6nZY0TY/edit#g"&amp;"id=0"",""Table 1: Study characteristics!B4:B171"")))&gt;0
),
""Include""
)"),"Exclude")</f>
        <v>Exclude</v>
      </c>
      <c r="G79" s="5" t="str">
        <f>IFERROR(__xludf.DUMMYFUNCTION("IFS(
D79=""Exclude"",
FILTER(IMPORTRANGE(""https://docs.google.com/spreadsheets/d/1BJSV3WBYJGRhQ6zExamkszQ5VutGIcaQqmbD9ZTVXMQ/edit#gid=1251630045"",""articles_with_PRISMA_reasons!AB2:AB2113""), $A79=IMPORTRANGE(""https://docs.google.com/spreadsheets/d/1B"&amp;"JSV3WBYJGRhQ6zExamkszQ5VutGIcaQqmbD9ZTVXMQ/edit#gid=1251630045"",""articles_with_PRISMA_reasons!B2:B2113"")),
E79=""Exclude"",
FILTER(IMPORTRANGE(""https://docs.google.com/spreadsheets/d/1qpEmbGH0JjaJbUdp21-y2cPbobDbMjr09BbtdKROZWc/edit#gid=1444865654"","&amp;"""articles_with_PRISMA_reasons!Z2:Z2113""), $A79=IMPORTRANGE(""https://docs.google.com/spreadsheets/d/1qpEmbGH0JjaJbUdp21-y2cPbobDbMjr09BbtdKROZWc/edit#gid=1444865654"",""articles_with_PRISMA_reasons!B2:B2113"")),F79
=""Include"",FILTER(IMPORTRANGE(""http"&amp;"s://docs.google.com/spreadsheets/d/1kGrh75X1cNR1D7_FcY9zMnHP8iPO4M5RCRjy6nZY0TY/edit#gid=0"",""Table 1: Study characteristics!A4:A171""), $A79=IMPORTRANGE(""https://docs.google.com/spreadsheets/d/1kGrh75X1cNR1D7_FcY9zMnHP8iPO4M5RCRjy6nZY0TY/edit#gid=0"","&amp;"""Table 1: Study characteristics!B4:B171""))
)"),"wrong population")</f>
        <v>wrong population</v>
      </c>
    </row>
    <row r="80">
      <c r="A80" s="4" t="str">
        <f>IFERROR(__xludf.DUMMYFUNCTION("""COMPUTED_VALUE"""),"[Nursing of a child with hydrocephalus who underwent repeated hospitalization due to malfunction of the shunt tube following a period of home nursing]")</f>
        <v>[Nursing of a child with hydrocephalus who underwent repeated hospitalization due to malfunction of the shunt tube following a period of home nursing]</v>
      </c>
      <c r="B80" s="5" t="str">
        <f>IFERROR(__xludf.DUMMYFUNCTION("LEFT(FILTER(IMPORTRANGE(""https://docs.google.com/spreadsheets/d/1BJSV3WBYJGRhQ6zExamkszQ5VutGIcaQqmbD9ZTVXMQ/edit#gid=1251630045"",""articles_with_PRISMA_reasons!K2:K2113""), $A80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$A80=IMPORTRANGE(""https://docs.google.com/spreadsheets/d/1BJSV3WBYJGRhQ6zExamkszQ5VutGIcaQqmbD9ZTVXMQ/edit#gid=1251630045"",""articles_with_PRISMA_reasons!B2:B2113"")))-1)"),"Sato")</f>
        <v>Sato</v>
      </c>
      <c r="C80" s="6" t="str">
        <f>IFERROR(__xludf.DUMMYFUNCTION("FILTER(IMPORTRANGE(""https://docs.google.com/spreadsheets/d/1BJSV3WBYJGRhQ6zExamkszQ5VutGIcaQqmbD9ZTVXMQ/edit#gid=1251630045"",""articles_with_PRISMA_reasons!C2:C2113""), $A80=IMPORTRANGE(""https://docs.google.com/spreadsheets/d/1BJSV3WBYJGRhQ6zExamkszQ5V"&amp;"utGIcaQqmbD9ZTVXMQ/edit#gid=1251630045"",""articles_with_PRISMA_reasons!B2:B2113""))"),"Feb")</f>
        <v>Feb</v>
      </c>
      <c r="D80" s="5" t="str">
        <f>IFERROR(__xludf.DUMMYFUNCTION("IFS(AND(
FILTER(IMPORTRANGE(""https://docs.google.com/spreadsheets/d/1BJSV3WBYJGRhQ6zExamkszQ5VutGIcaQqmbD9ZTVXMQ/edit#gid=1251630045"",""articles_with_PRISMA_reasons!Y2:Y2113""), $A80=IMPORTRANGE(""https://docs.google.com/spreadsheets/d/1BJSV3WBYJGRhQ6zE"&amp;"xamkszQ5VutGIcaQqmbD9ZTVXMQ/edit#gid=1251630045"",""articles_with_PRISMA_reasons!B2:B2113""))&gt;=2,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$A80=IMPORTRANGE(""https://docs.google.com/spreadsheets/d/1BJSV3WBYJGRhQ6zExamkszQ5VutGIcaQqmbD9ZTVXMQ/edit#gid=1251630045"",""articles_with_PRISMA_reasons!B2:B2113""))&lt;2),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$A80=IMPORTRANGE(""https://docs.google.com/spreadsheets/d/1BJSV3WBYJGRhQ6zExamkszQ5VutGIcaQqmbD9ZTVXMQ/edit#gid=1251630045"",""article"&amp;"s_with_PRISMA_reasons!B2:B2113""))&lt;2,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$A80=IMPORTRANGE(""https://docs.google.com/spr"&amp;"eadsheets/d/1BJSV3WBYJGRhQ6zExamkszQ5VutGIcaQqmbD9ZTVXMQ/edit#gid=1251630045"",""articles_with_PRISMA_reasons!B2:B2113""))&gt;=2),
""Exclude""
)"),"Exclude")</f>
        <v>Exclude</v>
      </c>
      <c r="E80" s="5" t="str">
        <f>IFERROR(__xludf.DUMMYFUNCTION("IFS(
D80=""Exclude"",""Exclude"",
AND(
FILTER(IMPORTRANGE(""https://docs.google.com/spreadsheets/d/1qpEmbGH0JjaJbUdp21-y2cPbobDbMjr09BbtdKROZWc/edit#gid=1444865654"",""articles_with_PRISMA_reasons!W2:W2113""), $A80=IMPORTRANGE(""https://docs.google.com/sp"&amp;"readsheets/d/1qpEmbGH0JjaJbUdp21-y2cPbobDbMjr09BbtdKROZWc/edit#gid=1444865654"",""articles_with_PRISMA_reasons!B2:B2113""))&gt;=2,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$A80=IMPORTRANGE(""https://docs.google.com/spreadsheets/d/1qpEmbGH0JjaJbUdp21-y2cPbobDbMjr09BbtdKROZWc/edit#gid=1444865654"",""articles_with_PRISMA_reasons!B2:B2113""))&lt;2),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$A80=IMPORTRANGE(""https://docs.google.com/spreadsheets/d/1qpEmbGH0JjaJbUdp21-y2cPbobDbMjr09BbtdKROZWc/"&amp;"edit#gid=1444865654"",""articles_with_PRISMA_reasons!B2:B2113""))&lt;2,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$A80=IMPORTRANG"&amp;"E(""https://docs.google.com/spreadsheets/d/1qpEmbGH0JjaJbUdp21-y2cPbobDbMjr09BbtdKROZWc/edit#gid=1444865654"",""articles_with_PRISMA_reasons!B2:B2113""))&gt;=2),
""Exclude""
)"),"Exclude")</f>
        <v>Exclude</v>
      </c>
      <c r="F80" s="5" t="str">
        <f>IFERROR(__xludf.DUMMYFUNCTION("IFS(
E80=""Exclude"",""Exclude"",
AND(
COUNTIF(
IMPORTRANGE(""https://docs.google.com/spreadsheets/d/1kGrh75X1cNR1D7_FcY9zMnHP8iPO4M5RCRjy6nZY0TY/edit#gid=0"",""Table 1: Study characteristics!B4:B171""),A80)&gt;0,
COUNTIF(Studies!$A$2:$A$85,FILTER(IMPORTRANG"&amp;"E(""https://docs.google.com/spreadsheets/d/1kGrh75X1cNR1D7_FcY9zMnHP8iPO4M5RCRjy6nZY0TY/edit#gid=0"",""Table 1: Study characteristics!A4:A171""), $A80=IMPORTRANGE(""https://docs.google.com/spreadsheets/d/1kGrh75X1cNR1D7_FcY9zMnHP8iPO4M5RCRjy6nZY0TY/edit#g"&amp;"id=0"",""Table 1: Study characteristics!B4:B171"")))&gt;0
),
""Include""
)"),"Exclude")</f>
        <v>Exclude</v>
      </c>
      <c r="G80" s="5" t="str">
        <f>IFERROR(__xludf.DUMMYFUNCTION("IFS(
D80=""Exclude"",
FILTER(IMPORTRANGE(""https://docs.google.com/spreadsheets/d/1BJSV3WBYJGRhQ6zExamkszQ5VutGIcaQqmbD9ZTVXMQ/edit#gid=1251630045"",""articles_with_PRISMA_reasons!AB2:AB2113""), $A80=IMPORTRANGE(""https://docs.google.com/spreadsheets/d/1B"&amp;"JSV3WBYJGRhQ6zExamkszQ5VutGIcaQqmbD9ZTVXMQ/edit#gid=1251630045"",""articles_with_PRISMA_reasons!B2:B2113"")),
E80=""Exclude"",
FILTER(IMPORTRANGE(""https://docs.google.com/spreadsheets/d/1qpEmbGH0JjaJbUdp21-y2cPbobDbMjr09BbtdKROZWc/edit#gid=1444865654"","&amp;"""articles_with_PRISMA_reasons!Z2:Z2113""), $A80=IMPORTRANGE(""https://docs.google.com/spreadsheets/d/1qpEmbGH0JjaJbUdp21-y2cPbobDbMjr09BbtdKROZWc/edit#gid=1444865654"",""articles_with_PRISMA_reasons!B2:B2113"")),F80
=""Include"",FILTER(IMPORTRANGE(""http"&amp;"s://docs.google.com/spreadsheets/d/1kGrh75X1cNR1D7_FcY9zMnHP8iPO4M5RCRjy6nZY0TY/edit#gid=0"",""Table 1: Study characteristics!A4:A171""), $A80=IMPORTRANGE(""https://docs.google.com/spreadsheets/d/1kGrh75X1cNR1D7_FcY9zMnHP8iPO4M5RCRjy6nZY0TY/edit#gid=0"","&amp;"""Table 1: Study characteristics!B4:B171""))
)"),"Duplicate")</f>
        <v>Duplicate</v>
      </c>
    </row>
    <row r="81">
      <c r="A81" s="4" t="str">
        <f>IFERROR(__xludf.DUMMYFUNCTION("""COMPUTED_VALUE"""),"[ON 2 CASES OF OPERATED FRONTO-NASAL MENINGOENCEPHALOCELE]")</f>
        <v>[ON 2 CASES OF OPERATED FRONTO-NASAL MENINGOENCEPHALOCELE]</v>
      </c>
      <c r="B81" s="5" t="str">
        <f>IFERROR(__xludf.DUMMYFUNCTION("LEFT(FILTER(IMPORTRANGE(""https://docs.google.com/spreadsheets/d/1BJSV3WBYJGRhQ6zExamkszQ5VutGIcaQqmbD9ZTVXMQ/edit#gid=1251630045"",""articles_with_PRISMA_reasons!K2:K2113""), $A81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$A81=IMPORTRANGE(""https://docs.google.com/spreadsheets/d/1BJSV3WBYJGRhQ6zExamkszQ5VutGIcaQqmbD9ZTVXMQ/edit#gid=1251630045"",""articles_with_PRISMA_reasons!B2:B2113"")))-1)"),"Z and er")</f>
        <v>Z and er</v>
      </c>
      <c r="C81" s="6">
        <f>IFERROR(__xludf.DUMMYFUNCTION("FILTER(IMPORTRANGE(""https://docs.google.com/spreadsheets/d/1BJSV3WBYJGRhQ6zExamkszQ5VutGIcaQqmbD9ZTVXMQ/edit#gid=1251630045"",""articles_with_PRISMA_reasons!C2:C2113""), $A81=IMPORTRANGE(""https://docs.google.com/spreadsheets/d/1BJSV3WBYJGRhQ6zExamkszQ5V"&amp;"utGIcaQqmbD9ZTVXMQ/edit#gid=1251630045"",""articles_with_PRISMA_reasons!B2:B2113""))"),1964.0)</f>
        <v>1964</v>
      </c>
      <c r="D81" s="5" t="str">
        <f>IFERROR(__xludf.DUMMYFUNCTION("IFS(AND(
FILTER(IMPORTRANGE(""https://docs.google.com/spreadsheets/d/1BJSV3WBYJGRhQ6zExamkszQ5VutGIcaQqmbD9ZTVXMQ/edit#gid=1251630045"",""articles_with_PRISMA_reasons!Y2:Y2113""), $A81=IMPORTRANGE(""https://docs.google.com/spreadsheets/d/1BJSV3WBYJGRhQ6zE"&amp;"xamkszQ5VutGIcaQqmbD9ZTVXMQ/edit#gid=1251630045"",""articles_with_PRISMA_reasons!B2:B2113""))&gt;=2,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$A81=IMPORTRANGE(""https://docs.google.com/spreadsheets/d/1BJSV3WBYJGRhQ6zExamkszQ5VutGIcaQqmbD9ZTVXMQ/edit#gid=1251630045"",""articles_with_PRISMA_reasons!B2:B2113""))&lt;2),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$A81=IMPORTRANGE(""https://docs.google.com/spreadsheets/d/1BJSV3WBYJGRhQ6zExamkszQ5VutGIcaQqmbD9ZTVXMQ/edit#gid=1251630045"",""article"&amp;"s_with_PRISMA_reasons!B2:B2113""))&lt;2,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$A81=IMPORTRANGE(""https://docs.google.com/spr"&amp;"eadsheets/d/1BJSV3WBYJGRhQ6zExamkszQ5VutGIcaQqmbD9ZTVXMQ/edit#gid=1251630045"",""articles_with_PRISMA_reasons!B2:B2113""))&gt;=2),
""Exclude""
)"),"Exclude")</f>
        <v>Exclude</v>
      </c>
      <c r="E81" s="5" t="str">
        <f>IFERROR(__xludf.DUMMYFUNCTION("IFS(
D81=""Exclude"",""Exclude"",
AND(
FILTER(IMPORTRANGE(""https://docs.google.com/spreadsheets/d/1qpEmbGH0JjaJbUdp21-y2cPbobDbMjr09BbtdKROZWc/edit#gid=1444865654"",""articles_with_PRISMA_reasons!W2:W2113""), $A81=IMPORTRANGE(""https://docs.google.com/sp"&amp;"readsheets/d/1qpEmbGH0JjaJbUdp21-y2cPbobDbMjr09BbtdKROZWc/edit#gid=1444865654"",""articles_with_PRISMA_reasons!B2:B2113""))&gt;=2,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$A81=IMPORTRANGE(""https://docs.google.com/spreadsheets/d/1qpEmbGH0JjaJbUdp21-y2cPbobDbMjr09BbtdKROZWc/edit#gid=1444865654"",""articles_with_PRISMA_reasons!B2:B2113""))&lt;2),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$A81=IMPORTRANGE(""https://docs.google.com/spreadsheets/d/1qpEmbGH0JjaJbUdp21-y2cPbobDbMjr09BbtdKROZWc/"&amp;"edit#gid=1444865654"",""articles_with_PRISMA_reasons!B2:B2113""))&lt;2,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$A81=IMPORTRANG"&amp;"E(""https://docs.google.com/spreadsheets/d/1qpEmbGH0JjaJbUdp21-y2cPbobDbMjr09BbtdKROZWc/edit#gid=1444865654"",""articles_with_PRISMA_reasons!B2:B2113""))&gt;=2),
""Exclude""
)"),"Exclude")</f>
        <v>Exclude</v>
      </c>
      <c r="F81" s="5" t="str">
        <f>IFERROR(__xludf.DUMMYFUNCTION("IFS(
E81=""Exclude"",""Exclude"",
AND(
COUNTIF(
IMPORTRANGE(""https://docs.google.com/spreadsheets/d/1kGrh75X1cNR1D7_FcY9zMnHP8iPO4M5RCRjy6nZY0TY/edit#gid=0"",""Table 1: Study characteristics!B4:B171""),A81)&gt;0,
COUNTIF(Studies!$A$2:$A$85,FILTER(IMPORTRANG"&amp;"E(""https://docs.google.com/spreadsheets/d/1kGrh75X1cNR1D7_FcY9zMnHP8iPO4M5RCRjy6nZY0TY/edit#gid=0"",""Table 1: Study characteristics!A4:A171""), $A81=IMPORTRANGE(""https://docs.google.com/spreadsheets/d/1kGrh75X1cNR1D7_FcY9zMnHP8iPO4M5RCRjy6nZY0TY/edit#g"&amp;"id=0"",""Table 1: Study characteristics!B4:B171"")))&gt;0
),
""Include""
)"),"Exclude")</f>
        <v>Exclude</v>
      </c>
      <c r="G81" s="5" t="str">
        <f>IFERROR(__xludf.DUMMYFUNCTION("IFS(
D81=""Exclude"",
FILTER(IMPORTRANGE(""https://docs.google.com/spreadsheets/d/1BJSV3WBYJGRhQ6zExamkszQ5VutGIcaQqmbD9ZTVXMQ/edit#gid=1251630045"",""articles_with_PRISMA_reasons!AB2:AB2113""), $A81=IMPORTRANGE(""https://docs.google.com/spreadsheets/d/1B"&amp;"JSV3WBYJGRhQ6zExamkszQ5VutGIcaQqmbD9ZTVXMQ/edit#gid=1251630045"",""articles_with_PRISMA_reasons!B2:B2113"")),
E81=""Exclude"",
FILTER(IMPORTRANGE(""https://docs.google.com/spreadsheets/d/1qpEmbGH0JjaJbUdp21-y2cPbobDbMjr09BbtdKROZWc/edit#gid=1444865654"","&amp;"""articles_with_PRISMA_reasons!Z2:Z2113""), $A81=IMPORTRANGE(""https://docs.google.com/spreadsheets/d/1qpEmbGH0JjaJbUdp21-y2cPbobDbMjr09BbtdKROZWc/edit#gid=1444865654"",""articles_with_PRISMA_reasons!B2:B2113"")),F81
=""Include"",FILTER(IMPORTRANGE(""http"&amp;"s://docs.google.com/spreadsheets/d/1kGrh75X1cNR1D7_FcY9zMnHP8iPO4M5RCRjy6nZY0TY/edit#gid=0"",""Table 1: Study characteristics!A4:A171""), $A81=IMPORTRANGE(""https://docs.google.com/spreadsheets/d/1kGrh75X1cNR1D7_FcY9zMnHP8iPO4M5RCRjy6nZY0TY/edit#gid=0"","&amp;"""Table 1: Study characteristics!B4:B171""))
)"),"wrong study design")</f>
        <v>wrong study design</v>
      </c>
    </row>
    <row r="82">
      <c r="A82" s="4" t="str">
        <f>IFERROR(__xludf.DUMMYFUNCTION("""COMPUTED_VALUE"""),"[ON THE SURGICAL TREATMENT OF CONGENITAL MYELOCELE]")</f>
        <v>[ON THE SURGICAL TREATMENT OF CONGENITAL MYELOCELE]</v>
      </c>
      <c r="B82" s="5" t="str">
        <f>IFERROR(__xludf.DUMMYFUNCTION("LEFT(FILTER(IMPORTRANGE(""https://docs.google.com/spreadsheets/d/1BJSV3WBYJGRhQ6zExamkszQ5VutGIcaQqmbD9ZTVXMQ/edit#gid=1251630045"",""articles_with_PRISMA_reasons!K2:K2113""), $A82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$A82=IMPORTRANGE(""https://docs.google.com/spreadsheets/d/1BJSV3WBYJGRhQ6zExamkszQ5VutGIcaQqmbD9ZTVXMQ/edit#gid=1251630045"",""articles_with_PRISMA_reasons!B2:B2113"")))-1)"),"IaD")</f>
        <v>IaD</v>
      </c>
      <c r="C82" s="3">
        <v>1963.0</v>
      </c>
      <c r="D82" s="5" t="str">
        <f>IFERROR(__xludf.DUMMYFUNCTION("IFS(AND(
FILTER(IMPORTRANGE(""https://docs.google.com/spreadsheets/d/1BJSV3WBYJGRhQ6zExamkszQ5VutGIcaQqmbD9ZTVXMQ/edit#gid=1251630045"",""articles_with_PRISMA_reasons!Y2:Y2113""), $A82=IMPORTRANGE(""https://docs.google.com/spreadsheets/d/1BJSV3WBYJGRhQ6zE"&amp;"xamkszQ5VutGIcaQqmbD9ZTVXMQ/edit#gid=1251630045"",""articles_with_PRISMA_reasons!B2:B2113""))&gt;=2,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$A82=IMPORTRANGE(""https://docs.google.com/spreadsheets/d/1BJSV3WBYJGRhQ6zExamkszQ5VutGIcaQqmbD9ZTVXMQ/edit#gid=1251630045"",""articles_with_PRISMA_reasons!B2:B2113""))&lt;2),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$A82=IMPORTRANGE(""https://docs.google.com/spreadsheets/d/1BJSV3WBYJGRhQ6zExamkszQ5VutGIcaQqmbD9ZTVXMQ/edit#gid=1251630045"",""article"&amp;"s_with_PRISMA_reasons!B2:B2113""))&lt;2,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$A82=IMPORTRANGE(""https://docs.google.com/spr"&amp;"eadsheets/d/1BJSV3WBYJGRhQ6zExamkszQ5VutGIcaQqmbD9ZTVXMQ/edit#gid=1251630045"",""articles_with_PRISMA_reasons!B2:B2113""))&gt;=2),
""Exclude""
)"),"Exclude")</f>
        <v>Exclude</v>
      </c>
      <c r="E82" s="5" t="str">
        <f>IFERROR(__xludf.DUMMYFUNCTION("IFS(
D82=""Exclude"",""Exclude"",
AND(
FILTER(IMPORTRANGE(""https://docs.google.com/spreadsheets/d/1qpEmbGH0JjaJbUdp21-y2cPbobDbMjr09BbtdKROZWc/edit#gid=1444865654"",""articles_with_PRISMA_reasons!W2:W2113""), $A82=IMPORTRANGE(""https://docs.google.com/sp"&amp;"readsheets/d/1qpEmbGH0JjaJbUdp21-y2cPbobDbMjr09BbtdKROZWc/edit#gid=1444865654"",""articles_with_PRISMA_reasons!B2:B2113""))&gt;=2,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$A82=IMPORTRANGE(""https://docs.google.com/spreadsheets/d/1qpEmbGH0JjaJbUdp21-y2cPbobDbMjr09BbtdKROZWc/edit#gid=1444865654"",""articles_with_PRISMA_reasons!B2:B2113""))&lt;2),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$A82=IMPORTRANGE(""https://docs.google.com/spreadsheets/d/1qpEmbGH0JjaJbUdp21-y2cPbobDbMjr09BbtdKROZWc/"&amp;"edit#gid=1444865654"",""articles_with_PRISMA_reasons!B2:B2113""))&lt;2,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$A82=IMPORTRANG"&amp;"E(""https://docs.google.com/spreadsheets/d/1qpEmbGH0JjaJbUdp21-y2cPbobDbMjr09BbtdKROZWc/edit#gid=1444865654"",""articles_with_PRISMA_reasons!B2:B2113""))&gt;=2),
""Exclude""
)"),"Exclude")</f>
        <v>Exclude</v>
      </c>
      <c r="F82" s="5" t="str">
        <f>IFERROR(__xludf.DUMMYFUNCTION("IFS(
E82=""Exclude"",""Exclude"",
AND(
COUNTIF(
IMPORTRANGE(""https://docs.google.com/spreadsheets/d/1kGrh75X1cNR1D7_FcY9zMnHP8iPO4M5RCRjy6nZY0TY/edit#gid=0"",""Table 1: Study characteristics!B4:B171""),A82)&gt;0,
COUNTIF(Studies!$A$2:$A$85,FILTER(IMPORTRANG"&amp;"E(""https://docs.google.com/spreadsheets/d/1kGrh75X1cNR1D7_FcY9zMnHP8iPO4M5RCRjy6nZY0TY/edit#gid=0"",""Table 1: Study characteristics!A4:A171""), $A82=IMPORTRANGE(""https://docs.google.com/spreadsheets/d/1kGrh75X1cNR1D7_FcY9zMnHP8iPO4M5RCRjy6nZY0TY/edit#g"&amp;"id=0"",""Table 1: Study characteristics!B4:B171"")))&gt;0
),
""Include""
)"),"Exclude")</f>
        <v>Exclude</v>
      </c>
      <c r="G82" s="2" t="s">
        <v>7</v>
      </c>
    </row>
    <row r="83">
      <c r="A83" s="4" t="str">
        <f>IFERROR(__xludf.DUMMYFUNCTION("""COMPUTED_VALUE"""),"[ON THE SURGICAL TREATMENT OF CONGENITAL MYELOCELE]")</f>
        <v>[ON THE SURGICAL TREATMENT OF CONGENITAL MYELOCELE]</v>
      </c>
      <c r="B83" s="5" t="str">
        <f>IFERROR(__xludf.DUMMYFUNCTION("LEFT(FILTER(IMPORTRANGE(""https://docs.google.com/spreadsheets/d/1BJSV3WBYJGRhQ6zExamkszQ5VutGIcaQqmbD9ZTVXMQ/edit#gid=1251630045"",""articles_with_PRISMA_reasons!K2:K2113""), $A83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$A83=IMPORTRANGE(""https://docs.google.com/spreadsheets/d/1BJSV3WBYJGRhQ6zExamkszQ5VutGIcaQqmbD9ZTVXMQ/edit#gid=1251630045"",""articles_with_PRISMA_reasons!B2:B2113"")))-1)"),"IaD")</f>
        <v>IaD</v>
      </c>
      <c r="C83" s="3">
        <v>1963.0</v>
      </c>
      <c r="D83" s="5" t="str">
        <f>IFERROR(__xludf.DUMMYFUNCTION("IFS(AND(
FILTER(IMPORTRANGE(""https://docs.google.com/spreadsheets/d/1BJSV3WBYJGRhQ6zExamkszQ5VutGIcaQqmbD9ZTVXMQ/edit#gid=1251630045"",""articles_with_PRISMA_reasons!Y2:Y2113""), $A83=IMPORTRANGE(""https://docs.google.com/spreadsheets/d/1BJSV3WBYJGRhQ6zE"&amp;"xamkszQ5VutGIcaQqmbD9ZTVXMQ/edit#gid=1251630045"",""articles_with_PRISMA_reasons!B2:B2113""))&gt;=2,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$A83=IMPORTRANGE(""https://docs.google.com/spreadsheets/d/1BJSV3WBYJGRhQ6zExamkszQ5VutGIcaQqmbD9ZTVXMQ/edit#gid=1251630045"",""articles_with_PRISMA_reasons!B2:B2113""))&lt;2),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$A83=IMPORTRANGE(""https://docs.google.com/spreadsheets/d/1BJSV3WBYJGRhQ6zExamkszQ5VutGIcaQqmbD9ZTVXMQ/edit#gid=1251630045"",""article"&amp;"s_with_PRISMA_reasons!B2:B2113""))&lt;2,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$A83=IMPORTRANGE(""https://docs.google.com/spr"&amp;"eadsheets/d/1BJSV3WBYJGRhQ6zExamkszQ5VutGIcaQqmbD9ZTVXMQ/edit#gid=1251630045"",""articles_with_PRISMA_reasons!B2:B2113""))&gt;=2),
""Exclude""
)"),"Exclude")</f>
        <v>Exclude</v>
      </c>
      <c r="E83" s="5" t="str">
        <f>IFERROR(__xludf.DUMMYFUNCTION("IFS(
D83=""Exclude"",""Exclude"",
AND(
FILTER(IMPORTRANGE(""https://docs.google.com/spreadsheets/d/1qpEmbGH0JjaJbUdp21-y2cPbobDbMjr09BbtdKROZWc/edit#gid=1444865654"",""articles_with_PRISMA_reasons!W2:W2113""), $A83=IMPORTRANGE(""https://docs.google.com/sp"&amp;"readsheets/d/1qpEmbGH0JjaJbUdp21-y2cPbobDbMjr09BbtdKROZWc/edit#gid=1444865654"",""articles_with_PRISMA_reasons!B2:B2113""))&gt;=2,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$A83=IMPORTRANGE(""https://docs.google.com/spreadsheets/d/1qpEmbGH0JjaJbUdp21-y2cPbobDbMjr09BbtdKROZWc/edit#gid=1444865654"",""articles_with_PRISMA_reasons!B2:B2113""))&lt;2),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$A83=IMPORTRANGE(""https://docs.google.com/spreadsheets/d/1qpEmbGH0JjaJbUdp21-y2cPbobDbMjr09BbtdKROZWc/"&amp;"edit#gid=1444865654"",""articles_with_PRISMA_reasons!B2:B2113""))&lt;2,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$A83=IMPORTRANG"&amp;"E(""https://docs.google.com/spreadsheets/d/1qpEmbGH0JjaJbUdp21-y2cPbobDbMjr09BbtdKROZWc/edit#gid=1444865654"",""articles_with_PRISMA_reasons!B2:B2113""))&gt;=2),
""Exclude""
)"),"Exclude")</f>
        <v>Exclude</v>
      </c>
      <c r="F83" s="5" t="str">
        <f>IFERROR(__xludf.DUMMYFUNCTION("IFS(
E83=""Exclude"",""Exclude"",
AND(
COUNTIF(
IMPORTRANGE(""https://docs.google.com/spreadsheets/d/1kGrh75X1cNR1D7_FcY9zMnHP8iPO4M5RCRjy6nZY0TY/edit#gid=0"",""Table 1: Study characteristics!B4:B171""),A83)&gt;0,
COUNTIF(Studies!$A$2:$A$85,FILTER(IMPORTRANG"&amp;"E(""https://docs.google.com/spreadsheets/d/1kGrh75X1cNR1D7_FcY9zMnHP8iPO4M5RCRjy6nZY0TY/edit#gid=0"",""Table 1: Study characteristics!A4:A171""), $A83=IMPORTRANGE(""https://docs.google.com/spreadsheets/d/1kGrh75X1cNR1D7_FcY9zMnHP8iPO4M5RCRjy6nZY0TY/edit#g"&amp;"id=0"",""Table 1: Study characteristics!B4:B171"")))&gt;0
),
""Include""
)"),"Exclude")</f>
        <v>Exclude</v>
      </c>
      <c r="G83" s="2" t="s">
        <v>7</v>
      </c>
    </row>
    <row r="84">
      <c r="A84" s="4" t="str">
        <f>IFERROR(__xludf.DUMMYFUNCTION("""COMPUTED_VALUE"""),"[Operation on a myelomeningocele with prevention of hydrocephalus by means of derivation of the cerebrospinal fluid into the vertebral body]")</f>
        <v>[Operation on a myelomeningocele with prevention of hydrocephalus by means of derivation of the cerebrospinal fluid into the vertebral body]</v>
      </c>
      <c r="B84" s="5" t="str">
        <f>IFERROR(__xludf.DUMMYFUNCTION("LEFT(FILTER(IMPORTRANGE(""https://docs.google.com/spreadsheets/d/1BJSV3WBYJGRhQ6zExamkszQ5VutGIcaQqmbD9ZTVXMQ/edit#gid=1251630045"",""articles_with_PRISMA_reasons!K2:K2113""), $A84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$A84=IMPORTRANGE(""https://docs.google.com/spreadsheets/d/1BJSV3WBYJGRhQ6zExamkszQ5VutGIcaQqmbD9ZTVXMQ/edit#gid=1251630045"",""articles_with_PRISMA_reasons!B2:B2113"")))-1)"),"Domaneschi")</f>
        <v>Domaneschi</v>
      </c>
      <c r="C84" s="6">
        <f>IFERROR(__xludf.DUMMYFUNCTION("FILTER(IMPORTRANGE(""https://docs.google.com/spreadsheets/d/1BJSV3WBYJGRhQ6zExamkszQ5VutGIcaQqmbD9ZTVXMQ/edit#gid=1251630045"",""articles_with_PRISMA_reasons!C2:C2113""), $A84=IMPORTRANGE(""https://docs.google.com/spreadsheets/d/1BJSV3WBYJGRhQ6zExamkszQ5V"&amp;"utGIcaQqmbD9ZTVXMQ/edit#gid=1251630045"",""articles_with_PRISMA_reasons!B2:B2113""))"),1961.0)</f>
        <v>1961</v>
      </c>
      <c r="D84" s="5" t="str">
        <f>IFERROR(__xludf.DUMMYFUNCTION("IFS(AND(
FILTER(IMPORTRANGE(""https://docs.google.com/spreadsheets/d/1BJSV3WBYJGRhQ6zExamkszQ5VutGIcaQqmbD9ZTVXMQ/edit#gid=1251630045"",""articles_with_PRISMA_reasons!Y2:Y2113""), $A84=IMPORTRANGE(""https://docs.google.com/spreadsheets/d/1BJSV3WBYJGRhQ6zE"&amp;"xamkszQ5VutGIcaQqmbD9ZTVXMQ/edit#gid=1251630045"",""articles_with_PRISMA_reasons!B2:B2113""))&gt;=2,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$A84=IMPORTRANGE(""https://docs.google.com/spreadsheets/d/1BJSV3WBYJGRhQ6zExamkszQ5VutGIcaQqmbD9ZTVXMQ/edit#gid=1251630045"",""articles_with_PRISMA_reasons!B2:B2113""))&lt;2),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$A84=IMPORTRANGE(""https://docs.google.com/spreadsheets/d/1BJSV3WBYJGRhQ6zExamkszQ5VutGIcaQqmbD9ZTVXMQ/edit#gid=1251630045"",""article"&amp;"s_with_PRISMA_reasons!B2:B2113""))&lt;2,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$A84=IMPORTRANGE(""https://docs.google.com/spr"&amp;"eadsheets/d/1BJSV3WBYJGRhQ6zExamkszQ5VutGIcaQqmbD9ZTVXMQ/edit#gid=1251630045"",""articles_with_PRISMA_reasons!B2:B2113""))&gt;=2),
""Exclude""
)"),"Include")</f>
        <v>Include</v>
      </c>
      <c r="E84" s="5" t="str">
        <f>IFERROR(__xludf.DUMMYFUNCTION("IFS(
D84=""Exclude"",""Exclude"",
AND(
FILTER(IMPORTRANGE(""https://docs.google.com/spreadsheets/d/1qpEmbGH0JjaJbUdp21-y2cPbobDbMjr09BbtdKROZWc/edit#gid=1444865654"",""articles_with_PRISMA_reasons!W2:W2113""), $A84=IMPORTRANGE(""https://docs.google.com/sp"&amp;"readsheets/d/1qpEmbGH0JjaJbUdp21-y2cPbobDbMjr09BbtdKROZWc/edit#gid=1444865654"",""articles_with_PRISMA_reasons!B2:B2113""))&gt;=2,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$A84=IMPORTRANGE(""https://docs.google.com/spreadsheets/d/1qpEmbGH0JjaJbUdp21-y2cPbobDbMjr09BbtdKROZWc/edit#gid=1444865654"",""articles_with_PRISMA_reasons!B2:B2113""))&lt;2),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$A84=IMPORTRANGE(""https://docs.google.com/spreadsheets/d/1qpEmbGH0JjaJbUdp21-y2cPbobDbMjr09BbtdKROZWc/"&amp;"edit#gid=1444865654"",""articles_with_PRISMA_reasons!B2:B2113""))&lt;2,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$A84=IMPORTRANG"&amp;"E(""https://docs.google.com/spreadsheets/d/1qpEmbGH0JjaJbUdp21-y2cPbobDbMjr09BbtdKROZWc/edit#gid=1444865654"",""articles_with_PRISMA_reasons!B2:B2113""))&gt;=2),
""Exclude""
)"),"Exclude")</f>
        <v>Exclude</v>
      </c>
      <c r="F84" s="5" t="str">
        <f>IFERROR(__xludf.DUMMYFUNCTION("IFS(
E84=""Exclude"",""Exclude"",
AND(
COUNTIF(
IMPORTRANGE(""https://docs.google.com/spreadsheets/d/1kGrh75X1cNR1D7_FcY9zMnHP8iPO4M5RCRjy6nZY0TY/edit#gid=0"",""Table 1: Study characteristics!B4:B171""),A84)&gt;0,
COUNTIF(Studies!$A$2:$A$85,FILTER(IMPORTRANG"&amp;"E(""https://docs.google.com/spreadsheets/d/1kGrh75X1cNR1D7_FcY9zMnHP8iPO4M5RCRjy6nZY0TY/edit#gid=0"",""Table 1: Study characteristics!A4:A171""), $A84=IMPORTRANGE(""https://docs.google.com/spreadsheets/d/1kGrh75X1cNR1D7_FcY9zMnHP8iPO4M5RCRjy6nZY0TY/edit#g"&amp;"id=0"",""Table 1: Study characteristics!B4:B171"")))&gt;0
),
""Include""
)"),"Exclude")</f>
        <v>Exclude</v>
      </c>
      <c r="G84" s="5" t="str">
        <f>IFERROR(__xludf.DUMMYFUNCTION("IFS(
D84=""Exclude"",
FILTER(IMPORTRANGE(""https://docs.google.com/spreadsheets/d/1BJSV3WBYJGRhQ6zExamkszQ5VutGIcaQqmbD9ZTVXMQ/edit#gid=1251630045"",""articles_with_PRISMA_reasons!AB2:AB2113""), $A84=IMPORTRANGE(""https://docs.google.com/spreadsheets/d/1B"&amp;"JSV3WBYJGRhQ6zExamkszQ5VutGIcaQqmbD9ZTVXMQ/edit#gid=1251630045"",""articles_with_PRISMA_reasons!B2:B2113"")),
E84=""Exclude"",
FILTER(IMPORTRANGE(""https://docs.google.com/spreadsheets/d/1qpEmbGH0JjaJbUdp21-y2cPbobDbMjr09BbtdKROZWc/edit#gid=1444865654"","&amp;"""articles_with_PRISMA_reasons!Z2:Z2113""), $A84=IMPORTRANGE(""https://docs.google.com/spreadsheets/d/1qpEmbGH0JjaJbUdp21-y2cPbobDbMjr09BbtdKROZWc/edit#gid=1444865654"",""articles_with_PRISMA_reasons!B2:B2113"")),F84
=""Include"",FILTER(IMPORTRANGE(""http"&amp;"s://docs.google.com/spreadsheets/d/1kGrh75X1cNR1D7_FcY9zMnHP8iPO4M5RCRjy6nZY0TY/edit#gid=0"",""Table 1: Study characteristics!A4:A171""), $A84=IMPORTRANGE(""https://docs.google.com/spreadsheets/d/1kGrh75X1cNR1D7_FcY9zMnHP8iPO4M5RCRjy6nZY0TY/edit#gid=0"","&amp;"""Table 1: Study characteristics!B4:B171""))
)"),"text not accessible")</f>
        <v>text not accessible</v>
      </c>
    </row>
    <row r="85">
      <c r="A85" s="4" t="str">
        <f>IFERROR(__xludf.DUMMYFUNCTION("""COMPUTED_VALUE"""),"[Pediatric care of the spina bifida child]")</f>
        <v>[Pediatric care of the spina bifida child]</v>
      </c>
      <c r="B85" s="5" t="str">
        <f>IFERROR(__xludf.DUMMYFUNCTION("LEFT(FILTER(IMPORTRANGE(""https://docs.google.com/spreadsheets/d/1BJSV3WBYJGRhQ6zExamkszQ5VutGIcaQqmbD9ZTVXMQ/edit#gid=1251630045"",""articles_with_PRISMA_reasons!K2:K2113""), $A85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$A85=IMPORTRANGE(""https://docs.google.com/spreadsheets/d/1BJSV3WBYJGRhQ6zExamkszQ5VutGIcaQqmbD9ZTVXMQ/edit#gid=1251630045"",""articles_with_PRISMA_reasons!B2:B2113"")))-1)"),"Rutz")</f>
        <v>Rutz</v>
      </c>
      <c r="C85" s="6">
        <f>IFERROR(__xludf.DUMMYFUNCTION("FILTER(IMPORTRANGE(""https://docs.google.com/spreadsheets/d/1BJSV3WBYJGRhQ6zExamkszQ5VutGIcaQqmbD9ZTVXMQ/edit#gid=1251630045"",""articles_with_PRISMA_reasons!C2:C2113""), $A85=IMPORTRANGE(""https://docs.google.com/spreadsheets/d/1BJSV3WBYJGRhQ6zExamkszQ5V"&amp;"utGIcaQqmbD9ZTVXMQ/edit#gid=1251630045"",""articles_with_PRISMA_reasons!B2:B2113""))"),1984.0)</f>
        <v>1984</v>
      </c>
      <c r="D85" s="5" t="str">
        <f>IFERROR(__xludf.DUMMYFUNCTION("IFS(AND(
FILTER(IMPORTRANGE(""https://docs.google.com/spreadsheets/d/1BJSV3WBYJGRhQ6zExamkszQ5VutGIcaQqmbD9ZTVXMQ/edit#gid=1251630045"",""articles_with_PRISMA_reasons!Y2:Y2113""), $A85=IMPORTRANGE(""https://docs.google.com/spreadsheets/d/1BJSV3WBYJGRhQ6zE"&amp;"xamkszQ5VutGIcaQqmbD9ZTVXMQ/edit#gid=1251630045"",""articles_with_PRISMA_reasons!B2:B2113""))&gt;=2,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$A85=IMPORTRANGE(""https://docs.google.com/spreadsheets/d/1BJSV3WBYJGRhQ6zExamkszQ5VutGIcaQqmbD9ZTVXMQ/edit#gid=1251630045"",""articles_with_PRISMA_reasons!B2:B2113""))&lt;2),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$A85=IMPORTRANGE(""https://docs.google.com/spreadsheets/d/1BJSV3WBYJGRhQ6zExamkszQ5VutGIcaQqmbD9ZTVXMQ/edit#gid=1251630045"",""article"&amp;"s_with_PRISMA_reasons!B2:B2113""))&lt;2,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$A85=IMPORTRANGE(""https://docs.google.com/spr"&amp;"eadsheets/d/1BJSV3WBYJGRhQ6zExamkszQ5VutGIcaQqmbD9ZTVXMQ/edit#gid=1251630045"",""articles_with_PRISMA_reasons!B2:B2113""))&gt;=2),
""Exclude""
)"),"Exclude")</f>
        <v>Exclude</v>
      </c>
      <c r="E85" s="5" t="str">
        <f>IFERROR(__xludf.DUMMYFUNCTION("IFS(
D85=""Exclude"",""Exclude"",
AND(
FILTER(IMPORTRANGE(""https://docs.google.com/spreadsheets/d/1qpEmbGH0JjaJbUdp21-y2cPbobDbMjr09BbtdKROZWc/edit#gid=1444865654"",""articles_with_PRISMA_reasons!W2:W2113""), $A85=IMPORTRANGE(""https://docs.google.com/sp"&amp;"readsheets/d/1qpEmbGH0JjaJbUdp21-y2cPbobDbMjr09BbtdKROZWc/edit#gid=1444865654"",""articles_with_PRISMA_reasons!B2:B2113""))&gt;=2,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$A85=IMPORTRANGE(""https://docs.google.com/spreadsheets/d/1qpEmbGH0JjaJbUdp21-y2cPbobDbMjr09BbtdKROZWc/edit#gid=1444865654"",""articles_with_PRISMA_reasons!B2:B2113""))&lt;2),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$A85=IMPORTRANGE(""https://docs.google.com/spreadsheets/d/1qpEmbGH0JjaJbUdp21-y2cPbobDbMjr09BbtdKROZWc/"&amp;"edit#gid=1444865654"",""articles_with_PRISMA_reasons!B2:B2113""))&lt;2,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$A85=IMPORTRANG"&amp;"E(""https://docs.google.com/spreadsheets/d/1qpEmbGH0JjaJbUdp21-y2cPbobDbMjr09BbtdKROZWc/edit#gid=1444865654"",""articles_with_PRISMA_reasons!B2:B2113""))&gt;=2),
""Exclude""
)"),"Exclude")</f>
        <v>Exclude</v>
      </c>
      <c r="F85" s="5" t="str">
        <f>IFERROR(__xludf.DUMMYFUNCTION("IFS(
E85=""Exclude"",""Exclude"",
AND(
COUNTIF(
IMPORTRANGE(""https://docs.google.com/spreadsheets/d/1kGrh75X1cNR1D7_FcY9zMnHP8iPO4M5RCRjy6nZY0TY/edit#gid=0"",""Table 1: Study characteristics!B4:B171""),A85)&gt;0,
COUNTIF(Studies!$A$2:$A$85,FILTER(IMPORTRANG"&amp;"E(""https://docs.google.com/spreadsheets/d/1kGrh75X1cNR1D7_FcY9zMnHP8iPO4M5RCRjy6nZY0TY/edit#gid=0"",""Table 1: Study characteristics!A4:A171""), $A85=IMPORTRANGE(""https://docs.google.com/spreadsheets/d/1kGrh75X1cNR1D7_FcY9zMnHP8iPO4M5RCRjy6nZY0TY/edit#g"&amp;"id=0"",""Table 1: Study characteristics!B4:B171"")))&gt;0
),
""Include""
)"),"Exclude")</f>
        <v>Exclude</v>
      </c>
      <c r="G85" s="5" t="str">
        <f>IFERROR(__xludf.DUMMYFUNCTION("IFS(
D85=""Exclude"",
FILTER(IMPORTRANGE(""https://docs.google.com/spreadsheets/d/1BJSV3WBYJGRhQ6zExamkszQ5VutGIcaQqmbD9ZTVXMQ/edit#gid=1251630045"",""articles_with_PRISMA_reasons!AB2:AB2113""), $A85=IMPORTRANGE(""https://docs.google.com/spreadsheets/d/1B"&amp;"JSV3WBYJGRhQ6zExamkszQ5VutGIcaQqmbD9ZTVXMQ/edit#gid=1251630045"",""articles_with_PRISMA_reasons!B2:B2113"")),
E85=""Exclude"",
FILTER(IMPORTRANGE(""https://docs.google.com/spreadsheets/d/1qpEmbGH0JjaJbUdp21-y2cPbobDbMjr09BbtdKROZWc/edit#gid=1444865654"","&amp;"""articles_with_PRISMA_reasons!Z2:Z2113""), $A85=IMPORTRANGE(""https://docs.google.com/spreadsheets/d/1qpEmbGH0JjaJbUdp21-y2cPbobDbMjr09BbtdKROZWc/edit#gid=1444865654"",""articles_with_PRISMA_reasons!B2:B2113"")),F85
=""Include"",FILTER(IMPORTRANGE(""http"&amp;"s://docs.google.com/spreadsheets/d/1kGrh75X1cNR1D7_FcY9zMnHP8iPO4M5RCRjy6nZY0TY/edit#gid=0"",""Table 1: Study characteristics!A4:A171""), $A85=IMPORTRANGE(""https://docs.google.com/spreadsheets/d/1kGrh75X1cNR1D7_FcY9zMnHP8iPO4M5RCRjy6nZY0TY/edit#gid=0"","&amp;"""Table 1: Study characteristics!B4:B171""))
)"),"wrong population")</f>
        <v>wrong population</v>
      </c>
    </row>
    <row r="86">
      <c r="A86" s="4" t="str">
        <f>IFERROR(__xludf.DUMMYFUNCTION("""COMPUTED_VALUE"""),"[Perinatal neurosurgical care for one fetal hydrocephalus on twin gestation]")</f>
        <v>[Perinatal neurosurgical care for one fetal hydrocephalus on twin gestation]</v>
      </c>
      <c r="B86" s="5" t="str">
        <f>IFERROR(__xludf.DUMMYFUNCTION("LEFT(FILTER(IMPORTRANGE(""https://docs.google.com/spreadsheets/d/1BJSV3WBYJGRhQ6zExamkszQ5VutGIcaQqmbD9ZTVXMQ/edit#gid=1251630045"",""articles_with_PRISMA_reasons!K2:K2113""), $A86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$A86=IMPORTRANGE(""https://docs.google.com/spreadsheets/d/1BJSV3WBYJGRhQ6zExamkszQ5VutGIcaQqmbD9ZTVXMQ/edit#gid=1251630045"",""articles_with_PRISMA_reasons!B2:B2113"")))-1)"),"Nishikuni")</f>
        <v>Nishikuni</v>
      </c>
      <c r="C86" s="6">
        <f>IFERROR(__xludf.DUMMYFUNCTION("FILTER(IMPORTRANGE(""https://docs.google.com/spreadsheets/d/1BJSV3WBYJGRhQ6zExamkszQ5VutGIcaQqmbD9ZTVXMQ/edit#gid=1251630045"",""articles_with_PRISMA_reasons!C2:C2113""), $A86=IMPORTRANGE(""https://docs.google.com/spreadsheets/d/1BJSV3WBYJGRhQ6zExamkszQ5V"&amp;"utGIcaQqmbD9ZTVXMQ/edit#gid=1251630045"",""articles_with_PRISMA_reasons!B2:B2113""))"),1992.0)</f>
        <v>1992</v>
      </c>
      <c r="D86" s="5" t="str">
        <f>IFERROR(__xludf.DUMMYFUNCTION("IFS(AND(
FILTER(IMPORTRANGE(""https://docs.google.com/spreadsheets/d/1BJSV3WBYJGRhQ6zExamkszQ5VutGIcaQqmbD9ZTVXMQ/edit#gid=1251630045"",""articles_with_PRISMA_reasons!Y2:Y2113""), $A86=IMPORTRANGE(""https://docs.google.com/spreadsheets/d/1BJSV3WBYJGRhQ6zE"&amp;"xamkszQ5VutGIcaQqmbD9ZTVXMQ/edit#gid=1251630045"",""articles_with_PRISMA_reasons!B2:B2113""))&gt;=2,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$A86=IMPORTRANGE(""https://docs.google.com/spreadsheets/d/1BJSV3WBYJGRhQ6zExamkszQ5VutGIcaQqmbD9ZTVXMQ/edit#gid=1251630045"",""articles_with_PRISMA_reasons!B2:B2113""))&lt;2),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$A86=IMPORTRANGE(""https://docs.google.com/spreadsheets/d/1BJSV3WBYJGRhQ6zExamkszQ5VutGIcaQqmbD9ZTVXMQ/edit#gid=1251630045"",""article"&amp;"s_with_PRISMA_reasons!B2:B2113""))&lt;2,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$A86=IMPORTRANGE(""https://docs.google.com/spr"&amp;"eadsheets/d/1BJSV3WBYJGRhQ6zExamkszQ5VutGIcaQqmbD9ZTVXMQ/edit#gid=1251630045"",""articles_with_PRISMA_reasons!B2:B2113""))&gt;=2),
""Exclude""
)"),"Exclude")</f>
        <v>Exclude</v>
      </c>
      <c r="E86" s="5" t="str">
        <f>IFERROR(__xludf.DUMMYFUNCTION("IFS(
D86=""Exclude"",""Exclude"",
AND(
FILTER(IMPORTRANGE(""https://docs.google.com/spreadsheets/d/1qpEmbGH0JjaJbUdp21-y2cPbobDbMjr09BbtdKROZWc/edit#gid=1444865654"",""articles_with_PRISMA_reasons!W2:W2113""), $A86=IMPORTRANGE(""https://docs.google.com/sp"&amp;"readsheets/d/1qpEmbGH0JjaJbUdp21-y2cPbobDbMjr09BbtdKROZWc/edit#gid=1444865654"",""articles_with_PRISMA_reasons!B2:B2113""))&gt;=2,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$A86=IMPORTRANGE(""https://docs.google.com/spreadsheets/d/1qpEmbGH0JjaJbUdp21-y2cPbobDbMjr09BbtdKROZWc/edit#gid=1444865654"",""articles_with_PRISMA_reasons!B2:B2113""))&lt;2),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$A86=IMPORTRANGE(""https://docs.google.com/spreadsheets/d/1qpEmbGH0JjaJbUdp21-y2cPbobDbMjr09BbtdKROZWc/"&amp;"edit#gid=1444865654"",""articles_with_PRISMA_reasons!B2:B2113""))&lt;2,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$A86=IMPORTRANG"&amp;"E(""https://docs.google.com/spreadsheets/d/1qpEmbGH0JjaJbUdp21-y2cPbobDbMjr09BbtdKROZWc/edit#gid=1444865654"",""articles_with_PRISMA_reasons!B2:B2113""))&gt;=2),
""Exclude""
)"),"Exclude")</f>
        <v>Exclude</v>
      </c>
      <c r="F86" s="5" t="str">
        <f>IFERROR(__xludf.DUMMYFUNCTION("IFS(
E86=""Exclude"",""Exclude"",
AND(
COUNTIF(
IMPORTRANGE(""https://docs.google.com/spreadsheets/d/1kGrh75X1cNR1D7_FcY9zMnHP8iPO4M5RCRjy6nZY0TY/edit#gid=0"",""Table 1: Study characteristics!B4:B171""),A86)&gt;0,
COUNTIF(Studies!$A$2:$A$85,FILTER(IMPORTRANG"&amp;"E(""https://docs.google.com/spreadsheets/d/1kGrh75X1cNR1D7_FcY9zMnHP8iPO4M5RCRjy6nZY0TY/edit#gid=0"",""Table 1: Study characteristics!A4:A171""), $A86=IMPORTRANGE(""https://docs.google.com/spreadsheets/d/1kGrh75X1cNR1D7_FcY9zMnHP8iPO4M5RCRjy6nZY0TY/edit#g"&amp;"id=0"",""Table 1: Study characteristics!B4:B171"")))&gt;0
),
""Include""
)"),"Exclude")</f>
        <v>Exclude</v>
      </c>
      <c r="G86" s="5" t="str">
        <f>IFERROR(__xludf.DUMMYFUNCTION("IFS(
D86=""Exclude"",
FILTER(IMPORTRANGE(""https://docs.google.com/spreadsheets/d/1BJSV3WBYJGRhQ6zExamkszQ5VutGIcaQqmbD9ZTVXMQ/edit#gid=1251630045"",""articles_with_PRISMA_reasons!AB2:AB2113""), $A86=IMPORTRANGE(""https://docs.google.com/spreadsheets/d/1B"&amp;"JSV3WBYJGRhQ6zExamkszQ5VutGIcaQqmbD9ZTVXMQ/edit#gid=1251630045"",""articles_with_PRISMA_reasons!B2:B2113"")),
E86=""Exclude"",
FILTER(IMPORTRANGE(""https://docs.google.com/spreadsheets/d/1qpEmbGH0JjaJbUdp21-y2cPbobDbMjr09BbtdKROZWc/edit#gid=1444865654"","&amp;"""articles_with_PRISMA_reasons!Z2:Z2113""), $A86=IMPORTRANGE(""https://docs.google.com/spreadsheets/d/1qpEmbGH0JjaJbUdp21-y2cPbobDbMjr09BbtdKROZWc/edit#gid=1444865654"",""articles_with_PRISMA_reasons!B2:B2113"")),F86
=""Include"",FILTER(IMPORTRANGE(""http"&amp;"s://docs.google.com/spreadsheets/d/1kGrh75X1cNR1D7_FcY9zMnHP8iPO4M5RCRjy6nZY0TY/edit#gid=0"",""Table 1: Study characteristics!A4:A171""), $A86=IMPORTRANGE(""https://docs.google.com/spreadsheets/d/1kGrh75X1cNR1D7_FcY9zMnHP8iPO4M5RCRjy6nZY0TY/edit#gid=0"","&amp;"""Table 1: Study characteristics!B4:B171""))
)"),"Duplicate")</f>
        <v>Duplicate</v>
      </c>
    </row>
    <row r="87">
      <c r="A87" s="4" t="str">
        <f>IFERROR(__xludf.DUMMYFUNCTION("""COMPUTED_VALUE"""),"[Peritoneal pseudocyst, a rare complication of ventriculoperitoneal shunt (case report) (author's transl)]")</f>
        <v>[Peritoneal pseudocyst, a rare complication of ventriculoperitoneal shunt (case report) (author's transl)]</v>
      </c>
      <c r="B87" s="5" t="str">
        <f>IFERROR(__xludf.DUMMYFUNCTION("LEFT(FILTER(IMPORTRANGE(""https://docs.google.com/spreadsheets/d/1BJSV3WBYJGRhQ6zExamkszQ5VutGIcaQqmbD9ZTVXMQ/edit#gid=1251630045"",""articles_with_PRISMA_reasons!K2:K2113""), $A87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$A87=IMPORTRANGE(""https://docs.google.com/spreadsheets/d/1BJSV3WBYJGRhQ6zExamkszQ5VutGIcaQqmbD9ZTVXMQ/edit#gid=1251630045"",""articles_with_PRISMA_reasons!B2:B2113"")))-1)"),"Adam")</f>
        <v>Adam</v>
      </c>
      <c r="C87" s="6">
        <f>IFERROR(__xludf.DUMMYFUNCTION("FILTER(IMPORTRANGE(""https://docs.google.com/spreadsheets/d/1BJSV3WBYJGRhQ6zExamkszQ5VutGIcaQqmbD9ZTVXMQ/edit#gid=1251630045"",""articles_with_PRISMA_reasons!C2:C2113""), $A87=IMPORTRANGE(""https://docs.google.com/spreadsheets/d/1BJSV3WBYJGRhQ6zExamkszQ5V"&amp;"utGIcaQqmbD9ZTVXMQ/edit#gid=1251630045"",""articles_with_PRISMA_reasons!B2:B2113""))"),1981.0)</f>
        <v>1981</v>
      </c>
      <c r="D87" s="5" t="str">
        <f>IFERROR(__xludf.DUMMYFUNCTION("IFS(AND(
FILTER(IMPORTRANGE(""https://docs.google.com/spreadsheets/d/1BJSV3WBYJGRhQ6zExamkszQ5VutGIcaQqmbD9ZTVXMQ/edit#gid=1251630045"",""articles_with_PRISMA_reasons!Y2:Y2113""), $A87=IMPORTRANGE(""https://docs.google.com/spreadsheets/d/1BJSV3WBYJGRhQ6zE"&amp;"xamkszQ5VutGIcaQqmbD9ZTVXMQ/edit#gid=1251630045"",""articles_with_PRISMA_reasons!B2:B2113""))&gt;=2,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$A87=IMPORTRANGE(""https://docs.google.com/spreadsheets/d/1BJSV3WBYJGRhQ6zExamkszQ5VutGIcaQqmbD9ZTVXMQ/edit#gid=1251630045"",""articles_with_PRISMA_reasons!B2:B2113""))&lt;2),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$A87=IMPORTRANGE(""https://docs.google.com/spreadsheets/d/1BJSV3WBYJGRhQ6zExamkszQ5VutGIcaQqmbD9ZTVXMQ/edit#gid=1251630045"",""article"&amp;"s_with_PRISMA_reasons!B2:B2113""))&lt;2,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$A87=IMPORTRANGE(""https://docs.google.com/spr"&amp;"eadsheets/d/1BJSV3WBYJGRhQ6zExamkszQ5VutGIcaQqmbD9ZTVXMQ/edit#gid=1251630045"",""articles_with_PRISMA_reasons!B2:B2113""))&gt;=2),
""Exclude""
)"),"Exclude")</f>
        <v>Exclude</v>
      </c>
      <c r="E87" s="5" t="str">
        <f>IFERROR(__xludf.DUMMYFUNCTION("IFS(
D87=""Exclude"",""Exclude"",
AND(
FILTER(IMPORTRANGE(""https://docs.google.com/spreadsheets/d/1qpEmbGH0JjaJbUdp21-y2cPbobDbMjr09BbtdKROZWc/edit#gid=1444865654"",""articles_with_PRISMA_reasons!W2:W2113""), $A87=IMPORTRANGE(""https://docs.google.com/sp"&amp;"readsheets/d/1qpEmbGH0JjaJbUdp21-y2cPbobDbMjr09BbtdKROZWc/edit#gid=1444865654"",""articles_with_PRISMA_reasons!B2:B2113""))&gt;=2,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$A87=IMPORTRANGE(""https://docs.google.com/spreadsheets/d/1qpEmbGH0JjaJbUdp21-y2cPbobDbMjr09BbtdKROZWc/edit#gid=1444865654"",""articles_with_PRISMA_reasons!B2:B2113""))&lt;2),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$A87=IMPORTRANGE(""https://docs.google.com/spreadsheets/d/1qpEmbGH0JjaJbUdp21-y2cPbobDbMjr09BbtdKROZWc/"&amp;"edit#gid=1444865654"",""articles_with_PRISMA_reasons!B2:B2113""))&lt;2,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$A87=IMPORTRANG"&amp;"E(""https://docs.google.com/spreadsheets/d/1qpEmbGH0JjaJbUdp21-y2cPbobDbMjr09BbtdKROZWc/edit#gid=1444865654"",""articles_with_PRISMA_reasons!B2:B2113""))&gt;=2),
""Exclude""
)"),"Exclude")</f>
        <v>Exclude</v>
      </c>
      <c r="F87" s="5" t="str">
        <f>IFERROR(__xludf.DUMMYFUNCTION("IFS(
E87=""Exclude"",""Exclude"",
AND(
COUNTIF(
IMPORTRANGE(""https://docs.google.com/spreadsheets/d/1kGrh75X1cNR1D7_FcY9zMnHP8iPO4M5RCRjy6nZY0TY/edit#gid=0"",""Table 1: Study characteristics!B4:B171""),A87)&gt;0,
COUNTIF(Studies!$A$2:$A$85,FILTER(IMPORTRANG"&amp;"E(""https://docs.google.com/spreadsheets/d/1kGrh75X1cNR1D7_FcY9zMnHP8iPO4M5RCRjy6nZY0TY/edit#gid=0"",""Table 1: Study characteristics!A4:A171""), $A87=IMPORTRANGE(""https://docs.google.com/spreadsheets/d/1kGrh75X1cNR1D7_FcY9zMnHP8iPO4M5RCRjy6nZY0TY/edit#g"&amp;"id=0"",""Table 1: Study characteristics!B4:B171"")))&gt;0
),
""Include""
)"),"Exclude")</f>
        <v>Exclude</v>
      </c>
      <c r="G87" s="5" t="str">
        <f>IFERROR(__xludf.DUMMYFUNCTION("IFS(
D87=""Exclude"",
FILTER(IMPORTRANGE(""https://docs.google.com/spreadsheets/d/1BJSV3WBYJGRhQ6zExamkszQ5VutGIcaQqmbD9ZTVXMQ/edit#gid=1251630045"",""articles_with_PRISMA_reasons!AB2:AB2113""), $A87=IMPORTRANGE(""https://docs.google.com/spreadsheets/d/1B"&amp;"JSV3WBYJGRhQ6zExamkszQ5VutGIcaQqmbD9ZTVXMQ/edit#gid=1251630045"",""articles_with_PRISMA_reasons!B2:B2113"")),
E87=""Exclude"",
FILTER(IMPORTRANGE(""https://docs.google.com/spreadsheets/d/1qpEmbGH0JjaJbUdp21-y2cPbobDbMjr09BbtdKROZWc/edit#gid=1444865654"","&amp;"""articles_with_PRISMA_reasons!Z2:Z2113""), $A87=IMPORTRANGE(""https://docs.google.com/spreadsheets/d/1qpEmbGH0JjaJbUdp21-y2cPbobDbMjr09BbtdKROZWc/edit#gid=1444865654"",""articles_with_PRISMA_reasons!B2:B2113"")),F87
=""Include"",FILTER(IMPORTRANGE(""http"&amp;"s://docs.google.com/spreadsheets/d/1kGrh75X1cNR1D7_FcY9zMnHP8iPO4M5RCRjy6nZY0TY/edit#gid=0"",""Table 1: Study characteristics!A4:A171""), $A87=IMPORTRANGE(""https://docs.google.com/spreadsheets/d/1kGrh75X1cNR1D7_FcY9zMnHP8iPO4M5RCRjy6nZY0TY/edit#gid=0"","&amp;"""Table 1: Study characteristics!B4:B171""))
)"),"wrong publication type")</f>
        <v>wrong publication type</v>
      </c>
    </row>
    <row r="88">
      <c r="A88" s="4" t="str">
        <f>IFERROR(__xludf.DUMMYFUNCTION("""COMPUTED_VALUE"""),"[Personal experience with congenital abnormalities of the central nervous system in Senegal]")</f>
        <v>[Personal experience with congenital abnormalities of the central nervous system in Senegal]</v>
      </c>
      <c r="B88" s="5" t="str">
        <f>IFERROR(__xludf.DUMMYFUNCTION("LEFT(FILTER(IMPORTRANGE(""https://docs.google.com/spreadsheets/d/1BJSV3WBYJGRhQ6zExamkszQ5VutGIcaQqmbD9ZTVXMQ/edit#gid=1251630045"",""articles_with_PRISMA_reasons!K2:K2113""), $A88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$A88=IMPORTRANGE(""https://docs.google.com/spreadsheets/d/1BJSV3WBYJGRhQ6zExamkszQ5VutGIcaQqmbD9ZTVXMQ/edit#gid=1251630045"",""articles_with_PRISMA_reasons!B2:B2113"")))-1)"),"Alliez")</f>
        <v>Alliez</v>
      </c>
      <c r="C88" s="6">
        <f>IFERROR(__xludf.DUMMYFUNCTION("FILTER(IMPORTRANGE(""https://docs.google.com/spreadsheets/d/1BJSV3WBYJGRhQ6zExamkszQ5VutGIcaQqmbD9ZTVXMQ/edit#gid=1251630045"",""articles_with_PRISMA_reasons!C2:C2113""), $A88=IMPORTRANGE(""https://docs.google.com/spreadsheets/d/1BJSV3WBYJGRhQ6zExamkszQ5V"&amp;"utGIcaQqmbD9ZTVXMQ/edit#gid=1251630045"",""articles_with_PRISMA_reasons!B2:B2113""))"),1977.0)</f>
        <v>1977</v>
      </c>
      <c r="D88" s="5" t="str">
        <f>IFERROR(__xludf.DUMMYFUNCTION("IFS(AND(
FILTER(IMPORTRANGE(""https://docs.google.com/spreadsheets/d/1BJSV3WBYJGRhQ6zExamkszQ5VutGIcaQqmbD9ZTVXMQ/edit#gid=1251630045"",""articles_with_PRISMA_reasons!Y2:Y2113""), $A88=IMPORTRANGE(""https://docs.google.com/spreadsheets/d/1BJSV3WBYJGRhQ6zE"&amp;"xamkszQ5VutGIcaQqmbD9ZTVXMQ/edit#gid=1251630045"",""articles_with_PRISMA_reasons!B2:B2113""))&gt;=2,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$A88=IMPORTRANGE(""https://docs.google.com/spreadsheets/d/1BJSV3WBYJGRhQ6zExamkszQ5VutGIcaQqmbD9ZTVXMQ/edit#gid=1251630045"",""articles_with_PRISMA_reasons!B2:B2113""))&lt;2),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$A88=IMPORTRANGE(""https://docs.google.com/spreadsheets/d/1BJSV3WBYJGRhQ6zExamkszQ5VutGIcaQqmbD9ZTVXMQ/edit#gid=1251630045"",""article"&amp;"s_with_PRISMA_reasons!B2:B2113""))&lt;2,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$A88=IMPORTRANGE(""https://docs.google.com/spr"&amp;"eadsheets/d/1BJSV3WBYJGRhQ6zExamkszQ5VutGIcaQqmbD9ZTVXMQ/edit#gid=1251630045"",""articles_with_PRISMA_reasons!B2:B2113""))&gt;=2),
""Exclude""
)"),"Exclude")</f>
        <v>Exclude</v>
      </c>
      <c r="E88" s="5" t="str">
        <f>IFERROR(__xludf.DUMMYFUNCTION("IFS(
D88=""Exclude"",""Exclude"",
AND(
FILTER(IMPORTRANGE(""https://docs.google.com/spreadsheets/d/1qpEmbGH0JjaJbUdp21-y2cPbobDbMjr09BbtdKROZWc/edit#gid=1444865654"",""articles_with_PRISMA_reasons!W2:W2113""), $A88=IMPORTRANGE(""https://docs.google.com/sp"&amp;"readsheets/d/1qpEmbGH0JjaJbUdp21-y2cPbobDbMjr09BbtdKROZWc/edit#gid=1444865654"",""articles_with_PRISMA_reasons!B2:B2113""))&gt;=2,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$A88=IMPORTRANGE(""https://docs.google.com/spreadsheets/d/1qpEmbGH0JjaJbUdp21-y2cPbobDbMjr09BbtdKROZWc/edit#gid=1444865654"",""articles_with_PRISMA_reasons!B2:B2113""))&lt;2),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$A88=IMPORTRANGE(""https://docs.google.com/spreadsheets/d/1qpEmbGH0JjaJbUdp21-y2cPbobDbMjr09BbtdKROZWc/"&amp;"edit#gid=1444865654"",""articles_with_PRISMA_reasons!B2:B2113""))&lt;2,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$A88=IMPORTRANG"&amp;"E(""https://docs.google.com/spreadsheets/d/1qpEmbGH0JjaJbUdp21-y2cPbobDbMjr09BbtdKROZWc/edit#gid=1444865654"",""articles_with_PRISMA_reasons!B2:B2113""))&gt;=2),
""Exclude""
)"),"Exclude")</f>
        <v>Exclude</v>
      </c>
      <c r="F88" s="5" t="str">
        <f>IFERROR(__xludf.DUMMYFUNCTION("IFS(
E88=""Exclude"",""Exclude"",
AND(
COUNTIF(
IMPORTRANGE(""https://docs.google.com/spreadsheets/d/1kGrh75X1cNR1D7_FcY9zMnHP8iPO4M5RCRjy6nZY0TY/edit#gid=0"",""Table 1: Study characteristics!B4:B171""),A88)&gt;0,
COUNTIF(Studies!$A$2:$A$85,FILTER(IMPORTRANG"&amp;"E(""https://docs.google.com/spreadsheets/d/1kGrh75X1cNR1D7_FcY9zMnHP8iPO4M5RCRjy6nZY0TY/edit#gid=0"",""Table 1: Study characteristics!A4:A171""), $A88=IMPORTRANGE(""https://docs.google.com/spreadsheets/d/1kGrh75X1cNR1D7_FcY9zMnHP8iPO4M5RCRjy6nZY0TY/edit#g"&amp;"id=0"",""Table 1: Study characteristics!B4:B171"")))&gt;0
),
""Include""
)"),"Exclude")</f>
        <v>Exclude</v>
      </c>
      <c r="G88" s="5" t="str">
        <f>IFERROR(__xludf.DUMMYFUNCTION("IFS(
D88=""Exclude"",
FILTER(IMPORTRANGE(""https://docs.google.com/spreadsheets/d/1BJSV3WBYJGRhQ6zExamkszQ5VutGIcaQqmbD9ZTVXMQ/edit#gid=1251630045"",""articles_with_PRISMA_reasons!AB2:AB2113""), $A88=IMPORTRANGE(""https://docs.google.com/spreadsheets/d/1B"&amp;"JSV3WBYJGRhQ6zExamkszQ5VutGIcaQqmbD9ZTVXMQ/edit#gid=1251630045"",""articles_with_PRISMA_reasons!B2:B2113"")),
E88=""Exclude"",
FILTER(IMPORTRANGE(""https://docs.google.com/spreadsheets/d/1qpEmbGH0JjaJbUdp21-y2cPbobDbMjr09BbtdKROZWc/edit#gid=1444865654"","&amp;"""articles_with_PRISMA_reasons!Z2:Z2113""), $A88=IMPORTRANGE(""https://docs.google.com/spreadsheets/d/1qpEmbGH0JjaJbUdp21-y2cPbobDbMjr09BbtdKROZWc/edit#gid=1444865654"",""articles_with_PRISMA_reasons!B2:B2113"")),F88
=""Include"",FILTER(IMPORTRANGE(""http"&amp;"s://docs.google.com/spreadsheets/d/1kGrh75X1cNR1D7_FcY9zMnHP8iPO4M5RCRjy6nZY0TY/edit#gid=0"",""Table 1: Study characteristics!A4:A171""), $A88=IMPORTRANGE(""https://docs.google.com/spreadsheets/d/1kGrh75X1cNR1D7_FcY9zMnHP8iPO4M5RCRjy6nZY0TY/edit#gid=0"","&amp;"""Table 1: Study characteristics!B4:B171""))
)"),"wrong study design")</f>
        <v>wrong study design</v>
      </c>
    </row>
    <row r="89">
      <c r="A89" s="4" t="str">
        <f>IFERROR(__xludf.DUMMYFUNCTION("""COMPUTED_VALUE"""),"[Physical and mental development after early surgery of myeloceles]")</f>
        <v>[Physical and mental development after early surgery of myeloceles]</v>
      </c>
      <c r="B89" s="5"/>
      <c r="C89" s="6" t="str">
        <f>IFERROR(__xludf.DUMMYFUNCTION("FILTER(IMPORTRANGE(""https://docs.google.com/spreadsheets/d/1BJSV3WBYJGRhQ6zExamkszQ5VutGIcaQqmbD9ZTVXMQ/edit#gid=1251630045"",""articles_with_PRISMA_reasons!C2:C2113""), $A89=IMPORTRANGE(""https://docs.google.com/spreadsheets/d/1BJSV3WBYJGRhQ6zExamkszQ5V"&amp;"utGIcaQqmbD9ZTVXMQ/edit#gid=1251630045"",""articles_with_PRISMA_reasons!B2:B2113""))"),"Jan")</f>
        <v>Jan</v>
      </c>
      <c r="D89" s="5" t="str">
        <f>IFERROR(__xludf.DUMMYFUNCTION("IFS(AND(
FILTER(IMPORTRANGE(""https://docs.google.com/spreadsheets/d/1BJSV3WBYJGRhQ6zExamkszQ5VutGIcaQqmbD9ZTVXMQ/edit#gid=1251630045"",""articles_with_PRISMA_reasons!Y2:Y2113""), $A89=IMPORTRANGE(""https://docs.google.com/spreadsheets/d/1BJSV3WBYJGRhQ6zE"&amp;"xamkszQ5VutGIcaQqmbD9ZTVXMQ/edit#gid=1251630045"",""articles_with_PRISMA_reasons!B2:B2113""))&gt;=2,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$A89=IMPORTRANGE(""https://docs.google.com/spreadsheets/d/1BJSV3WBYJGRhQ6zExamkszQ5VutGIcaQqmbD9ZTVXMQ/edit#gid=1251630045"",""articles_with_PRISMA_reasons!B2:B2113""))&lt;2),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$A89=IMPORTRANGE(""https://docs.google.com/spreadsheets/d/1BJSV3WBYJGRhQ6zExamkszQ5VutGIcaQqmbD9ZTVXMQ/edit#gid=1251630045"",""article"&amp;"s_with_PRISMA_reasons!B2:B2113""))&lt;2,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$A89=IMPORTRANGE(""https://docs.google.com/spr"&amp;"eadsheets/d/1BJSV3WBYJGRhQ6zExamkszQ5VutGIcaQqmbD9ZTVXMQ/edit#gid=1251630045"",""articles_with_PRISMA_reasons!B2:B2113""))&gt;=2),
""Exclude""
)"),"Exclude")</f>
        <v>Exclude</v>
      </c>
      <c r="E89" s="5" t="str">
        <f>IFERROR(__xludf.DUMMYFUNCTION("IFS(
D89=""Exclude"",""Exclude"",
AND(
FILTER(IMPORTRANGE(""https://docs.google.com/spreadsheets/d/1qpEmbGH0JjaJbUdp21-y2cPbobDbMjr09BbtdKROZWc/edit#gid=1444865654"",""articles_with_PRISMA_reasons!W2:W2113""), $A89=IMPORTRANGE(""https://docs.google.com/sp"&amp;"readsheets/d/1qpEmbGH0JjaJbUdp21-y2cPbobDbMjr09BbtdKROZWc/edit#gid=1444865654"",""articles_with_PRISMA_reasons!B2:B2113""))&gt;=2,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$A89=IMPORTRANGE(""https://docs.google.com/spreadsheets/d/1qpEmbGH0JjaJbUdp21-y2cPbobDbMjr09BbtdKROZWc/edit#gid=1444865654"",""articles_with_PRISMA_reasons!B2:B2113""))&lt;2),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$A89=IMPORTRANGE(""https://docs.google.com/spreadsheets/d/1qpEmbGH0JjaJbUdp21-y2cPbobDbMjr09BbtdKROZWc/"&amp;"edit#gid=1444865654"",""articles_with_PRISMA_reasons!B2:B2113""))&lt;2,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$A89=IMPORTRANG"&amp;"E(""https://docs.google.com/spreadsheets/d/1qpEmbGH0JjaJbUdp21-y2cPbobDbMjr09BbtdKROZWc/edit#gid=1444865654"",""articles_with_PRISMA_reasons!B2:B2113""))&gt;=2),
""Exclude""
)"),"Exclude")</f>
        <v>Exclude</v>
      </c>
      <c r="F89" s="5" t="str">
        <f>IFERROR(__xludf.DUMMYFUNCTION("IFS(
E89=""Exclude"",""Exclude"",
AND(
COUNTIF(
IMPORTRANGE(""https://docs.google.com/spreadsheets/d/1kGrh75X1cNR1D7_FcY9zMnHP8iPO4M5RCRjy6nZY0TY/edit#gid=0"",""Table 1: Study characteristics!B4:B171""),A89)&gt;0,
COUNTIF(Studies!$A$2:$A$85,FILTER(IMPORTRANG"&amp;"E(""https://docs.google.com/spreadsheets/d/1kGrh75X1cNR1D7_FcY9zMnHP8iPO4M5RCRjy6nZY0TY/edit#gid=0"",""Table 1: Study characteristics!A4:A171""), $A89=IMPORTRANGE(""https://docs.google.com/spreadsheets/d/1kGrh75X1cNR1D7_FcY9zMnHP8iPO4M5RCRjy6nZY0TY/edit#g"&amp;"id=0"",""Table 1: Study characteristics!B4:B171"")))&gt;0
),
""Include""
)"),"Exclude")</f>
        <v>Exclude</v>
      </c>
      <c r="G89" s="5" t="str">
        <f>IFERROR(__xludf.DUMMYFUNCTION("IFS(
D89=""Exclude"",
FILTER(IMPORTRANGE(""https://docs.google.com/spreadsheets/d/1BJSV3WBYJGRhQ6zExamkszQ5VutGIcaQqmbD9ZTVXMQ/edit#gid=1251630045"",""articles_with_PRISMA_reasons!AB2:AB2113""), $A89=IMPORTRANGE(""https://docs.google.com/spreadsheets/d/1B"&amp;"JSV3WBYJGRhQ6zExamkszQ5VutGIcaQqmbD9ZTVXMQ/edit#gid=1251630045"",""articles_with_PRISMA_reasons!B2:B2113"")),
E89=""Exclude"",
FILTER(IMPORTRANGE(""https://docs.google.com/spreadsheets/d/1qpEmbGH0JjaJbUdp21-y2cPbobDbMjr09BbtdKROZWc/edit#gid=1444865654"","&amp;"""articles_with_PRISMA_reasons!Z2:Z2113""), $A89=IMPORTRANGE(""https://docs.google.com/spreadsheets/d/1qpEmbGH0JjaJbUdp21-y2cPbobDbMjr09BbtdKROZWc/edit#gid=1444865654"",""articles_with_PRISMA_reasons!B2:B2113"")),F89
=""Include"",FILTER(IMPORTRANGE(""http"&amp;"s://docs.google.com/spreadsheets/d/1kGrh75X1cNR1D7_FcY9zMnHP8iPO4M5RCRjy6nZY0TY/edit#gid=0"",""Table 1: Study characteristics!A4:A171""), $A89=IMPORTRANGE(""https://docs.google.com/spreadsheets/d/1kGrh75X1cNR1D7_FcY9zMnHP8iPO4M5RCRjy6nZY0TY/edit#gid=0"","&amp;"""Table 1: Study characteristics!B4:B171""))
)"),"wrong population")</f>
        <v>wrong population</v>
      </c>
    </row>
    <row r="90">
      <c r="A90" s="4" t="str">
        <f>IFERROR(__xludf.DUMMYFUNCTION("""COMPUTED_VALUE"""),"[Positive ventriculography and computer assisted tomography of the skull in the evaluation of megalocephaly in newborns and infants (author's transl)]")</f>
        <v>[Positive ventriculography and computer assisted tomography of the skull in the evaluation of megalocephaly in newborns and infants (author's transl)]</v>
      </c>
      <c r="B90" s="5" t="str">
        <f>IFERROR(__xludf.DUMMYFUNCTION("LEFT(FILTER(IMPORTRANGE(""https://docs.google.com/spreadsheets/d/1BJSV3WBYJGRhQ6zExamkszQ5VutGIcaQqmbD9ZTVXMQ/edit#gid=1251630045"",""articles_with_PRISMA_reasons!K2:K2113""), $A90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$A90=IMPORTRANGE(""https://docs.google.com/spreadsheets/d/1BJSV3WBYJGRhQ6zExamkszQ5VutGIcaQqmbD9ZTVXMQ/edit#gid=1251630045"",""articles_with_PRISMA_reasons!B2:B2113"")))-1)"),"Kellermann")</f>
        <v>Kellermann</v>
      </c>
      <c r="C90" s="6">
        <f>IFERROR(__xludf.DUMMYFUNCTION("FILTER(IMPORTRANGE(""https://docs.google.com/spreadsheets/d/1BJSV3WBYJGRhQ6zExamkszQ5VutGIcaQqmbD9ZTVXMQ/edit#gid=1251630045"",""articles_with_PRISMA_reasons!C2:C2113""), $A90=IMPORTRANGE(""https://docs.google.com/spreadsheets/d/1BJSV3WBYJGRhQ6zExamkszQ5V"&amp;"utGIcaQqmbD9ZTVXMQ/edit#gid=1251630045"",""articles_with_PRISMA_reasons!B2:B2113""))"),1979.0)</f>
        <v>1979</v>
      </c>
      <c r="D90" s="5" t="str">
        <f>IFERROR(__xludf.DUMMYFUNCTION("IFS(AND(
FILTER(IMPORTRANGE(""https://docs.google.com/spreadsheets/d/1BJSV3WBYJGRhQ6zExamkszQ5VutGIcaQqmbD9ZTVXMQ/edit#gid=1251630045"",""articles_with_PRISMA_reasons!Y2:Y2113""), $A90=IMPORTRANGE(""https://docs.google.com/spreadsheets/d/1BJSV3WBYJGRhQ6zE"&amp;"xamkszQ5VutGIcaQqmbD9ZTVXMQ/edit#gid=1251630045"",""articles_with_PRISMA_reasons!B2:B2113""))&gt;=2,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$A90=IMPORTRANGE(""https://docs.google.com/spreadsheets/d/1BJSV3WBYJGRhQ6zExamkszQ5VutGIcaQqmbD9ZTVXMQ/edit#gid=1251630045"",""articles_with_PRISMA_reasons!B2:B2113""))&lt;2),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$A90=IMPORTRANGE(""https://docs.google.com/spreadsheets/d/1BJSV3WBYJGRhQ6zExamkszQ5VutGIcaQqmbD9ZTVXMQ/edit#gid=1251630045"",""article"&amp;"s_with_PRISMA_reasons!B2:B2113""))&lt;2,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$A90=IMPORTRANGE(""https://docs.google.com/spr"&amp;"eadsheets/d/1BJSV3WBYJGRhQ6zExamkszQ5VutGIcaQqmbD9ZTVXMQ/edit#gid=1251630045"",""articles_with_PRISMA_reasons!B2:B2113""))&gt;=2),
""Exclude""
)"),"Exclude")</f>
        <v>Exclude</v>
      </c>
      <c r="E90" s="5" t="str">
        <f>IFERROR(__xludf.DUMMYFUNCTION("IFS(
D90=""Exclude"",""Exclude"",
AND(
FILTER(IMPORTRANGE(""https://docs.google.com/spreadsheets/d/1qpEmbGH0JjaJbUdp21-y2cPbobDbMjr09BbtdKROZWc/edit#gid=1444865654"",""articles_with_PRISMA_reasons!W2:W2113""), $A90=IMPORTRANGE(""https://docs.google.com/sp"&amp;"readsheets/d/1qpEmbGH0JjaJbUdp21-y2cPbobDbMjr09BbtdKROZWc/edit#gid=1444865654"",""articles_with_PRISMA_reasons!B2:B2113""))&gt;=2,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$A90=IMPORTRANGE(""https://docs.google.com/spreadsheets/d/1qpEmbGH0JjaJbUdp21-y2cPbobDbMjr09BbtdKROZWc/edit#gid=1444865654"",""articles_with_PRISMA_reasons!B2:B2113""))&lt;2),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$A90=IMPORTRANGE(""https://docs.google.com/spreadsheets/d/1qpEmbGH0JjaJbUdp21-y2cPbobDbMjr09BbtdKROZWc/"&amp;"edit#gid=1444865654"",""articles_with_PRISMA_reasons!B2:B2113""))&lt;2,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$A90=IMPORTRANG"&amp;"E(""https://docs.google.com/spreadsheets/d/1qpEmbGH0JjaJbUdp21-y2cPbobDbMjr09BbtdKROZWc/edit#gid=1444865654"",""articles_with_PRISMA_reasons!B2:B2113""))&gt;=2),
""Exclude""
)"),"Exclude")</f>
        <v>Exclude</v>
      </c>
      <c r="F90" s="5" t="str">
        <f>IFERROR(__xludf.DUMMYFUNCTION("IFS(
E90=""Exclude"",""Exclude"",
AND(
COUNTIF(
IMPORTRANGE(""https://docs.google.com/spreadsheets/d/1kGrh75X1cNR1D7_FcY9zMnHP8iPO4M5RCRjy6nZY0TY/edit#gid=0"",""Table 1: Study characteristics!B4:B171""),A90)&gt;0,
COUNTIF(Studies!$A$2:$A$85,FILTER(IMPORTRANG"&amp;"E(""https://docs.google.com/spreadsheets/d/1kGrh75X1cNR1D7_FcY9zMnHP8iPO4M5RCRjy6nZY0TY/edit#gid=0"",""Table 1: Study characteristics!A4:A171""), $A90=IMPORTRANGE(""https://docs.google.com/spreadsheets/d/1kGrh75X1cNR1D7_FcY9zMnHP8iPO4M5RCRjy6nZY0TY/edit#g"&amp;"id=0"",""Table 1: Study characteristics!B4:B171"")))&gt;0
),
""Include""
)"),"Exclude")</f>
        <v>Exclude</v>
      </c>
      <c r="G90" s="5" t="str">
        <f>IFERROR(__xludf.DUMMYFUNCTION("IFS(
D90=""Exclude"",
FILTER(IMPORTRANGE(""https://docs.google.com/spreadsheets/d/1BJSV3WBYJGRhQ6zExamkszQ5VutGIcaQqmbD9ZTVXMQ/edit#gid=1251630045"",""articles_with_PRISMA_reasons!AB2:AB2113""), $A90=IMPORTRANGE(""https://docs.google.com/spreadsheets/d/1B"&amp;"JSV3WBYJGRhQ6zExamkszQ5VutGIcaQqmbD9ZTVXMQ/edit#gid=1251630045"",""articles_with_PRISMA_reasons!B2:B2113"")),
E90=""Exclude"",
FILTER(IMPORTRANGE(""https://docs.google.com/spreadsheets/d/1qpEmbGH0JjaJbUdp21-y2cPbobDbMjr09BbtdKROZWc/edit#gid=1444865654"","&amp;"""articles_with_PRISMA_reasons!Z2:Z2113""), $A90=IMPORTRANGE(""https://docs.google.com/spreadsheets/d/1qpEmbGH0JjaJbUdp21-y2cPbobDbMjr09BbtdKROZWc/edit#gid=1444865654"",""articles_with_PRISMA_reasons!B2:B2113"")),F90
=""Include"",FILTER(IMPORTRANGE(""http"&amp;"s://docs.google.com/spreadsheets/d/1kGrh75X1cNR1D7_FcY9zMnHP8iPO4M5RCRjy6nZY0TY/edit#gid=0"",""Table 1: Study characteristics!A4:A171""), $A90=IMPORTRANGE(""https://docs.google.com/spreadsheets/d/1kGrh75X1cNR1D7_FcY9zMnHP8iPO4M5RCRjy6nZY0TY/edit#gid=0"","&amp;"""Table 1: Study characteristics!B4:B171""))
)"),"wrong population")</f>
        <v>wrong population</v>
      </c>
    </row>
    <row r="91">
      <c r="A91" s="4" t="str">
        <f>IFERROR(__xludf.DUMMYFUNCTION("""COMPUTED_VALUE"""),"[Possibilities of pediatric surgery in cleft lip, cleft palate, myelomeningocele and hydrocephalus]")</f>
        <v>[Possibilities of pediatric surgery in cleft lip, cleft palate, myelomeningocele and hydrocephalus]</v>
      </c>
      <c r="B91" s="5" t="str">
        <f>IFERROR(__xludf.DUMMYFUNCTION("LEFT(FILTER(IMPORTRANGE(""https://docs.google.com/spreadsheets/d/1BJSV3WBYJGRhQ6zExamkszQ5VutGIcaQqmbD9ZTVXMQ/edit#gid=1251630045"",""articles_with_PRISMA_reasons!K2:K2113""), $A91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$A91=IMPORTRANGE(""https://docs.google.com/spreadsheets/d/1BJSV3WBYJGRhQ6zExamkszQ5VutGIcaQqmbD9ZTVXMQ/edit#gid=1251630045"",""articles_with_PRISMA_reasons!B2:B2113"")))-1)"),"Morger")</f>
        <v>Morger</v>
      </c>
      <c r="C91" s="6">
        <f>IFERROR(__xludf.DUMMYFUNCTION("FILTER(IMPORTRANGE(""https://docs.google.com/spreadsheets/d/1BJSV3WBYJGRhQ6zExamkszQ5VutGIcaQqmbD9ZTVXMQ/edit#gid=1251630045"",""articles_with_PRISMA_reasons!C2:C2113""), $A91=IMPORTRANGE(""https://docs.google.com/spreadsheets/d/1BJSV3WBYJGRhQ6zExamkszQ5V"&amp;"utGIcaQqmbD9ZTVXMQ/edit#gid=1251630045"",""articles_with_PRISMA_reasons!B2:B2113""))"),1968.0)</f>
        <v>1968</v>
      </c>
      <c r="D91" s="5" t="str">
        <f>IFERROR(__xludf.DUMMYFUNCTION("IFS(AND(
FILTER(IMPORTRANGE(""https://docs.google.com/spreadsheets/d/1BJSV3WBYJGRhQ6zExamkszQ5VutGIcaQqmbD9ZTVXMQ/edit#gid=1251630045"",""articles_with_PRISMA_reasons!Y2:Y2113""), $A91=IMPORTRANGE(""https://docs.google.com/spreadsheets/d/1BJSV3WBYJGRhQ6zE"&amp;"xamkszQ5VutGIcaQqmbD9ZTVXMQ/edit#gid=1251630045"",""articles_with_PRISMA_reasons!B2:B2113""))&gt;=2,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$A91=IMPORTRANGE(""https://docs.google.com/spreadsheets/d/1BJSV3WBYJGRhQ6zExamkszQ5VutGIcaQqmbD9ZTVXMQ/edit#gid=1251630045"",""articles_with_PRISMA_reasons!B2:B2113""))&lt;2),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$A91=IMPORTRANGE(""https://docs.google.com/spreadsheets/d/1BJSV3WBYJGRhQ6zExamkszQ5VutGIcaQqmbD9ZTVXMQ/edit#gid=1251630045"",""article"&amp;"s_with_PRISMA_reasons!B2:B2113""))&lt;2,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$A91=IMPORTRANGE(""https://docs.google.com/spr"&amp;"eadsheets/d/1BJSV3WBYJGRhQ6zExamkszQ5VutGIcaQqmbD9ZTVXMQ/edit#gid=1251630045"",""articles_with_PRISMA_reasons!B2:B2113""))&gt;=2),
""Exclude""
)"),"Include")</f>
        <v>Include</v>
      </c>
      <c r="E91" s="5" t="str">
        <f>IFERROR(__xludf.DUMMYFUNCTION("IFS(
D91=""Exclude"",""Exclude"",
AND(
FILTER(IMPORTRANGE(""https://docs.google.com/spreadsheets/d/1qpEmbGH0JjaJbUdp21-y2cPbobDbMjr09BbtdKROZWc/edit#gid=1444865654"",""articles_with_PRISMA_reasons!W2:W2113""), $A91=IMPORTRANGE(""https://docs.google.com/sp"&amp;"readsheets/d/1qpEmbGH0JjaJbUdp21-y2cPbobDbMjr09BbtdKROZWc/edit#gid=1444865654"",""articles_with_PRISMA_reasons!B2:B2113""))&gt;=2,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$A91=IMPORTRANGE(""https://docs.google.com/spreadsheets/d/1qpEmbGH0JjaJbUdp21-y2cPbobDbMjr09BbtdKROZWc/edit#gid=1444865654"",""articles_with_PRISMA_reasons!B2:B2113""))&lt;2),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$A91=IMPORTRANGE(""https://docs.google.com/spreadsheets/d/1qpEmbGH0JjaJbUdp21-y2cPbobDbMjr09BbtdKROZWc/"&amp;"edit#gid=1444865654"",""articles_with_PRISMA_reasons!B2:B2113""))&lt;2,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$A91=IMPORTRANG"&amp;"E(""https://docs.google.com/spreadsheets/d/1qpEmbGH0JjaJbUdp21-y2cPbobDbMjr09BbtdKROZWc/edit#gid=1444865654"",""articles_with_PRISMA_reasons!B2:B2113""))&gt;=2),
""Exclude""
)"),"Exclude")</f>
        <v>Exclude</v>
      </c>
      <c r="F91" s="5" t="str">
        <f>IFERROR(__xludf.DUMMYFUNCTION("IFS(
E91=""Exclude"",""Exclude"",
AND(
COUNTIF(
IMPORTRANGE(""https://docs.google.com/spreadsheets/d/1kGrh75X1cNR1D7_FcY9zMnHP8iPO4M5RCRjy6nZY0TY/edit#gid=0"",""Table 1: Study characteristics!B4:B171""),A91)&gt;0,
COUNTIF(Studies!$A$2:$A$85,FILTER(IMPORTRANG"&amp;"E(""https://docs.google.com/spreadsheets/d/1kGrh75X1cNR1D7_FcY9zMnHP8iPO4M5RCRjy6nZY0TY/edit#gid=0"",""Table 1: Study characteristics!A4:A171""), $A91=IMPORTRANGE(""https://docs.google.com/spreadsheets/d/1kGrh75X1cNR1D7_FcY9zMnHP8iPO4M5RCRjy6nZY0TY/edit#g"&amp;"id=0"",""Table 1: Study characteristics!B4:B171"")))&gt;0
),
""Include""
)"),"Exclude")</f>
        <v>Exclude</v>
      </c>
      <c r="G91" s="5" t="str">
        <f>IFERROR(__xludf.DUMMYFUNCTION("IFS(
D91=""Exclude"",
FILTER(IMPORTRANGE(""https://docs.google.com/spreadsheets/d/1BJSV3WBYJGRhQ6zExamkszQ5VutGIcaQqmbD9ZTVXMQ/edit#gid=1251630045"",""articles_with_PRISMA_reasons!AB2:AB2113""), $A91=IMPORTRANGE(""https://docs.google.com/spreadsheets/d/1B"&amp;"JSV3WBYJGRhQ6zExamkszQ5VutGIcaQqmbD9ZTVXMQ/edit#gid=1251630045"",""articles_with_PRISMA_reasons!B2:B2113"")),
E91=""Exclude"",
FILTER(IMPORTRANGE(""https://docs.google.com/spreadsheets/d/1qpEmbGH0JjaJbUdp21-y2cPbobDbMjr09BbtdKROZWc/edit#gid=1444865654"","&amp;"""articles_with_PRISMA_reasons!Z2:Z2113""), $A91=IMPORTRANGE(""https://docs.google.com/spreadsheets/d/1qpEmbGH0JjaJbUdp21-y2cPbobDbMjr09BbtdKROZWc/edit#gid=1444865654"",""articles_with_PRISMA_reasons!B2:B2113"")),F91
=""Include"",FILTER(IMPORTRANGE(""http"&amp;"s://docs.google.com/spreadsheets/d/1kGrh75X1cNR1D7_FcY9zMnHP8iPO4M5RCRjy6nZY0TY/edit#gid=0"",""Table 1: Study characteristics!A4:A171""), $A91=IMPORTRANGE(""https://docs.google.com/spreadsheets/d/1kGrh75X1cNR1D7_FcY9zMnHP8iPO4M5RCRjy6nZY0TY/edit#gid=0"","&amp;"""Table 1: Study characteristics!B4:B171""))
)"),"text not accessible")</f>
        <v>text not accessible</v>
      </c>
    </row>
    <row r="92">
      <c r="A92" s="4" t="str">
        <f>IFERROR(__xludf.DUMMYFUNCTION("""COMPUTED_VALUE"""),"[Posterior dysraphia. Clinical and therapeutic aspects]")</f>
        <v>[Posterior dysraphia. Clinical and therapeutic aspects]</v>
      </c>
      <c r="B92" s="5" t="str">
        <f>IFERROR(__xludf.DUMMYFUNCTION("LEFT(FILTER(IMPORTRANGE(""https://docs.google.com/spreadsheets/d/1BJSV3WBYJGRhQ6zExamkszQ5VutGIcaQqmbD9ZTVXMQ/edit#gid=1251630045"",""articles_with_PRISMA_reasons!K2:K2113""), $A92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$A92=IMPORTRANGE(""https://docs.google.com/spreadsheets/d/1BJSV3WBYJGRhQ6zExamkszQ5VutGIcaQqmbD9ZTVXMQ/edit#gid=1251630045"",""articles_with_PRISMA_reasons!B2:B2113"")))-1)"),"Kulakowski")</f>
        <v>Kulakowski</v>
      </c>
      <c r="C92" s="6">
        <f>IFERROR(__xludf.DUMMYFUNCTION("FILTER(IMPORTRANGE(""https://docs.google.com/spreadsheets/d/1BJSV3WBYJGRhQ6zExamkszQ5VutGIcaQqmbD9ZTVXMQ/edit#gid=1251630045"",""articles_with_PRISMA_reasons!C2:C2113""), $A92=IMPORTRANGE(""https://docs.google.com/spreadsheets/d/1BJSV3WBYJGRhQ6zExamkszQ5V"&amp;"utGIcaQqmbD9ZTVXMQ/edit#gid=1251630045"",""articles_with_PRISMA_reasons!B2:B2113""))"),1977.0)</f>
        <v>1977</v>
      </c>
      <c r="D92" s="5" t="str">
        <f>IFERROR(__xludf.DUMMYFUNCTION("IFS(AND(
FILTER(IMPORTRANGE(""https://docs.google.com/spreadsheets/d/1BJSV3WBYJGRhQ6zExamkszQ5VutGIcaQqmbD9ZTVXMQ/edit#gid=1251630045"",""articles_with_PRISMA_reasons!Y2:Y2113""), $A92=IMPORTRANGE(""https://docs.google.com/spreadsheets/d/1BJSV3WBYJGRhQ6zE"&amp;"xamkszQ5VutGIcaQqmbD9ZTVXMQ/edit#gid=1251630045"",""articles_with_PRISMA_reasons!B2:B2113""))&gt;=2,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$A92=IMPORTRANGE(""https://docs.google.com/spreadsheets/d/1BJSV3WBYJGRhQ6zExamkszQ5VutGIcaQqmbD9ZTVXMQ/edit#gid=1251630045"",""articles_with_PRISMA_reasons!B2:B2113""))&lt;2),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$A92=IMPORTRANGE(""https://docs.google.com/spreadsheets/d/1BJSV3WBYJGRhQ6zExamkszQ5VutGIcaQqmbD9ZTVXMQ/edit#gid=1251630045"",""article"&amp;"s_with_PRISMA_reasons!B2:B2113""))&lt;2,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$A92=IMPORTRANGE(""https://docs.google.com/spr"&amp;"eadsheets/d/1BJSV3WBYJGRhQ6zExamkszQ5VutGIcaQqmbD9ZTVXMQ/edit#gid=1251630045"",""articles_with_PRISMA_reasons!B2:B2113""))&gt;=2),
""Exclude""
)"),"Include")</f>
        <v>Include</v>
      </c>
      <c r="E92" s="5" t="str">
        <f>IFERROR(__xludf.DUMMYFUNCTION("IFS(
D92=""Exclude"",""Exclude"",
AND(
FILTER(IMPORTRANGE(""https://docs.google.com/spreadsheets/d/1qpEmbGH0JjaJbUdp21-y2cPbobDbMjr09BbtdKROZWc/edit#gid=1444865654"",""articles_with_PRISMA_reasons!W2:W2113""), $A92=IMPORTRANGE(""https://docs.google.com/sp"&amp;"readsheets/d/1qpEmbGH0JjaJbUdp21-y2cPbobDbMjr09BbtdKROZWc/edit#gid=1444865654"",""articles_with_PRISMA_reasons!B2:B2113""))&gt;=2,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$A92=IMPORTRANGE(""https://docs.google.com/spreadsheets/d/1qpEmbGH0JjaJbUdp21-y2cPbobDbMjr09BbtdKROZWc/edit#gid=1444865654"",""articles_with_PRISMA_reasons!B2:B2113""))&lt;2),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$A92=IMPORTRANGE(""https://docs.google.com/spreadsheets/d/1qpEmbGH0JjaJbUdp21-y2cPbobDbMjr09BbtdKROZWc/"&amp;"edit#gid=1444865654"",""articles_with_PRISMA_reasons!B2:B2113""))&lt;2,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$A92=IMPORTRANG"&amp;"E(""https://docs.google.com/spreadsheets/d/1qpEmbGH0JjaJbUdp21-y2cPbobDbMjr09BbtdKROZWc/edit#gid=1444865654"",""articles_with_PRISMA_reasons!B2:B2113""))&gt;=2),
""Exclude""
)"),"Exclude")</f>
        <v>Exclude</v>
      </c>
      <c r="F92" s="5" t="str">
        <f>IFERROR(__xludf.DUMMYFUNCTION("IFS(
E92=""Exclude"",""Exclude"",
AND(
COUNTIF(
IMPORTRANGE(""https://docs.google.com/spreadsheets/d/1kGrh75X1cNR1D7_FcY9zMnHP8iPO4M5RCRjy6nZY0TY/edit#gid=0"",""Table 1: Study characteristics!B4:B171""),A92)&gt;0,
COUNTIF(Studies!$A$2:$A$85,FILTER(IMPORTRANG"&amp;"E(""https://docs.google.com/spreadsheets/d/1kGrh75X1cNR1D7_FcY9zMnHP8iPO4M5RCRjy6nZY0TY/edit#gid=0"",""Table 1: Study characteristics!A4:A171""), $A92=IMPORTRANGE(""https://docs.google.com/spreadsheets/d/1kGrh75X1cNR1D7_FcY9zMnHP8iPO4M5RCRjy6nZY0TY/edit#g"&amp;"id=0"",""Table 1: Study characteristics!B4:B171"")))&gt;0
),
""Include""
)"),"Exclude")</f>
        <v>Exclude</v>
      </c>
      <c r="G92" s="5" t="str">
        <f>IFERROR(__xludf.DUMMYFUNCTION("IFS(
D92=""Exclude"",
FILTER(IMPORTRANGE(""https://docs.google.com/spreadsheets/d/1BJSV3WBYJGRhQ6zExamkszQ5VutGIcaQqmbD9ZTVXMQ/edit#gid=1251630045"",""articles_with_PRISMA_reasons!AB2:AB2113""), $A92=IMPORTRANGE(""https://docs.google.com/spreadsheets/d/1B"&amp;"JSV3WBYJGRhQ6zExamkszQ5VutGIcaQqmbD9ZTVXMQ/edit#gid=1251630045"",""articles_with_PRISMA_reasons!B2:B2113"")),
E92=""Exclude"",
FILTER(IMPORTRANGE(""https://docs.google.com/spreadsheets/d/1qpEmbGH0JjaJbUdp21-y2cPbobDbMjr09BbtdKROZWc/edit#gid=1444865654"","&amp;"""articles_with_PRISMA_reasons!Z2:Z2113""), $A92=IMPORTRANGE(""https://docs.google.com/spreadsheets/d/1qpEmbGH0JjaJbUdp21-y2cPbobDbMjr09BbtdKROZWc/edit#gid=1444865654"",""articles_with_PRISMA_reasons!B2:B2113"")),F92
=""Include"",FILTER(IMPORTRANGE(""http"&amp;"s://docs.google.com/spreadsheets/d/1kGrh75X1cNR1D7_FcY9zMnHP8iPO4M5RCRjy6nZY0TY/edit#gid=0"",""Table 1: Study characteristics!A4:A171""), $A92=IMPORTRANGE(""https://docs.google.com/spreadsheets/d/1kGrh75X1cNR1D7_FcY9zMnHP8iPO4M5RCRjy6nZY0TY/edit#gid=0"","&amp;"""Table 1: Study characteristics!B4:B171""))
)"),"text not accessible")</f>
        <v>text not accessible</v>
      </c>
    </row>
    <row r="93">
      <c r="A93" s="4" t="str">
        <f>IFERROR(__xludf.DUMMYFUNCTION("""COMPUTED_VALUE"""),"[Prenatal diagnosis of complex abnormality syndromes. A case report]")</f>
        <v>[Prenatal diagnosis of complex abnormality syndromes. A case report]</v>
      </c>
      <c r="B93" s="5" t="str">
        <f>IFERROR(__xludf.DUMMYFUNCTION("LEFT(FILTER(IMPORTRANGE(""https://docs.google.com/spreadsheets/d/1BJSV3WBYJGRhQ6zExamkszQ5VutGIcaQqmbD9ZTVXMQ/edit#gid=1251630045"",""articles_with_PRISMA_reasons!K2:K2113""), $A93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$A93=IMPORTRANGE(""https://docs.google.com/spreadsheets/d/1BJSV3WBYJGRhQ6zExamkszQ5VutGIcaQqmbD9ZTVXMQ/edit#gid=1251630045"",""articles_with_PRISMA_reasons!B2:B2113"")))-1)"),"Klug")</f>
        <v>Klug</v>
      </c>
      <c r="C93" s="6">
        <f>IFERROR(__xludf.DUMMYFUNCTION("FILTER(IMPORTRANGE(""https://docs.google.com/spreadsheets/d/1BJSV3WBYJGRhQ6zExamkszQ5VutGIcaQqmbD9ZTVXMQ/edit#gid=1251630045"",""articles_with_PRISMA_reasons!C2:C2113""), $A93=IMPORTRANGE(""https://docs.google.com/spreadsheets/d/1BJSV3WBYJGRhQ6zExamkszQ5V"&amp;"utGIcaQqmbD9ZTVXMQ/edit#gid=1251630045"",""articles_with_PRISMA_reasons!B2:B2113""))"),1989.0)</f>
        <v>1989</v>
      </c>
      <c r="D93" s="5" t="str">
        <f>IFERROR(__xludf.DUMMYFUNCTION("IFS(AND(
FILTER(IMPORTRANGE(""https://docs.google.com/spreadsheets/d/1BJSV3WBYJGRhQ6zExamkszQ5VutGIcaQqmbD9ZTVXMQ/edit#gid=1251630045"",""articles_with_PRISMA_reasons!Y2:Y2113""), $A93=IMPORTRANGE(""https://docs.google.com/spreadsheets/d/1BJSV3WBYJGRhQ6zE"&amp;"xamkszQ5VutGIcaQqmbD9ZTVXMQ/edit#gid=1251630045"",""articles_with_PRISMA_reasons!B2:B2113""))&gt;=2,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$A93=IMPORTRANGE(""https://docs.google.com/spreadsheets/d/1BJSV3WBYJGRhQ6zExamkszQ5VutGIcaQqmbD9ZTVXMQ/edit#gid=1251630045"",""articles_with_PRISMA_reasons!B2:B2113""))&lt;2),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$A93=IMPORTRANGE(""https://docs.google.com/spreadsheets/d/1BJSV3WBYJGRhQ6zExamkszQ5VutGIcaQqmbD9ZTVXMQ/edit#gid=1251630045"",""article"&amp;"s_with_PRISMA_reasons!B2:B2113""))&lt;2,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$A93=IMPORTRANGE(""https://docs.google.com/spr"&amp;"eadsheets/d/1BJSV3WBYJGRhQ6zExamkszQ5VutGIcaQqmbD9ZTVXMQ/edit#gid=1251630045"",""articles_with_PRISMA_reasons!B2:B2113""))&gt;=2),
""Exclude""
)"),"Exclude")</f>
        <v>Exclude</v>
      </c>
      <c r="E93" s="5" t="str">
        <f>IFERROR(__xludf.DUMMYFUNCTION("IFS(
D93=""Exclude"",""Exclude"",
AND(
FILTER(IMPORTRANGE(""https://docs.google.com/spreadsheets/d/1qpEmbGH0JjaJbUdp21-y2cPbobDbMjr09BbtdKROZWc/edit#gid=1444865654"",""articles_with_PRISMA_reasons!W2:W2113""), $A93=IMPORTRANGE(""https://docs.google.com/sp"&amp;"readsheets/d/1qpEmbGH0JjaJbUdp21-y2cPbobDbMjr09BbtdKROZWc/edit#gid=1444865654"",""articles_with_PRISMA_reasons!B2:B2113""))&gt;=2,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$A93=IMPORTRANGE(""https://docs.google.com/spreadsheets/d/1qpEmbGH0JjaJbUdp21-y2cPbobDbMjr09BbtdKROZWc/edit#gid=1444865654"",""articles_with_PRISMA_reasons!B2:B2113""))&lt;2),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$A93=IMPORTRANGE(""https://docs.google.com/spreadsheets/d/1qpEmbGH0JjaJbUdp21-y2cPbobDbMjr09BbtdKROZWc/"&amp;"edit#gid=1444865654"",""articles_with_PRISMA_reasons!B2:B2113""))&lt;2,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$A93=IMPORTRANG"&amp;"E(""https://docs.google.com/spreadsheets/d/1qpEmbGH0JjaJbUdp21-y2cPbobDbMjr09BbtdKROZWc/edit#gid=1444865654"",""articles_with_PRISMA_reasons!B2:B2113""))&gt;=2),
""Exclude""
)"),"Exclude")</f>
        <v>Exclude</v>
      </c>
      <c r="F93" s="5" t="str">
        <f>IFERROR(__xludf.DUMMYFUNCTION("IFS(
E93=""Exclude"",""Exclude"",
AND(
COUNTIF(
IMPORTRANGE(""https://docs.google.com/spreadsheets/d/1kGrh75X1cNR1D7_FcY9zMnHP8iPO4M5RCRjy6nZY0TY/edit#gid=0"",""Table 1: Study characteristics!B4:B171""),A93)&gt;0,
COUNTIF(Studies!$A$2:$A$85,FILTER(IMPORTRANG"&amp;"E(""https://docs.google.com/spreadsheets/d/1kGrh75X1cNR1D7_FcY9zMnHP8iPO4M5RCRjy6nZY0TY/edit#gid=0"",""Table 1: Study characteristics!A4:A171""), $A93=IMPORTRANGE(""https://docs.google.com/spreadsheets/d/1kGrh75X1cNR1D7_FcY9zMnHP8iPO4M5RCRjy6nZY0TY/edit#g"&amp;"id=0"",""Table 1: Study characteristics!B4:B171"")))&gt;0
),
""Include""
)"),"Exclude")</f>
        <v>Exclude</v>
      </c>
      <c r="G93" s="5" t="str">
        <f>IFERROR(__xludf.DUMMYFUNCTION("IFS(
D93=""Exclude"",
FILTER(IMPORTRANGE(""https://docs.google.com/spreadsheets/d/1BJSV3WBYJGRhQ6zExamkszQ5VutGIcaQqmbD9ZTVXMQ/edit#gid=1251630045"",""articles_with_PRISMA_reasons!AB2:AB2113""), $A93=IMPORTRANGE(""https://docs.google.com/spreadsheets/d/1B"&amp;"JSV3WBYJGRhQ6zExamkszQ5VutGIcaQqmbD9ZTVXMQ/edit#gid=1251630045"",""articles_with_PRISMA_reasons!B2:B2113"")),
E93=""Exclude"",
FILTER(IMPORTRANGE(""https://docs.google.com/spreadsheets/d/1qpEmbGH0JjaJbUdp21-y2cPbobDbMjr09BbtdKROZWc/edit#gid=1444865654"","&amp;"""articles_with_PRISMA_reasons!Z2:Z2113""), $A93=IMPORTRANGE(""https://docs.google.com/spreadsheets/d/1qpEmbGH0JjaJbUdp21-y2cPbobDbMjr09BbtdKROZWc/edit#gid=1444865654"",""articles_with_PRISMA_reasons!B2:B2113"")),F93
=""Include"",FILTER(IMPORTRANGE(""http"&amp;"s://docs.google.com/spreadsheets/d/1kGrh75X1cNR1D7_FcY9zMnHP8iPO4M5RCRjy6nZY0TY/edit#gid=0"",""Table 1: Study characteristics!A4:A171""), $A93=IMPORTRANGE(""https://docs.google.com/spreadsheets/d/1kGrh75X1cNR1D7_FcY9zMnHP8iPO4M5RCRjy6nZY0TY/edit#gid=0"","&amp;"""Table 1: Study characteristics!B4:B171""))
)"),"wrong publication type")</f>
        <v>wrong publication type</v>
      </c>
    </row>
    <row r="94">
      <c r="A94" s="4" t="str">
        <f>IFERROR(__xludf.DUMMYFUNCTION("""COMPUTED_VALUE"""),"[Prenatal ultrasound findings in Arnold-Chiari deformity]")</f>
        <v>[Prenatal ultrasound findings in Arnold-Chiari deformity]</v>
      </c>
      <c r="B94" s="5" t="str">
        <f>IFERROR(__xludf.DUMMYFUNCTION("LEFT(FILTER(IMPORTRANGE(""https://docs.google.com/spreadsheets/d/1BJSV3WBYJGRhQ6zExamkszQ5VutGIcaQqmbD9ZTVXMQ/edit#gid=1251630045"",""articles_with_PRISMA_reasons!K2:K2113""), $A94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$A94=IMPORTRANGE(""https://docs.google.com/spreadsheets/d/1BJSV3WBYJGRhQ6zExamkszQ5VutGIcaQqmbD9ZTVXMQ/edit#gid=1251630045"",""articles_with_PRISMA_reasons!B2:B2113"")))-1)"),"Goldhofer")</f>
        <v>Goldhofer</v>
      </c>
      <c r="C94" s="6">
        <f>IFERROR(__xludf.DUMMYFUNCTION("FILTER(IMPORTRANGE(""https://docs.google.com/spreadsheets/d/1BJSV3WBYJGRhQ6zExamkszQ5VutGIcaQqmbD9ZTVXMQ/edit#gid=1251630045"",""articles_with_PRISMA_reasons!C2:C2113""), $A94=IMPORTRANGE(""https://docs.google.com/spreadsheets/d/1BJSV3WBYJGRhQ6zExamkszQ5V"&amp;"utGIcaQqmbD9ZTVXMQ/edit#gid=1251630045"",""articles_with_PRISMA_reasons!B2:B2113""))"),1985.0)</f>
        <v>1985</v>
      </c>
      <c r="D94" s="5" t="str">
        <f>IFERROR(__xludf.DUMMYFUNCTION("IFS(AND(
FILTER(IMPORTRANGE(""https://docs.google.com/spreadsheets/d/1BJSV3WBYJGRhQ6zExamkszQ5VutGIcaQqmbD9ZTVXMQ/edit#gid=1251630045"",""articles_with_PRISMA_reasons!Y2:Y2113""), $A94=IMPORTRANGE(""https://docs.google.com/spreadsheets/d/1BJSV3WBYJGRhQ6zE"&amp;"xamkszQ5VutGIcaQqmbD9ZTVXMQ/edit#gid=1251630045"",""articles_with_PRISMA_reasons!B2:B2113""))&gt;=2,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$A94=IMPORTRANGE(""https://docs.google.com/spreadsheets/d/1BJSV3WBYJGRhQ6zExamkszQ5VutGIcaQqmbD9ZTVXMQ/edit#gid=1251630045"",""articles_with_PRISMA_reasons!B2:B2113""))&lt;2),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$A94=IMPORTRANGE(""https://docs.google.com/spreadsheets/d/1BJSV3WBYJGRhQ6zExamkszQ5VutGIcaQqmbD9ZTVXMQ/edit#gid=1251630045"",""article"&amp;"s_with_PRISMA_reasons!B2:B2113""))&lt;2,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$A94=IMPORTRANGE(""https://docs.google.com/spr"&amp;"eadsheets/d/1BJSV3WBYJGRhQ6zExamkszQ5VutGIcaQqmbD9ZTVXMQ/edit#gid=1251630045"",""articles_with_PRISMA_reasons!B2:B2113""))&gt;=2),
""Exclude""
)"),"Exclude")</f>
        <v>Exclude</v>
      </c>
      <c r="E94" s="5" t="str">
        <f>IFERROR(__xludf.DUMMYFUNCTION("IFS(
D94=""Exclude"",""Exclude"",
AND(
FILTER(IMPORTRANGE(""https://docs.google.com/spreadsheets/d/1qpEmbGH0JjaJbUdp21-y2cPbobDbMjr09BbtdKROZWc/edit#gid=1444865654"",""articles_with_PRISMA_reasons!W2:W2113""), $A94=IMPORTRANGE(""https://docs.google.com/sp"&amp;"readsheets/d/1qpEmbGH0JjaJbUdp21-y2cPbobDbMjr09BbtdKROZWc/edit#gid=1444865654"",""articles_with_PRISMA_reasons!B2:B2113""))&gt;=2,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$A94=IMPORTRANGE(""https://docs.google.com/spreadsheets/d/1qpEmbGH0JjaJbUdp21-y2cPbobDbMjr09BbtdKROZWc/edit#gid=1444865654"",""articles_with_PRISMA_reasons!B2:B2113""))&lt;2),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$A94=IMPORTRANGE(""https://docs.google.com/spreadsheets/d/1qpEmbGH0JjaJbUdp21-y2cPbobDbMjr09BbtdKROZWc/"&amp;"edit#gid=1444865654"",""articles_with_PRISMA_reasons!B2:B2113""))&lt;2,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$A94=IMPORTRANG"&amp;"E(""https://docs.google.com/spreadsheets/d/1qpEmbGH0JjaJbUdp21-y2cPbobDbMjr09BbtdKROZWc/edit#gid=1444865654"",""articles_with_PRISMA_reasons!B2:B2113""))&gt;=2),
""Exclude""
)"),"Exclude")</f>
        <v>Exclude</v>
      </c>
      <c r="F94" s="5" t="str">
        <f>IFERROR(__xludf.DUMMYFUNCTION("IFS(
E94=""Exclude"",""Exclude"",
AND(
COUNTIF(
IMPORTRANGE(""https://docs.google.com/spreadsheets/d/1kGrh75X1cNR1D7_FcY9zMnHP8iPO4M5RCRjy6nZY0TY/edit#gid=0"",""Table 1: Study characteristics!B4:B171""),A94)&gt;0,
COUNTIF(Studies!$A$2:$A$85,FILTER(IMPORTRANG"&amp;"E(""https://docs.google.com/spreadsheets/d/1kGrh75X1cNR1D7_FcY9zMnHP8iPO4M5RCRjy6nZY0TY/edit#gid=0"",""Table 1: Study characteristics!A4:A171""), $A94=IMPORTRANGE(""https://docs.google.com/spreadsheets/d/1kGrh75X1cNR1D7_FcY9zMnHP8iPO4M5RCRjy6nZY0TY/edit#g"&amp;"id=0"",""Table 1: Study characteristics!B4:B171"")))&gt;0
),
""Include""
)"),"Exclude")</f>
        <v>Exclude</v>
      </c>
      <c r="G94" s="5" t="str">
        <f>IFERROR(__xludf.DUMMYFUNCTION("IFS(
D94=""Exclude"",
FILTER(IMPORTRANGE(""https://docs.google.com/spreadsheets/d/1BJSV3WBYJGRhQ6zExamkszQ5VutGIcaQqmbD9ZTVXMQ/edit#gid=1251630045"",""articles_with_PRISMA_reasons!AB2:AB2113""), $A94=IMPORTRANGE(""https://docs.google.com/spreadsheets/d/1B"&amp;"JSV3WBYJGRhQ6zExamkszQ5VutGIcaQqmbD9ZTVXMQ/edit#gid=1251630045"",""articles_with_PRISMA_reasons!B2:B2113"")),
E94=""Exclude"",
FILTER(IMPORTRANGE(""https://docs.google.com/spreadsheets/d/1qpEmbGH0JjaJbUdp21-y2cPbobDbMjr09BbtdKROZWc/edit#gid=1444865654"","&amp;"""articles_with_PRISMA_reasons!Z2:Z2113""), $A94=IMPORTRANGE(""https://docs.google.com/spreadsheets/d/1qpEmbGH0JjaJbUdp21-y2cPbobDbMjr09BbtdKROZWc/edit#gid=1444865654"",""articles_with_PRISMA_reasons!B2:B2113"")),F94
=""Include"",FILTER(IMPORTRANGE(""http"&amp;"s://docs.google.com/spreadsheets/d/1kGrh75X1cNR1D7_FcY9zMnHP8iPO4M5RCRjy6nZY0TY/edit#gid=0"",""Table 1: Study characteristics!A4:A171""), $A94=IMPORTRANGE(""https://docs.google.com/spreadsheets/d/1kGrh75X1cNR1D7_FcY9zMnHP8iPO4M5RCRjy6nZY0TY/edit#gid=0"","&amp;"""Table 1: Study characteristics!B4:B171""))
)"),"wrong study design")</f>
        <v>wrong study design</v>
      </c>
    </row>
    <row r="95">
      <c r="A95" s="4" t="str">
        <f>IFERROR(__xludf.DUMMYFUNCTION("""COMPUTED_VALUE"""),"[Present criteria of myelomeningocele (author's transl)]")</f>
        <v>[Present criteria of myelomeningocele (author's transl)]</v>
      </c>
      <c r="B95" s="5" t="str">
        <f>IFERROR(__xludf.DUMMYFUNCTION("LEFT(FILTER(IMPORTRANGE(""https://docs.google.com/spreadsheets/d/1BJSV3WBYJGRhQ6zExamkszQ5VutGIcaQqmbD9ZTVXMQ/edit#gid=1251630045"",""articles_with_PRISMA_reasons!K2:K2113""), $A95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$A95=IMPORTRANGE(""https://docs.google.com/spreadsheets/d/1BJSV3WBYJGRhQ6zExamkszQ5VutGIcaQqmbD9ZTVXMQ/edit#gid=1251630045"",""articles_with_PRISMA_reasons!B2:B2113"")))-1)"),"Cioffi")</f>
        <v>Cioffi</v>
      </c>
      <c r="C95" s="6">
        <f>IFERROR(__xludf.DUMMYFUNCTION("FILTER(IMPORTRANGE(""https://docs.google.com/spreadsheets/d/1BJSV3WBYJGRhQ6zExamkszQ5VutGIcaQqmbD9ZTVXMQ/edit#gid=1251630045"",""articles_with_PRISMA_reasons!C2:C2113""), $A95=IMPORTRANGE(""https://docs.google.com/spreadsheets/d/1BJSV3WBYJGRhQ6zExamkszQ5V"&amp;"utGIcaQqmbD9ZTVXMQ/edit#gid=1251630045"",""articles_with_PRISMA_reasons!B2:B2113""))"),1980.0)</f>
        <v>1980</v>
      </c>
      <c r="D95" s="5" t="str">
        <f>IFERROR(__xludf.DUMMYFUNCTION("IFS(AND(
FILTER(IMPORTRANGE(""https://docs.google.com/spreadsheets/d/1BJSV3WBYJGRhQ6zExamkszQ5VutGIcaQqmbD9ZTVXMQ/edit#gid=1251630045"",""articles_with_PRISMA_reasons!Y2:Y2113""), $A95=IMPORTRANGE(""https://docs.google.com/spreadsheets/d/1BJSV3WBYJGRhQ6zE"&amp;"xamkszQ5VutGIcaQqmbD9ZTVXMQ/edit#gid=1251630045"",""articles_with_PRISMA_reasons!B2:B2113""))&gt;=2,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$A95=IMPORTRANGE(""https://docs.google.com/spreadsheets/d/1BJSV3WBYJGRhQ6zExamkszQ5VutGIcaQqmbD9ZTVXMQ/edit#gid=1251630045"",""articles_with_PRISMA_reasons!B2:B2113""))&lt;2),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$A95=IMPORTRANGE(""https://docs.google.com/spreadsheets/d/1BJSV3WBYJGRhQ6zExamkszQ5VutGIcaQqmbD9ZTVXMQ/edit#gid=1251630045"",""article"&amp;"s_with_PRISMA_reasons!B2:B2113""))&lt;2,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$A95=IMPORTRANGE(""https://docs.google.com/spr"&amp;"eadsheets/d/1BJSV3WBYJGRhQ6zExamkszQ5VutGIcaQqmbD9ZTVXMQ/edit#gid=1251630045"",""articles_with_PRISMA_reasons!B2:B2113""))&gt;=2),
""Exclude""
)"),"Exclude")</f>
        <v>Exclude</v>
      </c>
      <c r="E95" s="5" t="str">
        <f>IFERROR(__xludf.DUMMYFUNCTION("IFS(
D95=""Exclude"",""Exclude"",
AND(
FILTER(IMPORTRANGE(""https://docs.google.com/spreadsheets/d/1qpEmbGH0JjaJbUdp21-y2cPbobDbMjr09BbtdKROZWc/edit#gid=1444865654"",""articles_with_PRISMA_reasons!W2:W2113""), $A95=IMPORTRANGE(""https://docs.google.com/sp"&amp;"readsheets/d/1qpEmbGH0JjaJbUdp21-y2cPbobDbMjr09BbtdKROZWc/edit#gid=1444865654"",""articles_with_PRISMA_reasons!B2:B2113""))&gt;=2,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$A95=IMPORTRANGE(""https://docs.google.com/spreadsheets/d/1qpEmbGH0JjaJbUdp21-y2cPbobDbMjr09BbtdKROZWc/edit#gid=1444865654"",""articles_with_PRISMA_reasons!B2:B2113""))&lt;2),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$A95=IMPORTRANGE(""https://docs.google.com/spreadsheets/d/1qpEmbGH0JjaJbUdp21-y2cPbobDbMjr09BbtdKROZWc/"&amp;"edit#gid=1444865654"",""articles_with_PRISMA_reasons!B2:B2113""))&lt;2,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$A95=IMPORTRANG"&amp;"E(""https://docs.google.com/spreadsheets/d/1qpEmbGH0JjaJbUdp21-y2cPbobDbMjr09BbtdKROZWc/edit#gid=1444865654"",""articles_with_PRISMA_reasons!B2:B2113""))&gt;=2),
""Exclude""
)"),"Exclude")</f>
        <v>Exclude</v>
      </c>
      <c r="F95" s="5" t="str">
        <f>IFERROR(__xludf.DUMMYFUNCTION("IFS(
E95=""Exclude"",""Exclude"",
AND(
COUNTIF(
IMPORTRANGE(""https://docs.google.com/spreadsheets/d/1kGrh75X1cNR1D7_FcY9zMnHP8iPO4M5RCRjy6nZY0TY/edit#gid=0"",""Table 1: Study characteristics!B4:B171""),A95)&gt;0,
COUNTIF(Studies!$A$2:$A$85,FILTER(IMPORTRANG"&amp;"E(""https://docs.google.com/spreadsheets/d/1kGrh75X1cNR1D7_FcY9zMnHP8iPO4M5RCRjy6nZY0TY/edit#gid=0"",""Table 1: Study characteristics!A4:A171""), $A95=IMPORTRANGE(""https://docs.google.com/spreadsheets/d/1kGrh75X1cNR1D7_FcY9zMnHP8iPO4M5RCRjy6nZY0TY/edit#g"&amp;"id=0"",""Table 1: Study characteristics!B4:B171"")))&gt;0
),
""Include""
)"),"Exclude")</f>
        <v>Exclude</v>
      </c>
      <c r="G95" s="5" t="str">
        <f>IFERROR(__xludf.DUMMYFUNCTION("IFS(
D95=""Exclude"",
FILTER(IMPORTRANGE(""https://docs.google.com/spreadsheets/d/1BJSV3WBYJGRhQ6zExamkszQ5VutGIcaQqmbD9ZTVXMQ/edit#gid=1251630045"",""articles_with_PRISMA_reasons!AB2:AB2113""), $A95=IMPORTRANGE(""https://docs.google.com/spreadsheets/d/1B"&amp;"JSV3WBYJGRhQ6zExamkszQ5VutGIcaQqmbD9ZTVXMQ/edit#gid=1251630045"",""articles_with_PRISMA_reasons!B2:B2113"")),
E95=""Exclude"",
FILTER(IMPORTRANGE(""https://docs.google.com/spreadsheets/d/1qpEmbGH0JjaJbUdp21-y2cPbobDbMjr09BbtdKROZWc/edit#gid=1444865654"","&amp;"""articles_with_PRISMA_reasons!Z2:Z2113""), $A95=IMPORTRANGE(""https://docs.google.com/spreadsheets/d/1qpEmbGH0JjaJbUdp21-y2cPbobDbMjr09BbtdKROZWc/edit#gid=1444865654"",""articles_with_PRISMA_reasons!B2:B2113"")),F95
=""Include"",FILTER(IMPORTRANGE(""http"&amp;"s://docs.google.com/spreadsheets/d/1kGrh75X1cNR1D7_FcY9zMnHP8iPO4M5RCRjy6nZY0TY/edit#gid=0"",""Table 1: Study characteristics!A4:A171""), $A95=IMPORTRANGE(""https://docs.google.com/spreadsheets/d/1kGrh75X1cNR1D7_FcY9zMnHP8iPO4M5RCRjy6nZY0TY/edit#gid=0"","&amp;"""Table 1: Study characteristics!B4:B171""))
)"),"wrong study design")</f>
        <v>wrong study design</v>
      </c>
    </row>
    <row r="96">
      <c r="A96" s="4" t="str">
        <f>IFERROR(__xludf.DUMMYFUNCTION("""COMPUTED_VALUE"""),"[Present surgical possibilities in the treatment of large hydrocephalic myelomeningocele]")</f>
        <v>[Present surgical possibilities in the treatment of large hydrocephalic myelomeningocele]</v>
      </c>
      <c r="B96" s="5" t="str">
        <f>IFERROR(__xludf.DUMMYFUNCTION("LEFT(FILTER(IMPORTRANGE(""https://docs.google.com/spreadsheets/d/1BJSV3WBYJGRhQ6zExamkszQ5VutGIcaQqmbD9ZTVXMQ/edit#gid=1251630045"",""articles_with_PRISMA_reasons!K2:K2113""), $A96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$A96=IMPORTRANGE(""https://docs.google.com/spreadsheets/d/1BJSV3WBYJGRhQ6zExamkszQ5VutGIcaQqmbD9ZTVXMQ/edit#gid=1251630045"",""articles_with_PRISMA_reasons!B2:B2113"")))-1)"),"Venzoni")</f>
        <v>Venzoni</v>
      </c>
      <c r="C96" s="6">
        <f>IFERROR(__xludf.DUMMYFUNCTION("FILTER(IMPORTRANGE(""https://docs.google.com/spreadsheets/d/1BJSV3WBYJGRhQ6zExamkszQ5VutGIcaQqmbD9ZTVXMQ/edit#gid=1251630045"",""articles_with_PRISMA_reasons!C2:C2113""), $A96=IMPORTRANGE(""https://docs.google.com/spreadsheets/d/1BJSV3WBYJGRhQ6zExamkszQ5V"&amp;"utGIcaQqmbD9ZTVXMQ/edit#gid=1251630045"",""articles_with_PRISMA_reasons!B2:B2113""))"),1969.0)</f>
        <v>1969</v>
      </c>
      <c r="D96" s="5" t="str">
        <f>IFERROR(__xludf.DUMMYFUNCTION("IFS(AND(
FILTER(IMPORTRANGE(""https://docs.google.com/spreadsheets/d/1BJSV3WBYJGRhQ6zExamkszQ5VutGIcaQqmbD9ZTVXMQ/edit#gid=1251630045"",""articles_with_PRISMA_reasons!Y2:Y2113""), $A96=IMPORTRANGE(""https://docs.google.com/spreadsheets/d/1BJSV3WBYJGRhQ6zE"&amp;"xamkszQ5VutGIcaQqmbD9ZTVXMQ/edit#gid=1251630045"",""articles_with_PRISMA_reasons!B2:B2113""))&gt;=2,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$A96=IMPORTRANGE(""https://docs.google.com/spreadsheets/d/1BJSV3WBYJGRhQ6zExamkszQ5VutGIcaQqmbD9ZTVXMQ/edit#gid=1251630045"",""articles_with_PRISMA_reasons!B2:B2113""))&lt;2),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$A96=IMPORTRANGE(""https://docs.google.com/spreadsheets/d/1BJSV3WBYJGRhQ6zExamkszQ5VutGIcaQqmbD9ZTVXMQ/edit#gid=1251630045"",""article"&amp;"s_with_PRISMA_reasons!B2:B2113""))&lt;2,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$A96=IMPORTRANGE(""https://docs.google.com/spr"&amp;"eadsheets/d/1BJSV3WBYJGRhQ6zExamkszQ5VutGIcaQqmbD9ZTVXMQ/edit#gid=1251630045"",""articles_with_PRISMA_reasons!B2:B2113""))&gt;=2),
""Exclude""
)"),"Exclude")</f>
        <v>Exclude</v>
      </c>
      <c r="E96" s="5" t="str">
        <f>IFERROR(__xludf.DUMMYFUNCTION("IFS(
D96=""Exclude"",""Exclude"",
AND(
FILTER(IMPORTRANGE(""https://docs.google.com/spreadsheets/d/1qpEmbGH0JjaJbUdp21-y2cPbobDbMjr09BbtdKROZWc/edit#gid=1444865654"",""articles_with_PRISMA_reasons!W2:W2113""), $A96=IMPORTRANGE(""https://docs.google.com/sp"&amp;"readsheets/d/1qpEmbGH0JjaJbUdp21-y2cPbobDbMjr09BbtdKROZWc/edit#gid=1444865654"",""articles_with_PRISMA_reasons!B2:B2113""))&gt;=2,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$A96=IMPORTRANGE(""https://docs.google.com/spreadsheets/d/1qpEmbGH0JjaJbUdp21-y2cPbobDbMjr09BbtdKROZWc/edit#gid=1444865654"",""articles_with_PRISMA_reasons!B2:B2113""))&lt;2),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$A96=IMPORTRANGE(""https://docs.google.com/spreadsheets/d/1qpEmbGH0JjaJbUdp21-y2cPbobDbMjr09BbtdKROZWc/"&amp;"edit#gid=1444865654"",""articles_with_PRISMA_reasons!B2:B2113""))&lt;2,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$A96=IMPORTRANG"&amp;"E(""https://docs.google.com/spreadsheets/d/1qpEmbGH0JjaJbUdp21-y2cPbobDbMjr09BbtdKROZWc/edit#gid=1444865654"",""articles_with_PRISMA_reasons!B2:B2113""))&gt;=2),
""Exclude""
)"),"Exclude")</f>
        <v>Exclude</v>
      </c>
      <c r="F96" s="5" t="str">
        <f>IFERROR(__xludf.DUMMYFUNCTION("IFS(
E96=""Exclude"",""Exclude"",
AND(
COUNTIF(
IMPORTRANGE(""https://docs.google.com/spreadsheets/d/1kGrh75X1cNR1D7_FcY9zMnHP8iPO4M5RCRjy6nZY0TY/edit#gid=0"",""Table 1: Study characteristics!B4:B171""),A96)&gt;0,
COUNTIF(Studies!$A$2:$A$85,FILTER(IMPORTRANG"&amp;"E(""https://docs.google.com/spreadsheets/d/1kGrh75X1cNR1D7_FcY9zMnHP8iPO4M5RCRjy6nZY0TY/edit#gid=0"",""Table 1: Study characteristics!A4:A171""), $A96=IMPORTRANGE(""https://docs.google.com/spreadsheets/d/1kGrh75X1cNR1D7_FcY9zMnHP8iPO4M5RCRjy6nZY0TY/edit#g"&amp;"id=0"",""Table 1: Study characteristics!B4:B171"")))&gt;0
),
""Include""
)"),"Exclude")</f>
        <v>Exclude</v>
      </c>
      <c r="G96" s="5" t="str">
        <f>IFERROR(__xludf.DUMMYFUNCTION("IFS(
D96=""Exclude"",
FILTER(IMPORTRANGE(""https://docs.google.com/spreadsheets/d/1BJSV3WBYJGRhQ6zExamkszQ5VutGIcaQqmbD9ZTVXMQ/edit#gid=1251630045"",""articles_with_PRISMA_reasons!AB2:AB2113""), $A96=IMPORTRANGE(""https://docs.google.com/spreadsheets/d/1B"&amp;"JSV3WBYJGRhQ6zExamkszQ5VutGIcaQqmbD9ZTVXMQ/edit#gid=1251630045"",""articles_with_PRISMA_reasons!B2:B2113"")),
E96=""Exclude"",
FILTER(IMPORTRANGE(""https://docs.google.com/spreadsheets/d/1qpEmbGH0JjaJbUdp21-y2cPbobDbMjr09BbtdKROZWc/edit#gid=1444865654"","&amp;"""articles_with_PRISMA_reasons!Z2:Z2113""), $A96=IMPORTRANGE(""https://docs.google.com/spreadsheets/d/1qpEmbGH0JjaJbUdp21-y2cPbobDbMjr09BbtdKROZWc/edit#gid=1444865654"",""articles_with_PRISMA_reasons!B2:B2113"")),F96
=""Include"",FILTER(IMPORTRANGE(""http"&amp;"s://docs.google.com/spreadsheets/d/1kGrh75X1cNR1D7_FcY9zMnHP8iPO4M5RCRjy6nZY0TY/edit#gid=0"",""Table 1: Study characteristics!A4:A171""), $A96=IMPORTRANGE(""https://docs.google.com/spreadsheets/d/1kGrh75X1cNR1D7_FcY9zMnHP8iPO4M5RCRjy6nZY0TY/edit#gid=0"","&amp;"""Table 1: Study characteristics!B4:B171""))
)"),"wrong population")</f>
        <v>wrong population</v>
      </c>
    </row>
    <row r="97">
      <c r="A97" s="4" t="str">
        <f>IFERROR(__xludf.DUMMYFUNCTION("""COMPUTED_VALUE"""),"[PRESENT-DAY TREATMENT OF MENINGOMYELOCELE]")</f>
        <v>[PRESENT-DAY TREATMENT OF MENINGOMYELOCELE]</v>
      </c>
      <c r="B97" s="5" t="str">
        <f>IFERROR(__xludf.DUMMYFUNCTION("LEFT(FILTER(IMPORTRANGE(""https://docs.google.com/spreadsheets/d/1BJSV3WBYJGRhQ6zExamkszQ5VutGIcaQqmbD9ZTVXMQ/edit#gid=1251630045"",""articles_with_PRISMA_reasons!K2:K2113""), $A97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$A97=IMPORTRANGE(""https://docs.google.com/spreadsheets/d/1BJSV3WBYJGRhQ6zExamkszQ5VutGIcaQqmbD9ZTVXMQ/edit#gid=1251630045"",""articles_with_PRISMA_reasons!B2:B2113"")))-1)"),"Moyson")</f>
        <v>Moyson</v>
      </c>
      <c r="C97" s="6">
        <f>IFERROR(__xludf.DUMMYFUNCTION("FILTER(IMPORTRANGE(""https://docs.google.com/spreadsheets/d/1BJSV3WBYJGRhQ6zExamkszQ5VutGIcaQqmbD9ZTVXMQ/edit#gid=1251630045"",""articles_with_PRISMA_reasons!C2:C2113""), $A97=IMPORTRANGE(""https://docs.google.com/spreadsheets/d/1BJSV3WBYJGRhQ6zExamkszQ5V"&amp;"utGIcaQqmbD9ZTVXMQ/edit#gid=1251630045"",""articles_with_PRISMA_reasons!B2:B2113""))"),1964.0)</f>
        <v>1964</v>
      </c>
      <c r="D97" s="5" t="str">
        <f>IFERROR(__xludf.DUMMYFUNCTION("IFS(AND(
FILTER(IMPORTRANGE(""https://docs.google.com/spreadsheets/d/1BJSV3WBYJGRhQ6zExamkszQ5VutGIcaQqmbD9ZTVXMQ/edit#gid=1251630045"",""articles_with_PRISMA_reasons!Y2:Y2113""), $A97=IMPORTRANGE(""https://docs.google.com/spreadsheets/d/1BJSV3WBYJGRhQ6zE"&amp;"xamkszQ5VutGIcaQqmbD9ZTVXMQ/edit#gid=1251630045"",""articles_with_PRISMA_reasons!B2:B2113""))&gt;=2,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$A97=IMPORTRANGE(""https://docs.google.com/spreadsheets/d/1BJSV3WBYJGRhQ6zExamkszQ5VutGIcaQqmbD9ZTVXMQ/edit#gid=1251630045"",""articles_with_PRISMA_reasons!B2:B2113""))&lt;2),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$A97=IMPORTRANGE(""https://docs.google.com/spreadsheets/d/1BJSV3WBYJGRhQ6zExamkszQ5VutGIcaQqmbD9ZTVXMQ/edit#gid=1251630045"",""article"&amp;"s_with_PRISMA_reasons!B2:B2113""))&lt;2,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$A97=IMPORTRANGE(""https://docs.google.com/spr"&amp;"eadsheets/d/1BJSV3WBYJGRhQ6zExamkszQ5VutGIcaQqmbD9ZTVXMQ/edit#gid=1251630045"",""articles_with_PRISMA_reasons!B2:B2113""))&gt;=2),
""Exclude""
)"),"Include")</f>
        <v>Include</v>
      </c>
      <c r="E97" s="5" t="str">
        <f>IFERROR(__xludf.DUMMYFUNCTION("IFS(
D97=""Exclude"",""Exclude"",
AND(
FILTER(IMPORTRANGE(""https://docs.google.com/spreadsheets/d/1qpEmbGH0JjaJbUdp21-y2cPbobDbMjr09BbtdKROZWc/edit#gid=1444865654"",""articles_with_PRISMA_reasons!W2:W2113""), $A97=IMPORTRANGE(""https://docs.google.com/sp"&amp;"readsheets/d/1qpEmbGH0JjaJbUdp21-y2cPbobDbMjr09BbtdKROZWc/edit#gid=1444865654"",""articles_with_PRISMA_reasons!B2:B2113""))&gt;=2,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$A97=IMPORTRANGE(""https://docs.google.com/spreadsheets/d/1qpEmbGH0JjaJbUdp21-y2cPbobDbMjr09BbtdKROZWc/edit#gid=1444865654"",""articles_with_PRISMA_reasons!B2:B2113""))&lt;2),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$A97=IMPORTRANGE(""https://docs.google.com/spreadsheets/d/1qpEmbGH0JjaJbUdp21-y2cPbobDbMjr09BbtdKROZWc/"&amp;"edit#gid=1444865654"",""articles_with_PRISMA_reasons!B2:B2113""))&lt;2,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$A97=IMPORTRANG"&amp;"E(""https://docs.google.com/spreadsheets/d/1qpEmbGH0JjaJbUdp21-y2cPbobDbMjr09BbtdKROZWc/edit#gid=1444865654"",""articles_with_PRISMA_reasons!B2:B2113""))&gt;=2),
""Exclude""
)"),"Exclude")</f>
        <v>Exclude</v>
      </c>
      <c r="F97" s="5" t="str">
        <f>IFERROR(__xludf.DUMMYFUNCTION("IFS(
E97=""Exclude"",""Exclude"",
AND(
COUNTIF(
IMPORTRANGE(""https://docs.google.com/spreadsheets/d/1kGrh75X1cNR1D7_FcY9zMnHP8iPO4M5RCRjy6nZY0TY/edit#gid=0"",""Table 1: Study characteristics!B4:B171""),A97)&gt;0,
COUNTIF(Studies!$A$2:$A$85,FILTER(IMPORTRANG"&amp;"E(""https://docs.google.com/spreadsheets/d/1kGrh75X1cNR1D7_FcY9zMnHP8iPO4M5RCRjy6nZY0TY/edit#gid=0"",""Table 1: Study characteristics!A4:A171""), $A97=IMPORTRANGE(""https://docs.google.com/spreadsheets/d/1kGrh75X1cNR1D7_FcY9zMnHP8iPO4M5RCRjy6nZY0TY/edit#g"&amp;"id=0"",""Table 1: Study characteristics!B4:B171"")))&gt;0
),
""Include""
)"),"Exclude")</f>
        <v>Exclude</v>
      </c>
      <c r="G97" s="5" t="str">
        <f>IFERROR(__xludf.DUMMYFUNCTION("IFS(
D97=""Exclude"",
FILTER(IMPORTRANGE(""https://docs.google.com/spreadsheets/d/1BJSV3WBYJGRhQ6zExamkszQ5VutGIcaQqmbD9ZTVXMQ/edit#gid=1251630045"",""articles_with_PRISMA_reasons!AB2:AB2113""), $A97=IMPORTRANGE(""https://docs.google.com/spreadsheets/d/1B"&amp;"JSV3WBYJGRhQ6zExamkszQ5VutGIcaQqmbD9ZTVXMQ/edit#gid=1251630045"",""articles_with_PRISMA_reasons!B2:B2113"")),
E97=""Exclude"",
FILTER(IMPORTRANGE(""https://docs.google.com/spreadsheets/d/1qpEmbGH0JjaJbUdp21-y2cPbobDbMjr09BbtdKROZWc/edit#gid=1444865654"","&amp;"""articles_with_PRISMA_reasons!Z2:Z2113""), $A97=IMPORTRANGE(""https://docs.google.com/spreadsheets/d/1qpEmbGH0JjaJbUdp21-y2cPbobDbMjr09BbtdKROZWc/edit#gid=1444865654"",""articles_with_PRISMA_reasons!B2:B2113"")),F97
=""Include"",FILTER(IMPORTRANGE(""http"&amp;"s://docs.google.com/spreadsheets/d/1kGrh75X1cNR1D7_FcY9zMnHP8iPO4M5RCRjy6nZY0TY/edit#gid=0"",""Table 1: Study characteristics!A4:A171""), $A97=IMPORTRANGE(""https://docs.google.com/spreadsheets/d/1kGrh75X1cNR1D7_FcY9zMnHP8iPO4M5RCRjy6nZY0TY/edit#gid=0"","&amp;"""Table 1: Study characteristics!B4:B171""))
)"),"text not accessible")</f>
        <v>text not accessible</v>
      </c>
    </row>
    <row r="98">
      <c r="A98" s="4" t="str">
        <f>IFERROR(__xludf.DUMMYFUNCTION("""COMPUTED_VALUE"""),"[Prevalence of neural tube defects in births before and after promotion of periconceptional folic acid supplementation]")</f>
        <v>[Prevalence of neural tube defects in births before and after promotion of periconceptional folic acid supplementation]</v>
      </c>
      <c r="B98" s="5" t="str">
        <f>IFERROR(__xludf.DUMMYFUNCTION("LEFT(FILTER(IMPORTRANGE(""https://docs.google.com/spreadsheets/d/1BJSV3WBYJGRhQ6zExamkszQ5VutGIcaQqmbD9ZTVXMQ/edit#gid=1251630045"",""articles_with_PRISMA_reasons!K2:K2113""), $A98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$A98=IMPORTRANGE(""https://docs.google.com/spreadsheets/d/1BJSV3WBYJGRhQ6zExamkszQ5VutGIcaQqmbD9ZTVXMQ/edit#gid=1251630045"",""articles_with_PRISMA_reasons!B2:B2113"")))-1)"),"van der Pal-de Bruin")</f>
        <v>van der Pal-de Bruin</v>
      </c>
      <c r="C98" s="6">
        <f>IFERROR(__xludf.DUMMYFUNCTION("FILTER(IMPORTRANGE(""https://docs.google.com/spreadsheets/d/1BJSV3WBYJGRhQ6zExamkszQ5VutGIcaQqmbD9ZTVXMQ/edit#gid=1251630045"",""articles_with_PRISMA_reasons!C2:C2113""), $A98=IMPORTRANGE(""https://docs.google.com/spreadsheets/d/1BJSV3WBYJGRhQ6zExamkszQ5V"&amp;"utGIcaQqmbD9ZTVXMQ/edit#gid=1251630045"",""articles_with_PRISMA_reasons!B2:B2113""))"),2000.0)</f>
        <v>2000</v>
      </c>
      <c r="D98" s="5" t="str">
        <f>IFERROR(__xludf.DUMMYFUNCTION("IFS(AND(
FILTER(IMPORTRANGE(""https://docs.google.com/spreadsheets/d/1BJSV3WBYJGRhQ6zExamkszQ5VutGIcaQqmbD9ZTVXMQ/edit#gid=1251630045"",""articles_with_PRISMA_reasons!Y2:Y2113""), $A98=IMPORTRANGE(""https://docs.google.com/spreadsheets/d/1BJSV3WBYJGRhQ6zE"&amp;"xamkszQ5VutGIcaQqmbD9ZTVXMQ/edit#gid=1251630045"",""articles_with_PRISMA_reasons!B2:B2113""))&gt;=2,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$A98=IMPORTRANGE(""https://docs.google.com/spreadsheets/d/1BJSV3WBYJGRhQ6zExamkszQ5VutGIcaQqmbD9ZTVXMQ/edit#gid=1251630045"",""articles_with_PRISMA_reasons!B2:B2113""))&lt;2),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$A98=IMPORTRANGE(""https://docs.google.com/spreadsheets/d/1BJSV3WBYJGRhQ6zExamkszQ5VutGIcaQqmbD9ZTVXMQ/edit#gid=1251630045"",""article"&amp;"s_with_PRISMA_reasons!B2:B2113""))&lt;2,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$A98=IMPORTRANGE(""https://docs.google.com/spr"&amp;"eadsheets/d/1BJSV3WBYJGRhQ6zExamkszQ5VutGIcaQqmbD9ZTVXMQ/edit#gid=1251630045"",""articles_with_PRISMA_reasons!B2:B2113""))&gt;=2),
""Exclude""
)"),"Exclude")</f>
        <v>Exclude</v>
      </c>
      <c r="E98" s="5" t="str">
        <f>IFERROR(__xludf.DUMMYFUNCTION("IFS(
D98=""Exclude"",""Exclude"",
AND(
FILTER(IMPORTRANGE(""https://docs.google.com/spreadsheets/d/1qpEmbGH0JjaJbUdp21-y2cPbobDbMjr09BbtdKROZWc/edit#gid=1444865654"",""articles_with_PRISMA_reasons!W2:W2113""), $A98=IMPORTRANGE(""https://docs.google.com/sp"&amp;"readsheets/d/1qpEmbGH0JjaJbUdp21-y2cPbobDbMjr09BbtdKROZWc/edit#gid=1444865654"",""articles_with_PRISMA_reasons!B2:B2113""))&gt;=2,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$A98=IMPORTRANGE(""https://docs.google.com/spreadsheets/d/1qpEmbGH0JjaJbUdp21-y2cPbobDbMjr09BbtdKROZWc/edit#gid=1444865654"",""articles_with_PRISMA_reasons!B2:B2113""))&lt;2),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$A98=IMPORTRANGE(""https://docs.google.com/spreadsheets/d/1qpEmbGH0JjaJbUdp21-y2cPbobDbMjr09BbtdKROZWc/"&amp;"edit#gid=1444865654"",""articles_with_PRISMA_reasons!B2:B2113""))&lt;2,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$A98=IMPORTRANG"&amp;"E(""https://docs.google.com/spreadsheets/d/1qpEmbGH0JjaJbUdp21-y2cPbobDbMjr09BbtdKROZWc/edit#gid=1444865654"",""articles_with_PRISMA_reasons!B2:B2113""))&gt;=2),
""Exclude""
)"),"Exclude")</f>
        <v>Exclude</v>
      </c>
      <c r="F98" s="5" t="str">
        <f>IFERROR(__xludf.DUMMYFUNCTION("IFS(
E98=""Exclude"",""Exclude"",
AND(
COUNTIF(
IMPORTRANGE(""https://docs.google.com/spreadsheets/d/1kGrh75X1cNR1D7_FcY9zMnHP8iPO4M5RCRjy6nZY0TY/edit#gid=0"",""Table 1: Study characteristics!B4:B171""),A98)&gt;0,
COUNTIF(Studies!$A$2:$A$85,FILTER(IMPORTRANG"&amp;"E(""https://docs.google.com/spreadsheets/d/1kGrh75X1cNR1D7_FcY9zMnHP8iPO4M5RCRjy6nZY0TY/edit#gid=0"",""Table 1: Study characteristics!A4:A171""), $A98=IMPORTRANGE(""https://docs.google.com/spreadsheets/d/1kGrh75X1cNR1D7_FcY9zMnHP8iPO4M5RCRjy6nZY0TY/edit#g"&amp;"id=0"",""Table 1: Study characteristics!B4:B171"")))&gt;0
),
""Include""
)"),"Exclude")</f>
        <v>Exclude</v>
      </c>
      <c r="G98" s="5" t="str">
        <f>IFERROR(__xludf.DUMMYFUNCTION("IFS(
D98=""Exclude"",
FILTER(IMPORTRANGE(""https://docs.google.com/spreadsheets/d/1BJSV3WBYJGRhQ6zExamkszQ5VutGIcaQqmbD9ZTVXMQ/edit#gid=1251630045"",""articles_with_PRISMA_reasons!AB2:AB2113""), $A98=IMPORTRANGE(""https://docs.google.com/spreadsheets/d/1B"&amp;"JSV3WBYJGRhQ6zExamkszQ5VutGIcaQqmbD9ZTVXMQ/edit#gid=1251630045"",""articles_with_PRISMA_reasons!B2:B2113"")),
E98=""Exclude"",
FILTER(IMPORTRANGE(""https://docs.google.com/spreadsheets/d/1qpEmbGH0JjaJbUdp21-y2cPbobDbMjr09BbtdKROZWc/edit#gid=1444865654"","&amp;"""articles_with_PRISMA_reasons!Z2:Z2113""), $A98=IMPORTRANGE(""https://docs.google.com/spreadsheets/d/1qpEmbGH0JjaJbUdp21-y2cPbobDbMjr09BbtdKROZWc/edit#gid=1444865654"",""articles_with_PRISMA_reasons!B2:B2113"")),F98
=""Include"",FILTER(IMPORTRANGE(""http"&amp;"s://docs.google.com/spreadsheets/d/1kGrh75X1cNR1D7_FcY9zMnHP8iPO4M5RCRjy6nZY0TY/edit#gid=0"",""Table 1: Study characteristics!A4:A171""), $A98=IMPORTRANGE(""https://docs.google.com/spreadsheets/d/1kGrh75X1cNR1D7_FcY9zMnHP8iPO4M5RCRjy6nZY0TY/edit#gid=0"","&amp;"""Table 1: Study characteristics!B4:B171""))
)"),"wrong population")</f>
        <v>wrong population</v>
      </c>
    </row>
    <row r="99">
      <c r="A99" s="4" t="str">
        <f>IFERROR(__xludf.DUMMYFUNCTION("""COMPUTED_VALUE"""),"[Prevalence, clinical aspects and prognosis of neural tube defects in The Netherlands]")</f>
        <v>[Prevalence, clinical aspects and prognosis of neural tube defects in The Netherlands]</v>
      </c>
      <c r="B99" s="5" t="str">
        <f>IFERROR(__xludf.DUMMYFUNCTION("LEFT(FILTER(IMPORTRANGE(""https://docs.google.com/spreadsheets/d/1BJSV3WBYJGRhQ6zExamkszQ5VutGIcaQqmbD9ZTVXMQ/edit#gid=1251630045"",""articles_with_PRISMA_reasons!K2:K2113""), $A99=IMPORTRANGE(""https://docs.google.com/spreadsheets/d/1BJSV3WBYJGRhQ6zExamk"&amp;"szQ5VutGIcaQqmbD9ZTVXMQ/edit#gid=1251630045"",""articles_with_PRISMA_reasons!B2:B2113"")),SEARCH("","",FILTER(IMPORTRANGE(""https://docs.google.com/spreadsheets/d/1BJSV3WBYJGRhQ6zExamkszQ5VutGIcaQqmbD9ZTVXMQ/edit#gid=1251630045"",""articles_with_PRISMA_re"&amp;"asons!K2:K2113""), $A99=IMPORTRANGE(""https://docs.google.com/spreadsheets/d/1BJSV3WBYJGRhQ6zExamkszQ5VutGIcaQqmbD9ZTVXMQ/edit#gid=1251630045"",""articles_with_PRISMA_reasons!B2:B2113"")))-1)"),"den Quden")</f>
        <v>den Quden</v>
      </c>
      <c r="C99" s="6">
        <f>IFERROR(__xludf.DUMMYFUNCTION("FILTER(IMPORTRANGE(""https://docs.google.com/spreadsheets/d/1BJSV3WBYJGRhQ6zExamkszQ5VutGIcaQqmbD9ZTVXMQ/edit#gid=1251630045"",""articles_with_PRISMA_reasons!C2:C2113""), $A99=IMPORTRANGE(""https://docs.google.com/spreadsheets/d/1BJSV3WBYJGRhQ6zExamkszQ5V"&amp;"utGIcaQqmbD9ZTVXMQ/edit#gid=1251630045"",""articles_with_PRISMA_reasons!B2:B2113""))"),1996.0)</f>
        <v>1996</v>
      </c>
      <c r="D99" s="5" t="str">
        <f>IFERROR(__xludf.DUMMYFUNCTION("IFS(AND(
FILTER(IMPORTRANGE(""https://docs.google.com/spreadsheets/d/1BJSV3WBYJGRhQ6zExamkszQ5VutGIcaQqmbD9ZTVXMQ/edit#gid=1251630045"",""articles_with_PRISMA_reasons!Y2:Y2113""), $A99=IMPORTRANGE(""https://docs.google.com/spreadsheets/d/1BJSV3WBYJGRhQ6zE"&amp;"xamkszQ5VutGIcaQqmbD9ZTVXMQ/edit#gid=1251630045"",""articles_with_PRISMA_reasons!B2:B2113""))&gt;=2,
FILTER(IMPORTRANGE(""https://docs.google.com/spreadsheets/d/1BJSV3WBYJGRhQ6zExamkszQ5VutGIcaQqmbD9ZTVXMQ/edit#gid=1251630045"",""articles_with_PRISMA_reasons"&amp;"!Z2:Z2113""), $A99=IMPORTRANGE(""https://docs.google.com/spreadsheets/d/1BJSV3WBYJGRhQ6zExamkszQ5VutGIcaQqmbD9ZTVXMQ/edit#gid=1251630045"",""articles_with_PRISMA_reasons!B2:B2113""))&lt;2),
""Include"",
AND(
FILTER(IMPORTRANGE(""https://docs.google.com/sprea"&amp;"dsheets/d/1BJSV3WBYJGRhQ6zExamkszQ5VutGIcaQqmbD9ZTVXMQ/edit#gid=1251630045"",""articles_with_PRISMA_reasons!Y2:Y2113""), $A99=IMPORTRANGE(""https://docs.google.com/spreadsheets/d/1BJSV3WBYJGRhQ6zExamkszQ5VutGIcaQqmbD9ZTVXMQ/edit#gid=1251630045"",""article"&amp;"s_with_PRISMA_reasons!B2:B2113""))&lt;2,
FILTER(IMPORTRANGE(""https://docs.google.com/spreadsheets/d/1BJSV3WBYJGRhQ6zExamkszQ5VutGIcaQqmbD9ZTVXMQ/edit#gid=1251630045"",""articles_with_PRISMA_reasons!Z2:Z2113""), $A99=IMPORTRANGE(""https://docs.google.com/spr"&amp;"eadsheets/d/1BJSV3WBYJGRhQ6zExamkszQ5VutGIcaQqmbD9ZTVXMQ/edit#gid=1251630045"",""articles_with_PRISMA_reasons!B2:B2113""))&gt;=2),
""Exclude""
)"),"Exclude")</f>
        <v>Exclude</v>
      </c>
      <c r="E99" s="5" t="str">
        <f>IFERROR(__xludf.DUMMYFUNCTION("IFS(
D99=""Exclude"",""Exclude"",
AND(
FILTER(IMPORTRANGE(""https://docs.google.com/spreadsheets/d/1qpEmbGH0JjaJbUdp21-y2cPbobDbMjr09BbtdKROZWc/edit#gid=1444865654"",""articles_with_PRISMA_reasons!W2:W2113""), $A99=IMPORTRANGE(""https://docs.google.com/sp"&amp;"readsheets/d/1qpEmbGH0JjaJbUdp21-y2cPbobDbMjr09BbtdKROZWc/edit#gid=1444865654"",""articles_with_PRISMA_reasons!B2:B2113""))&gt;=2,
FILTER(IMPORTRANGE(""https://docs.google.com/spreadsheets/d/1qpEmbGH0JjaJbUdp21-y2cPbobDbMjr09BbtdKROZWc/edit#gid=1444865654"","&amp;"""articles_with_PRISMA_reasons!X2:X2113""), $A99=IMPORTRANGE(""https://docs.google.com/spreadsheets/d/1qpEmbGH0JjaJbUdp21-y2cPbobDbMjr09BbtdKROZWc/edit#gid=1444865654"",""articles_with_PRISMA_reasons!B2:B2113""))&lt;2),
""Include"",
AND(
FILTER(IMPORTRANGE("&amp;"""https://docs.google.com/spreadsheets/d/1qpEmbGH0JjaJbUdp21-y2cPbobDbMjr09BbtdKROZWc/edit#gid=1444865654"",""articles_with_PRISMA_reasons!W2:W2113""), $A99=IMPORTRANGE(""https://docs.google.com/spreadsheets/d/1qpEmbGH0JjaJbUdp21-y2cPbobDbMjr09BbtdKROZWc/"&amp;"edit#gid=1444865654"",""articles_with_PRISMA_reasons!B2:B2113""))&lt;2,
FILTER(IMPORTRANGE(""https://docs.google.com/spreadsheets/d/1qpEmbGH0JjaJbUdp21-y2cPbobDbMjr09BbtdKROZWc/edit#gid=1444865654"",""articles_with_PRISMA_reasons!X2:X2113""), $A99=IMPORTRANG"&amp;"E(""https://docs.google.com/spreadsheets/d/1qpEmbGH0JjaJbUdp21-y2cPbobDbMjr09BbtdKROZWc/edit#gid=1444865654"",""articles_with_PRISMA_reasons!B2:B2113""))&gt;=2),
""Exclude""
)"),"Exclude")</f>
        <v>Exclude</v>
      </c>
      <c r="F99" s="5" t="str">
        <f>IFERROR(__xludf.DUMMYFUNCTION("IFS(
E99=""Exclude"",""Exclude"",
AND(
COUNTIF(
IMPORTRANGE(""https://docs.google.com/spreadsheets/d/1kGrh75X1cNR1D7_FcY9zMnHP8iPO4M5RCRjy6nZY0TY/edit#gid=0"",""Table 1: Study characteristics!B4:B171""),A99)&gt;0,
COUNTIF(Studies!$A$2:$A$85,FILTER(IMPORTRANG"&amp;"E(""https://docs.google.com/spreadsheets/d/1kGrh75X1cNR1D7_FcY9zMnHP8iPO4M5RCRjy6nZY0TY/edit#gid=0"",""Table 1: Study characteristics!A4:A171""), $A99=IMPORTRANGE(""https://docs.google.com/spreadsheets/d/1kGrh75X1cNR1D7_FcY9zMnHP8iPO4M5RCRjy6nZY0TY/edit#g"&amp;"id=0"",""Table 1: Study characteristics!B4:B171"")))&gt;0
),
""Include""
)"),"Exclude")</f>
        <v>Exclude</v>
      </c>
      <c r="G99" s="5" t="str">
        <f>IFERROR(__xludf.DUMMYFUNCTION("IFS(
D99=""Exclude"",
FILTER(IMPORTRANGE(""https://docs.google.com/spreadsheets/d/1BJSV3WBYJGRhQ6zExamkszQ5VutGIcaQqmbD9ZTVXMQ/edit#gid=1251630045"",""articles_with_PRISMA_reasons!AB2:AB2113""), $A99=IMPORTRANGE(""https://docs.google.com/spreadsheets/d/1B"&amp;"JSV3WBYJGRhQ6zExamkszQ5VutGIcaQqmbD9ZTVXMQ/edit#gid=1251630045"",""articles_with_PRISMA_reasons!B2:B2113"")),
E99=""Exclude"",
FILTER(IMPORTRANGE(""https://docs.google.com/spreadsheets/d/1qpEmbGH0JjaJbUdp21-y2cPbobDbMjr09BbtdKROZWc/edit#gid=1444865654"","&amp;"""articles_with_PRISMA_reasons!Z2:Z2113""), $A99=IMPORTRANGE(""https://docs.google.com/spreadsheets/d/1qpEmbGH0JjaJbUdp21-y2cPbobDbMjr09BbtdKROZWc/edit#gid=1444865654"",""articles_with_PRISMA_reasons!B2:B2113"")),F99
=""Include"",FILTER(IMPORTRANGE(""http"&amp;"s://docs.google.com/spreadsheets/d/1kGrh75X1cNR1D7_FcY9zMnHP8iPO4M5RCRjy6nZY0TY/edit#gid=0"",""Table 1: Study characteristics!A4:A171""), $A99=IMPORTRANGE(""https://docs.google.com/spreadsheets/d/1kGrh75X1cNR1D7_FcY9zMnHP8iPO4M5RCRjy6nZY0TY/edit#gid=0"","&amp;"""Table 1: Study characteristics!B4:B171""))
)"),"duplicate")</f>
        <v>duplicate</v>
      </c>
    </row>
    <row r="100">
      <c r="A100" s="4" t="str">
        <f>IFERROR(__xludf.DUMMYFUNCTION("""COMPUTED_VALUE"""),"[Primary headaches in children with hydrocephalus who have a ventriculoperitoneal bypass valve]")</f>
        <v>[Primary headaches in children with hydrocephalus who have a ventriculoperitoneal bypass valve]</v>
      </c>
      <c r="B100" s="5" t="str">
        <f>IFERROR(__xludf.DUMMYFUNCTION("LEFT(FILTER(IMPORTRANGE(""https://docs.google.com/spreadsheets/d/1BJSV3WBYJGRhQ6zExamkszQ5VutGIcaQqmbD9ZTVXMQ/edit#gid=1251630045"",""articles_with_PRISMA_reasons!K2:K2113""), $A100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$A100=IMPORTRANGE(""https://docs.google.com/spreadsheets/d/1BJSV3WBYJGRhQ6zExamkszQ5VutGIcaQqmbD9ZTVXMQ/edit#gid=1251630045"",""articles_with_PRISMA_reasons!B2:B2113"")))-1)"),"Matta")</f>
        <v>Matta</v>
      </c>
      <c r="C100" s="6" t="str">
        <f>IFERROR(__xludf.DUMMYFUNCTION("FILTER(IMPORTRANGE(""https://docs.google.com/spreadsheets/d/1BJSV3WBYJGRhQ6zExamkszQ5VutGIcaQqmbD9ZTVXMQ/edit#gid=1251630045"",""articles_with_PRISMA_reasons!C2:C2113""), $A100=IMPORTRANGE(""https://docs.google.com/spreadsheets/d/1BJSV3WBYJGRhQ6zExamkszQ5"&amp;"VutGIcaQqmbD9ZTVXMQ/edit#gid=1251630045"",""articles_with_PRISMA_reasons!B2:B2113""))"),"Dec")</f>
        <v>Dec</v>
      </c>
      <c r="D100" s="5" t="str">
        <f>IFERROR(__xludf.DUMMYFUNCTION("IFS(AND(
FILTER(IMPORTRANGE(""https://docs.google.com/spreadsheets/d/1BJSV3WBYJGRhQ6zExamkszQ5VutGIcaQqmbD9ZTVXMQ/edit#gid=1251630045"",""articles_with_PRISMA_reasons!Y2:Y2113""), $A100=IMPORTRANGE(""https://docs.google.com/spreadsheets/d/1BJSV3WBYJGRhQ6z"&amp;"ExamkszQ5VutGIcaQqmbD9ZTVXMQ/edit#gid=1251630045"",""articles_with_PRISMA_reasons!B2:B2113""))&gt;=2,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$A100=IMPORTRANGE(""https://docs.google.com/spreadsheets/d/1BJSV3WBYJGRhQ6zExamkszQ5VutGIcaQqmbD9ZTVXMQ/edit#gid=1251630045"",""articles_with_PRISMA_reasons!B2:B2113""))&lt;2),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$A100=IMPORTRANGE(""https://docs.google.com/spreadsheets/d/1BJSV3WBYJGRhQ6zExamkszQ5VutGIcaQqmbD9ZTVXMQ/edit#gid=1251630045"",""arti"&amp;"cles_with_PRISMA_reasons!B2:B2113""))&lt;2,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$A100=IMPORTRANGE(""https://docs.google.com"&amp;"/spreadsheets/d/1BJSV3WBYJGRhQ6zExamkszQ5VutGIcaQqmbD9ZTVXMQ/edit#gid=1251630045"",""articles_with_PRISMA_reasons!B2:B2113""))&gt;=2),
""Exclude""
)"),"Exclude")</f>
        <v>Exclude</v>
      </c>
      <c r="E100" s="5" t="str">
        <f>IFERROR(__xludf.DUMMYFUNCTION("IFS(
D100=""Exclude"",""Exclude"",
AND(
FILTER(IMPORTRANGE(""https://docs.google.com/spreadsheets/d/1qpEmbGH0JjaJbUdp21-y2cPbobDbMjr09BbtdKROZWc/edit#gid=1444865654"",""articles_with_PRISMA_reasons!W2:W2113""), $A100=IMPORTRANGE(""https://docs.google.com/"&amp;"spreadsheets/d/1qpEmbGH0JjaJbUdp21-y2cPbobDbMjr09BbtdKROZWc/edit#gid=1444865654"",""articles_with_PRISMA_reasons!B2:B2113""))&gt;=2,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$A100=IMPORTRANGE(""https://docs.google.com/spreadsheets/d/1qpEmbGH0JjaJbUdp21-y2cPbobDbMjr09BbtdKROZWc/edit#gid=1444865654"",""articles_with_PRISMA_reasons!B2:B2113""))&lt;2),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$A100=IMPORTRANGE(""https://docs.google.com/spreadsheets/d/1qpEmbGH0JjaJbUdp21-y2cPbobDbMjr09BbtdKRO"&amp;"ZWc/edit#gid=1444865654"",""articles_with_PRISMA_reasons!B2:B2113""))&lt;2,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$A100=IMPOR"&amp;"TRANGE(""https://docs.google.com/spreadsheets/d/1qpEmbGH0JjaJbUdp21-y2cPbobDbMjr09BbtdKROZWc/edit#gid=1444865654"",""articles_with_PRISMA_reasons!B2:B2113""))&gt;=2),
""Exclude""
)"),"Exclude")</f>
        <v>Exclude</v>
      </c>
      <c r="F100" s="5" t="str">
        <f>IFERROR(__xludf.DUMMYFUNCTION("IFS(
E100=""Exclude"",""Exclude"",
AND(
COUNTIF(
IMPORTRANGE(""https://docs.google.com/spreadsheets/d/1kGrh75X1cNR1D7_FcY9zMnHP8iPO4M5RCRjy6nZY0TY/edit#gid=0"",""Table 1: Study characteristics!B4:B171""),A100)&gt;0,
COUNTIF(Studies!$A$2:$A$85,FILTER(IMPORTRA"&amp;"NGE(""https://docs.google.com/spreadsheets/d/1kGrh75X1cNR1D7_FcY9zMnHP8iPO4M5RCRjy6nZY0TY/edit#gid=0"",""Table 1: Study characteristics!A4:A171""), $A100=IMPORTRANGE(""https://docs.google.com/spreadsheets/d/1kGrh75X1cNR1D7_FcY9zMnHP8iPO4M5RCRjy6nZY0TY/edi"&amp;"t#gid=0"",""Table 1: Study characteristics!B4:B171"")))&gt;0
),
""Include""
)"),"Exclude")</f>
        <v>Exclude</v>
      </c>
      <c r="G100" s="5" t="str">
        <f>IFERROR(__xludf.DUMMYFUNCTION("IFS(
D100=""Exclude"",
FILTER(IMPORTRANGE(""https://docs.google.com/spreadsheets/d/1BJSV3WBYJGRhQ6zExamkszQ5VutGIcaQqmbD9ZTVXMQ/edit#gid=1251630045"",""articles_with_PRISMA_reasons!AB2:AB2113""), $A100=IMPORTRANGE(""https://docs.google.com/spreadsheets/d/"&amp;"1BJSV3WBYJGRhQ6zExamkszQ5VutGIcaQqmbD9ZTVXMQ/edit#gid=1251630045"",""articles_with_PRISMA_reasons!B2:B2113"")),
E100=""Exclude"",
FILTER(IMPORTRANGE(""https://docs.google.com/spreadsheets/d/1qpEmbGH0JjaJbUdp21-y2cPbobDbMjr09BbtdKROZWc/edit#gid=1444865654"&amp;""",""articles_with_PRISMA_reasons!Z2:Z2113""), $A100=IMPORTRANGE(""https://docs.google.com/spreadsheets/d/1qpEmbGH0JjaJbUdp21-y2cPbobDbMjr09BbtdKROZWc/edit#gid=1444865654"",""articles_with_PRISMA_reasons!B2:B2113"")),F100
=""Include"",FILTER(IMPORTRANGE("&amp;"""https://docs.google.com/spreadsheets/d/1kGrh75X1cNR1D7_FcY9zMnHP8iPO4M5RCRjy6nZY0TY/edit#gid=0"",""Table 1: Study characteristics!A4:A171""), $A100=IMPORTRANGE(""https://docs.google.com/spreadsheets/d/1kGrh75X1cNR1D7_FcY9zMnHP8iPO4M5RCRjy6nZY0TY/edit#gi"&amp;"d=0"",""Table 1: Study characteristics!B4:B171""))
)"),"wrong population")</f>
        <v>wrong population</v>
      </c>
    </row>
    <row r="101">
      <c r="A101" s="4" t="str">
        <f>IFERROR(__xludf.DUMMYFUNCTION("""COMPUTED_VALUE"""),"[Problems encountered with a programmable pressure valve (SOPHY) positioned in the chest wall]")</f>
        <v>[Problems encountered with a programmable pressure valve (SOPHY) positioned in the chest wall]</v>
      </c>
      <c r="B101" s="5" t="str">
        <f>IFERROR(__xludf.DUMMYFUNCTION("LEFT(FILTER(IMPORTRANGE(""https://docs.google.com/spreadsheets/d/1BJSV3WBYJGRhQ6zExamkszQ5VutGIcaQqmbD9ZTVXMQ/edit#gid=1251630045"",""articles_with_PRISMA_reasons!K2:K2113""), $A101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$A101=IMPORTRANGE(""https://docs.google.com/spreadsheets/d/1BJSV3WBYJGRhQ6zExamkszQ5VutGIcaQqmbD9ZTVXMQ/edit#gid=1251630045"",""articles_with_PRISMA_reasons!B2:B2113"")))-1)"),"Fuse")</f>
        <v>Fuse</v>
      </c>
      <c r="C101" s="6">
        <f>IFERROR(__xludf.DUMMYFUNCTION("FILTER(IMPORTRANGE(""https://docs.google.com/spreadsheets/d/1BJSV3WBYJGRhQ6zExamkszQ5VutGIcaQqmbD9ZTVXMQ/edit#gid=1251630045"",""articles_with_PRISMA_reasons!C2:C2113""), $A101=IMPORTRANGE(""https://docs.google.com/spreadsheets/d/1BJSV3WBYJGRhQ6zExamkszQ5"&amp;"VutGIcaQqmbD9ZTVXMQ/edit#gid=1251630045"",""articles_with_PRISMA_reasons!B2:B2113""))"),1996.0)</f>
        <v>1996</v>
      </c>
      <c r="D101" s="5" t="str">
        <f>IFERROR(__xludf.DUMMYFUNCTION("IFS(AND(
FILTER(IMPORTRANGE(""https://docs.google.com/spreadsheets/d/1BJSV3WBYJGRhQ6zExamkszQ5VutGIcaQqmbD9ZTVXMQ/edit#gid=1251630045"",""articles_with_PRISMA_reasons!Y2:Y2113""), $A101=IMPORTRANGE(""https://docs.google.com/spreadsheets/d/1BJSV3WBYJGRhQ6z"&amp;"ExamkszQ5VutGIcaQqmbD9ZTVXMQ/edit#gid=1251630045"",""articles_with_PRISMA_reasons!B2:B2113""))&gt;=2,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$A101=IMPORTRANGE(""https://docs.google.com/spreadsheets/d/1BJSV3WBYJGRhQ6zExamkszQ5VutGIcaQqmbD9ZTVXMQ/edit#gid=1251630045"",""articles_with_PRISMA_reasons!B2:B2113""))&lt;2),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$A101=IMPORTRANGE(""https://docs.google.com/spreadsheets/d/1BJSV3WBYJGRhQ6zExamkszQ5VutGIcaQqmbD9ZTVXMQ/edit#gid=1251630045"",""arti"&amp;"cles_with_PRISMA_reasons!B2:B2113""))&lt;2,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$A101=IMPORTRANGE(""https://docs.google.com"&amp;"/spreadsheets/d/1BJSV3WBYJGRhQ6zExamkszQ5VutGIcaQqmbD9ZTVXMQ/edit#gid=1251630045"",""articles_with_PRISMA_reasons!B2:B2113""))&gt;=2),
""Exclude""
)"),"Exclude")</f>
        <v>Exclude</v>
      </c>
      <c r="E101" s="5" t="str">
        <f>IFERROR(__xludf.DUMMYFUNCTION("IFS(
D101=""Exclude"",""Exclude"",
AND(
FILTER(IMPORTRANGE(""https://docs.google.com/spreadsheets/d/1qpEmbGH0JjaJbUdp21-y2cPbobDbMjr09BbtdKROZWc/edit#gid=1444865654"",""articles_with_PRISMA_reasons!W2:W2113""), $A101=IMPORTRANGE(""https://docs.google.com/"&amp;"spreadsheets/d/1qpEmbGH0JjaJbUdp21-y2cPbobDbMjr09BbtdKROZWc/edit#gid=1444865654"",""articles_with_PRISMA_reasons!B2:B2113""))&gt;=2,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$A101=IMPORTRANGE(""https://docs.google.com/spreadsheets/d/1qpEmbGH0JjaJbUdp21-y2cPbobDbMjr09BbtdKROZWc/edit#gid=1444865654"",""articles_with_PRISMA_reasons!B2:B2113""))&lt;2),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$A101=IMPORTRANGE(""https://docs.google.com/spreadsheets/d/1qpEmbGH0JjaJbUdp21-y2cPbobDbMjr09BbtdKRO"&amp;"ZWc/edit#gid=1444865654"",""articles_with_PRISMA_reasons!B2:B2113""))&lt;2,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$A101=IMPOR"&amp;"TRANGE(""https://docs.google.com/spreadsheets/d/1qpEmbGH0JjaJbUdp21-y2cPbobDbMjr09BbtdKROZWc/edit#gid=1444865654"",""articles_with_PRISMA_reasons!B2:B2113""))&gt;=2),
""Exclude""
)"),"Exclude")</f>
        <v>Exclude</v>
      </c>
      <c r="F101" s="5" t="str">
        <f>IFERROR(__xludf.DUMMYFUNCTION("IFS(
E101=""Exclude"",""Exclude"",
AND(
COUNTIF(
IMPORTRANGE(""https://docs.google.com/spreadsheets/d/1kGrh75X1cNR1D7_FcY9zMnHP8iPO4M5RCRjy6nZY0TY/edit#gid=0"",""Table 1: Study characteristics!B4:B171""),A101)&gt;0,
COUNTIF(Studies!$A$2:$A$85,FILTER(IMPORTRA"&amp;"NGE(""https://docs.google.com/spreadsheets/d/1kGrh75X1cNR1D7_FcY9zMnHP8iPO4M5RCRjy6nZY0TY/edit#gid=0"",""Table 1: Study characteristics!A4:A171""), $A101=IMPORTRANGE(""https://docs.google.com/spreadsheets/d/1kGrh75X1cNR1D7_FcY9zMnHP8iPO4M5RCRjy6nZY0TY/edi"&amp;"t#gid=0"",""Table 1: Study characteristics!B4:B171"")))&gt;0
),
""Include""
)"),"Exclude")</f>
        <v>Exclude</v>
      </c>
      <c r="G101" s="5" t="str">
        <f>IFERROR(__xludf.DUMMYFUNCTION("IFS(
D101=""Exclude"",
FILTER(IMPORTRANGE(""https://docs.google.com/spreadsheets/d/1BJSV3WBYJGRhQ6zExamkszQ5VutGIcaQqmbD9ZTVXMQ/edit#gid=1251630045"",""articles_with_PRISMA_reasons!AB2:AB2113""), $A101=IMPORTRANGE(""https://docs.google.com/spreadsheets/d/"&amp;"1BJSV3WBYJGRhQ6zExamkszQ5VutGIcaQqmbD9ZTVXMQ/edit#gid=1251630045"",""articles_with_PRISMA_reasons!B2:B2113"")),
E101=""Exclude"",
FILTER(IMPORTRANGE(""https://docs.google.com/spreadsheets/d/1qpEmbGH0JjaJbUdp21-y2cPbobDbMjr09BbtdKROZWc/edit#gid=1444865654"&amp;""",""articles_with_PRISMA_reasons!Z2:Z2113""), $A101=IMPORTRANGE(""https://docs.google.com/spreadsheets/d/1qpEmbGH0JjaJbUdp21-y2cPbobDbMjr09BbtdKROZWc/edit#gid=1444865654"",""articles_with_PRISMA_reasons!B2:B2113"")),F101
=""Include"",FILTER(IMPORTRANGE("&amp;"""https://docs.google.com/spreadsheets/d/1kGrh75X1cNR1D7_FcY9zMnHP8iPO4M5RCRjy6nZY0TY/edit#gid=0"",""Table 1: Study characteristics!A4:A171""), $A101=IMPORTRANGE(""https://docs.google.com/spreadsheets/d/1kGrh75X1cNR1D7_FcY9zMnHP8iPO4M5RCRjy6nZY0TY/edit#gi"&amp;"d=0"",""Table 1: Study characteristics!B4:B171""))
)"),"wrong population")</f>
        <v>wrong population</v>
      </c>
    </row>
    <row r="102">
      <c r="A102" s="4" t="str">
        <f>IFERROR(__xludf.DUMMYFUNCTION("""COMPUTED_VALUE"""),"[Problems in prenatal diagnosis of neural tube defects (author's transl)]")</f>
        <v>[Problems in prenatal diagnosis of neural tube defects (author's transl)]</v>
      </c>
      <c r="B102" s="5" t="str">
        <f>IFERROR(__xludf.DUMMYFUNCTION("LEFT(FILTER(IMPORTRANGE(""https://docs.google.com/spreadsheets/d/1BJSV3WBYJGRhQ6zExamkszQ5VutGIcaQqmbD9ZTVXMQ/edit#gid=1251630045"",""articles_with_PRISMA_reasons!K2:K2113""), $A102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$A102=IMPORTRANGE(""https://docs.google.com/spreadsheets/d/1BJSV3WBYJGRhQ6zExamkszQ5VutGIcaQqmbD9ZTVXMQ/edit#gid=1251630045"",""articles_with_PRISMA_reasons!B2:B2113"")))-1)"),"Leucht")</f>
        <v>Leucht</v>
      </c>
      <c r="C102" s="6" t="str">
        <f>IFERROR(__xludf.DUMMYFUNCTION("FILTER(IMPORTRANGE(""https://docs.google.com/spreadsheets/d/1BJSV3WBYJGRhQ6zExamkszQ5VutGIcaQqmbD9ZTVXMQ/edit#gid=1251630045"",""articles_with_PRISMA_reasons!C2:C2113""), $A102=IMPORTRANGE(""https://docs.google.com/spreadsheets/d/1BJSV3WBYJGRhQ6zExamkszQ5"&amp;"VutGIcaQqmbD9ZTVXMQ/edit#gid=1251630045"",""articles_with_PRISMA_reasons!B2:B2113""))"),"Dec")</f>
        <v>Dec</v>
      </c>
      <c r="D102" s="5" t="str">
        <f>IFERROR(__xludf.DUMMYFUNCTION("IFS(AND(
FILTER(IMPORTRANGE(""https://docs.google.com/spreadsheets/d/1BJSV3WBYJGRhQ6zExamkszQ5VutGIcaQqmbD9ZTVXMQ/edit#gid=1251630045"",""articles_with_PRISMA_reasons!Y2:Y2113""), $A102=IMPORTRANGE(""https://docs.google.com/spreadsheets/d/1BJSV3WBYJGRhQ6z"&amp;"ExamkszQ5VutGIcaQqmbD9ZTVXMQ/edit#gid=1251630045"",""articles_with_PRISMA_reasons!B2:B2113""))&gt;=2,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$A102=IMPORTRANGE(""https://docs.google.com/spreadsheets/d/1BJSV3WBYJGRhQ6zExamkszQ5VutGIcaQqmbD9ZTVXMQ/edit#gid=1251630045"",""articles_with_PRISMA_reasons!B2:B2113""))&lt;2),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$A102=IMPORTRANGE(""https://docs.google.com/spreadsheets/d/1BJSV3WBYJGRhQ6zExamkszQ5VutGIcaQqmbD9ZTVXMQ/edit#gid=1251630045"",""arti"&amp;"cles_with_PRISMA_reasons!B2:B2113""))&lt;2,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$A102=IMPORTRANGE(""https://docs.google.com"&amp;"/spreadsheets/d/1BJSV3WBYJGRhQ6zExamkszQ5VutGIcaQqmbD9ZTVXMQ/edit#gid=1251630045"",""articles_with_PRISMA_reasons!B2:B2113""))&gt;=2),
""Exclude""
)"),"Exclude")</f>
        <v>Exclude</v>
      </c>
      <c r="E102" s="5" t="str">
        <f>IFERROR(__xludf.DUMMYFUNCTION("IFS(
D102=""Exclude"",""Exclude"",
AND(
FILTER(IMPORTRANGE(""https://docs.google.com/spreadsheets/d/1qpEmbGH0JjaJbUdp21-y2cPbobDbMjr09BbtdKROZWc/edit#gid=1444865654"",""articles_with_PRISMA_reasons!W2:W2113""), $A102=IMPORTRANGE(""https://docs.google.com/"&amp;"spreadsheets/d/1qpEmbGH0JjaJbUdp21-y2cPbobDbMjr09BbtdKROZWc/edit#gid=1444865654"",""articles_with_PRISMA_reasons!B2:B2113""))&gt;=2,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$A102=IMPORTRANGE(""https://docs.google.com/spreadsheets/d/1qpEmbGH0JjaJbUdp21-y2cPbobDbMjr09BbtdKROZWc/edit#gid=1444865654"",""articles_with_PRISMA_reasons!B2:B2113""))&lt;2),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$A102=IMPORTRANGE(""https://docs.google.com/spreadsheets/d/1qpEmbGH0JjaJbUdp21-y2cPbobDbMjr09BbtdKRO"&amp;"ZWc/edit#gid=1444865654"",""articles_with_PRISMA_reasons!B2:B2113""))&lt;2,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$A102=IMPOR"&amp;"TRANGE(""https://docs.google.com/spreadsheets/d/1qpEmbGH0JjaJbUdp21-y2cPbobDbMjr09BbtdKROZWc/edit#gid=1444865654"",""articles_with_PRISMA_reasons!B2:B2113""))&gt;=2),
""Exclude""
)"),"Exclude")</f>
        <v>Exclude</v>
      </c>
      <c r="F102" s="5" t="str">
        <f>IFERROR(__xludf.DUMMYFUNCTION("IFS(
E102=""Exclude"",""Exclude"",
AND(
COUNTIF(
IMPORTRANGE(""https://docs.google.com/spreadsheets/d/1kGrh75X1cNR1D7_FcY9zMnHP8iPO4M5RCRjy6nZY0TY/edit#gid=0"",""Table 1: Study characteristics!B4:B171""),A102)&gt;0,
COUNTIF(Studies!$A$2:$A$85,FILTER(IMPORTRA"&amp;"NGE(""https://docs.google.com/spreadsheets/d/1kGrh75X1cNR1D7_FcY9zMnHP8iPO4M5RCRjy6nZY0TY/edit#gid=0"",""Table 1: Study characteristics!A4:A171""), $A102=IMPORTRANGE(""https://docs.google.com/spreadsheets/d/1kGrh75X1cNR1D7_FcY9zMnHP8iPO4M5RCRjy6nZY0TY/edi"&amp;"t#gid=0"",""Table 1: Study characteristics!B4:B171"")))&gt;0
),
""Include""
)"),"Exclude")</f>
        <v>Exclude</v>
      </c>
      <c r="G102" s="5" t="str">
        <f>IFERROR(__xludf.DUMMYFUNCTION("IFS(
D102=""Exclude"",
FILTER(IMPORTRANGE(""https://docs.google.com/spreadsheets/d/1BJSV3WBYJGRhQ6zExamkszQ5VutGIcaQqmbD9ZTVXMQ/edit#gid=1251630045"",""articles_with_PRISMA_reasons!AB2:AB2113""), $A102=IMPORTRANGE(""https://docs.google.com/spreadsheets/d/"&amp;"1BJSV3WBYJGRhQ6zExamkszQ5VutGIcaQqmbD9ZTVXMQ/edit#gid=1251630045"",""articles_with_PRISMA_reasons!B2:B2113"")),
E102=""Exclude"",
FILTER(IMPORTRANGE(""https://docs.google.com/spreadsheets/d/1qpEmbGH0JjaJbUdp21-y2cPbobDbMjr09BbtdKROZWc/edit#gid=1444865654"&amp;""",""articles_with_PRISMA_reasons!Z2:Z2113""), $A102=IMPORTRANGE(""https://docs.google.com/spreadsheets/d/1qpEmbGH0JjaJbUdp21-y2cPbobDbMjr09BbtdKROZWc/edit#gid=1444865654"",""articles_with_PRISMA_reasons!B2:B2113"")),F102
=""Include"",FILTER(IMPORTRANGE("&amp;"""https://docs.google.com/spreadsheets/d/1kGrh75X1cNR1D7_FcY9zMnHP8iPO4M5RCRjy6nZY0TY/edit#gid=0"",""Table 1: Study characteristics!A4:A171""), $A102=IMPORTRANGE(""https://docs.google.com/spreadsheets/d/1kGrh75X1cNR1D7_FcY9zMnHP8iPO4M5RCRjy6nZY0TY/edit#gi"&amp;"d=0"",""Table 1: Study characteristics!B4:B171""))
)"),"wrong population")</f>
        <v>wrong population</v>
      </c>
    </row>
    <row r="103">
      <c r="A103" s="4" t="str">
        <f>IFERROR(__xludf.DUMMYFUNCTION("""COMPUTED_VALUE"""),"[Prognosis of meningomyelocele in relation to current therapeutic possibilities: 40 cases]")</f>
        <v>[Prognosis of meningomyelocele in relation to current therapeutic possibilities: 40 cases]</v>
      </c>
      <c r="B103" s="5" t="str">
        <f>IFERROR(__xludf.DUMMYFUNCTION("LEFT(FILTER(IMPORTRANGE(""https://docs.google.com/spreadsheets/d/1BJSV3WBYJGRhQ6zExamkszQ5VutGIcaQqmbD9ZTVXMQ/edit#gid=1251630045"",""articles_with_PRISMA_reasons!K2:K2113""), $A103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$A103=IMPORTRANGE(""https://docs.google.com/spreadsheets/d/1BJSV3WBYJGRhQ6zExamkszQ5VutGIcaQqmbD9ZTVXMQ/edit#gid=1251630045"",""articles_with_PRISMA_reasons!B2:B2113"")))-1)"),"Kulakowski")</f>
        <v>Kulakowski</v>
      </c>
      <c r="C103" s="6">
        <f>IFERROR(__xludf.DUMMYFUNCTION("FILTER(IMPORTRANGE(""https://docs.google.com/spreadsheets/d/1BJSV3WBYJGRhQ6zExamkszQ5VutGIcaQqmbD9ZTVXMQ/edit#gid=1251630045"",""articles_with_PRISMA_reasons!C2:C2113""), $A103=IMPORTRANGE(""https://docs.google.com/spreadsheets/d/1BJSV3WBYJGRhQ6zExamkszQ5"&amp;"VutGIcaQqmbD9ZTVXMQ/edit#gid=1251630045"",""articles_with_PRISMA_reasons!B2:B2113""))"),1972.0)</f>
        <v>1972</v>
      </c>
      <c r="D103" s="5" t="str">
        <f>IFERROR(__xludf.DUMMYFUNCTION("IFS(AND(
FILTER(IMPORTRANGE(""https://docs.google.com/spreadsheets/d/1BJSV3WBYJGRhQ6zExamkszQ5VutGIcaQqmbD9ZTVXMQ/edit#gid=1251630045"",""articles_with_PRISMA_reasons!Y2:Y2113""), $A103=IMPORTRANGE(""https://docs.google.com/spreadsheets/d/1BJSV3WBYJGRhQ6z"&amp;"ExamkszQ5VutGIcaQqmbD9ZTVXMQ/edit#gid=1251630045"",""articles_with_PRISMA_reasons!B2:B2113""))&gt;=2,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$A103=IMPORTRANGE(""https://docs.google.com/spreadsheets/d/1BJSV3WBYJGRhQ6zExamkszQ5VutGIcaQqmbD9ZTVXMQ/edit#gid=1251630045"",""articles_with_PRISMA_reasons!B2:B2113""))&lt;2),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$A103=IMPORTRANGE(""https://docs.google.com/spreadsheets/d/1BJSV3WBYJGRhQ6zExamkszQ5VutGIcaQqmbD9ZTVXMQ/edit#gid=1251630045"",""arti"&amp;"cles_with_PRISMA_reasons!B2:B2113""))&lt;2,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$A103=IMPORTRANGE(""https://docs.google.com"&amp;"/spreadsheets/d/1BJSV3WBYJGRhQ6zExamkszQ5VutGIcaQqmbD9ZTVXMQ/edit#gid=1251630045"",""articles_with_PRISMA_reasons!B2:B2113""))&gt;=2),
""Exclude""
)"),"Include")</f>
        <v>Include</v>
      </c>
      <c r="E103" s="5" t="str">
        <f>IFERROR(__xludf.DUMMYFUNCTION("IFS(
D103=""Exclude"",""Exclude"",
AND(
FILTER(IMPORTRANGE(""https://docs.google.com/spreadsheets/d/1qpEmbGH0JjaJbUdp21-y2cPbobDbMjr09BbtdKROZWc/edit#gid=1444865654"",""articles_with_PRISMA_reasons!W2:W2113""), $A103=IMPORTRANGE(""https://docs.google.com/"&amp;"spreadsheets/d/1qpEmbGH0JjaJbUdp21-y2cPbobDbMjr09BbtdKROZWc/edit#gid=1444865654"",""articles_with_PRISMA_reasons!B2:B2113""))&gt;=2,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$A103=IMPORTRANGE(""https://docs.google.com/spreadsheets/d/1qpEmbGH0JjaJbUdp21-y2cPbobDbMjr09BbtdKROZWc/edit#gid=1444865654"",""articles_with_PRISMA_reasons!B2:B2113""))&lt;2),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$A103=IMPORTRANGE(""https://docs.google.com/spreadsheets/d/1qpEmbGH0JjaJbUdp21-y2cPbobDbMjr09BbtdKRO"&amp;"ZWc/edit#gid=1444865654"",""articles_with_PRISMA_reasons!B2:B2113""))&lt;2,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$A103=IMPOR"&amp;"TRANGE(""https://docs.google.com/spreadsheets/d/1qpEmbGH0JjaJbUdp21-y2cPbobDbMjr09BbtdKROZWc/edit#gid=1444865654"",""articles_with_PRISMA_reasons!B2:B2113""))&gt;=2),
""Exclude""
)"),"Exclude")</f>
        <v>Exclude</v>
      </c>
      <c r="F103" s="5" t="str">
        <f>IFERROR(__xludf.DUMMYFUNCTION("IFS(
E103=""Exclude"",""Exclude"",
AND(
COUNTIF(
IMPORTRANGE(""https://docs.google.com/spreadsheets/d/1kGrh75X1cNR1D7_FcY9zMnHP8iPO4M5RCRjy6nZY0TY/edit#gid=0"",""Table 1: Study characteristics!B4:B171""),A103)&gt;0,
COUNTIF(Studies!$A$2:$A$85,FILTER(IMPORTRA"&amp;"NGE(""https://docs.google.com/spreadsheets/d/1kGrh75X1cNR1D7_FcY9zMnHP8iPO4M5RCRjy6nZY0TY/edit#gid=0"",""Table 1: Study characteristics!A4:A171""), $A103=IMPORTRANGE(""https://docs.google.com/spreadsheets/d/1kGrh75X1cNR1D7_FcY9zMnHP8iPO4M5RCRjy6nZY0TY/edi"&amp;"t#gid=0"",""Table 1: Study characteristics!B4:B171"")))&gt;0
),
""Include""
)"),"Exclude")</f>
        <v>Exclude</v>
      </c>
      <c r="G103" s="5" t="str">
        <f>IFERROR(__xludf.DUMMYFUNCTION("IFS(
D103=""Exclude"",
FILTER(IMPORTRANGE(""https://docs.google.com/spreadsheets/d/1BJSV3WBYJGRhQ6zExamkszQ5VutGIcaQqmbD9ZTVXMQ/edit#gid=1251630045"",""articles_with_PRISMA_reasons!AB2:AB2113""), $A103=IMPORTRANGE(""https://docs.google.com/spreadsheets/d/"&amp;"1BJSV3WBYJGRhQ6zExamkszQ5VutGIcaQqmbD9ZTVXMQ/edit#gid=1251630045"",""articles_with_PRISMA_reasons!B2:B2113"")),
E103=""Exclude"",
FILTER(IMPORTRANGE(""https://docs.google.com/spreadsheets/d/1qpEmbGH0JjaJbUdp21-y2cPbobDbMjr09BbtdKROZWc/edit#gid=1444865654"&amp;""",""articles_with_PRISMA_reasons!Z2:Z2113""), $A103=IMPORTRANGE(""https://docs.google.com/spreadsheets/d/1qpEmbGH0JjaJbUdp21-y2cPbobDbMjr09BbtdKROZWc/edit#gid=1444865654"",""articles_with_PRISMA_reasons!B2:B2113"")),F103
=""Include"",FILTER(IMPORTRANGE("&amp;"""https://docs.google.com/spreadsheets/d/1kGrh75X1cNR1D7_FcY9zMnHP8iPO4M5RCRjy6nZY0TY/edit#gid=0"",""Table 1: Study characteristics!A4:A171""), $A103=IMPORTRANGE(""https://docs.google.com/spreadsheets/d/1kGrh75X1cNR1D7_FcY9zMnHP8iPO4M5RCRjy6nZY0TY/edit#gi"&amp;"d=0"",""Table 1: Study characteristics!B4:B171""))
)"),"Full text unavailable")</f>
        <v>Full text unavailable</v>
      </c>
    </row>
    <row r="104">
      <c r="A104" s="4" t="str">
        <f>IFERROR(__xludf.DUMMYFUNCTION("""COMPUTED_VALUE"""),"[Pseudo-tumoral cerebellar infarction and Arnold-Chiari malformation]")</f>
        <v>[Pseudo-tumoral cerebellar infarction and Arnold-Chiari malformation]</v>
      </c>
      <c r="B104" s="5" t="str">
        <f>IFERROR(__xludf.DUMMYFUNCTION("LEFT(FILTER(IMPORTRANGE(""https://docs.google.com/spreadsheets/d/1BJSV3WBYJGRhQ6zExamkszQ5VutGIcaQqmbD9ZTVXMQ/edit#gid=1251630045"",""articles_with_PRISMA_reasons!K2:K2113""), $A104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$A104=IMPORTRANGE(""https://docs.google.com/spreadsheets/d/1BJSV3WBYJGRhQ6zExamkszQ5VutGIcaQqmbD9ZTVXMQ/edit#gid=1251630045"",""articles_with_PRISMA_reasons!B2:B2113"")))-1)"),"Petit")</f>
        <v>Petit</v>
      </c>
      <c r="C104" s="6">
        <f>IFERROR(__xludf.DUMMYFUNCTION("FILTER(IMPORTRANGE(""https://docs.google.com/spreadsheets/d/1BJSV3WBYJGRhQ6zExamkszQ5VutGIcaQqmbD9ZTVXMQ/edit#gid=1251630045"",""articles_with_PRISMA_reasons!C2:C2113""), $A104=IMPORTRANGE(""https://docs.google.com/spreadsheets/d/1BJSV3WBYJGRhQ6zExamkszQ5"&amp;"VutGIcaQqmbD9ZTVXMQ/edit#gid=1251630045"",""articles_with_PRISMA_reasons!B2:B2113""))"),1980.0)</f>
        <v>1980</v>
      </c>
      <c r="D104" s="5" t="str">
        <f>IFERROR(__xludf.DUMMYFUNCTION("IFS(AND(
FILTER(IMPORTRANGE(""https://docs.google.com/spreadsheets/d/1BJSV3WBYJGRhQ6zExamkszQ5VutGIcaQqmbD9ZTVXMQ/edit#gid=1251630045"",""articles_with_PRISMA_reasons!Y2:Y2113""), $A104=IMPORTRANGE(""https://docs.google.com/spreadsheets/d/1BJSV3WBYJGRhQ6z"&amp;"ExamkszQ5VutGIcaQqmbD9ZTVXMQ/edit#gid=1251630045"",""articles_with_PRISMA_reasons!B2:B2113""))&gt;=2,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$A104=IMPORTRANGE(""https://docs.google.com/spreadsheets/d/1BJSV3WBYJGRhQ6zExamkszQ5VutGIcaQqmbD9ZTVXMQ/edit#gid=1251630045"",""articles_with_PRISMA_reasons!B2:B2113""))&lt;2),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$A104=IMPORTRANGE(""https://docs.google.com/spreadsheets/d/1BJSV3WBYJGRhQ6zExamkszQ5VutGIcaQqmbD9ZTVXMQ/edit#gid=1251630045"",""arti"&amp;"cles_with_PRISMA_reasons!B2:B2113""))&lt;2,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$A104=IMPORTRANGE(""https://docs.google.com"&amp;"/spreadsheets/d/1BJSV3WBYJGRhQ6zExamkszQ5VutGIcaQqmbD9ZTVXMQ/edit#gid=1251630045"",""articles_with_PRISMA_reasons!B2:B2113""))&gt;=2),
""Exclude""
)"),"Exclude")</f>
        <v>Exclude</v>
      </c>
      <c r="E104" s="5" t="str">
        <f>IFERROR(__xludf.DUMMYFUNCTION("IFS(
D104=""Exclude"",""Exclude"",
AND(
FILTER(IMPORTRANGE(""https://docs.google.com/spreadsheets/d/1qpEmbGH0JjaJbUdp21-y2cPbobDbMjr09BbtdKROZWc/edit#gid=1444865654"",""articles_with_PRISMA_reasons!W2:W2113""), $A104=IMPORTRANGE(""https://docs.google.com/"&amp;"spreadsheets/d/1qpEmbGH0JjaJbUdp21-y2cPbobDbMjr09BbtdKROZWc/edit#gid=1444865654"",""articles_with_PRISMA_reasons!B2:B2113""))&gt;=2,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$A104=IMPORTRANGE(""https://docs.google.com/spreadsheets/d/1qpEmbGH0JjaJbUdp21-y2cPbobDbMjr09BbtdKROZWc/edit#gid=1444865654"",""articles_with_PRISMA_reasons!B2:B2113""))&lt;2),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$A104=IMPORTRANGE(""https://docs.google.com/spreadsheets/d/1qpEmbGH0JjaJbUdp21-y2cPbobDbMjr09BbtdKRO"&amp;"ZWc/edit#gid=1444865654"",""articles_with_PRISMA_reasons!B2:B2113""))&lt;2,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$A104=IMPOR"&amp;"TRANGE(""https://docs.google.com/spreadsheets/d/1qpEmbGH0JjaJbUdp21-y2cPbobDbMjr09BbtdKROZWc/edit#gid=1444865654"",""articles_with_PRISMA_reasons!B2:B2113""))&gt;=2),
""Exclude""
)"),"Exclude")</f>
        <v>Exclude</v>
      </c>
      <c r="F104" s="5" t="str">
        <f>IFERROR(__xludf.DUMMYFUNCTION("IFS(
E104=""Exclude"",""Exclude"",
AND(
COUNTIF(
IMPORTRANGE(""https://docs.google.com/spreadsheets/d/1kGrh75X1cNR1D7_FcY9zMnHP8iPO4M5RCRjy6nZY0TY/edit#gid=0"",""Table 1: Study characteristics!B4:B171""),A104)&gt;0,
COUNTIF(Studies!$A$2:$A$85,FILTER(IMPORTRA"&amp;"NGE(""https://docs.google.com/spreadsheets/d/1kGrh75X1cNR1D7_FcY9zMnHP8iPO4M5RCRjy6nZY0TY/edit#gid=0"",""Table 1: Study characteristics!A4:A171""), $A104=IMPORTRANGE(""https://docs.google.com/spreadsheets/d/1kGrh75X1cNR1D7_FcY9zMnHP8iPO4M5RCRjy6nZY0TY/edi"&amp;"t#gid=0"",""Table 1: Study characteristics!B4:B171"")))&gt;0
),
""Include""
)"),"Exclude")</f>
        <v>Exclude</v>
      </c>
      <c r="G104" s="5" t="str">
        <f>IFERROR(__xludf.DUMMYFUNCTION("IFS(
D104=""Exclude"",
FILTER(IMPORTRANGE(""https://docs.google.com/spreadsheets/d/1BJSV3WBYJGRhQ6zExamkszQ5VutGIcaQqmbD9ZTVXMQ/edit#gid=1251630045"",""articles_with_PRISMA_reasons!AB2:AB2113""), $A104=IMPORTRANGE(""https://docs.google.com/spreadsheets/d/"&amp;"1BJSV3WBYJGRhQ6zExamkszQ5VutGIcaQqmbD9ZTVXMQ/edit#gid=1251630045"",""articles_with_PRISMA_reasons!B2:B2113"")),
E104=""Exclude"",
FILTER(IMPORTRANGE(""https://docs.google.com/spreadsheets/d/1qpEmbGH0JjaJbUdp21-y2cPbobDbMjr09BbtdKROZWc/edit#gid=1444865654"&amp;""",""articles_with_PRISMA_reasons!Z2:Z2113""), $A104=IMPORTRANGE(""https://docs.google.com/spreadsheets/d/1qpEmbGH0JjaJbUdp21-y2cPbobDbMjr09BbtdKROZWc/edit#gid=1444865654"",""articles_with_PRISMA_reasons!B2:B2113"")),F104
=""Include"",FILTER(IMPORTRANGE("&amp;"""https://docs.google.com/spreadsheets/d/1kGrh75X1cNR1D7_FcY9zMnHP8iPO4M5RCRjy6nZY0TY/edit#gid=0"",""Table 1: Study characteristics!A4:A171""), $A104=IMPORTRANGE(""https://docs.google.com/spreadsheets/d/1kGrh75X1cNR1D7_FcY9zMnHP8iPO4M5RCRjy6nZY0TY/edit#gi"&amp;"d=0"",""Table 1: Study characteristics!B4:B171""))
)"),"background article")</f>
        <v>background article</v>
      </c>
    </row>
    <row r="105">
      <c r="A105" s="4" t="str">
        <f>IFERROR(__xludf.DUMMYFUNCTION("""COMPUTED_VALUE"""),"[Pseudomonas cepacia meningitis: report of 3 cases]")</f>
        <v>[Pseudomonas cepacia meningitis: report of 3 cases]</v>
      </c>
      <c r="B105" s="5" t="str">
        <f>IFERROR(__xludf.DUMMYFUNCTION("LEFT(FILTER(IMPORTRANGE(""https://docs.google.com/spreadsheets/d/1BJSV3WBYJGRhQ6zExamkszQ5VutGIcaQqmbD9ZTVXMQ/edit#gid=1251630045"",""articles_with_PRISMA_reasons!K2:K2113""), $A105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$A105=IMPORTRANGE(""https://docs.google.com/spreadsheets/d/1BJSV3WBYJGRhQ6zExamkszQ5VutGIcaQqmbD9ZTVXMQ/edit#gid=1251630045"",""articles_with_PRISMA_reasons!B2:B2113"")))-1)"),"Takagi")</f>
        <v>Takagi</v>
      </c>
      <c r="C105" s="6">
        <f>IFERROR(__xludf.DUMMYFUNCTION("FILTER(IMPORTRANGE(""https://docs.google.com/spreadsheets/d/1BJSV3WBYJGRhQ6zExamkszQ5VutGIcaQqmbD9ZTVXMQ/edit#gid=1251630045"",""articles_with_PRISMA_reasons!C2:C2113""), $A105=IMPORTRANGE(""https://docs.google.com/spreadsheets/d/1BJSV3WBYJGRhQ6zExamkszQ5"&amp;"VutGIcaQqmbD9ZTVXMQ/edit#gid=1251630045"",""articles_with_PRISMA_reasons!B2:B2113""))"),1982.0)</f>
        <v>1982</v>
      </c>
      <c r="D105" s="5" t="str">
        <f>IFERROR(__xludf.DUMMYFUNCTION("IFS(AND(
FILTER(IMPORTRANGE(""https://docs.google.com/spreadsheets/d/1BJSV3WBYJGRhQ6zExamkszQ5VutGIcaQqmbD9ZTVXMQ/edit#gid=1251630045"",""articles_with_PRISMA_reasons!Y2:Y2113""), $A105=IMPORTRANGE(""https://docs.google.com/spreadsheets/d/1BJSV3WBYJGRhQ6z"&amp;"ExamkszQ5VutGIcaQqmbD9ZTVXMQ/edit#gid=1251630045"",""articles_with_PRISMA_reasons!B2:B2113""))&gt;=2,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$A105=IMPORTRANGE(""https://docs.google.com/spreadsheets/d/1BJSV3WBYJGRhQ6zExamkszQ5VutGIcaQqmbD9ZTVXMQ/edit#gid=1251630045"",""articles_with_PRISMA_reasons!B2:B2113""))&lt;2),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$A105=IMPORTRANGE(""https://docs.google.com/spreadsheets/d/1BJSV3WBYJGRhQ6zExamkszQ5VutGIcaQqmbD9ZTVXMQ/edit#gid=1251630045"",""arti"&amp;"cles_with_PRISMA_reasons!B2:B2113""))&lt;2,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$A105=IMPORTRANGE(""https://docs.google.com"&amp;"/spreadsheets/d/1BJSV3WBYJGRhQ6zExamkszQ5VutGIcaQqmbD9ZTVXMQ/edit#gid=1251630045"",""articles_with_PRISMA_reasons!B2:B2113""))&gt;=2),
""Exclude""
)"),"Exclude")</f>
        <v>Exclude</v>
      </c>
      <c r="E105" s="5" t="str">
        <f>IFERROR(__xludf.DUMMYFUNCTION("IFS(
D105=""Exclude"",""Exclude"",
AND(
FILTER(IMPORTRANGE(""https://docs.google.com/spreadsheets/d/1qpEmbGH0JjaJbUdp21-y2cPbobDbMjr09BbtdKROZWc/edit#gid=1444865654"",""articles_with_PRISMA_reasons!W2:W2113""), $A105=IMPORTRANGE(""https://docs.google.com/"&amp;"spreadsheets/d/1qpEmbGH0JjaJbUdp21-y2cPbobDbMjr09BbtdKROZWc/edit#gid=1444865654"",""articles_with_PRISMA_reasons!B2:B2113""))&gt;=2,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$A105=IMPORTRANGE(""https://docs.google.com/spreadsheets/d/1qpEmbGH0JjaJbUdp21-y2cPbobDbMjr09BbtdKROZWc/edit#gid=1444865654"",""articles_with_PRISMA_reasons!B2:B2113""))&lt;2),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$A105=IMPORTRANGE(""https://docs.google.com/spreadsheets/d/1qpEmbGH0JjaJbUdp21-y2cPbobDbMjr09BbtdKRO"&amp;"ZWc/edit#gid=1444865654"",""articles_with_PRISMA_reasons!B2:B2113""))&lt;2,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$A105=IMPOR"&amp;"TRANGE(""https://docs.google.com/spreadsheets/d/1qpEmbGH0JjaJbUdp21-y2cPbobDbMjr09BbtdKROZWc/edit#gid=1444865654"",""articles_with_PRISMA_reasons!B2:B2113""))&gt;=2),
""Exclude""
)"),"Exclude")</f>
        <v>Exclude</v>
      </c>
      <c r="F105" s="5" t="str">
        <f>IFERROR(__xludf.DUMMYFUNCTION("IFS(
E105=""Exclude"",""Exclude"",
AND(
COUNTIF(
IMPORTRANGE(""https://docs.google.com/spreadsheets/d/1kGrh75X1cNR1D7_FcY9zMnHP8iPO4M5RCRjy6nZY0TY/edit#gid=0"",""Table 1: Study characteristics!B4:B171""),A105)&gt;0,
COUNTIF(Studies!$A$2:$A$85,FILTER(IMPORTRA"&amp;"NGE(""https://docs.google.com/spreadsheets/d/1kGrh75X1cNR1D7_FcY9zMnHP8iPO4M5RCRjy6nZY0TY/edit#gid=0"",""Table 1: Study characteristics!A4:A171""), $A105=IMPORTRANGE(""https://docs.google.com/spreadsheets/d/1kGrh75X1cNR1D7_FcY9zMnHP8iPO4M5RCRjy6nZY0TY/edi"&amp;"t#gid=0"",""Table 1: Study characteristics!B4:B171"")))&gt;0
),
""Include""
)"),"Exclude")</f>
        <v>Exclude</v>
      </c>
      <c r="G105" s="5" t="str">
        <f>IFERROR(__xludf.DUMMYFUNCTION("IFS(
D105=""Exclude"",
FILTER(IMPORTRANGE(""https://docs.google.com/spreadsheets/d/1BJSV3WBYJGRhQ6zExamkszQ5VutGIcaQqmbD9ZTVXMQ/edit#gid=1251630045"",""articles_with_PRISMA_reasons!AB2:AB2113""), $A105=IMPORTRANGE(""https://docs.google.com/spreadsheets/d/"&amp;"1BJSV3WBYJGRhQ6zExamkszQ5VutGIcaQqmbD9ZTVXMQ/edit#gid=1251630045"",""articles_with_PRISMA_reasons!B2:B2113"")),
E105=""Exclude"",
FILTER(IMPORTRANGE(""https://docs.google.com/spreadsheets/d/1qpEmbGH0JjaJbUdp21-y2cPbobDbMjr09BbtdKROZWc/edit#gid=1444865654"&amp;""",""articles_with_PRISMA_reasons!Z2:Z2113""), $A105=IMPORTRANGE(""https://docs.google.com/spreadsheets/d/1qpEmbGH0JjaJbUdp21-y2cPbobDbMjr09BbtdKROZWc/edit#gid=1444865654"",""articles_with_PRISMA_reasons!B2:B2113"")),F105
=""Include"",FILTER(IMPORTRANGE("&amp;"""https://docs.google.com/spreadsheets/d/1kGrh75X1cNR1D7_FcY9zMnHP8iPO4M5RCRjy6nZY0TY/edit#gid=0"",""Table 1: Study characteristics!A4:A171""), $A105=IMPORTRANGE(""https://docs.google.com/spreadsheets/d/1kGrh75X1cNR1D7_FcY9zMnHP8iPO4M5RCRjy6nZY0TY/edit#gi"&amp;"d=0"",""Table 1: Study characteristics!B4:B171""))
)"),"wrong study design")</f>
        <v>wrong study design</v>
      </c>
    </row>
    <row r="106">
      <c r="A106" s="4" t="str">
        <f>IFERROR(__xludf.DUMMYFUNCTION("""COMPUTED_VALUE"""),"[Relations between pneumoencephalographic and electroencephalographic findings in childhood]")</f>
        <v>[Relations between pneumoencephalographic and electroencephalographic findings in childhood]</v>
      </c>
      <c r="B106" s="5" t="str">
        <f>IFERROR(__xludf.DUMMYFUNCTION("LEFT(FILTER(IMPORTRANGE(""https://docs.google.com/spreadsheets/d/1BJSV3WBYJGRhQ6zExamkszQ5VutGIcaQqmbD9ZTVXMQ/edit#gid=1251630045"",""articles_with_PRISMA_reasons!K2:K2113""), $A106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$A106=IMPORTRANGE(""https://docs.google.com/spreadsheets/d/1BJSV3WBYJGRhQ6zExamkszQ5VutGIcaQqmbD9ZTVXMQ/edit#gid=1251630045"",""articles_with_PRISMA_reasons!B2:B2113"")))-1)"),"Jahrig")</f>
        <v>Jahrig</v>
      </c>
      <c r="C106" s="6">
        <f>IFERROR(__xludf.DUMMYFUNCTION("FILTER(IMPORTRANGE(""https://docs.google.com/spreadsheets/d/1BJSV3WBYJGRhQ6zExamkszQ5VutGIcaQqmbD9ZTVXMQ/edit#gid=1251630045"",""articles_with_PRISMA_reasons!C2:C2113""), $A106=IMPORTRANGE(""https://docs.google.com/spreadsheets/d/1BJSV3WBYJGRhQ6zExamkszQ5"&amp;"VutGIcaQqmbD9ZTVXMQ/edit#gid=1251630045"",""articles_with_PRISMA_reasons!B2:B2113""))"),1975.0)</f>
        <v>1975</v>
      </c>
      <c r="D106" s="5" t="str">
        <f>IFERROR(__xludf.DUMMYFUNCTION("IFS(AND(
FILTER(IMPORTRANGE(""https://docs.google.com/spreadsheets/d/1BJSV3WBYJGRhQ6zExamkszQ5VutGIcaQqmbD9ZTVXMQ/edit#gid=1251630045"",""articles_with_PRISMA_reasons!Y2:Y2113""), $A106=IMPORTRANGE(""https://docs.google.com/spreadsheets/d/1BJSV3WBYJGRhQ6z"&amp;"ExamkszQ5VutGIcaQqmbD9ZTVXMQ/edit#gid=1251630045"",""articles_with_PRISMA_reasons!B2:B2113""))&gt;=2,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$A106=IMPORTRANGE(""https://docs.google.com/spreadsheets/d/1BJSV3WBYJGRhQ6zExamkszQ5VutGIcaQqmbD9ZTVXMQ/edit#gid=1251630045"",""articles_with_PRISMA_reasons!B2:B2113""))&lt;2),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$A106=IMPORTRANGE(""https://docs.google.com/spreadsheets/d/1BJSV3WBYJGRhQ6zExamkszQ5VutGIcaQqmbD9ZTVXMQ/edit#gid=1251630045"",""arti"&amp;"cles_with_PRISMA_reasons!B2:B2113""))&lt;2,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$A106=IMPORTRANGE(""https://docs.google.com"&amp;"/spreadsheets/d/1BJSV3WBYJGRhQ6zExamkszQ5VutGIcaQqmbD9ZTVXMQ/edit#gid=1251630045"",""articles_with_PRISMA_reasons!B2:B2113""))&gt;=2),
""Exclude""
)"),"Exclude")</f>
        <v>Exclude</v>
      </c>
      <c r="E106" s="5" t="str">
        <f>IFERROR(__xludf.DUMMYFUNCTION("IFS(
D106=""Exclude"",""Exclude"",
AND(
FILTER(IMPORTRANGE(""https://docs.google.com/spreadsheets/d/1qpEmbGH0JjaJbUdp21-y2cPbobDbMjr09BbtdKROZWc/edit#gid=1444865654"",""articles_with_PRISMA_reasons!W2:W2113""), $A106=IMPORTRANGE(""https://docs.google.com/"&amp;"spreadsheets/d/1qpEmbGH0JjaJbUdp21-y2cPbobDbMjr09BbtdKROZWc/edit#gid=1444865654"",""articles_with_PRISMA_reasons!B2:B2113""))&gt;=2,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$A106=IMPORTRANGE(""https://docs.google.com/spreadsheets/d/1qpEmbGH0JjaJbUdp21-y2cPbobDbMjr09BbtdKROZWc/edit#gid=1444865654"",""articles_with_PRISMA_reasons!B2:B2113""))&lt;2),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$A106=IMPORTRANGE(""https://docs.google.com/spreadsheets/d/1qpEmbGH0JjaJbUdp21-y2cPbobDbMjr09BbtdKRO"&amp;"ZWc/edit#gid=1444865654"",""articles_with_PRISMA_reasons!B2:B2113""))&lt;2,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$A106=IMPOR"&amp;"TRANGE(""https://docs.google.com/spreadsheets/d/1qpEmbGH0JjaJbUdp21-y2cPbobDbMjr09BbtdKROZWc/edit#gid=1444865654"",""articles_with_PRISMA_reasons!B2:B2113""))&gt;=2),
""Exclude""
)"),"Exclude")</f>
        <v>Exclude</v>
      </c>
      <c r="F106" s="5" t="str">
        <f>IFERROR(__xludf.DUMMYFUNCTION("IFS(
E106=""Exclude"",""Exclude"",
AND(
COUNTIF(
IMPORTRANGE(""https://docs.google.com/spreadsheets/d/1kGrh75X1cNR1D7_FcY9zMnHP8iPO4M5RCRjy6nZY0TY/edit#gid=0"",""Table 1: Study characteristics!B4:B171""),A106)&gt;0,
COUNTIF(Studies!$A$2:$A$85,FILTER(IMPORTRA"&amp;"NGE(""https://docs.google.com/spreadsheets/d/1kGrh75X1cNR1D7_FcY9zMnHP8iPO4M5RCRjy6nZY0TY/edit#gid=0"",""Table 1: Study characteristics!A4:A171""), $A106=IMPORTRANGE(""https://docs.google.com/spreadsheets/d/1kGrh75X1cNR1D7_FcY9zMnHP8iPO4M5RCRjy6nZY0TY/edi"&amp;"t#gid=0"",""Table 1: Study characteristics!B4:B171"")))&gt;0
),
""Include""
)"),"Exclude")</f>
        <v>Exclude</v>
      </c>
      <c r="G106" s="5" t="str">
        <f>IFERROR(__xludf.DUMMYFUNCTION("IFS(
D106=""Exclude"",
FILTER(IMPORTRANGE(""https://docs.google.com/spreadsheets/d/1BJSV3WBYJGRhQ6zExamkszQ5VutGIcaQqmbD9ZTVXMQ/edit#gid=1251630045"",""articles_with_PRISMA_reasons!AB2:AB2113""), $A106=IMPORTRANGE(""https://docs.google.com/spreadsheets/d/"&amp;"1BJSV3WBYJGRhQ6zExamkszQ5VutGIcaQqmbD9ZTVXMQ/edit#gid=1251630045"",""articles_with_PRISMA_reasons!B2:B2113"")),
E106=""Exclude"",
FILTER(IMPORTRANGE(""https://docs.google.com/spreadsheets/d/1qpEmbGH0JjaJbUdp21-y2cPbobDbMjr09BbtdKROZWc/edit#gid=1444865654"&amp;""",""articles_with_PRISMA_reasons!Z2:Z2113""), $A106=IMPORTRANGE(""https://docs.google.com/spreadsheets/d/1qpEmbGH0JjaJbUdp21-y2cPbobDbMjr09BbtdKROZWc/edit#gid=1444865654"",""articles_with_PRISMA_reasons!B2:B2113"")),F106
=""Include"",FILTER(IMPORTRANGE("&amp;"""https://docs.google.com/spreadsheets/d/1kGrh75X1cNR1D7_FcY9zMnHP8iPO4M5RCRjy6nZY0TY/edit#gid=0"",""Table 1: Study characteristics!A4:A171""), $A106=IMPORTRANGE(""https://docs.google.com/spreadsheets/d/1kGrh75X1cNR1D7_FcY9zMnHP8iPO4M5RCRjy6nZY0TY/edit#gi"&amp;"d=0"",""Table 1: Study characteristics!B4:B171""))
)"),"wrong population")</f>
        <v>wrong population</v>
      </c>
    </row>
    <row r="107">
      <c r="A107" s="4" t="str">
        <f>IFERROR(__xludf.DUMMYFUNCTION("""COMPUTED_VALUE"""),"[Results of a survey on the frequency and degree of medical treatment of children with myelodysplasia in East Germany]")</f>
        <v>[Results of a survey on the frequency and degree of medical treatment of children with myelodysplasia in East Germany]</v>
      </c>
      <c r="B107" s="5" t="str">
        <f>IFERROR(__xludf.DUMMYFUNCTION("LEFT(FILTER(IMPORTRANGE(""https://docs.google.com/spreadsheets/d/1BJSV3WBYJGRhQ6zExamkszQ5VutGIcaQqmbD9ZTVXMQ/edit#gid=1251630045"",""articles_with_PRISMA_reasons!K2:K2113""), $A107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$A107=IMPORTRANGE(""https://docs.google.com/spreadsheets/d/1BJSV3WBYJGRhQ6zExamkszQ5VutGIcaQqmbD9ZTVXMQ/edit#gid=1251630045"",""articles_with_PRISMA_reasons!B2:B2113"")))-1)"),"Mank")</f>
        <v>Mank</v>
      </c>
      <c r="C107" s="6">
        <f>IFERROR(__xludf.DUMMYFUNCTION("FILTER(IMPORTRANGE(""https://docs.google.com/spreadsheets/d/1BJSV3WBYJGRhQ6zExamkszQ5VutGIcaQqmbD9ZTVXMQ/edit#gid=1251630045"",""articles_with_PRISMA_reasons!C2:C2113""), $A107=IMPORTRANGE(""https://docs.google.com/spreadsheets/d/1BJSV3WBYJGRhQ6zExamkszQ5"&amp;"VutGIcaQqmbD9ZTVXMQ/edit#gid=1251630045"",""articles_with_PRISMA_reasons!B2:B2113""))"),1981.0)</f>
        <v>1981</v>
      </c>
      <c r="D107" s="5" t="str">
        <f>IFERROR(__xludf.DUMMYFUNCTION("IFS(AND(
FILTER(IMPORTRANGE(""https://docs.google.com/spreadsheets/d/1BJSV3WBYJGRhQ6zExamkszQ5VutGIcaQqmbD9ZTVXMQ/edit#gid=1251630045"",""articles_with_PRISMA_reasons!Y2:Y2113""), $A107=IMPORTRANGE(""https://docs.google.com/spreadsheets/d/1BJSV3WBYJGRhQ6z"&amp;"ExamkszQ5VutGIcaQqmbD9ZTVXMQ/edit#gid=1251630045"",""articles_with_PRISMA_reasons!B2:B2113""))&gt;=2,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$A107=IMPORTRANGE(""https://docs.google.com/spreadsheets/d/1BJSV3WBYJGRhQ6zExamkszQ5VutGIcaQqmbD9ZTVXMQ/edit#gid=1251630045"",""articles_with_PRISMA_reasons!B2:B2113""))&lt;2),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$A107=IMPORTRANGE(""https://docs.google.com/spreadsheets/d/1BJSV3WBYJGRhQ6zExamkszQ5VutGIcaQqmbD9ZTVXMQ/edit#gid=1251630045"",""arti"&amp;"cles_with_PRISMA_reasons!B2:B2113""))&lt;2,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$A107=IMPORTRANGE(""https://docs.google.com"&amp;"/spreadsheets/d/1BJSV3WBYJGRhQ6zExamkszQ5VutGIcaQqmbD9ZTVXMQ/edit#gid=1251630045"",""articles_with_PRISMA_reasons!B2:B2113""))&gt;=2),
""Exclude""
)"),"Exclude")</f>
        <v>Exclude</v>
      </c>
      <c r="E107" s="5" t="str">
        <f>IFERROR(__xludf.DUMMYFUNCTION("IFS(
D107=""Exclude"",""Exclude"",
AND(
FILTER(IMPORTRANGE(""https://docs.google.com/spreadsheets/d/1qpEmbGH0JjaJbUdp21-y2cPbobDbMjr09BbtdKROZWc/edit#gid=1444865654"",""articles_with_PRISMA_reasons!W2:W2113""), $A107=IMPORTRANGE(""https://docs.google.com/"&amp;"spreadsheets/d/1qpEmbGH0JjaJbUdp21-y2cPbobDbMjr09BbtdKROZWc/edit#gid=1444865654"",""articles_with_PRISMA_reasons!B2:B2113""))&gt;=2,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$A107=IMPORTRANGE(""https://docs.google.com/spreadsheets/d/1qpEmbGH0JjaJbUdp21-y2cPbobDbMjr09BbtdKROZWc/edit#gid=1444865654"",""articles_with_PRISMA_reasons!B2:B2113""))&lt;2),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$A107=IMPORTRANGE(""https://docs.google.com/spreadsheets/d/1qpEmbGH0JjaJbUdp21-y2cPbobDbMjr09BbtdKRO"&amp;"ZWc/edit#gid=1444865654"",""articles_with_PRISMA_reasons!B2:B2113""))&lt;2,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$A107=IMPOR"&amp;"TRANGE(""https://docs.google.com/spreadsheets/d/1qpEmbGH0JjaJbUdp21-y2cPbobDbMjr09BbtdKROZWc/edit#gid=1444865654"",""articles_with_PRISMA_reasons!B2:B2113""))&gt;=2),
""Exclude""
)"),"Exclude")</f>
        <v>Exclude</v>
      </c>
      <c r="F107" s="5" t="str">
        <f>IFERROR(__xludf.DUMMYFUNCTION("IFS(
E107=""Exclude"",""Exclude"",
AND(
COUNTIF(
IMPORTRANGE(""https://docs.google.com/spreadsheets/d/1kGrh75X1cNR1D7_FcY9zMnHP8iPO4M5RCRjy6nZY0TY/edit#gid=0"",""Table 1: Study characteristics!B4:B171""),A107)&gt;0,
COUNTIF(Studies!$A$2:$A$85,FILTER(IMPORTRA"&amp;"NGE(""https://docs.google.com/spreadsheets/d/1kGrh75X1cNR1D7_FcY9zMnHP8iPO4M5RCRjy6nZY0TY/edit#gid=0"",""Table 1: Study characteristics!A4:A171""), $A107=IMPORTRANGE(""https://docs.google.com/spreadsheets/d/1kGrh75X1cNR1D7_FcY9zMnHP8iPO4M5RCRjy6nZY0TY/edi"&amp;"t#gid=0"",""Table 1: Study characteristics!B4:B171"")))&gt;0
),
""Include""
)"),"Exclude")</f>
        <v>Exclude</v>
      </c>
      <c r="G107" s="5" t="str">
        <f>IFERROR(__xludf.DUMMYFUNCTION("IFS(
D107=""Exclude"",
FILTER(IMPORTRANGE(""https://docs.google.com/spreadsheets/d/1BJSV3WBYJGRhQ6zExamkszQ5VutGIcaQqmbD9ZTVXMQ/edit#gid=1251630045"",""articles_with_PRISMA_reasons!AB2:AB2113""), $A107=IMPORTRANGE(""https://docs.google.com/spreadsheets/d/"&amp;"1BJSV3WBYJGRhQ6zExamkszQ5VutGIcaQqmbD9ZTVXMQ/edit#gid=1251630045"",""articles_with_PRISMA_reasons!B2:B2113"")),
E107=""Exclude"",
FILTER(IMPORTRANGE(""https://docs.google.com/spreadsheets/d/1qpEmbGH0JjaJbUdp21-y2cPbobDbMjr09BbtdKROZWc/edit#gid=1444865654"&amp;""",""articles_with_PRISMA_reasons!Z2:Z2113""), $A107=IMPORTRANGE(""https://docs.google.com/spreadsheets/d/1qpEmbGH0JjaJbUdp21-y2cPbobDbMjr09BbtdKROZWc/edit#gid=1444865654"",""articles_with_PRISMA_reasons!B2:B2113"")),F107
=""Include"",FILTER(IMPORTRANGE("&amp;"""https://docs.google.com/spreadsheets/d/1kGrh75X1cNR1D7_FcY9zMnHP8iPO4M5RCRjy6nZY0TY/edit#gid=0"",""Table 1: Study characteristics!A4:A171""), $A107=IMPORTRANGE(""https://docs.google.com/spreadsheets/d/1kGrh75X1cNR1D7_FcY9zMnHP8iPO4M5RCRjy6nZY0TY/edit#gi"&amp;"d=0"",""Table 1: Study characteristics!B4:B171""))
)"),"wrong population")</f>
        <v>wrong population</v>
      </c>
    </row>
    <row r="108">
      <c r="A108" s="4" t="str">
        <f>IFERROR(__xludf.DUMMYFUNCTION("""COMPUTED_VALUE"""),"[Results of cerebral sonography in children with myelomeningoceles]")</f>
        <v>[Results of cerebral sonography in children with myelomeningoceles]</v>
      </c>
      <c r="B108" s="5" t="str">
        <f>IFERROR(__xludf.DUMMYFUNCTION("LEFT(FILTER(IMPORTRANGE(""https://docs.google.com/spreadsheets/d/1BJSV3WBYJGRhQ6zExamkszQ5VutGIcaQqmbD9ZTVXMQ/edit#gid=1251630045"",""articles_with_PRISMA_reasons!K2:K2113""), $A108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$A108=IMPORTRANGE(""https://docs.google.com/spreadsheets/d/1BJSV3WBYJGRhQ6zExamkszQ5VutGIcaQqmbD9ZTVXMQ/edit#gid=1251630045"",""articles_with_PRISMA_reasons!B2:B2113"")))-1)"),"Hormann")</f>
        <v>Hormann</v>
      </c>
      <c r="C108" s="6">
        <f>IFERROR(__xludf.DUMMYFUNCTION("FILTER(IMPORTRANGE(""https://docs.google.com/spreadsheets/d/1BJSV3WBYJGRhQ6zExamkszQ5VutGIcaQqmbD9ZTVXMQ/edit#gid=1251630045"",""articles_with_PRISMA_reasons!C2:C2113""), $A108=IMPORTRANGE(""https://docs.google.com/spreadsheets/d/1BJSV3WBYJGRhQ6zExamkszQ5"&amp;"VutGIcaQqmbD9ZTVXMQ/edit#gid=1251630045"",""articles_with_PRISMA_reasons!B2:B2113""))"),1986.0)</f>
        <v>1986</v>
      </c>
      <c r="D108" s="5" t="str">
        <f>IFERROR(__xludf.DUMMYFUNCTION("IFS(AND(
FILTER(IMPORTRANGE(""https://docs.google.com/spreadsheets/d/1BJSV3WBYJGRhQ6zExamkszQ5VutGIcaQqmbD9ZTVXMQ/edit#gid=1251630045"",""articles_with_PRISMA_reasons!Y2:Y2113""), $A108=IMPORTRANGE(""https://docs.google.com/spreadsheets/d/1BJSV3WBYJGRhQ6z"&amp;"ExamkszQ5VutGIcaQqmbD9ZTVXMQ/edit#gid=1251630045"",""articles_with_PRISMA_reasons!B2:B2113""))&gt;=2,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$A108=IMPORTRANGE(""https://docs.google.com/spreadsheets/d/1BJSV3WBYJGRhQ6zExamkszQ5VutGIcaQqmbD9ZTVXMQ/edit#gid=1251630045"",""articles_with_PRISMA_reasons!B2:B2113""))&lt;2),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$A108=IMPORTRANGE(""https://docs.google.com/spreadsheets/d/1BJSV3WBYJGRhQ6zExamkszQ5VutGIcaQqmbD9ZTVXMQ/edit#gid=1251630045"",""arti"&amp;"cles_with_PRISMA_reasons!B2:B2113""))&lt;2,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$A108=IMPORTRANGE(""https://docs.google.com"&amp;"/spreadsheets/d/1BJSV3WBYJGRhQ6zExamkszQ5VutGIcaQqmbD9ZTVXMQ/edit#gid=1251630045"",""articles_with_PRISMA_reasons!B2:B2113""))&gt;=2),
""Exclude""
)"),"Include")</f>
        <v>Include</v>
      </c>
      <c r="E108" s="5" t="str">
        <f>IFERROR(__xludf.DUMMYFUNCTION("IFS(
D108=""Exclude"",""Exclude"",
AND(
FILTER(IMPORTRANGE(""https://docs.google.com/spreadsheets/d/1qpEmbGH0JjaJbUdp21-y2cPbobDbMjr09BbtdKROZWc/edit#gid=1444865654"",""articles_with_PRISMA_reasons!W2:W2113""), $A108=IMPORTRANGE(""https://docs.google.com/"&amp;"spreadsheets/d/1qpEmbGH0JjaJbUdp21-y2cPbobDbMjr09BbtdKROZWc/edit#gid=1444865654"",""articles_with_PRISMA_reasons!B2:B2113""))&gt;=2,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$A108=IMPORTRANGE(""https://docs.google.com/spreadsheets/d/1qpEmbGH0JjaJbUdp21-y2cPbobDbMjr09BbtdKROZWc/edit#gid=1444865654"",""articles_with_PRISMA_reasons!B2:B2113""))&lt;2),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$A108=IMPORTRANGE(""https://docs.google.com/spreadsheets/d/1qpEmbGH0JjaJbUdp21-y2cPbobDbMjr09BbtdKRO"&amp;"ZWc/edit#gid=1444865654"",""articles_with_PRISMA_reasons!B2:B2113""))&lt;2,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$A108=IMPOR"&amp;"TRANGE(""https://docs.google.com/spreadsheets/d/1qpEmbGH0JjaJbUdp21-y2cPbobDbMjr09BbtdKROZWc/edit#gid=1444865654"",""articles_with_PRISMA_reasons!B2:B2113""))&gt;=2),
""Exclude""
)"),"Exclude")</f>
        <v>Exclude</v>
      </c>
      <c r="F108" s="5" t="str">
        <f>IFERROR(__xludf.DUMMYFUNCTION("IFS(
E108=""Exclude"",""Exclude"",
AND(
COUNTIF(
IMPORTRANGE(""https://docs.google.com/spreadsheets/d/1kGrh75X1cNR1D7_FcY9zMnHP8iPO4M5RCRjy6nZY0TY/edit#gid=0"",""Table 1: Study characteristics!B4:B171""),A108)&gt;0,
COUNTIF(Studies!$A$2:$A$85,FILTER(IMPORTRA"&amp;"NGE(""https://docs.google.com/spreadsheets/d/1kGrh75X1cNR1D7_FcY9zMnHP8iPO4M5RCRjy6nZY0TY/edit#gid=0"",""Table 1: Study characteristics!A4:A171""), $A108=IMPORTRANGE(""https://docs.google.com/spreadsheets/d/1kGrh75X1cNR1D7_FcY9zMnHP8iPO4M5RCRjy6nZY0TY/edi"&amp;"t#gid=0"",""Table 1: Study characteristics!B4:B171"")))&gt;0
),
""Include""
)"),"Exclude")</f>
        <v>Exclude</v>
      </c>
      <c r="G108" s="5" t="str">
        <f>IFERROR(__xludf.DUMMYFUNCTION("IFS(
D108=""Exclude"",
FILTER(IMPORTRANGE(""https://docs.google.com/spreadsheets/d/1BJSV3WBYJGRhQ6zExamkszQ5VutGIcaQqmbD9ZTVXMQ/edit#gid=1251630045"",""articles_with_PRISMA_reasons!AB2:AB2113""), $A108=IMPORTRANGE(""https://docs.google.com/spreadsheets/d/"&amp;"1BJSV3WBYJGRhQ6zExamkszQ5VutGIcaQqmbD9ZTVXMQ/edit#gid=1251630045"",""articles_with_PRISMA_reasons!B2:B2113"")),
E108=""Exclude"",
FILTER(IMPORTRANGE(""https://docs.google.com/spreadsheets/d/1qpEmbGH0JjaJbUdp21-y2cPbobDbMjr09BbtdKROZWc/edit#gid=1444865654"&amp;""",""articles_with_PRISMA_reasons!Z2:Z2113""), $A108=IMPORTRANGE(""https://docs.google.com/spreadsheets/d/1qpEmbGH0JjaJbUdp21-y2cPbobDbMjr09BbtdKROZWc/edit#gid=1444865654"",""articles_with_PRISMA_reasons!B2:B2113"")),F108
=""Include"",FILTER(IMPORTRANGE("&amp;"""https://docs.google.com/spreadsheets/d/1kGrh75X1cNR1D7_FcY9zMnHP8iPO4M5RCRjy6nZY0TY/edit#gid=0"",""Table 1: Study characteristics!A4:A171""), $A108=IMPORTRANGE(""https://docs.google.com/spreadsheets/d/1kGrh75X1cNR1D7_FcY9zMnHP8iPO4M5RCRjy6nZY0TY/edit#gi"&amp;"d=0"",""Table 1: Study characteristics!B4:B171""))
)"),"no full text")</f>
        <v>no full text</v>
      </c>
    </row>
    <row r="109">
      <c r="A109" s="4" t="str">
        <f>IFERROR(__xludf.DUMMYFUNCTION("""COMPUTED_VALUE"""),"[Role of echoencephalography in myelomeningocele]")</f>
        <v>[Role of echoencephalography in myelomeningocele]</v>
      </c>
      <c r="B109" s="5" t="str">
        <f>IFERROR(__xludf.DUMMYFUNCTION("LEFT(FILTER(IMPORTRANGE(""https://docs.google.com/spreadsheets/d/1BJSV3WBYJGRhQ6zExamkszQ5VutGIcaQqmbD9ZTVXMQ/edit#gid=1251630045"",""articles_with_PRISMA_reasons!K2:K2113""), $A109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$A109=IMPORTRANGE(""https://docs.google.com/spreadsheets/d/1BJSV3WBYJGRhQ6zExamkszQ5VutGIcaQqmbD9ZTVXMQ/edit#gid=1251630045"",""articles_with_PRISMA_reasons!B2:B2113"")))-1)"),"Dumas")</f>
        <v>Dumas</v>
      </c>
      <c r="C109" s="6">
        <f>IFERROR(__xludf.DUMMYFUNCTION("FILTER(IMPORTRANGE(""https://docs.google.com/spreadsheets/d/1BJSV3WBYJGRhQ6zExamkszQ5VutGIcaQqmbD9ZTVXMQ/edit#gid=1251630045"",""articles_with_PRISMA_reasons!C2:C2113""), $A109=IMPORTRANGE(""https://docs.google.com/spreadsheets/d/1BJSV3WBYJGRhQ6zExamkszQ5"&amp;"VutGIcaQqmbD9ZTVXMQ/edit#gid=1251630045"",""articles_with_PRISMA_reasons!B2:B2113""))"),1992.0)</f>
        <v>1992</v>
      </c>
      <c r="D109" s="5" t="str">
        <f>IFERROR(__xludf.DUMMYFUNCTION("IFS(AND(
FILTER(IMPORTRANGE(""https://docs.google.com/spreadsheets/d/1BJSV3WBYJGRhQ6zExamkszQ5VutGIcaQqmbD9ZTVXMQ/edit#gid=1251630045"",""articles_with_PRISMA_reasons!Y2:Y2113""), $A109=IMPORTRANGE(""https://docs.google.com/spreadsheets/d/1BJSV3WBYJGRhQ6z"&amp;"ExamkszQ5VutGIcaQqmbD9ZTVXMQ/edit#gid=1251630045"",""articles_with_PRISMA_reasons!B2:B2113""))&gt;=2,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$A109=IMPORTRANGE(""https://docs.google.com/spreadsheets/d/1BJSV3WBYJGRhQ6zExamkszQ5VutGIcaQqmbD9ZTVXMQ/edit#gid=1251630045"",""articles_with_PRISMA_reasons!B2:B2113""))&lt;2),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$A109=IMPORTRANGE(""https://docs.google.com/spreadsheets/d/1BJSV3WBYJGRhQ6zExamkszQ5VutGIcaQqmbD9ZTVXMQ/edit#gid=1251630045"",""arti"&amp;"cles_with_PRISMA_reasons!B2:B2113""))&lt;2,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$A109=IMPORTRANGE(""https://docs.google.com"&amp;"/spreadsheets/d/1BJSV3WBYJGRhQ6zExamkszQ5VutGIcaQqmbD9ZTVXMQ/edit#gid=1251630045"",""articles_with_PRISMA_reasons!B2:B2113""))&gt;=2),
""Exclude""
)"),"Exclude")</f>
        <v>Exclude</v>
      </c>
      <c r="E109" s="5" t="str">
        <f>IFERROR(__xludf.DUMMYFUNCTION("IFS(
D109=""Exclude"",""Exclude"",
AND(
FILTER(IMPORTRANGE(""https://docs.google.com/spreadsheets/d/1qpEmbGH0JjaJbUdp21-y2cPbobDbMjr09BbtdKROZWc/edit#gid=1444865654"",""articles_with_PRISMA_reasons!W2:W2113""), $A109=IMPORTRANGE(""https://docs.google.com/"&amp;"spreadsheets/d/1qpEmbGH0JjaJbUdp21-y2cPbobDbMjr09BbtdKROZWc/edit#gid=1444865654"",""articles_with_PRISMA_reasons!B2:B2113""))&gt;=2,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$A109=IMPORTRANGE(""https://docs.google.com/spreadsheets/d/1qpEmbGH0JjaJbUdp21-y2cPbobDbMjr09BbtdKROZWc/edit#gid=1444865654"",""articles_with_PRISMA_reasons!B2:B2113""))&lt;2),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$A109=IMPORTRANGE(""https://docs.google.com/spreadsheets/d/1qpEmbGH0JjaJbUdp21-y2cPbobDbMjr09BbtdKRO"&amp;"ZWc/edit#gid=1444865654"",""articles_with_PRISMA_reasons!B2:B2113""))&lt;2,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$A109=IMPOR"&amp;"TRANGE(""https://docs.google.com/spreadsheets/d/1qpEmbGH0JjaJbUdp21-y2cPbobDbMjr09BbtdKROZWc/edit#gid=1444865654"",""articles_with_PRISMA_reasons!B2:B2113""))&gt;=2),
""Exclude""
)"),"Exclude")</f>
        <v>Exclude</v>
      </c>
      <c r="F109" s="5" t="str">
        <f>IFERROR(__xludf.DUMMYFUNCTION("IFS(
E109=""Exclude"",""Exclude"",
AND(
COUNTIF(
IMPORTRANGE(""https://docs.google.com/spreadsheets/d/1kGrh75X1cNR1D7_FcY9zMnHP8iPO4M5RCRjy6nZY0TY/edit#gid=0"",""Table 1: Study characteristics!B4:B171""),A109)&gt;0,
COUNTIF(Studies!$A$2:$A$85,FILTER(IMPORTRA"&amp;"NGE(""https://docs.google.com/spreadsheets/d/1kGrh75X1cNR1D7_FcY9zMnHP8iPO4M5RCRjy6nZY0TY/edit#gid=0"",""Table 1: Study characteristics!A4:A171""), $A109=IMPORTRANGE(""https://docs.google.com/spreadsheets/d/1kGrh75X1cNR1D7_FcY9zMnHP8iPO4M5RCRjy6nZY0TY/edi"&amp;"t#gid=0"",""Table 1: Study characteristics!B4:B171"")))&gt;0
),
""Include""
)"),"Exclude")</f>
        <v>Exclude</v>
      </c>
      <c r="G109" s="5" t="str">
        <f>IFERROR(__xludf.DUMMYFUNCTION("IFS(
D109=""Exclude"",
FILTER(IMPORTRANGE(""https://docs.google.com/spreadsheets/d/1BJSV3WBYJGRhQ6zExamkszQ5VutGIcaQqmbD9ZTVXMQ/edit#gid=1251630045"",""articles_with_PRISMA_reasons!AB2:AB2113""), $A109=IMPORTRANGE(""https://docs.google.com/spreadsheets/d/"&amp;"1BJSV3WBYJGRhQ6zExamkszQ5VutGIcaQqmbD9ZTVXMQ/edit#gid=1251630045"",""articles_with_PRISMA_reasons!B2:B2113"")),
E109=""Exclude"",
FILTER(IMPORTRANGE(""https://docs.google.com/spreadsheets/d/1qpEmbGH0JjaJbUdp21-y2cPbobDbMjr09BbtdKROZWc/edit#gid=1444865654"&amp;""",""articles_with_PRISMA_reasons!Z2:Z2113""), $A109=IMPORTRANGE(""https://docs.google.com/spreadsheets/d/1qpEmbGH0JjaJbUdp21-y2cPbobDbMjr09BbtdKROZWc/edit#gid=1444865654"",""articles_with_PRISMA_reasons!B2:B2113"")),F109
=""Include"",FILTER(IMPORTRANGE("&amp;"""https://docs.google.com/spreadsheets/d/1kGrh75X1cNR1D7_FcY9zMnHP8iPO4M5RCRjy6nZY0TY/edit#gid=0"",""Table 1: Study characteristics!A4:A171""), $A109=IMPORTRANGE(""https://docs.google.com/spreadsheets/d/1kGrh75X1cNR1D7_FcY9zMnHP8iPO4M5RCRjy6nZY0TY/edit#gi"&amp;"d=0"",""Table 1: Study characteristics!B4:B171""))
)"),"wrong population")</f>
        <v>wrong population</v>
      </c>
    </row>
    <row r="110">
      <c r="A110" s="4" t="str">
        <f>IFERROR(__xludf.DUMMYFUNCTION("""COMPUTED_VALUE"""),"[Sonographic characteristics of the Arnold-Chiari syndrome and hydrocephalus in children with meningomyelocele]")</f>
        <v>[Sonographic characteristics of the Arnold-Chiari syndrome and hydrocephalus in children with meningomyelocele]</v>
      </c>
      <c r="B110" s="5" t="str">
        <f>IFERROR(__xludf.DUMMYFUNCTION("LEFT(FILTER(IMPORTRANGE(""https://docs.google.com/spreadsheets/d/1BJSV3WBYJGRhQ6zExamkszQ5VutGIcaQqmbD9ZTVXMQ/edit#gid=1251630045"",""articles_with_PRISMA_reasons!K2:K2113""), $A110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$A110=IMPORTRANGE(""https://docs.google.com/spreadsheets/d/1BJSV3WBYJGRhQ6zExamkszQ5VutGIcaQqmbD9ZTVXMQ/edit#gid=1251630045"",""articles_with_PRISMA_reasons!B2:B2113"")))-1)"),"Deeg")</f>
        <v>Deeg</v>
      </c>
      <c r="C110" s="6">
        <f>IFERROR(__xludf.DUMMYFUNCTION("FILTER(IMPORTRANGE(""https://docs.google.com/spreadsheets/d/1BJSV3WBYJGRhQ6zExamkszQ5VutGIcaQqmbD9ZTVXMQ/edit#gid=1251630045"",""articles_with_PRISMA_reasons!C2:C2113""), $A110=IMPORTRANGE(""https://docs.google.com/spreadsheets/d/1BJSV3WBYJGRhQ6zExamkszQ5"&amp;"VutGIcaQqmbD9ZTVXMQ/edit#gid=1251630045"",""articles_with_PRISMA_reasons!B2:B2113""))"),1984.0)</f>
        <v>1984</v>
      </c>
      <c r="D110" s="5" t="str">
        <f>IFERROR(__xludf.DUMMYFUNCTION("IFS(AND(
FILTER(IMPORTRANGE(""https://docs.google.com/spreadsheets/d/1BJSV3WBYJGRhQ6zExamkszQ5VutGIcaQqmbD9ZTVXMQ/edit#gid=1251630045"",""articles_with_PRISMA_reasons!Y2:Y2113""), $A110=IMPORTRANGE(""https://docs.google.com/spreadsheets/d/1BJSV3WBYJGRhQ6z"&amp;"ExamkszQ5VutGIcaQqmbD9ZTVXMQ/edit#gid=1251630045"",""articles_with_PRISMA_reasons!B2:B2113""))&gt;=2,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$A110=IMPORTRANGE(""https://docs.google.com/spreadsheets/d/1BJSV3WBYJGRhQ6zExamkszQ5VutGIcaQqmbD9ZTVXMQ/edit#gid=1251630045"",""articles_with_PRISMA_reasons!B2:B2113""))&lt;2),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$A110=IMPORTRANGE(""https://docs.google.com/spreadsheets/d/1BJSV3WBYJGRhQ6zExamkszQ5VutGIcaQqmbD9ZTVXMQ/edit#gid=1251630045"",""arti"&amp;"cles_with_PRISMA_reasons!B2:B2113""))&lt;2,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$A110=IMPORTRANGE(""https://docs.google.com"&amp;"/spreadsheets/d/1BJSV3WBYJGRhQ6zExamkszQ5VutGIcaQqmbD9ZTVXMQ/edit#gid=1251630045"",""articles_with_PRISMA_reasons!B2:B2113""))&gt;=2),
""Exclude""
)"),"Include")</f>
        <v>Include</v>
      </c>
      <c r="E110" s="5" t="str">
        <f>IFERROR(__xludf.DUMMYFUNCTION("IFS(
D110=""Exclude"",""Exclude"",
AND(
FILTER(IMPORTRANGE(""https://docs.google.com/spreadsheets/d/1qpEmbGH0JjaJbUdp21-y2cPbobDbMjr09BbtdKROZWc/edit#gid=1444865654"",""articles_with_PRISMA_reasons!W2:W2113""), $A110=IMPORTRANGE(""https://docs.google.com/"&amp;"spreadsheets/d/1qpEmbGH0JjaJbUdp21-y2cPbobDbMjr09BbtdKROZWc/edit#gid=1444865654"",""articles_with_PRISMA_reasons!B2:B2113""))&gt;=2,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$A110=IMPORTRANGE(""https://docs.google.com/spreadsheets/d/1qpEmbGH0JjaJbUdp21-y2cPbobDbMjr09BbtdKROZWc/edit#gid=1444865654"",""articles_with_PRISMA_reasons!B2:B2113""))&lt;2),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$A110=IMPORTRANGE(""https://docs.google.com/spreadsheets/d/1qpEmbGH0JjaJbUdp21-y2cPbobDbMjr09BbtdKRO"&amp;"ZWc/edit#gid=1444865654"",""articles_with_PRISMA_reasons!B2:B2113""))&lt;2,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$A110=IMPOR"&amp;"TRANGE(""https://docs.google.com/spreadsheets/d/1qpEmbGH0JjaJbUdp21-y2cPbobDbMjr09BbtdKROZWc/edit#gid=1444865654"",""articles_with_PRISMA_reasons!B2:B2113""))&gt;=2),
""Exclude""
)"),"Exclude")</f>
        <v>Exclude</v>
      </c>
      <c r="F110" s="5" t="str">
        <f>IFERROR(__xludf.DUMMYFUNCTION("IFS(
E110=""Exclude"",""Exclude"",
AND(
COUNTIF(
IMPORTRANGE(""https://docs.google.com/spreadsheets/d/1kGrh75X1cNR1D7_FcY9zMnHP8iPO4M5RCRjy6nZY0TY/edit#gid=0"",""Table 1: Study characteristics!B4:B171""),A110)&gt;0,
COUNTIF(Studies!$A$2:$A$85,FILTER(IMPORTRA"&amp;"NGE(""https://docs.google.com/spreadsheets/d/1kGrh75X1cNR1D7_FcY9zMnHP8iPO4M5RCRjy6nZY0TY/edit#gid=0"",""Table 1: Study characteristics!A4:A171""), $A110=IMPORTRANGE(""https://docs.google.com/spreadsheets/d/1kGrh75X1cNR1D7_FcY9zMnHP8iPO4M5RCRjy6nZY0TY/edi"&amp;"t#gid=0"",""Table 1: Study characteristics!B4:B171"")))&gt;0
),
""Include""
)"),"Exclude")</f>
        <v>Exclude</v>
      </c>
      <c r="G110" s="5" t="str">
        <f>IFERROR(__xludf.DUMMYFUNCTION("IFS(
D110=""Exclude"",
FILTER(IMPORTRANGE(""https://docs.google.com/spreadsheets/d/1BJSV3WBYJGRhQ6zExamkszQ5VutGIcaQqmbD9ZTVXMQ/edit#gid=1251630045"",""articles_with_PRISMA_reasons!AB2:AB2113""), $A110=IMPORTRANGE(""https://docs.google.com/spreadsheets/d/"&amp;"1BJSV3WBYJGRhQ6zExamkszQ5VutGIcaQqmbD9ZTVXMQ/edit#gid=1251630045"",""articles_with_PRISMA_reasons!B2:B2113"")),
E110=""Exclude"",
FILTER(IMPORTRANGE(""https://docs.google.com/spreadsheets/d/1qpEmbGH0JjaJbUdp21-y2cPbobDbMjr09BbtdKROZWc/edit#gid=1444865654"&amp;""",""articles_with_PRISMA_reasons!Z2:Z2113""), $A110=IMPORTRANGE(""https://docs.google.com/spreadsheets/d/1qpEmbGH0JjaJbUdp21-y2cPbobDbMjr09BbtdKROZWc/edit#gid=1444865654"",""articles_with_PRISMA_reasons!B2:B2113"")),F110
=""Include"",FILTER(IMPORTRANGE("&amp;"""https://docs.google.com/spreadsheets/d/1kGrh75X1cNR1D7_FcY9zMnHP8iPO4M5RCRjy6nZY0TY/edit#gid=0"",""Table 1: Study characteristics!A4:A171""), $A110=IMPORTRANGE(""https://docs.google.com/spreadsheets/d/1kGrh75X1cNR1D7_FcY9zMnHP8iPO4M5RCRjy6nZY0TY/edit#gi"&amp;"d=0"",""Table 1: Study characteristics!B4:B171""))
)"),"Duplicate")</f>
        <v>Duplicate</v>
      </c>
    </row>
    <row r="111">
      <c r="A111" s="4" t="str">
        <f>IFERROR(__xludf.DUMMYFUNCTION("""COMPUTED_VALUE"""),"[Sonographic control of the cerebral ventricle system in children with myelodysplasia]")</f>
        <v>[Sonographic control of the cerebral ventricle system in children with myelodysplasia]</v>
      </c>
      <c r="B111" s="5" t="str">
        <f>IFERROR(__xludf.DUMMYFUNCTION("LEFT(FILTER(IMPORTRANGE(""https://docs.google.com/spreadsheets/d/1BJSV3WBYJGRhQ6zExamkszQ5VutGIcaQqmbD9ZTVXMQ/edit#gid=1251630045"",""articles_with_PRISMA_reasons!K2:K2113""), $A111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$A111=IMPORTRANGE(""https://docs.google.com/spreadsheets/d/1BJSV3WBYJGRhQ6zExamkszQ5VutGIcaQqmbD9ZTVXMQ/edit#gid=1251630045"",""articles_with_PRISMA_reasons!B2:B2113"")))-1)"),"Schwalbe")</f>
        <v>Schwalbe</v>
      </c>
      <c r="C111" s="6">
        <f>IFERROR(__xludf.DUMMYFUNCTION("FILTER(IMPORTRANGE(""https://docs.google.com/spreadsheets/d/1BJSV3WBYJGRhQ6zExamkszQ5VutGIcaQqmbD9ZTVXMQ/edit#gid=1251630045"",""articles_with_PRISMA_reasons!C2:C2113""), $A111=IMPORTRANGE(""https://docs.google.com/spreadsheets/d/1BJSV3WBYJGRhQ6zExamkszQ5"&amp;"VutGIcaQqmbD9ZTVXMQ/edit#gid=1251630045"",""articles_with_PRISMA_reasons!B2:B2113""))"),1983.0)</f>
        <v>1983</v>
      </c>
      <c r="D111" s="5" t="str">
        <f>IFERROR(__xludf.DUMMYFUNCTION("IFS(AND(
FILTER(IMPORTRANGE(""https://docs.google.com/spreadsheets/d/1BJSV3WBYJGRhQ6zExamkszQ5VutGIcaQqmbD9ZTVXMQ/edit#gid=1251630045"",""articles_with_PRISMA_reasons!Y2:Y2113""), $A111=IMPORTRANGE(""https://docs.google.com/spreadsheets/d/1BJSV3WBYJGRhQ6z"&amp;"ExamkszQ5VutGIcaQqmbD9ZTVXMQ/edit#gid=1251630045"",""articles_with_PRISMA_reasons!B2:B2113""))&gt;=2,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$A111=IMPORTRANGE(""https://docs.google.com/spreadsheets/d/1BJSV3WBYJGRhQ6zExamkszQ5VutGIcaQqmbD9ZTVXMQ/edit#gid=1251630045"",""articles_with_PRISMA_reasons!B2:B2113""))&lt;2),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$A111=IMPORTRANGE(""https://docs.google.com/spreadsheets/d/1BJSV3WBYJGRhQ6zExamkszQ5VutGIcaQqmbD9ZTVXMQ/edit#gid=1251630045"",""arti"&amp;"cles_with_PRISMA_reasons!B2:B2113""))&lt;2,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$A111=IMPORTRANGE(""https://docs.google.com"&amp;"/spreadsheets/d/1BJSV3WBYJGRhQ6zExamkszQ5VutGIcaQqmbD9ZTVXMQ/edit#gid=1251630045"",""articles_with_PRISMA_reasons!B2:B2113""))&gt;=2),
""Exclude""
)"),"Exclude")</f>
        <v>Exclude</v>
      </c>
      <c r="E111" s="5" t="str">
        <f>IFERROR(__xludf.DUMMYFUNCTION("IFS(
D111=""Exclude"",""Exclude"",
AND(
FILTER(IMPORTRANGE(""https://docs.google.com/spreadsheets/d/1qpEmbGH0JjaJbUdp21-y2cPbobDbMjr09BbtdKROZWc/edit#gid=1444865654"",""articles_with_PRISMA_reasons!W2:W2113""), $A111=IMPORTRANGE(""https://docs.google.com/"&amp;"spreadsheets/d/1qpEmbGH0JjaJbUdp21-y2cPbobDbMjr09BbtdKROZWc/edit#gid=1444865654"",""articles_with_PRISMA_reasons!B2:B2113""))&gt;=2,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$A111=IMPORTRANGE(""https://docs.google.com/spreadsheets/d/1qpEmbGH0JjaJbUdp21-y2cPbobDbMjr09BbtdKROZWc/edit#gid=1444865654"",""articles_with_PRISMA_reasons!B2:B2113""))&lt;2),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$A111=IMPORTRANGE(""https://docs.google.com/spreadsheets/d/1qpEmbGH0JjaJbUdp21-y2cPbobDbMjr09BbtdKRO"&amp;"ZWc/edit#gid=1444865654"",""articles_with_PRISMA_reasons!B2:B2113""))&lt;2,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$A111=IMPOR"&amp;"TRANGE(""https://docs.google.com/spreadsheets/d/1qpEmbGH0JjaJbUdp21-y2cPbobDbMjr09BbtdKROZWc/edit#gid=1444865654"",""articles_with_PRISMA_reasons!B2:B2113""))&gt;=2),
""Exclude""
)"),"Exclude")</f>
        <v>Exclude</v>
      </c>
      <c r="F111" s="5" t="str">
        <f>IFERROR(__xludf.DUMMYFUNCTION("IFS(
E111=""Exclude"",""Exclude"",
AND(
COUNTIF(
IMPORTRANGE(""https://docs.google.com/spreadsheets/d/1kGrh75X1cNR1D7_FcY9zMnHP8iPO4M5RCRjy6nZY0TY/edit#gid=0"",""Table 1: Study characteristics!B4:B171""),A111)&gt;0,
COUNTIF(Studies!$A$2:$A$85,FILTER(IMPORTRA"&amp;"NGE(""https://docs.google.com/spreadsheets/d/1kGrh75X1cNR1D7_FcY9zMnHP8iPO4M5RCRjy6nZY0TY/edit#gid=0"",""Table 1: Study characteristics!A4:A171""), $A111=IMPORTRANGE(""https://docs.google.com/spreadsheets/d/1kGrh75X1cNR1D7_FcY9zMnHP8iPO4M5RCRjy6nZY0TY/edi"&amp;"t#gid=0"",""Table 1: Study characteristics!B4:B171"")))&gt;0
),
""Include""
)"),"Exclude")</f>
        <v>Exclude</v>
      </c>
      <c r="G111" s="5" t="str">
        <f>IFERROR(__xludf.DUMMYFUNCTION("IFS(
D111=""Exclude"",
FILTER(IMPORTRANGE(""https://docs.google.com/spreadsheets/d/1BJSV3WBYJGRhQ6zExamkszQ5VutGIcaQqmbD9ZTVXMQ/edit#gid=1251630045"",""articles_with_PRISMA_reasons!AB2:AB2113""), $A111=IMPORTRANGE(""https://docs.google.com/spreadsheets/d/"&amp;"1BJSV3WBYJGRhQ6zExamkszQ5VutGIcaQqmbD9ZTVXMQ/edit#gid=1251630045"",""articles_with_PRISMA_reasons!B2:B2113"")),
E111=""Exclude"",
FILTER(IMPORTRANGE(""https://docs.google.com/spreadsheets/d/1qpEmbGH0JjaJbUdp21-y2cPbobDbMjr09BbtdKROZWc/edit#gid=1444865654"&amp;""",""articles_with_PRISMA_reasons!Z2:Z2113""), $A111=IMPORTRANGE(""https://docs.google.com/spreadsheets/d/1qpEmbGH0JjaJbUdp21-y2cPbobDbMjr09BbtdKROZWc/edit#gid=1444865654"",""articles_with_PRISMA_reasons!B2:B2113"")),F111
=""Include"",FILTER(IMPORTRANGE("&amp;"""https://docs.google.com/spreadsheets/d/1kGrh75X1cNR1D7_FcY9zMnHP8iPO4M5RCRjy6nZY0TY/edit#gid=0"",""Table 1: Study characteristics!A4:A171""), $A111=IMPORTRANGE(""https://docs.google.com/spreadsheets/d/1kGrh75X1cNR1D7_FcY9zMnHP8iPO4M5RCRjy6nZY0TY/edit#gi"&amp;"d=0"",""Table 1: Study characteristics!B4:B171""))
)"),"wrong population")</f>
        <v>wrong population</v>
      </c>
    </row>
    <row r="112">
      <c r="A112" s="4" t="str">
        <f>IFERROR(__xludf.DUMMYFUNCTION("""COMPUTED_VALUE"""),"[Sonographic diagnosis of the central nervous system in the neonate and infant--pathomorphology, indications and value]")</f>
        <v>[Sonographic diagnosis of the central nervous system in the neonate and infant--pathomorphology, indications and value]</v>
      </c>
      <c r="B112" s="5" t="str">
        <f>IFERROR(__xludf.DUMMYFUNCTION("LEFT(FILTER(IMPORTRANGE(""https://docs.google.com/spreadsheets/d/1BJSV3WBYJGRhQ6zExamkszQ5VutGIcaQqmbD9ZTVXMQ/edit#gid=1251630045"",""articles_with_PRISMA_reasons!K2:K2113""), $A112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$A112=IMPORTRANGE(""https://docs.google.com/spreadsheets/d/1BJSV3WBYJGRhQ6zExamkszQ5VutGIcaQqmbD9ZTVXMQ/edit#gid=1251630045"",""articles_with_PRISMA_reasons!B2:B2113"")))-1)"),"Dittrich")</f>
        <v>Dittrich</v>
      </c>
      <c r="C112" s="6">
        <f>IFERROR(__xludf.DUMMYFUNCTION("FILTER(IMPORTRANGE(""https://docs.google.com/spreadsheets/d/1BJSV3WBYJGRhQ6zExamkszQ5VutGIcaQqmbD9ZTVXMQ/edit#gid=1251630045"",""articles_with_PRISMA_reasons!C2:C2113""), $A112=IMPORTRANGE(""https://docs.google.com/spreadsheets/d/1BJSV3WBYJGRhQ6zExamkszQ5"&amp;"VutGIcaQqmbD9ZTVXMQ/edit#gid=1251630045"",""articles_with_PRISMA_reasons!B2:B2113""))"),1983.0)</f>
        <v>1983</v>
      </c>
      <c r="D112" s="5" t="str">
        <f>IFERROR(__xludf.DUMMYFUNCTION("IFS(AND(
FILTER(IMPORTRANGE(""https://docs.google.com/spreadsheets/d/1BJSV3WBYJGRhQ6zExamkszQ5VutGIcaQqmbD9ZTVXMQ/edit#gid=1251630045"",""articles_with_PRISMA_reasons!Y2:Y2113""), $A112=IMPORTRANGE(""https://docs.google.com/spreadsheets/d/1BJSV3WBYJGRhQ6z"&amp;"ExamkszQ5VutGIcaQqmbD9ZTVXMQ/edit#gid=1251630045"",""articles_with_PRISMA_reasons!B2:B2113""))&gt;=2,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$A112=IMPORTRANGE(""https://docs.google.com/spreadsheets/d/1BJSV3WBYJGRhQ6zExamkszQ5VutGIcaQqmbD9ZTVXMQ/edit#gid=1251630045"",""articles_with_PRISMA_reasons!B2:B2113""))&lt;2),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$A112=IMPORTRANGE(""https://docs.google.com/spreadsheets/d/1BJSV3WBYJGRhQ6zExamkszQ5VutGIcaQqmbD9ZTVXMQ/edit#gid=1251630045"",""arti"&amp;"cles_with_PRISMA_reasons!B2:B2113""))&lt;2,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$A112=IMPORTRANGE(""https://docs.google.com"&amp;"/spreadsheets/d/1BJSV3WBYJGRhQ6zExamkszQ5VutGIcaQqmbD9ZTVXMQ/edit#gid=1251630045"",""articles_with_PRISMA_reasons!B2:B2113""))&gt;=2),
""Exclude""
)"),"Exclude")</f>
        <v>Exclude</v>
      </c>
      <c r="E112" s="5" t="str">
        <f>IFERROR(__xludf.DUMMYFUNCTION("IFS(
D112=""Exclude"",""Exclude"",
AND(
FILTER(IMPORTRANGE(""https://docs.google.com/spreadsheets/d/1qpEmbGH0JjaJbUdp21-y2cPbobDbMjr09BbtdKROZWc/edit#gid=1444865654"",""articles_with_PRISMA_reasons!W2:W2113""), $A112=IMPORTRANGE(""https://docs.google.com/"&amp;"spreadsheets/d/1qpEmbGH0JjaJbUdp21-y2cPbobDbMjr09BbtdKROZWc/edit#gid=1444865654"",""articles_with_PRISMA_reasons!B2:B2113""))&gt;=2,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$A112=IMPORTRANGE(""https://docs.google.com/spreadsheets/d/1qpEmbGH0JjaJbUdp21-y2cPbobDbMjr09BbtdKROZWc/edit#gid=1444865654"",""articles_with_PRISMA_reasons!B2:B2113""))&lt;2),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$A112=IMPORTRANGE(""https://docs.google.com/spreadsheets/d/1qpEmbGH0JjaJbUdp21-y2cPbobDbMjr09BbtdKRO"&amp;"ZWc/edit#gid=1444865654"",""articles_with_PRISMA_reasons!B2:B2113""))&lt;2,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$A112=IMPOR"&amp;"TRANGE(""https://docs.google.com/spreadsheets/d/1qpEmbGH0JjaJbUdp21-y2cPbobDbMjr09BbtdKROZWc/edit#gid=1444865654"",""articles_with_PRISMA_reasons!B2:B2113""))&gt;=2),
""Exclude""
)"),"Exclude")</f>
        <v>Exclude</v>
      </c>
      <c r="F112" s="5" t="str">
        <f>IFERROR(__xludf.DUMMYFUNCTION("IFS(
E112=""Exclude"",""Exclude"",
AND(
COUNTIF(
IMPORTRANGE(""https://docs.google.com/spreadsheets/d/1kGrh75X1cNR1D7_FcY9zMnHP8iPO4M5RCRjy6nZY0TY/edit#gid=0"",""Table 1: Study characteristics!B4:B171""),A112)&gt;0,
COUNTIF(Studies!$A$2:$A$85,FILTER(IMPORTRA"&amp;"NGE(""https://docs.google.com/spreadsheets/d/1kGrh75X1cNR1D7_FcY9zMnHP8iPO4M5RCRjy6nZY0TY/edit#gid=0"",""Table 1: Study characteristics!A4:A171""), $A112=IMPORTRANGE(""https://docs.google.com/spreadsheets/d/1kGrh75X1cNR1D7_FcY9zMnHP8iPO4M5RCRjy6nZY0TY/edi"&amp;"t#gid=0"",""Table 1: Study characteristics!B4:B171"")))&gt;0
),
""Include""
)"),"Exclude")</f>
        <v>Exclude</v>
      </c>
      <c r="G112" s="5" t="str">
        <f>IFERROR(__xludf.DUMMYFUNCTION("IFS(
D112=""Exclude"",
FILTER(IMPORTRANGE(""https://docs.google.com/spreadsheets/d/1BJSV3WBYJGRhQ6zExamkszQ5VutGIcaQqmbD9ZTVXMQ/edit#gid=1251630045"",""articles_with_PRISMA_reasons!AB2:AB2113""), $A112=IMPORTRANGE(""https://docs.google.com/spreadsheets/d/"&amp;"1BJSV3WBYJGRhQ6zExamkszQ5VutGIcaQqmbD9ZTVXMQ/edit#gid=1251630045"",""articles_with_PRISMA_reasons!B2:B2113"")),
E112=""Exclude"",
FILTER(IMPORTRANGE(""https://docs.google.com/spreadsheets/d/1qpEmbGH0JjaJbUdp21-y2cPbobDbMjr09BbtdKROZWc/edit#gid=1444865654"&amp;""",""articles_with_PRISMA_reasons!Z2:Z2113""), $A112=IMPORTRANGE(""https://docs.google.com/spreadsheets/d/1qpEmbGH0JjaJbUdp21-y2cPbobDbMjr09BbtdKROZWc/edit#gid=1444865654"",""articles_with_PRISMA_reasons!B2:B2113"")),F112
=""Include"",FILTER(IMPORTRANGE("&amp;"""https://docs.google.com/spreadsheets/d/1kGrh75X1cNR1D7_FcY9zMnHP8iPO4M5RCRjy6nZY0TY/edit#gid=0"",""Table 1: Study characteristics!A4:A171""), $A112=IMPORTRANGE(""https://docs.google.com/spreadsheets/d/1kGrh75X1cNR1D7_FcY9zMnHP8iPO4M5RCRjy6nZY0TY/edit#gi"&amp;"d=0"",""Table 1: Study characteristics!B4:B171""))
)"),"background article")</f>
        <v>background article</v>
      </c>
    </row>
    <row r="113">
      <c r="A113" s="4" t="str">
        <f>IFERROR(__xludf.DUMMYFUNCTION("""COMPUTED_VALUE"""),"[Spina bifida aperta--myelomeningocele. Hydrocephalus]")</f>
        <v>[Spina bifida aperta--myelomeningocele. Hydrocephalus]</v>
      </c>
      <c r="B113" s="5" t="str">
        <f>IFERROR(__xludf.DUMMYFUNCTION("LEFT(FILTER(IMPORTRANGE(""https://docs.google.com/spreadsheets/d/1BJSV3WBYJGRhQ6zExamkszQ5VutGIcaQqmbD9ZTVXMQ/edit#gid=1251630045"",""articles_with_PRISMA_reasons!K2:K2113""), $A113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$A113=IMPORTRANGE(""https://docs.google.com/spreadsheets/d/1BJSV3WBYJGRhQ6zExamkszQ5VutGIcaQqmbD9ZTVXMQ/edit#gid=1251630045"",""articles_with_PRISMA_reasons!B2:B2113"")))-1)"),"Patet")</f>
        <v>Patet</v>
      </c>
      <c r="C113" s="6">
        <f>IFERROR(__xludf.DUMMYFUNCTION("FILTER(IMPORTRANGE(""https://docs.google.com/spreadsheets/d/1BJSV3WBYJGRhQ6zExamkszQ5VutGIcaQqmbD9ZTVXMQ/edit#gid=1251630045"",""articles_with_PRISMA_reasons!C2:C2113""), $A113=IMPORTRANGE(""https://docs.google.com/spreadsheets/d/1BJSV3WBYJGRhQ6zExamkszQ5"&amp;"VutGIcaQqmbD9ZTVXMQ/edit#gid=1251630045"",""articles_with_PRISMA_reasons!B2:B2113""))"),1988.0)</f>
        <v>1988</v>
      </c>
      <c r="D113" s="5" t="str">
        <f>IFERROR(__xludf.DUMMYFUNCTION("IFS(AND(
FILTER(IMPORTRANGE(""https://docs.google.com/spreadsheets/d/1BJSV3WBYJGRhQ6zExamkszQ5VutGIcaQqmbD9ZTVXMQ/edit#gid=1251630045"",""articles_with_PRISMA_reasons!Y2:Y2113""), $A113=IMPORTRANGE(""https://docs.google.com/spreadsheets/d/1BJSV3WBYJGRhQ6z"&amp;"ExamkszQ5VutGIcaQqmbD9ZTVXMQ/edit#gid=1251630045"",""articles_with_PRISMA_reasons!B2:B2113""))&gt;=2,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$A113=IMPORTRANGE(""https://docs.google.com/spreadsheets/d/1BJSV3WBYJGRhQ6zExamkszQ5VutGIcaQqmbD9ZTVXMQ/edit#gid=1251630045"",""articles_with_PRISMA_reasons!B2:B2113""))&lt;2),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$A113=IMPORTRANGE(""https://docs.google.com/spreadsheets/d/1BJSV3WBYJGRhQ6zExamkszQ5VutGIcaQqmbD9ZTVXMQ/edit#gid=1251630045"",""arti"&amp;"cles_with_PRISMA_reasons!B2:B2113""))&lt;2,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$A113=IMPORTRANGE(""https://docs.google.com"&amp;"/spreadsheets/d/1BJSV3WBYJGRhQ6zExamkszQ5VutGIcaQqmbD9ZTVXMQ/edit#gid=1251630045"",""articles_with_PRISMA_reasons!B2:B2113""))&gt;=2),
""Exclude""
)"),"Exclude")</f>
        <v>Exclude</v>
      </c>
      <c r="E113" s="5" t="str">
        <f>IFERROR(__xludf.DUMMYFUNCTION("IFS(
D113=""Exclude"",""Exclude"",
AND(
FILTER(IMPORTRANGE(""https://docs.google.com/spreadsheets/d/1qpEmbGH0JjaJbUdp21-y2cPbobDbMjr09BbtdKROZWc/edit#gid=1444865654"",""articles_with_PRISMA_reasons!W2:W2113""), $A113=IMPORTRANGE(""https://docs.google.com/"&amp;"spreadsheets/d/1qpEmbGH0JjaJbUdp21-y2cPbobDbMjr09BbtdKROZWc/edit#gid=1444865654"",""articles_with_PRISMA_reasons!B2:B2113""))&gt;=2,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$A113=IMPORTRANGE(""https://docs.google.com/spreadsheets/d/1qpEmbGH0JjaJbUdp21-y2cPbobDbMjr09BbtdKROZWc/edit#gid=1444865654"",""articles_with_PRISMA_reasons!B2:B2113""))&lt;2),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$A113=IMPORTRANGE(""https://docs.google.com/spreadsheets/d/1qpEmbGH0JjaJbUdp21-y2cPbobDbMjr09BbtdKRO"&amp;"ZWc/edit#gid=1444865654"",""articles_with_PRISMA_reasons!B2:B2113""))&lt;2,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$A113=IMPOR"&amp;"TRANGE(""https://docs.google.com/spreadsheets/d/1qpEmbGH0JjaJbUdp21-y2cPbobDbMjr09BbtdKROZWc/edit#gid=1444865654"",""articles_with_PRISMA_reasons!B2:B2113""))&gt;=2),
""Exclude""
)"),"Exclude")</f>
        <v>Exclude</v>
      </c>
      <c r="F113" s="5" t="str">
        <f>IFERROR(__xludf.DUMMYFUNCTION("IFS(
E113=""Exclude"",""Exclude"",
AND(
COUNTIF(
IMPORTRANGE(""https://docs.google.com/spreadsheets/d/1kGrh75X1cNR1D7_FcY9zMnHP8iPO4M5RCRjy6nZY0TY/edit#gid=0"",""Table 1: Study characteristics!B4:B171""),A113)&gt;0,
COUNTIF(Studies!$A$2:$A$85,FILTER(IMPORTRA"&amp;"NGE(""https://docs.google.com/spreadsheets/d/1kGrh75X1cNR1D7_FcY9zMnHP8iPO4M5RCRjy6nZY0TY/edit#gid=0"",""Table 1: Study characteristics!A4:A171""), $A113=IMPORTRANGE(""https://docs.google.com/spreadsheets/d/1kGrh75X1cNR1D7_FcY9zMnHP8iPO4M5RCRjy6nZY0TY/edi"&amp;"t#gid=0"",""Table 1: Study characteristics!B4:B171"")))&gt;0
),
""Include""
)"),"Exclude")</f>
        <v>Exclude</v>
      </c>
      <c r="G113" s="5" t="str">
        <f>IFERROR(__xludf.DUMMYFUNCTION("IFS(
D113=""Exclude"",
FILTER(IMPORTRANGE(""https://docs.google.com/spreadsheets/d/1BJSV3WBYJGRhQ6zExamkszQ5VutGIcaQqmbD9ZTVXMQ/edit#gid=1251630045"",""articles_with_PRISMA_reasons!AB2:AB2113""), $A113=IMPORTRANGE(""https://docs.google.com/spreadsheets/d/"&amp;"1BJSV3WBYJGRhQ6zExamkszQ5VutGIcaQqmbD9ZTVXMQ/edit#gid=1251630045"",""articles_with_PRISMA_reasons!B2:B2113"")),
E113=""Exclude"",
FILTER(IMPORTRANGE(""https://docs.google.com/spreadsheets/d/1qpEmbGH0JjaJbUdp21-y2cPbobDbMjr09BbtdKROZWc/edit#gid=1444865654"&amp;""",""articles_with_PRISMA_reasons!Z2:Z2113""), $A113=IMPORTRANGE(""https://docs.google.com/spreadsheets/d/1qpEmbGH0JjaJbUdp21-y2cPbobDbMjr09BbtdKROZWc/edit#gid=1444865654"",""articles_with_PRISMA_reasons!B2:B2113"")),F113
=""Include"",FILTER(IMPORTRANGE("&amp;"""https://docs.google.com/spreadsheets/d/1kGrh75X1cNR1D7_FcY9zMnHP8iPO4M5RCRjy6nZY0TY/edit#gid=0"",""Table 1: Study characteristics!A4:A171""), $A113=IMPORTRANGE(""https://docs.google.com/spreadsheets/d/1kGrh75X1cNR1D7_FcY9zMnHP8iPO4M5RCRjy6nZY0TY/edit#gi"&amp;"d=0"",""Table 1: Study characteristics!B4:B171""))
)"),"background article")</f>
        <v>background article</v>
      </c>
    </row>
    <row r="114">
      <c r="A114" s="4" t="str">
        <f>IFERROR(__xludf.DUMMYFUNCTION("""COMPUTED_VALUE"""),"[Stridor and hydrocephalus following surgery for myelomeningocele]")</f>
        <v>[Stridor and hydrocephalus following surgery for myelomeningocele]</v>
      </c>
      <c r="B114" s="5" t="str">
        <f>IFERROR(__xludf.DUMMYFUNCTION("LEFT(FILTER(IMPORTRANGE(""https://docs.google.com/spreadsheets/d/1BJSV3WBYJGRhQ6zExamkszQ5VutGIcaQqmbD9ZTVXMQ/edit#gid=1251630045"",""articles_with_PRISMA_reasons!K2:K2113""), $A114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$A114=IMPORTRANGE(""https://docs.google.com/spreadsheets/d/1BJSV3WBYJGRhQ6zExamkszQ5VutGIcaQqmbD9ZTVXMQ/edit#gid=1251630045"",""articles_with_PRISMA_reasons!B2:B2113"")))-1)"),"Esterl")</f>
        <v>Esterl</v>
      </c>
      <c r="C114" s="6">
        <f>IFERROR(__xludf.DUMMYFUNCTION("FILTER(IMPORTRANGE(""https://docs.google.com/spreadsheets/d/1BJSV3WBYJGRhQ6zExamkszQ5VutGIcaQqmbD9ZTVXMQ/edit#gid=1251630045"",""articles_with_PRISMA_reasons!C2:C2113""), $A114=IMPORTRANGE(""https://docs.google.com/spreadsheets/d/1BJSV3WBYJGRhQ6zExamkszQ5"&amp;"VutGIcaQqmbD9ZTVXMQ/edit#gid=1251630045"",""articles_with_PRISMA_reasons!B2:B2113""))"),1974.0)</f>
        <v>1974</v>
      </c>
      <c r="D114" s="5" t="str">
        <f>IFERROR(__xludf.DUMMYFUNCTION("IFS(AND(
FILTER(IMPORTRANGE(""https://docs.google.com/spreadsheets/d/1BJSV3WBYJGRhQ6zExamkszQ5VutGIcaQqmbD9ZTVXMQ/edit#gid=1251630045"",""articles_with_PRISMA_reasons!Y2:Y2113""), $A114=IMPORTRANGE(""https://docs.google.com/spreadsheets/d/1BJSV3WBYJGRhQ6z"&amp;"ExamkszQ5VutGIcaQqmbD9ZTVXMQ/edit#gid=1251630045"",""articles_with_PRISMA_reasons!B2:B2113""))&gt;=2,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$A114=IMPORTRANGE(""https://docs.google.com/spreadsheets/d/1BJSV3WBYJGRhQ6zExamkszQ5VutGIcaQqmbD9ZTVXMQ/edit#gid=1251630045"",""articles_with_PRISMA_reasons!B2:B2113""))&lt;2),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$A114=IMPORTRANGE(""https://docs.google.com/spreadsheets/d/1BJSV3WBYJGRhQ6zExamkszQ5VutGIcaQqmbD9ZTVXMQ/edit#gid=1251630045"",""arti"&amp;"cles_with_PRISMA_reasons!B2:B2113""))&lt;2,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$A114=IMPORTRANGE(""https://docs.google.com"&amp;"/spreadsheets/d/1BJSV3WBYJGRhQ6zExamkszQ5VutGIcaQqmbD9ZTVXMQ/edit#gid=1251630045"",""articles_with_PRISMA_reasons!B2:B2113""))&gt;=2),
""Exclude""
)"),"Exclude")</f>
        <v>Exclude</v>
      </c>
      <c r="E114" s="5" t="str">
        <f>IFERROR(__xludf.DUMMYFUNCTION("IFS(
D114=""Exclude"",""Exclude"",
AND(
FILTER(IMPORTRANGE(""https://docs.google.com/spreadsheets/d/1qpEmbGH0JjaJbUdp21-y2cPbobDbMjr09BbtdKROZWc/edit#gid=1444865654"",""articles_with_PRISMA_reasons!W2:W2113""), $A114=IMPORTRANGE(""https://docs.google.com/"&amp;"spreadsheets/d/1qpEmbGH0JjaJbUdp21-y2cPbobDbMjr09BbtdKROZWc/edit#gid=1444865654"",""articles_with_PRISMA_reasons!B2:B2113""))&gt;=2,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$A114=IMPORTRANGE(""https://docs.google.com/spreadsheets/d/1qpEmbGH0JjaJbUdp21-y2cPbobDbMjr09BbtdKROZWc/edit#gid=1444865654"",""articles_with_PRISMA_reasons!B2:B2113""))&lt;2),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$A114=IMPORTRANGE(""https://docs.google.com/spreadsheets/d/1qpEmbGH0JjaJbUdp21-y2cPbobDbMjr09BbtdKRO"&amp;"ZWc/edit#gid=1444865654"",""articles_with_PRISMA_reasons!B2:B2113""))&lt;2,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$A114=IMPOR"&amp;"TRANGE(""https://docs.google.com/spreadsheets/d/1qpEmbGH0JjaJbUdp21-y2cPbobDbMjr09BbtdKROZWc/edit#gid=1444865654"",""articles_with_PRISMA_reasons!B2:B2113""))&gt;=2),
""Exclude""
)"),"Exclude")</f>
        <v>Exclude</v>
      </c>
      <c r="F114" s="5" t="str">
        <f>IFERROR(__xludf.DUMMYFUNCTION("IFS(
E114=""Exclude"",""Exclude"",
AND(
COUNTIF(
IMPORTRANGE(""https://docs.google.com/spreadsheets/d/1kGrh75X1cNR1D7_FcY9zMnHP8iPO4M5RCRjy6nZY0TY/edit#gid=0"",""Table 1: Study characteristics!B4:B171""),A114)&gt;0,
COUNTIF(Studies!$A$2:$A$85,FILTER(IMPORTRA"&amp;"NGE(""https://docs.google.com/spreadsheets/d/1kGrh75X1cNR1D7_FcY9zMnHP8iPO4M5RCRjy6nZY0TY/edit#gid=0"",""Table 1: Study characteristics!A4:A171""), $A114=IMPORTRANGE(""https://docs.google.com/spreadsheets/d/1kGrh75X1cNR1D7_FcY9zMnHP8iPO4M5RCRjy6nZY0TY/edi"&amp;"t#gid=0"",""Table 1: Study characteristics!B4:B171"")))&gt;0
),
""Include""
)"),"Exclude")</f>
        <v>Exclude</v>
      </c>
      <c r="G114" s="5" t="str">
        <f>IFERROR(__xludf.DUMMYFUNCTION("IFS(
D114=""Exclude"",
FILTER(IMPORTRANGE(""https://docs.google.com/spreadsheets/d/1BJSV3WBYJGRhQ6zExamkszQ5VutGIcaQqmbD9ZTVXMQ/edit#gid=1251630045"",""articles_with_PRISMA_reasons!AB2:AB2113""), $A114=IMPORTRANGE(""https://docs.google.com/spreadsheets/d/"&amp;"1BJSV3WBYJGRhQ6zExamkszQ5VutGIcaQqmbD9ZTVXMQ/edit#gid=1251630045"",""articles_with_PRISMA_reasons!B2:B2113"")),
E114=""Exclude"",
FILTER(IMPORTRANGE(""https://docs.google.com/spreadsheets/d/1qpEmbGH0JjaJbUdp21-y2cPbobDbMjr09BbtdKROZWc/edit#gid=1444865654"&amp;""",""articles_with_PRISMA_reasons!Z2:Z2113""), $A114=IMPORTRANGE(""https://docs.google.com/spreadsheets/d/1qpEmbGH0JjaJbUdp21-y2cPbobDbMjr09BbtdKROZWc/edit#gid=1444865654"",""articles_with_PRISMA_reasons!B2:B2113"")),F114
=""Include"",FILTER(IMPORTRANGE("&amp;"""https://docs.google.com/spreadsheets/d/1kGrh75X1cNR1D7_FcY9zMnHP8iPO4M5RCRjy6nZY0TY/edit#gid=0"",""Table 1: Study characteristics!A4:A171""), $A114=IMPORTRANGE(""https://docs.google.com/spreadsheets/d/1kGrh75X1cNR1D7_FcY9zMnHP8iPO4M5RCRjy6nZY0TY/edit#gi"&amp;"d=0"",""Table 1: Study characteristics!B4:B171""))
)"),"wrong study design")</f>
        <v>wrong study design</v>
      </c>
    </row>
    <row r="115">
      <c r="A115" s="4" t="str">
        <f>IFERROR(__xludf.DUMMYFUNCTION("""COMPUTED_VALUE"""),"[Success and failure of the ventriculoperitoneal shunt in the treatment of hydrocephalus]")</f>
        <v>[Success and failure of the ventriculoperitoneal shunt in the treatment of hydrocephalus]</v>
      </c>
      <c r="B115" s="5" t="str">
        <f>IFERROR(__xludf.DUMMYFUNCTION("LEFT(FILTER(IMPORTRANGE(""https://docs.google.com/spreadsheets/d/1BJSV3WBYJGRhQ6zExamkszQ5VutGIcaQqmbD9ZTVXMQ/edit#gid=1251630045"",""articles_with_PRISMA_reasons!K2:K2113""), $A115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$A115=IMPORTRANGE(""https://docs.google.com/spreadsheets/d/1BJSV3WBYJGRhQ6zExamkszQ5VutGIcaQqmbD9ZTVXMQ/edit#gid=1251630045"",""articles_with_PRISMA_reasons!B2:B2113"")))-1)"),"Stroob and t")</f>
        <v>Stroob and t</v>
      </c>
      <c r="C115" s="6">
        <f>IFERROR(__xludf.DUMMYFUNCTION("FILTER(IMPORTRANGE(""https://docs.google.com/spreadsheets/d/1BJSV3WBYJGRhQ6zExamkszQ5VutGIcaQqmbD9ZTVXMQ/edit#gid=1251630045"",""articles_with_PRISMA_reasons!C2:C2113""), $A115=IMPORTRANGE(""https://docs.google.com/spreadsheets/d/1BJSV3WBYJGRhQ6zExamkszQ5"&amp;"VutGIcaQqmbD9ZTVXMQ/edit#gid=1251630045"",""articles_with_PRISMA_reasons!B2:B2113""))"),1976.0)</f>
        <v>1976</v>
      </c>
      <c r="D115" s="5" t="str">
        <f>IFERROR(__xludf.DUMMYFUNCTION("IFS(AND(
FILTER(IMPORTRANGE(""https://docs.google.com/spreadsheets/d/1BJSV3WBYJGRhQ6zExamkszQ5VutGIcaQqmbD9ZTVXMQ/edit#gid=1251630045"",""articles_with_PRISMA_reasons!Y2:Y2113""), $A115=IMPORTRANGE(""https://docs.google.com/spreadsheets/d/1BJSV3WBYJGRhQ6z"&amp;"ExamkszQ5VutGIcaQqmbD9ZTVXMQ/edit#gid=1251630045"",""articles_with_PRISMA_reasons!B2:B2113""))&gt;=2,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$A115=IMPORTRANGE(""https://docs.google.com/spreadsheets/d/1BJSV3WBYJGRhQ6zExamkszQ5VutGIcaQqmbD9ZTVXMQ/edit#gid=1251630045"",""articles_with_PRISMA_reasons!B2:B2113""))&lt;2),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$A115=IMPORTRANGE(""https://docs.google.com/spreadsheets/d/1BJSV3WBYJGRhQ6zExamkszQ5VutGIcaQqmbD9ZTVXMQ/edit#gid=1251630045"",""arti"&amp;"cles_with_PRISMA_reasons!B2:B2113""))&lt;2,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$A115=IMPORTRANGE(""https://docs.google.com"&amp;"/spreadsheets/d/1BJSV3WBYJGRhQ6zExamkszQ5VutGIcaQqmbD9ZTVXMQ/edit#gid=1251630045"",""articles_with_PRISMA_reasons!B2:B2113""))&gt;=2),
""Exclude""
)"),"Include")</f>
        <v>Include</v>
      </c>
      <c r="E115" s="5" t="str">
        <f>IFERROR(__xludf.DUMMYFUNCTION("IFS(
D115=""Exclude"",""Exclude"",
AND(
FILTER(IMPORTRANGE(""https://docs.google.com/spreadsheets/d/1qpEmbGH0JjaJbUdp21-y2cPbobDbMjr09BbtdKROZWc/edit#gid=1444865654"",""articles_with_PRISMA_reasons!W2:W2113""), $A115=IMPORTRANGE(""https://docs.google.com/"&amp;"spreadsheets/d/1qpEmbGH0JjaJbUdp21-y2cPbobDbMjr09BbtdKROZWc/edit#gid=1444865654"",""articles_with_PRISMA_reasons!B2:B2113""))&gt;=2,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$A115=IMPORTRANGE(""https://docs.google.com/spreadsheets/d/1qpEmbGH0JjaJbUdp21-y2cPbobDbMjr09BbtdKROZWc/edit#gid=1444865654"",""articles_with_PRISMA_reasons!B2:B2113""))&lt;2),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$A115=IMPORTRANGE(""https://docs.google.com/spreadsheets/d/1qpEmbGH0JjaJbUdp21-y2cPbobDbMjr09BbtdKRO"&amp;"ZWc/edit#gid=1444865654"",""articles_with_PRISMA_reasons!B2:B2113""))&lt;2,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$A115=IMPOR"&amp;"TRANGE(""https://docs.google.com/spreadsheets/d/1qpEmbGH0JjaJbUdp21-y2cPbobDbMjr09BbtdKROZWc/edit#gid=1444865654"",""articles_with_PRISMA_reasons!B2:B2113""))&gt;=2),
""Exclude""
)"),"Exclude")</f>
        <v>Exclude</v>
      </c>
      <c r="F115" s="5" t="str">
        <f>IFERROR(__xludf.DUMMYFUNCTION("IFS(
E115=""Exclude"",""Exclude"",
AND(
COUNTIF(
IMPORTRANGE(""https://docs.google.com/spreadsheets/d/1kGrh75X1cNR1D7_FcY9zMnHP8iPO4M5RCRjy6nZY0TY/edit#gid=0"",""Table 1: Study characteristics!B4:B171""),A115)&gt;0,
COUNTIF(Studies!$A$2:$A$85,FILTER(IMPORTRA"&amp;"NGE(""https://docs.google.com/spreadsheets/d/1kGrh75X1cNR1D7_FcY9zMnHP8iPO4M5RCRjy6nZY0TY/edit#gid=0"",""Table 1: Study characteristics!A4:A171""), $A115=IMPORTRANGE(""https://docs.google.com/spreadsheets/d/1kGrh75X1cNR1D7_FcY9zMnHP8iPO4M5RCRjy6nZY0TY/edi"&amp;"t#gid=0"",""Table 1: Study characteristics!B4:B171"")))&gt;0
),
""Include""
)"),"Exclude")</f>
        <v>Exclude</v>
      </c>
      <c r="G115" s="5" t="str">
        <f>IFERROR(__xludf.DUMMYFUNCTION("IFS(
D115=""Exclude"",
FILTER(IMPORTRANGE(""https://docs.google.com/spreadsheets/d/1BJSV3WBYJGRhQ6zExamkszQ5VutGIcaQqmbD9ZTVXMQ/edit#gid=1251630045"",""articles_with_PRISMA_reasons!AB2:AB2113""), $A115=IMPORTRANGE(""https://docs.google.com/spreadsheets/d/"&amp;"1BJSV3WBYJGRhQ6zExamkszQ5VutGIcaQqmbD9ZTVXMQ/edit#gid=1251630045"",""articles_with_PRISMA_reasons!B2:B2113"")),
E115=""Exclude"",
FILTER(IMPORTRANGE(""https://docs.google.com/spreadsheets/d/1qpEmbGH0JjaJbUdp21-y2cPbobDbMjr09BbtdKROZWc/edit#gid=1444865654"&amp;""",""articles_with_PRISMA_reasons!Z2:Z2113""), $A115=IMPORTRANGE(""https://docs.google.com/spreadsheets/d/1qpEmbGH0JjaJbUdp21-y2cPbobDbMjr09BbtdKROZWc/edit#gid=1444865654"",""articles_with_PRISMA_reasons!B2:B2113"")),F115
=""Include"",FILTER(IMPORTRANGE("&amp;"""https://docs.google.com/spreadsheets/d/1kGrh75X1cNR1D7_FcY9zMnHP8iPO4M5RCRjy6nZY0TY/edit#gid=0"",""Table 1: Study characteristics!A4:A171""), $A115=IMPORTRANGE(""https://docs.google.com/spreadsheets/d/1kGrh75X1cNR1D7_FcY9zMnHP8iPO4M5RCRjy6nZY0TY/edit#gi"&amp;"d=0"",""Table 1: Study characteristics!B4:B171""))
)"),"text not accessible")</f>
        <v>text not accessible</v>
      </c>
    </row>
    <row r="116">
      <c r="A116" s="4" t="str">
        <f>IFERROR(__xludf.DUMMYFUNCTION("""COMPUTED_VALUE"""),"[Surgery of myelomeningocele and associated hydrocephalus. Early surgical treatment of myelomeningocele]")</f>
        <v>[Surgery of myelomeningocele and associated hydrocephalus. Early surgical treatment of myelomeningocele]</v>
      </c>
      <c r="B116" s="5" t="str">
        <f>IFERROR(__xludf.DUMMYFUNCTION("LEFT(FILTER(IMPORTRANGE(""https://docs.google.com/spreadsheets/d/1BJSV3WBYJGRhQ6zExamkszQ5VutGIcaQqmbD9ZTVXMQ/edit#gid=1251630045"",""articles_with_PRISMA_reasons!K2:K2113""), $A116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$A116=IMPORTRANGE(""https://docs.google.com/spreadsheets/d/1BJSV3WBYJGRhQ6zExamkszQ5VutGIcaQqmbD9ZTVXMQ/edit#gid=1251630045"",""articles_with_PRISMA_reasons!B2:B2113"")))-1)"),"Bettex")</f>
        <v>Bettex</v>
      </c>
      <c r="C116" s="6">
        <f>IFERROR(__xludf.DUMMYFUNCTION("FILTER(IMPORTRANGE(""https://docs.google.com/spreadsheets/d/1BJSV3WBYJGRhQ6zExamkszQ5VutGIcaQqmbD9ZTVXMQ/edit#gid=1251630045"",""articles_with_PRISMA_reasons!C2:C2113""), $A116=IMPORTRANGE(""https://docs.google.com/spreadsheets/d/1BJSV3WBYJGRhQ6zExamkszQ5"&amp;"VutGIcaQqmbD9ZTVXMQ/edit#gid=1251630045"",""articles_with_PRISMA_reasons!B2:B2113""))"),1969.0)</f>
        <v>1969</v>
      </c>
      <c r="D116" s="5" t="str">
        <f>IFERROR(__xludf.DUMMYFUNCTION("IFS(AND(
FILTER(IMPORTRANGE(""https://docs.google.com/spreadsheets/d/1BJSV3WBYJGRhQ6zExamkszQ5VutGIcaQqmbD9ZTVXMQ/edit#gid=1251630045"",""articles_with_PRISMA_reasons!Y2:Y2113""), $A116=IMPORTRANGE(""https://docs.google.com/spreadsheets/d/1BJSV3WBYJGRhQ6z"&amp;"ExamkszQ5VutGIcaQqmbD9ZTVXMQ/edit#gid=1251630045"",""articles_with_PRISMA_reasons!B2:B2113""))&gt;=2,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$A116=IMPORTRANGE(""https://docs.google.com/spreadsheets/d/1BJSV3WBYJGRhQ6zExamkszQ5VutGIcaQqmbD9ZTVXMQ/edit#gid=1251630045"",""articles_with_PRISMA_reasons!B2:B2113""))&lt;2),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$A116=IMPORTRANGE(""https://docs.google.com/spreadsheets/d/1BJSV3WBYJGRhQ6zExamkszQ5VutGIcaQqmbD9ZTVXMQ/edit#gid=1251630045"",""arti"&amp;"cles_with_PRISMA_reasons!B2:B2113""))&lt;2,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$A116=IMPORTRANGE(""https://docs.google.com"&amp;"/spreadsheets/d/1BJSV3WBYJGRhQ6zExamkszQ5VutGIcaQqmbD9ZTVXMQ/edit#gid=1251630045"",""articles_with_PRISMA_reasons!B2:B2113""))&gt;=2),
""Exclude""
)"),"Include")</f>
        <v>Include</v>
      </c>
      <c r="E116" s="5" t="str">
        <f>IFERROR(__xludf.DUMMYFUNCTION("IFS(
D116=""Exclude"",""Exclude"",
AND(
FILTER(IMPORTRANGE(""https://docs.google.com/spreadsheets/d/1qpEmbGH0JjaJbUdp21-y2cPbobDbMjr09BbtdKROZWc/edit#gid=1444865654"",""articles_with_PRISMA_reasons!W2:W2113""), $A116=IMPORTRANGE(""https://docs.google.com/"&amp;"spreadsheets/d/1qpEmbGH0JjaJbUdp21-y2cPbobDbMjr09BbtdKROZWc/edit#gid=1444865654"",""articles_with_PRISMA_reasons!B2:B2113""))&gt;=2,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$A116=IMPORTRANGE(""https://docs.google.com/spreadsheets/d/1qpEmbGH0JjaJbUdp21-y2cPbobDbMjr09BbtdKROZWc/edit#gid=1444865654"",""articles_with_PRISMA_reasons!B2:B2113""))&lt;2),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$A116=IMPORTRANGE(""https://docs.google.com/spreadsheets/d/1qpEmbGH0JjaJbUdp21-y2cPbobDbMjr09BbtdKRO"&amp;"ZWc/edit#gid=1444865654"",""articles_with_PRISMA_reasons!B2:B2113""))&lt;2,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$A116=IMPOR"&amp;"TRANGE(""https://docs.google.com/spreadsheets/d/1qpEmbGH0JjaJbUdp21-y2cPbobDbMjr09BbtdKROZWc/edit#gid=1444865654"",""articles_with_PRISMA_reasons!B2:B2113""))&gt;=2),
""Exclude""
)"),"Exclude")</f>
        <v>Exclude</v>
      </c>
      <c r="F116" s="5" t="str">
        <f>IFERROR(__xludf.DUMMYFUNCTION("IFS(
E116=""Exclude"",""Exclude"",
AND(
COUNTIF(
IMPORTRANGE(""https://docs.google.com/spreadsheets/d/1kGrh75X1cNR1D7_FcY9zMnHP8iPO4M5RCRjy6nZY0TY/edit#gid=0"",""Table 1: Study characteristics!B4:B171""),A116)&gt;0,
COUNTIF(Studies!$A$2:$A$85,FILTER(IMPORTRA"&amp;"NGE(""https://docs.google.com/spreadsheets/d/1kGrh75X1cNR1D7_FcY9zMnHP8iPO4M5RCRjy6nZY0TY/edit#gid=0"",""Table 1: Study characteristics!A4:A171""), $A116=IMPORTRANGE(""https://docs.google.com/spreadsheets/d/1kGrh75X1cNR1D7_FcY9zMnHP8iPO4M5RCRjy6nZY0TY/edi"&amp;"t#gid=0"",""Table 1: Study characteristics!B4:B171"")))&gt;0
),
""Include""
)"),"Exclude")</f>
        <v>Exclude</v>
      </c>
      <c r="G116" s="5" t="str">
        <f>IFERROR(__xludf.DUMMYFUNCTION("IFS(
D116=""Exclude"",
FILTER(IMPORTRANGE(""https://docs.google.com/spreadsheets/d/1BJSV3WBYJGRhQ6zExamkszQ5VutGIcaQqmbD9ZTVXMQ/edit#gid=1251630045"",""articles_with_PRISMA_reasons!AB2:AB2113""), $A116=IMPORTRANGE(""https://docs.google.com/spreadsheets/d/"&amp;"1BJSV3WBYJGRhQ6zExamkszQ5VutGIcaQqmbD9ZTVXMQ/edit#gid=1251630045"",""articles_with_PRISMA_reasons!B2:B2113"")),
E116=""Exclude"",
FILTER(IMPORTRANGE(""https://docs.google.com/spreadsheets/d/1qpEmbGH0JjaJbUdp21-y2cPbobDbMjr09BbtdKROZWc/edit#gid=1444865654"&amp;""",""articles_with_PRISMA_reasons!Z2:Z2113""), $A116=IMPORTRANGE(""https://docs.google.com/spreadsheets/d/1qpEmbGH0JjaJbUdp21-y2cPbobDbMjr09BbtdKROZWc/edit#gid=1444865654"",""articles_with_PRISMA_reasons!B2:B2113"")),F116
=""Include"",FILTER(IMPORTRANGE("&amp;"""https://docs.google.com/spreadsheets/d/1kGrh75X1cNR1D7_FcY9zMnHP8iPO4M5RCRjy6nZY0TY/edit#gid=0"",""Table 1: Study characteristics!A4:A171""), $A116=IMPORTRANGE(""https://docs.google.com/spreadsheets/d/1kGrh75X1cNR1D7_FcY9zMnHP8iPO4M5RCRjy6nZY0TY/edit#gi"&amp;"d=0"",""Table 1: Study characteristics!B4:B171""))
)"),"text not accessible")</f>
        <v>text not accessible</v>
      </c>
    </row>
    <row r="117">
      <c r="A117" s="4" t="str">
        <f>IFERROR(__xludf.DUMMYFUNCTION("""COMPUTED_VALUE"""),"[Surgery of open myelomeningoceles (author's transl)]")</f>
        <v>[Surgery of open myelomeningoceles (author's transl)]</v>
      </c>
      <c r="B117" s="5" t="str">
        <f>IFERROR(__xludf.DUMMYFUNCTION("LEFT(FILTER(IMPORTRANGE(""https://docs.google.com/spreadsheets/d/1BJSV3WBYJGRhQ6zExamkszQ5VutGIcaQqmbD9ZTVXMQ/edit#gid=1251630045"",""articles_with_PRISMA_reasons!K2:K2113""), $A117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$A117=IMPORTRANGE(""https://docs.google.com/spreadsheets/d/1BJSV3WBYJGRhQ6zExamkszQ5VutGIcaQqmbD9ZTVXMQ/edit#gid=1251630045"",""articles_with_PRISMA_reasons!B2:B2113"")))-1)"),"Meissner")</f>
        <v>Meissner</v>
      </c>
      <c r="C117" s="6">
        <f>IFERROR(__xludf.DUMMYFUNCTION("FILTER(IMPORTRANGE(""https://docs.google.com/spreadsheets/d/1BJSV3WBYJGRhQ6zExamkszQ5VutGIcaQqmbD9ZTVXMQ/edit#gid=1251630045"",""articles_with_PRISMA_reasons!C2:C2113""), $A117=IMPORTRANGE(""https://docs.google.com/spreadsheets/d/1BJSV3WBYJGRhQ6zExamkszQ5"&amp;"VutGIcaQqmbD9ZTVXMQ/edit#gid=1251630045"",""articles_with_PRISMA_reasons!B2:B2113""))"),1981.0)</f>
        <v>1981</v>
      </c>
      <c r="D117" s="5" t="str">
        <f>IFERROR(__xludf.DUMMYFUNCTION("IFS(AND(
FILTER(IMPORTRANGE(""https://docs.google.com/spreadsheets/d/1BJSV3WBYJGRhQ6zExamkszQ5VutGIcaQqmbD9ZTVXMQ/edit#gid=1251630045"",""articles_with_PRISMA_reasons!Y2:Y2113""), $A117=IMPORTRANGE(""https://docs.google.com/spreadsheets/d/1BJSV3WBYJGRhQ6z"&amp;"ExamkszQ5VutGIcaQqmbD9ZTVXMQ/edit#gid=1251630045"",""articles_with_PRISMA_reasons!B2:B2113""))&gt;=2,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$A117=IMPORTRANGE(""https://docs.google.com/spreadsheets/d/1BJSV3WBYJGRhQ6zExamkszQ5VutGIcaQqmbD9ZTVXMQ/edit#gid=1251630045"",""articles_with_PRISMA_reasons!B2:B2113""))&lt;2),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$A117=IMPORTRANGE(""https://docs.google.com/spreadsheets/d/1BJSV3WBYJGRhQ6zExamkszQ5VutGIcaQqmbD9ZTVXMQ/edit#gid=1251630045"",""arti"&amp;"cles_with_PRISMA_reasons!B2:B2113""))&lt;2,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$A117=IMPORTRANGE(""https://docs.google.com"&amp;"/spreadsheets/d/1BJSV3WBYJGRhQ6zExamkszQ5VutGIcaQqmbD9ZTVXMQ/edit#gid=1251630045"",""articles_with_PRISMA_reasons!B2:B2113""))&gt;=2),
""Exclude""
)"),"Exclude")</f>
        <v>Exclude</v>
      </c>
      <c r="E117" s="5" t="str">
        <f>IFERROR(__xludf.DUMMYFUNCTION("IFS(
D117=""Exclude"",""Exclude"",
AND(
FILTER(IMPORTRANGE(""https://docs.google.com/spreadsheets/d/1qpEmbGH0JjaJbUdp21-y2cPbobDbMjr09BbtdKROZWc/edit#gid=1444865654"",""articles_with_PRISMA_reasons!W2:W2113""), $A117=IMPORTRANGE(""https://docs.google.com/"&amp;"spreadsheets/d/1qpEmbGH0JjaJbUdp21-y2cPbobDbMjr09BbtdKROZWc/edit#gid=1444865654"",""articles_with_PRISMA_reasons!B2:B2113""))&gt;=2,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$A117=IMPORTRANGE(""https://docs.google.com/spreadsheets/d/1qpEmbGH0JjaJbUdp21-y2cPbobDbMjr09BbtdKROZWc/edit#gid=1444865654"",""articles_with_PRISMA_reasons!B2:B2113""))&lt;2),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$A117=IMPORTRANGE(""https://docs.google.com/spreadsheets/d/1qpEmbGH0JjaJbUdp21-y2cPbobDbMjr09BbtdKRO"&amp;"ZWc/edit#gid=1444865654"",""articles_with_PRISMA_reasons!B2:B2113""))&lt;2,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$A117=IMPOR"&amp;"TRANGE(""https://docs.google.com/spreadsheets/d/1qpEmbGH0JjaJbUdp21-y2cPbobDbMjr09BbtdKROZWc/edit#gid=1444865654"",""articles_with_PRISMA_reasons!B2:B2113""))&gt;=2),
""Exclude""
)"),"Exclude")</f>
        <v>Exclude</v>
      </c>
      <c r="F117" s="5" t="str">
        <f>IFERROR(__xludf.DUMMYFUNCTION("IFS(
E117=""Exclude"",""Exclude"",
AND(
COUNTIF(
IMPORTRANGE(""https://docs.google.com/spreadsheets/d/1kGrh75X1cNR1D7_FcY9zMnHP8iPO4M5RCRjy6nZY0TY/edit#gid=0"",""Table 1: Study characteristics!B4:B171""),A117)&gt;0,
COUNTIF(Studies!$A$2:$A$85,FILTER(IMPORTRA"&amp;"NGE(""https://docs.google.com/spreadsheets/d/1kGrh75X1cNR1D7_FcY9zMnHP8iPO4M5RCRjy6nZY0TY/edit#gid=0"",""Table 1: Study characteristics!A4:A171""), $A117=IMPORTRANGE(""https://docs.google.com/spreadsheets/d/1kGrh75X1cNR1D7_FcY9zMnHP8iPO4M5RCRjy6nZY0TY/edi"&amp;"t#gid=0"",""Table 1: Study characteristics!B4:B171"")))&gt;0
),
""Include""
)"),"Exclude")</f>
        <v>Exclude</v>
      </c>
      <c r="G117" s="5" t="str">
        <f>IFERROR(__xludf.DUMMYFUNCTION("IFS(
D117=""Exclude"",
FILTER(IMPORTRANGE(""https://docs.google.com/spreadsheets/d/1BJSV3WBYJGRhQ6zExamkszQ5VutGIcaQqmbD9ZTVXMQ/edit#gid=1251630045"",""articles_with_PRISMA_reasons!AB2:AB2113""), $A117=IMPORTRANGE(""https://docs.google.com/spreadsheets/d/"&amp;"1BJSV3WBYJGRhQ6zExamkszQ5VutGIcaQqmbD9ZTVXMQ/edit#gid=1251630045"",""articles_with_PRISMA_reasons!B2:B2113"")),
E117=""Exclude"",
FILTER(IMPORTRANGE(""https://docs.google.com/spreadsheets/d/1qpEmbGH0JjaJbUdp21-y2cPbobDbMjr09BbtdKROZWc/edit#gid=1444865654"&amp;""",""articles_with_PRISMA_reasons!Z2:Z2113""), $A117=IMPORTRANGE(""https://docs.google.com/spreadsheets/d/1qpEmbGH0JjaJbUdp21-y2cPbobDbMjr09BbtdKROZWc/edit#gid=1444865654"",""articles_with_PRISMA_reasons!B2:B2113"")),F117
=""Include"",FILTER(IMPORTRANGE("&amp;"""https://docs.google.com/spreadsheets/d/1kGrh75X1cNR1D7_FcY9zMnHP8iPO4M5RCRjy6nZY0TY/edit#gid=0"",""Table 1: Study characteristics!A4:A171""), $A117=IMPORTRANGE(""https://docs.google.com/spreadsheets/d/1kGrh75X1cNR1D7_FcY9zMnHP8iPO4M5RCRjy6nZY0TY/edit#gi"&amp;"d=0"",""Table 1: Study characteristics!B4:B171""))
)"),"wrong population")</f>
        <v>wrong population</v>
      </c>
    </row>
    <row r="118">
      <c r="A118" s="4" t="str">
        <f>IFERROR(__xludf.DUMMYFUNCTION("""COMPUTED_VALUE"""),"[Surgical and apparative treatment of patients with meningomyelocele with special reference to their hip problems]")</f>
        <v>[Surgical and apparative treatment of patients with meningomyelocele with special reference to their hip problems]</v>
      </c>
      <c r="B118" s="5" t="str">
        <f>IFERROR(__xludf.DUMMYFUNCTION("LEFT(FILTER(IMPORTRANGE(""https://docs.google.com/spreadsheets/d/1BJSV3WBYJGRhQ6zExamkszQ5VutGIcaQqmbD9ZTVXMQ/edit#gid=1251630045"",""articles_with_PRISMA_reasons!K2:K2113""), $A118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$A118=IMPORTRANGE(""https://docs.google.com/spreadsheets/d/1BJSV3WBYJGRhQ6zExamkszQ5VutGIcaQqmbD9ZTVXMQ/edit#gid=1251630045"",""articles_with_PRISMA_reasons!B2:B2113"")))-1)"),"Parsch")</f>
        <v>Parsch</v>
      </c>
      <c r="C118" s="6">
        <f>IFERROR(__xludf.DUMMYFUNCTION("FILTER(IMPORTRANGE(""https://docs.google.com/spreadsheets/d/1BJSV3WBYJGRhQ6zExamkszQ5VutGIcaQqmbD9ZTVXMQ/edit#gid=1251630045"",""articles_with_PRISMA_reasons!C2:C2113""), $A118=IMPORTRANGE(""https://docs.google.com/spreadsheets/d/1BJSV3WBYJGRhQ6zExamkszQ5"&amp;"VutGIcaQqmbD9ZTVXMQ/edit#gid=1251630045"",""articles_with_PRISMA_reasons!B2:B2113""))"),1978.0)</f>
        <v>1978</v>
      </c>
      <c r="D118" s="5" t="str">
        <f>IFERROR(__xludf.DUMMYFUNCTION("IFS(AND(
FILTER(IMPORTRANGE(""https://docs.google.com/spreadsheets/d/1BJSV3WBYJGRhQ6zExamkszQ5VutGIcaQqmbD9ZTVXMQ/edit#gid=1251630045"",""articles_with_PRISMA_reasons!Y2:Y2113""), $A118=IMPORTRANGE(""https://docs.google.com/spreadsheets/d/1BJSV3WBYJGRhQ6z"&amp;"ExamkszQ5VutGIcaQqmbD9ZTVXMQ/edit#gid=1251630045"",""articles_with_PRISMA_reasons!B2:B2113""))&gt;=2,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$A118=IMPORTRANGE(""https://docs.google.com/spreadsheets/d/1BJSV3WBYJGRhQ6zExamkszQ5VutGIcaQqmbD9ZTVXMQ/edit#gid=1251630045"",""articles_with_PRISMA_reasons!B2:B2113""))&lt;2),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$A118=IMPORTRANGE(""https://docs.google.com/spreadsheets/d/1BJSV3WBYJGRhQ6zExamkszQ5VutGIcaQqmbD9ZTVXMQ/edit#gid=1251630045"",""arti"&amp;"cles_with_PRISMA_reasons!B2:B2113""))&lt;2,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$A118=IMPORTRANGE(""https://docs.google.com"&amp;"/spreadsheets/d/1BJSV3WBYJGRhQ6zExamkszQ5VutGIcaQqmbD9ZTVXMQ/edit#gid=1251630045"",""articles_with_PRISMA_reasons!B2:B2113""))&gt;=2),
""Exclude""
)"),"Exclude")</f>
        <v>Exclude</v>
      </c>
      <c r="E118" s="5" t="str">
        <f>IFERROR(__xludf.DUMMYFUNCTION("IFS(
D118=""Exclude"",""Exclude"",
AND(
FILTER(IMPORTRANGE(""https://docs.google.com/spreadsheets/d/1qpEmbGH0JjaJbUdp21-y2cPbobDbMjr09BbtdKROZWc/edit#gid=1444865654"",""articles_with_PRISMA_reasons!W2:W2113""), $A118=IMPORTRANGE(""https://docs.google.com/"&amp;"spreadsheets/d/1qpEmbGH0JjaJbUdp21-y2cPbobDbMjr09BbtdKROZWc/edit#gid=1444865654"",""articles_with_PRISMA_reasons!B2:B2113""))&gt;=2,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$A118=IMPORTRANGE(""https://docs.google.com/spreadsheets/d/1qpEmbGH0JjaJbUdp21-y2cPbobDbMjr09BbtdKROZWc/edit#gid=1444865654"",""articles_with_PRISMA_reasons!B2:B2113""))&lt;2),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$A118=IMPORTRANGE(""https://docs.google.com/spreadsheets/d/1qpEmbGH0JjaJbUdp21-y2cPbobDbMjr09BbtdKRO"&amp;"ZWc/edit#gid=1444865654"",""articles_with_PRISMA_reasons!B2:B2113""))&lt;2,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$A118=IMPOR"&amp;"TRANGE(""https://docs.google.com/spreadsheets/d/1qpEmbGH0JjaJbUdp21-y2cPbobDbMjr09BbtdKROZWc/edit#gid=1444865654"",""articles_with_PRISMA_reasons!B2:B2113""))&gt;=2),
""Exclude""
)"),"Exclude")</f>
        <v>Exclude</v>
      </c>
      <c r="F118" s="5" t="str">
        <f>IFERROR(__xludf.DUMMYFUNCTION("IFS(
E118=""Exclude"",""Exclude"",
AND(
COUNTIF(
IMPORTRANGE(""https://docs.google.com/spreadsheets/d/1kGrh75X1cNR1D7_FcY9zMnHP8iPO4M5RCRjy6nZY0TY/edit#gid=0"",""Table 1: Study characteristics!B4:B171""),A118)&gt;0,
COUNTIF(Studies!$A$2:$A$85,FILTER(IMPORTRA"&amp;"NGE(""https://docs.google.com/spreadsheets/d/1kGrh75X1cNR1D7_FcY9zMnHP8iPO4M5RCRjy6nZY0TY/edit#gid=0"",""Table 1: Study characteristics!A4:A171""), $A118=IMPORTRANGE(""https://docs.google.com/spreadsheets/d/1kGrh75X1cNR1D7_FcY9zMnHP8iPO4M5RCRjy6nZY0TY/edi"&amp;"t#gid=0"",""Table 1: Study characteristics!B4:B171"")))&gt;0
),
""Include""
)"),"Exclude")</f>
        <v>Exclude</v>
      </c>
      <c r="G118" s="5" t="str">
        <f>IFERROR(__xludf.DUMMYFUNCTION("IFS(
D118=""Exclude"",
FILTER(IMPORTRANGE(""https://docs.google.com/spreadsheets/d/1BJSV3WBYJGRhQ6zExamkszQ5VutGIcaQqmbD9ZTVXMQ/edit#gid=1251630045"",""articles_with_PRISMA_reasons!AB2:AB2113""), $A118=IMPORTRANGE(""https://docs.google.com/spreadsheets/d/"&amp;"1BJSV3WBYJGRhQ6zExamkszQ5VutGIcaQqmbD9ZTVXMQ/edit#gid=1251630045"",""articles_with_PRISMA_reasons!B2:B2113"")),
E118=""Exclude"",
FILTER(IMPORTRANGE(""https://docs.google.com/spreadsheets/d/1qpEmbGH0JjaJbUdp21-y2cPbobDbMjr09BbtdKROZWc/edit#gid=1444865654"&amp;""",""articles_with_PRISMA_reasons!Z2:Z2113""), $A118=IMPORTRANGE(""https://docs.google.com/spreadsheets/d/1qpEmbGH0JjaJbUdp21-y2cPbobDbMjr09BbtdKROZWc/edit#gid=1444865654"",""articles_with_PRISMA_reasons!B2:B2113"")),F118
=""Include"",FILTER(IMPORTRANGE("&amp;"""https://docs.google.com/spreadsheets/d/1kGrh75X1cNR1D7_FcY9zMnHP8iPO4M5RCRjy6nZY0TY/edit#gid=0"",""Table 1: Study characteristics!A4:A171""), $A118=IMPORTRANGE(""https://docs.google.com/spreadsheets/d/1kGrh75X1cNR1D7_FcY9zMnHP8iPO4M5RCRjy6nZY0TY/edit#gi"&amp;"d=0"",""Table 1: Study characteristics!B4:B171""))
)"),"wrong population")</f>
        <v>wrong population</v>
      </c>
    </row>
    <row r="119">
      <c r="A119" s="4" t="str">
        <f>IFERROR(__xludf.DUMMYFUNCTION("""COMPUTED_VALUE"""),"[Surgical indication in myelomeningoceles (author's transl)]")</f>
        <v>[Surgical indication in myelomeningoceles (author's transl)]</v>
      </c>
      <c r="B119" s="5" t="str">
        <f>IFERROR(__xludf.DUMMYFUNCTION("LEFT(FILTER(IMPORTRANGE(""https://docs.google.com/spreadsheets/d/1BJSV3WBYJGRhQ6zExamkszQ5VutGIcaQqmbD9ZTVXMQ/edit#gid=1251630045"",""articles_with_PRISMA_reasons!K2:K2113""), $A119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$A119=IMPORTRANGE(""https://docs.google.com/spreadsheets/d/1BJSV3WBYJGRhQ6zExamkszQ5VutGIcaQqmbD9ZTVXMQ/edit#gid=1251630045"",""articles_with_PRISMA_reasons!B2:B2113"")))-1)"),"Gottschalk")</f>
        <v>Gottschalk</v>
      </c>
      <c r="C119" s="6">
        <f>IFERROR(__xludf.DUMMYFUNCTION("FILTER(IMPORTRANGE(""https://docs.google.com/spreadsheets/d/1BJSV3WBYJGRhQ6zExamkszQ5VutGIcaQqmbD9ZTVXMQ/edit#gid=1251630045"",""articles_with_PRISMA_reasons!C2:C2113""), $A119=IMPORTRANGE(""https://docs.google.com/spreadsheets/d/1BJSV3WBYJGRhQ6zExamkszQ5"&amp;"VutGIcaQqmbD9ZTVXMQ/edit#gid=1251630045"",""articles_with_PRISMA_reasons!B2:B2113""))"),1981.0)</f>
        <v>1981</v>
      </c>
      <c r="D119" s="5" t="str">
        <f>IFERROR(__xludf.DUMMYFUNCTION("IFS(AND(
FILTER(IMPORTRANGE(""https://docs.google.com/spreadsheets/d/1BJSV3WBYJGRhQ6zExamkszQ5VutGIcaQqmbD9ZTVXMQ/edit#gid=1251630045"",""articles_with_PRISMA_reasons!Y2:Y2113""), $A119=IMPORTRANGE(""https://docs.google.com/spreadsheets/d/1BJSV3WBYJGRhQ6z"&amp;"ExamkszQ5VutGIcaQqmbD9ZTVXMQ/edit#gid=1251630045"",""articles_with_PRISMA_reasons!B2:B2113""))&gt;=2,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$A119=IMPORTRANGE(""https://docs.google.com/spreadsheets/d/1BJSV3WBYJGRhQ6zExamkszQ5VutGIcaQqmbD9ZTVXMQ/edit#gid=1251630045"",""articles_with_PRISMA_reasons!B2:B2113""))&lt;2),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$A119=IMPORTRANGE(""https://docs.google.com/spreadsheets/d/1BJSV3WBYJGRhQ6zExamkszQ5VutGIcaQqmbD9ZTVXMQ/edit#gid=1251630045"",""arti"&amp;"cles_with_PRISMA_reasons!B2:B2113""))&lt;2,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$A119=IMPORTRANGE(""https://docs.google.com"&amp;"/spreadsheets/d/1BJSV3WBYJGRhQ6zExamkszQ5VutGIcaQqmbD9ZTVXMQ/edit#gid=1251630045"",""articles_with_PRISMA_reasons!B2:B2113""))&gt;=2),
""Exclude""
)"),"Exclude")</f>
        <v>Exclude</v>
      </c>
      <c r="E119" s="5" t="str">
        <f>IFERROR(__xludf.DUMMYFUNCTION("IFS(
D119=""Exclude"",""Exclude"",
AND(
FILTER(IMPORTRANGE(""https://docs.google.com/spreadsheets/d/1qpEmbGH0JjaJbUdp21-y2cPbobDbMjr09BbtdKROZWc/edit#gid=1444865654"",""articles_with_PRISMA_reasons!W2:W2113""), $A119=IMPORTRANGE(""https://docs.google.com/"&amp;"spreadsheets/d/1qpEmbGH0JjaJbUdp21-y2cPbobDbMjr09BbtdKROZWc/edit#gid=1444865654"",""articles_with_PRISMA_reasons!B2:B2113""))&gt;=2,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$A119=IMPORTRANGE(""https://docs.google.com/spreadsheets/d/1qpEmbGH0JjaJbUdp21-y2cPbobDbMjr09BbtdKROZWc/edit#gid=1444865654"",""articles_with_PRISMA_reasons!B2:B2113""))&lt;2),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$A119=IMPORTRANGE(""https://docs.google.com/spreadsheets/d/1qpEmbGH0JjaJbUdp21-y2cPbobDbMjr09BbtdKRO"&amp;"ZWc/edit#gid=1444865654"",""articles_with_PRISMA_reasons!B2:B2113""))&lt;2,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$A119=IMPOR"&amp;"TRANGE(""https://docs.google.com/spreadsheets/d/1qpEmbGH0JjaJbUdp21-y2cPbobDbMjr09BbtdKROZWc/edit#gid=1444865654"",""articles_with_PRISMA_reasons!B2:B2113""))&gt;=2),
""Exclude""
)"),"Exclude")</f>
        <v>Exclude</v>
      </c>
      <c r="F119" s="5" t="str">
        <f>IFERROR(__xludf.DUMMYFUNCTION("IFS(
E119=""Exclude"",""Exclude"",
AND(
COUNTIF(
IMPORTRANGE(""https://docs.google.com/spreadsheets/d/1kGrh75X1cNR1D7_FcY9zMnHP8iPO4M5RCRjy6nZY0TY/edit#gid=0"",""Table 1: Study characteristics!B4:B171""),A119)&gt;0,
COUNTIF(Studies!$A$2:$A$85,FILTER(IMPORTRA"&amp;"NGE(""https://docs.google.com/spreadsheets/d/1kGrh75X1cNR1D7_FcY9zMnHP8iPO4M5RCRjy6nZY0TY/edit#gid=0"",""Table 1: Study characteristics!A4:A171""), $A119=IMPORTRANGE(""https://docs.google.com/spreadsheets/d/1kGrh75X1cNR1D7_FcY9zMnHP8iPO4M5RCRjy6nZY0TY/edi"&amp;"t#gid=0"",""Table 1: Study characteristics!B4:B171"")))&gt;0
),
""Include""
)"),"Exclude")</f>
        <v>Exclude</v>
      </c>
      <c r="G119" s="5" t="str">
        <f>IFERROR(__xludf.DUMMYFUNCTION("IFS(
D119=""Exclude"",
FILTER(IMPORTRANGE(""https://docs.google.com/spreadsheets/d/1BJSV3WBYJGRhQ6zExamkszQ5VutGIcaQqmbD9ZTVXMQ/edit#gid=1251630045"",""articles_with_PRISMA_reasons!AB2:AB2113""), $A119=IMPORTRANGE(""https://docs.google.com/spreadsheets/d/"&amp;"1BJSV3WBYJGRhQ6zExamkszQ5VutGIcaQqmbD9ZTVXMQ/edit#gid=1251630045"",""articles_with_PRISMA_reasons!B2:B2113"")),
E119=""Exclude"",
FILTER(IMPORTRANGE(""https://docs.google.com/spreadsheets/d/1qpEmbGH0JjaJbUdp21-y2cPbobDbMjr09BbtdKROZWc/edit#gid=1444865654"&amp;""",""articles_with_PRISMA_reasons!Z2:Z2113""), $A119=IMPORTRANGE(""https://docs.google.com/spreadsheets/d/1qpEmbGH0JjaJbUdp21-y2cPbobDbMjr09BbtdKROZWc/edit#gid=1444865654"",""articles_with_PRISMA_reasons!B2:B2113"")),F119
=""Include"",FILTER(IMPORTRANGE("&amp;"""https://docs.google.com/spreadsheets/d/1kGrh75X1cNR1D7_FcY9zMnHP8iPO4M5RCRjy6nZY0TY/edit#gid=0"",""Table 1: Study characteristics!A4:A171""), $A119=IMPORTRANGE(""https://docs.google.com/spreadsheets/d/1kGrh75X1cNR1D7_FcY9zMnHP8iPO4M5RCRjy6nZY0TY/edit#gi"&amp;"d=0"",""Table 1: Study characteristics!B4:B171""))
)"),"wrong study design")</f>
        <v>wrong study design</v>
      </c>
    </row>
    <row r="120">
      <c r="A120" s="4" t="str">
        <f>IFERROR(__xludf.DUMMYFUNCTION("""COMPUTED_VALUE"""),"[Surgical treatment of hydrocephalus in cases of myelomeningocele]")</f>
        <v>[Surgical treatment of hydrocephalus in cases of myelomeningocele]</v>
      </c>
      <c r="B120" s="5" t="str">
        <f>IFERROR(__xludf.DUMMYFUNCTION("LEFT(FILTER(IMPORTRANGE(""https://docs.google.com/spreadsheets/d/1BJSV3WBYJGRhQ6zExamkszQ5VutGIcaQqmbD9ZTVXMQ/edit#gid=1251630045"",""articles_with_PRISMA_reasons!K2:K2113""), $A120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$A120=IMPORTRANGE(""https://docs.google.com/spreadsheets/d/1BJSV3WBYJGRhQ6zExamkszQ5VutGIcaQqmbD9ZTVXMQ/edit#gid=1251630045"",""articles_with_PRISMA_reasons!B2:B2113"")))-1)"),"Rickham")</f>
        <v>Rickham</v>
      </c>
      <c r="C120" s="6">
        <f>IFERROR(__xludf.DUMMYFUNCTION("FILTER(IMPORTRANGE(""https://docs.google.com/spreadsheets/d/1BJSV3WBYJGRhQ6zExamkszQ5VutGIcaQqmbD9ZTVXMQ/edit#gid=1251630045"",""articles_with_PRISMA_reasons!C2:C2113""), $A120=IMPORTRANGE(""https://docs.google.com/spreadsheets/d/1BJSV3WBYJGRhQ6zExamkszQ5"&amp;"VutGIcaQqmbD9ZTVXMQ/edit#gid=1251630045"",""articles_with_PRISMA_reasons!B2:B2113""))"),1969.0)</f>
        <v>1969</v>
      </c>
      <c r="D120" s="5" t="str">
        <f>IFERROR(__xludf.DUMMYFUNCTION("IFS(AND(
FILTER(IMPORTRANGE(""https://docs.google.com/spreadsheets/d/1BJSV3WBYJGRhQ6zExamkszQ5VutGIcaQqmbD9ZTVXMQ/edit#gid=1251630045"",""articles_with_PRISMA_reasons!Y2:Y2113""), $A120=IMPORTRANGE(""https://docs.google.com/spreadsheets/d/1BJSV3WBYJGRhQ6z"&amp;"ExamkszQ5VutGIcaQqmbD9ZTVXMQ/edit#gid=1251630045"",""articles_with_PRISMA_reasons!B2:B2113""))&gt;=2,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$A120=IMPORTRANGE(""https://docs.google.com/spreadsheets/d/1BJSV3WBYJGRhQ6zExamkszQ5VutGIcaQqmbD9ZTVXMQ/edit#gid=1251630045"",""articles_with_PRISMA_reasons!B2:B2113""))&lt;2),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$A120=IMPORTRANGE(""https://docs.google.com/spreadsheets/d/1BJSV3WBYJGRhQ6zExamkszQ5VutGIcaQqmbD9ZTVXMQ/edit#gid=1251630045"",""arti"&amp;"cles_with_PRISMA_reasons!B2:B2113""))&lt;2,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$A120=IMPORTRANGE(""https://docs.google.com"&amp;"/spreadsheets/d/1BJSV3WBYJGRhQ6zExamkszQ5VutGIcaQqmbD9ZTVXMQ/edit#gid=1251630045"",""articles_with_PRISMA_reasons!B2:B2113""))&gt;=2),
""Exclude""
)"),"Include")</f>
        <v>Include</v>
      </c>
      <c r="E120" s="5" t="str">
        <f>IFERROR(__xludf.DUMMYFUNCTION("IFS(
D120=""Exclude"",""Exclude"",
AND(
FILTER(IMPORTRANGE(""https://docs.google.com/spreadsheets/d/1qpEmbGH0JjaJbUdp21-y2cPbobDbMjr09BbtdKROZWc/edit#gid=1444865654"",""articles_with_PRISMA_reasons!W2:W2113""), $A120=IMPORTRANGE(""https://docs.google.com/"&amp;"spreadsheets/d/1qpEmbGH0JjaJbUdp21-y2cPbobDbMjr09BbtdKROZWc/edit#gid=1444865654"",""articles_with_PRISMA_reasons!B2:B2113""))&gt;=2,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$A120=IMPORTRANGE(""https://docs.google.com/spreadsheets/d/1qpEmbGH0JjaJbUdp21-y2cPbobDbMjr09BbtdKROZWc/edit#gid=1444865654"",""articles_with_PRISMA_reasons!B2:B2113""))&lt;2),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$A120=IMPORTRANGE(""https://docs.google.com/spreadsheets/d/1qpEmbGH0JjaJbUdp21-y2cPbobDbMjr09BbtdKRO"&amp;"ZWc/edit#gid=1444865654"",""articles_with_PRISMA_reasons!B2:B2113""))&lt;2,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$A120=IMPOR"&amp;"TRANGE(""https://docs.google.com/spreadsheets/d/1qpEmbGH0JjaJbUdp21-y2cPbobDbMjr09BbtdKROZWc/edit#gid=1444865654"",""articles_with_PRISMA_reasons!B2:B2113""))&gt;=2),
""Exclude""
)"),"Exclude")</f>
        <v>Exclude</v>
      </c>
      <c r="F120" s="5" t="str">
        <f>IFERROR(__xludf.DUMMYFUNCTION("IFS(
E120=""Exclude"",""Exclude"",
AND(
COUNTIF(
IMPORTRANGE(""https://docs.google.com/spreadsheets/d/1kGrh75X1cNR1D7_FcY9zMnHP8iPO4M5RCRjy6nZY0TY/edit#gid=0"",""Table 1: Study characteristics!B4:B171""),A120)&gt;0,
COUNTIF(Studies!$A$2:$A$85,FILTER(IMPORTRA"&amp;"NGE(""https://docs.google.com/spreadsheets/d/1kGrh75X1cNR1D7_FcY9zMnHP8iPO4M5RCRjy6nZY0TY/edit#gid=0"",""Table 1: Study characteristics!A4:A171""), $A120=IMPORTRANGE(""https://docs.google.com/spreadsheets/d/1kGrh75X1cNR1D7_FcY9zMnHP8iPO4M5RCRjy6nZY0TY/edi"&amp;"t#gid=0"",""Table 1: Study characteristics!B4:B171"")))&gt;0
),
""Include""
)"),"Exclude")</f>
        <v>Exclude</v>
      </c>
      <c r="G120" s="5" t="str">
        <f>IFERROR(__xludf.DUMMYFUNCTION("IFS(
D120=""Exclude"",
FILTER(IMPORTRANGE(""https://docs.google.com/spreadsheets/d/1BJSV3WBYJGRhQ6zExamkszQ5VutGIcaQqmbD9ZTVXMQ/edit#gid=1251630045"",""articles_with_PRISMA_reasons!AB2:AB2113""), $A120=IMPORTRANGE(""https://docs.google.com/spreadsheets/d/"&amp;"1BJSV3WBYJGRhQ6zExamkszQ5VutGIcaQqmbD9ZTVXMQ/edit#gid=1251630045"",""articles_with_PRISMA_reasons!B2:B2113"")),
E120=""Exclude"",
FILTER(IMPORTRANGE(""https://docs.google.com/spreadsheets/d/1qpEmbGH0JjaJbUdp21-y2cPbobDbMjr09BbtdKROZWc/edit#gid=1444865654"&amp;""",""articles_with_PRISMA_reasons!Z2:Z2113""), $A120=IMPORTRANGE(""https://docs.google.com/spreadsheets/d/1qpEmbGH0JjaJbUdp21-y2cPbobDbMjr09BbtdKROZWc/edit#gid=1444865654"",""articles_with_PRISMA_reasons!B2:B2113"")),F120
=""Include"",FILTER(IMPORTRANGE("&amp;"""https://docs.google.com/spreadsheets/d/1kGrh75X1cNR1D7_FcY9zMnHP8iPO4M5RCRjy6nZY0TY/edit#gid=0"",""Table 1: Study characteristics!A4:A171""), $A120=IMPORTRANGE(""https://docs.google.com/spreadsheets/d/1kGrh75X1cNR1D7_FcY9zMnHP8iPO4M5RCRjy6nZY0TY/edit#gi"&amp;"d=0"",""Table 1: Study characteristics!B4:B171""))
)"),"no full text")</f>
        <v>no full text</v>
      </c>
    </row>
    <row r="121">
      <c r="A121" s="4" t="str">
        <f>IFERROR(__xludf.DUMMYFUNCTION("""COMPUTED_VALUE"""),"[Symptomatic Chiari type-II malformation in the neonatal period: a review of 4 cases]")</f>
        <v>[Symptomatic Chiari type-II malformation in the neonatal period: a review of 4 cases]</v>
      </c>
      <c r="B121" s="5" t="str">
        <f>IFERROR(__xludf.DUMMYFUNCTION("LEFT(FILTER(IMPORTRANGE(""https://docs.google.com/spreadsheets/d/1BJSV3WBYJGRhQ6zExamkszQ5VutGIcaQqmbD9ZTVXMQ/edit#gid=1251630045"",""articles_with_PRISMA_reasons!K2:K2113""), $A121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$A121=IMPORTRANGE(""https://docs.google.com/spreadsheets/d/1BJSV3WBYJGRhQ6zExamkszQ5VutGIcaQqmbD9ZTVXMQ/edit#gid=1251630045"",""articles_with_PRISMA_reasons!B2:B2113"")))-1)"),"Garcia Escrig")</f>
        <v>Garcia Escrig</v>
      </c>
      <c r="C121" s="6">
        <f>IFERROR(__xludf.DUMMYFUNCTION("FILTER(IMPORTRANGE(""https://docs.google.com/spreadsheets/d/1BJSV3WBYJGRhQ6zExamkszQ5VutGIcaQqmbD9ZTVXMQ/edit#gid=1251630045"",""articles_with_PRISMA_reasons!C2:C2113""), $A121=IMPORTRANGE(""https://docs.google.com/spreadsheets/d/1BJSV3WBYJGRhQ6zExamkszQ5"&amp;"VutGIcaQqmbD9ZTVXMQ/edit#gid=1251630045"",""articles_with_PRISMA_reasons!B2:B2113""))"),1993.0)</f>
        <v>1993</v>
      </c>
      <c r="D121" s="5" t="str">
        <f>IFERROR(__xludf.DUMMYFUNCTION("IFS(AND(
FILTER(IMPORTRANGE(""https://docs.google.com/spreadsheets/d/1BJSV3WBYJGRhQ6zExamkszQ5VutGIcaQqmbD9ZTVXMQ/edit#gid=1251630045"",""articles_with_PRISMA_reasons!Y2:Y2113""), $A121=IMPORTRANGE(""https://docs.google.com/spreadsheets/d/1BJSV3WBYJGRhQ6z"&amp;"ExamkszQ5VutGIcaQqmbD9ZTVXMQ/edit#gid=1251630045"",""articles_with_PRISMA_reasons!B2:B2113""))&gt;=2,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$A121=IMPORTRANGE(""https://docs.google.com/spreadsheets/d/1BJSV3WBYJGRhQ6zExamkszQ5VutGIcaQqmbD9ZTVXMQ/edit#gid=1251630045"",""articles_with_PRISMA_reasons!B2:B2113""))&lt;2),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$A121=IMPORTRANGE(""https://docs.google.com/spreadsheets/d/1BJSV3WBYJGRhQ6zExamkszQ5VutGIcaQqmbD9ZTVXMQ/edit#gid=1251630045"",""arti"&amp;"cles_with_PRISMA_reasons!B2:B2113""))&lt;2,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$A121=IMPORTRANGE(""https://docs.google.com"&amp;"/spreadsheets/d/1BJSV3WBYJGRhQ6zExamkszQ5VutGIcaQqmbD9ZTVXMQ/edit#gid=1251630045"",""articles_with_PRISMA_reasons!B2:B2113""))&gt;=2),
""Exclude""
)"),"Exclude")</f>
        <v>Exclude</v>
      </c>
      <c r="E121" s="5" t="str">
        <f>IFERROR(__xludf.DUMMYFUNCTION("IFS(
D121=""Exclude"",""Exclude"",
AND(
FILTER(IMPORTRANGE(""https://docs.google.com/spreadsheets/d/1qpEmbGH0JjaJbUdp21-y2cPbobDbMjr09BbtdKROZWc/edit#gid=1444865654"",""articles_with_PRISMA_reasons!W2:W2113""), $A121=IMPORTRANGE(""https://docs.google.com/"&amp;"spreadsheets/d/1qpEmbGH0JjaJbUdp21-y2cPbobDbMjr09BbtdKROZWc/edit#gid=1444865654"",""articles_with_PRISMA_reasons!B2:B2113""))&gt;=2,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$A121=IMPORTRANGE(""https://docs.google.com/spreadsheets/d/1qpEmbGH0JjaJbUdp21-y2cPbobDbMjr09BbtdKROZWc/edit#gid=1444865654"",""articles_with_PRISMA_reasons!B2:B2113""))&lt;2),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$A121=IMPORTRANGE(""https://docs.google.com/spreadsheets/d/1qpEmbGH0JjaJbUdp21-y2cPbobDbMjr09BbtdKRO"&amp;"ZWc/edit#gid=1444865654"",""articles_with_PRISMA_reasons!B2:B2113""))&lt;2,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$A121=IMPOR"&amp;"TRANGE(""https://docs.google.com/spreadsheets/d/1qpEmbGH0JjaJbUdp21-y2cPbobDbMjr09BbtdKROZWc/edit#gid=1444865654"",""articles_with_PRISMA_reasons!B2:B2113""))&gt;=2),
""Exclude""
)"),"Exclude")</f>
        <v>Exclude</v>
      </c>
      <c r="F121" s="5" t="str">
        <f>IFERROR(__xludf.DUMMYFUNCTION("IFS(
E121=""Exclude"",""Exclude"",
AND(
COUNTIF(
IMPORTRANGE(""https://docs.google.com/spreadsheets/d/1kGrh75X1cNR1D7_FcY9zMnHP8iPO4M5RCRjy6nZY0TY/edit#gid=0"",""Table 1: Study characteristics!B4:B171""),A121)&gt;0,
COUNTIF(Studies!$A$2:$A$85,FILTER(IMPORTRA"&amp;"NGE(""https://docs.google.com/spreadsheets/d/1kGrh75X1cNR1D7_FcY9zMnHP8iPO4M5RCRjy6nZY0TY/edit#gid=0"",""Table 1: Study characteristics!A4:A171""), $A121=IMPORTRANGE(""https://docs.google.com/spreadsheets/d/1kGrh75X1cNR1D7_FcY9zMnHP8iPO4M5RCRjy6nZY0TY/edi"&amp;"t#gid=0"",""Table 1: Study characteristics!B4:B171"")))&gt;0
),
""Include""
)"),"Exclude")</f>
        <v>Exclude</v>
      </c>
      <c r="G121" s="5" t="str">
        <f>IFERROR(__xludf.DUMMYFUNCTION("IFS(
D121=""Exclude"",
FILTER(IMPORTRANGE(""https://docs.google.com/spreadsheets/d/1BJSV3WBYJGRhQ6zExamkszQ5VutGIcaQqmbD9ZTVXMQ/edit#gid=1251630045"",""articles_with_PRISMA_reasons!AB2:AB2113""), $A121=IMPORTRANGE(""https://docs.google.com/spreadsheets/d/"&amp;"1BJSV3WBYJGRhQ6zExamkszQ5VutGIcaQqmbD9ZTVXMQ/edit#gid=1251630045"",""articles_with_PRISMA_reasons!B2:B2113"")),
E121=""Exclude"",
FILTER(IMPORTRANGE(""https://docs.google.com/spreadsheets/d/1qpEmbGH0JjaJbUdp21-y2cPbobDbMjr09BbtdKROZWc/edit#gid=1444865654"&amp;""",""articles_with_PRISMA_reasons!Z2:Z2113""), $A121=IMPORTRANGE(""https://docs.google.com/spreadsheets/d/1qpEmbGH0JjaJbUdp21-y2cPbobDbMjr09BbtdKROZWc/edit#gid=1444865654"",""articles_with_PRISMA_reasons!B2:B2113"")),F121
=""Include"",FILTER(IMPORTRANGE("&amp;"""https://docs.google.com/spreadsheets/d/1kGrh75X1cNR1D7_FcY9zMnHP8iPO4M5RCRjy6nZY0TY/edit#gid=0"",""Table 1: Study characteristics!A4:A171""), $A121=IMPORTRANGE(""https://docs.google.com/spreadsheets/d/1kGrh75X1cNR1D7_FcY9zMnHP8iPO4M5RCRjy6nZY0TY/edit#gi"&amp;"d=0"",""Table 1: Study characteristics!B4:B171""))
)"),"wrong population")</f>
        <v>wrong population</v>
      </c>
    </row>
    <row r="122">
      <c r="A122" s="4" t="str">
        <f>IFERROR(__xludf.DUMMYFUNCTION("""COMPUTED_VALUE"""),"[Syndromes of overdrainage of ventricular shunting in childhood hydrocephalus]")</f>
        <v>[Syndromes of overdrainage of ventricular shunting in childhood hydrocephalus]</v>
      </c>
      <c r="B122" s="5" t="str">
        <f>IFERROR(__xludf.DUMMYFUNCTION("LEFT(FILTER(IMPORTRANGE(""https://docs.google.com/spreadsheets/d/1BJSV3WBYJGRhQ6zExamkszQ5VutGIcaQqmbD9ZTVXMQ/edit#gid=1251630045"",""articles_with_PRISMA_reasons!K2:K2113""), $A122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$A122=IMPORTRANGE(""https://docs.google.com/spreadsheets/d/1BJSV3WBYJGRhQ6zExamkszQ5VutGIcaQqmbD9ZTVXMQ/edit#gid=1251630045"",""articles_with_PRISMA_reasons!B2:B2113"")))-1)"),"Martinez-Lage")</f>
        <v>Martinez-Lage</v>
      </c>
      <c r="C122" s="6">
        <f>IFERROR(__xludf.DUMMYFUNCTION("FILTER(IMPORTRANGE(""https://docs.google.com/spreadsheets/d/1BJSV3WBYJGRhQ6zExamkszQ5VutGIcaQqmbD9ZTVXMQ/edit#gid=1251630045"",""articles_with_PRISMA_reasons!C2:C2113""), $A122=IMPORTRANGE(""https://docs.google.com/spreadsheets/d/1BJSV3WBYJGRhQ6zExamkszQ5"&amp;"VutGIcaQqmbD9ZTVXMQ/edit#gid=1251630045"",""articles_with_PRISMA_reasons!B2:B2113""))"),2005.0)</f>
        <v>2005</v>
      </c>
      <c r="D122" s="5" t="str">
        <f>IFERROR(__xludf.DUMMYFUNCTION("IFS(AND(
FILTER(IMPORTRANGE(""https://docs.google.com/spreadsheets/d/1BJSV3WBYJGRhQ6zExamkszQ5VutGIcaQqmbD9ZTVXMQ/edit#gid=1251630045"",""articles_with_PRISMA_reasons!Y2:Y2113""), $A122=IMPORTRANGE(""https://docs.google.com/spreadsheets/d/1BJSV3WBYJGRhQ6z"&amp;"ExamkszQ5VutGIcaQqmbD9ZTVXMQ/edit#gid=1251630045"",""articles_with_PRISMA_reasons!B2:B2113""))&gt;=2,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$A122=IMPORTRANGE(""https://docs.google.com/spreadsheets/d/1BJSV3WBYJGRhQ6zExamkszQ5VutGIcaQqmbD9ZTVXMQ/edit#gid=1251630045"",""articles_with_PRISMA_reasons!B2:B2113""))&lt;2),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$A122=IMPORTRANGE(""https://docs.google.com/spreadsheets/d/1BJSV3WBYJGRhQ6zExamkszQ5VutGIcaQqmbD9ZTVXMQ/edit#gid=1251630045"",""arti"&amp;"cles_with_PRISMA_reasons!B2:B2113""))&lt;2,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$A122=IMPORTRANGE(""https://docs.google.com"&amp;"/spreadsheets/d/1BJSV3WBYJGRhQ6zExamkszQ5VutGIcaQqmbD9ZTVXMQ/edit#gid=1251630045"",""articles_with_PRISMA_reasons!B2:B2113""))&gt;=2),
""Exclude""
)"),"Include")</f>
        <v>Include</v>
      </c>
      <c r="E122" s="5" t="str">
        <f>IFERROR(__xludf.DUMMYFUNCTION("IFS(
D122=""Exclude"",""Exclude"",
AND(
FILTER(IMPORTRANGE(""https://docs.google.com/spreadsheets/d/1qpEmbGH0JjaJbUdp21-y2cPbobDbMjr09BbtdKROZWc/edit#gid=1444865654"",""articles_with_PRISMA_reasons!W2:W2113""), $A122=IMPORTRANGE(""https://docs.google.com/"&amp;"spreadsheets/d/1qpEmbGH0JjaJbUdp21-y2cPbobDbMjr09BbtdKROZWc/edit#gid=1444865654"",""articles_with_PRISMA_reasons!B2:B2113""))&gt;=2,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$A122=IMPORTRANGE(""https://docs.google.com/spreadsheets/d/1qpEmbGH0JjaJbUdp21-y2cPbobDbMjr09BbtdKROZWc/edit#gid=1444865654"",""articles_with_PRISMA_reasons!B2:B2113""))&lt;2),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$A122=IMPORTRANGE(""https://docs.google.com/spreadsheets/d/1qpEmbGH0JjaJbUdp21-y2cPbobDbMjr09BbtdKRO"&amp;"ZWc/edit#gid=1444865654"",""articles_with_PRISMA_reasons!B2:B2113""))&lt;2,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$A122=IMPOR"&amp;"TRANGE(""https://docs.google.com/spreadsheets/d/1qpEmbGH0JjaJbUdp21-y2cPbobDbMjr09BbtdKROZWc/edit#gid=1444865654"",""articles_with_PRISMA_reasons!B2:B2113""))&gt;=2),
""Exclude""
)"),"Include")</f>
        <v>Include</v>
      </c>
      <c r="F122" s="5" t="str">
        <f>IFERROR(__xludf.DUMMYFUNCTION("IFS(
E122=""Exclude"",""Exclude"",
AND(
COUNTIF(
IMPORTRANGE(""https://docs.google.com/spreadsheets/d/1kGrh75X1cNR1D7_FcY9zMnHP8iPO4M5RCRjy6nZY0TY/edit#gid=0"",""Table 1: Study characteristics!B4:B171""),A122)&gt;0,
COUNTIF(Studies!$A$2:$A$85,FILTER(IMPORTRA"&amp;"NGE(""https://docs.google.com/spreadsheets/d/1kGrh75X1cNR1D7_FcY9zMnHP8iPO4M5RCRjy6nZY0TY/edit#gid=0"",""Table 1: Study characteristics!A4:A171""), $A122=IMPORTRANGE(""https://docs.google.com/spreadsheets/d/1kGrh75X1cNR1D7_FcY9zMnHP8iPO4M5RCRjy6nZY0TY/edi"&amp;"t#gid=0"",""Table 1: Study characteristics!B4:B171"")))&gt;0
),
""Include""
)"),"Include")</f>
        <v>Include</v>
      </c>
      <c r="G122" s="5" t="str">
        <f>IFERROR(__xludf.DUMMYFUNCTION("IFS(
D122=""Exclude"",
FILTER(IMPORTRANGE(""https://docs.google.com/spreadsheets/d/1BJSV3WBYJGRhQ6zExamkszQ5VutGIcaQqmbD9ZTVXMQ/edit#gid=1251630045"",""articles_with_PRISMA_reasons!AB2:AB2113""), $A122=IMPORTRANGE(""https://docs.google.com/spreadsheets/d/"&amp;"1BJSV3WBYJGRhQ6zExamkszQ5VutGIcaQqmbD9ZTVXMQ/edit#gid=1251630045"",""articles_with_PRISMA_reasons!B2:B2113"")),
E122=""Exclude"",
FILTER(IMPORTRANGE(""https://docs.google.com/spreadsheets/d/1qpEmbGH0JjaJbUdp21-y2cPbobDbMjr09BbtdKROZWc/edit#gid=1444865654"&amp;""",""articles_with_PRISMA_reasons!Z2:Z2113""), $A122=IMPORTRANGE(""https://docs.google.com/spreadsheets/d/1qpEmbGH0JjaJbUdp21-y2cPbobDbMjr09BbtdKROZWc/edit#gid=1444865654"",""articles_with_PRISMA_reasons!B2:B2113"")),F122
=""Include"",FILTER(IMPORTRANGE("&amp;"""https://docs.google.com/spreadsheets/d/1kGrh75X1cNR1D7_FcY9zMnHP8iPO4M5RCRjy6nZY0TY/edit#gid=0"",""Table 1: Study characteristics!A4:A171""), $A122=IMPORTRANGE(""https://docs.google.com/spreadsheets/d/1kGrh75X1cNR1D7_FcY9zMnHP8iPO4M5RCRjy6nZY0TY/edit#gi"&amp;"d=0"",""Table 1: Study characteristics!B4:B171""))
)"),"ID 1")</f>
        <v>ID 1</v>
      </c>
    </row>
    <row r="123">
      <c r="A123" s="4" t="str">
        <f>IFERROR(__xludf.DUMMYFUNCTION("""COMPUTED_VALUE"""),"[The clinical relevance of the dynamics of ventricular changes in surgically treated hydrocephalus of children with myelomeningocele]")</f>
        <v>[The clinical relevance of the dynamics of ventricular changes in surgically treated hydrocephalus of children with myelomeningocele]</v>
      </c>
      <c r="B123" s="5" t="str">
        <f>IFERROR(__xludf.DUMMYFUNCTION("LEFT(FILTER(IMPORTRANGE(""https://docs.google.com/spreadsheets/d/1BJSV3WBYJGRhQ6zExamkszQ5VutGIcaQqmbD9ZTVXMQ/edit#gid=1251630045"",""articles_with_PRISMA_reasons!K2:K2113""), $A123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$A123=IMPORTRANGE(""https://docs.google.com/spreadsheets/d/1BJSV3WBYJGRhQ6zExamkszQ5VutGIcaQqmbD9ZTVXMQ/edit#gid=1251630045"",""articles_with_PRISMA_reasons!B2:B2113"")))-1)"),"Grafe")</f>
        <v>Grafe</v>
      </c>
      <c r="C123" s="6">
        <f>IFERROR(__xludf.DUMMYFUNCTION("FILTER(IMPORTRANGE(""https://docs.google.com/spreadsheets/d/1BJSV3WBYJGRhQ6zExamkszQ5VutGIcaQqmbD9ZTVXMQ/edit#gid=1251630045"",""articles_with_PRISMA_reasons!C2:C2113""), $A123=IMPORTRANGE(""https://docs.google.com/spreadsheets/d/1BJSV3WBYJGRhQ6zExamkszQ5"&amp;"VutGIcaQqmbD9ZTVXMQ/edit#gid=1251630045"",""articles_with_PRISMA_reasons!B2:B2113""))"),1990.0)</f>
        <v>1990</v>
      </c>
      <c r="D123" s="5" t="str">
        <f>IFERROR(__xludf.DUMMYFUNCTION("IFS(AND(
FILTER(IMPORTRANGE(""https://docs.google.com/spreadsheets/d/1BJSV3WBYJGRhQ6zExamkszQ5VutGIcaQqmbD9ZTVXMQ/edit#gid=1251630045"",""articles_with_PRISMA_reasons!Y2:Y2113""), $A123=IMPORTRANGE(""https://docs.google.com/spreadsheets/d/1BJSV3WBYJGRhQ6z"&amp;"ExamkszQ5VutGIcaQqmbD9ZTVXMQ/edit#gid=1251630045"",""articles_with_PRISMA_reasons!B2:B2113""))&gt;=2,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$A123=IMPORTRANGE(""https://docs.google.com/spreadsheets/d/1BJSV3WBYJGRhQ6zExamkszQ5VutGIcaQqmbD9ZTVXMQ/edit#gid=1251630045"",""articles_with_PRISMA_reasons!B2:B2113""))&lt;2),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$A123=IMPORTRANGE(""https://docs.google.com/spreadsheets/d/1BJSV3WBYJGRhQ6zExamkszQ5VutGIcaQqmbD9ZTVXMQ/edit#gid=1251630045"",""arti"&amp;"cles_with_PRISMA_reasons!B2:B2113""))&lt;2,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$A123=IMPORTRANGE(""https://docs.google.com"&amp;"/spreadsheets/d/1BJSV3WBYJGRhQ6zExamkszQ5VutGIcaQqmbD9ZTVXMQ/edit#gid=1251630045"",""articles_with_PRISMA_reasons!B2:B2113""))&gt;=2),
""Exclude""
)"),"Exclude")</f>
        <v>Exclude</v>
      </c>
      <c r="E123" s="5" t="str">
        <f>IFERROR(__xludf.DUMMYFUNCTION("IFS(
D123=""Exclude"",""Exclude"",
AND(
FILTER(IMPORTRANGE(""https://docs.google.com/spreadsheets/d/1qpEmbGH0JjaJbUdp21-y2cPbobDbMjr09BbtdKROZWc/edit#gid=1444865654"",""articles_with_PRISMA_reasons!W2:W2113""), $A123=IMPORTRANGE(""https://docs.google.com/"&amp;"spreadsheets/d/1qpEmbGH0JjaJbUdp21-y2cPbobDbMjr09BbtdKROZWc/edit#gid=1444865654"",""articles_with_PRISMA_reasons!B2:B2113""))&gt;=2,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$A123=IMPORTRANGE(""https://docs.google.com/spreadsheets/d/1qpEmbGH0JjaJbUdp21-y2cPbobDbMjr09BbtdKROZWc/edit#gid=1444865654"",""articles_with_PRISMA_reasons!B2:B2113""))&lt;2),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$A123=IMPORTRANGE(""https://docs.google.com/spreadsheets/d/1qpEmbGH0JjaJbUdp21-y2cPbobDbMjr09BbtdKRO"&amp;"ZWc/edit#gid=1444865654"",""articles_with_PRISMA_reasons!B2:B2113""))&lt;2,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$A123=IMPOR"&amp;"TRANGE(""https://docs.google.com/spreadsheets/d/1qpEmbGH0JjaJbUdp21-y2cPbobDbMjr09BbtdKROZWc/edit#gid=1444865654"",""articles_with_PRISMA_reasons!B2:B2113""))&gt;=2),
""Exclude""
)"),"Exclude")</f>
        <v>Exclude</v>
      </c>
      <c r="F123" s="5" t="str">
        <f>IFERROR(__xludf.DUMMYFUNCTION("IFS(
E123=""Exclude"",""Exclude"",
AND(
COUNTIF(
IMPORTRANGE(""https://docs.google.com/spreadsheets/d/1kGrh75X1cNR1D7_FcY9zMnHP8iPO4M5RCRjy6nZY0TY/edit#gid=0"",""Table 1: Study characteristics!B4:B171""),A123)&gt;0,
COUNTIF(Studies!$A$2:$A$85,FILTER(IMPORTRA"&amp;"NGE(""https://docs.google.com/spreadsheets/d/1kGrh75X1cNR1D7_FcY9zMnHP8iPO4M5RCRjy6nZY0TY/edit#gid=0"",""Table 1: Study characteristics!A4:A171""), $A123=IMPORTRANGE(""https://docs.google.com/spreadsheets/d/1kGrh75X1cNR1D7_FcY9zMnHP8iPO4M5RCRjy6nZY0TY/edi"&amp;"t#gid=0"",""Table 1: Study characteristics!B4:B171"")))&gt;0
),
""Include""
)"),"Exclude")</f>
        <v>Exclude</v>
      </c>
      <c r="G123" s="5" t="str">
        <f>IFERROR(__xludf.DUMMYFUNCTION("IFS(
D123=""Exclude"",
FILTER(IMPORTRANGE(""https://docs.google.com/spreadsheets/d/1BJSV3WBYJGRhQ6zExamkszQ5VutGIcaQqmbD9ZTVXMQ/edit#gid=1251630045"",""articles_with_PRISMA_reasons!AB2:AB2113""), $A123=IMPORTRANGE(""https://docs.google.com/spreadsheets/d/"&amp;"1BJSV3WBYJGRhQ6zExamkszQ5VutGIcaQqmbD9ZTVXMQ/edit#gid=1251630045"",""articles_with_PRISMA_reasons!B2:B2113"")),
E123=""Exclude"",
FILTER(IMPORTRANGE(""https://docs.google.com/spreadsheets/d/1qpEmbGH0JjaJbUdp21-y2cPbobDbMjr09BbtdKROZWc/edit#gid=1444865654"&amp;""",""articles_with_PRISMA_reasons!Z2:Z2113""), $A123=IMPORTRANGE(""https://docs.google.com/spreadsheets/d/1qpEmbGH0JjaJbUdp21-y2cPbobDbMjr09BbtdKROZWc/edit#gid=1444865654"",""articles_with_PRISMA_reasons!B2:B2113"")),F123
=""Include"",FILTER(IMPORTRANGE("&amp;"""https://docs.google.com/spreadsheets/d/1kGrh75X1cNR1D7_FcY9zMnHP8iPO4M5RCRjy6nZY0TY/edit#gid=0"",""Table 1: Study characteristics!A4:A171""), $A123=IMPORTRANGE(""https://docs.google.com/spreadsheets/d/1kGrh75X1cNR1D7_FcY9zMnHP8iPO4M5RCRjy6nZY0TY/edit#gi"&amp;"d=0"",""Table 1: Study characteristics!B4:B171""))
)"),"wrong population")</f>
        <v>wrong population</v>
      </c>
    </row>
    <row r="124">
      <c r="A124" s="4" t="str">
        <f>IFERROR(__xludf.DUMMYFUNCTION("""COMPUTED_VALUE"""),"[The doctrine of leprosy in the concept of the leprosy specialists of latin origin (1938-1974): a retrospective study in view of the future Internacional Congress in Mexico, 1978]")</f>
        <v>[The doctrine of leprosy in the concept of the leprosy specialists of latin origin (1938-1974): a retrospective study in view of the future Internacional Congress in Mexico, 1978]</v>
      </c>
      <c r="B124" s="5" t="str">
        <f>IFERROR(__xludf.DUMMYFUNCTION("LEFT(FILTER(IMPORTRANGE(""https://docs.google.com/spreadsheets/d/1BJSV3WBYJGRhQ6zExamkszQ5VutGIcaQqmbD9ZTVXMQ/edit#gid=1251630045"",""articles_with_PRISMA_reasons!K2:K2113""), $A124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$A124=IMPORTRANGE(""https://docs.google.com/spreadsheets/d/1BJSV3WBYJGRhQ6zExamkszQ5VutGIcaQqmbD9ZTVXMQ/edit#gid=1251630045"",""articles_with_PRISMA_reasons!B2:B2113"")))-1)"),"Rabello")</f>
        <v>Rabello</v>
      </c>
      <c r="C124" s="6">
        <f>IFERROR(__xludf.DUMMYFUNCTION("FILTER(IMPORTRANGE(""https://docs.google.com/spreadsheets/d/1BJSV3WBYJGRhQ6zExamkszQ5VutGIcaQqmbD9ZTVXMQ/edit#gid=1251630045"",""articles_with_PRISMA_reasons!C2:C2113""), $A124=IMPORTRANGE(""https://docs.google.com/spreadsheets/d/1BJSV3WBYJGRhQ6zExamkszQ5"&amp;"VutGIcaQqmbD9ZTVXMQ/edit#gid=1251630045"",""articles_with_PRISMA_reasons!B2:B2113""))"),1976.0)</f>
        <v>1976</v>
      </c>
      <c r="D124" s="5" t="str">
        <f>IFERROR(__xludf.DUMMYFUNCTION("IFS(AND(
FILTER(IMPORTRANGE(""https://docs.google.com/spreadsheets/d/1BJSV3WBYJGRhQ6zExamkszQ5VutGIcaQqmbD9ZTVXMQ/edit#gid=1251630045"",""articles_with_PRISMA_reasons!Y2:Y2113""), $A124=IMPORTRANGE(""https://docs.google.com/spreadsheets/d/1BJSV3WBYJGRhQ6z"&amp;"ExamkszQ5VutGIcaQqmbD9ZTVXMQ/edit#gid=1251630045"",""articles_with_PRISMA_reasons!B2:B2113""))&gt;=2,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$A124=IMPORTRANGE(""https://docs.google.com/spreadsheets/d/1BJSV3WBYJGRhQ6zExamkszQ5VutGIcaQqmbD9ZTVXMQ/edit#gid=1251630045"",""articles_with_PRISMA_reasons!B2:B2113""))&lt;2),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$A124=IMPORTRANGE(""https://docs.google.com/spreadsheets/d/1BJSV3WBYJGRhQ6zExamkszQ5VutGIcaQqmbD9ZTVXMQ/edit#gid=1251630045"",""arti"&amp;"cles_with_PRISMA_reasons!B2:B2113""))&lt;2,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$A124=IMPORTRANGE(""https://docs.google.com"&amp;"/spreadsheets/d/1BJSV3WBYJGRhQ6zExamkszQ5VutGIcaQqmbD9ZTVXMQ/edit#gid=1251630045"",""articles_with_PRISMA_reasons!B2:B2113""))&gt;=2),
""Exclude""
)"),"Exclude")</f>
        <v>Exclude</v>
      </c>
      <c r="E124" s="5" t="str">
        <f>IFERROR(__xludf.DUMMYFUNCTION("IFS(
D124=""Exclude"",""Exclude"",
AND(
FILTER(IMPORTRANGE(""https://docs.google.com/spreadsheets/d/1qpEmbGH0JjaJbUdp21-y2cPbobDbMjr09BbtdKROZWc/edit#gid=1444865654"",""articles_with_PRISMA_reasons!W2:W2113""), $A124=IMPORTRANGE(""https://docs.google.com/"&amp;"spreadsheets/d/1qpEmbGH0JjaJbUdp21-y2cPbobDbMjr09BbtdKROZWc/edit#gid=1444865654"",""articles_with_PRISMA_reasons!B2:B2113""))&gt;=2,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$A124=IMPORTRANGE(""https://docs.google.com/spreadsheets/d/1qpEmbGH0JjaJbUdp21-y2cPbobDbMjr09BbtdKROZWc/edit#gid=1444865654"",""articles_with_PRISMA_reasons!B2:B2113""))&lt;2),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$A124=IMPORTRANGE(""https://docs.google.com/spreadsheets/d/1qpEmbGH0JjaJbUdp21-y2cPbobDbMjr09BbtdKRO"&amp;"ZWc/edit#gid=1444865654"",""articles_with_PRISMA_reasons!B2:B2113""))&lt;2,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$A124=IMPOR"&amp;"TRANGE(""https://docs.google.com/spreadsheets/d/1qpEmbGH0JjaJbUdp21-y2cPbobDbMjr09BbtdKROZWc/edit#gid=1444865654"",""articles_with_PRISMA_reasons!B2:B2113""))&gt;=2),
""Exclude""
)"),"Exclude")</f>
        <v>Exclude</v>
      </c>
      <c r="F124" s="5" t="str">
        <f>IFERROR(__xludf.DUMMYFUNCTION("IFS(
E124=""Exclude"",""Exclude"",
AND(
COUNTIF(
IMPORTRANGE(""https://docs.google.com/spreadsheets/d/1kGrh75X1cNR1D7_FcY9zMnHP8iPO4M5RCRjy6nZY0TY/edit#gid=0"",""Table 1: Study characteristics!B4:B171""),A124)&gt;0,
COUNTIF(Studies!$A$2:$A$85,FILTER(IMPORTRA"&amp;"NGE(""https://docs.google.com/spreadsheets/d/1kGrh75X1cNR1D7_FcY9zMnHP8iPO4M5RCRjy6nZY0TY/edit#gid=0"",""Table 1: Study characteristics!A4:A171""), $A124=IMPORTRANGE(""https://docs.google.com/spreadsheets/d/1kGrh75X1cNR1D7_FcY9zMnHP8iPO4M5RCRjy6nZY0TY/edi"&amp;"t#gid=0"",""Table 1: Study characteristics!B4:B171"")))&gt;0
),
""Include""
)"),"Exclude")</f>
        <v>Exclude</v>
      </c>
      <c r="G124" s="5" t="str">
        <f>IFERROR(__xludf.DUMMYFUNCTION("IFS(
D124=""Exclude"",
FILTER(IMPORTRANGE(""https://docs.google.com/spreadsheets/d/1BJSV3WBYJGRhQ6zExamkszQ5VutGIcaQqmbD9ZTVXMQ/edit#gid=1251630045"",""articles_with_PRISMA_reasons!AB2:AB2113""), $A124=IMPORTRANGE(""https://docs.google.com/spreadsheets/d/"&amp;"1BJSV3WBYJGRhQ6zExamkszQ5VutGIcaQqmbD9ZTVXMQ/edit#gid=1251630045"",""articles_with_PRISMA_reasons!B2:B2113"")),
E124=""Exclude"",
FILTER(IMPORTRANGE(""https://docs.google.com/spreadsheets/d/1qpEmbGH0JjaJbUdp21-y2cPbobDbMjr09BbtdKROZWc/edit#gid=1444865654"&amp;""",""articles_with_PRISMA_reasons!Z2:Z2113""), $A124=IMPORTRANGE(""https://docs.google.com/spreadsheets/d/1qpEmbGH0JjaJbUdp21-y2cPbobDbMjr09BbtdKROZWc/edit#gid=1444865654"",""articles_with_PRISMA_reasons!B2:B2113"")),F124
=""Include"",FILTER(IMPORTRANGE("&amp;"""https://docs.google.com/spreadsheets/d/1kGrh75X1cNR1D7_FcY9zMnHP8iPO4M5RCRjy6nZY0TY/edit#gid=0"",""Table 1: Study characteristics!A4:A171""), $A124=IMPORTRANGE(""https://docs.google.com/spreadsheets/d/1kGrh75X1cNR1D7_FcY9zMnHP8iPO4M5RCRjy6nZY0TY/edit#gi"&amp;"d=0"",""Table 1: Study characteristics!B4:B171""))
)"),"wrong population")</f>
        <v>wrong population</v>
      </c>
    </row>
    <row r="125">
      <c r="A125" s="4" t="str">
        <f>IFERROR(__xludf.DUMMYFUNCTION("""COMPUTED_VALUE"""),"[THE PROBLEM OF HYDROCEPHALUS IN CHILDREN WITH CONGENITAL CEREBRAL AND SPINAL HERNIAS]")</f>
        <v>[THE PROBLEM OF HYDROCEPHALUS IN CHILDREN WITH CONGENITAL CEREBRAL AND SPINAL HERNIAS]</v>
      </c>
      <c r="B125" s="5" t="str">
        <f>IFERROR(__xludf.DUMMYFUNCTION("LEFT(FILTER(IMPORTRANGE(""https://docs.google.com/spreadsheets/d/1BJSV3WBYJGRhQ6zExamkszQ5VutGIcaQqmbD9ZTVXMQ/edit#gid=1251630045"",""articles_with_PRISMA_reasons!K2:K2113""), $A125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$A125=IMPORTRANGE(""https://docs.google.com/spreadsheets/d/1BJSV3WBYJGRhQ6zExamkszQ5VutGIcaQqmbD9ZTVXMQ/edit#gid=1251630045"",""articles_with_PRISMA_reasons!B2:B2113"")))-1)"),"Lodzinski")</f>
        <v>Lodzinski</v>
      </c>
      <c r="C125" s="6">
        <f>IFERROR(__xludf.DUMMYFUNCTION("FILTER(IMPORTRANGE(""https://docs.google.com/spreadsheets/d/1BJSV3WBYJGRhQ6zExamkszQ5VutGIcaQqmbD9ZTVXMQ/edit#gid=1251630045"",""articles_with_PRISMA_reasons!C2:C2113""), $A125=IMPORTRANGE(""https://docs.google.com/spreadsheets/d/1BJSV3WBYJGRhQ6zExamkszQ5"&amp;"VutGIcaQqmbD9ZTVXMQ/edit#gid=1251630045"",""articles_with_PRISMA_reasons!B2:B2113""))"),1964.0)</f>
        <v>1964</v>
      </c>
      <c r="D125" s="5" t="str">
        <f>IFERROR(__xludf.DUMMYFUNCTION("IFS(AND(
FILTER(IMPORTRANGE(""https://docs.google.com/spreadsheets/d/1BJSV3WBYJGRhQ6zExamkszQ5VutGIcaQqmbD9ZTVXMQ/edit#gid=1251630045"",""articles_with_PRISMA_reasons!Y2:Y2113""), $A125=IMPORTRANGE(""https://docs.google.com/spreadsheets/d/1BJSV3WBYJGRhQ6z"&amp;"ExamkszQ5VutGIcaQqmbD9ZTVXMQ/edit#gid=1251630045"",""articles_with_PRISMA_reasons!B2:B2113""))&gt;=2,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$A125=IMPORTRANGE(""https://docs.google.com/spreadsheets/d/1BJSV3WBYJGRhQ6zExamkszQ5VutGIcaQqmbD9ZTVXMQ/edit#gid=1251630045"",""articles_with_PRISMA_reasons!B2:B2113""))&lt;2),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$A125=IMPORTRANGE(""https://docs.google.com/spreadsheets/d/1BJSV3WBYJGRhQ6zExamkszQ5VutGIcaQqmbD9ZTVXMQ/edit#gid=1251630045"",""arti"&amp;"cles_with_PRISMA_reasons!B2:B2113""))&lt;2,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$A125=IMPORTRANGE(""https://docs.google.com"&amp;"/spreadsheets/d/1BJSV3WBYJGRhQ6zExamkszQ5VutGIcaQqmbD9ZTVXMQ/edit#gid=1251630045"",""articles_with_PRISMA_reasons!B2:B2113""))&gt;=2),
""Exclude""
)"),"Exclude")</f>
        <v>Exclude</v>
      </c>
      <c r="E125" s="5" t="str">
        <f>IFERROR(__xludf.DUMMYFUNCTION("IFS(
D125=""Exclude"",""Exclude"",
AND(
FILTER(IMPORTRANGE(""https://docs.google.com/spreadsheets/d/1qpEmbGH0JjaJbUdp21-y2cPbobDbMjr09BbtdKROZWc/edit#gid=1444865654"",""articles_with_PRISMA_reasons!W2:W2113""), $A125=IMPORTRANGE(""https://docs.google.com/"&amp;"spreadsheets/d/1qpEmbGH0JjaJbUdp21-y2cPbobDbMjr09BbtdKROZWc/edit#gid=1444865654"",""articles_with_PRISMA_reasons!B2:B2113""))&gt;=2,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$A125=IMPORTRANGE(""https://docs.google.com/spreadsheets/d/1qpEmbGH0JjaJbUdp21-y2cPbobDbMjr09BbtdKROZWc/edit#gid=1444865654"",""articles_with_PRISMA_reasons!B2:B2113""))&lt;2),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$A125=IMPORTRANGE(""https://docs.google.com/spreadsheets/d/1qpEmbGH0JjaJbUdp21-y2cPbobDbMjr09BbtdKRO"&amp;"ZWc/edit#gid=1444865654"",""articles_with_PRISMA_reasons!B2:B2113""))&lt;2,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$A125=IMPOR"&amp;"TRANGE(""https://docs.google.com/spreadsheets/d/1qpEmbGH0JjaJbUdp21-y2cPbobDbMjr09BbtdKROZWc/edit#gid=1444865654"",""articles_with_PRISMA_reasons!B2:B2113""))&gt;=2),
""Exclude""
)"),"Exclude")</f>
        <v>Exclude</v>
      </c>
      <c r="F125" s="5" t="str">
        <f>IFERROR(__xludf.DUMMYFUNCTION("IFS(
E125=""Exclude"",""Exclude"",
AND(
COUNTIF(
IMPORTRANGE(""https://docs.google.com/spreadsheets/d/1kGrh75X1cNR1D7_FcY9zMnHP8iPO4M5RCRjy6nZY0TY/edit#gid=0"",""Table 1: Study characteristics!B4:B171""),A125)&gt;0,
COUNTIF(Studies!$A$2:$A$85,FILTER(IMPORTRA"&amp;"NGE(""https://docs.google.com/spreadsheets/d/1kGrh75X1cNR1D7_FcY9zMnHP8iPO4M5RCRjy6nZY0TY/edit#gid=0"",""Table 1: Study characteristics!A4:A171""), $A125=IMPORTRANGE(""https://docs.google.com/spreadsheets/d/1kGrh75X1cNR1D7_FcY9zMnHP8iPO4M5RCRjy6nZY0TY/edi"&amp;"t#gid=0"",""Table 1: Study characteristics!B4:B171"")))&gt;0
),
""Include""
)"),"Exclude")</f>
        <v>Exclude</v>
      </c>
      <c r="G125" s="5" t="str">
        <f>IFERROR(__xludf.DUMMYFUNCTION("IFS(
D125=""Exclude"",
FILTER(IMPORTRANGE(""https://docs.google.com/spreadsheets/d/1BJSV3WBYJGRhQ6zExamkszQ5VutGIcaQqmbD9ZTVXMQ/edit#gid=1251630045"",""articles_with_PRISMA_reasons!AB2:AB2113""), $A125=IMPORTRANGE(""https://docs.google.com/spreadsheets/d/"&amp;"1BJSV3WBYJGRhQ6zExamkszQ5VutGIcaQqmbD9ZTVXMQ/edit#gid=1251630045"",""articles_with_PRISMA_reasons!B2:B2113"")),
E125=""Exclude"",
FILTER(IMPORTRANGE(""https://docs.google.com/spreadsheets/d/1qpEmbGH0JjaJbUdp21-y2cPbobDbMjr09BbtdKROZWc/edit#gid=1444865654"&amp;""",""articles_with_PRISMA_reasons!Z2:Z2113""), $A125=IMPORTRANGE(""https://docs.google.com/spreadsheets/d/1qpEmbGH0JjaJbUdp21-y2cPbobDbMjr09BbtdKROZWc/edit#gid=1444865654"",""articles_with_PRISMA_reasons!B2:B2113"")),F125
=""Include"",FILTER(IMPORTRANGE("&amp;"""https://docs.google.com/spreadsheets/d/1kGrh75X1cNR1D7_FcY9zMnHP8iPO4M5RCRjy6nZY0TY/edit#gid=0"",""Table 1: Study characteristics!A4:A171""), $A125=IMPORTRANGE(""https://docs.google.com/spreadsheets/d/1kGrh75X1cNR1D7_FcY9zMnHP8iPO4M5RCRjy6nZY0TY/edit#gi"&amp;"d=0"",""Table 1: Study characteristics!B4:B171""))
)"),"wrong population")</f>
        <v>wrong population</v>
      </c>
    </row>
    <row r="126">
      <c r="A126" s="4" t="str">
        <f>IFERROR(__xludf.DUMMYFUNCTION("""COMPUTED_VALUE"""),"[The prune-belly syndrome with meningomyelocele--a new syndrome?]")</f>
        <v>[The prune-belly syndrome with meningomyelocele--a new syndrome?]</v>
      </c>
      <c r="B126" s="5" t="str">
        <f>IFERROR(__xludf.DUMMYFUNCTION("LEFT(FILTER(IMPORTRANGE(""https://docs.google.com/spreadsheets/d/1BJSV3WBYJGRhQ6zExamkszQ5VutGIcaQqmbD9ZTVXMQ/edit#gid=1251630045"",""articles_with_PRISMA_reasons!K2:K2113""), $A126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$A126=IMPORTRANGE(""https://docs.google.com/spreadsheets/d/1BJSV3WBYJGRhQ6zExamkszQ5VutGIcaQqmbD9ZTVXMQ/edit#gid=1251630045"",""articles_with_PRISMA_reasons!B2:B2113"")))-1)"),"Cenani")</f>
        <v>Cenani</v>
      </c>
      <c r="C126" s="6">
        <f>IFERROR(__xludf.DUMMYFUNCTION("FILTER(IMPORTRANGE(""https://docs.google.com/spreadsheets/d/1BJSV3WBYJGRhQ6zExamkszQ5VutGIcaQqmbD9ZTVXMQ/edit#gid=1251630045"",""articles_with_PRISMA_reasons!C2:C2113""), $A126=IMPORTRANGE(""https://docs.google.com/spreadsheets/d/1BJSV3WBYJGRhQ6zExamkszQ5"&amp;"VutGIcaQqmbD9ZTVXMQ/edit#gid=1251630045"",""articles_with_PRISMA_reasons!B2:B2113""))"),1978.0)</f>
        <v>1978</v>
      </c>
      <c r="D126" s="5" t="str">
        <f>IFERROR(__xludf.DUMMYFUNCTION("IFS(AND(
FILTER(IMPORTRANGE(""https://docs.google.com/spreadsheets/d/1BJSV3WBYJGRhQ6zExamkszQ5VutGIcaQqmbD9ZTVXMQ/edit#gid=1251630045"",""articles_with_PRISMA_reasons!Y2:Y2113""), $A126=IMPORTRANGE(""https://docs.google.com/spreadsheets/d/1BJSV3WBYJGRhQ6z"&amp;"ExamkszQ5VutGIcaQqmbD9ZTVXMQ/edit#gid=1251630045"",""articles_with_PRISMA_reasons!B2:B2113""))&gt;=2,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$A126=IMPORTRANGE(""https://docs.google.com/spreadsheets/d/1BJSV3WBYJGRhQ6zExamkszQ5VutGIcaQqmbD9ZTVXMQ/edit#gid=1251630045"",""articles_with_PRISMA_reasons!B2:B2113""))&lt;2),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$A126=IMPORTRANGE(""https://docs.google.com/spreadsheets/d/1BJSV3WBYJGRhQ6zExamkszQ5VutGIcaQqmbD9ZTVXMQ/edit#gid=1251630045"",""arti"&amp;"cles_with_PRISMA_reasons!B2:B2113""))&lt;2,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$A126=IMPORTRANGE(""https://docs.google.com"&amp;"/spreadsheets/d/1BJSV3WBYJGRhQ6zExamkszQ5VutGIcaQqmbD9ZTVXMQ/edit#gid=1251630045"",""articles_with_PRISMA_reasons!B2:B2113""))&gt;=2),
""Exclude""
)"),"Exclude")</f>
        <v>Exclude</v>
      </c>
      <c r="E126" s="5" t="str">
        <f>IFERROR(__xludf.DUMMYFUNCTION("IFS(
D126=""Exclude"",""Exclude"",
AND(
FILTER(IMPORTRANGE(""https://docs.google.com/spreadsheets/d/1qpEmbGH0JjaJbUdp21-y2cPbobDbMjr09BbtdKROZWc/edit#gid=1444865654"",""articles_with_PRISMA_reasons!W2:W2113""), $A126=IMPORTRANGE(""https://docs.google.com/"&amp;"spreadsheets/d/1qpEmbGH0JjaJbUdp21-y2cPbobDbMjr09BbtdKROZWc/edit#gid=1444865654"",""articles_with_PRISMA_reasons!B2:B2113""))&gt;=2,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$A126=IMPORTRANGE(""https://docs.google.com/spreadsheets/d/1qpEmbGH0JjaJbUdp21-y2cPbobDbMjr09BbtdKROZWc/edit#gid=1444865654"",""articles_with_PRISMA_reasons!B2:B2113""))&lt;2),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$A126=IMPORTRANGE(""https://docs.google.com/spreadsheets/d/1qpEmbGH0JjaJbUdp21-y2cPbobDbMjr09BbtdKRO"&amp;"ZWc/edit#gid=1444865654"",""articles_with_PRISMA_reasons!B2:B2113""))&lt;2,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$A126=IMPOR"&amp;"TRANGE(""https://docs.google.com/spreadsheets/d/1qpEmbGH0JjaJbUdp21-y2cPbobDbMjr09BbtdKROZWc/edit#gid=1444865654"",""articles_with_PRISMA_reasons!B2:B2113""))&gt;=2),
""Exclude""
)"),"Exclude")</f>
        <v>Exclude</v>
      </c>
      <c r="F126" s="5" t="str">
        <f>IFERROR(__xludf.DUMMYFUNCTION("IFS(
E126=""Exclude"",""Exclude"",
AND(
COUNTIF(
IMPORTRANGE(""https://docs.google.com/spreadsheets/d/1kGrh75X1cNR1D7_FcY9zMnHP8iPO4M5RCRjy6nZY0TY/edit#gid=0"",""Table 1: Study characteristics!B4:B171""),A126)&gt;0,
COUNTIF(Studies!$A$2:$A$85,FILTER(IMPORTRA"&amp;"NGE(""https://docs.google.com/spreadsheets/d/1kGrh75X1cNR1D7_FcY9zMnHP8iPO4M5RCRjy6nZY0TY/edit#gid=0"",""Table 1: Study characteristics!A4:A171""), $A126=IMPORTRANGE(""https://docs.google.com/spreadsheets/d/1kGrh75X1cNR1D7_FcY9zMnHP8iPO4M5RCRjy6nZY0TY/edi"&amp;"t#gid=0"",""Table 1: Study characteristics!B4:B171"")))&gt;0
),
""Include""
)"),"Exclude")</f>
        <v>Exclude</v>
      </c>
      <c r="G126" s="5" t="str">
        <f>IFERROR(__xludf.DUMMYFUNCTION("IFS(
D126=""Exclude"",
FILTER(IMPORTRANGE(""https://docs.google.com/spreadsheets/d/1BJSV3WBYJGRhQ6zExamkszQ5VutGIcaQqmbD9ZTVXMQ/edit#gid=1251630045"",""articles_with_PRISMA_reasons!AB2:AB2113""), $A126=IMPORTRANGE(""https://docs.google.com/spreadsheets/d/"&amp;"1BJSV3WBYJGRhQ6zExamkszQ5VutGIcaQqmbD9ZTVXMQ/edit#gid=1251630045"",""articles_with_PRISMA_reasons!B2:B2113"")),
E126=""Exclude"",
FILTER(IMPORTRANGE(""https://docs.google.com/spreadsheets/d/1qpEmbGH0JjaJbUdp21-y2cPbobDbMjr09BbtdKROZWc/edit#gid=1444865654"&amp;""",""articles_with_PRISMA_reasons!Z2:Z2113""), $A126=IMPORTRANGE(""https://docs.google.com/spreadsheets/d/1qpEmbGH0JjaJbUdp21-y2cPbobDbMjr09BbtdKROZWc/edit#gid=1444865654"",""articles_with_PRISMA_reasons!B2:B2113"")),F126
=""Include"",FILTER(IMPORTRANGE("&amp;"""https://docs.google.com/spreadsheets/d/1kGrh75X1cNR1D7_FcY9zMnHP8iPO4M5RCRjy6nZY0TY/edit#gid=0"",""Table 1: Study characteristics!A4:A171""), $A126=IMPORTRANGE(""https://docs.google.com/spreadsheets/d/1kGrh75X1cNR1D7_FcY9zMnHP8iPO4M5RCRjy6nZY0TY/edit#gi"&amp;"d=0"",""Table 1: Study characteristics!B4:B171""))
)"),"Duplicate")</f>
        <v>Duplicate</v>
      </c>
    </row>
    <row r="127">
      <c r="A127" s="4" t="str">
        <f>IFERROR(__xludf.DUMMYFUNCTION("""COMPUTED_VALUE"""),"[The significance of associated malformations of the central nervous system in myelomeningocele]")</f>
        <v>[The significance of associated malformations of the central nervous system in myelomeningocele]</v>
      </c>
      <c r="B127" s="5" t="str">
        <f>IFERROR(__xludf.DUMMYFUNCTION("LEFT(FILTER(IMPORTRANGE(""https://docs.google.com/spreadsheets/d/1BJSV3WBYJGRhQ6zExamkszQ5VutGIcaQqmbD9ZTVXMQ/edit#gid=1251630045"",""articles_with_PRISMA_reasons!K2:K2113""), $A127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$A127=IMPORTRANGE(""https://docs.google.com/spreadsheets/d/1BJSV3WBYJGRhQ6zExamkszQ5VutGIcaQqmbD9ZTVXMQ/edit#gid=1251630045"",""articles_with_PRISMA_reasons!B2:B2113"")))-1)"),"Christensen")</f>
        <v>Christensen</v>
      </c>
      <c r="C127" s="6">
        <f>IFERROR(__xludf.DUMMYFUNCTION("FILTER(IMPORTRANGE(""https://docs.google.com/spreadsheets/d/1BJSV3WBYJGRhQ6zExamkszQ5VutGIcaQqmbD9ZTVXMQ/edit#gid=1251630045"",""articles_with_PRISMA_reasons!C2:C2113""), $A127=IMPORTRANGE(""https://docs.google.com/spreadsheets/d/1BJSV3WBYJGRhQ6zExamkszQ5"&amp;"VutGIcaQqmbD9ZTVXMQ/edit#gid=1251630045"",""articles_with_PRISMA_reasons!B2:B2113""))"),1998.0)</f>
        <v>1998</v>
      </c>
      <c r="D127" s="5" t="str">
        <f>IFERROR(__xludf.DUMMYFUNCTION("IFS(AND(
FILTER(IMPORTRANGE(""https://docs.google.com/spreadsheets/d/1BJSV3WBYJGRhQ6zExamkszQ5VutGIcaQqmbD9ZTVXMQ/edit#gid=1251630045"",""articles_with_PRISMA_reasons!Y2:Y2113""), $A127=IMPORTRANGE(""https://docs.google.com/spreadsheets/d/1BJSV3WBYJGRhQ6z"&amp;"ExamkszQ5VutGIcaQqmbD9ZTVXMQ/edit#gid=1251630045"",""articles_with_PRISMA_reasons!B2:B2113""))&gt;=2,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$A127=IMPORTRANGE(""https://docs.google.com/spreadsheets/d/1BJSV3WBYJGRhQ6zExamkszQ5VutGIcaQqmbD9ZTVXMQ/edit#gid=1251630045"",""articles_with_PRISMA_reasons!B2:B2113""))&lt;2),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$A127=IMPORTRANGE(""https://docs.google.com/spreadsheets/d/1BJSV3WBYJGRhQ6zExamkszQ5VutGIcaQqmbD9ZTVXMQ/edit#gid=1251630045"",""arti"&amp;"cles_with_PRISMA_reasons!B2:B2113""))&lt;2,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$A127=IMPORTRANGE(""https://docs.google.com"&amp;"/spreadsheets/d/1BJSV3WBYJGRhQ6zExamkszQ5VutGIcaQqmbD9ZTVXMQ/edit#gid=1251630045"",""articles_with_PRISMA_reasons!B2:B2113""))&gt;=2),
""Exclude""
)"),"Exclude")</f>
        <v>Exclude</v>
      </c>
      <c r="E127" s="5" t="str">
        <f>IFERROR(__xludf.DUMMYFUNCTION("IFS(
D127=""Exclude"",""Exclude"",
AND(
FILTER(IMPORTRANGE(""https://docs.google.com/spreadsheets/d/1qpEmbGH0JjaJbUdp21-y2cPbobDbMjr09BbtdKROZWc/edit#gid=1444865654"",""articles_with_PRISMA_reasons!W2:W2113""), $A127=IMPORTRANGE(""https://docs.google.com/"&amp;"spreadsheets/d/1qpEmbGH0JjaJbUdp21-y2cPbobDbMjr09BbtdKROZWc/edit#gid=1444865654"",""articles_with_PRISMA_reasons!B2:B2113""))&gt;=2,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$A127=IMPORTRANGE(""https://docs.google.com/spreadsheets/d/1qpEmbGH0JjaJbUdp21-y2cPbobDbMjr09BbtdKROZWc/edit#gid=1444865654"",""articles_with_PRISMA_reasons!B2:B2113""))&lt;2),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$A127=IMPORTRANGE(""https://docs.google.com/spreadsheets/d/1qpEmbGH0JjaJbUdp21-y2cPbobDbMjr09BbtdKRO"&amp;"ZWc/edit#gid=1444865654"",""articles_with_PRISMA_reasons!B2:B2113""))&lt;2,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$A127=IMPOR"&amp;"TRANGE(""https://docs.google.com/spreadsheets/d/1qpEmbGH0JjaJbUdp21-y2cPbobDbMjr09BbtdKROZWc/edit#gid=1444865654"",""articles_with_PRISMA_reasons!B2:B2113""))&gt;=2),
""Exclude""
)"),"Exclude")</f>
        <v>Exclude</v>
      </c>
      <c r="F127" s="5" t="str">
        <f>IFERROR(__xludf.DUMMYFUNCTION("IFS(
E127=""Exclude"",""Exclude"",
AND(
COUNTIF(
IMPORTRANGE(""https://docs.google.com/spreadsheets/d/1kGrh75X1cNR1D7_FcY9zMnHP8iPO4M5RCRjy6nZY0TY/edit#gid=0"",""Table 1: Study characteristics!B4:B171""),A127)&gt;0,
COUNTIF(Studies!$A$2:$A$85,FILTER(IMPORTRA"&amp;"NGE(""https://docs.google.com/spreadsheets/d/1kGrh75X1cNR1D7_FcY9zMnHP8iPO4M5RCRjy6nZY0TY/edit#gid=0"",""Table 1: Study characteristics!A4:A171""), $A127=IMPORTRANGE(""https://docs.google.com/spreadsheets/d/1kGrh75X1cNR1D7_FcY9zMnHP8iPO4M5RCRjy6nZY0TY/edi"&amp;"t#gid=0"",""Table 1: Study characteristics!B4:B171"")))&gt;0
),
""Include""
)"),"Exclude")</f>
        <v>Exclude</v>
      </c>
      <c r="G127" s="5" t="str">
        <f>IFERROR(__xludf.DUMMYFUNCTION("IFS(
D127=""Exclude"",
FILTER(IMPORTRANGE(""https://docs.google.com/spreadsheets/d/1BJSV3WBYJGRhQ6zExamkszQ5VutGIcaQqmbD9ZTVXMQ/edit#gid=1251630045"",""articles_with_PRISMA_reasons!AB2:AB2113""), $A127=IMPORTRANGE(""https://docs.google.com/spreadsheets/d/"&amp;"1BJSV3WBYJGRhQ6zExamkszQ5VutGIcaQqmbD9ZTVXMQ/edit#gid=1251630045"",""articles_with_PRISMA_reasons!B2:B2113"")),
E127=""Exclude"",
FILTER(IMPORTRANGE(""https://docs.google.com/spreadsheets/d/1qpEmbGH0JjaJbUdp21-y2cPbobDbMjr09BbtdKROZWc/edit#gid=1444865654"&amp;""",""articles_with_PRISMA_reasons!Z2:Z2113""), $A127=IMPORTRANGE(""https://docs.google.com/spreadsheets/d/1qpEmbGH0JjaJbUdp21-y2cPbobDbMjr09BbtdKROZWc/edit#gid=1444865654"",""articles_with_PRISMA_reasons!B2:B2113"")),F127
=""Include"",FILTER(IMPORTRANGE("&amp;"""https://docs.google.com/spreadsheets/d/1kGrh75X1cNR1D7_FcY9zMnHP8iPO4M5RCRjy6nZY0TY/edit#gid=0"",""Table 1: Study characteristics!A4:A171""), $A127=IMPORTRANGE(""https://docs.google.com/spreadsheets/d/1kGrh75X1cNR1D7_FcY9zMnHP8iPO4M5RCRjy6nZY0TY/edit#gi"&amp;"d=0"",""Table 1: Study characteristics!B4:B171""))
)"),"Duplicate")</f>
        <v>Duplicate</v>
      </c>
    </row>
    <row r="128">
      <c r="A128" s="4" t="str">
        <f>IFERROR(__xludf.DUMMYFUNCTION("""COMPUTED_VALUE"""),"[The swing of the pendulum in the treatment of myelomeningocele (author's transl)]")</f>
        <v>[The swing of the pendulum in the treatment of myelomeningocele (author's transl)]</v>
      </c>
      <c r="B128" s="5" t="str">
        <f>IFERROR(__xludf.DUMMYFUNCTION("LEFT(FILTER(IMPORTRANGE(""https://docs.google.com/spreadsheets/d/1BJSV3WBYJGRhQ6zExamkszQ5VutGIcaQqmbD9ZTVXMQ/edit#gid=1251630045"",""articles_with_PRISMA_reasons!K2:K2113""), $A128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$A128=IMPORTRANGE(""https://docs.google.com/spreadsheets/d/1BJSV3WBYJGRhQ6zExamkszQ5VutGIcaQqmbD9ZTVXMQ/edit#gid=1251630045"",""articles_with_PRISMA_reasons!B2:B2113"")))-1)"),"Lorber")</f>
        <v>Lorber</v>
      </c>
      <c r="C128" s="6">
        <f>IFERROR(__xludf.DUMMYFUNCTION("FILTER(IMPORTRANGE(""https://docs.google.com/spreadsheets/d/1BJSV3WBYJGRhQ6zExamkszQ5VutGIcaQqmbD9ZTVXMQ/edit#gid=1251630045"",""articles_with_PRISMA_reasons!C2:C2113""), $A128=IMPORTRANGE(""https://docs.google.com/spreadsheets/d/1BJSV3WBYJGRhQ6zExamkszQ5"&amp;"VutGIcaQqmbD9ZTVXMQ/edit#gid=1251630045"",""articles_with_PRISMA_reasons!B2:B2113""))"),1978.0)</f>
        <v>1978</v>
      </c>
      <c r="D128" s="5" t="str">
        <f>IFERROR(__xludf.DUMMYFUNCTION("IFS(AND(
FILTER(IMPORTRANGE(""https://docs.google.com/spreadsheets/d/1BJSV3WBYJGRhQ6zExamkszQ5VutGIcaQqmbD9ZTVXMQ/edit#gid=1251630045"",""articles_with_PRISMA_reasons!Y2:Y2113""), $A128=IMPORTRANGE(""https://docs.google.com/spreadsheets/d/1BJSV3WBYJGRhQ6z"&amp;"ExamkszQ5VutGIcaQqmbD9ZTVXMQ/edit#gid=1251630045"",""articles_with_PRISMA_reasons!B2:B2113""))&gt;=2,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$A128=IMPORTRANGE(""https://docs.google.com/spreadsheets/d/1BJSV3WBYJGRhQ6zExamkszQ5VutGIcaQqmbD9ZTVXMQ/edit#gid=1251630045"",""articles_with_PRISMA_reasons!B2:B2113""))&lt;2),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$A128=IMPORTRANGE(""https://docs.google.com/spreadsheets/d/1BJSV3WBYJGRhQ6zExamkszQ5VutGIcaQqmbD9ZTVXMQ/edit#gid=1251630045"",""arti"&amp;"cles_with_PRISMA_reasons!B2:B2113""))&lt;2,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$A128=IMPORTRANGE(""https://docs.google.com"&amp;"/spreadsheets/d/1BJSV3WBYJGRhQ6zExamkszQ5VutGIcaQqmbD9ZTVXMQ/edit#gid=1251630045"",""articles_with_PRISMA_reasons!B2:B2113""))&gt;=2),
""Exclude""
)"),"Exclude")</f>
        <v>Exclude</v>
      </c>
      <c r="E128" s="5" t="str">
        <f>IFERROR(__xludf.DUMMYFUNCTION("IFS(
D128=""Exclude"",""Exclude"",
AND(
FILTER(IMPORTRANGE(""https://docs.google.com/spreadsheets/d/1qpEmbGH0JjaJbUdp21-y2cPbobDbMjr09BbtdKROZWc/edit#gid=1444865654"",""articles_with_PRISMA_reasons!W2:W2113""), $A128=IMPORTRANGE(""https://docs.google.com/"&amp;"spreadsheets/d/1qpEmbGH0JjaJbUdp21-y2cPbobDbMjr09BbtdKROZWc/edit#gid=1444865654"",""articles_with_PRISMA_reasons!B2:B2113""))&gt;=2,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$A128=IMPORTRANGE(""https://docs.google.com/spreadsheets/d/1qpEmbGH0JjaJbUdp21-y2cPbobDbMjr09BbtdKROZWc/edit#gid=1444865654"",""articles_with_PRISMA_reasons!B2:B2113""))&lt;2),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$A128=IMPORTRANGE(""https://docs.google.com/spreadsheets/d/1qpEmbGH0JjaJbUdp21-y2cPbobDbMjr09BbtdKRO"&amp;"ZWc/edit#gid=1444865654"",""articles_with_PRISMA_reasons!B2:B2113""))&lt;2,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$A128=IMPOR"&amp;"TRANGE(""https://docs.google.com/spreadsheets/d/1qpEmbGH0JjaJbUdp21-y2cPbobDbMjr09BbtdKROZWc/edit#gid=1444865654"",""articles_with_PRISMA_reasons!B2:B2113""))&gt;=2),
""Exclude""
)"),"Exclude")</f>
        <v>Exclude</v>
      </c>
      <c r="F128" s="5" t="str">
        <f>IFERROR(__xludf.DUMMYFUNCTION("IFS(
E128=""Exclude"",""Exclude"",
AND(
COUNTIF(
IMPORTRANGE(""https://docs.google.com/spreadsheets/d/1kGrh75X1cNR1D7_FcY9zMnHP8iPO4M5RCRjy6nZY0TY/edit#gid=0"",""Table 1: Study characteristics!B4:B171""),A128)&gt;0,
COUNTIF(Studies!$A$2:$A$85,FILTER(IMPORTRA"&amp;"NGE(""https://docs.google.com/spreadsheets/d/1kGrh75X1cNR1D7_FcY9zMnHP8iPO4M5RCRjy6nZY0TY/edit#gid=0"",""Table 1: Study characteristics!A4:A171""), $A128=IMPORTRANGE(""https://docs.google.com/spreadsheets/d/1kGrh75X1cNR1D7_FcY9zMnHP8iPO4M5RCRjy6nZY0TY/edi"&amp;"t#gid=0"",""Table 1: Study characteristics!B4:B171"")))&gt;0
),
""Include""
)"),"Exclude")</f>
        <v>Exclude</v>
      </c>
      <c r="G128" s="5" t="str">
        <f>IFERROR(__xludf.DUMMYFUNCTION("IFS(
D128=""Exclude"",
FILTER(IMPORTRANGE(""https://docs.google.com/spreadsheets/d/1BJSV3WBYJGRhQ6zExamkszQ5VutGIcaQqmbD9ZTVXMQ/edit#gid=1251630045"",""articles_with_PRISMA_reasons!AB2:AB2113""), $A128=IMPORTRANGE(""https://docs.google.com/spreadsheets/d/"&amp;"1BJSV3WBYJGRhQ6zExamkszQ5VutGIcaQqmbD9ZTVXMQ/edit#gid=1251630045"",""articles_with_PRISMA_reasons!B2:B2113"")),
E128=""Exclude"",
FILTER(IMPORTRANGE(""https://docs.google.com/spreadsheets/d/1qpEmbGH0JjaJbUdp21-y2cPbobDbMjr09BbtdKROZWc/edit#gid=1444865654"&amp;""",""articles_with_PRISMA_reasons!Z2:Z2113""), $A128=IMPORTRANGE(""https://docs.google.com/spreadsheets/d/1qpEmbGH0JjaJbUdp21-y2cPbobDbMjr09BbtdKROZWc/edit#gid=1444865654"",""articles_with_PRISMA_reasons!B2:B2113"")),F128
=""Include"",FILTER(IMPORTRANGE("&amp;"""https://docs.google.com/spreadsheets/d/1kGrh75X1cNR1D7_FcY9zMnHP8iPO4M5RCRjy6nZY0TY/edit#gid=0"",""Table 1: Study characteristics!A4:A171""), $A128=IMPORTRANGE(""https://docs.google.com/spreadsheets/d/1kGrh75X1cNR1D7_FcY9zMnHP8iPO4M5RCRjy6nZY0TY/edit#gi"&amp;"d=0"",""Table 1: Study characteristics!B4:B171""))
)"),"wrong outcome")</f>
        <v>wrong outcome</v>
      </c>
    </row>
    <row r="129">
      <c r="A129" s="4" t="str">
        <f>IFERROR(__xludf.DUMMYFUNCTION("""COMPUTED_VALUE"""),"[The ultra-sound diagnosis of Meckel-syndrome (author's transl)]")</f>
        <v>[The ultra-sound diagnosis of Meckel-syndrome (author's transl)]</v>
      </c>
      <c r="B129" s="5" t="str">
        <f>IFERROR(__xludf.DUMMYFUNCTION("LEFT(FILTER(IMPORTRANGE(""https://docs.google.com/spreadsheets/d/1BJSV3WBYJGRhQ6zExamkszQ5VutGIcaQqmbD9ZTVXMQ/edit#gid=1251630045"",""articles_with_PRISMA_reasons!K2:K2113""), $A129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$A129=IMPORTRANGE(""https://docs.google.com/spreadsheets/d/1BJSV3WBYJGRhQ6zExamkszQ5VutGIcaQqmbD9ZTVXMQ/edit#gid=1251630045"",""articles_with_PRISMA_reasons!B2:B2113"")))-1)"),"Pfeiffer")</f>
        <v>Pfeiffer</v>
      </c>
      <c r="C129" s="6">
        <f>IFERROR(__xludf.DUMMYFUNCTION("FILTER(IMPORTRANGE(""https://docs.google.com/spreadsheets/d/1BJSV3WBYJGRhQ6zExamkszQ5VutGIcaQqmbD9ZTVXMQ/edit#gid=1251630045"",""articles_with_PRISMA_reasons!C2:C2113""), $A129=IMPORTRANGE(""https://docs.google.com/spreadsheets/d/1BJSV3WBYJGRhQ6zExamkszQ5"&amp;"VutGIcaQqmbD9ZTVXMQ/edit#gid=1251630045"",""articles_with_PRISMA_reasons!B2:B2113""))"),1982.0)</f>
        <v>1982</v>
      </c>
      <c r="D129" s="5" t="str">
        <f>IFERROR(__xludf.DUMMYFUNCTION("IFS(AND(
FILTER(IMPORTRANGE(""https://docs.google.com/spreadsheets/d/1BJSV3WBYJGRhQ6zExamkszQ5VutGIcaQqmbD9ZTVXMQ/edit#gid=1251630045"",""articles_with_PRISMA_reasons!Y2:Y2113""), $A129=IMPORTRANGE(""https://docs.google.com/spreadsheets/d/1BJSV3WBYJGRhQ6z"&amp;"ExamkszQ5VutGIcaQqmbD9ZTVXMQ/edit#gid=1251630045"",""articles_with_PRISMA_reasons!B2:B2113""))&gt;=2,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$A129=IMPORTRANGE(""https://docs.google.com/spreadsheets/d/1BJSV3WBYJGRhQ6zExamkszQ5VutGIcaQqmbD9ZTVXMQ/edit#gid=1251630045"",""articles_with_PRISMA_reasons!B2:B2113""))&lt;2),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$A129=IMPORTRANGE(""https://docs.google.com/spreadsheets/d/1BJSV3WBYJGRhQ6zExamkszQ5VutGIcaQqmbD9ZTVXMQ/edit#gid=1251630045"",""arti"&amp;"cles_with_PRISMA_reasons!B2:B2113""))&lt;2,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$A129=IMPORTRANGE(""https://docs.google.com"&amp;"/spreadsheets/d/1BJSV3WBYJGRhQ6zExamkszQ5VutGIcaQqmbD9ZTVXMQ/edit#gid=1251630045"",""articles_with_PRISMA_reasons!B2:B2113""))&gt;=2),
""Exclude""
)"),"Exclude")</f>
        <v>Exclude</v>
      </c>
      <c r="E129" s="5" t="str">
        <f>IFERROR(__xludf.DUMMYFUNCTION("IFS(
D129=""Exclude"",""Exclude"",
AND(
FILTER(IMPORTRANGE(""https://docs.google.com/spreadsheets/d/1qpEmbGH0JjaJbUdp21-y2cPbobDbMjr09BbtdKROZWc/edit#gid=1444865654"",""articles_with_PRISMA_reasons!W2:W2113""), $A129=IMPORTRANGE(""https://docs.google.com/"&amp;"spreadsheets/d/1qpEmbGH0JjaJbUdp21-y2cPbobDbMjr09BbtdKROZWc/edit#gid=1444865654"",""articles_with_PRISMA_reasons!B2:B2113""))&gt;=2,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$A129=IMPORTRANGE(""https://docs.google.com/spreadsheets/d/1qpEmbGH0JjaJbUdp21-y2cPbobDbMjr09BbtdKROZWc/edit#gid=1444865654"",""articles_with_PRISMA_reasons!B2:B2113""))&lt;2),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$A129=IMPORTRANGE(""https://docs.google.com/spreadsheets/d/1qpEmbGH0JjaJbUdp21-y2cPbobDbMjr09BbtdKRO"&amp;"ZWc/edit#gid=1444865654"",""articles_with_PRISMA_reasons!B2:B2113""))&lt;2,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$A129=IMPOR"&amp;"TRANGE(""https://docs.google.com/spreadsheets/d/1qpEmbGH0JjaJbUdp21-y2cPbobDbMjr09BbtdKROZWc/edit#gid=1444865654"",""articles_with_PRISMA_reasons!B2:B2113""))&gt;=2),
""Exclude""
)"),"Exclude")</f>
        <v>Exclude</v>
      </c>
      <c r="F129" s="5" t="str">
        <f>IFERROR(__xludf.DUMMYFUNCTION("IFS(
E129=""Exclude"",""Exclude"",
AND(
COUNTIF(
IMPORTRANGE(""https://docs.google.com/spreadsheets/d/1kGrh75X1cNR1D7_FcY9zMnHP8iPO4M5RCRjy6nZY0TY/edit#gid=0"",""Table 1: Study characteristics!B4:B171""),A129)&gt;0,
COUNTIF(Studies!$A$2:$A$85,FILTER(IMPORTRA"&amp;"NGE(""https://docs.google.com/spreadsheets/d/1kGrh75X1cNR1D7_FcY9zMnHP8iPO4M5RCRjy6nZY0TY/edit#gid=0"",""Table 1: Study characteristics!A4:A171""), $A129=IMPORTRANGE(""https://docs.google.com/spreadsheets/d/1kGrh75X1cNR1D7_FcY9zMnHP8iPO4M5RCRjy6nZY0TY/edi"&amp;"t#gid=0"",""Table 1: Study characteristics!B4:B171"")))&gt;0
),
""Include""
)"),"Exclude")</f>
        <v>Exclude</v>
      </c>
      <c r="G129" s="5" t="str">
        <f>IFERROR(__xludf.DUMMYFUNCTION("IFS(
D129=""Exclude"",
FILTER(IMPORTRANGE(""https://docs.google.com/spreadsheets/d/1BJSV3WBYJGRhQ6zExamkszQ5VutGIcaQqmbD9ZTVXMQ/edit#gid=1251630045"",""articles_with_PRISMA_reasons!AB2:AB2113""), $A129=IMPORTRANGE(""https://docs.google.com/spreadsheets/d/"&amp;"1BJSV3WBYJGRhQ6zExamkszQ5VutGIcaQqmbD9ZTVXMQ/edit#gid=1251630045"",""articles_with_PRISMA_reasons!B2:B2113"")),
E129=""Exclude"",
FILTER(IMPORTRANGE(""https://docs.google.com/spreadsheets/d/1qpEmbGH0JjaJbUdp21-y2cPbobDbMjr09BbtdKROZWc/edit#gid=1444865654"&amp;""",""articles_with_PRISMA_reasons!Z2:Z2113""), $A129=IMPORTRANGE(""https://docs.google.com/spreadsheets/d/1qpEmbGH0JjaJbUdp21-y2cPbobDbMjr09BbtdKROZWc/edit#gid=1444865654"",""articles_with_PRISMA_reasons!B2:B2113"")),F129
=""Include"",FILTER(IMPORTRANGE("&amp;"""https://docs.google.com/spreadsheets/d/1kGrh75X1cNR1D7_FcY9zMnHP8iPO4M5RCRjy6nZY0TY/edit#gid=0"",""Table 1: Study characteristics!A4:A171""), $A129=IMPORTRANGE(""https://docs.google.com/spreadsheets/d/1kGrh75X1cNR1D7_FcY9zMnHP8iPO4M5RCRjy6nZY0TY/edit#gi"&amp;"d=0"",""Table 1: Study characteristics!B4:B171""))
)"),"wrong publication type")</f>
        <v>wrong publication type</v>
      </c>
    </row>
    <row r="130">
      <c r="A130" s="4" t="str">
        <f>IFERROR(__xludf.DUMMYFUNCTION("""COMPUTED_VALUE"""),"[To the Treatment of myelomeningocele (author's transl)]")</f>
        <v>[To the Treatment of myelomeningocele (author's transl)]</v>
      </c>
      <c r="B130" s="5" t="str">
        <f>IFERROR(__xludf.DUMMYFUNCTION("LEFT(FILTER(IMPORTRANGE(""https://docs.google.com/spreadsheets/d/1BJSV3WBYJGRhQ6zExamkszQ5VutGIcaQqmbD9ZTVXMQ/edit#gid=1251630045"",""articles_with_PRISMA_reasons!K2:K2113""), $A130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$A130=IMPORTRANGE(""https://docs.google.com/spreadsheets/d/1BJSV3WBYJGRhQ6zExamkszQ5VutGIcaQqmbD9ZTVXMQ/edit#gid=1251630045"",""articles_with_PRISMA_reasons!B2:B2113"")))-1)"),"Lachmann")</f>
        <v>Lachmann</v>
      </c>
      <c r="C130" s="6">
        <f>IFERROR(__xludf.DUMMYFUNCTION("FILTER(IMPORTRANGE(""https://docs.google.com/spreadsheets/d/1BJSV3WBYJGRhQ6zExamkszQ5VutGIcaQqmbD9ZTVXMQ/edit#gid=1251630045"",""articles_with_PRISMA_reasons!C2:C2113""), $A130=IMPORTRANGE(""https://docs.google.com/spreadsheets/d/1BJSV3WBYJGRhQ6zExamkszQ5"&amp;"VutGIcaQqmbD9ZTVXMQ/edit#gid=1251630045"",""articles_with_PRISMA_reasons!B2:B2113""))"),1977.0)</f>
        <v>1977</v>
      </c>
      <c r="D130" s="5" t="str">
        <f>IFERROR(__xludf.DUMMYFUNCTION("IFS(AND(
FILTER(IMPORTRANGE(""https://docs.google.com/spreadsheets/d/1BJSV3WBYJGRhQ6zExamkszQ5VutGIcaQqmbD9ZTVXMQ/edit#gid=1251630045"",""articles_with_PRISMA_reasons!Y2:Y2113""), $A130=IMPORTRANGE(""https://docs.google.com/spreadsheets/d/1BJSV3WBYJGRhQ6z"&amp;"ExamkszQ5VutGIcaQqmbD9ZTVXMQ/edit#gid=1251630045"",""articles_with_PRISMA_reasons!B2:B2113""))&gt;=2,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$A130=IMPORTRANGE(""https://docs.google.com/spreadsheets/d/1BJSV3WBYJGRhQ6zExamkszQ5VutGIcaQqmbD9ZTVXMQ/edit#gid=1251630045"",""articles_with_PRISMA_reasons!B2:B2113""))&lt;2),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$A130=IMPORTRANGE(""https://docs.google.com/spreadsheets/d/1BJSV3WBYJGRhQ6zExamkszQ5VutGIcaQqmbD9ZTVXMQ/edit#gid=1251630045"",""arti"&amp;"cles_with_PRISMA_reasons!B2:B2113""))&lt;2,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$A130=IMPORTRANGE(""https://docs.google.com"&amp;"/spreadsheets/d/1BJSV3WBYJGRhQ6zExamkszQ5VutGIcaQqmbD9ZTVXMQ/edit#gid=1251630045"",""articles_with_PRISMA_reasons!B2:B2113""))&gt;=2),
""Exclude""
)"),"Exclude")</f>
        <v>Exclude</v>
      </c>
      <c r="E130" s="5" t="str">
        <f>IFERROR(__xludf.DUMMYFUNCTION("IFS(
D130=""Exclude"",""Exclude"",
AND(
FILTER(IMPORTRANGE(""https://docs.google.com/spreadsheets/d/1qpEmbGH0JjaJbUdp21-y2cPbobDbMjr09BbtdKROZWc/edit#gid=1444865654"",""articles_with_PRISMA_reasons!W2:W2113""), $A130=IMPORTRANGE(""https://docs.google.com/"&amp;"spreadsheets/d/1qpEmbGH0JjaJbUdp21-y2cPbobDbMjr09BbtdKROZWc/edit#gid=1444865654"",""articles_with_PRISMA_reasons!B2:B2113""))&gt;=2,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$A130=IMPORTRANGE(""https://docs.google.com/spreadsheets/d/1qpEmbGH0JjaJbUdp21-y2cPbobDbMjr09BbtdKROZWc/edit#gid=1444865654"",""articles_with_PRISMA_reasons!B2:B2113""))&lt;2),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$A130=IMPORTRANGE(""https://docs.google.com/spreadsheets/d/1qpEmbGH0JjaJbUdp21-y2cPbobDbMjr09BbtdKRO"&amp;"ZWc/edit#gid=1444865654"",""articles_with_PRISMA_reasons!B2:B2113""))&lt;2,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$A130=IMPOR"&amp;"TRANGE(""https://docs.google.com/spreadsheets/d/1qpEmbGH0JjaJbUdp21-y2cPbobDbMjr09BbtdKROZWc/edit#gid=1444865654"",""articles_with_PRISMA_reasons!B2:B2113""))&gt;=2),
""Exclude""
)"),"Exclude")</f>
        <v>Exclude</v>
      </c>
      <c r="F130" s="5" t="str">
        <f>IFERROR(__xludf.DUMMYFUNCTION("IFS(
E130=""Exclude"",""Exclude"",
AND(
COUNTIF(
IMPORTRANGE(""https://docs.google.com/spreadsheets/d/1kGrh75X1cNR1D7_FcY9zMnHP8iPO4M5RCRjy6nZY0TY/edit#gid=0"",""Table 1: Study characteristics!B4:B171""),A130)&gt;0,
COUNTIF(Studies!$A$2:$A$85,FILTER(IMPORTRA"&amp;"NGE(""https://docs.google.com/spreadsheets/d/1kGrh75X1cNR1D7_FcY9zMnHP8iPO4M5RCRjy6nZY0TY/edit#gid=0"",""Table 1: Study characteristics!A4:A171""), $A130=IMPORTRANGE(""https://docs.google.com/spreadsheets/d/1kGrh75X1cNR1D7_FcY9zMnHP8iPO4M5RCRjy6nZY0TY/edi"&amp;"t#gid=0"",""Table 1: Study characteristics!B4:B171"")))&gt;0
),
""Include""
)"),"Exclude")</f>
        <v>Exclude</v>
      </c>
      <c r="G130" s="5" t="str">
        <f>IFERROR(__xludf.DUMMYFUNCTION("IFS(
D130=""Exclude"",
FILTER(IMPORTRANGE(""https://docs.google.com/spreadsheets/d/1BJSV3WBYJGRhQ6zExamkszQ5VutGIcaQqmbD9ZTVXMQ/edit#gid=1251630045"",""articles_with_PRISMA_reasons!AB2:AB2113""), $A130=IMPORTRANGE(""https://docs.google.com/spreadsheets/d/"&amp;"1BJSV3WBYJGRhQ6zExamkszQ5VutGIcaQqmbD9ZTVXMQ/edit#gid=1251630045"",""articles_with_PRISMA_reasons!B2:B2113"")),
E130=""Exclude"",
FILTER(IMPORTRANGE(""https://docs.google.com/spreadsheets/d/1qpEmbGH0JjaJbUdp21-y2cPbobDbMjr09BbtdKROZWc/edit#gid=1444865654"&amp;""",""articles_with_PRISMA_reasons!Z2:Z2113""), $A130=IMPORTRANGE(""https://docs.google.com/spreadsheets/d/1qpEmbGH0JjaJbUdp21-y2cPbobDbMjr09BbtdKROZWc/edit#gid=1444865654"",""articles_with_PRISMA_reasons!B2:B2113"")),F130
=""Include"",FILTER(IMPORTRANGE("&amp;"""https://docs.google.com/spreadsheets/d/1kGrh75X1cNR1D7_FcY9zMnHP8iPO4M5RCRjy6nZY0TY/edit#gid=0"",""Table 1: Study characteristics!A4:A171""), $A130=IMPORTRANGE(""https://docs.google.com/spreadsheets/d/1kGrh75X1cNR1D7_FcY9zMnHP8iPO4M5RCRjy6nZY0TY/edit#gi"&amp;"d=0"",""Table 1: Study characteristics!B4:B171""))
)"),"wrong study design")</f>
        <v>wrong study design</v>
      </c>
    </row>
    <row r="131">
      <c r="A131" s="4" t="str">
        <f>IFERROR(__xludf.DUMMYFUNCTION("""COMPUTED_VALUE"""),"[Treatment of myelomeningocele]")</f>
        <v>[Treatment of myelomeningocele]</v>
      </c>
      <c r="B131" s="5" t="str">
        <f>IFERROR(__xludf.DUMMYFUNCTION("LEFT(FILTER(IMPORTRANGE(""https://docs.google.com/spreadsheets/d/1BJSV3WBYJGRhQ6zExamkszQ5VutGIcaQqmbD9ZTVXMQ/edit#gid=1251630045"",""articles_with_PRISMA_reasons!K2:K2113""), $A131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$A131=IMPORTRANGE(""https://docs.google.com/spreadsheets/d/1BJSV3WBYJGRhQ6zExamkszQ5VutGIcaQqmbD9ZTVXMQ/edit#gid=1251630045"",""articles_with_PRISMA_reasons!B2:B2113"")))-1)"),"Lapras")</f>
        <v>Lapras</v>
      </c>
      <c r="C131" s="6">
        <f>IFERROR(__xludf.DUMMYFUNCTION("FILTER(IMPORTRANGE(""https://docs.google.com/spreadsheets/d/1BJSV3WBYJGRhQ6zExamkszQ5VutGIcaQqmbD9ZTVXMQ/edit#gid=1251630045"",""articles_with_PRISMA_reasons!C2:C2113""), $A131=IMPORTRANGE(""https://docs.google.com/spreadsheets/d/1BJSV3WBYJGRhQ6zExamkszQ5"&amp;"VutGIcaQqmbD9ZTVXMQ/edit#gid=1251630045"",""articles_with_PRISMA_reasons!B2:B2113""))"),1988.0)</f>
        <v>1988</v>
      </c>
      <c r="D131" s="5" t="str">
        <f>IFERROR(__xludf.DUMMYFUNCTION("IFS(AND(
FILTER(IMPORTRANGE(""https://docs.google.com/spreadsheets/d/1BJSV3WBYJGRhQ6zExamkszQ5VutGIcaQqmbD9ZTVXMQ/edit#gid=1251630045"",""articles_with_PRISMA_reasons!Y2:Y2113""), $A131=IMPORTRANGE(""https://docs.google.com/spreadsheets/d/1BJSV3WBYJGRhQ6z"&amp;"ExamkszQ5VutGIcaQqmbD9ZTVXMQ/edit#gid=1251630045"",""articles_with_PRISMA_reasons!B2:B2113""))&gt;=2,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$A131=IMPORTRANGE(""https://docs.google.com/spreadsheets/d/1BJSV3WBYJGRhQ6zExamkszQ5VutGIcaQqmbD9ZTVXMQ/edit#gid=1251630045"",""articles_with_PRISMA_reasons!B2:B2113""))&lt;2),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$A131=IMPORTRANGE(""https://docs.google.com/spreadsheets/d/1BJSV3WBYJGRhQ6zExamkszQ5VutGIcaQqmbD9ZTVXMQ/edit#gid=1251630045"",""arti"&amp;"cles_with_PRISMA_reasons!B2:B2113""))&lt;2,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$A131=IMPORTRANGE(""https://docs.google.com"&amp;"/spreadsheets/d/1BJSV3WBYJGRhQ6zExamkszQ5VutGIcaQqmbD9ZTVXMQ/edit#gid=1251630045"",""articles_with_PRISMA_reasons!B2:B2113""))&gt;=2),
""Exclude""
)"),"Exclude")</f>
        <v>Exclude</v>
      </c>
      <c r="E131" s="5" t="str">
        <f>IFERROR(__xludf.DUMMYFUNCTION("IFS(
D131=""Exclude"",""Exclude"",
AND(
FILTER(IMPORTRANGE(""https://docs.google.com/spreadsheets/d/1qpEmbGH0JjaJbUdp21-y2cPbobDbMjr09BbtdKROZWc/edit#gid=1444865654"",""articles_with_PRISMA_reasons!W2:W2113""), $A131=IMPORTRANGE(""https://docs.google.com/"&amp;"spreadsheets/d/1qpEmbGH0JjaJbUdp21-y2cPbobDbMjr09BbtdKROZWc/edit#gid=1444865654"",""articles_with_PRISMA_reasons!B2:B2113""))&gt;=2,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$A131=IMPORTRANGE(""https://docs.google.com/spreadsheets/d/1qpEmbGH0JjaJbUdp21-y2cPbobDbMjr09BbtdKROZWc/edit#gid=1444865654"",""articles_with_PRISMA_reasons!B2:B2113""))&lt;2),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$A131=IMPORTRANGE(""https://docs.google.com/spreadsheets/d/1qpEmbGH0JjaJbUdp21-y2cPbobDbMjr09BbtdKRO"&amp;"ZWc/edit#gid=1444865654"",""articles_with_PRISMA_reasons!B2:B2113""))&lt;2,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$A131=IMPOR"&amp;"TRANGE(""https://docs.google.com/spreadsheets/d/1qpEmbGH0JjaJbUdp21-y2cPbobDbMjr09BbtdKROZWc/edit#gid=1444865654"",""articles_with_PRISMA_reasons!B2:B2113""))&gt;=2),
""Exclude""
)"),"Exclude")</f>
        <v>Exclude</v>
      </c>
      <c r="F131" s="5" t="str">
        <f>IFERROR(__xludf.DUMMYFUNCTION("IFS(
E131=""Exclude"",""Exclude"",
AND(
COUNTIF(
IMPORTRANGE(""https://docs.google.com/spreadsheets/d/1kGrh75X1cNR1D7_FcY9zMnHP8iPO4M5RCRjy6nZY0TY/edit#gid=0"",""Table 1: Study characteristics!B4:B171""),A131)&gt;0,
COUNTIF(Studies!$A$2:$A$85,FILTER(IMPORTRA"&amp;"NGE(""https://docs.google.com/spreadsheets/d/1kGrh75X1cNR1D7_FcY9zMnHP8iPO4M5RCRjy6nZY0TY/edit#gid=0"",""Table 1: Study characteristics!A4:A171""), $A131=IMPORTRANGE(""https://docs.google.com/spreadsheets/d/1kGrh75X1cNR1D7_FcY9zMnHP8iPO4M5RCRjy6nZY0TY/edi"&amp;"t#gid=0"",""Table 1: Study characteristics!B4:B171"")))&gt;0
),
""Include""
)"),"Exclude")</f>
        <v>Exclude</v>
      </c>
      <c r="G131" s="5" t="str">
        <f>IFERROR(__xludf.DUMMYFUNCTION("IFS(
D131=""Exclude"",
FILTER(IMPORTRANGE(""https://docs.google.com/spreadsheets/d/1BJSV3WBYJGRhQ6zExamkszQ5VutGIcaQqmbD9ZTVXMQ/edit#gid=1251630045"",""articles_with_PRISMA_reasons!AB2:AB2113""), $A131=IMPORTRANGE(""https://docs.google.com/spreadsheets/d/"&amp;"1BJSV3WBYJGRhQ6zExamkszQ5VutGIcaQqmbD9ZTVXMQ/edit#gid=1251630045"",""articles_with_PRISMA_reasons!B2:B2113"")),
E131=""Exclude"",
FILTER(IMPORTRANGE(""https://docs.google.com/spreadsheets/d/1qpEmbGH0JjaJbUdp21-y2cPbobDbMjr09BbtdKROZWc/edit#gid=1444865654"&amp;""",""articles_with_PRISMA_reasons!Z2:Z2113""), $A131=IMPORTRANGE(""https://docs.google.com/spreadsheets/d/1qpEmbGH0JjaJbUdp21-y2cPbobDbMjr09BbtdKROZWc/edit#gid=1444865654"",""articles_with_PRISMA_reasons!B2:B2113"")),F131
=""Include"",FILTER(IMPORTRANGE("&amp;"""https://docs.google.com/spreadsheets/d/1kGrh75X1cNR1D7_FcY9zMnHP8iPO4M5RCRjy6nZY0TY/edit#gid=0"",""Table 1: Study characteristics!A4:A171""), $A131=IMPORTRANGE(""https://docs.google.com/spreadsheets/d/1kGrh75X1cNR1D7_FcY9zMnHP8iPO4M5RCRjy6nZY0TY/edit#gi"&amp;"d=0"",""Table 1: Study characteristics!B4:B171""))
)"),"background article")</f>
        <v>background article</v>
      </c>
    </row>
    <row r="132">
      <c r="A132" s="4" t="str">
        <f>IFERROR(__xludf.DUMMYFUNCTION("""COMPUTED_VALUE"""),"[True precocious puberty in non-tumor hydrocephalus. An analysis of 16 cases]")</f>
        <v>[True precocious puberty in non-tumor hydrocephalus. An analysis of 16 cases]</v>
      </c>
      <c r="B132" s="5" t="str">
        <f>IFERROR(__xludf.DUMMYFUNCTION("LEFT(FILTER(IMPORTRANGE(""https://docs.google.com/spreadsheets/d/1BJSV3WBYJGRhQ6zExamkszQ5VutGIcaQqmbD9ZTVXMQ/edit#gid=1251630045"",""articles_with_PRISMA_reasons!K2:K2113""), $A132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$A132=IMPORTRANGE(""https://docs.google.com/spreadsheets/d/1BJSV3WBYJGRhQ6zExamkszQ5VutGIcaQqmbD9ZTVXMQ/edit#gid=1251630045"",""articles_with_PRISMA_reasons!B2:B2113"")))-1)"),"Brauner")</f>
        <v>Brauner</v>
      </c>
      <c r="C132" s="6">
        <f>IFERROR(__xludf.DUMMYFUNCTION("FILTER(IMPORTRANGE(""https://docs.google.com/spreadsheets/d/1BJSV3WBYJGRhQ6zExamkszQ5VutGIcaQqmbD9ZTVXMQ/edit#gid=1251630045"",""articles_with_PRISMA_reasons!C2:C2113""), $A132=IMPORTRANGE(""https://docs.google.com/spreadsheets/d/1BJSV3WBYJGRhQ6zExamkszQ5"&amp;"VutGIcaQqmbD9ZTVXMQ/edit#gid=1251630045"",""articles_with_PRISMA_reasons!B2:B2113""))"),1987.0)</f>
        <v>1987</v>
      </c>
      <c r="D132" s="5" t="str">
        <f>IFERROR(__xludf.DUMMYFUNCTION("IFS(AND(
FILTER(IMPORTRANGE(""https://docs.google.com/spreadsheets/d/1BJSV3WBYJGRhQ6zExamkszQ5VutGIcaQqmbD9ZTVXMQ/edit#gid=1251630045"",""articles_with_PRISMA_reasons!Y2:Y2113""), $A132=IMPORTRANGE(""https://docs.google.com/spreadsheets/d/1BJSV3WBYJGRhQ6z"&amp;"ExamkszQ5VutGIcaQqmbD9ZTVXMQ/edit#gid=1251630045"",""articles_with_PRISMA_reasons!B2:B2113""))&gt;=2,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$A132=IMPORTRANGE(""https://docs.google.com/spreadsheets/d/1BJSV3WBYJGRhQ6zExamkszQ5VutGIcaQqmbD9ZTVXMQ/edit#gid=1251630045"",""articles_with_PRISMA_reasons!B2:B2113""))&lt;2),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$A132=IMPORTRANGE(""https://docs.google.com/spreadsheets/d/1BJSV3WBYJGRhQ6zExamkszQ5VutGIcaQqmbD9ZTVXMQ/edit#gid=1251630045"",""arti"&amp;"cles_with_PRISMA_reasons!B2:B2113""))&lt;2,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$A132=IMPORTRANGE(""https://docs.google.com"&amp;"/spreadsheets/d/1BJSV3WBYJGRhQ6zExamkszQ5VutGIcaQqmbD9ZTVXMQ/edit#gid=1251630045"",""articles_with_PRISMA_reasons!B2:B2113""))&gt;=2),
""Exclude""
)"),"Exclude")</f>
        <v>Exclude</v>
      </c>
      <c r="E132" s="5" t="str">
        <f>IFERROR(__xludf.DUMMYFUNCTION("IFS(
D132=""Exclude"",""Exclude"",
AND(
FILTER(IMPORTRANGE(""https://docs.google.com/spreadsheets/d/1qpEmbGH0JjaJbUdp21-y2cPbobDbMjr09BbtdKROZWc/edit#gid=1444865654"",""articles_with_PRISMA_reasons!W2:W2113""), $A132=IMPORTRANGE(""https://docs.google.com/"&amp;"spreadsheets/d/1qpEmbGH0JjaJbUdp21-y2cPbobDbMjr09BbtdKROZWc/edit#gid=1444865654"",""articles_with_PRISMA_reasons!B2:B2113""))&gt;=2,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$A132=IMPORTRANGE(""https://docs.google.com/spreadsheets/d/1qpEmbGH0JjaJbUdp21-y2cPbobDbMjr09BbtdKROZWc/edit#gid=1444865654"",""articles_with_PRISMA_reasons!B2:B2113""))&lt;2),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$A132=IMPORTRANGE(""https://docs.google.com/spreadsheets/d/1qpEmbGH0JjaJbUdp21-y2cPbobDbMjr09BbtdKRO"&amp;"ZWc/edit#gid=1444865654"",""articles_with_PRISMA_reasons!B2:B2113""))&lt;2,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$A132=IMPOR"&amp;"TRANGE(""https://docs.google.com/spreadsheets/d/1qpEmbGH0JjaJbUdp21-y2cPbobDbMjr09BbtdKROZWc/edit#gid=1444865654"",""articles_with_PRISMA_reasons!B2:B2113""))&gt;=2),
""Exclude""
)"),"Exclude")</f>
        <v>Exclude</v>
      </c>
      <c r="F132" s="5" t="str">
        <f>IFERROR(__xludf.DUMMYFUNCTION("IFS(
E132=""Exclude"",""Exclude"",
AND(
COUNTIF(
IMPORTRANGE(""https://docs.google.com/spreadsheets/d/1kGrh75X1cNR1D7_FcY9zMnHP8iPO4M5RCRjy6nZY0TY/edit#gid=0"",""Table 1: Study characteristics!B4:B171""),A132)&gt;0,
COUNTIF(Studies!$A$2:$A$85,FILTER(IMPORTRA"&amp;"NGE(""https://docs.google.com/spreadsheets/d/1kGrh75X1cNR1D7_FcY9zMnHP8iPO4M5RCRjy6nZY0TY/edit#gid=0"",""Table 1: Study characteristics!A4:A171""), $A132=IMPORTRANGE(""https://docs.google.com/spreadsheets/d/1kGrh75X1cNR1D7_FcY9zMnHP8iPO4M5RCRjy6nZY0TY/edi"&amp;"t#gid=0"",""Table 1: Study characteristics!B4:B171"")))&gt;0
),
""Include""
)"),"Exclude")</f>
        <v>Exclude</v>
      </c>
      <c r="G132" s="5" t="str">
        <f>IFERROR(__xludf.DUMMYFUNCTION("IFS(
D132=""Exclude"",
FILTER(IMPORTRANGE(""https://docs.google.com/spreadsheets/d/1BJSV3WBYJGRhQ6zExamkszQ5VutGIcaQqmbD9ZTVXMQ/edit#gid=1251630045"",""articles_with_PRISMA_reasons!AB2:AB2113""), $A132=IMPORTRANGE(""https://docs.google.com/spreadsheets/d/"&amp;"1BJSV3WBYJGRhQ6zExamkszQ5VutGIcaQqmbD9ZTVXMQ/edit#gid=1251630045"",""articles_with_PRISMA_reasons!B2:B2113"")),
E132=""Exclude"",
FILTER(IMPORTRANGE(""https://docs.google.com/spreadsheets/d/1qpEmbGH0JjaJbUdp21-y2cPbobDbMjr09BbtdKROZWc/edit#gid=1444865654"&amp;""",""articles_with_PRISMA_reasons!Z2:Z2113""), $A132=IMPORTRANGE(""https://docs.google.com/spreadsheets/d/1qpEmbGH0JjaJbUdp21-y2cPbobDbMjr09BbtdKROZWc/edit#gid=1444865654"",""articles_with_PRISMA_reasons!B2:B2113"")),F132
=""Include"",FILTER(IMPORTRANGE("&amp;"""https://docs.google.com/spreadsheets/d/1kGrh75X1cNR1D7_FcY9zMnHP8iPO4M5RCRjy6nZY0TY/edit#gid=0"",""Table 1: Study characteristics!A4:A171""), $A132=IMPORTRANGE(""https://docs.google.com/spreadsheets/d/1kGrh75X1cNR1D7_FcY9zMnHP8iPO4M5RCRjy6nZY0TY/edit#gi"&amp;"d=0"",""Table 1: Study characteristics!B4:B171""))
)"),"wrong study design")</f>
        <v>wrong study design</v>
      </c>
    </row>
    <row r="133">
      <c r="A133" s="4" t="str">
        <f>IFERROR(__xludf.DUMMYFUNCTION("""COMPUTED_VALUE"""),"[Ultrasonic diagnosis in hydrocephalus]")</f>
        <v>[Ultrasonic diagnosis in hydrocephalus]</v>
      </c>
      <c r="B133" s="5" t="str">
        <f>IFERROR(__xludf.DUMMYFUNCTION("LEFT(FILTER(IMPORTRANGE(""https://docs.google.com/spreadsheets/d/1BJSV3WBYJGRhQ6zExamkszQ5VutGIcaQqmbD9ZTVXMQ/edit#gid=1251630045"",""articles_with_PRISMA_reasons!K2:K2113""), $A133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$A133=IMPORTRANGE(""https://docs.google.com/spreadsheets/d/1BJSV3WBYJGRhQ6zExamkszQ5VutGIcaQqmbD9ZTVXMQ/edit#gid=1251630045"",""articles_with_PRISMA_reasons!B2:B2113"")))-1)"),"Pfister")</f>
        <v>Pfister</v>
      </c>
      <c r="C133" s="6">
        <f>IFERROR(__xludf.DUMMYFUNCTION("FILTER(IMPORTRANGE(""https://docs.google.com/spreadsheets/d/1BJSV3WBYJGRhQ6zExamkszQ5VutGIcaQqmbD9ZTVXMQ/edit#gid=1251630045"",""articles_with_PRISMA_reasons!C2:C2113""), $A133=IMPORTRANGE(""https://docs.google.com/spreadsheets/d/1BJSV3WBYJGRhQ6zExamkszQ5"&amp;"VutGIcaQqmbD9ZTVXMQ/edit#gid=1251630045"",""articles_with_PRISMA_reasons!B2:B2113""))"),1983.0)</f>
        <v>1983</v>
      </c>
      <c r="D133" s="5" t="str">
        <f>IFERROR(__xludf.DUMMYFUNCTION("IFS(AND(
FILTER(IMPORTRANGE(""https://docs.google.com/spreadsheets/d/1BJSV3WBYJGRhQ6zExamkszQ5VutGIcaQqmbD9ZTVXMQ/edit#gid=1251630045"",""articles_with_PRISMA_reasons!Y2:Y2113""), $A133=IMPORTRANGE(""https://docs.google.com/spreadsheets/d/1BJSV3WBYJGRhQ6z"&amp;"ExamkszQ5VutGIcaQqmbD9ZTVXMQ/edit#gid=1251630045"",""articles_with_PRISMA_reasons!B2:B2113""))&gt;=2,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$A133=IMPORTRANGE(""https://docs.google.com/spreadsheets/d/1BJSV3WBYJGRhQ6zExamkszQ5VutGIcaQqmbD9ZTVXMQ/edit#gid=1251630045"",""articles_with_PRISMA_reasons!B2:B2113""))&lt;2),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$A133=IMPORTRANGE(""https://docs.google.com/spreadsheets/d/1BJSV3WBYJGRhQ6zExamkszQ5VutGIcaQqmbD9ZTVXMQ/edit#gid=1251630045"",""arti"&amp;"cles_with_PRISMA_reasons!B2:B2113""))&lt;2,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$A133=IMPORTRANGE(""https://docs.google.com"&amp;"/spreadsheets/d/1BJSV3WBYJGRhQ6zExamkszQ5VutGIcaQqmbD9ZTVXMQ/edit#gid=1251630045"",""articles_with_PRISMA_reasons!B2:B2113""))&gt;=2),
""Exclude""
)"),"Exclude")</f>
        <v>Exclude</v>
      </c>
      <c r="E133" s="5" t="str">
        <f>IFERROR(__xludf.DUMMYFUNCTION("IFS(
D133=""Exclude"",""Exclude"",
AND(
FILTER(IMPORTRANGE(""https://docs.google.com/spreadsheets/d/1qpEmbGH0JjaJbUdp21-y2cPbobDbMjr09BbtdKROZWc/edit#gid=1444865654"",""articles_with_PRISMA_reasons!W2:W2113""), $A133=IMPORTRANGE(""https://docs.google.com/"&amp;"spreadsheets/d/1qpEmbGH0JjaJbUdp21-y2cPbobDbMjr09BbtdKROZWc/edit#gid=1444865654"",""articles_with_PRISMA_reasons!B2:B2113""))&gt;=2,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$A133=IMPORTRANGE(""https://docs.google.com/spreadsheets/d/1qpEmbGH0JjaJbUdp21-y2cPbobDbMjr09BbtdKROZWc/edit#gid=1444865654"",""articles_with_PRISMA_reasons!B2:B2113""))&lt;2),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$A133=IMPORTRANGE(""https://docs.google.com/spreadsheets/d/1qpEmbGH0JjaJbUdp21-y2cPbobDbMjr09BbtdKRO"&amp;"ZWc/edit#gid=1444865654"",""articles_with_PRISMA_reasons!B2:B2113""))&lt;2,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$A133=IMPOR"&amp;"TRANGE(""https://docs.google.com/spreadsheets/d/1qpEmbGH0JjaJbUdp21-y2cPbobDbMjr09BbtdKROZWc/edit#gid=1444865654"",""articles_with_PRISMA_reasons!B2:B2113""))&gt;=2),
""Exclude""
)"),"Exclude")</f>
        <v>Exclude</v>
      </c>
      <c r="F133" s="5" t="str">
        <f>IFERROR(__xludf.DUMMYFUNCTION("IFS(
E133=""Exclude"",""Exclude"",
AND(
COUNTIF(
IMPORTRANGE(""https://docs.google.com/spreadsheets/d/1kGrh75X1cNR1D7_FcY9zMnHP8iPO4M5RCRjy6nZY0TY/edit#gid=0"",""Table 1: Study characteristics!B4:B171""),A133)&gt;0,
COUNTIF(Studies!$A$2:$A$85,FILTER(IMPORTRA"&amp;"NGE(""https://docs.google.com/spreadsheets/d/1kGrh75X1cNR1D7_FcY9zMnHP8iPO4M5RCRjy6nZY0TY/edit#gid=0"",""Table 1: Study characteristics!A4:A171""), $A133=IMPORTRANGE(""https://docs.google.com/spreadsheets/d/1kGrh75X1cNR1D7_FcY9zMnHP8iPO4M5RCRjy6nZY0TY/edi"&amp;"t#gid=0"",""Table 1: Study characteristics!B4:B171"")))&gt;0
),
""Include""
)"),"Exclude")</f>
        <v>Exclude</v>
      </c>
      <c r="G133" s="5" t="str">
        <f>IFERROR(__xludf.DUMMYFUNCTION("IFS(
D133=""Exclude"",
FILTER(IMPORTRANGE(""https://docs.google.com/spreadsheets/d/1BJSV3WBYJGRhQ6zExamkszQ5VutGIcaQqmbD9ZTVXMQ/edit#gid=1251630045"",""articles_with_PRISMA_reasons!AB2:AB2113""), $A133=IMPORTRANGE(""https://docs.google.com/spreadsheets/d/"&amp;"1BJSV3WBYJGRhQ6zExamkszQ5VutGIcaQqmbD9ZTVXMQ/edit#gid=1251630045"",""articles_with_PRISMA_reasons!B2:B2113"")),
E133=""Exclude"",
FILTER(IMPORTRANGE(""https://docs.google.com/spreadsheets/d/1qpEmbGH0JjaJbUdp21-y2cPbobDbMjr09BbtdKROZWc/edit#gid=1444865654"&amp;""",""articles_with_PRISMA_reasons!Z2:Z2113""), $A133=IMPORTRANGE(""https://docs.google.com/spreadsheets/d/1qpEmbGH0JjaJbUdp21-y2cPbobDbMjr09BbtdKROZWc/edit#gid=1444865654"",""articles_with_PRISMA_reasons!B2:B2113"")),F133
=""Include"",FILTER(IMPORTRANGE("&amp;"""https://docs.google.com/spreadsheets/d/1kGrh75X1cNR1D7_FcY9zMnHP8iPO4M5RCRjy6nZY0TY/edit#gid=0"",""Table 1: Study characteristics!A4:A171""), $A133=IMPORTRANGE(""https://docs.google.com/spreadsheets/d/1kGrh75X1cNR1D7_FcY9zMnHP8iPO4M5RCRjy6nZY0TY/edit#gi"&amp;"d=0"",""Table 1: Study characteristics!B4:B171""))
)"),"wrong study design")</f>
        <v>wrong study design</v>
      </c>
    </row>
    <row r="134">
      <c r="A134" s="4" t="str">
        <f>IFERROR(__xludf.DUMMYFUNCTION("""COMPUTED_VALUE"""),"[Ultrasonographic (B-scan) studies of the skull in childhood (author's transl)]")</f>
        <v>[Ultrasonographic (B-scan) studies of the skull in childhood (author's transl)]</v>
      </c>
      <c r="B134" s="5" t="str">
        <f>IFERROR(__xludf.DUMMYFUNCTION("LEFT(FILTER(IMPORTRANGE(""https://docs.google.com/spreadsheets/d/1BJSV3WBYJGRhQ6zExamkszQ5VutGIcaQqmbD9ZTVXMQ/edit#gid=1251630045"",""articles_with_PRISMA_reasons!K2:K2113""), $A134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$A134=IMPORTRANGE(""https://docs.google.com/spreadsheets/d/1BJSV3WBYJGRhQ6zExamkszQ5VutGIcaQqmbD9ZTVXMQ/edit#gid=1251630045"",""articles_with_PRISMA_reasons!B2:B2113"")))-1)"),"Hofmann")</f>
        <v>Hofmann</v>
      </c>
      <c r="C134" s="6">
        <f>IFERROR(__xludf.DUMMYFUNCTION("FILTER(IMPORTRANGE(""https://docs.google.com/spreadsheets/d/1BJSV3WBYJGRhQ6zExamkszQ5VutGIcaQqmbD9ZTVXMQ/edit#gid=1251630045"",""articles_with_PRISMA_reasons!C2:C2113""), $A134=IMPORTRANGE(""https://docs.google.com/spreadsheets/d/1BJSV3WBYJGRhQ6zExamkszQ5"&amp;"VutGIcaQqmbD9ZTVXMQ/edit#gid=1251630045"",""articles_with_PRISMA_reasons!B2:B2113""))"),1981.0)</f>
        <v>1981</v>
      </c>
      <c r="D134" s="5" t="str">
        <f>IFERROR(__xludf.DUMMYFUNCTION("IFS(AND(
FILTER(IMPORTRANGE(""https://docs.google.com/spreadsheets/d/1BJSV3WBYJGRhQ6zExamkszQ5VutGIcaQqmbD9ZTVXMQ/edit#gid=1251630045"",""articles_with_PRISMA_reasons!Y2:Y2113""), $A134=IMPORTRANGE(""https://docs.google.com/spreadsheets/d/1BJSV3WBYJGRhQ6z"&amp;"ExamkszQ5VutGIcaQqmbD9ZTVXMQ/edit#gid=1251630045"",""articles_with_PRISMA_reasons!B2:B2113""))&gt;=2,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$A134=IMPORTRANGE(""https://docs.google.com/spreadsheets/d/1BJSV3WBYJGRhQ6zExamkszQ5VutGIcaQqmbD9ZTVXMQ/edit#gid=1251630045"",""articles_with_PRISMA_reasons!B2:B2113""))&lt;2),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$A134=IMPORTRANGE(""https://docs.google.com/spreadsheets/d/1BJSV3WBYJGRhQ6zExamkszQ5VutGIcaQqmbD9ZTVXMQ/edit#gid=1251630045"",""arti"&amp;"cles_with_PRISMA_reasons!B2:B2113""))&lt;2,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$A134=IMPORTRANGE(""https://docs.google.com"&amp;"/spreadsheets/d/1BJSV3WBYJGRhQ6zExamkszQ5VutGIcaQqmbD9ZTVXMQ/edit#gid=1251630045"",""articles_with_PRISMA_reasons!B2:B2113""))&gt;=2),
""Exclude""
)"),"Exclude")</f>
        <v>Exclude</v>
      </c>
      <c r="E134" s="5" t="str">
        <f>IFERROR(__xludf.DUMMYFUNCTION("IFS(
D134=""Exclude"",""Exclude"",
AND(
FILTER(IMPORTRANGE(""https://docs.google.com/spreadsheets/d/1qpEmbGH0JjaJbUdp21-y2cPbobDbMjr09BbtdKROZWc/edit#gid=1444865654"",""articles_with_PRISMA_reasons!W2:W2113""), $A134=IMPORTRANGE(""https://docs.google.com/"&amp;"spreadsheets/d/1qpEmbGH0JjaJbUdp21-y2cPbobDbMjr09BbtdKROZWc/edit#gid=1444865654"",""articles_with_PRISMA_reasons!B2:B2113""))&gt;=2,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$A134=IMPORTRANGE(""https://docs.google.com/spreadsheets/d/1qpEmbGH0JjaJbUdp21-y2cPbobDbMjr09BbtdKROZWc/edit#gid=1444865654"",""articles_with_PRISMA_reasons!B2:B2113""))&lt;2),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$A134=IMPORTRANGE(""https://docs.google.com/spreadsheets/d/1qpEmbGH0JjaJbUdp21-y2cPbobDbMjr09BbtdKRO"&amp;"ZWc/edit#gid=1444865654"",""articles_with_PRISMA_reasons!B2:B2113""))&lt;2,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$A134=IMPOR"&amp;"TRANGE(""https://docs.google.com/spreadsheets/d/1qpEmbGH0JjaJbUdp21-y2cPbobDbMjr09BbtdKROZWc/edit#gid=1444865654"",""articles_with_PRISMA_reasons!B2:B2113""))&gt;=2),
""Exclude""
)"),"Exclude")</f>
        <v>Exclude</v>
      </c>
      <c r="F134" s="5" t="str">
        <f>IFERROR(__xludf.DUMMYFUNCTION("IFS(
E134=""Exclude"",""Exclude"",
AND(
COUNTIF(
IMPORTRANGE(""https://docs.google.com/spreadsheets/d/1kGrh75X1cNR1D7_FcY9zMnHP8iPO4M5RCRjy6nZY0TY/edit#gid=0"",""Table 1: Study characteristics!B4:B171""),A134)&gt;0,
COUNTIF(Studies!$A$2:$A$85,FILTER(IMPORTRA"&amp;"NGE(""https://docs.google.com/spreadsheets/d/1kGrh75X1cNR1D7_FcY9zMnHP8iPO4M5RCRjy6nZY0TY/edit#gid=0"",""Table 1: Study characteristics!A4:A171""), $A134=IMPORTRANGE(""https://docs.google.com/spreadsheets/d/1kGrh75X1cNR1D7_FcY9zMnHP8iPO4M5RCRjy6nZY0TY/edi"&amp;"t#gid=0"",""Table 1: Study characteristics!B4:B171"")))&gt;0
),
""Include""
)"),"Exclude")</f>
        <v>Exclude</v>
      </c>
      <c r="G134" s="5" t="str">
        <f>IFERROR(__xludf.DUMMYFUNCTION("IFS(
D134=""Exclude"",
FILTER(IMPORTRANGE(""https://docs.google.com/spreadsheets/d/1BJSV3WBYJGRhQ6zExamkszQ5VutGIcaQqmbD9ZTVXMQ/edit#gid=1251630045"",""articles_with_PRISMA_reasons!AB2:AB2113""), $A134=IMPORTRANGE(""https://docs.google.com/spreadsheets/d/"&amp;"1BJSV3WBYJGRhQ6zExamkszQ5VutGIcaQqmbD9ZTVXMQ/edit#gid=1251630045"",""articles_with_PRISMA_reasons!B2:B2113"")),
E134=""Exclude"",
FILTER(IMPORTRANGE(""https://docs.google.com/spreadsheets/d/1qpEmbGH0JjaJbUdp21-y2cPbobDbMjr09BbtdKROZWc/edit#gid=1444865654"&amp;""",""articles_with_PRISMA_reasons!Z2:Z2113""), $A134=IMPORTRANGE(""https://docs.google.com/spreadsheets/d/1qpEmbGH0JjaJbUdp21-y2cPbobDbMjr09BbtdKROZWc/edit#gid=1444865654"",""articles_with_PRISMA_reasons!B2:B2113"")),F134
=""Include"",FILTER(IMPORTRANGE("&amp;"""https://docs.google.com/spreadsheets/d/1kGrh75X1cNR1D7_FcY9zMnHP8iPO4M5RCRjy6nZY0TY/edit#gid=0"",""Table 1: Study characteristics!A4:A171""), $A134=IMPORTRANGE(""https://docs.google.com/spreadsheets/d/1kGrh75X1cNR1D7_FcY9zMnHP8iPO4M5RCRjy6nZY0TY/edit#gi"&amp;"d=0"",""Table 1: Study characteristics!B4:B171""))
)"),"wrong population")</f>
        <v>wrong population</v>
      </c>
    </row>
    <row r="135">
      <c r="A135" s="4" t="str">
        <f>IFERROR(__xludf.DUMMYFUNCTION("""COMPUTED_VALUE"""),"[Value and limitations of the determination of alpha-fetoprotein in the prenatal diagnosis of closure defects of the neural tube]")</f>
        <v>[Value and limitations of the determination of alpha-fetoprotein in the prenatal diagnosis of closure defects of the neural tube]</v>
      </c>
      <c r="B135" s="5" t="str">
        <f>IFERROR(__xludf.DUMMYFUNCTION("LEFT(FILTER(IMPORTRANGE(""https://docs.google.com/spreadsheets/d/1BJSV3WBYJGRhQ6zExamkszQ5VutGIcaQqmbD9ZTVXMQ/edit#gid=1251630045"",""articles_with_PRISMA_reasons!K2:K2113""), $A135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$A135=IMPORTRANGE(""https://docs.google.com/spreadsheets/d/1BJSV3WBYJGRhQ6zExamkszQ5VutGIcaQqmbD9ZTVXMQ/edit#gid=1251630045"",""articles_with_PRISMA_reasons!B2:B2113"")))-1)"),"Gaide-Huguenin")</f>
        <v>Gaide-Huguenin</v>
      </c>
      <c r="C135" s="6">
        <f>IFERROR(__xludf.DUMMYFUNCTION("FILTER(IMPORTRANGE(""https://docs.google.com/spreadsheets/d/1BJSV3WBYJGRhQ6zExamkszQ5VutGIcaQqmbD9ZTVXMQ/edit#gid=1251630045"",""articles_with_PRISMA_reasons!C2:C2113""), $A135=IMPORTRANGE(""https://docs.google.com/spreadsheets/d/1BJSV3WBYJGRhQ6zExamkszQ5"&amp;"VutGIcaQqmbD9ZTVXMQ/edit#gid=1251630045"",""articles_with_PRISMA_reasons!B2:B2113""))"),1978.0)</f>
        <v>1978</v>
      </c>
      <c r="D135" s="5" t="str">
        <f>IFERROR(__xludf.DUMMYFUNCTION("IFS(AND(
FILTER(IMPORTRANGE(""https://docs.google.com/spreadsheets/d/1BJSV3WBYJGRhQ6zExamkszQ5VutGIcaQqmbD9ZTVXMQ/edit#gid=1251630045"",""articles_with_PRISMA_reasons!Y2:Y2113""), $A135=IMPORTRANGE(""https://docs.google.com/spreadsheets/d/1BJSV3WBYJGRhQ6z"&amp;"ExamkszQ5VutGIcaQqmbD9ZTVXMQ/edit#gid=1251630045"",""articles_with_PRISMA_reasons!B2:B2113""))&gt;=2,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$A135=IMPORTRANGE(""https://docs.google.com/spreadsheets/d/1BJSV3WBYJGRhQ6zExamkszQ5VutGIcaQqmbD9ZTVXMQ/edit#gid=1251630045"",""articles_with_PRISMA_reasons!B2:B2113""))&lt;2),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$A135=IMPORTRANGE(""https://docs.google.com/spreadsheets/d/1BJSV3WBYJGRhQ6zExamkszQ5VutGIcaQqmbD9ZTVXMQ/edit#gid=1251630045"",""arti"&amp;"cles_with_PRISMA_reasons!B2:B2113""))&lt;2,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$A135=IMPORTRANGE(""https://docs.google.com"&amp;"/spreadsheets/d/1BJSV3WBYJGRhQ6zExamkszQ5VutGIcaQqmbD9ZTVXMQ/edit#gid=1251630045"",""articles_with_PRISMA_reasons!B2:B2113""))&gt;=2),
""Exclude""
)"),"Exclude")</f>
        <v>Exclude</v>
      </c>
      <c r="E135" s="5" t="str">
        <f>IFERROR(__xludf.DUMMYFUNCTION("IFS(
D135=""Exclude"",""Exclude"",
AND(
FILTER(IMPORTRANGE(""https://docs.google.com/spreadsheets/d/1qpEmbGH0JjaJbUdp21-y2cPbobDbMjr09BbtdKROZWc/edit#gid=1444865654"",""articles_with_PRISMA_reasons!W2:W2113""), $A135=IMPORTRANGE(""https://docs.google.com/"&amp;"spreadsheets/d/1qpEmbGH0JjaJbUdp21-y2cPbobDbMjr09BbtdKROZWc/edit#gid=1444865654"",""articles_with_PRISMA_reasons!B2:B2113""))&gt;=2,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$A135=IMPORTRANGE(""https://docs.google.com/spreadsheets/d/1qpEmbGH0JjaJbUdp21-y2cPbobDbMjr09BbtdKROZWc/edit#gid=1444865654"",""articles_with_PRISMA_reasons!B2:B2113""))&lt;2),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$A135=IMPORTRANGE(""https://docs.google.com/spreadsheets/d/1qpEmbGH0JjaJbUdp21-y2cPbobDbMjr09BbtdKRO"&amp;"ZWc/edit#gid=1444865654"",""articles_with_PRISMA_reasons!B2:B2113""))&lt;2,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$A135=IMPOR"&amp;"TRANGE(""https://docs.google.com/spreadsheets/d/1qpEmbGH0JjaJbUdp21-y2cPbobDbMjr09BbtdKROZWc/edit#gid=1444865654"",""articles_with_PRISMA_reasons!B2:B2113""))&gt;=2),
""Exclude""
)"),"Exclude")</f>
        <v>Exclude</v>
      </c>
      <c r="F135" s="5" t="str">
        <f>IFERROR(__xludf.DUMMYFUNCTION("IFS(
E135=""Exclude"",""Exclude"",
AND(
COUNTIF(
IMPORTRANGE(""https://docs.google.com/spreadsheets/d/1kGrh75X1cNR1D7_FcY9zMnHP8iPO4M5RCRjy6nZY0TY/edit#gid=0"",""Table 1: Study characteristics!B4:B171""),A135)&gt;0,
COUNTIF(Studies!$A$2:$A$85,FILTER(IMPORTRA"&amp;"NGE(""https://docs.google.com/spreadsheets/d/1kGrh75X1cNR1D7_FcY9zMnHP8iPO4M5RCRjy6nZY0TY/edit#gid=0"",""Table 1: Study characteristics!A4:A171""), $A135=IMPORTRANGE(""https://docs.google.com/spreadsheets/d/1kGrh75X1cNR1D7_FcY9zMnHP8iPO4M5RCRjy6nZY0TY/edi"&amp;"t#gid=0"",""Table 1: Study characteristics!B4:B171"")))&gt;0
),
""Include""
)"),"Exclude")</f>
        <v>Exclude</v>
      </c>
      <c r="G135" s="5" t="str">
        <f>IFERROR(__xludf.DUMMYFUNCTION("IFS(
D135=""Exclude"",
FILTER(IMPORTRANGE(""https://docs.google.com/spreadsheets/d/1BJSV3WBYJGRhQ6zExamkszQ5VutGIcaQqmbD9ZTVXMQ/edit#gid=1251630045"",""articles_with_PRISMA_reasons!AB2:AB2113""), $A135=IMPORTRANGE(""https://docs.google.com/spreadsheets/d/"&amp;"1BJSV3WBYJGRhQ6zExamkszQ5VutGIcaQqmbD9ZTVXMQ/edit#gid=1251630045"",""articles_with_PRISMA_reasons!B2:B2113"")),
E135=""Exclude"",
FILTER(IMPORTRANGE(""https://docs.google.com/spreadsheets/d/1qpEmbGH0JjaJbUdp21-y2cPbobDbMjr09BbtdKROZWc/edit#gid=1444865654"&amp;""",""articles_with_PRISMA_reasons!Z2:Z2113""), $A135=IMPORTRANGE(""https://docs.google.com/spreadsheets/d/1qpEmbGH0JjaJbUdp21-y2cPbobDbMjr09BbtdKROZWc/edit#gid=1444865654"",""articles_with_PRISMA_reasons!B2:B2113"")),F135
=""Include"",FILTER(IMPORTRANGE("&amp;"""https://docs.google.com/spreadsheets/d/1kGrh75X1cNR1D7_FcY9zMnHP8iPO4M5RCRjy6nZY0TY/edit#gid=0"",""Table 1: Study characteristics!A4:A171""), $A135=IMPORTRANGE(""https://docs.google.com/spreadsheets/d/1kGrh75X1cNR1D7_FcY9zMnHP8iPO4M5RCRjy6nZY0TY/edit#gi"&amp;"d=0"",""Table 1: Study characteristics!B4:B171""))
)"),"wrong outcome")</f>
        <v>wrong outcome</v>
      </c>
    </row>
    <row r="136">
      <c r="A136" s="4" t="str">
        <f>IFERROR(__xludf.DUMMYFUNCTION("""COMPUTED_VALUE"""),"131I-RIHSA CSF scanning in pediatric neurosurgical practice")</f>
        <v>131I-RIHSA CSF scanning in pediatric neurosurgical practice</v>
      </c>
      <c r="B136" s="5" t="str">
        <f>IFERROR(__xludf.DUMMYFUNCTION("LEFT(FILTER(IMPORTRANGE(""https://docs.google.com/spreadsheets/d/1BJSV3WBYJGRhQ6zExamkszQ5VutGIcaQqmbD9ZTVXMQ/edit#gid=1251630045"",""articles_with_PRISMA_reasons!K2:K2113""), $A136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$A136=IMPORTRANGE(""https://docs.google.com/spreadsheets/d/1BJSV3WBYJGRhQ6zExamkszQ5VutGIcaQqmbD9ZTVXMQ/edit#gid=1251630045"",""articles_with_PRISMA_reasons!B2:B2113"")))-1)"),"T and on")</f>
        <v>T and on</v>
      </c>
      <c r="C136" s="6">
        <f>IFERROR(__xludf.DUMMYFUNCTION("FILTER(IMPORTRANGE(""https://docs.google.com/spreadsheets/d/1BJSV3WBYJGRhQ6zExamkszQ5VutGIcaQqmbD9ZTVXMQ/edit#gid=1251630045"",""articles_with_PRISMA_reasons!C2:C2113""), $A136=IMPORTRANGE(""https://docs.google.com/spreadsheets/d/1BJSV3WBYJGRhQ6zExamkszQ5"&amp;"VutGIcaQqmbD9ZTVXMQ/edit#gid=1251630045"",""articles_with_PRISMA_reasons!B2:B2113""))"),1974.0)</f>
        <v>1974</v>
      </c>
      <c r="D136" s="5" t="str">
        <f>IFERROR(__xludf.DUMMYFUNCTION("IFS(AND(
FILTER(IMPORTRANGE(""https://docs.google.com/spreadsheets/d/1BJSV3WBYJGRhQ6zExamkszQ5VutGIcaQqmbD9ZTVXMQ/edit#gid=1251630045"",""articles_with_PRISMA_reasons!Y2:Y2113""), $A136=IMPORTRANGE(""https://docs.google.com/spreadsheets/d/1BJSV3WBYJGRhQ6z"&amp;"ExamkszQ5VutGIcaQqmbD9ZTVXMQ/edit#gid=1251630045"",""articles_with_PRISMA_reasons!B2:B2113""))&gt;=2,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$A136=IMPORTRANGE(""https://docs.google.com/spreadsheets/d/1BJSV3WBYJGRhQ6zExamkszQ5VutGIcaQqmbD9ZTVXMQ/edit#gid=1251630045"",""articles_with_PRISMA_reasons!B2:B2113""))&lt;2),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$A136=IMPORTRANGE(""https://docs.google.com/spreadsheets/d/1BJSV3WBYJGRhQ6zExamkszQ5VutGIcaQqmbD9ZTVXMQ/edit#gid=1251630045"",""arti"&amp;"cles_with_PRISMA_reasons!B2:B2113""))&lt;2,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$A136=IMPORTRANGE(""https://docs.google.com"&amp;"/spreadsheets/d/1BJSV3WBYJGRhQ6zExamkszQ5VutGIcaQqmbD9ZTVXMQ/edit#gid=1251630045"",""articles_with_PRISMA_reasons!B2:B2113""))&gt;=2),
""Exclude""
)"),"Exclude")</f>
        <v>Exclude</v>
      </c>
      <c r="E136" s="5" t="str">
        <f>IFERROR(__xludf.DUMMYFUNCTION("IFS(
D136=""Exclude"",""Exclude"",
AND(
FILTER(IMPORTRANGE(""https://docs.google.com/spreadsheets/d/1qpEmbGH0JjaJbUdp21-y2cPbobDbMjr09BbtdKROZWc/edit#gid=1444865654"",""articles_with_PRISMA_reasons!W2:W2113""), $A136=IMPORTRANGE(""https://docs.google.com/"&amp;"spreadsheets/d/1qpEmbGH0JjaJbUdp21-y2cPbobDbMjr09BbtdKROZWc/edit#gid=1444865654"",""articles_with_PRISMA_reasons!B2:B2113""))&gt;=2,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$A136=IMPORTRANGE(""https://docs.google.com/spreadsheets/d/1qpEmbGH0JjaJbUdp21-y2cPbobDbMjr09BbtdKROZWc/edit#gid=1444865654"",""articles_with_PRISMA_reasons!B2:B2113""))&lt;2),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$A136=IMPORTRANGE(""https://docs.google.com/spreadsheets/d/1qpEmbGH0JjaJbUdp21-y2cPbobDbMjr09BbtdKRO"&amp;"ZWc/edit#gid=1444865654"",""articles_with_PRISMA_reasons!B2:B2113""))&lt;2,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$A136=IMPOR"&amp;"TRANGE(""https://docs.google.com/spreadsheets/d/1qpEmbGH0JjaJbUdp21-y2cPbobDbMjr09BbtdKROZWc/edit#gid=1444865654"",""articles_with_PRISMA_reasons!B2:B2113""))&gt;=2),
""Exclude""
)"),"Exclude")</f>
        <v>Exclude</v>
      </c>
      <c r="F136" s="5" t="str">
        <f>IFERROR(__xludf.DUMMYFUNCTION("IFS(
E136=""Exclude"",""Exclude"",
AND(
COUNTIF(
IMPORTRANGE(""https://docs.google.com/spreadsheets/d/1kGrh75X1cNR1D7_FcY9zMnHP8iPO4M5RCRjy6nZY0TY/edit#gid=0"",""Table 1: Study characteristics!B4:B171""),A136)&gt;0,
COUNTIF(Studies!$A$2:$A$85,FILTER(IMPORTRA"&amp;"NGE(""https://docs.google.com/spreadsheets/d/1kGrh75X1cNR1D7_FcY9zMnHP8iPO4M5RCRjy6nZY0TY/edit#gid=0"",""Table 1: Study characteristics!A4:A171""), $A136=IMPORTRANGE(""https://docs.google.com/spreadsheets/d/1kGrh75X1cNR1D7_FcY9zMnHP8iPO4M5RCRjy6nZY0TY/edi"&amp;"t#gid=0"",""Table 1: Study characteristics!B4:B171"")))&gt;0
),
""Include""
)"),"Exclude")</f>
        <v>Exclude</v>
      </c>
      <c r="G136" s="5" t="str">
        <f>IFERROR(__xludf.DUMMYFUNCTION("IFS(
D136=""Exclude"",
FILTER(IMPORTRANGE(""https://docs.google.com/spreadsheets/d/1BJSV3WBYJGRhQ6zExamkszQ5VutGIcaQqmbD9ZTVXMQ/edit#gid=1251630045"",""articles_with_PRISMA_reasons!AB2:AB2113""), $A136=IMPORTRANGE(""https://docs.google.com/spreadsheets/d/"&amp;"1BJSV3WBYJGRhQ6zExamkszQ5VutGIcaQqmbD9ZTVXMQ/edit#gid=1251630045"",""articles_with_PRISMA_reasons!B2:B2113"")),
E136=""Exclude"",
FILTER(IMPORTRANGE(""https://docs.google.com/spreadsheets/d/1qpEmbGH0JjaJbUdp21-y2cPbobDbMjr09BbtdKROZWc/edit#gid=1444865654"&amp;""",""articles_with_PRISMA_reasons!Z2:Z2113""), $A136=IMPORTRANGE(""https://docs.google.com/spreadsheets/d/1qpEmbGH0JjaJbUdp21-y2cPbobDbMjr09BbtdKROZWc/edit#gid=1444865654"",""articles_with_PRISMA_reasons!B2:B2113"")),F136
=""Include"",FILTER(IMPORTRANGE("&amp;"""https://docs.google.com/spreadsheets/d/1kGrh75X1cNR1D7_FcY9zMnHP8iPO4M5RCRjy6nZY0TY/edit#gid=0"",""Table 1: Study characteristics!A4:A171""), $A136=IMPORTRANGE(""https://docs.google.com/spreadsheets/d/1kGrh75X1cNR1D7_FcY9zMnHP8iPO4M5RCRjy6nZY0TY/edit#gi"&amp;"d=0"",""Table 1: Study characteristics!B4:B171""))
)"),"wrong intervention")</f>
        <v>wrong intervention</v>
      </c>
    </row>
    <row r="137">
      <c r="A137" s="4" t="str">
        <f>IFERROR(__xludf.DUMMYFUNCTION("""COMPUTED_VALUE"""),"31 Cases with oculoauriculovertebral dysplasia (Goldenhar syndrome): Clinical, neuroradiologic, audiologic and cytogenetic findings")</f>
        <v>31 Cases with oculoauriculovertebral dysplasia (Goldenhar syndrome): Clinical, neuroradiologic, audiologic and cytogenetic findings</v>
      </c>
      <c r="B137" s="5" t="str">
        <f>IFERROR(__xludf.DUMMYFUNCTION("LEFT(FILTER(IMPORTRANGE(""https://docs.google.com/spreadsheets/d/1BJSV3WBYJGRhQ6zExamkszQ5VutGIcaQqmbD9ZTVXMQ/edit#gid=1251630045"",""articles_with_PRISMA_reasons!K2:K2113""), $A137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$A137=IMPORTRANGE(""https://docs.google.com/spreadsheets/d/1BJSV3WBYJGRhQ6zExamkszQ5VutGIcaQqmbD9ZTVXMQ/edit#gid=1251630045"",""articles_with_PRISMA_reasons!B2:B2113"")))-1)"),"Engiz")</f>
        <v>Engiz</v>
      </c>
      <c r="C137" s="6">
        <f>IFERROR(__xludf.DUMMYFUNCTION("FILTER(IMPORTRANGE(""https://docs.google.com/spreadsheets/d/1BJSV3WBYJGRhQ6zExamkszQ5VutGIcaQqmbD9ZTVXMQ/edit#gid=1251630045"",""articles_with_PRISMA_reasons!C2:C2113""), $A137=IMPORTRANGE(""https://docs.google.com/spreadsheets/d/1BJSV3WBYJGRhQ6zExamkszQ5"&amp;"VutGIcaQqmbD9ZTVXMQ/edit#gid=1251630045"",""articles_with_PRISMA_reasons!B2:B2113""))"),2007.0)</f>
        <v>2007</v>
      </c>
      <c r="D137" s="5" t="str">
        <f>IFERROR(__xludf.DUMMYFUNCTION("IFS(AND(
FILTER(IMPORTRANGE(""https://docs.google.com/spreadsheets/d/1BJSV3WBYJGRhQ6zExamkszQ5VutGIcaQqmbD9ZTVXMQ/edit#gid=1251630045"",""articles_with_PRISMA_reasons!Y2:Y2113""), $A137=IMPORTRANGE(""https://docs.google.com/spreadsheets/d/1BJSV3WBYJGRhQ6z"&amp;"ExamkszQ5VutGIcaQqmbD9ZTVXMQ/edit#gid=1251630045"",""articles_with_PRISMA_reasons!B2:B2113""))&gt;=2,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$A137=IMPORTRANGE(""https://docs.google.com/spreadsheets/d/1BJSV3WBYJGRhQ6zExamkszQ5VutGIcaQqmbD9ZTVXMQ/edit#gid=1251630045"",""articles_with_PRISMA_reasons!B2:B2113""))&lt;2),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$A137=IMPORTRANGE(""https://docs.google.com/spreadsheets/d/1BJSV3WBYJGRhQ6zExamkszQ5VutGIcaQqmbD9ZTVXMQ/edit#gid=1251630045"",""arti"&amp;"cles_with_PRISMA_reasons!B2:B2113""))&lt;2,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$A137=IMPORTRANGE(""https://docs.google.com"&amp;"/spreadsheets/d/1BJSV3WBYJGRhQ6zExamkszQ5VutGIcaQqmbD9ZTVXMQ/edit#gid=1251630045"",""articles_with_PRISMA_reasons!B2:B2113""))&gt;=2),
""Exclude""
)"),"Exclude")</f>
        <v>Exclude</v>
      </c>
      <c r="E137" s="5" t="str">
        <f>IFERROR(__xludf.DUMMYFUNCTION("IFS(
D137=""Exclude"",""Exclude"",
AND(
FILTER(IMPORTRANGE(""https://docs.google.com/spreadsheets/d/1qpEmbGH0JjaJbUdp21-y2cPbobDbMjr09BbtdKROZWc/edit#gid=1444865654"",""articles_with_PRISMA_reasons!W2:W2113""), $A137=IMPORTRANGE(""https://docs.google.com/"&amp;"spreadsheets/d/1qpEmbGH0JjaJbUdp21-y2cPbobDbMjr09BbtdKROZWc/edit#gid=1444865654"",""articles_with_PRISMA_reasons!B2:B2113""))&gt;=2,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$A137=IMPORTRANGE(""https://docs.google.com/spreadsheets/d/1qpEmbGH0JjaJbUdp21-y2cPbobDbMjr09BbtdKROZWc/edit#gid=1444865654"",""articles_with_PRISMA_reasons!B2:B2113""))&lt;2),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$A137=IMPORTRANGE(""https://docs.google.com/spreadsheets/d/1qpEmbGH0JjaJbUdp21-y2cPbobDbMjr09BbtdKRO"&amp;"ZWc/edit#gid=1444865654"",""articles_with_PRISMA_reasons!B2:B2113""))&lt;2,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$A137=IMPOR"&amp;"TRANGE(""https://docs.google.com/spreadsheets/d/1qpEmbGH0JjaJbUdp21-y2cPbobDbMjr09BbtdKROZWc/edit#gid=1444865654"",""articles_with_PRISMA_reasons!B2:B2113""))&gt;=2),
""Exclude""
)"),"Exclude")</f>
        <v>Exclude</v>
      </c>
      <c r="F137" s="5" t="str">
        <f>IFERROR(__xludf.DUMMYFUNCTION("IFS(
E137=""Exclude"",""Exclude"",
AND(
COUNTIF(
IMPORTRANGE(""https://docs.google.com/spreadsheets/d/1kGrh75X1cNR1D7_FcY9zMnHP8iPO4M5RCRjy6nZY0TY/edit#gid=0"",""Table 1: Study characteristics!B4:B171""),A137)&gt;0,
COUNTIF(Studies!$A$2:$A$85,FILTER(IMPORTRA"&amp;"NGE(""https://docs.google.com/spreadsheets/d/1kGrh75X1cNR1D7_FcY9zMnHP8iPO4M5RCRjy6nZY0TY/edit#gid=0"",""Table 1: Study characteristics!A4:A171""), $A137=IMPORTRANGE(""https://docs.google.com/spreadsheets/d/1kGrh75X1cNR1D7_FcY9zMnHP8iPO4M5RCRjy6nZY0TY/edi"&amp;"t#gid=0"",""Table 1: Study characteristics!B4:B171"")))&gt;0
),
""Include""
)"),"Exclude")</f>
        <v>Exclude</v>
      </c>
      <c r="G137" s="5" t="str">
        <f>IFERROR(__xludf.DUMMYFUNCTION("IFS(
D137=""Exclude"",
FILTER(IMPORTRANGE(""https://docs.google.com/spreadsheets/d/1BJSV3WBYJGRhQ6zExamkszQ5VutGIcaQqmbD9ZTVXMQ/edit#gid=1251630045"",""articles_with_PRISMA_reasons!AB2:AB2113""), $A137=IMPORTRANGE(""https://docs.google.com/spreadsheets/d/"&amp;"1BJSV3WBYJGRhQ6zExamkszQ5VutGIcaQqmbD9ZTVXMQ/edit#gid=1251630045"",""articles_with_PRISMA_reasons!B2:B2113"")),
E137=""Exclude"",
FILTER(IMPORTRANGE(""https://docs.google.com/spreadsheets/d/1qpEmbGH0JjaJbUdp21-y2cPbobDbMjr09BbtdKROZWc/edit#gid=1444865654"&amp;""",""articles_with_PRISMA_reasons!Z2:Z2113""), $A137=IMPORTRANGE(""https://docs.google.com/spreadsheets/d/1qpEmbGH0JjaJbUdp21-y2cPbobDbMjr09BbtdKROZWc/edit#gid=1444865654"",""articles_with_PRISMA_reasons!B2:B2113"")),F137
=""Include"",FILTER(IMPORTRANGE("&amp;"""https://docs.google.com/spreadsheets/d/1kGrh75X1cNR1D7_FcY9zMnHP8iPO4M5RCRjy6nZY0TY/edit#gid=0"",""Table 1: Study characteristics!A4:A171""), $A137=IMPORTRANGE(""https://docs.google.com/spreadsheets/d/1kGrh75X1cNR1D7_FcY9zMnHP8iPO4M5RCRjy6nZY0TY/edit#gi"&amp;"d=0"",""Table 1: Study characteristics!B4:B171""))
)"),"wrong population")</f>
        <v>wrong population</v>
      </c>
    </row>
    <row r="138">
      <c r="A138" s="4" t="str">
        <f>IFERROR(__xludf.DUMMYFUNCTION("""COMPUTED_VALUE"""),"44 years experience with management of myelomeningocele: presidential address, Society for Research into Hydrocephalus and Spina Bifida")</f>
        <v>44 years experience with management of myelomeningocele: presidential address, Society for Research into Hydrocephalus and Spina Bifida</v>
      </c>
      <c r="B138" s="5" t="str">
        <f>IFERROR(__xludf.DUMMYFUNCTION("LEFT(FILTER(IMPORTRANGE(""https://docs.google.com/spreadsheets/d/1BJSV3WBYJGRhQ6zExamkszQ5VutGIcaQqmbD9ZTVXMQ/edit#gid=1251630045"",""articles_with_PRISMA_reasons!K2:K2113""), $A138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$A138=IMPORTRANGE(""https://docs.google.com/spreadsheets/d/1BJSV3WBYJGRhQ6zExamkszQ5VutGIcaQqmbD9ZTVXMQ/edit#gid=1251630045"",""articles_with_PRISMA_reasons!B2:B2113"")))-1)"),"Shurtleff")</f>
        <v>Shurtleff</v>
      </c>
      <c r="C138" s="6">
        <f>IFERROR(__xludf.DUMMYFUNCTION("FILTER(IMPORTRANGE(""https://docs.google.com/spreadsheets/d/1BJSV3WBYJGRhQ6zExamkszQ5VutGIcaQqmbD9ZTVXMQ/edit#gid=1251630045"",""articles_with_PRISMA_reasons!C2:C2113""), $A138=IMPORTRANGE(""https://docs.google.com/spreadsheets/d/1BJSV3WBYJGRhQ6zExamkszQ5"&amp;"VutGIcaQqmbD9ZTVXMQ/edit#gid=1251630045"",""articles_with_PRISMA_reasons!B2:B2113""))"),2000.0)</f>
        <v>2000</v>
      </c>
      <c r="D138" s="5" t="str">
        <f>IFERROR(__xludf.DUMMYFUNCTION("IFS(AND(
FILTER(IMPORTRANGE(""https://docs.google.com/spreadsheets/d/1BJSV3WBYJGRhQ6zExamkszQ5VutGIcaQqmbD9ZTVXMQ/edit#gid=1251630045"",""articles_with_PRISMA_reasons!Y2:Y2113""), $A138=IMPORTRANGE(""https://docs.google.com/spreadsheets/d/1BJSV3WBYJGRhQ6z"&amp;"ExamkszQ5VutGIcaQqmbD9ZTVXMQ/edit#gid=1251630045"",""articles_with_PRISMA_reasons!B2:B2113""))&gt;=2,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$A138=IMPORTRANGE(""https://docs.google.com/spreadsheets/d/1BJSV3WBYJGRhQ6zExamkszQ5VutGIcaQqmbD9ZTVXMQ/edit#gid=1251630045"",""articles_with_PRISMA_reasons!B2:B2113""))&lt;2),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$A138=IMPORTRANGE(""https://docs.google.com/spreadsheets/d/1BJSV3WBYJGRhQ6zExamkszQ5VutGIcaQqmbD9ZTVXMQ/edit#gid=1251630045"",""arti"&amp;"cles_with_PRISMA_reasons!B2:B2113""))&lt;2,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$A138=IMPORTRANGE(""https://docs.google.com"&amp;"/spreadsheets/d/1BJSV3WBYJGRhQ6zExamkszQ5VutGIcaQqmbD9ZTVXMQ/edit#gid=1251630045"",""articles_with_PRISMA_reasons!B2:B2113""))&gt;=2),
""Exclude""
)"),"Exclude")</f>
        <v>Exclude</v>
      </c>
      <c r="E138" s="5" t="str">
        <f>IFERROR(__xludf.DUMMYFUNCTION("IFS(
D138=""Exclude"",""Exclude"",
AND(
FILTER(IMPORTRANGE(""https://docs.google.com/spreadsheets/d/1qpEmbGH0JjaJbUdp21-y2cPbobDbMjr09BbtdKROZWc/edit#gid=1444865654"",""articles_with_PRISMA_reasons!W2:W2113""), $A138=IMPORTRANGE(""https://docs.google.com/"&amp;"spreadsheets/d/1qpEmbGH0JjaJbUdp21-y2cPbobDbMjr09BbtdKROZWc/edit#gid=1444865654"",""articles_with_PRISMA_reasons!B2:B2113""))&gt;=2,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$A138=IMPORTRANGE(""https://docs.google.com/spreadsheets/d/1qpEmbGH0JjaJbUdp21-y2cPbobDbMjr09BbtdKROZWc/edit#gid=1444865654"",""articles_with_PRISMA_reasons!B2:B2113""))&lt;2),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$A138=IMPORTRANGE(""https://docs.google.com/spreadsheets/d/1qpEmbGH0JjaJbUdp21-y2cPbobDbMjr09BbtdKRO"&amp;"ZWc/edit#gid=1444865654"",""articles_with_PRISMA_reasons!B2:B2113""))&lt;2,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$A138=IMPOR"&amp;"TRANGE(""https://docs.google.com/spreadsheets/d/1qpEmbGH0JjaJbUdp21-y2cPbobDbMjr09BbtdKROZWc/edit#gid=1444865654"",""articles_with_PRISMA_reasons!B2:B2113""))&gt;=2),
""Exclude""
)"),"Exclude")</f>
        <v>Exclude</v>
      </c>
      <c r="F138" s="5" t="str">
        <f>IFERROR(__xludf.DUMMYFUNCTION("IFS(
E138=""Exclude"",""Exclude"",
AND(
COUNTIF(
IMPORTRANGE(""https://docs.google.com/spreadsheets/d/1kGrh75X1cNR1D7_FcY9zMnHP8iPO4M5RCRjy6nZY0TY/edit#gid=0"",""Table 1: Study characteristics!B4:B171""),A138)&gt;0,
COUNTIF(Studies!$A$2:$A$85,FILTER(IMPORTRA"&amp;"NGE(""https://docs.google.com/spreadsheets/d/1kGrh75X1cNR1D7_FcY9zMnHP8iPO4M5RCRjy6nZY0TY/edit#gid=0"",""Table 1: Study characteristics!A4:A171""), $A138=IMPORTRANGE(""https://docs.google.com/spreadsheets/d/1kGrh75X1cNR1D7_FcY9zMnHP8iPO4M5RCRjy6nZY0TY/edi"&amp;"t#gid=0"",""Table 1: Study characteristics!B4:B171"")))&gt;0
),
""Include""
)"),"Exclude")</f>
        <v>Exclude</v>
      </c>
      <c r="G138" s="5" t="str">
        <f>IFERROR(__xludf.DUMMYFUNCTION("IFS(
D138=""Exclude"",
FILTER(IMPORTRANGE(""https://docs.google.com/spreadsheets/d/1BJSV3WBYJGRhQ6zExamkszQ5VutGIcaQqmbD9ZTVXMQ/edit#gid=1251630045"",""articles_with_PRISMA_reasons!AB2:AB2113""), $A138=IMPORTRANGE(""https://docs.google.com/spreadsheets/d/"&amp;"1BJSV3WBYJGRhQ6zExamkszQ5VutGIcaQqmbD9ZTVXMQ/edit#gid=1251630045"",""articles_with_PRISMA_reasons!B2:B2113"")),
E138=""Exclude"",
FILTER(IMPORTRANGE(""https://docs.google.com/spreadsheets/d/1qpEmbGH0JjaJbUdp21-y2cPbobDbMjr09BbtdKROZWc/edit#gid=1444865654"&amp;""",""articles_with_PRISMA_reasons!Z2:Z2113""), $A138=IMPORTRANGE(""https://docs.google.com/spreadsheets/d/1qpEmbGH0JjaJbUdp21-y2cPbobDbMjr09BbtdKROZWc/edit#gid=1444865654"",""articles_with_PRISMA_reasons!B2:B2113"")),F138
=""Include"",FILTER(IMPORTRANGE("&amp;"""https://docs.google.com/spreadsheets/d/1kGrh75X1cNR1D7_FcY9zMnHP8iPO4M5RCRjy6nZY0TY/edit#gid=0"",""Table 1: Study characteristics!A4:A171""), $A138=IMPORTRANGE(""https://docs.google.com/spreadsheets/d/1kGrh75X1cNR1D7_FcY9zMnHP8iPO4M5RCRjy6nZY0TY/edit#gi"&amp;"d=0"",""Table 1: Study characteristics!B4:B171""))
)"),"wrong study design")</f>
        <v>wrong study design</v>
      </c>
    </row>
    <row r="139">
      <c r="A139" s="4" t="str">
        <f>IFERROR(__xludf.DUMMYFUNCTION("""COMPUTED_VALUE"""),"50 Years Ago in The Journal of Pediatrics. Hydrocephalus")</f>
        <v>50 Years Ago in The Journal of Pediatrics. Hydrocephalus</v>
      </c>
      <c r="B139" s="5" t="str">
        <f>IFERROR(__xludf.DUMMYFUNCTION("LEFT(FILTER(IMPORTRANGE(""https://docs.google.com/spreadsheets/d/1BJSV3WBYJGRhQ6zExamkszQ5VutGIcaQqmbD9ZTVXMQ/edit#gid=1251630045"",""articles_with_PRISMA_reasons!K2:K2113""), $A139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$A139=IMPORTRANGE(""https://docs.google.com/spreadsheets/d/1BJSV3WBYJGRhQ6zExamkszQ5VutGIcaQqmbD9ZTVXMQ/edit#gid=1251630045"",""articles_with_PRISMA_reasons!B2:B2113"")))-1)"),"Li")</f>
        <v>Li</v>
      </c>
      <c r="C139" s="6">
        <f>IFERROR(__xludf.DUMMYFUNCTION("FILTER(IMPORTRANGE(""https://docs.google.com/spreadsheets/d/1BJSV3WBYJGRhQ6zExamkszQ5VutGIcaQqmbD9ZTVXMQ/edit#gid=1251630045"",""articles_with_PRISMA_reasons!C2:C2113""), $A139=IMPORTRANGE(""https://docs.google.com/spreadsheets/d/1BJSV3WBYJGRhQ6zExamkszQ5"&amp;"VutGIcaQqmbD9ZTVXMQ/edit#gid=1251630045"",""articles_with_PRISMA_reasons!B2:B2113""))"),2010.0)</f>
        <v>2010</v>
      </c>
      <c r="D139" s="5" t="str">
        <f>IFERROR(__xludf.DUMMYFUNCTION("IFS(AND(
FILTER(IMPORTRANGE(""https://docs.google.com/spreadsheets/d/1BJSV3WBYJGRhQ6zExamkszQ5VutGIcaQqmbD9ZTVXMQ/edit#gid=1251630045"",""articles_with_PRISMA_reasons!Y2:Y2113""), $A139=IMPORTRANGE(""https://docs.google.com/spreadsheets/d/1BJSV3WBYJGRhQ6z"&amp;"ExamkszQ5VutGIcaQqmbD9ZTVXMQ/edit#gid=1251630045"",""articles_with_PRISMA_reasons!B2:B2113""))&gt;=2,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$A139=IMPORTRANGE(""https://docs.google.com/spreadsheets/d/1BJSV3WBYJGRhQ6zExamkszQ5VutGIcaQqmbD9ZTVXMQ/edit#gid=1251630045"",""articles_with_PRISMA_reasons!B2:B2113""))&lt;2),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$A139=IMPORTRANGE(""https://docs.google.com/spreadsheets/d/1BJSV3WBYJGRhQ6zExamkszQ5VutGIcaQqmbD9ZTVXMQ/edit#gid=1251630045"",""arti"&amp;"cles_with_PRISMA_reasons!B2:B2113""))&lt;2,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$A139=IMPORTRANGE(""https://docs.google.com"&amp;"/spreadsheets/d/1BJSV3WBYJGRhQ6zExamkszQ5VutGIcaQqmbD9ZTVXMQ/edit#gid=1251630045"",""articles_with_PRISMA_reasons!B2:B2113""))&gt;=2),
""Exclude""
)"),"Exclude")</f>
        <v>Exclude</v>
      </c>
      <c r="E139" s="5" t="str">
        <f>IFERROR(__xludf.DUMMYFUNCTION("IFS(
D139=""Exclude"",""Exclude"",
AND(
FILTER(IMPORTRANGE(""https://docs.google.com/spreadsheets/d/1qpEmbGH0JjaJbUdp21-y2cPbobDbMjr09BbtdKROZWc/edit#gid=1444865654"",""articles_with_PRISMA_reasons!W2:W2113""), $A139=IMPORTRANGE(""https://docs.google.com/"&amp;"spreadsheets/d/1qpEmbGH0JjaJbUdp21-y2cPbobDbMjr09BbtdKROZWc/edit#gid=1444865654"",""articles_with_PRISMA_reasons!B2:B2113""))&gt;=2,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$A139=IMPORTRANGE(""https://docs.google.com/spreadsheets/d/1qpEmbGH0JjaJbUdp21-y2cPbobDbMjr09BbtdKROZWc/edit#gid=1444865654"",""articles_with_PRISMA_reasons!B2:B2113""))&lt;2),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$A139=IMPORTRANGE(""https://docs.google.com/spreadsheets/d/1qpEmbGH0JjaJbUdp21-y2cPbobDbMjr09BbtdKRO"&amp;"ZWc/edit#gid=1444865654"",""articles_with_PRISMA_reasons!B2:B2113""))&lt;2,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$A139=IMPOR"&amp;"TRANGE(""https://docs.google.com/spreadsheets/d/1qpEmbGH0JjaJbUdp21-y2cPbobDbMjr09BbtdKROZWc/edit#gid=1444865654"",""articles_with_PRISMA_reasons!B2:B2113""))&gt;=2),
""Exclude""
)"),"Exclude")</f>
        <v>Exclude</v>
      </c>
      <c r="F139" s="5" t="str">
        <f>IFERROR(__xludf.DUMMYFUNCTION("IFS(
E139=""Exclude"",""Exclude"",
AND(
COUNTIF(
IMPORTRANGE(""https://docs.google.com/spreadsheets/d/1kGrh75X1cNR1D7_FcY9zMnHP8iPO4M5RCRjy6nZY0TY/edit#gid=0"",""Table 1: Study characteristics!B4:B171""),A139)&gt;0,
COUNTIF(Studies!$A$2:$A$85,FILTER(IMPORTRA"&amp;"NGE(""https://docs.google.com/spreadsheets/d/1kGrh75X1cNR1D7_FcY9zMnHP8iPO4M5RCRjy6nZY0TY/edit#gid=0"",""Table 1: Study characteristics!A4:A171""), $A139=IMPORTRANGE(""https://docs.google.com/spreadsheets/d/1kGrh75X1cNR1D7_FcY9zMnHP8iPO4M5RCRjy6nZY0TY/edi"&amp;"t#gid=0"",""Table 1: Study characteristics!B4:B171"")))&gt;0
),
""Include""
)"),"Exclude")</f>
        <v>Exclude</v>
      </c>
      <c r="G139" s="5" t="str">
        <f>IFERROR(__xludf.DUMMYFUNCTION("IFS(
D139=""Exclude"",
FILTER(IMPORTRANGE(""https://docs.google.com/spreadsheets/d/1BJSV3WBYJGRhQ6zExamkszQ5VutGIcaQqmbD9ZTVXMQ/edit#gid=1251630045"",""articles_with_PRISMA_reasons!AB2:AB2113""), $A139=IMPORTRANGE(""https://docs.google.com/spreadsheets/d/"&amp;"1BJSV3WBYJGRhQ6zExamkszQ5VutGIcaQqmbD9ZTVXMQ/edit#gid=1251630045"",""articles_with_PRISMA_reasons!B2:B2113"")),
E139=""Exclude"",
FILTER(IMPORTRANGE(""https://docs.google.com/spreadsheets/d/1qpEmbGH0JjaJbUdp21-y2cPbobDbMjr09BbtdKROZWc/edit#gid=1444865654"&amp;""",""articles_with_PRISMA_reasons!Z2:Z2113""), $A139=IMPORTRANGE(""https://docs.google.com/spreadsheets/d/1qpEmbGH0JjaJbUdp21-y2cPbobDbMjr09BbtdKROZWc/edit#gid=1444865654"",""articles_with_PRISMA_reasons!B2:B2113"")),F139
=""Include"",FILTER(IMPORTRANGE("&amp;"""https://docs.google.com/spreadsheets/d/1kGrh75X1cNR1D7_FcY9zMnHP8iPO4M5RCRjy6nZY0TY/edit#gid=0"",""Table 1: Study characteristics!A4:A171""), $A139=IMPORTRANGE(""https://docs.google.com/spreadsheets/d/1kGrh75X1cNR1D7_FcY9zMnHP8iPO4M5RCRjy6nZY0TY/edit#gi"&amp;"d=0"",""Table 1: Study characteristics!B4:B171""))
)"),"wrong study design")</f>
        <v>wrong study design</v>
      </c>
    </row>
    <row r="140">
      <c r="A140" s="4" t="str">
        <f>IFERROR(__xludf.DUMMYFUNCTION("""COMPUTED_VALUE"""),"6-Hydroxylation of cortisol and urinary 6beta-hydroxycortisol")</f>
        <v>6-Hydroxylation of cortisol and urinary 6beta-hydroxycortisol</v>
      </c>
      <c r="B140" s="5" t="str">
        <f>IFERROR(__xludf.DUMMYFUNCTION("LEFT(FILTER(IMPORTRANGE(""https://docs.google.com/spreadsheets/d/1BJSV3WBYJGRhQ6zExamkszQ5VutGIcaQqmbD9ZTVXMQ/edit#gid=1251630045"",""articles_with_PRISMA_reasons!K2:K2113""), $A140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$A140=IMPORTRANGE(""https://docs.google.com/spreadsheets/d/1BJSV3WBYJGRhQ6zExamkszQ5VutGIcaQqmbD9ZTVXMQ/edit#gid=1251630045"",""articles_with_PRISMA_reasons!B2:B2113"")))-1)"),"Pal")</f>
        <v>Pal</v>
      </c>
      <c r="C140" s="6">
        <f>IFERROR(__xludf.DUMMYFUNCTION("FILTER(IMPORTRANGE(""https://docs.google.com/spreadsheets/d/1BJSV3WBYJGRhQ6zExamkszQ5VutGIcaQqmbD9ZTVXMQ/edit#gid=1251630045"",""articles_with_PRISMA_reasons!C2:C2113""), $A140=IMPORTRANGE(""https://docs.google.com/spreadsheets/d/1BJSV3WBYJGRhQ6zExamkszQ5"&amp;"VutGIcaQqmbD9ZTVXMQ/edit#gid=1251630045"",""articles_with_PRISMA_reasons!B2:B2113""))"),1978.0)</f>
        <v>1978</v>
      </c>
      <c r="D140" s="5" t="str">
        <f>IFERROR(__xludf.DUMMYFUNCTION("IFS(AND(
FILTER(IMPORTRANGE(""https://docs.google.com/spreadsheets/d/1BJSV3WBYJGRhQ6zExamkszQ5VutGIcaQqmbD9ZTVXMQ/edit#gid=1251630045"",""articles_with_PRISMA_reasons!Y2:Y2113""), $A140=IMPORTRANGE(""https://docs.google.com/spreadsheets/d/1BJSV3WBYJGRhQ6z"&amp;"ExamkszQ5VutGIcaQqmbD9ZTVXMQ/edit#gid=1251630045"",""articles_with_PRISMA_reasons!B2:B2113""))&gt;=2,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$A140=IMPORTRANGE(""https://docs.google.com/spreadsheets/d/1BJSV3WBYJGRhQ6zExamkszQ5VutGIcaQqmbD9ZTVXMQ/edit#gid=1251630045"",""articles_with_PRISMA_reasons!B2:B2113""))&lt;2),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$A140=IMPORTRANGE(""https://docs.google.com/spreadsheets/d/1BJSV3WBYJGRhQ6zExamkszQ5VutGIcaQqmbD9ZTVXMQ/edit#gid=1251630045"",""arti"&amp;"cles_with_PRISMA_reasons!B2:B2113""))&lt;2,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$A140=IMPORTRANGE(""https://docs.google.com"&amp;"/spreadsheets/d/1BJSV3WBYJGRhQ6zExamkszQ5VutGIcaQqmbD9ZTVXMQ/edit#gid=1251630045"",""articles_with_PRISMA_reasons!B2:B2113""))&gt;=2),
""Exclude""
)"),"Exclude")</f>
        <v>Exclude</v>
      </c>
      <c r="E140" s="5" t="str">
        <f>IFERROR(__xludf.DUMMYFUNCTION("IFS(
D140=""Exclude"",""Exclude"",
AND(
FILTER(IMPORTRANGE(""https://docs.google.com/spreadsheets/d/1qpEmbGH0JjaJbUdp21-y2cPbobDbMjr09BbtdKROZWc/edit#gid=1444865654"",""articles_with_PRISMA_reasons!W2:W2113""), $A140=IMPORTRANGE(""https://docs.google.com/"&amp;"spreadsheets/d/1qpEmbGH0JjaJbUdp21-y2cPbobDbMjr09BbtdKROZWc/edit#gid=1444865654"",""articles_with_PRISMA_reasons!B2:B2113""))&gt;=2,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$A140=IMPORTRANGE(""https://docs.google.com/spreadsheets/d/1qpEmbGH0JjaJbUdp21-y2cPbobDbMjr09BbtdKROZWc/edit#gid=1444865654"",""articles_with_PRISMA_reasons!B2:B2113""))&lt;2),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$A140=IMPORTRANGE(""https://docs.google.com/spreadsheets/d/1qpEmbGH0JjaJbUdp21-y2cPbobDbMjr09BbtdKRO"&amp;"ZWc/edit#gid=1444865654"",""articles_with_PRISMA_reasons!B2:B2113""))&lt;2,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$A140=IMPOR"&amp;"TRANGE(""https://docs.google.com/spreadsheets/d/1qpEmbGH0JjaJbUdp21-y2cPbobDbMjr09BbtdKROZWc/edit#gid=1444865654"",""articles_with_PRISMA_reasons!B2:B2113""))&gt;=2),
""Exclude""
)"),"Exclude")</f>
        <v>Exclude</v>
      </c>
      <c r="F140" s="5" t="str">
        <f>IFERROR(__xludf.DUMMYFUNCTION("IFS(
E140=""Exclude"",""Exclude"",
AND(
COUNTIF(
IMPORTRANGE(""https://docs.google.com/spreadsheets/d/1kGrh75X1cNR1D7_FcY9zMnHP8iPO4M5RCRjy6nZY0TY/edit#gid=0"",""Table 1: Study characteristics!B4:B171""),A140)&gt;0,
COUNTIF(Studies!$A$2:$A$85,FILTER(IMPORTRA"&amp;"NGE(""https://docs.google.com/spreadsheets/d/1kGrh75X1cNR1D7_FcY9zMnHP8iPO4M5RCRjy6nZY0TY/edit#gid=0"",""Table 1: Study characteristics!A4:A171""), $A140=IMPORTRANGE(""https://docs.google.com/spreadsheets/d/1kGrh75X1cNR1D7_FcY9zMnHP8iPO4M5RCRjy6nZY0TY/edi"&amp;"t#gid=0"",""Table 1: Study characteristics!B4:B171"")))&gt;0
),
""Include""
)"),"Exclude")</f>
        <v>Exclude</v>
      </c>
      <c r="G140" s="5" t="str">
        <f>IFERROR(__xludf.DUMMYFUNCTION("IFS(
D140=""Exclude"",
FILTER(IMPORTRANGE(""https://docs.google.com/spreadsheets/d/1BJSV3WBYJGRhQ6zExamkszQ5VutGIcaQqmbD9ZTVXMQ/edit#gid=1251630045"",""articles_with_PRISMA_reasons!AB2:AB2113""), $A140=IMPORTRANGE(""https://docs.google.com/spreadsheets/d/"&amp;"1BJSV3WBYJGRhQ6zExamkszQ5VutGIcaQqmbD9ZTVXMQ/edit#gid=1251630045"",""articles_with_PRISMA_reasons!B2:B2113"")),
E140=""Exclude"",
FILTER(IMPORTRANGE(""https://docs.google.com/spreadsheets/d/1qpEmbGH0JjaJbUdp21-y2cPbobDbMjr09BbtdKROZWc/edit#gid=1444865654"&amp;""",""articles_with_PRISMA_reasons!Z2:Z2113""), $A140=IMPORTRANGE(""https://docs.google.com/spreadsheets/d/1qpEmbGH0JjaJbUdp21-y2cPbobDbMjr09BbtdKROZWc/edit#gid=1444865654"",""articles_with_PRISMA_reasons!B2:B2113"")),F140
=""Include"",FILTER(IMPORTRANGE("&amp;"""https://docs.google.com/spreadsheets/d/1kGrh75X1cNR1D7_FcY9zMnHP8iPO4M5RCRjy6nZY0TY/edit#gid=0"",""Table 1: Study characteristics!A4:A171""), $A140=IMPORTRANGE(""https://docs.google.com/spreadsheets/d/1kGrh75X1cNR1D7_FcY9zMnHP8iPO4M5RCRjy6nZY0TY/edit#gi"&amp;"d=0"",""Table 1: Study characteristics!B4:B171""))
)"),"background article")</f>
        <v>background article</v>
      </c>
    </row>
    <row r="141">
      <c r="A141" s="4" t="str">
        <f>IFERROR(__xludf.DUMMYFUNCTION("""COMPUTED_VALUE"""),"9 year old girl with progressive weakness: Com july 2009 case 1")</f>
        <v>9 year old girl with progressive weakness: Com july 2009 case 1</v>
      </c>
      <c r="B141" s="5" t="str">
        <f>IFERROR(__xludf.DUMMYFUNCTION("LEFT(FILTER(IMPORTRANGE(""https://docs.google.com/spreadsheets/d/1BJSV3WBYJGRhQ6zExamkszQ5VutGIcaQqmbD9ZTVXMQ/edit#gid=1251630045"",""articles_with_PRISMA_reasons!K2:K2113""), $A141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$A141=IMPORTRANGE(""https://docs.google.com/spreadsheets/d/1BJSV3WBYJGRhQ6zExamkszQ5VutGIcaQqmbD9ZTVXMQ/edit#gid=1251630045"",""articles_with_PRISMA_reasons!B2:B2113"")))-1)"),"Seemann")</f>
        <v>Seemann</v>
      </c>
      <c r="C141" s="6">
        <f>IFERROR(__xludf.DUMMYFUNCTION("FILTER(IMPORTRANGE(""https://docs.google.com/spreadsheets/d/1BJSV3WBYJGRhQ6zExamkszQ5VutGIcaQqmbD9ZTVXMQ/edit#gid=1251630045"",""articles_with_PRISMA_reasons!C2:C2113""), $A141=IMPORTRANGE(""https://docs.google.com/spreadsheets/d/1BJSV3WBYJGRhQ6zExamkszQ5"&amp;"VutGIcaQqmbD9ZTVXMQ/edit#gid=1251630045"",""articles_with_PRISMA_reasons!B2:B2113""))"),2010.0)</f>
        <v>2010</v>
      </c>
      <c r="D141" s="5" t="str">
        <f>IFERROR(__xludf.DUMMYFUNCTION("IFS(AND(
FILTER(IMPORTRANGE(""https://docs.google.com/spreadsheets/d/1BJSV3WBYJGRhQ6zExamkszQ5VutGIcaQqmbD9ZTVXMQ/edit#gid=1251630045"",""articles_with_PRISMA_reasons!Y2:Y2113""), $A141=IMPORTRANGE(""https://docs.google.com/spreadsheets/d/1BJSV3WBYJGRhQ6z"&amp;"ExamkszQ5VutGIcaQqmbD9ZTVXMQ/edit#gid=1251630045"",""articles_with_PRISMA_reasons!B2:B2113""))&gt;=2,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$A141=IMPORTRANGE(""https://docs.google.com/spreadsheets/d/1BJSV3WBYJGRhQ6zExamkszQ5VutGIcaQqmbD9ZTVXMQ/edit#gid=1251630045"",""articles_with_PRISMA_reasons!B2:B2113""))&lt;2),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$A141=IMPORTRANGE(""https://docs.google.com/spreadsheets/d/1BJSV3WBYJGRhQ6zExamkszQ5VutGIcaQqmbD9ZTVXMQ/edit#gid=1251630045"",""arti"&amp;"cles_with_PRISMA_reasons!B2:B2113""))&lt;2,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$A141=IMPORTRANGE(""https://docs.google.com"&amp;"/spreadsheets/d/1BJSV3WBYJGRhQ6zExamkszQ5VutGIcaQqmbD9ZTVXMQ/edit#gid=1251630045"",""articles_with_PRISMA_reasons!B2:B2113""))&gt;=2),
""Exclude""
)"),"Exclude")</f>
        <v>Exclude</v>
      </c>
      <c r="E141" s="5" t="str">
        <f>IFERROR(__xludf.DUMMYFUNCTION("IFS(
D141=""Exclude"",""Exclude"",
AND(
FILTER(IMPORTRANGE(""https://docs.google.com/spreadsheets/d/1qpEmbGH0JjaJbUdp21-y2cPbobDbMjr09BbtdKROZWc/edit#gid=1444865654"",""articles_with_PRISMA_reasons!W2:W2113""), $A141=IMPORTRANGE(""https://docs.google.com/"&amp;"spreadsheets/d/1qpEmbGH0JjaJbUdp21-y2cPbobDbMjr09BbtdKROZWc/edit#gid=1444865654"",""articles_with_PRISMA_reasons!B2:B2113""))&gt;=2,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$A141=IMPORTRANGE(""https://docs.google.com/spreadsheets/d/1qpEmbGH0JjaJbUdp21-y2cPbobDbMjr09BbtdKROZWc/edit#gid=1444865654"",""articles_with_PRISMA_reasons!B2:B2113""))&lt;2),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$A141=IMPORTRANGE(""https://docs.google.com/spreadsheets/d/1qpEmbGH0JjaJbUdp21-y2cPbobDbMjr09BbtdKRO"&amp;"ZWc/edit#gid=1444865654"",""articles_with_PRISMA_reasons!B2:B2113""))&lt;2,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$A141=IMPOR"&amp;"TRANGE(""https://docs.google.com/spreadsheets/d/1qpEmbGH0JjaJbUdp21-y2cPbobDbMjr09BbtdKROZWc/edit#gid=1444865654"",""articles_with_PRISMA_reasons!B2:B2113""))&gt;=2),
""Exclude""
)"),"Exclude")</f>
        <v>Exclude</v>
      </c>
      <c r="F141" s="5" t="str">
        <f>IFERROR(__xludf.DUMMYFUNCTION("IFS(
E141=""Exclude"",""Exclude"",
AND(
COUNTIF(
IMPORTRANGE(""https://docs.google.com/spreadsheets/d/1kGrh75X1cNR1D7_FcY9zMnHP8iPO4M5RCRjy6nZY0TY/edit#gid=0"",""Table 1: Study characteristics!B4:B171""),A141)&gt;0,
COUNTIF(Studies!$A$2:$A$85,FILTER(IMPORTRA"&amp;"NGE(""https://docs.google.com/spreadsheets/d/1kGrh75X1cNR1D7_FcY9zMnHP8iPO4M5RCRjy6nZY0TY/edit#gid=0"",""Table 1: Study characteristics!A4:A171""), $A141=IMPORTRANGE(""https://docs.google.com/spreadsheets/d/1kGrh75X1cNR1D7_FcY9zMnHP8iPO4M5RCRjy6nZY0TY/edi"&amp;"t#gid=0"",""Table 1: Study characteristics!B4:B171"")))&gt;0
),
""Include""
)"),"Exclude")</f>
        <v>Exclude</v>
      </c>
      <c r="G141" s="5" t="str">
        <f>IFERROR(__xludf.DUMMYFUNCTION("IFS(
D141=""Exclude"",
FILTER(IMPORTRANGE(""https://docs.google.com/spreadsheets/d/1BJSV3WBYJGRhQ6zExamkszQ5VutGIcaQqmbD9ZTVXMQ/edit#gid=1251630045"",""articles_with_PRISMA_reasons!AB2:AB2113""), $A141=IMPORTRANGE(""https://docs.google.com/spreadsheets/d/"&amp;"1BJSV3WBYJGRhQ6zExamkszQ5VutGIcaQqmbD9ZTVXMQ/edit#gid=1251630045"",""articles_with_PRISMA_reasons!B2:B2113"")),
E141=""Exclude"",
FILTER(IMPORTRANGE(""https://docs.google.com/spreadsheets/d/1qpEmbGH0JjaJbUdp21-y2cPbobDbMjr09BbtdKROZWc/edit#gid=1444865654"&amp;""",""articles_with_PRISMA_reasons!Z2:Z2113""), $A141=IMPORTRANGE(""https://docs.google.com/spreadsheets/d/1qpEmbGH0JjaJbUdp21-y2cPbobDbMjr09BbtdKROZWc/edit#gid=1444865654"",""articles_with_PRISMA_reasons!B2:B2113"")),F141
=""Include"",FILTER(IMPORTRANGE("&amp;"""https://docs.google.com/spreadsheets/d/1kGrh75X1cNR1D7_FcY9zMnHP8iPO4M5RCRjy6nZY0TY/edit#gid=0"",""Table 1: Study characteristics!A4:A171""), $A141=IMPORTRANGE(""https://docs.google.com/spreadsheets/d/1kGrh75X1cNR1D7_FcY9zMnHP8iPO4M5RCRjy6nZY0TY/edit#gi"&amp;"d=0"",""Table 1: Study characteristics!B4:B171""))
)"),"wrong study design")</f>
        <v>wrong study design</v>
      </c>
    </row>
    <row r="142">
      <c r="A142" s="4" t="str">
        <f>IFERROR(__xludf.DUMMYFUNCTION("""COMPUTED_VALUE"""),"A 3-year follow-up of the driving status of 32 young adults with spina bifida")</f>
        <v>A 3-year follow-up of the driving status of 32 young adults with spina bifida</v>
      </c>
      <c r="B142" s="5" t="str">
        <f>IFERROR(__xludf.DUMMYFUNCTION("LEFT(FILTER(IMPORTRANGE(""https://docs.google.com/spreadsheets/d/1BJSV3WBYJGRhQ6zExamkszQ5VutGIcaQqmbD9ZTVXMQ/edit#gid=1251630045"",""articles_with_PRISMA_reasons!K2:K2113""), $A142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$A142=IMPORTRANGE(""https://docs.google.com/spreadsheets/d/1BJSV3WBYJGRhQ6zExamkszQ5VutGIcaQqmbD9ZTVXMQ/edit#gid=1251630045"",""articles_with_PRISMA_reasons!B2:B2113"")))-1)"),"Simms")</f>
        <v>Simms</v>
      </c>
      <c r="C142" s="6">
        <f>IFERROR(__xludf.DUMMYFUNCTION("FILTER(IMPORTRANGE(""https://docs.google.com/spreadsheets/d/1BJSV3WBYJGRhQ6zExamkszQ5VutGIcaQqmbD9ZTVXMQ/edit#gid=1251630045"",""articles_with_PRISMA_reasons!C2:C2113""), $A142=IMPORTRANGE(""https://docs.google.com/spreadsheets/d/1BJSV3WBYJGRhQ6zExamkszQ5"&amp;"VutGIcaQqmbD9ZTVXMQ/edit#gid=1251630045"",""articles_with_PRISMA_reasons!B2:B2113""))"),1987.0)</f>
        <v>1987</v>
      </c>
      <c r="D142" s="5" t="str">
        <f>IFERROR(__xludf.DUMMYFUNCTION("IFS(AND(
FILTER(IMPORTRANGE(""https://docs.google.com/spreadsheets/d/1BJSV3WBYJGRhQ6zExamkszQ5VutGIcaQqmbD9ZTVXMQ/edit#gid=1251630045"",""articles_with_PRISMA_reasons!Y2:Y2113""), $A142=IMPORTRANGE(""https://docs.google.com/spreadsheets/d/1BJSV3WBYJGRhQ6z"&amp;"ExamkszQ5VutGIcaQqmbD9ZTVXMQ/edit#gid=1251630045"",""articles_with_PRISMA_reasons!B2:B2113""))&gt;=2,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$A142=IMPORTRANGE(""https://docs.google.com/spreadsheets/d/1BJSV3WBYJGRhQ6zExamkszQ5VutGIcaQqmbD9ZTVXMQ/edit#gid=1251630045"",""articles_with_PRISMA_reasons!B2:B2113""))&lt;2),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$A142=IMPORTRANGE(""https://docs.google.com/spreadsheets/d/1BJSV3WBYJGRhQ6zExamkszQ5VutGIcaQqmbD9ZTVXMQ/edit#gid=1251630045"",""arti"&amp;"cles_with_PRISMA_reasons!B2:B2113""))&lt;2,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$A142=IMPORTRANGE(""https://docs.google.com"&amp;"/spreadsheets/d/1BJSV3WBYJGRhQ6zExamkszQ5VutGIcaQqmbD9ZTVXMQ/edit#gid=1251630045"",""articles_with_PRISMA_reasons!B2:B2113""))&gt;=2),
""Exclude""
)"),"Exclude")</f>
        <v>Exclude</v>
      </c>
      <c r="E142" s="5" t="str">
        <f>IFERROR(__xludf.DUMMYFUNCTION("IFS(
D142=""Exclude"",""Exclude"",
AND(
FILTER(IMPORTRANGE(""https://docs.google.com/spreadsheets/d/1qpEmbGH0JjaJbUdp21-y2cPbobDbMjr09BbtdKROZWc/edit#gid=1444865654"",""articles_with_PRISMA_reasons!W2:W2113""), $A142=IMPORTRANGE(""https://docs.google.com/"&amp;"spreadsheets/d/1qpEmbGH0JjaJbUdp21-y2cPbobDbMjr09BbtdKROZWc/edit#gid=1444865654"",""articles_with_PRISMA_reasons!B2:B2113""))&gt;=2,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$A142=IMPORTRANGE(""https://docs.google.com/spreadsheets/d/1qpEmbGH0JjaJbUdp21-y2cPbobDbMjr09BbtdKROZWc/edit#gid=1444865654"",""articles_with_PRISMA_reasons!B2:B2113""))&lt;2),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$A142=IMPORTRANGE(""https://docs.google.com/spreadsheets/d/1qpEmbGH0JjaJbUdp21-y2cPbobDbMjr09BbtdKRO"&amp;"ZWc/edit#gid=1444865654"",""articles_with_PRISMA_reasons!B2:B2113""))&lt;2,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$A142=IMPOR"&amp;"TRANGE(""https://docs.google.com/spreadsheets/d/1qpEmbGH0JjaJbUdp21-y2cPbobDbMjr09BbtdKROZWc/edit#gid=1444865654"",""articles_with_PRISMA_reasons!B2:B2113""))&gt;=2),
""Exclude""
)"),"Exclude")</f>
        <v>Exclude</v>
      </c>
      <c r="F142" s="5" t="str">
        <f>IFERROR(__xludf.DUMMYFUNCTION("IFS(
E142=""Exclude"",""Exclude"",
AND(
COUNTIF(
IMPORTRANGE(""https://docs.google.com/spreadsheets/d/1kGrh75X1cNR1D7_FcY9zMnHP8iPO4M5RCRjy6nZY0TY/edit#gid=0"",""Table 1: Study characteristics!B4:B171""),A142)&gt;0,
COUNTIF(Studies!$A$2:$A$85,FILTER(IMPORTRA"&amp;"NGE(""https://docs.google.com/spreadsheets/d/1kGrh75X1cNR1D7_FcY9zMnHP8iPO4M5RCRjy6nZY0TY/edit#gid=0"",""Table 1: Study characteristics!A4:A171""), $A142=IMPORTRANGE(""https://docs.google.com/spreadsheets/d/1kGrh75X1cNR1D7_FcY9zMnHP8iPO4M5RCRjy6nZY0TY/edi"&amp;"t#gid=0"",""Table 1: Study characteristics!B4:B171"")))&gt;0
),
""Include""
)"),"Exclude")</f>
        <v>Exclude</v>
      </c>
      <c r="G142" s="5" t="str">
        <f>IFERROR(__xludf.DUMMYFUNCTION("IFS(
D142=""Exclude"",
FILTER(IMPORTRANGE(""https://docs.google.com/spreadsheets/d/1BJSV3WBYJGRhQ6zExamkszQ5VutGIcaQqmbD9ZTVXMQ/edit#gid=1251630045"",""articles_with_PRISMA_reasons!AB2:AB2113""), $A142=IMPORTRANGE(""https://docs.google.com/spreadsheets/d/"&amp;"1BJSV3WBYJGRhQ6zExamkszQ5VutGIcaQqmbD9ZTVXMQ/edit#gid=1251630045"",""articles_with_PRISMA_reasons!B2:B2113"")),
E142=""Exclude"",
FILTER(IMPORTRANGE(""https://docs.google.com/spreadsheets/d/1qpEmbGH0JjaJbUdp21-y2cPbobDbMjr09BbtdKROZWc/edit#gid=1444865654"&amp;""",""articles_with_PRISMA_reasons!Z2:Z2113""), $A142=IMPORTRANGE(""https://docs.google.com/spreadsheets/d/1qpEmbGH0JjaJbUdp21-y2cPbobDbMjr09BbtdKROZWc/edit#gid=1444865654"",""articles_with_PRISMA_reasons!B2:B2113"")),F142
=""Include"",FILTER(IMPORTRANGE("&amp;"""https://docs.google.com/spreadsheets/d/1kGrh75X1cNR1D7_FcY9zMnHP8iPO4M5RCRjy6nZY0TY/edit#gid=0"",""Table 1: Study characteristics!A4:A171""), $A142=IMPORTRANGE(""https://docs.google.com/spreadsheets/d/1kGrh75X1cNR1D7_FcY9zMnHP8iPO4M5RCRjy6nZY0TY/edit#gi"&amp;"d=0"",""Table 1: Study characteristics!B4:B171""))
)"),"wrong study design")</f>
        <v>wrong study design</v>
      </c>
    </row>
    <row r="143">
      <c r="A143" s="4" t="str">
        <f>IFERROR(__xludf.DUMMYFUNCTION("""COMPUTED_VALUE"""),"A 6-Month-Old With Left Chest Protrusion")</f>
        <v>A 6-Month-Old With Left Chest Protrusion</v>
      </c>
      <c r="B143" s="5" t="str">
        <f>IFERROR(__xludf.DUMMYFUNCTION("LEFT(FILTER(IMPORTRANGE(""https://docs.google.com/spreadsheets/d/1BJSV3WBYJGRhQ6zExamkszQ5VutGIcaQqmbD9ZTVXMQ/edit#gid=1251630045"",""articles_with_PRISMA_reasons!K2:K2113""), $A143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$A143=IMPORTRANGE(""https://docs.google.com/spreadsheets/d/1BJSV3WBYJGRhQ6zExamkszQ5VutGIcaQqmbD9ZTVXMQ/edit#gid=1251630045"",""articles_with_PRISMA_reasons!B2:B2113"")))-1)"),"Nguyen")</f>
        <v>Nguyen</v>
      </c>
      <c r="C143" s="6">
        <f>IFERROR(__xludf.DUMMYFUNCTION("FILTER(IMPORTRANGE(""https://docs.google.com/spreadsheets/d/1BJSV3WBYJGRhQ6zExamkszQ5VutGIcaQqmbD9ZTVXMQ/edit#gid=1251630045"",""articles_with_PRISMA_reasons!C2:C2113""), $A143=IMPORTRANGE(""https://docs.google.com/spreadsheets/d/1BJSV3WBYJGRhQ6zExamkszQ5"&amp;"VutGIcaQqmbD9ZTVXMQ/edit#gid=1251630045"",""articles_with_PRISMA_reasons!B2:B2113""))"),2021.0)</f>
        <v>2021</v>
      </c>
      <c r="D143" s="5" t="str">
        <f>IFERROR(__xludf.DUMMYFUNCTION("IFS(AND(
FILTER(IMPORTRANGE(""https://docs.google.com/spreadsheets/d/1BJSV3WBYJGRhQ6zExamkszQ5VutGIcaQqmbD9ZTVXMQ/edit#gid=1251630045"",""articles_with_PRISMA_reasons!Y2:Y2113""), $A143=IMPORTRANGE(""https://docs.google.com/spreadsheets/d/1BJSV3WBYJGRhQ6z"&amp;"ExamkszQ5VutGIcaQqmbD9ZTVXMQ/edit#gid=1251630045"",""articles_with_PRISMA_reasons!B2:B2113""))&gt;=2,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$A143=IMPORTRANGE(""https://docs.google.com/spreadsheets/d/1BJSV3WBYJGRhQ6zExamkszQ5VutGIcaQqmbD9ZTVXMQ/edit#gid=1251630045"",""articles_with_PRISMA_reasons!B2:B2113""))&lt;2),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$A143=IMPORTRANGE(""https://docs.google.com/spreadsheets/d/1BJSV3WBYJGRhQ6zExamkszQ5VutGIcaQqmbD9ZTVXMQ/edit#gid=1251630045"",""arti"&amp;"cles_with_PRISMA_reasons!B2:B2113""))&lt;2,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$A143=IMPORTRANGE(""https://docs.google.com"&amp;"/spreadsheets/d/1BJSV3WBYJGRhQ6zExamkszQ5VutGIcaQqmbD9ZTVXMQ/edit#gid=1251630045"",""articles_with_PRISMA_reasons!B2:B2113""))&gt;=2),
""Exclude""
)"),"Exclude")</f>
        <v>Exclude</v>
      </c>
      <c r="E143" s="5" t="str">
        <f>IFERROR(__xludf.DUMMYFUNCTION("IFS(
D143=""Exclude"",""Exclude"",
AND(
FILTER(IMPORTRANGE(""https://docs.google.com/spreadsheets/d/1qpEmbGH0JjaJbUdp21-y2cPbobDbMjr09BbtdKROZWc/edit#gid=1444865654"",""articles_with_PRISMA_reasons!W2:W2113""), $A143=IMPORTRANGE(""https://docs.google.com/"&amp;"spreadsheets/d/1qpEmbGH0JjaJbUdp21-y2cPbobDbMjr09BbtdKROZWc/edit#gid=1444865654"",""articles_with_PRISMA_reasons!B2:B2113""))&gt;=2,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$A143=IMPORTRANGE(""https://docs.google.com/spreadsheets/d/1qpEmbGH0JjaJbUdp21-y2cPbobDbMjr09BbtdKROZWc/edit#gid=1444865654"",""articles_with_PRISMA_reasons!B2:B2113""))&lt;2),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$A143=IMPORTRANGE(""https://docs.google.com/spreadsheets/d/1qpEmbGH0JjaJbUdp21-y2cPbobDbMjr09BbtdKRO"&amp;"ZWc/edit#gid=1444865654"",""articles_with_PRISMA_reasons!B2:B2113""))&lt;2,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$A143=IMPOR"&amp;"TRANGE(""https://docs.google.com/spreadsheets/d/1qpEmbGH0JjaJbUdp21-y2cPbobDbMjr09BbtdKROZWc/edit#gid=1444865654"",""articles_with_PRISMA_reasons!B2:B2113""))&gt;=2),
""Exclude""
)"),"Exclude")</f>
        <v>Exclude</v>
      </c>
      <c r="F143" s="5" t="str">
        <f>IFERROR(__xludf.DUMMYFUNCTION("IFS(
E143=""Exclude"",""Exclude"",
AND(
COUNTIF(
IMPORTRANGE(""https://docs.google.com/spreadsheets/d/1kGrh75X1cNR1D7_FcY9zMnHP8iPO4M5RCRjy6nZY0TY/edit#gid=0"",""Table 1: Study characteristics!B4:B171""),A143)&gt;0,
COUNTIF(Studies!$A$2:$A$85,FILTER(IMPORTRA"&amp;"NGE(""https://docs.google.com/spreadsheets/d/1kGrh75X1cNR1D7_FcY9zMnHP8iPO4M5RCRjy6nZY0TY/edit#gid=0"",""Table 1: Study characteristics!A4:A171""), $A143=IMPORTRANGE(""https://docs.google.com/spreadsheets/d/1kGrh75X1cNR1D7_FcY9zMnHP8iPO4M5RCRjy6nZY0TY/edi"&amp;"t#gid=0"",""Table 1: Study characteristics!B4:B171"")))&gt;0
),
""Include""
)"),"Exclude")</f>
        <v>Exclude</v>
      </c>
      <c r="G143" s="5" t="str">
        <f>IFERROR(__xludf.DUMMYFUNCTION("IFS(
D143=""Exclude"",
FILTER(IMPORTRANGE(""https://docs.google.com/spreadsheets/d/1BJSV3WBYJGRhQ6zExamkszQ5VutGIcaQqmbD9ZTVXMQ/edit#gid=1251630045"",""articles_with_PRISMA_reasons!AB2:AB2113""), $A143=IMPORTRANGE(""https://docs.google.com/spreadsheets/d/"&amp;"1BJSV3WBYJGRhQ6zExamkszQ5VutGIcaQqmbD9ZTVXMQ/edit#gid=1251630045"",""articles_with_PRISMA_reasons!B2:B2113"")),
E143=""Exclude"",
FILTER(IMPORTRANGE(""https://docs.google.com/spreadsheets/d/1qpEmbGH0JjaJbUdp21-y2cPbobDbMjr09BbtdKROZWc/edit#gid=1444865654"&amp;""",""articles_with_PRISMA_reasons!Z2:Z2113""), $A143=IMPORTRANGE(""https://docs.google.com/spreadsheets/d/1qpEmbGH0JjaJbUdp21-y2cPbobDbMjr09BbtdKROZWc/edit#gid=1444865654"",""articles_with_PRISMA_reasons!B2:B2113"")),F143
=""Include"",FILTER(IMPORTRANGE("&amp;"""https://docs.google.com/spreadsheets/d/1kGrh75X1cNR1D7_FcY9zMnHP8iPO4M5RCRjy6nZY0TY/edit#gid=0"",""Table 1: Study characteristics!A4:A171""), $A143=IMPORTRANGE(""https://docs.google.com/spreadsheets/d/1kGrh75X1cNR1D7_FcY9zMnHP8iPO4M5RCRjy6nZY0TY/edit#gi"&amp;"d=0"",""Table 1: Study characteristics!B4:B171""))
)"),"wrong study design")</f>
        <v>wrong study design</v>
      </c>
    </row>
    <row r="144">
      <c r="A144" s="4" t="str">
        <f>IFERROR(__xludf.DUMMYFUNCTION("""COMPUTED_VALUE"""),"A baby with an armoured brain")</f>
        <v>A baby with an armoured brain</v>
      </c>
      <c r="B144" s="5" t="str">
        <f>IFERROR(__xludf.DUMMYFUNCTION("LEFT(FILTER(IMPORTRANGE(""https://docs.google.com/spreadsheets/d/1BJSV3WBYJGRhQ6zExamkszQ5VutGIcaQqmbD9ZTVXMQ/edit#gid=1251630045"",""articles_with_PRISMA_reasons!K2:K2113""), $A144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$A144=IMPORTRANGE(""https://docs.google.com/spreadsheets/d/1BJSV3WBYJGRhQ6zExamkszQ5VutGIcaQqmbD9ZTVXMQ/edit#gid=1251630045"",""articles_with_PRISMA_reasons!B2:B2113"")))-1)"),"Al Wohaibi")</f>
        <v>Al Wohaibi</v>
      </c>
      <c r="C144" s="6">
        <f>IFERROR(__xludf.DUMMYFUNCTION("FILTER(IMPORTRANGE(""https://docs.google.com/spreadsheets/d/1BJSV3WBYJGRhQ6zExamkszQ5VutGIcaQqmbD9ZTVXMQ/edit#gid=1251630045"",""articles_with_PRISMA_reasons!C2:C2113""), $A144=IMPORTRANGE(""https://docs.google.com/spreadsheets/d/1BJSV3WBYJGRhQ6zExamkszQ5"&amp;"VutGIcaQqmbD9ZTVXMQ/edit#gid=1251630045"",""articles_with_PRISMA_reasons!B2:B2113""))"),2003.0)</f>
        <v>2003</v>
      </c>
      <c r="D144" s="5" t="str">
        <f>IFERROR(__xludf.DUMMYFUNCTION("IFS(AND(
FILTER(IMPORTRANGE(""https://docs.google.com/spreadsheets/d/1BJSV3WBYJGRhQ6zExamkszQ5VutGIcaQqmbD9ZTVXMQ/edit#gid=1251630045"",""articles_with_PRISMA_reasons!Y2:Y2113""), $A144=IMPORTRANGE(""https://docs.google.com/spreadsheets/d/1BJSV3WBYJGRhQ6z"&amp;"ExamkszQ5VutGIcaQqmbD9ZTVXMQ/edit#gid=1251630045"",""articles_with_PRISMA_reasons!B2:B2113""))&gt;=2,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$A144=IMPORTRANGE(""https://docs.google.com/spreadsheets/d/1BJSV3WBYJGRhQ6zExamkszQ5VutGIcaQqmbD9ZTVXMQ/edit#gid=1251630045"",""articles_with_PRISMA_reasons!B2:B2113""))&lt;2),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$A144=IMPORTRANGE(""https://docs.google.com/spreadsheets/d/1BJSV3WBYJGRhQ6zExamkszQ5VutGIcaQqmbD9ZTVXMQ/edit#gid=1251630045"",""arti"&amp;"cles_with_PRISMA_reasons!B2:B2113""))&lt;2,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$A144=IMPORTRANGE(""https://docs.google.com"&amp;"/spreadsheets/d/1BJSV3WBYJGRhQ6zExamkszQ5VutGIcaQqmbD9ZTVXMQ/edit#gid=1251630045"",""articles_with_PRISMA_reasons!B2:B2113""))&gt;=2),
""Exclude""
)"),"Exclude")</f>
        <v>Exclude</v>
      </c>
      <c r="E144" s="5" t="str">
        <f>IFERROR(__xludf.DUMMYFUNCTION("IFS(
D144=""Exclude"",""Exclude"",
AND(
FILTER(IMPORTRANGE(""https://docs.google.com/spreadsheets/d/1qpEmbGH0JjaJbUdp21-y2cPbobDbMjr09BbtdKROZWc/edit#gid=1444865654"",""articles_with_PRISMA_reasons!W2:W2113""), $A144=IMPORTRANGE(""https://docs.google.com/"&amp;"spreadsheets/d/1qpEmbGH0JjaJbUdp21-y2cPbobDbMjr09BbtdKROZWc/edit#gid=1444865654"",""articles_with_PRISMA_reasons!B2:B2113""))&gt;=2,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$A144=IMPORTRANGE(""https://docs.google.com/spreadsheets/d/1qpEmbGH0JjaJbUdp21-y2cPbobDbMjr09BbtdKROZWc/edit#gid=1444865654"",""articles_with_PRISMA_reasons!B2:B2113""))&lt;2),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$A144=IMPORTRANGE(""https://docs.google.com/spreadsheets/d/1qpEmbGH0JjaJbUdp21-y2cPbobDbMjr09BbtdKRO"&amp;"ZWc/edit#gid=1444865654"",""articles_with_PRISMA_reasons!B2:B2113""))&lt;2,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$A144=IMPOR"&amp;"TRANGE(""https://docs.google.com/spreadsheets/d/1qpEmbGH0JjaJbUdp21-y2cPbobDbMjr09BbtdKROZWc/edit#gid=1444865654"",""articles_with_PRISMA_reasons!B2:B2113""))&gt;=2),
""Exclude""
)"),"Exclude")</f>
        <v>Exclude</v>
      </c>
      <c r="F144" s="5" t="str">
        <f>IFERROR(__xludf.DUMMYFUNCTION("IFS(
E144=""Exclude"",""Exclude"",
AND(
COUNTIF(
IMPORTRANGE(""https://docs.google.com/spreadsheets/d/1kGrh75X1cNR1D7_FcY9zMnHP8iPO4M5RCRjy6nZY0TY/edit#gid=0"",""Table 1: Study characteristics!B4:B171""),A144)&gt;0,
COUNTIF(Studies!$A$2:$A$85,FILTER(IMPORTRA"&amp;"NGE(""https://docs.google.com/spreadsheets/d/1kGrh75X1cNR1D7_FcY9zMnHP8iPO4M5RCRjy6nZY0TY/edit#gid=0"",""Table 1: Study characteristics!A4:A171""), $A144=IMPORTRANGE(""https://docs.google.com/spreadsheets/d/1kGrh75X1cNR1D7_FcY9zMnHP8iPO4M5RCRjy6nZY0TY/edi"&amp;"t#gid=0"",""Table 1: Study characteristics!B4:B171"")))&gt;0
),
""Include""
)"),"Exclude")</f>
        <v>Exclude</v>
      </c>
      <c r="G144" s="5" t="str">
        <f>IFERROR(__xludf.DUMMYFUNCTION("IFS(
D144=""Exclude"",
FILTER(IMPORTRANGE(""https://docs.google.com/spreadsheets/d/1BJSV3WBYJGRhQ6zExamkszQ5VutGIcaQqmbD9ZTVXMQ/edit#gid=1251630045"",""articles_with_PRISMA_reasons!AB2:AB2113""), $A144=IMPORTRANGE(""https://docs.google.com/spreadsheets/d/"&amp;"1BJSV3WBYJGRhQ6zExamkszQ5VutGIcaQqmbD9ZTVXMQ/edit#gid=1251630045"",""articles_with_PRISMA_reasons!B2:B2113"")),
E144=""Exclude"",
FILTER(IMPORTRANGE(""https://docs.google.com/spreadsheets/d/1qpEmbGH0JjaJbUdp21-y2cPbobDbMjr09BbtdKROZWc/edit#gid=1444865654"&amp;""",""articles_with_PRISMA_reasons!Z2:Z2113""), $A144=IMPORTRANGE(""https://docs.google.com/spreadsheets/d/1qpEmbGH0JjaJbUdp21-y2cPbobDbMjr09BbtdKROZWc/edit#gid=1444865654"",""articles_with_PRISMA_reasons!B2:B2113"")),F144
=""Include"",FILTER(IMPORTRANGE("&amp;"""https://docs.google.com/spreadsheets/d/1kGrh75X1cNR1D7_FcY9zMnHP8iPO4M5RCRjy6nZY0TY/edit#gid=0"",""Table 1: Study characteristics!A4:A171""), $A144=IMPORTRANGE(""https://docs.google.com/spreadsheets/d/1kGrh75X1cNR1D7_FcY9zMnHP8iPO4M5RCRjy6nZY0TY/edit#gi"&amp;"d=0"",""Table 1: Study characteristics!B4:B171""))
)"),"wrong study design")</f>
        <v>wrong study design</v>
      </c>
    </row>
    <row r="145">
      <c r="A145" s="4" t="str">
        <f>IFERROR(__xludf.DUMMYFUNCTION("""COMPUTED_VALUE"""),"A case of abdominal CSF pseudocyst associated with silicone allergy")</f>
        <v>A case of abdominal CSF pseudocyst associated with silicone allergy</v>
      </c>
      <c r="B145" s="5" t="str">
        <f>IFERROR(__xludf.DUMMYFUNCTION("LEFT(FILTER(IMPORTRANGE(""https://docs.google.com/spreadsheets/d/1BJSV3WBYJGRhQ6zExamkszQ5VutGIcaQqmbD9ZTVXMQ/edit#gid=1251630045"",""articles_with_PRISMA_reasons!K2:K2113""), $A145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$A145=IMPORTRANGE(""https://docs.google.com/spreadsheets/d/1BJSV3WBYJGRhQ6zExamkszQ5VutGIcaQqmbD9ZTVXMQ/edit#gid=1251630045"",""articles_with_PRISMA_reasons!B2:B2113"")))-1)"),"Hashimoto")</f>
        <v>Hashimoto</v>
      </c>
      <c r="C145" s="6">
        <f>IFERROR(__xludf.DUMMYFUNCTION("FILTER(IMPORTRANGE(""https://docs.google.com/spreadsheets/d/1BJSV3WBYJGRhQ6zExamkszQ5VutGIcaQqmbD9ZTVXMQ/edit#gid=1251630045"",""articles_with_PRISMA_reasons!C2:C2113""), $A145=IMPORTRANGE(""https://docs.google.com/spreadsheets/d/1BJSV3WBYJGRhQ6zExamkszQ5"&amp;"VutGIcaQqmbD9ZTVXMQ/edit#gid=1251630045"",""articles_with_PRISMA_reasons!B2:B2113""))"),2004.0)</f>
        <v>2004</v>
      </c>
      <c r="D145" s="5" t="str">
        <f>IFERROR(__xludf.DUMMYFUNCTION("IFS(AND(
FILTER(IMPORTRANGE(""https://docs.google.com/spreadsheets/d/1BJSV3WBYJGRhQ6zExamkszQ5VutGIcaQqmbD9ZTVXMQ/edit#gid=1251630045"",""articles_with_PRISMA_reasons!Y2:Y2113""), $A145=IMPORTRANGE(""https://docs.google.com/spreadsheets/d/1BJSV3WBYJGRhQ6z"&amp;"ExamkszQ5VutGIcaQqmbD9ZTVXMQ/edit#gid=1251630045"",""articles_with_PRISMA_reasons!B2:B2113""))&gt;=2,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$A145=IMPORTRANGE(""https://docs.google.com/spreadsheets/d/1BJSV3WBYJGRhQ6zExamkszQ5VutGIcaQqmbD9ZTVXMQ/edit#gid=1251630045"",""articles_with_PRISMA_reasons!B2:B2113""))&lt;2),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$A145=IMPORTRANGE(""https://docs.google.com/spreadsheets/d/1BJSV3WBYJGRhQ6zExamkszQ5VutGIcaQqmbD9ZTVXMQ/edit#gid=1251630045"",""arti"&amp;"cles_with_PRISMA_reasons!B2:B2113""))&lt;2,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$A145=IMPORTRANGE(""https://docs.google.com"&amp;"/spreadsheets/d/1BJSV3WBYJGRhQ6zExamkszQ5VutGIcaQqmbD9ZTVXMQ/edit#gid=1251630045"",""articles_with_PRISMA_reasons!B2:B2113""))&gt;=2),
""Exclude""
)"),"Exclude")</f>
        <v>Exclude</v>
      </c>
      <c r="E145" s="5" t="str">
        <f>IFERROR(__xludf.DUMMYFUNCTION("IFS(
D145=""Exclude"",""Exclude"",
AND(
FILTER(IMPORTRANGE(""https://docs.google.com/spreadsheets/d/1qpEmbGH0JjaJbUdp21-y2cPbobDbMjr09BbtdKROZWc/edit#gid=1444865654"",""articles_with_PRISMA_reasons!W2:W2113""), $A145=IMPORTRANGE(""https://docs.google.com/"&amp;"spreadsheets/d/1qpEmbGH0JjaJbUdp21-y2cPbobDbMjr09BbtdKROZWc/edit#gid=1444865654"",""articles_with_PRISMA_reasons!B2:B2113""))&gt;=2,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$A145=IMPORTRANGE(""https://docs.google.com/spreadsheets/d/1qpEmbGH0JjaJbUdp21-y2cPbobDbMjr09BbtdKROZWc/edit#gid=1444865654"",""articles_with_PRISMA_reasons!B2:B2113""))&lt;2),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$A145=IMPORTRANGE(""https://docs.google.com/spreadsheets/d/1qpEmbGH0JjaJbUdp21-y2cPbobDbMjr09BbtdKRO"&amp;"ZWc/edit#gid=1444865654"",""articles_with_PRISMA_reasons!B2:B2113""))&lt;2,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$A145=IMPOR"&amp;"TRANGE(""https://docs.google.com/spreadsheets/d/1qpEmbGH0JjaJbUdp21-y2cPbobDbMjr09BbtdKROZWc/edit#gid=1444865654"",""articles_with_PRISMA_reasons!B2:B2113""))&gt;=2),
""Exclude""
)"),"Exclude")</f>
        <v>Exclude</v>
      </c>
      <c r="F145" s="5" t="str">
        <f>IFERROR(__xludf.DUMMYFUNCTION("IFS(
E145=""Exclude"",""Exclude"",
AND(
COUNTIF(
IMPORTRANGE(""https://docs.google.com/spreadsheets/d/1kGrh75X1cNR1D7_FcY9zMnHP8iPO4M5RCRjy6nZY0TY/edit#gid=0"",""Table 1: Study characteristics!B4:B171""),A145)&gt;0,
COUNTIF(Studies!$A$2:$A$85,FILTER(IMPORTRA"&amp;"NGE(""https://docs.google.com/spreadsheets/d/1kGrh75X1cNR1D7_FcY9zMnHP8iPO4M5RCRjy6nZY0TY/edit#gid=0"",""Table 1: Study characteristics!A4:A171""), $A145=IMPORTRANGE(""https://docs.google.com/spreadsheets/d/1kGrh75X1cNR1D7_FcY9zMnHP8iPO4M5RCRjy6nZY0TY/edi"&amp;"t#gid=0"",""Table 1: Study characteristics!B4:B171"")))&gt;0
),
""Include""
)"),"Exclude")</f>
        <v>Exclude</v>
      </c>
      <c r="G145" s="5" t="str">
        <f>IFERROR(__xludf.DUMMYFUNCTION("IFS(
D145=""Exclude"",
FILTER(IMPORTRANGE(""https://docs.google.com/spreadsheets/d/1BJSV3WBYJGRhQ6zExamkszQ5VutGIcaQqmbD9ZTVXMQ/edit#gid=1251630045"",""articles_with_PRISMA_reasons!AB2:AB2113""), $A145=IMPORTRANGE(""https://docs.google.com/spreadsheets/d/"&amp;"1BJSV3WBYJGRhQ6zExamkszQ5VutGIcaQqmbD9ZTVXMQ/edit#gid=1251630045"",""articles_with_PRISMA_reasons!B2:B2113"")),
E145=""Exclude"",
FILTER(IMPORTRANGE(""https://docs.google.com/spreadsheets/d/1qpEmbGH0JjaJbUdp21-y2cPbobDbMjr09BbtdKROZWc/edit#gid=1444865654"&amp;""",""articles_with_PRISMA_reasons!Z2:Z2113""), $A145=IMPORTRANGE(""https://docs.google.com/spreadsheets/d/1qpEmbGH0JjaJbUdp21-y2cPbobDbMjr09BbtdKROZWc/edit#gid=1444865654"",""articles_with_PRISMA_reasons!B2:B2113"")),F145
=""Include"",FILTER(IMPORTRANGE("&amp;"""https://docs.google.com/spreadsheets/d/1kGrh75X1cNR1D7_FcY9zMnHP8iPO4M5RCRjy6nZY0TY/edit#gid=0"",""Table 1: Study characteristics!A4:A171""), $A145=IMPORTRANGE(""https://docs.google.com/spreadsheets/d/1kGrh75X1cNR1D7_FcY9zMnHP8iPO4M5RCRjy6nZY0TY/edit#gi"&amp;"d=0"",""Table 1: Study characteristics!B4:B171""))
)"),"wrong study design")</f>
        <v>wrong study design</v>
      </c>
    </row>
    <row r="146">
      <c r="A146" s="4" t="str">
        <f>IFERROR(__xludf.DUMMYFUNCTION("""COMPUTED_VALUE"""),"A case of Arnold-Chiari malformation")</f>
        <v>A case of Arnold-Chiari malformation</v>
      </c>
      <c r="B146" s="5" t="str">
        <f>IFERROR(__xludf.DUMMYFUNCTION("LEFT(FILTER(IMPORTRANGE(""https://docs.google.com/spreadsheets/d/1BJSV3WBYJGRhQ6zExamkszQ5VutGIcaQqmbD9ZTVXMQ/edit#gid=1251630045"",""articles_with_PRISMA_reasons!K2:K2113""), $A146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$A146=IMPORTRANGE(""https://docs.google.com/spreadsheets/d/1BJSV3WBYJGRhQ6zExamkszQ5VutGIcaQqmbD9ZTVXMQ/edit#gid=1251630045"",""articles_with_PRISMA_reasons!B2:B2113"")))-1)"),"Jong-Ho")</f>
        <v>Jong-Ho</v>
      </c>
      <c r="C146" s="6">
        <f>IFERROR(__xludf.DUMMYFUNCTION("FILTER(IMPORTRANGE(""https://docs.google.com/spreadsheets/d/1BJSV3WBYJGRhQ6zExamkszQ5VutGIcaQqmbD9ZTVXMQ/edit#gid=1251630045"",""articles_with_PRISMA_reasons!C2:C2113""), $A146=IMPORTRANGE(""https://docs.google.com/spreadsheets/d/1BJSV3WBYJGRhQ6zExamkszQ5"&amp;"VutGIcaQqmbD9ZTVXMQ/edit#gid=1251630045"",""articles_with_PRISMA_reasons!B2:B2113""))"),1992.0)</f>
        <v>1992</v>
      </c>
      <c r="D146" s="5" t="str">
        <f>IFERROR(__xludf.DUMMYFUNCTION("IFS(AND(
FILTER(IMPORTRANGE(""https://docs.google.com/spreadsheets/d/1BJSV3WBYJGRhQ6zExamkszQ5VutGIcaQqmbD9ZTVXMQ/edit#gid=1251630045"",""articles_with_PRISMA_reasons!Y2:Y2113""), $A146=IMPORTRANGE(""https://docs.google.com/spreadsheets/d/1BJSV3WBYJGRhQ6z"&amp;"ExamkszQ5VutGIcaQqmbD9ZTVXMQ/edit#gid=1251630045"",""articles_with_PRISMA_reasons!B2:B2113""))&gt;=2,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$A146=IMPORTRANGE(""https://docs.google.com/spreadsheets/d/1BJSV3WBYJGRhQ6zExamkszQ5VutGIcaQqmbD9ZTVXMQ/edit#gid=1251630045"",""articles_with_PRISMA_reasons!B2:B2113""))&lt;2),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$A146=IMPORTRANGE(""https://docs.google.com/spreadsheets/d/1BJSV3WBYJGRhQ6zExamkszQ5VutGIcaQqmbD9ZTVXMQ/edit#gid=1251630045"",""arti"&amp;"cles_with_PRISMA_reasons!B2:B2113""))&lt;2,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$A146=IMPORTRANGE(""https://docs.google.com"&amp;"/spreadsheets/d/1BJSV3WBYJGRhQ6zExamkszQ5VutGIcaQqmbD9ZTVXMQ/edit#gid=1251630045"",""articles_with_PRISMA_reasons!B2:B2113""))&gt;=2),
""Exclude""
)"),"Exclude")</f>
        <v>Exclude</v>
      </c>
      <c r="E146" s="5" t="str">
        <f>IFERROR(__xludf.DUMMYFUNCTION("IFS(
D146=""Exclude"",""Exclude"",
AND(
FILTER(IMPORTRANGE(""https://docs.google.com/spreadsheets/d/1qpEmbGH0JjaJbUdp21-y2cPbobDbMjr09BbtdKROZWc/edit#gid=1444865654"",""articles_with_PRISMA_reasons!W2:W2113""), $A146=IMPORTRANGE(""https://docs.google.com/"&amp;"spreadsheets/d/1qpEmbGH0JjaJbUdp21-y2cPbobDbMjr09BbtdKROZWc/edit#gid=1444865654"",""articles_with_PRISMA_reasons!B2:B2113""))&gt;=2,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$A146=IMPORTRANGE(""https://docs.google.com/spreadsheets/d/1qpEmbGH0JjaJbUdp21-y2cPbobDbMjr09BbtdKROZWc/edit#gid=1444865654"",""articles_with_PRISMA_reasons!B2:B2113""))&lt;2),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$A146=IMPORTRANGE(""https://docs.google.com/spreadsheets/d/1qpEmbGH0JjaJbUdp21-y2cPbobDbMjr09BbtdKRO"&amp;"ZWc/edit#gid=1444865654"",""articles_with_PRISMA_reasons!B2:B2113""))&lt;2,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$A146=IMPOR"&amp;"TRANGE(""https://docs.google.com/spreadsheets/d/1qpEmbGH0JjaJbUdp21-y2cPbobDbMjr09BbtdKROZWc/edit#gid=1444865654"",""articles_with_PRISMA_reasons!B2:B2113""))&gt;=2),
""Exclude""
)"),"Exclude")</f>
        <v>Exclude</v>
      </c>
      <c r="F146" s="5" t="str">
        <f>IFERROR(__xludf.DUMMYFUNCTION("IFS(
E146=""Exclude"",""Exclude"",
AND(
COUNTIF(
IMPORTRANGE(""https://docs.google.com/spreadsheets/d/1kGrh75X1cNR1D7_FcY9zMnHP8iPO4M5RCRjy6nZY0TY/edit#gid=0"",""Table 1: Study characteristics!B4:B171""),A146)&gt;0,
COUNTIF(Studies!$A$2:$A$85,FILTER(IMPORTRA"&amp;"NGE(""https://docs.google.com/spreadsheets/d/1kGrh75X1cNR1D7_FcY9zMnHP8iPO4M5RCRjy6nZY0TY/edit#gid=0"",""Table 1: Study characteristics!A4:A171""), $A146=IMPORTRANGE(""https://docs.google.com/spreadsheets/d/1kGrh75X1cNR1D7_FcY9zMnHP8iPO4M5RCRjy6nZY0TY/edi"&amp;"t#gid=0"",""Table 1: Study characteristics!B4:B171"")))&gt;0
),
""Include""
)"),"Exclude")</f>
        <v>Exclude</v>
      </c>
      <c r="G146" s="5" t="str">
        <f>IFERROR(__xludf.DUMMYFUNCTION("IFS(
D146=""Exclude"",
FILTER(IMPORTRANGE(""https://docs.google.com/spreadsheets/d/1BJSV3WBYJGRhQ6zExamkszQ5VutGIcaQqmbD9ZTVXMQ/edit#gid=1251630045"",""articles_with_PRISMA_reasons!AB2:AB2113""), $A146=IMPORTRANGE(""https://docs.google.com/spreadsheets/d/"&amp;"1BJSV3WBYJGRhQ6zExamkszQ5VutGIcaQqmbD9ZTVXMQ/edit#gid=1251630045"",""articles_with_PRISMA_reasons!B2:B2113"")),
E146=""Exclude"",
FILTER(IMPORTRANGE(""https://docs.google.com/spreadsheets/d/1qpEmbGH0JjaJbUdp21-y2cPbobDbMjr09BbtdKROZWc/edit#gid=1444865654"&amp;""",""articles_with_PRISMA_reasons!Z2:Z2113""), $A146=IMPORTRANGE(""https://docs.google.com/spreadsheets/d/1qpEmbGH0JjaJbUdp21-y2cPbobDbMjr09BbtdKROZWc/edit#gid=1444865654"",""articles_with_PRISMA_reasons!B2:B2113"")),F146
=""Include"",FILTER(IMPORTRANGE("&amp;"""https://docs.google.com/spreadsheets/d/1kGrh75X1cNR1D7_FcY9zMnHP8iPO4M5RCRjy6nZY0TY/edit#gid=0"",""Table 1: Study characteristics!A4:A171""), $A146=IMPORTRANGE(""https://docs.google.com/spreadsheets/d/1kGrh75X1cNR1D7_FcY9zMnHP8iPO4M5RCRjy6nZY0TY/edit#gi"&amp;"d=0"",""Table 1: Study characteristics!B4:B171""))
)"),"wrong study design")</f>
        <v>wrong study design</v>
      </c>
    </row>
    <row r="147">
      <c r="A147" s="4" t="str">
        <f>IFERROR(__xludf.DUMMYFUNCTION("""COMPUTED_VALUE"""),"A case of cerebrospinal fluid eosinophilia associated with shunt malfunction")</f>
        <v>A case of cerebrospinal fluid eosinophilia associated with shunt malfunction</v>
      </c>
      <c r="B147" s="5" t="str">
        <f>IFERROR(__xludf.DUMMYFUNCTION("LEFT(FILTER(IMPORTRANGE(""https://docs.google.com/spreadsheets/d/1BJSV3WBYJGRhQ6zExamkszQ5VutGIcaQqmbD9ZTVXMQ/edit#gid=1251630045"",""articles_with_PRISMA_reasons!K2:K2113""), $A147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$A147=IMPORTRANGE(""https://docs.google.com/spreadsheets/d/1BJSV3WBYJGRhQ6zExamkszQ5VutGIcaQqmbD9ZTVXMQ/edit#gid=1251630045"",""articles_with_PRISMA_reasons!B2:B2113"")))-1)"),"Ikeuchi")</f>
        <v>Ikeuchi</v>
      </c>
      <c r="C147" s="6">
        <f>IFERROR(__xludf.DUMMYFUNCTION("FILTER(IMPORTRANGE(""https://docs.google.com/spreadsheets/d/1BJSV3WBYJGRhQ6zExamkszQ5VutGIcaQqmbD9ZTVXMQ/edit#gid=1251630045"",""articles_with_PRISMA_reasons!C2:C2113""), $A147=IMPORTRANGE(""https://docs.google.com/spreadsheets/d/1BJSV3WBYJGRhQ6zExamkszQ5"&amp;"VutGIcaQqmbD9ZTVXMQ/edit#gid=1251630045"",""articles_with_PRISMA_reasons!B2:B2113""))"),1999.0)</f>
        <v>1999</v>
      </c>
      <c r="D147" s="5" t="str">
        <f>IFERROR(__xludf.DUMMYFUNCTION("IFS(AND(
FILTER(IMPORTRANGE(""https://docs.google.com/spreadsheets/d/1BJSV3WBYJGRhQ6zExamkszQ5VutGIcaQqmbD9ZTVXMQ/edit#gid=1251630045"",""articles_with_PRISMA_reasons!Y2:Y2113""), $A147=IMPORTRANGE(""https://docs.google.com/spreadsheets/d/1BJSV3WBYJGRhQ6z"&amp;"ExamkszQ5VutGIcaQqmbD9ZTVXMQ/edit#gid=1251630045"",""articles_with_PRISMA_reasons!B2:B2113""))&gt;=2,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$A147=IMPORTRANGE(""https://docs.google.com/spreadsheets/d/1BJSV3WBYJGRhQ6zExamkszQ5VutGIcaQqmbD9ZTVXMQ/edit#gid=1251630045"",""articles_with_PRISMA_reasons!B2:B2113""))&lt;2),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$A147=IMPORTRANGE(""https://docs.google.com/spreadsheets/d/1BJSV3WBYJGRhQ6zExamkszQ5VutGIcaQqmbD9ZTVXMQ/edit#gid=1251630045"",""arti"&amp;"cles_with_PRISMA_reasons!B2:B2113""))&lt;2,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$A147=IMPORTRANGE(""https://docs.google.com"&amp;"/spreadsheets/d/1BJSV3WBYJGRhQ6zExamkszQ5VutGIcaQqmbD9ZTVXMQ/edit#gid=1251630045"",""articles_with_PRISMA_reasons!B2:B2113""))&gt;=2),
""Exclude""
)"),"Exclude")</f>
        <v>Exclude</v>
      </c>
      <c r="E147" s="5" t="str">
        <f>IFERROR(__xludf.DUMMYFUNCTION("IFS(
D147=""Exclude"",""Exclude"",
AND(
FILTER(IMPORTRANGE(""https://docs.google.com/spreadsheets/d/1qpEmbGH0JjaJbUdp21-y2cPbobDbMjr09BbtdKROZWc/edit#gid=1444865654"",""articles_with_PRISMA_reasons!W2:W2113""), $A147=IMPORTRANGE(""https://docs.google.com/"&amp;"spreadsheets/d/1qpEmbGH0JjaJbUdp21-y2cPbobDbMjr09BbtdKROZWc/edit#gid=1444865654"",""articles_with_PRISMA_reasons!B2:B2113""))&gt;=2,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$A147=IMPORTRANGE(""https://docs.google.com/spreadsheets/d/1qpEmbGH0JjaJbUdp21-y2cPbobDbMjr09BbtdKROZWc/edit#gid=1444865654"",""articles_with_PRISMA_reasons!B2:B2113""))&lt;2),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$A147=IMPORTRANGE(""https://docs.google.com/spreadsheets/d/1qpEmbGH0JjaJbUdp21-y2cPbobDbMjr09BbtdKRO"&amp;"ZWc/edit#gid=1444865654"",""articles_with_PRISMA_reasons!B2:B2113""))&lt;2,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$A147=IMPOR"&amp;"TRANGE(""https://docs.google.com/spreadsheets/d/1qpEmbGH0JjaJbUdp21-y2cPbobDbMjr09BbtdKROZWc/edit#gid=1444865654"",""articles_with_PRISMA_reasons!B2:B2113""))&gt;=2),
""Exclude""
)"),"Exclude")</f>
        <v>Exclude</v>
      </c>
      <c r="F147" s="5" t="str">
        <f>IFERROR(__xludf.DUMMYFUNCTION("IFS(
E147=""Exclude"",""Exclude"",
AND(
COUNTIF(
IMPORTRANGE(""https://docs.google.com/spreadsheets/d/1kGrh75X1cNR1D7_FcY9zMnHP8iPO4M5RCRjy6nZY0TY/edit#gid=0"",""Table 1: Study characteristics!B4:B171""),A147)&gt;0,
COUNTIF(Studies!$A$2:$A$85,FILTER(IMPORTRA"&amp;"NGE(""https://docs.google.com/spreadsheets/d/1kGrh75X1cNR1D7_FcY9zMnHP8iPO4M5RCRjy6nZY0TY/edit#gid=0"",""Table 1: Study characteristics!A4:A171""), $A147=IMPORTRANGE(""https://docs.google.com/spreadsheets/d/1kGrh75X1cNR1D7_FcY9zMnHP8iPO4M5RCRjy6nZY0TY/edi"&amp;"t#gid=0"",""Table 1: Study characteristics!B4:B171"")))&gt;0
),
""Include""
)"),"Exclude")</f>
        <v>Exclude</v>
      </c>
      <c r="G147" s="5" t="str">
        <f>IFERROR(__xludf.DUMMYFUNCTION("IFS(
D147=""Exclude"",
FILTER(IMPORTRANGE(""https://docs.google.com/spreadsheets/d/1BJSV3WBYJGRhQ6zExamkszQ5VutGIcaQqmbD9ZTVXMQ/edit#gid=1251630045"",""articles_with_PRISMA_reasons!AB2:AB2113""), $A147=IMPORTRANGE(""https://docs.google.com/spreadsheets/d/"&amp;"1BJSV3WBYJGRhQ6zExamkszQ5VutGIcaQqmbD9ZTVXMQ/edit#gid=1251630045"",""articles_with_PRISMA_reasons!B2:B2113"")),
E147=""Exclude"",
FILTER(IMPORTRANGE(""https://docs.google.com/spreadsheets/d/1qpEmbGH0JjaJbUdp21-y2cPbobDbMjr09BbtdKROZWc/edit#gid=1444865654"&amp;""",""articles_with_PRISMA_reasons!Z2:Z2113""), $A147=IMPORTRANGE(""https://docs.google.com/spreadsheets/d/1qpEmbGH0JjaJbUdp21-y2cPbobDbMjr09BbtdKROZWc/edit#gid=1444865654"",""articles_with_PRISMA_reasons!B2:B2113"")),F147
=""Include"",FILTER(IMPORTRANGE("&amp;"""https://docs.google.com/spreadsheets/d/1kGrh75X1cNR1D7_FcY9zMnHP8iPO4M5RCRjy6nZY0TY/edit#gid=0"",""Table 1: Study characteristics!A4:A171""), $A147=IMPORTRANGE(""https://docs.google.com/spreadsheets/d/1kGrh75X1cNR1D7_FcY9zMnHP8iPO4M5RCRjy6nZY0TY/edit#gi"&amp;"d=0"",""Table 1: Study characteristics!B4:B171""))
)"),"wrong study design")</f>
        <v>wrong study design</v>
      </c>
    </row>
    <row r="148">
      <c r="A148" s="4" t="str">
        <f>IFERROR(__xludf.DUMMYFUNCTION("""COMPUTED_VALUE"""),"A case of congenital glaucoma with hydrocephalus due to myelomeningocele")</f>
        <v>A case of congenital glaucoma with hydrocephalus due to myelomeningocele</v>
      </c>
      <c r="B148" s="5" t="str">
        <f>IFERROR(__xludf.DUMMYFUNCTION("LEFT(FILTER(IMPORTRANGE(""https://docs.google.com/spreadsheets/d/1BJSV3WBYJGRhQ6zExamkszQ5VutGIcaQqmbD9ZTVXMQ/edit#gid=1251630045"",""articles_with_PRISMA_reasons!K2:K2113""), $A148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$A148=IMPORTRANGE(""https://docs.google.com/spreadsheets/d/1BJSV3WBYJGRhQ6zExamkszQ5VutGIcaQqmbD9ZTVXMQ/edit#gid=1251630045"",""articles_with_PRISMA_reasons!B2:B2113"")))-1)"),"Nemoto")</f>
        <v>Nemoto</v>
      </c>
      <c r="C148" s="6">
        <f>IFERROR(__xludf.DUMMYFUNCTION("FILTER(IMPORTRANGE(""https://docs.google.com/spreadsheets/d/1BJSV3WBYJGRhQ6zExamkszQ5VutGIcaQqmbD9ZTVXMQ/edit#gid=1251630045"",""articles_with_PRISMA_reasons!C2:C2113""), $A148=IMPORTRANGE(""https://docs.google.com/spreadsheets/d/1BJSV3WBYJGRhQ6zExamkszQ5"&amp;"VutGIcaQqmbD9ZTVXMQ/edit#gid=1251630045"",""articles_with_PRISMA_reasons!B2:B2113""))"),1999.0)</f>
        <v>1999</v>
      </c>
      <c r="D148" s="5" t="str">
        <f>IFERROR(__xludf.DUMMYFUNCTION("IFS(AND(
FILTER(IMPORTRANGE(""https://docs.google.com/spreadsheets/d/1BJSV3WBYJGRhQ6zExamkszQ5VutGIcaQqmbD9ZTVXMQ/edit#gid=1251630045"",""articles_with_PRISMA_reasons!Y2:Y2113""), $A148=IMPORTRANGE(""https://docs.google.com/spreadsheets/d/1BJSV3WBYJGRhQ6z"&amp;"ExamkszQ5VutGIcaQqmbD9ZTVXMQ/edit#gid=1251630045"",""articles_with_PRISMA_reasons!B2:B2113""))&gt;=2,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$A148=IMPORTRANGE(""https://docs.google.com/spreadsheets/d/1BJSV3WBYJGRhQ6zExamkszQ5VutGIcaQqmbD9ZTVXMQ/edit#gid=1251630045"",""articles_with_PRISMA_reasons!B2:B2113""))&lt;2),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$A148=IMPORTRANGE(""https://docs.google.com/spreadsheets/d/1BJSV3WBYJGRhQ6zExamkszQ5VutGIcaQqmbD9ZTVXMQ/edit#gid=1251630045"",""arti"&amp;"cles_with_PRISMA_reasons!B2:B2113""))&lt;2,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$A148=IMPORTRANGE(""https://docs.google.com"&amp;"/spreadsheets/d/1BJSV3WBYJGRhQ6zExamkszQ5VutGIcaQqmbD9ZTVXMQ/edit#gid=1251630045"",""articles_with_PRISMA_reasons!B2:B2113""))&gt;=2),
""Exclude""
)"),"Exclude")</f>
        <v>Exclude</v>
      </c>
      <c r="E148" s="5" t="str">
        <f>IFERROR(__xludf.DUMMYFUNCTION("IFS(
D148=""Exclude"",""Exclude"",
AND(
FILTER(IMPORTRANGE(""https://docs.google.com/spreadsheets/d/1qpEmbGH0JjaJbUdp21-y2cPbobDbMjr09BbtdKROZWc/edit#gid=1444865654"",""articles_with_PRISMA_reasons!W2:W2113""), $A148=IMPORTRANGE(""https://docs.google.com/"&amp;"spreadsheets/d/1qpEmbGH0JjaJbUdp21-y2cPbobDbMjr09BbtdKROZWc/edit#gid=1444865654"",""articles_with_PRISMA_reasons!B2:B2113""))&gt;=2,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$A148=IMPORTRANGE(""https://docs.google.com/spreadsheets/d/1qpEmbGH0JjaJbUdp21-y2cPbobDbMjr09BbtdKROZWc/edit#gid=1444865654"",""articles_with_PRISMA_reasons!B2:B2113""))&lt;2),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$A148=IMPORTRANGE(""https://docs.google.com/spreadsheets/d/1qpEmbGH0JjaJbUdp21-y2cPbobDbMjr09BbtdKRO"&amp;"ZWc/edit#gid=1444865654"",""articles_with_PRISMA_reasons!B2:B2113""))&lt;2,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$A148=IMPOR"&amp;"TRANGE(""https://docs.google.com/spreadsheets/d/1qpEmbGH0JjaJbUdp21-y2cPbobDbMjr09BbtdKROZWc/edit#gid=1444865654"",""articles_with_PRISMA_reasons!B2:B2113""))&gt;=2),
""Exclude""
)"),"Exclude")</f>
        <v>Exclude</v>
      </c>
      <c r="F148" s="5" t="str">
        <f>IFERROR(__xludf.DUMMYFUNCTION("IFS(
E148=""Exclude"",""Exclude"",
AND(
COUNTIF(
IMPORTRANGE(""https://docs.google.com/spreadsheets/d/1kGrh75X1cNR1D7_FcY9zMnHP8iPO4M5RCRjy6nZY0TY/edit#gid=0"",""Table 1: Study characteristics!B4:B171""),A148)&gt;0,
COUNTIF(Studies!$A$2:$A$85,FILTER(IMPORTRA"&amp;"NGE(""https://docs.google.com/spreadsheets/d/1kGrh75X1cNR1D7_FcY9zMnHP8iPO4M5RCRjy6nZY0TY/edit#gid=0"",""Table 1: Study characteristics!A4:A171""), $A148=IMPORTRANGE(""https://docs.google.com/spreadsheets/d/1kGrh75X1cNR1D7_FcY9zMnHP8iPO4M5RCRjy6nZY0TY/edi"&amp;"t#gid=0"",""Table 1: Study characteristics!B4:B171"")))&gt;0
),
""Include""
)"),"Exclude")</f>
        <v>Exclude</v>
      </c>
      <c r="G148" s="5" t="str">
        <f>IFERROR(__xludf.DUMMYFUNCTION("IFS(
D148=""Exclude"",
FILTER(IMPORTRANGE(""https://docs.google.com/spreadsheets/d/1BJSV3WBYJGRhQ6zExamkszQ5VutGIcaQqmbD9ZTVXMQ/edit#gid=1251630045"",""articles_with_PRISMA_reasons!AB2:AB2113""), $A148=IMPORTRANGE(""https://docs.google.com/spreadsheets/d/"&amp;"1BJSV3WBYJGRhQ6zExamkszQ5VutGIcaQqmbD9ZTVXMQ/edit#gid=1251630045"",""articles_with_PRISMA_reasons!B2:B2113"")),
E148=""Exclude"",
FILTER(IMPORTRANGE(""https://docs.google.com/spreadsheets/d/1qpEmbGH0JjaJbUdp21-y2cPbobDbMjr09BbtdKROZWc/edit#gid=1444865654"&amp;""",""articles_with_PRISMA_reasons!Z2:Z2113""), $A148=IMPORTRANGE(""https://docs.google.com/spreadsheets/d/1qpEmbGH0JjaJbUdp21-y2cPbobDbMjr09BbtdKROZWc/edit#gid=1444865654"",""articles_with_PRISMA_reasons!B2:B2113"")),F148
=""Include"",FILTER(IMPORTRANGE("&amp;"""https://docs.google.com/spreadsheets/d/1kGrh75X1cNR1D7_FcY9zMnHP8iPO4M5RCRjy6nZY0TY/edit#gid=0"",""Table 1: Study characteristics!A4:A171""), $A148=IMPORTRANGE(""https://docs.google.com/spreadsheets/d/1kGrh75X1cNR1D7_FcY9zMnHP8iPO4M5RCRjy6nZY0TY/edit#gi"&amp;"d=0"",""Table 1: Study characteristics!B4:B171""))
)"),"wrong study design")</f>
        <v>wrong study design</v>
      </c>
    </row>
    <row r="149">
      <c r="A149" s="4" t="str">
        <f>IFERROR(__xludf.DUMMYFUNCTION("""COMPUTED_VALUE"""),"A case of Creutzfeldt-Jakob disease associated with a dura mater graft in the United States")</f>
        <v>A case of Creutzfeldt-Jakob disease associated with a dura mater graft in the United States</v>
      </c>
      <c r="B149" s="5" t="str">
        <f>IFERROR(__xludf.DUMMYFUNCTION("LEFT(FILTER(IMPORTRANGE(""https://docs.google.com/spreadsheets/d/1BJSV3WBYJGRhQ6zExamkszQ5VutGIcaQqmbD9ZTVXMQ/edit#gid=1251630045"",""articles_with_PRISMA_reasons!K2:K2113""), $A149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$A149=IMPORTRANGE(""https://docs.google.com/spreadsheets/d/1BJSV3WBYJGRhQ6zExamkszQ5VutGIcaQqmbD9ZTVXMQ/edit#gid=1251630045"",""articles_with_PRISMA_reasons!B2:B2113"")))-1)"),"Blossom")</f>
        <v>Blossom</v>
      </c>
      <c r="C149" s="6">
        <f>IFERROR(__xludf.DUMMYFUNCTION("FILTER(IMPORTRANGE(""https://docs.google.com/spreadsheets/d/1BJSV3WBYJGRhQ6zExamkszQ5VutGIcaQqmbD9ZTVXMQ/edit#gid=1251630045"",""articles_with_PRISMA_reasons!C2:C2113""), $A149=IMPORTRANGE(""https://docs.google.com/spreadsheets/d/1BJSV3WBYJGRhQ6zExamkszQ5"&amp;"VutGIcaQqmbD9ZTVXMQ/edit#gid=1251630045"",""articles_with_PRISMA_reasons!B2:B2113""))"),2007.0)</f>
        <v>2007</v>
      </c>
      <c r="D149" s="5" t="str">
        <f>IFERROR(__xludf.DUMMYFUNCTION("IFS(AND(
FILTER(IMPORTRANGE(""https://docs.google.com/spreadsheets/d/1BJSV3WBYJGRhQ6zExamkszQ5VutGIcaQqmbD9ZTVXMQ/edit#gid=1251630045"",""articles_with_PRISMA_reasons!Y2:Y2113""), $A149=IMPORTRANGE(""https://docs.google.com/spreadsheets/d/1BJSV3WBYJGRhQ6z"&amp;"ExamkszQ5VutGIcaQqmbD9ZTVXMQ/edit#gid=1251630045"",""articles_with_PRISMA_reasons!B2:B2113""))&gt;=2,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$A149=IMPORTRANGE(""https://docs.google.com/spreadsheets/d/1BJSV3WBYJGRhQ6zExamkszQ5VutGIcaQqmbD9ZTVXMQ/edit#gid=1251630045"",""articles_with_PRISMA_reasons!B2:B2113""))&lt;2),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$A149=IMPORTRANGE(""https://docs.google.com/spreadsheets/d/1BJSV3WBYJGRhQ6zExamkszQ5VutGIcaQqmbD9ZTVXMQ/edit#gid=1251630045"",""arti"&amp;"cles_with_PRISMA_reasons!B2:B2113""))&lt;2,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$A149=IMPORTRANGE(""https://docs.google.com"&amp;"/spreadsheets/d/1BJSV3WBYJGRhQ6zExamkszQ5VutGIcaQqmbD9ZTVXMQ/edit#gid=1251630045"",""articles_with_PRISMA_reasons!B2:B2113""))&gt;=2),
""Exclude""
)"),"Exclude")</f>
        <v>Exclude</v>
      </c>
      <c r="E149" s="5" t="str">
        <f>IFERROR(__xludf.DUMMYFUNCTION("IFS(
D149=""Exclude"",""Exclude"",
AND(
FILTER(IMPORTRANGE(""https://docs.google.com/spreadsheets/d/1qpEmbGH0JjaJbUdp21-y2cPbobDbMjr09BbtdKROZWc/edit#gid=1444865654"",""articles_with_PRISMA_reasons!W2:W2113""), $A149=IMPORTRANGE(""https://docs.google.com/"&amp;"spreadsheets/d/1qpEmbGH0JjaJbUdp21-y2cPbobDbMjr09BbtdKROZWc/edit#gid=1444865654"",""articles_with_PRISMA_reasons!B2:B2113""))&gt;=2,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$A149=IMPORTRANGE(""https://docs.google.com/spreadsheets/d/1qpEmbGH0JjaJbUdp21-y2cPbobDbMjr09BbtdKROZWc/edit#gid=1444865654"",""articles_with_PRISMA_reasons!B2:B2113""))&lt;2),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$A149=IMPORTRANGE(""https://docs.google.com/spreadsheets/d/1qpEmbGH0JjaJbUdp21-y2cPbobDbMjr09BbtdKRO"&amp;"ZWc/edit#gid=1444865654"",""articles_with_PRISMA_reasons!B2:B2113""))&lt;2,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$A149=IMPOR"&amp;"TRANGE(""https://docs.google.com/spreadsheets/d/1qpEmbGH0JjaJbUdp21-y2cPbobDbMjr09BbtdKROZWc/edit#gid=1444865654"",""articles_with_PRISMA_reasons!B2:B2113""))&gt;=2),
""Exclude""
)"),"Exclude")</f>
        <v>Exclude</v>
      </c>
      <c r="F149" s="5" t="str">
        <f>IFERROR(__xludf.DUMMYFUNCTION("IFS(
E149=""Exclude"",""Exclude"",
AND(
COUNTIF(
IMPORTRANGE(""https://docs.google.com/spreadsheets/d/1kGrh75X1cNR1D7_FcY9zMnHP8iPO4M5RCRjy6nZY0TY/edit#gid=0"",""Table 1: Study characteristics!B4:B171""),A149)&gt;0,
COUNTIF(Studies!$A$2:$A$85,FILTER(IMPORTRA"&amp;"NGE(""https://docs.google.com/spreadsheets/d/1kGrh75X1cNR1D7_FcY9zMnHP8iPO4M5RCRjy6nZY0TY/edit#gid=0"",""Table 1: Study characteristics!A4:A171""), $A149=IMPORTRANGE(""https://docs.google.com/spreadsheets/d/1kGrh75X1cNR1D7_FcY9zMnHP8iPO4M5RCRjy6nZY0TY/edi"&amp;"t#gid=0"",""Table 1: Study characteristics!B4:B171"")))&gt;0
),
""Include""
)"),"Exclude")</f>
        <v>Exclude</v>
      </c>
      <c r="G149" s="5" t="str">
        <f>IFERROR(__xludf.DUMMYFUNCTION("IFS(
D149=""Exclude"",
FILTER(IMPORTRANGE(""https://docs.google.com/spreadsheets/d/1BJSV3WBYJGRhQ6zExamkszQ5VutGIcaQqmbD9ZTVXMQ/edit#gid=1251630045"",""articles_with_PRISMA_reasons!AB2:AB2113""), $A149=IMPORTRANGE(""https://docs.google.com/spreadsheets/d/"&amp;"1BJSV3WBYJGRhQ6zExamkszQ5VutGIcaQqmbD9ZTVXMQ/edit#gid=1251630045"",""articles_with_PRISMA_reasons!B2:B2113"")),
E149=""Exclude"",
FILTER(IMPORTRANGE(""https://docs.google.com/spreadsheets/d/1qpEmbGH0JjaJbUdp21-y2cPbobDbMjr09BbtdKROZWc/edit#gid=1444865654"&amp;""",""articles_with_PRISMA_reasons!Z2:Z2113""), $A149=IMPORTRANGE(""https://docs.google.com/spreadsheets/d/1qpEmbGH0JjaJbUdp21-y2cPbobDbMjr09BbtdKROZWc/edit#gid=1444865654"",""articles_with_PRISMA_reasons!B2:B2113"")),F149
=""Include"",FILTER(IMPORTRANGE("&amp;"""https://docs.google.com/spreadsheets/d/1kGrh75X1cNR1D7_FcY9zMnHP8iPO4M5RCRjy6nZY0TY/edit#gid=0"",""Table 1: Study characteristics!A4:A171""), $A149=IMPORTRANGE(""https://docs.google.com/spreadsheets/d/1kGrh75X1cNR1D7_FcY9zMnHP8iPO4M5RCRjy6nZY0TY/edit#gi"&amp;"d=0"",""Table 1: Study characteristics!B4:B171""))
)"),"wrong study design")</f>
        <v>wrong study design</v>
      </c>
    </row>
    <row r="150">
      <c r="A150" s="4" t="str">
        <f>IFERROR(__xludf.DUMMYFUNCTION("""COMPUTED_VALUE"""),"A Case of Lacunar Skull")</f>
        <v>A Case of Lacunar Skull</v>
      </c>
      <c r="B150" s="5" t="str">
        <f>IFERROR(__xludf.DUMMYFUNCTION("LEFT(FILTER(IMPORTRANGE(""https://docs.google.com/spreadsheets/d/1BJSV3WBYJGRhQ6zExamkszQ5VutGIcaQqmbD9ZTVXMQ/edit#gid=1251630045"",""articles_with_PRISMA_reasons!K2:K2113""), $A150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$A150=IMPORTRANGE(""https://docs.google.com/spreadsheets/d/1BJSV3WBYJGRhQ6zExamkszQ5VutGIcaQqmbD9ZTVXMQ/edit#gid=1251630045"",""articles_with_PRISMA_reasons!B2:B2113"")))-1)"),"Eun-Hee")</f>
        <v>Eun-Hee</v>
      </c>
      <c r="C150" s="6">
        <f>IFERROR(__xludf.DUMMYFUNCTION("FILTER(IMPORTRANGE(""https://docs.google.com/spreadsheets/d/1BJSV3WBYJGRhQ6zExamkszQ5VutGIcaQqmbD9ZTVXMQ/edit#gid=1251630045"",""articles_with_PRISMA_reasons!C2:C2113""), $A150=IMPORTRANGE(""https://docs.google.com/spreadsheets/d/1BJSV3WBYJGRhQ6zExamkszQ5"&amp;"VutGIcaQqmbD9ZTVXMQ/edit#gid=1251630045"",""articles_with_PRISMA_reasons!B2:B2113""))"),1982.0)</f>
        <v>1982</v>
      </c>
      <c r="D150" s="5" t="str">
        <f>IFERROR(__xludf.DUMMYFUNCTION("IFS(AND(
FILTER(IMPORTRANGE(""https://docs.google.com/spreadsheets/d/1BJSV3WBYJGRhQ6zExamkszQ5VutGIcaQqmbD9ZTVXMQ/edit#gid=1251630045"",""articles_with_PRISMA_reasons!Y2:Y2113""), $A150=IMPORTRANGE(""https://docs.google.com/spreadsheets/d/1BJSV3WBYJGRhQ6z"&amp;"ExamkszQ5VutGIcaQqmbD9ZTVXMQ/edit#gid=1251630045"",""articles_with_PRISMA_reasons!B2:B2113""))&gt;=2,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$A150=IMPORTRANGE(""https://docs.google.com/spreadsheets/d/1BJSV3WBYJGRhQ6zExamkszQ5VutGIcaQqmbD9ZTVXMQ/edit#gid=1251630045"",""articles_with_PRISMA_reasons!B2:B2113""))&lt;2),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$A150=IMPORTRANGE(""https://docs.google.com/spreadsheets/d/1BJSV3WBYJGRhQ6zExamkszQ5VutGIcaQqmbD9ZTVXMQ/edit#gid=1251630045"",""arti"&amp;"cles_with_PRISMA_reasons!B2:B2113""))&lt;2,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$A150=IMPORTRANGE(""https://docs.google.com"&amp;"/spreadsheets/d/1BJSV3WBYJGRhQ6zExamkszQ5VutGIcaQqmbD9ZTVXMQ/edit#gid=1251630045"",""articles_with_PRISMA_reasons!B2:B2113""))&gt;=2),
""Exclude""
)"),"Exclude")</f>
        <v>Exclude</v>
      </c>
      <c r="E150" s="5" t="str">
        <f>IFERROR(__xludf.DUMMYFUNCTION("IFS(
D150=""Exclude"",""Exclude"",
AND(
FILTER(IMPORTRANGE(""https://docs.google.com/spreadsheets/d/1qpEmbGH0JjaJbUdp21-y2cPbobDbMjr09BbtdKROZWc/edit#gid=1444865654"",""articles_with_PRISMA_reasons!W2:W2113""), $A150=IMPORTRANGE(""https://docs.google.com/"&amp;"spreadsheets/d/1qpEmbGH0JjaJbUdp21-y2cPbobDbMjr09BbtdKROZWc/edit#gid=1444865654"",""articles_with_PRISMA_reasons!B2:B2113""))&gt;=2,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$A150=IMPORTRANGE(""https://docs.google.com/spreadsheets/d/1qpEmbGH0JjaJbUdp21-y2cPbobDbMjr09BbtdKROZWc/edit#gid=1444865654"",""articles_with_PRISMA_reasons!B2:B2113""))&lt;2),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$A150=IMPORTRANGE(""https://docs.google.com/spreadsheets/d/1qpEmbGH0JjaJbUdp21-y2cPbobDbMjr09BbtdKRO"&amp;"ZWc/edit#gid=1444865654"",""articles_with_PRISMA_reasons!B2:B2113""))&lt;2,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$A150=IMPOR"&amp;"TRANGE(""https://docs.google.com/spreadsheets/d/1qpEmbGH0JjaJbUdp21-y2cPbobDbMjr09BbtdKROZWc/edit#gid=1444865654"",""articles_with_PRISMA_reasons!B2:B2113""))&gt;=2),
""Exclude""
)"),"Exclude")</f>
        <v>Exclude</v>
      </c>
      <c r="F150" s="5" t="str">
        <f>IFERROR(__xludf.DUMMYFUNCTION("IFS(
E150=""Exclude"",""Exclude"",
AND(
COUNTIF(
IMPORTRANGE(""https://docs.google.com/spreadsheets/d/1kGrh75X1cNR1D7_FcY9zMnHP8iPO4M5RCRjy6nZY0TY/edit#gid=0"",""Table 1: Study characteristics!B4:B171""),A150)&gt;0,
COUNTIF(Studies!$A$2:$A$85,FILTER(IMPORTRA"&amp;"NGE(""https://docs.google.com/spreadsheets/d/1kGrh75X1cNR1D7_FcY9zMnHP8iPO4M5RCRjy6nZY0TY/edit#gid=0"",""Table 1: Study characteristics!A4:A171""), $A150=IMPORTRANGE(""https://docs.google.com/spreadsheets/d/1kGrh75X1cNR1D7_FcY9zMnHP8iPO4M5RCRjy6nZY0TY/edi"&amp;"t#gid=0"",""Table 1: Study characteristics!B4:B171"")))&gt;0
),
""Include""
)"),"Exclude")</f>
        <v>Exclude</v>
      </c>
      <c r="G150" s="5" t="str">
        <f>IFERROR(__xludf.DUMMYFUNCTION("IFS(
D150=""Exclude"",
FILTER(IMPORTRANGE(""https://docs.google.com/spreadsheets/d/1BJSV3WBYJGRhQ6zExamkszQ5VutGIcaQqmbD9ZTVXMQ/edit#gid=1251630045"",""articles_with_PRISMA_reasons!AB2:AB2113""), $A150=IMPORTRANGE(""https://docs.google.com/spreadsheets/d/"&amp;"1BJSV3WBYJGRhQ6zExamkszQ5VutGIcaQqmbD9ZTVXMQ/edit#gid=1251630045"",""articles_with_PRISMA_reasons!B2:B2113"")),
E150=""Exclude"",
FILTER(IMPORTRANGE(""https://docs.google.com/spreadsheets/d/1qpEmbGH0JjaJbUdp21-y2cPbobDbMjr09BbtdKROZWc/edit#gid=1444865654"&amp;""",""articles_with_PRISMA_reasons!Z2:Z2113""), $A150=IMPORTRANGE(""https://docs.google.com/spreadsheets/d/1qpEmbGH0JjaJbUdp21-y2cPbobDbMjr09BbtdKROZWc/edit#gid=1444865654"",""articles_with_PRISMA_reasons!B2:B2113"")),F150
=""Include"",FILTER(IMPORTRANGE("&amp;"""https://docs.google.com/spreadsheets/d/1kGrh75X1cNR1D7_FcY9zMnHP8iPO4M5RCRjy6nZY0TY/edit#gid=0"",""Table 1: Study characteristics!A4:A171""), $A150=IMPORTRANGE(""https://docs.google.com/spreadsheets/d/1kGrh75X1cNR1D7_FcY9zMnHP8iPO4M5RCRjy6nZY0TY/edit#gi"&amp;"d=0"",""Table 1: Study characteristics!B4:B171""))
)"),"wrong study design")</f>
        <v>wrong study design</v>
      </c>
    </row>
    <row r="151">
      <c r="A151" s="4" t="str">
        <f>IFERROR(__xludf.DUMMYFUNCTION("""COMPUTED_VALUE"""),"A case report of triple neural tube defect: revisiting the multisite closure theory")</f>
        <v>A case report of triple neural tube defect: revisiting the multisite closure theory</v>
      </c>
      <c r="B151" s="5" t="str">
        <f>IFERROR(__xludf.DUMMYFUNCTION("LEFT(FILTER(IMPORTRANGE(""https://docs.google.com/spreadsheets/d/1BJSV3WBYJGRhQ6zExamkszQ5VutGIcaQqmbD9ZTVXMQ/edit#gid=1251630045"",""articles_with_PRISMA_reasons!K2:K2113""), $A151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$A151=IMPORTRANGE(""https://docs.google.com/spreadsheets/d/1BJSV3WBYJGRhQ6zExamkszQ5VutGIcaQqmbD9ZTVXMQ/edit#gid=1251630045"",""articles_with_PRISMA_reasons!B2:B2113"")))-1)"),"Yadav")</f>
        <v>Yadav</v>
      </c>
      <c r="C151" s="6">
        <f>IFERROR(__xludf.DUMMYFUNCTION("FILTER(IMPORTRANGE(""https://docs.google.com/spreadsheets/d/1BJSV3WBYJGRhQ6zExamkszQ5VutGIcaQqmbD9ZTVXMQ/edit#gid=1251630045"",""articles_with_PRISMA_reasons!C2:C2113""), $A151=IMPORTRANGE(""https://docs.google.com/spreadsheets/d/1BJSV3WBYJGRhQ6zExamkszQ5"&amp;"VutGIcaQqmbD9ZTVXMQ/edit#gid=1251630045"",""articles_with_PRISMA_reasons!B2:B2113""))"),2019.0)</f>
        <v>2019</v>
      </c>
      <c r="D151" s="5" t="str">
        <f>IFERROR(__xludf.DUMMYFUNCTION("IFS(AND(
FILTER(IMPORTRANGE(""https://docs.google.com/spreadsheets/d/1BJSV3WBYJGRhQ6zExamkszQ5VutGIcaQqmbD9ZTVXMQ/edit#gid=1251630045"",""articles_with_PRISMA_reasons!Y2:Y2113""), $A151=IMPORTRANGE(""https://docs.google.com/spreadsheets/d/1BJSV3WBYJGRhQ6z"&amp;"ExamkszQ5VutGIcaQqmbD9ZTVXMQ/edit#gid=1251630045"",""articles_with_PRISMA_reasons!B2:B2113""))&gt;=2,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$A151=IMPORTRANGE(""https://docs.google.com/spreadsheets/d/1BJSV3WBYJGRhQ6zExamkszQ5VutGIcaQqmbD9ZTVXMQ/edit#gid=1251630045"",""articles_with_PRISMA_reasons!B2:B2113""))&lt;2),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$A151=IMPORTRANGE(""https://docs.google.com/spreadsheets/d/1BJSV3WBYJGRhQ6zExamkszQ5VutGIcaQqmbD9ZTVXMQ/edit#gid=1251630045"",""arti"&amp;"cles_with_PRISMA_reasons!B2:B2113""))&lt;2,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$A151=IMPORTRANGE(""https://docs.google.com"&amp;"/spreadsheets/d/1BJSV3WBYJGRhQ6zExamkszQ5VutGIcaQqmbD9ZTVXMQ/edit#gid=1251630045"",""articles_with_PRISMA_reasons!B2:B2113""))&gt;=2),
""Exclude""
)"),"Exclude")</f>
        <v>Exclude</v>
      </c>
      <c r="E151" s="5" t="str">
        <f>IFERROR(__xludf.DUMMYFUNCTION("IFS(
D151=""Exclude"",""Exclude"",
AND(
FILTER(IMPORTRANGE(""https://docs.google.com/spreadsheets/d/1qpEmbGH0JjaJbUdp21-y2cPbobDbMjr09BbtdKROZWc/edit#gid=1444865654"",""articles_with_PRISMA_reasons!W2:W2113""), $A151=IMPORTRANGE(""https://docs.google.com/"&amp;"spreadsheets/d/1qpEmbGH0JjaJbUdp21-y2cPbobDbMjr09BbtdKROZWc/edit#gid=1444865654"",""articles_with_PRISMA_reasons!B2:B2113""))&gt;=2,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$A151=IMPORTRANGE(""https://docs.google.com/spreadsheets/d/1qpEmbGH0JjaJbUdp21-y2cPbobDbMjr09BbtdKROZWc/edit#gid=1444865654"",""articles_with_PRISMA_reasons!B2:B2113""))&lt;2),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$A151=IMPORTRANGE(""https://docs.google.com/spreadsheets/d/1qpEmbGH0JjaJbUdp21-y2cPbobDbMjr09BbtdKRO"&amp;"ZWc/edit#gid=1444865654"",""articles_with_PRISMA_reasons!B2:B2113""))&lt;2,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$A151=IMPOR"&amp;"TRANGE(""https://docs.google.com/spreadsheets/d/1qpEmbGH0JjaJbUdp21-y2cPbobDbMjr09BbtdKROZWc/edit#gid=1444865654"",""articles_with_PRISMA_reasons!B2:B2113""))&gt;=2),
""Exclude""
)"),"Exclude")</f>
        <v>Exclude</v>
      </c>
      <c r="F151" s="5" t="str">
        <f>IFERROR(__xludf.DUMMYFUNCTION("IFS(
E151=""Exclude"",""Exclude"",
AND(
COUNTIF(
IMPORTRANGE(""https://docs.google.com/spreadsheets/d/1kGrh75X1cNR1D7_FcY9zMnHP8iPO4M5RCRjy6nZY0TY/edit#gid=0"",""Table 1: Study characteristics!B4:B171""),A151)&gt;0,
COUNTIF(Studies!$A$2:$A$85,FILTER(IMPORTRA"&amp;"NGE(""https://docs.google.com/spreadsheets/d/1kGrh75X1cNR1D7_FcY9zMnHP8iPO4M5RCRjy6nZY0TY/edit#gid=0"",""Table 1: Study characteristics!A4:A171""), $A151=IMPORTRANGE(""https://docs.google.com/spreadsheets/d/1kGrh75X1cNR1D7_FcY9zMnHP8iPO4M5RCRjy6nZY0TY/edi"&amp;"t#gid=0"",""Table 1: Study characteristics!B4:B171"")))&gt;0
),
""Include""
)"),"Exclude")</f>
        <v>Exclude</v>
      </c>
      <c r="G151" s="5" t="str">
        <f>IFERROR(__xludf.DUMMYFUNCTION("IFS(
D151=""Exclude"",
FILTER(IMPORTRANGE(""https://docs.google.com/spreadsheets/d/1BJSV3WBYJGRhQ6zExamkszQ5VutGIcaQqmbD9ZTVXMQ/edit#gid=1251630045"",""articles_with_PRISMA_reasons!AB2:AB2113""), $A151=IMPORTRANGE(""https://docs.google.com/spreadsheets/d/"&amp;"1BJSV3WBYJGRhQ6zExamkszQ5VutGIcaQqmbD9ZTVXMQ/edit#gid=1251630045"",""articles_with_PRISMA_reasons!B2:B2113"")),
E151=""Exclude"",
FILTER(IMPORTRANGE(""https://docs.google.com/spreadsheets/d/1qpEmbGH0JjaJbUdp21-y2cPbobDbMjr09BbtdKROZWc/edit#gid=1444865654"&amp;""",""articles_with_PRISMA_reasons!Z2:Z2113""), $A151=IMPORTRANGE(""https://docs.google.com/spreadsheets/d/1qpEmbGH0JjaJbUdp21-y2cPbobDbMjr09BbtdKROZWc/edit#gid=1444865654"",""articles_with_PRISMA_reasons!B2:B2113"")),F151
=""Include"",FILTER(IMPORTRANGE("&amp;"""https://docs.google.com/spreadsheets/d/1kGrh75X1cNR1D7_FcY9zMnHP8iPO4M5RCRjy6nZY0TY/edit#gid=0"",""Table 1: Study characteristics!A4:A171""), $A151=IMPORTRANGE(""https://docs.google.com/spreadsheets/d/1kGrh75X1cNR1D7_FcY9zMnHP8iPO4M5RCRjy6nZY0TY/edit#gi"&amp;"d=0"",""Table 1: Study characteristics!B4:B171""))
)"),"wrong study design")</f>
        <v>wrong study design</v>
      </c>
    </row>
    <row r="152">
      <c r="A152" s="4" t="str">
        <f>IFERROR(__xludf.DUMMYFUNCTION("""COMPUTED_VALUE"""),"A case report: Ventriculo-peritoneal Shunt in the Presence of Chylous Ascites-Is It Safe?")</f>
        <v>A case report: Ventriculo-peritoneal Shunt in the Presence of Chylous Ascites-Is It Safe?</v>
      </c>
      <c r="B152" s="5" t="str">
        <f>IFERROR(__xludf.DUMMYFUNCTION("LEFT(FILTER(IMPORTRANGE(""https://docs.google.com/spreadsheets/d/1BJSV3WBYJGRhQ6zExamkszQ5VutGIcaQqmbD9ZTVXMQ/edit#gid=1251630045"",""articles_with_PRISMA_reasons!K2:K2113""), $A152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$A152=IMPORTRANGE(""https://docs.google.com/spreadsheets/d/1BJSV3WBYJGRhQ6zExamkszQ5VutGIcaQqmbD9ZTVXMQ/edit#gid=1251630045"",""articles_with_PRISMA_reasons!B2:B2113"")))-1)"),"Shumon")</f>
        <v>Shumon</v>
      </c>
      <c r="C152" s="6">
        <f>IFERROR(__xludf.DUMMYFUNCTION("FILTER(IMPORTRANGE(""https://docs.google.com/spreadsheets/d/1BJSV3WBYJGRhQ6zExamkszQ5VutGIcaQqmbD9ZTVXMQ/edit#gid=1251630045"",""articles_with_PRISMA_reasons!C2:C2113""), $A152=IMPORTRANGE(""https://docs.google.com/spreadsheets/d/1BJSV3WBYJGRhQ6zExamkszQ5"&amp;"VutGIcaQqmbD9ZTVXMQ/edit#gid=1251630045"",""articles_with_PRISMA_reasons!B2:B2113""))"),2021.0)</f>
        <v>2021</v>
      </c>
      <c r="D152" s="5" t="str">
        <f>IFERROR(__xludf.DUMMYFUNCTION("IFS(AND(
FILTER(IMPORTRANGE(""https://docs.google.com/spreadsheets/d/1BJSV3WBYJGRhQ6zExamkszQ5VutGIcaQqmbD9ZTVXMQ/edit#gid=1251630045"",""articles_with_PRISMA_reasons!Y2:Y2113""), $A152=IMPORTRANGE(""https://docs.google.com/spreadsheets/d/1BJSV3WBYJGRhQ6z"&amp;"ExamkszQ5VutGIcaQqmbD9ZTVXMQ/edit#gid=1251630045"",""articles_with_PRISMA_reasons!B2:B2113""))&gt;=2,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$A152=IMPORTRANGE(""https://docs.google.com/spreadsheets/d/1BJSV3WBYJGRhQ6zExamkszQ5VutGIcaQqmbD9ZTVXMQ/edit#gid=1251630045"",""articles_with_PRISMA_reasons!B2:B2113""))&lt;2),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$A152=IMPORTRANGE(""https://docs.google.com/spreadsheets/d/1BJSV3WBYJGRhQ6zExamkszQ5VutGIcaQqmbD9ZTVXMQ/edit#gid=1251630045"",""arti"&amp;"cles_with_PRISMA_reasons!B2:B2113""))&lt;2,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$A152=IMPORTRANGE(""https://docs.google.com"&amp;"/spreadsheets/d/1BJSV3WBYJGRhQ6zExamkszQ5VutGIcaQqmbD9ZTVXMQ/edit#gid=1251630045"",""articles_with_PRISMA_reasons!B2:B2113""))&gt;=2),
""Exclude""
)"),"Exclude")</f>
        <v>Exclude</v>
      </c>
      <c r="E152" s="5" t="str">
        <f>IFERROR(__xludf.DUMMYFUNCTION("IFS(
D152=""Exclude"",""Exclude"",
AND(
FILTER(IMPORTRANGE(""https://docs.google.com/spreadsheets/d/1qpEmbGH0JjaJbUdp21-y2cPbobDbMjr09BbtdKROZWc/edit#gid=1444865654"",""articles_with_PRISMA_reasons!W2:W2113""), $A152=IMPORTRANGE(""https://docs.google.com/"&amp;"spreadsheets/d/1qpEmbGH0JjaJbUdp21-y2cPbobDbMjr09BbtdKROZWc/edit#gid=1444865654"",""articles_with_PRISMA_reasons!B2:B2113""))&gt;=2,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$A152=IMPORTRANGE(""https://docs.google.com/spreadsheets/d/1qpEmbGH0JjaJbUdp21-y2cPbobDbMjr09BbtdKROZWc/edit#gid=1444865654"",""articles_with_PRISMA_reasons!B2:B2113""))&lt;2),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$A152=IMPORTRANGE(""https://docs.google.com/spreadsheets/d/1qpEmbGH0JjaJbUdp21-y2cPbobDbMjr09BbtdKRO"&amp;"ZWc/edit#gid=1444865654"",""articles_with_PRISMA_reasons!B2:B2113""))&lt;2,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$A152=IMPOR"&amp;"TRANGE(""https://docs.google.com/spreadsheets/d/1qpEmbGH0JjaJbUdp21-y2cPbobDbMjr09BbtdKROZWc/edit#gid=1444865654"",""articles_with_PRISMA_reasons!B2:B2113""))&gt;=2),
""Exclude""
)"),"Exclude")</f>
        <v>Exclude</v>
      </c>
      <c r="F152" s="5" t="str">
        <f>IFERROR(__xludf.DUMMYFUNCTION("IFS(
E152=""Exclude"",""Exclude"",
AND(
COUNTIF(
IMPORTRANGE(""https://docs.google.com/spreadsheets/d/1kGrh75X1cNR1D7_FcY9zMnHP8iPO4M5RCRjy6nZY0TY/edit#gid=0"",""Table 1: Study characteristics!B4:B171""),A152)&gt;0,
COUNTIF(Studies!$A$2:$A$85,FILTER(IMPORTRA"&amp;"NGE(""https://docs.google.com/spreadsheets/d/1kGrh75X1cNR1D7_FcY9zMnHP8iPO4M5RCRjy6nZY0TY/edit#gid=0"",""Table 1: Study characteristics!A4:A171""), $A152=IMPORTRANGE(""https://docs.google.com/spreadsheets/d/1kGrh75X1cNR1D7_FcY9zMnHP8iPO4M5RCRjy6nZY0TY/edi"&amp;"t#gid=0"",""Table 1: Study characteristics!B4:B171"")))&gt;0
),
""Include""
)"),"Exclude")</f>
        <v>Exclude</v>
      </c>
      <c r="G152" s="5" t="str">
        <f>IFERROR(__xludf.DUMMYFUNCTION("IFS(
D152=""Exclude"",
FILTER(IMPORTRANGE(""https://docs.google.com/spreadsheets/d/1BJSV3WBYJGRhQ6zExamkszQ5VutGIcaQqmbD9ZTVXMQ/edit#gid=1251630045"",""articles_with_PRISMA_reasons!AB2:AB2113""), $A152=IMPORTRANGE(""https://docs.google.com/spreadsheets/d/"&amp;"1BJSV3WBYJGRhQ6zExamkszQ5VutGIcaQqmbD9ZTVXMQ/edit#gid=1251630045"",""articles_with_PRISMA_reasons!B2:B2113"")),
E152=""Exclude"",
FILTER(IMPORTRANGE(""https://docs.google.com/spreadsheets/d/1qpEmbGH0JjaJbUdp21-y2cPbobDbMjr09BbtdKROZWc/edit#gid=1444865654"&amp;""",""articles_with_PRISMA_reasons!Z2:Z2113""), $A152=IMPORTRANGE(""https://docs.google.com/spreadsheets/d/1qpEmbGH0JjaJbUdp21-y2cPbobDbMjr09BbtdKROZWc/edit#gid=1444865654"",""articles_with_PRISMA_reasons!B2:B2113"")),F152
=""Include"",FILTER(IMPORTRANGE("&amp;"""https://docs.google.com/spreadsheets/d/1kGrh75X1cNR1D7_FcY9zMnHP8iPO4M5RCRjy6nZY0TY/edit#gid=0"",""Table 1: Study characteristics!A4:A171""), $A152=IMPORTRANGE(""https://docs.google.com/spreadsheets/d/1kGrh75X1cNR1D7_FcY9zMnHP8iPO4M5RCRjy6nZY0TY/edit#gi"&amp;"d=0"",""Table 1: Study characteristics!B4:B171""))
)"),"wrong study design")</f>
        <v>wrong study design</v>
      </c>
    </row>
    <row r="153">
      <c r="A153" s="4" t="str">
        <f>IFERROR(__xludf.DUMMYFUNCTION("""COMPUTED_VALUE"""),"A case series of 12 patients with incidental asymptomatic Dandy-Walker syndrome and management")</f>
        <v>A case series of 12 patients with incidental asymptomatic Dandy-Walker syndrome and management</v>
      </c>
      <c r="B153" s="5" t="str">
        <f>IFERROR(__xludf.DUMMYFUNCTION("LEFT(FILTER(IMPORTRANGE(""https://docs.google.com/spreadsheets/d/1BJSV3WBYJGRhQ6zExamkszQ5VutGIcaQqmbD9ZTVXMQ/edit#gid=1251630045"",""articles_with_PRISMA_reasons!K2:K2113""), $A153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$A153=IMPORTRANGE(""https://docs.google.com/spreadsheets/d/1BJSV3WBYJGRhQ6zExamkszQ5VutGIcaQqmbD9ZTVXMQ/edit#gid=1251630045"",""articles_with_PRISMA_reasons!B2:B2113"")))-1)"),"Jha")</f>
        <v>Jha</v>
      </c>
      <c r="C153" s="6">
        <f>IFERROR(__xludf.DUMMYFUNCTION("FILTER(IMPORTRANGE(""https://docs.google.com/spreadsheets/d/1BJSV3WBYJGRhQ6zExamkszQ5VutGIcaQqmbD9ZTVXMQ/edit#gid=1251630045"",""articles_with_PRISMA_reasons!C2:C2113""), $A153=IMPORTRANGE(""https://docs.google.com/spreadsheets/d/1BJSV3WBYJGRhQ6zExamkszQ5"&amp;"VutGIcaQqmbD9ZTVXMQ/edit#gid=1251630045"",""articles_with_PRISMA_reasons!B2:B2113""))"),2012.0)</f>
        <v>2012</v>
      </c>
      <c r="D153" s="5" t="str">
        <f>IFERROR(__xludf.DUMMYFUNCTION("IFS(AND(
FILTER(IMPORTRANGE(""https://docs.google.com/spreadsheets/d/1BJSV3WBYJGRhQ6zExamkszQ5VutGIcaQqmbD9ZTVXMQ/edit#gid=1251630045"",""articles_with_PRISMA_reasons!Y2:Y2113""), $A153=IMPORTRANGE(""https://docs.google.com/spreadsheets/d/1BJSV3WBYJGRhQ6z"&amp;"ExamkszQ5VutGIcaQqmbD9ZTVXMQ/edit#gid=1251630045"",""articles_with_PRISMA_reasons!B2:B2113""))&gt;=2,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$A153=IMPORTRANGE(""https://docs.google.com/spreadsheets/d/1BJSV3WBYJGRhQ6zExamkszQ5VutGIcaQqmbD9ZTVXMQ/edit#gid=1251630045"",""articles_with_PRISMA_reasons!B2:B2113""))&lt;2),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$A153=IMPORTRANGE(""https://docs.google.com/spreadsheets/d/1BJSV3WBYJGRhQ6zExamkszQ5VutGIcaQqmbD9ZTVXMQ/edit#gid=1251630045"",""arti"&amp;"cles_with_PRISMA_reasons!B2:B2113""))&lt;2,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$A153=IMPORTRANGE(""https://docs.google.com"&amp;"/spreadsheets/d/1BJSV3WBYJGRhQ6zExamkszQ5VutGIcaQqmbD9ZTVXMQ/edit#gid=1251630045"",""articles_with_PRISMA_reasons!B2:B2113""))&gt;=2),
""Exclude""
)"),"Exclude")</f>
        <v>Exclude</v>
      </c>
      <c r="E153" s="5" t="str">
        <f>IFERROR(__xludf.DUMMYFUNCTION("IFS(
D153=""Exclude"",""Exclude"",
AND(
FILTER(IMPORTRANGE(""https://docs.google.com/spreadsheets/d/1qpEmbGH0JjaJbUdp21-y2cPbobDbMjr09BbtdKROZWc/edit#gid=1444865654"",""articles_with_PRISMA_reasons!W2:W2113""), $A153=IMPORTRANGE(""https://docs.google.com/"&amp;"spreadsheets/d/1qpEmbGH0JjaJbUdp21-y2cPbobDbMjr09BbtdKROZWc/edit#gid=1444865654"",""articles_with_PRISMA_reasons!B2:B2113""))&gt;=2,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$A153=IMPORTRANGE(""https://docs.google.com/spreadsheets/d/1qpEmbGH0JjaJbUdp21-y2cPbobDbMjr09BbtdKROZWc/edit#gid=1444865654"",""articles_with_PRISMA_reasons!B2:B2113""))&lt;2),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$A153=IMPORTRANGE(""https://docs.google.com/spreadsheets/d/1qpEmbGH0JjaJbUdp21-y2cPbobDbMjr09BbtdKRO"&amp;"ZWc/edit#gid=1444865654"",""articles_with_PRISMA_reasons!B2:B2113""))&lt;2,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$A153=IMPOR"&amp;"TRANGE(""https://docs.google.com/spreadsheets/d/1qpEmbGH0JjaJbUdp21-y2cPbobDbMjr09BbtdKROZWc/edit#gid=1444865654"",""articles_with_PRISMA_reasons!B2:B2113""))&gt;=2),
""Exclude""
)"),"Exclude")</f>
        <v>Exclude</v>
      </c>
      <c r="F153" s="5" t="str">
        <f>IFERROR(__xludf.DUMMYFUNCTION("IFS(
E153=""Exclude"",""Exclude"",
AND(
COUNTIF(
IMPORTRANGE(""https://docs.google.com/spreadsheets/d/1kGrh75X1cNR1D7_FcY9zMnHP8iPO4M5RCRjy6nZY0TY/edit#gid=0"",""Table 1: Study characteristics!B4:B171""),A153)&gt;0,
COUNTIF(Studies!$A$2:$A$85,FILTER(IMPORTRA"&amp;"NGE(""https://docs.google.com/spreadsheets/d/1kGrh75X1cNR1D7_FcY9zMnHP8iPO4M5RCRjy6nZY0TY/edit#gid=0"",""Table 1: Study characteristics!A4:A171""), $A153=IMPORTRANGE(""https://docs.google.com/spreadsheets/d/1kGrh75X1cNR1D7_FcY9zMnHP8iPO4M5RCRjy6nZY0TY/edi"&amp;"t#gid=0"",""Table 1: Study characteristics!B4:B171"")))&gt;0
),
""Include""
)"),"Exclude")</f>
        <v>Exclude</v>
      </c>
      <c r="G153" s="5" t="str">
        <f>IFERROR(__xludf.DUMMYFUNCTION("IFS(
D153=""Exclude"",
FILTER(IMPORTRANGE(""https://docs.google.com/spreadsheets/d/1BJSV3WBYJGRhQ6zExamkszQ5VutGIcaQqmbD9ZTVXMQ/edit#gid=1251630045"",""articles_with_PRISMA_reasons!AB2:AB2113""), $A153=IMPORTRANGE(""https://docs.google.com/spreadsheets/d/"&amp;"1BJSV3WBYJGRhQ6zExamkszQ5VutGIcaQqmbD9ZTVXMQ/edit#gid=1251630045"",""articles_with_PRISMA_reasons!B2:B2113"")),
E153=""Exclude"",
FILTER(IMPORTRANGE(""https://docs.google.com/spreadsheets/d/1qpEmbGH0JjaJbUdp21-y2cPbobDbMjr09BbtdKROZWc/edit#gid=1444865654"&amp;""",""articles_with_PRISMA_reasons!Z2:Z2113""), $A153=IMPORTRANGE(""https://docs.google.com/spreadsheets/d/1qpEmbGH0JjaJbUdp21-y2cPbobDbMjr09BbtdKROZWc/edit#gid=1444865654"",""articles_with_PRISMA_reasons!B2:B2113"")),F153
=""Include"",FILTER(IMPORTRANGE("&amp;"""https://docs.google.com/spreadsheets/d/1kGrh75X1cNR1D7_FcY9zMnHP8iPO4M5RCRjy6nZY0TY/edit#gid=0"",""Table 1: Study characteristics!A4:A171""), $A153=IMPORTRANGE(""https://docs.google.com/spreadsheets/d/1kGrh75X1cNR1D7_FcY9zMnHP8iPO4M5RCRjy6nZY0TY/edit#gi"&amp;"d=0"",""Table 1: Study characteristics!B4:B171""))
)"),"wrong study design")</f>
        <v>wrong study design</v>
      </c>
    </row>
    <row r="154">
      <c r="A154" s="4" t="str">
        <f>IFERROR(__xludf.DUMMYFUNCTION("""COMPUTED_VALUE"""),"A characteristic ventricular shape in myelomeningocele-associated hydrocephalus? A CT stereology study")</f>
        <v>A characteristic ventricular shape in myelomeningocele-associated hydrocephalus? A CT stereology study</v>
      </c>
      <c r="B154" s="5" t="str">
        <f>IFERROR(__xludf.DUMMYFUNCTION("LEFT(FILTER(IMPORTRANGE(""https://docs.google.com/spreadsheets/d/1BJSV3WBYJGRhQ6zExamkszQ5VutGIcaQqmbD9ZTVXMQ/edit#gid=1251630045"",""articles_with_PRISMA_reasons!K2:K2113""), $A154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$A154=IMPORTRANGE(""https://docs.google.com/spreadsheets/d/1BJSV3WBYJGRhQ6zExamkszQ5VutGIcaQqmbD9ZTVXMQ/edit#gid=1251630045"",""articles_with_PRISMA_reasons!B2:B2113"")))-1)"),"Van Roost")</f>
        <v>Van Roost</v>
      </c>
      <c r="C154" s="6">
        <f>IFERROR(__xludf.DUMMYFUNCTION("FILTER(IMPORTRANGE(""https://docs.google.com/spreadsheets/d/1BJSV3WBYJGRhQ6zExamkszQ5VutGIcaQqmbD9ZTVXMQ/edit#gid=1251630045"",""articles_with_PRISMA_reasons!C2:C2113""), $A154=IMPORTRANGE(""https://docs.google.com/spreadsheets/d/1BJSV3WBYJGRhQ6zExamkszQ5"&amp;"VutGIcaQqmbD9ZTVXMQ/edit#gid=1251630045"",""articles_with_PRISMA_reasons!B2:B2113""))"),1995.0)</f>
        <v>1995</v>
      </c>
      <c r="D154" s="5" t="str">
        <f>IFERROR(__xludf.DUMMYFUNCTION("IFS(AND(
FILTER(IMPORTRANGE(""https://docs.google.com/spreadsheets/d/1BJSV3WBYJGRhQ6zExamkszQ5VutGIcaQqmbD9ZTVXMQ/edit#gid=1251630045"",""articles_with_PRISMA_reasons!Y2:Y2113""), $A154=IMPORTRANGE(""https://docs.google.com/spreadsheets/d/1BJSV3WBYJGRhQ6z"&amp;"ExamkszQ5VutGIcaQqmbD9ZTVXMQ/edit#gid=1251630045"",""articles_with_PRISMA_reasons!B2:B2113""))&gt;=2,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$A154=IMPORTRANGE(""https://docs.google.com/spreadsheets/d/1BJSV3WBYJGRhQ6zExamkszQ5VutGIcaQqmbD9ZTVXMQ/edit#gid=1251630045"",""articles_with_PRISMA_reasons!B2:B2113""))&lt;2),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$A154=IMPORTRANGE(""https://docs.google.com/spreadsheets/d/1BJSV3WBYJGRhQ6zExamkszQ5VutGIcaQqmbD9ZTVXMQ/edit#gid=1251630045"",""arti"&amp;"cles_with_PRISMA_reasons!B2:B2113""))&lt;2,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$A154=IMPORTRANGE(""https://docs.google.com"&amp;"/spreadsheets/d/1BJSV3WBYJGRhQ6zExamkszQ5VutGIcaQqmbD9ZTVXMQ/edit#gid=1251630045"",""articles_with_PRISMA_reasons!B2:B2113""))&gt;=2),
""Exclude""
)"),"Include")</f>
        <v>Include</v>
      </c>
      <c r="E154" s="5" t="str">
        <f>IFERROR(__xludf.DUMMYFUNCTION("IFS(
D154=""Exclude"",""Exclude"",
AND(
FILTER(IMPORTRANGE(""https://docs.google.com/spreadsheets/d/1qpEmbGH0JjaJbUdp21-y2cPbobDbMjr09BbtdKROZWc/edit#gid=1444865654"",""articles_with_PRISMA_reasons!W2:W2113""), $A154=IMPORTRANGE(""https://docs.google.com/"&amp;"spreadsheets/d/1qpEmbGH0JjaJbUdp21-y2cPbobDbMjr09BbtdKROZWc/edit#gid=1444865654"",""articles_with_PRISMA_reasons!B2:B2113""))&gt;=2,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$A154=IMPORTRANGE(""https://docs.google.com/spreadsheets/d/1qpEmbGH0JjaJbUdp21-y2cPbobDbMjr09BbtdKROZWc/edit#gid=1444865654"",""articles_with_PRISMA_reasons!B2:B2113""))&lt;2),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$A154=IMPORTRANGE(""https://docs.google.com/spreadsheets/d/1qpEmbGH0JjaJbUdp21-y2cPbobDbMjr09BbtdKRO"&amp;"ZWc/edit#gid=1444865654"",""articles_with_PRISMA_reasons!B2:B2113""))&lt;2,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$A154=IMPOR"&amp;"TRANGE(""https://docs.google.com/spreadsheets/d/1qpEmbGH0JjaJbUdp21-y2cPbobDbMjr09BbtdKROZWc/edit#gid=1444865654"",""articles_with_PRISMA_reasons!B2:B2113""))&gt;=2),
""Exclude""
)"),"Exclude")</f>
        <v>Exclude</v>
      </c>
      <c r="F154" s="5" t="str">
        <f>IFERROR(__xludf.DUMMYFUNCTION("IFS(
E154=""Exclude"",""Exclude"",
AND(
COUNTIF(
IMPORTRANGE(""https://docs.google.com/spreadsheets/d/1kGrh75X1cNR1D7_FcY9zMnHP8iPO4M5RCRjy6nZY0TY/edit#gid=0"",""Table 1: Study characteristics!B4:B171""),A154)&gt;0,
COUNTIF(Studies!$A$2:$A$85,FILTER(IMPORTRA"&amp;"NGE(""https://docs.google.com/spreadsheets/d/1kGrh75X1cNR1D7_FcY9zMnHP8iPO4M5RCRjy6nZY0TY/edit#gid=0"",""Table 1: Study characteristics!A4:A171""), $A154=IMPORTRANGE(""https://docs.google.com/spreadsheets/d/1kGrh75X1cNR1D7_FcY9zMnHP8iPO4M5RCRjy6nZY0TY/edi"&amp;"t#gid=0"",""Table 1: Study characteristics!B4:B171"")))&gt;0
),
""Include""
)"),"Exclude")</f>
        <v>Exclude</v>
      </c>
      <c r="G154" s="5" t="str">
        <f>IFERROR(__xludf.DUMMYFUNCTION("IFS(
D154=""Exclude"",
FILTER(IMPORTRANGE(""https://docs.google.com/spreadsheets/d/1BJSV3WBYJGRhQ6zExamkszQ5VutGIcaQqmbD9ZTVXMQ/edit#gid=1251630045"",""articles_with_PRISMA_reasons!AB2:AB2113""), $A154=IMPORTRANGE(""https://docs.google.com/spreadsheets/d/"&amp;"1BJSV3WBYJGRhQ6zExamkszQ5VutGIcaQqmbD9ZTVXMQ/edit#gid=1251630045"",""articles_with_PRISMA_reasons!B2:B2113"")),
E154=""Exclude"",
FILTER(IMPORTRANGE(""https://docs.google.com/spreadsheets/d/1qpEmbGH0JjaJbUdp21-y2cPbobDbMjr09BbtdKROZWc/edit#gid=1444865654"&amp;""",""articles_with_PRISMA_reasons!Z2:Z2113""), $A154=IMPORTRANGE(""https://docs.google.com/spreadsheets/d/1qpEmbGH0JjaJbUdp21-y2cPbobDbMjr09BbtdKROZWc/edit#gid=1444865654"",""articles_with_PRISMA_reasons!B2:B2113"")),F154
=""Include"",FILTER(IMPORTRANGE("&amp;"""https://docs.google.com/spreadsheets/d/1kGrh75X1cNR1D7_FcY9zMnHP8iPO4M5RCRjy6nZY0TY/edit#gid=0"",""Table 1: Study characteristics!A4:A171""), $A154=IMPORTRANGE(""https://docs.google.com/spreadsheets/d/1kGrh75X1cNR1D7_FcY9zMnHP8iPO4M5RCRjy6nZY0TY/edit#gi"&amp;"d=0"",""Table 1: Study characteristics!B4:B171""))
)"),"wrong population")</f>
        <v>wrong population</v>
      </c>
    </row>
    <row r="155">
      <c r="A155" s="4" t="str">
        <f>IFERROR(__xludf.DUMMYFUNCTION("""COMPUTED_VALUE"""),"A child as damage")</f>
        <v>A child as damage</v>
      </c>
      <c r="B155" s="5" t="str">
        <f>IFERROR(__xludf.DUMMYFUNCTION("LEFT(FILTER(IMPORTRANGE(""https://docs.google.com/spreadsheets/d/1BJSV3WBYJGRhQ6zExamkszQ5VutGIcaQqmbD9ZTVXMQ/edit#gid=1251630045"",""articles_with_PRISMA_reasons!K2:K2113""), $A155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$A155=IMPORTRANGE(""https://docs.google.com/spreadsheets/d/1BJSV3WBYJGRhQ6zExamkszQ5VutGIcaQqmbD9ZTVXMQ/edit#gid=1251630045"",""articles_with_PRISMA_reasons!B2:B2113"")))-1)"),"Kerbl")</f>
        <v>Kerbl</v>
      </c>
      <c r="C155" s="6">
        <f>IFERROR(__xludf.DUMMYFUNCTION("FILTER(IMPORTRANGE(""https://docs.google.com/spreadsheets/d/1BJSV3WBYJGRhQ6zExamkszQ5VutGIcaQqmbD9ZTVXMQ/edit#gid=1251630045"",""articles_with_PRISMA_reasons!C2:C2113""), $A155=IMPORTRANGE(""https://docs.google.com/spreadsheets/d/1BJSV3WBYJGRhQ6zExamkszQ5"&amp;"VutGIcaQqmbD9ZTVXMQ/edit#gid=1251630045"",""articles_with_PRISMA_reasons!B2:B2113""))"),2008.0)</f>
        <v>2008</v>
      </c>
      <c r="D155" s="5" t="str">
        <f>IFERROR(__xludf.DUMMYFUNCTION("IFS(AND(
FILTER(IMPORTRANGE(""https://docs.google.com/spreadsheets/d/1BJSV3WBYJGRhQ6zExamkszQ5VutGIcaQqmbD9ZTVXMQ/edit#gid=1251630045"",""articles_with_PRISMA_reasons!Y2:Y2113""), $A155=IMPORTRANGE(""https://docs.google.com/spreadsheets/d/1BJSV3WBYJGRhQ6z"&amp;"ExamkszQ5VutGIcaQqmbD9ZTVXMQ/edit#gid=1251630045"",""articles_with_PRISMA_reasons!B2:B2113""))&gt;=2,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$A155=IMPORTRANGE(""https://docs.google.com/spreadsheets/d/1BJSV3WBYJGRhQ6zExamkszQ5VutGIcaQqmbD9ZTVXMQ/edit#gid=1251630045"",""articles_with_PRISMA_reasons!B2:B2113""))&lt;2),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$A155=IMPORTRANGE(""https://docs.google.com/spreadsheets/d/1BJSV3WBYJGRhQ6zExamkszQ5VutGIcaQqmbD9ZTVXMQ/edit#gid=1251630045"",""arti"&amp;"cles_with_PRISMA_reasons!B2:B2113""))&lt;2,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$A155=IMPORTRANGE(""https://docs.google.com"&amp;"/spreadsheets/d/1BJSV3WBYJGRhQ6zExamkszQ5VutGIcaQqmbD9ZTVXMQ/edit#gid=1251630045"",""articles_with_PRISMA_reasons!B2:B2113""))&gt;=2),
""Exclude""
)"),"Exclude")</f>
        <v>Exclude</v>
      </c>
      <c r="E155" s="5" t="str">
        <f>IFERROR(__xludf.DUMMYFUNCTION("IFS(
D155=""Exclude"",""Exclude"",
AND(
FILTER(IMPORTRANGE(""https://docs.google.com/spreadsheets/d/1qpEmbGH0JjaJbUdp21-y2cPbobDbMjr09BbtdKROZWc/edit#gid=1444865654"",""articles_with_PRISMA_reasons!W2:W2113""), $A155=IMPORTRANGE(""https://docs.google.com/"&amp;"spreadsheets/d/1qpEmbGH0JjaJbUdp21-y2cPbobDbMjr09BbtdKROZWc/edit#gid=1444865654"",""articles_with_PRISMA_reasons!B2:B2113""))&gt;=2,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$A155=IMPORTRANGE(""https://docs.google.com/spreadsheets/d/1qpEmbGH0JjaJbUdp21-y2cPbobDbMjr09BbtdKROZWc/edit#gid=1444865654"",""articles_with_PRISMA_reasons!B2:B2113""))&lt;2),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$A155=IMPORTRANGE(""https://docs.google.com/spreadsheets/d/1qpEmbGH0JjaJbUdp21-y2cPbobDbMjr09BbtdKRO"&amp;"ZWc/edit#gid=1444865654"",""articles_with_PRISMA_reasons!B2:B2113""))&lt;2,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$A155=IMPOR"&amp;"TRANGE(""https://docs.google.com/spreadsheets/d/1qpEmbGH0JjaJbUdp21-y2cPbobDbMjr09BbtdKROZWc/edit#gid=1444865654"",""articles_with_PRISMA_reasons!B2:B2113""))&gt;=2),
""Exclude""
)"),"Exclude")</f>
        <v>Exclude</v>
      </c>
      <c r="F155" s="5" t="str">
        <f>IFERROR(__xludf.DUMMYFUNCTION("IFS(
E155=""Exclude"",""Exclude"",
AND(
COUNTIF(
IMPORTRANGE(""https://docs.google.com/spreadsheets/d/1kGrh75X1cNR1D7_FcY9zMnHP8iPO4M5RCRjy6nZY0TY/edit#gid=0"",""Table 1: Study characteristics!B4:B171""),A155)&gt;0,
COUNTIF(Studies!$A$2:$A$85,FILTER(IMPORTRA"&amp;"NGE(""https://docs.google.com/spreadsheets/d/1kGrh75X1cNR1D7_FcY9zMnHP8iPO4M5RCRjy6nZY0TY/edit#gid=0"",""Table 1: Study characteristics!A4:A171""), $A155=IMPORTRANGE(""https://docs.google.com/spreadsheets/d/1kGrh75X1cNR1D7_FcY9zMnHP8iPO4M5RCRjy6nZY0TY/edi"&amp;"t#gid=0"",""Table 1: Study characteristics!B4:B171"")))&gt;0
),
""Include""
)"),"Exclude")</f>
        <v>Exclude</v>
      </c>
      <c r="G155" s="5" t="str">
        <f>IFERROR(__xludf.DUMMYFUNCTION("IFS(
D155=""Exclude"",
FILTER(IMPORTRANGE(""https://docs.google.com/spreadsheets/d/1BJSV3WBYJGRhQ6zExamkszQ5VutGIcaQqmbD9ZTVXMQ/edit#gid=1251630045"",""articles_with_PRISMA_reasons!AB2:AB2113""), $A155=IMPORTRANGE(""https://docs.google.com/spreadsheets/d/"&amp;"1BJSV3WBYJGRhQ6zExamkszQ5VutGIcaQqmbD9ZTVXMQ/edit#gid=1251630045"",""articles_with_PRISMA_reasons!B2:B2113"")),
E155=""Exclude"",
FILTER(IMPORTRANGE(""https://docs.google.com/spreadsheets/d/1qpEmbGH0JjaJbUdp21-y2cPbobDbMjr09BbtdKROZWc/edit#gid=1444865654"&amp;""",""articles_with_PRISMA_reasons!Z2:Z2113""), $A155=IMPORTRANGE(""https://docs.google.com/spreadsheets/d/1qpEmbGH0JjaJbUdp21-y2cPbobDbMjr09BbtdKROZWc/edit#gid=1444865654"",""articles_with_PRISMA_reasons!B2:B2113"")),F155
=""Include"",FILTER(IMPORTRANGE("&amp;"""https://docs.google.com/spreadsheets/d/1kGrh75X1cNR1D7_FcY9zMnHP8iPO4M5RCRjy6nZY0TY/edit#gid=0"",""Table 1: Study characteristics!A4:A171""), $A155=IMPORTRANGE(""https://docs.google.com/spreadsheets/d/1kGrh75X1cNR1D7_FcY9zMnHP8iPO4M5RCRjy6nZY0TY/edit#gi"&amp;"d=0"",""Table 1: Study characteristics!B4:B171""))
)"),"wrong study design")</f>
        <v>wrong study design</v>
      </c>
    </row>
    <row r="156">
      <c r="A156" s="4" t="str">
        <f>IFERROR(__xludf.DUMMYFUNCTION("""COMPUTED_VALUE"""),"A child with an infected Spitz-Holter valve")</f>
        <v>A child with an infected Spitz-Holter valve</v>
      </c>
      <c r="B156" s="5" t="str">
        <f>IFERROR(__xludf.DUMMYFUNCTION("LEFT(FILTER(IMPORTRANGE(""https://docs.google.com/spreadsheets/d/1BJSV3WBYJGRhQ6zExamkszQ5VutGIcaQqmbD9ZTVXMQ/edit#gid=1251630045"",""articles_with_PRISMA_reasons!K2:K2113""), $A156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$A156=IMPORTRANGE(""https://docs.google.com/spreadsheets/d/1BJSV3WBYJGRhQ6zExamkszQ5VutGIcaQqmbD9ZTVXMQ/edit#gid=1251630045"",""articles_with_PRISMA_reasons!B2:B2113"")))-1)"),"Platt")</f>
        <v>Platt</v>
      </c>
      <c r="C156" s="6">
        <f>IFERROR(__xludf.DUMMYFUNCTION("FILTER(IMPORTRANGE(""https://docs.google.com/spreadsheets/d/1BJSV3WBYJGRhQ6zExamkszQ5VutGIcaQqmbD9ZTVXMQ/edit#gid=1251630045"",""articles_with_PRISMA_reasons!C2:C2113""), $A156=IMPORTRANGE(""https://docs.google.com/spreadsheets/d/1BJSV3WBYJGRhQ6zExamkszQ5"&amp;"VutGIcaQqmbD9ZTVXMQ/edit#gid=1251630045"",""articles_with_PRISMA_reasons!B2:B2113""))"),1980.0)</f>
        <v>1980</v>
      </c>
      <c r="D156" s="5" t="str">
        <f>IFERROR(__xludf.DUMMYFUNCTION("IFS(AND(
FILTER(IMPORTRANGE(""https://docs.google.com/spreadsheets/d/1BJSV3WBYJGRhQ6zExamkszQ5VutGIcaQqmbD9ZTVXMQ/edit#gid=1251630045"",""articles_with_PRISMA_reasons!Y2:Y2113""), $A156=IMPORTRANGE(""https://docs.google.com/spreadsheets/d/1BJSV3WBYJGRhQ6z"&amp;"ExamkszQ5VutGIcaQqmbD9ZTVXMQ/edit#gid=1251630045"",""articles_with_PRISMA_reasons!B2:B2113""))&gt;=2,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$A156=IMPORTRANGE(""https://docs.google.com/spreadsheets/d/1BJSV3WBYJGRhQ6zExamkszQ5VutGIcaQqmbD9ZTVXMQ/edit#gid=1251630045"",""articles_with_PRISMA_reasons!B2:B2113""))&lt;2),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$A156=IMPORTRANGE(""https://docs.google.com/spreadsheets/d/1BJSV3WBYJGRhQ6zExamkszQ5VutGIcaQqmbD9ZTVXMQ/edit#gid=1251630045"",""arti"&amp;"cles_with_PRISMA_reasons!B2:B2113""))&lt;2,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$A156=IMPORTRANGE(""https://docs.google.com"&amp;"/spreadsheets/d/1BJSV3WBYJGRhQ6zExamkszQ5VutGIcaQqmbD9ZTVXMQ/edit#gid=1251630045"",""articles_with_PRISMA_reasons!B2:B2113""))&gt;=2),
""Exclude""
)"),"Exclude")</f>
        <v>Exclude</v>
      </c>
      <c r="E156" s="5" t="str">
        <f>IFERROR(__xludf.DUMMYFUNCTION("IFS(
D156=""Exclude"",""Exclude"",
AND(
FILTER(IMPORTRANGE(""https://docs.google.com/spreadsheets/d/1qpEmbGH0JjaJbUdp21-y2cPbobDbMjr09BbtdKROZWc/edit#gid=1444865654"",""articles_with_PRISMA_reasons!W2:W2113""), $A156=IMPORTRANGE(""https://docs.google.com/"&amp;"spreadsheets/d/1qpEmbGH0JjaJbUdp21-y2cPbobDbMjr09BbtdKROZWc/edit#gid=1444865654"",""articles_with_PRISMA_reasons!B2:B2113""))&gt;=2,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$A156=IMPORTRANGE(""https://docs.google.com/spreadsheets/d/1qpEmbGH0JjaJbUdp21-y2cPbobDbMjr09BbtdKROZWc/edit#gid=1444865654"",""articles_with_PRISMA_reasons!B2:B2113""))&lt;2),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$A156=IMPORTRANGE(""https://docs.google.com/spreadsheets/d/1qpEmbGH0JjaJbUdp21-y2cPbobDbMjr09BbtdKRO"&amp;"ZWc/edit#gid=1444865654"",""articles_with_PRISMA_reasons!B2:B2113""))&lt;2,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$A156=IMPOR"&amp;"TRANGE(""https://docs.google.com/spreadsheets/d/1qpEmbGH0JjaJbUdp21-y2cPbobDbMjr09BbtdKROZWc/edit#gid=1444865654"",""articles_with_PRISMA_reasons!B2:B2113""))&gt;=2),
""Exclude""
)"),"Exclude")</f>
        <v>Exclude</v>
      </c>
      <c r="F156" s="5" t="str">
        <f>IFERROR(__xludf.DUMMYFUNCTION("IFS(
E156=""Exclude"",""Exclude"",
AND(
COUNTIF(
IMPORTRANGE(""https://docs.google.com/spreadsheets/d/1kGrh75X1cNR1D7_FcY9zMnHP8iPO4M5RCRjy6nZY0TY/edit#gid=0"",""Table 1: Study characteristics!B4:B171""),A156)&gt;0,
COUNTIF(Studies!$A$2:$A$85,FILTER(IMPORTRA"&amp;"NGE(""https://docs.google.com/spreadsheets/d/1kGrh75X1cNR1D7_FcY9zMnHP8iPO4M5RCRjy6nZY0TY/edit#gid=0"",""Table 1: Study characteristics!A4:A171""), $A156=IMPORTRANGE(""https://docs.google.com/spreadsheets/d/1kGrh75X1cNR1D7_FcY9zMnHP8iPO4M5RCRjy6nZY0TY/edi"&amp;"t#gid=0"",""Table 1: Study characteristics!B4:B171"")))&gt;0
),
""Include""
)"),"Exclude")</f>
        <v>Exclude</v>
      </c>
      <c r="G156" s="5" t="str">
        <f>IFERROR(__xludf.DUMMYFUNCTION("IFS(
D156=""Exclude"",
FILTER(IMPORTRANGE(""https://docs.google.com/spreadsheets/d/1BJSV3WBYJGRhQ6zExamkszQ5VutGIcaQqmbD9ZTVXMQ/edit#gid=1251630045"",""articles_with_PRISMA_reasons!AB2:AB2113""), $A156=IMPORTRANGE(""https://docs.google.com/spreadsheets/d/"&amp;"1BJSV3WBYJGRhQ6zExamkszQ5VutGIcaQqmbD9ZTVXMQ/edit#gid=1251630045"",""articles_with_PRISMA_reasons!B2:B2113"")),
E156=""Exclude"",
FILTER(IMPORTRANGE(""https://docs.google.com/spreadsheets/d/1qpEmbGH0JjaJbUdp21-y2cPbobDbMjr09BbtdKROZWc/edit#gid=1444865654"&amp;""",""articles_with_PRISMA_reasons!Z2:Z2113""), $A156=IMPORTRANGE(""https://docs.google.com/spreadsheets/d/1qpEmbGH0JjaJbUdp21-y2cPbobDbMjr09BbtdKROZWc/edit#gid=1444865654"",""articles_with_PRISMA_reasons!B2:B2113"")),F156
=""Include"",FILTER(IMPORTRANGE("&amp;"""https://docs.google.com/spreadsheets/d/1kGrh75X1cNR1D7_FcY9zMnHP8iPO4M5RCRjy6nZY0TY/edit#gid=0"",""Table 1: Study characteristics!A4:A171""), $A156=IMPORTRANGE(""https://docs.google.com/spreadsheets/d/1kGrh75X1cNR1D7_FcY9zMnHP8iPO4M5RCRjy6nZY0TY/edit#gi"&amp;"d=0"",""Table 1: Study characteristics!B4:B171""))
)"),"wrong study design")</f>
        <v>wrong study design</v>
      </c>
    </row>
    <row r="157">
      <c r="A157" s="4" t="str">
        <f>IFERROR(__xludf.DUMMYFUNCTION("""COMPUTED_VALUE"""),"A Clinical Analysis of Ventriculoperitoneal Shunt")</f>
        <v>A Clinical Analysis of Ventriculoperitoneal Shunt</v>
      </c>
      <c r="B157" s="5" t="str">
        <f>IFERROR(__xludf.DUMMYFUNCTION("LEFT(FILTER(IMPORTRANGE(""https://docs.google.com/spreadsheets/d/1BJSV3WBYJGRhQ6zExamkszQ5VutGIcaQqmbD9ZTVXMQ/edit#gid=1251630045"",""articles_with_PRISMA_reasons!K2:K2113""), $A157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$A157=IMPORTRANGE(""https://docs.google.com/spreadsheets/d/1BJSV3WBYJGRhQ6zExamkszQ5VutGIcaQqmbD9ZTVXMQ/edit#gid=1251630045"",""articles_with_PRISMA_reasons!B2:B2113"")))-1)"),"Bong-Cheol")</f>
        <v>Bong-Cheol</v>
      </c>
      <c r="C157" s="6">
        <f>IFERROR(__xludf.DUMMYFUNCTION("FILTER(IMPORTRANGE(""https://docs.google.com/spreadsheets/d/1BJSV3WBYJGRhQ6zExamkszQ5VutGIcaQqmbD9ZTVXMQ/edit#gid=1251630045"",""articles_with_PRISMA_reasons!C2:C2113""), $A157=IMPORTRANGE(""https://docs.google.com/spreadsheets/d/1BJSV3WBYJGRhQ6zExamkszQ5"&amp;"VutGIcaQqmbD9ZTVXMQ/edit#gid=1251630045"",""articles_with_PRISMA_reasons!B2:B2113""))"),1989.0)</f>
        <v>1989</v>
      </c>
      <c r="D157" s="5" t="str">
        <f>IFERROR(__xludf.DUMMYFUNCTION("IFS(AND(
FILTER(IMPORTRANGE(""https://docs.google.com/spreadsheets/d/1BJSV3WBYJGRhQ6zExamkszQ5VutGIcaQqmbD9ZTVXMQ/edit#gid=1251630045"",""articles_with_PRISMA_reasons!Y2:Y2113""), $A157=IMPORTRANGE(""https://docs.google.com/spreadsheets/d/1BJSV3WBYJGRhQ6z"&amp;"ExamkszQ5VutGIcaQqmbD9ZTVXMQ/edit#gid=1251630045"",""articles_with_PRISMA_reasons!B2:B2113""))&gt;=2,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$A157=IMPORTRANGE(""https://docs.google.com/spreadsheets/d/1BJSV3WBYJGRhQ6zExamkszQ5VutGIcaQqmbD9ZTVXMQ/edit#gid=1251630045"",""articles_with_PRISMA_reasons!B2:B2113""))&lt;2),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$A157=IMPORTRANGE(""https://docs.google.com/spreadsheets/d/1BJSV3WBYJGRhQ6zExamkszQ5VutGIcaQqmbD9ZTVXMQ/edit#gid=1251630045"",""arti"&amp;"cles_with_PRISMA_reasons!B2:B2113""))&lt;2,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$A157=IMPORTRANGE(""https://docs.google.com"&amp;"/spreadsheets/d/1BJSV3WBYJGRhQ6zExamkszQ5VutGIcaQqmbD9ZTVXMQ/edit#gid=1251630045"",""articles_with_PRISMA_reasons!B2:B2113""))&gt;=2),
""Exclude""
)"),"Include")</f>
        <v>Include</v>
      </c>
      <c r="E157" s="5" t="str">
        <f>IFERROR(__xludf.DUMMYFUNCTION("IFS(
D157=""Exclude"",""Exclude"",
AND(
FILTER(IMPORTRANGE(""https://docs.google.com/spreadsheets/d/1qpEmbGH0JjaJbUdp21-y2cPbobDbMjr09BbtdKROZWc/edit#gid=1444865654"",""articles_with_PRISMA_reasons!W2:W2113""), $A157=IMPORTRANGE(""https://docs.google.com/"&amp;"spreadsheets/d/1qpEmbGH0JjaJbUdp21-y2cPbobDbMjr09BbtdKROZWc/edit#gid=1444865654"",""articles_with_PRISMA_reasons!B2:B2113""))&gt;=2,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$A157=IMPORTRANGE(""https://docs.google.com/spreadsheets/d/1qpEmbGH0JjaJbUdp21-y2cPbobDbMjr09BbtdKROZWc/edit#gid=1444865654"",""articles_with_PRISMA_reasons!B2:B2113""))&lt;2),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$A157=IMPORTRANGE(""https://docs.google.com/spreadsheets/d/1qpEmbGH0JjaJbUdp21-y2cPbobDbMjr09BbtdKRO"&amp;"ZWc/edit#gid=1444865654"",""articles_with_PRISMA_reasons!B2:B2113""))&lt;2,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$A157=IMPOR"&amp;"TRANGE(""https://docs.google.com/spreadsheets/d/1qpEmbGH0JjaJbUdp21-y2cPbobDbMjr09BbtdKROZWc/edit#gid=1444865654"",""articles_with_PRISMA_reasons!B2:B2113""))&gt;=2),
""Exclude""
)"),"Exclude")</f>
        <v>Exclude</v>
      </c>
      <c r="F157" s="5" t="str">
        <f>IFERROR(__xludf.DUMMYFUNCTION("IFS(
E157=""Exclude"",""Exclude"",
AND(
COUNTIF(
IMPORTRANGE(""https://docs.google.com/spreadsheets/d/1kGrh75X1cNR1D7_FcY9zMnHP8iPO4M5RCRjy6nZY0TY/edit#gid=0"",""Table 1: Study characteristics!B4:B171""),A157)&gt;0,
COUNTIF(Studies!$A$2:$A$85,FILTER(IMPORTRA"&amp;"NGE(""https://docs.google.com/spreadsheets/d/1kGrh75X1cNR1D7_FcY9zMnHP8iPO4M5RCRjy6nZY0TY/edit#gid=0"",""Table 1: Study characteristics!A4:A171""), $A157=IMPORTRANGE(""https://docs.google.com/spreadsheets/d/1kGrh75X1cNR1D7_FcY9zMnHP8iPO4M5RCRjy6nZY0TY/edi"&amp;"t#gid=0"",""Table 1: Study characteristics!B4:B171"")))&gt;0
),
""Include""
)"),"Exclude")</f>
        <v>Exclude</v>
      </c>
      <c r="G157" s="5" t="str">
        <f>IFERROR(__xludf.DUMMYFUNCTION("IFS(
D157=""Exclude"",
FILTER(IMPORTRANGE(""https://docs.google.com/spreadsheets/d/1BJSV3WBYJGRhQ6zExamkszQ5VutGIcaQqmbD9ZTVXMQ/edit#gid=1251630045"",""articles_with_PRISMA_reasons!AB2:AB2113""), $A157=IMPORTRANGE(""https://docs.google.com/spreadsheets/d/"&amp;"1BJSV3WBYJGRhQ6zExamkszQ5VutGIcaQqmbD9ZTVXMQ/edit#gid=1251630045"",""articles_with_PRISMA_reasons!B2:B2113"")),
E157=""Exclude"",
FILTER(IMPORTRANGE(""https://docs.google.com/spreadsheets/d/1qpEmbGH0JjaJbUdp21-y2cPbobDbMjr09BbtdKROZWc/edit#gid=1444865654"&amp;""",""articles_with_PRISMA_reasons!Z2:Z2113""), $A157=IMPORTRANGE(""https://docs.google.com/spreadsheets/d/1qpEmbGH0JjaJbUdp21-y2cPbobDbMjr09BbtdKROZWc/edit#gid=1444865654"",""articles_with_PRISMA_reasons!B2:B2113"")),F157
=""Include"",FILTER(IMPORTRANGE("&amp;"""https://docs.google.com/spreadsheets/d/1kGrh75X1cNR1D7_FcY9zMnHP8iPO4M5RCRjy6nZY0TY/edit#gid=0"",""Table 1: Study characteristics!A4:A171""), $A157=IMPORTRANGE(""https://docs.google.com/spreadsheets/d/1kGrh75X1cNR1D7_FcY9zMnHP8iPO4M5RCRjy6nZY0TY/edit#gi"&amp;"d=0"",""Table 1: Study characteristics!B4:B171""))
)"),"wrong population")</f>
        <v>wrong population</v>
      </c>
    </row>
    <row r="158">
      <c r="A158" s="4" t="str">
        <f>IFERROR(__xludf.DUMMYFUNCTION("""COMPUTED_VALUE"""),"A community survey of neurological disorders in Saudi Arabia: The Thugbah study")</f>
        <v>A community survey of neurological disorders in Saudi Arabia: The Thugbah study</v>
      </c>
      <c r="B158" s="5" t="str">
        <f>IFERROR(__xludf.DUMMYFUNCTION("LEFT(FILTER(IMPORTRANGE(""https://docs.google.com/spreadsheets/d/1BJSV3WBYJGRhQ6zExamkszQ5VutGIcaQqmbD9ZTVXMQ/edit#gid=1251630045"",""articles_with_PRISMA_reasons!K2:K2113""), $A158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$A158=IMPORTRANGE(""https://docs.google.com/spreadsheets/d/1BJSV3WBYJGRhQ6zExamkszQ5VutGIcaQqmbD9ZTVXMQ/edit#gid=1251630045"",""articles_with_PRISMA_reasons!B2:B2113"")))-1)"),"Al Rajeh")</f>
        <v>Al Rajeh</v>
      </c>
      <c r="C158" s="6">
        <f>IFERROR(__xludf.DUMMYFUNCTION("FILTER(IMPORTRANGE(""https://docs.google.com/spreadsheets/d/1BJSV3WBYJGRhQ6zExamkszQ5VutGIcaQqmbD9ZTVXMQ/edit#gid=1251630045"",""articles_with_PRISMA_reasons!C2:C2113""), $A158=IMPORTRANGE(""https://docs.google.com/spreadsheets/d/1BJSV3WBYJGRhQ6zExamkszQ5"&amp;"VutGIcaQqmbD9ZTVXMQ/edit#gid=1251630045"",""articles_with_PRISMA_reasons!B2:B2113""))"),1993.0)</f>
        <v>1993</v>
      </c>
      <c r="D158" s="5" t="str">
        <f>IFERROR(__xludf.DUMMYFUNCTION("IFS(AND(
FILTER(IMPORTRANGE(""https://docs.google.com/spreadsheets/d/1BJSV3WBYJGRhQ6zExamkszQ5VutGIcaQqmbD9ZTVXMQ/edit#gid=1251630045"",""articles_with_PRISMA_reasons!Y2:Y2113""), $A158=IMPORTRANGE(""https://docs.google.com/spreadsheets/d/1BJSV3WBYJGRhQ6z"&amp;"ExamkszQ5VutGIcaQqmbD9ZTVXMQ/edit#gid=1251630045"",""articles_with_PRISMA_reasons!B2:B2113""))&gt;=2,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$A158=IMPORTRANGE(""https://docs.google.com/spreadsheets/d/1BJSV3WBYJGRhQ6zExamkszQ5VutGIcaQqmbD9ZTVXMQ/edit#gid=1251630045"",""articles_with_PRISMA_reasons!B2:B2113""))&lt;2),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$A158=IMPORTRANGE(""https://docs.google.com/spreadsheets/d/1BJSV3WBYJGRhQ6zExamkszQ5VutGIcaQqmbD9ZTVXMQ/edit#gid=1251630045"",""arti"&amp;"cles_with_PRISMA_reasons!B2:B2113""))&lt;2,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$A158=IMPORTRANGE(""https://docs.google.com"&amp;"/spreadsheets/d/1BJSV3WBYJGRhQ6zExamkszQ5VutGIcaQqmbD9ZTVXMQ/edit#gid=1251630045"",""articles_with_PRISMA_reasons!B2:B2113""))&gt;=2),
""Exclude""
)"),"Exclude")</f>
        <v>Exclude</v>
      </c>
      <c r="E158" s="5" t="str">
        <f>IFERROR(__xludf.DUMMYFUNCTION("IFS(
D158=""Exclude"",""Exclude"",
AND(
FILTER(IMPORTRANGE(""https://docs.google.com/spreadsheets/d/1qpEmbGH0JjaJbUdp21-y2cPbobDbMjr09BbtdKROZWc/edit#gid=1444865654"",""articles_with_PRISMA_reasons!W2:W2113""), $A158=IMPORTRANGE(""https://docs.google.com/"&amp;"spreadsheets/d/1qpEmbGH0JjaJbUdp21-y2cPbobDbMjr09BbtdKROZWc/edit#gid=1444865654"",""articles_with_PRISMA_reasons!B2:B2113""))&gt;=2,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$A158=IMPORTRANGE(""https://docs.google.com/spreadsheets/d/1qpEmbGH0JjaJbUdp21-y2cPbobDbMjr09BbtdKROZWc/edit#gid=1444865654"",""articles_with_PRISMA_reasons!B2:B2113""))&lt;2),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$A158=IMPORTRANGE(""https://docs.google.com/spreadsheets/d/1qpEmbGH0JjaJbUdp21-y2cPbobDbMjr09BbtdKRO"&amp;"ZWc/edit#gid=1444865654"",""articles_with_PRISMA_reasons!B2:B2113""))&lt;2,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$A158=IMPOR"&amp;"TRANGE(""https://docs.google.com/spreadsheets/d/1qpEmbGH0JjaJbUdp21-y2cPbobDbMjr09BbtdKROZWc/edit#gid=1444865654"",""articles_with_PRISMA_reasons!B2:B2113""))&gt;=2),
""Exclude""
)"),"Exclude")</f>
        <v>Exclude</v>
      </c>
      <c r="F158" s="5" t="str">
        <f>IFERROR(__xludf.DUMMYFUNCTION("IFS(
E158=""Exclude"",""Exclude"",
AND(
COUNTIF(
IMPORTRANGE(""https://docs.google.com/spreadsheets/d/1kGrh75X1cNR1D7_FcY9zMnHP8iPO4M5RCRjy6nZY0TY/edit#gid=0"",""Table 1: Study characteristics!B4:B171""),A158)&gt;0,
COUNTIF(Studies!$A$2:$A$85,FILTER(IMPORTRA"&amp;"NGE(""https://docs.google.com/spreadsheets/d/1kGrh75X1cNR1D7_FcY9zMnHP8iPO4M5RCRjy6nZY0TY/edit#gid=0"",""Table 1: Study characteristics!A4:A171""), $A158=IMPORTRANGE(""https://docs.google.com/spreadsheets/d/1kGrh75X1cNR1D7_FcY9zMnHP8iPO4M5RCRjy6nZY0TY/edi"&amp;"t#gid=0"",""Table 1: Study characteristics!B4:B171"")))&gt;0
),
""Include""
)"),"Exclude")</f>
        <v>Exclude</v>
      </c>
      <c r="G158" s="5" t="str">
        <f>IFERROR(__xludf.DUMMYFUNCTION("IFS(
D158=""Exclude"",
FILTER(IMPORTRANGE(""https://docs.google.com/spreadsheets/d/1BJSV3WBYJGRhQ6zExamkszQ5VutGIcaQqmbD9ZTVXMQ/edit#gid=1251630045"",""articles_with_PRISMA_reasons!AB2:AB2113""), $A158=IMPORTRANGE(""https://docs.google.com/spreadsheets/d/"&amp;"1BJSV3WBYJGRhQ6zExamkszQ5VutGIcaQqmbD9ZTVXMQ/edit#gid=1251630045"",""articles_with_PRISMA_reasons!B2:B2113"")),
E158=""Exclude"",
FILTER(IMPORTRANGE(""https://docs.google.com/spreadsheets/d/1qpEmbGH0JjaJbUdp21-y2cPbobDbMjr09BbtdKROZWc/edit#gid=1444865654"&amp;""",""articles_with_PRISMA_reasons!Z2:Z2113""), $A158=IMPORTRANGE(""https://docs.google.com/spreadsheets/d/1qpEmbGH0JjaJbUdp21-y2cPbobDbMjr09BbtdKROZWc/edit#gid=1444865654"",""articles_with_PRISMA_reasons!B2:B2113"")),F158
=""Include"",FILTER(IMPORTRANGE("&amp;"""https://docs.google.com/spreadsheets/d/1kGrh75X1cNR1D7_FcY9zMnHP8iPO4M5RCRjy6nZY0TY/edit#gid=0"",""Table 1: Study characteristics!A4:A171""), $A158=IMPORTRANGE(""https://docs.google.com/spreadsheets/d/1kGrh75X1cNR1D7_FcY9zMnHP8iPO4M5RCRjy6nZY0TY/edit#gi"&amp;"d=0"",""Table 1: Study characteristics!B4:B171""))
)"),"background article")</f>
        <v>background article</v>
      </c>
    </row>
    <row r="159">
      <c r="A159" s="4" t="str">
        <f>IFERROR(__xludf.DUMMYFUNCTION("""COMPUTED_VALUE"""),"A comparison between flow-regulated and adjustable valves used in hydrocephalus during infancy")</f>
        <v>A comparison between flow-regulated and adjustable valves used in hydrocephalus during infancy</v>
      </c>
      <c r="B159" s="5" t="str">
        <f>IFERROR(__xludf.DUMMYFUNCTION("LEFT(FILTER(IMPORTRANGE(""https://docs.google.com/spreadsheets/d/1BJSV3WBYJGRhQ6zExamkszQ5VutGIcaQqmbD9ZTVXMQ/edit#gid=1251630045"",""articles_with_PRISMA_reasons!K2:K2113""), $A159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$A159=IMPORTRANGE(""https://docs.google.com/spreadsheets/d/1BJSV3WBYJGRhQ6zExamkszQ5VutGIcaQqmbD9ZTVXMQ/edit#gid=1251630045"",""articles_with_PRISMA_reasons!B2:B2113"")))-1)"),"Henderson")</f>
        <v>Henderson</v>
      </c>
      <c r="C159" s="6">
        <f>IFERROR(__xludf.DUMMYFUNCTION("FILTER(IMPORTRANGE(""https://docs.google.com/spreadsheets/d/1BJSV3WBYJGRhQ6zExamkszQ5VutGIcaQqmbD9ZTVXMQ/edit#gid=1251630045"",""articles_with_PRISMA_reasons!C2:C2113""), $A159=IMPORTRANGE(""https://docs.google.com/spreadsheets/d/1BJSV3WBYJGRhQ6zExamkszQ5"&amp;"VutGIcaQqmbD9ZTVXMQ/edit#gid=1251630045"",""articles_with_PRISMA_reasons!B2:B2113""))"),2020.0)</f>
        <v>2020</v>
      </c>
      <c r="D159" s="5" t="str">
        <f>IFERROR(__xludf.DUMMYFUNCTION("IFS(AND(
FILTER(IMPORTRANGE(""https://docs.google.com/spreadsheets/d/1BJSV3WBYJGRhQ6zExamkszQ5VutGIcaQqmbD9ZTVXMQ/edit#gid=1251630045"",""articles_with_PRISMA_reasons!Y2:Y2113""), $A159=IMPORTRANGE(""https://docs.google.com/spreadsheets/d/1BJSV3WBYJGRhQ6z"&amp;"ExamkszQ5VutGIcaQqmbD9ZTVXMQ/edit#gid=1251630045"",""articles_with_PRISMA_reasons!B2:B2113""))&gt;=2,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$A159=IMPORTRANGE(""https://docs.google.com/spreadsheets/d/1BJSV3WBYJGRhQ6zExamkszQ5VutGIcaQqmbD9ZTVXMQ/edit#gid=1251630045"",""articles_with_PRISMA_reasons!B2:B2113""))&lt;2),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$A159=IMPORTRANGE(""https://docs.google.com/spreadsheets/d/1BJSV3WBYJGRhQ6zExamkszQ5VutGIcaQqmbD9ZTVXMQ/edit#gid=1251630045"",""arti"&amp;"cles_with_PRISMA_reasons!B2:B2113""))&lt;2,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$A159=IMPORTRANGE(""https://docs.google.com"&amp;"/spreadsheets/d/1BJSV3WBYJGRhQ6zExamkszQ5VutGIcaQqmbD9ZTVXMQ/edit#gid=1251630045"",""articles_with_PRISMA_reasons!B2:B2113""))&gt;=2),
""Exclude""
)"),"Include")</f>
        <v>Include</v>
      </c>
      <c r="E159" s="5" t="str">
        <f>IFERROR(__xludf.DUMMYFUNCTION("IFS(
D159=""Exclude"",""Exclude"",
AND(
FILTER(IMPORTRANGE(""https://docs.google.com/spreadsheets/d/1qpEmbGH0JjaJbUdp21-y2cPbobDbMjr09BbtdKROZWc/edit#gid=1444865654"",""articles_with_PRISMA_reasons!W2:W2113""), $A159=IMPORTRANGE(""https://docs.google.com/"&amp;"spreadsheets/d/1qpEmbGH0JjaJbUdp21-y2cPbobDbMjr09BbtdKROZWc/edit#gid=1444865654"",""articles_with_PRISMA_reasons!B2:B2113""))&gt;=2,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$A159=IMPORTRANGE(""https://docs.google.com/spreadsheets/d/1qpEmbGH0JjaJbUdp21-y2cPbobDbMjr09BbtdKROZWc/edit#gid=1444865654"",""articles_with_PRISMA_reasons!B2:B2113""))&lt;2),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$A159=IMPORTRANGE(""https://docs.google.com/spreadsheets/d/1qpEmbGH0JjaJbUdp21-y2cPbobDbMjr09BbtdKRO"&amp;"ZWc/edit#gid=1444865654"",""articles_with_PRISMA_reasons!B2:B2113""))&lt;2,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$A159=IMPOR"&amp;"TRANGE(""https://docs.google.com/spreadsheets/d/1qpEmbGH0JjaJbUdp21-y2cPbobDbMjr09BbtdKROZWc/edit#gid=1444865654"",""articles_with_PRISMA_reasons!B2:B2113""))&gt;=2),
""Exclude""
)"),"Include")</f>
        <v>Include</v>
      </c>
      <c r="F159" s="2" t="s">
        <v>8</v>
      </c>
      <c r="G159" s="2" t="s">
        <v>9</v>
      </c>
    </row>
    <row r="160">
      <c r="A160" s="4" t="str">
        <f>IFERROR(__xludf.DUMMYFUNCTION("""COMPUTED_VALUE"""),"A comparison of the MOMS trial results to a contemporaneous, single-institution, postnatal closure cohort")</f>
        <v>A comparison of the MOMS trial results to a contemporaneous, single-institution, postnatal closure cohort</v>
      </c>
      <c r="B160" s="5" t="str">
        <f>IFERROR(__xludf.DUMMYFUNCTION("LEFT(FILTER(IMPORTRANGE(""https://docs.google.com/spreadsheets/d/1BJSV3WBYJGRhQ6zExamkszQ5VutGIcaQqmbD9ZTVXMQ/edit#gid=1251630045"",""articles_with_PRISMA_reasons!K2:K2113""), $A160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$A160=IMPORTRANGE(""https://docs.google.com/spreadsheets/d/1BJSV3WBYJGRhQ6zExamkszQ5VutGIcaQqmbD9ZTVXMQ/edit#gid=1251630045"",""articles_with_PRISMA_reasons!B2:B2113"")))-1)"),"Laskay")</f>
        <v>Laskay</v>
      </c>
      <c r="C160" s="6">
        <f>IFERROR(__xludf.DUMMYFUNCTION("FILTER(IMPORTRANGE(""https://docs.google.com/spreadsheets/d/1BJSV3WBYJGRhQ6zExamkszQ5VutGIcaQqmbD9ZTVXMQ/edit#gid=1251630045"",""articles_with_PRISMA_reasons!C2:C2113""), $A160=IMPORTRANGE(""https://docs.google.com/spreadsheets/d/1BJSV3WBYJGRhQ6zExamkszQ5"&amp;"VutGIcaQqmbD9ZTVXMQ/edit#gid=1251630045"",""articles_with_PRISMA_reasons!B2:B2113""))"),2017.0)</f>
        <v>2017</v>
      </c>
      <c r="D160" s="5" t="str">
        <f>IFERROR(__xludf.DUMMYFUNCTION("IFS(AND(
FILTER(IMPORTRANGE(""https://docs.google.com/spreadsheets/d/1BJSV3WBYJGRhQ6zExamkszQ5VutGIcaQqmbD9ZTVXMQ/edit#gid=1251630045"",""articles_with_PRISMA_reasons!Y2:Y2113""), $A160=IMPORTRANGE(""https://docs.google.com/spreadsheets/d/1BJSV3WBYJGRhQ6z"&amp;"ExamkszQ5VutGIcaQqmbD9ZTVXMQ/edit#gid=1251630045"",""articles_with_PRISMA_reasons!B2:B2113""))&gt;=2,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$A160=IMPORTRANGE(""https://docs.google.com/spreadsheets/d/1BJSV3WBYJGRhQ6zExamkszQ5VutGIcaQqmbD9ZTVXMQ/edit#gid=1251630045"",""articles_with_PRISMA_reasons!B2:B2113""))&lt;2),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$A160=IMPORTRANGE(""https://docs.google.com/spreadsheets/d/1BJSV3WBYJGRhQ6zExamkszQ5VutGIcaQqmbD9ZTVXMQ/edit#gid=1251630045"",""arti"&amp;"cles_with_PRISMA_reasons!B2:B2113""))&lt;2,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$A160=IMPORTRANGE(""https://docs.google.com"&amp;"/spreadsheets/d/1BJSV3WBYJGRhQ6zExamkszQ5VutGIcaQqmbD9ZTVXMQ/edit#gid=1251630045"",""articles_with_PRISMA_reasons!B2:B2113""))&gt;=2),
""Exclude""
)"),"Include")</f>
        <v>Include</v>
      </c>
      <c r="E160" s="5" t="str">
        <f>IFERROR(__xludf.DUMMYFUNCTION("IFS(
D160=""Exclude"",""Exclude"",
AND(
FILTER(IMPORTRANGE(""https://docs.google.com/spreadsheets/d/1qpEmbGH0JjaJbUdp21-y2cPbobDbMjr09BbtdKROZWc/edit#gid=1444865654"",""articles_with_PRISMA_reasons!W2:W2113""), $A160=IMPORTRANGE(""https://docs.google.com/"&amp;"spreadsheets/d/1qpEmbGH0JjaJbUdp21-y2cPbobDbMjr09BbtdKROZWc/edit#gid=1444865654"",""articles_with_PRISMA_reasons!B2:B2113""))&gt;=2,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$A160=IMPORTRANGE(""https://docs.google.com/spreadsheets/d/1qpEmbGH0JjaJbUdp21-y2cPbobDbMjr09BbtdKROZWc/edit#gid=1444865654"",""articles_with_PRISMA_reasons!B2:B2113""))&lt;2),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$A160=IMPORTRANGE(""https://docs.google.com/spreadsheets/d/1qpEmbGH0JjaJbUdp21-y2cPbobDbMjr09BbtdKRO"&amp;"ZWc/edit#gid=1444865654"",""articles_with_PRISMA_reasons!B2:B2113""))&lt;2,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$A160=IMPOR"&amp;"TRANGE(""https://docs.google.com/spreadsheets/d/1qpEmbGH0JjaJbUdp21-y2cPbobDbMjr09BbtdKROZWc/edit#gid=1444865654"",""articles_with_PRISMA_reasons!B2:B2113""))&gt;=2),
""Exclude""
)"),"Include")</f>
        <v>Include</v>
      </c>
      <c r="F160" s="2" t="s">
        <v>8</v>
      </c>
      <c r="G160" s="2" t="s">
        <v>10</v>
      </c>
    </row>
    <row r="161">
      <c r="A161" s="4" t="str">
        <f>IFERROR(__xludf.DUMMYFUNCTION("""COMPUTED_VALUE"""),"A comparison of visual function scores in hydrocephalic infants with and without lumbosacral myelomeningocoele")</f>
        <v>A comparison of visual function scores in hydrocephalic infants with and without lumbosacral myelomeningocoele</v>
      </c>
      <c r="B161" s="5" t="str">
        <f>IFERROR(__xludf.DUMMYFUNCTION("LEFT(FILTER(IMPORTRANGE(""https://docs.google.com/spreadsheets/d/1BJSV3WBYJGRhQ6zExamkszQ5VutGIcaQqmbD9ZTVXMQ/edit#gid=1251630045"",""articles_with_PRISMA_reasons!K2:K2113""), $A161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$A161=IMPORTRANGE(""https://docs.google.com/spreadsheets/d/1BJSV3WBYJGRhQ6zExamkszQ5VutGIcaQqmbD9ZTVXMQ/edit#gid=1251630045"",""articles_with_PRISMA_reasons!B2:B2113"")))-1)"),"Odebode")</f>
        <v>Odebode</v>
      </c>
      <c r="C161" s="6">
        <f>IFERROR(__xludf.DUMMYFUNCTION("FILTER(IMPORTRANGE(""https://docs.google.com/spreadsheets/d/1BJSV3WBYJGRhQ6zExamkszQ5VutGIcaQqmbD9ZTVXMQ/edit#gid=1251630045"",""articles_with_PRISMA_reasons!C2:C2113""), $A161=IMPORTRANGE(""https://docs.google.com/spreadsheets/d/1BJSV3WBYJGRhQ6zExamkszQ5"&amp;"VutGIcaQqmbD9ZTVXMQ/edit#gid=1251630045"",""articles_with_PRISMA_reasons!B2:B2113""))"),2002.0)</f>
        <v>2002</v>
      </c>
      <c r="D161" s="5" t="str">
        <f>IFERROR(__xludf.DUMMYFUNCTION("IFS(AND(
FILTER(IMPORTRANGE(""https://docs.google.com/spreadsheets/d/1BJSV3WBYJGRhQ6zExamkszQ5VutGIcaQqmbD9ZTVXMQ/edit#gid=1251630045"",""articles_with_PRISMA_reasons!Y2:Y2113""), $A161=IMPORTRANGE(""https://docs.google.com/spreadsheets/d/1BJSV3WBYJGRhQ6z"&amp;"ExamkszQ5VutGIcaQqmbD9ZTVXMQ/edit#gid=1251630045"",""articles_with_PRISMA_reasons!B2:B2113""))&gt;=2,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$A161=IMPORTRANGE(""https://docs.google.com/spreadsheets/d/1BJSV3WBYJGRhQ6zExamkszQ5VutGIcaQqmbD9ZTVXMQ/edit#gid=1251630045"",""articles_with_PRISMA_reasons!B2:B2113""))&lt;2),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$A161=IMPORTRANGE(""https://docs.google.com/spreadsheets/d/1BJSV3WBYJGRhQ6zExamkszQ5VutGIcaQqmbD9ZTVXMQ/edit#gid=1251630045"",""arti"&amp;"cles_with_PRISMA_reasons!B2:B2113""))&lt;2,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$A161=IMPORTRANGE(""https://docs.google.com"&amp;"/spreadsheets/d/1BJSV3WBYJGRhQ6zExamkszQ5VutGIcaQqmbD9ZTVXMQ/edit#gid=1251630045"",""articles_with_PRISMA_reasons!B2:B2113""))&gt;=2),
""Exclude""
)"),"Exclude")</f>
        <v>Exclude</v>
      </c>
      <c r="E161" s="5" t="str">
        <f>IFERROR(__xludf.DUMMYFUNCTION("IFS(
D161=""Exclude"",""Exclude"",
AND(
FILTER(IMPORTRANGE(""https://docs.google.com/spreadsheets/d/1qpEmbGH0JjaJbUdp21-y2cPbobDbMjr09BbtdKROZWc/edit#gid=1444865654"",""articles_with_PRISMA_reasons!W2:W2113""), $A161=IMPORTRANGE(""https://docs.google.com/"&amp;"spreadsheets/d/1qpEmbGH0JjaJbUdp21-y2cPbobDbMjr09BbtdKROZWc/edit#gid=1444865654"",""articles_with_PRISMA_reasons!B2:B2113""))&gt;=2,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$A161=IMPORTRANGE(""https://docs.google.com/spreadsheets/d/1qpEmbGH0JjaJbUdp21-y2cPbobDbMjr09BbtdKROZWc/edit#gid=1444865654"",""articles_with_PRISMA_reasons!B2:B2113""))&lt;2),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$A161=IMPORTRANGE(""https://docs.google.com/spreadsheets/d/1qpEmbGH0JjaJbUdp21-y2cPbobDbMjr09BbtdKRO"&amp;"ZWc/edit#gid=1444865654"",""articles_with_PRISMA_reasons!B2:B2113""))&lt;2,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$A161=IMPOR"&amp;"TRANGE(""https://docs.google.com/spreadsheets/d/1qpEmbGH0JjaJbUdp21-y2cPbobDbMjr09BbtdKROZWc/edit#gid=1444865654"",""articles_with_PRISMA_reasons!B2:B2113""))&gt;=2),
""Exclude""
)"),"Exclude")</f>
        <v>Exclude</v>
      </c>
      <c r="F161" s="5" t="str">
        <f>IFERROR(__xludf.DUMMYFUNCTION("IFS(
E161=""Exclude"",""Exclude"",
AND(
COUNTIF(
IMPORTRANGE(""https://docs.google.com/spreadsheets/d/1kGrh75X1cNR1D7_FcY9zMnHP8iPO4M5RCRjy6nZY0TY/edit#gid=0"",""Table 1: Study characteristics!B4:B171""),A161)&gt;0,
COUNTIF(Studies!$A$2:$A$85,FILTER(IMPORTRA"&amp;"NGE(""https://docs.google.com/spreadsheets/d/1kGrh75X1cNR1D7_FcY9zMnHP8iPO4M5RCRjy6nZY0TY/edit#gid=0"",""Table 1: Study characteristics!A4:A171""), $A161=IMPORTRANGE(""https://docs.google.com/spreadsheets/d/1kGrh75X1cNR1D7_FcY9zMnHP8iPO4M5RCRjy6nZY0TY/edi"&amp;"t#gid=0"",""Table 1: Study characteristics!B4:B171"")))&gt;0
),
""Include""
)"),"Exclude")</f>
        <v>Exclude</v>
      </c>
      <c r="G161" s="5" t="str">
        <f>IFERROR(__xludf.DUMMYFUNCTION("IFS(
D161=""Exclude"",
FILTER(IMPORTRANGE(""https://docs.google.com/spreadsheets/d/1BJSV3WBYJGRhQ6zExamkszQ5VutGIcaQqmbD9ZTVXMQ/edit#gid=1251630045"",""articles_with_PRISMA_reasons!AB2:AB2113""), $A161=IMPORTRANGE(""https://docs.google.com/spreadsheets/d/"&amp;"1BJSV3WBYJGRhQ6zExamkszQ5VutGIcaQqmbD9ZTVXMQ/edit#gid=1251630045"",""articles_with_PRISMA_reasons!B2:B2113"")),
E161=""Exclude"",
FILTER(IMPORTRANGE(""https://docs.google.com/spreadsheets/d/1qpEmbGH0JjaJbUdp21-y2cPbobDbMjr09BbtdKROZWc/edit#gid=1444865654"&amp;""",""articles_with_PRISMA_reasons!Z2:Z2113""), $A161=IMPORTRANGE(""https://docs.google.com/spreadsheets/d/1qpEmbGH0JjaJbUdp21-y2cPbobDbMjr09BbtdKROZWc/edit#gid=1444865654"",""articles_with_PRISMA_reasons!B2:B2113"")),F161
=""Include"",FILTER(IMPORTRANGE("&amp;"""https://docs.google.com/spreadsheets/d/1kGrh75X1cNR1D7_FcY9zMnHP8iPO4M5RCRjy6nZY0TY/edit#gid=0"",""Table 1: Study characteristics!A4:A171""), $A161=IMPORTRANGE(""https://docs.google.com/spreadsheets/d/1kGrh75X1cNR1D7_FcY9zMnHP8iPO4M5RCRjy6nZY0TY/edit#gi"&amp;"d=0"",""Table 1: Study characteristics!B4:B171""))
)"),"wrong intervention")</f>
        <v>wrong intervention</v>
      </c>
    </row>
    <row r="162">
      <c r="A162" s="4" t="str">
        <f>IFERROR(__xludf.DUMMYFUNCTION("""COMPUTED_VALUE"""),"A controlled trial of immediate and delayed closure of myelomeningocele")</f>
        <v>A controlled trial of immediate and delayed closure of myelomeningocele</v>
      </c>
      <c r="B162" s="5" t="str">
        <f>IFERROR(__xludf.DUMMYFUNCTION("LEFT(FILTER(IMPORTRANGE(""https://docs.google.com/spreadsheets/d/1BJSV3WBYJGRhQ6zExamkszQ5VutGIcaQqmbD9ZTVXMQ/edit#gid=1251630045"",""articles_with_PRISMA_reasons!K2:K2113""), $A162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$A162=IMPORTRANGE(""https://docs.google.com/spreadsheets/d/1BJSV3WBYJGRhQ6zExamkszQ5VutGIcaQqmbD9ZTVXMQ/edit#gid=1251630045"",""articles_with_PRISMA_reasons!B2:B2113"")))-1)"),"Smyth")</f>
        <v>Smyth</v>
      </c>
      <c r="C162" s="6">
        <f>IFERROR(__xludf.DUMMYFUNCTION("FILTER(IMPORTRANGE(""https://docs.google.com/spreadsheets/d/1BJSV3WBYJGRhQ6zExamkszQ5VutGIcaQqmbD9ZTVXMQ/edit#gid=1251630045"",""articles_with_PRISMA_reasons!C2:C2113""), $A162=IMPORTRANGE(""https://docs.google.com/spreadsheets/d/1BJSV3WBYJGRhQ6zExamkszQ5"&amp;"VutGIcaQqmbD9ZTVXMQ/edit#gid=1251630045"",""articles_with_PRISMA_reasons!B2:B2113""))"),1974.0)</f>
        <v>1974</v>
      </c>
      <c r="D162" s="5" t="str">
        <f>IFERROR(__xludf.DUMMYFUNCTION("IFS(AND(
FILTER(IMPORTRANGE(""https://docs.google.com/spreadsheets/d/1BJSV3WBYJGRhQ6zExamkszQ5VutGIcaQqmbD9ZTVXMQ/edit#gid=1251630045"",""articles_with_PRISMA_reasons!Y2:Y2113""), $A162=IMPORTRANGE(""https://docs.google.com/spreadsheets/d/1BJSV3WBYJGRhQ6z"&amp;"ExamkszQ5VutGIcaQqmbD9ZTVXMQ/edit#gid=1251630045"",""articles_with_PRISMA_reasons!B2:B2113""))&gt;=2,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$A162=IMPORTRANGE(""https://docs.google.com/spreadsheets/d/1BJSV3WBYJGRhQ6zExamkszQ5VutGIcaQqmbD9ZTVXMQ/edit#gid=1251630045"",""articles_with_PRISMA_reasons!B2:B2113""))&lt;2),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$A162=IMPORTRANGE(""https://docs.google.com/spreadsheets/d/1BJSV3WBYJGRhQ6zExamkszQ5VutGIcaQqmbD9ZTVXMQ/edit#gid=1251630045"",""arti"&amp;"cles_with_PRISMA_reasons!B2:B2113""))&lt;2,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$A162=IMPORTRANGE(""https://docs.google.com"&amp;"/spreadsheets/d/1BJSV3WBYJGRhQ6zExamkszQ5VutGIcaQqmbD9ZTVXMQ/edit#gid=1251630045"",""articles_with_PRISMA_reasons!B2:B2113""))&gt;=2),
""Exclude""
)"),"Exclude")</f>
        <v>Exclude</v>
      </c>
      <c r="E162" s="5" t="str">
        <f>IFERROR(__xludf.DUMMYFUNCTION("IFS(
D162=""Exclude"",""Exclude"",
AND(
FILTER(IMPORTRANGE(""https://docs.google.com/spreadsheets/d/1qpEmbGH0JjaJbUdp21-y2cPbobDbMjr09BbtdKROZWc/edit#gid=1444865654"",""articles_with_PRISMA_reasons!W2:W2113""), $A162=IMPORTRANGE(""https://docs.google.com/"&amp;"spreadsheets/d/1qpEmbGH0JjaJbUdp21-y2cPbobDbMjr09BbtdKROZWc/edit#gid=1444865654"",""articles_with_PRISMA_reasons!B2:B2113""))&gt;=2,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$A162=IMPORTRANGE(""https://docs.google.com/spreadsheets/d/1qpEmbGH0JjaJbUdp21-y2cPbobDbMjr09BbtdKROZWc/edit#gid=1444865654"",""articles_with_PRISMA_reasons!B2:B2113""))&lt;2),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$A162=IMPORTRANGE(""https://docs.google.com/spreadsheets/d/1qpEmbGH0JjaJbUdp21-y2cPbobDbMjr09BbtdKRO"&amp;"ZWc/edit#gid=1444865654"",""articles_with_PRISMA_reasons!B2:B2113""))&lt;2,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$A162=IMPOR"&amp;"TRANGE(""https://docs.google.com/spreadsheets/d/1qpEmbGH0JjaJbUdp21-y2cPbobDbMjr09BbtdKROZWc/edit#gid=1444865654"",""articles_with_PRISMA_reasons!B2:B2113""))&gt;=2),
""Exclude""
)"),"Exclude")</f>
        <v>Exclude</v>
      </c>
      <c r="F162" s="5" t="str">
        <f>IFERROR(__xludf.DUMMYFUNCTION("IFS(
E162=""Exclude"",""Exclude"",
AND(
COUNTIF(
IMPORTRANGE(""https://docs.google.com/spreadsheets/d/1kGrh75X1cNR1D7_FcY9zMnHP8iPO4M5RCRjy6nZY0TY/edit#gid=0"",""Table 1: Study characteristics!B4:B171""),A162)&gt;0,
COUNTIF(Studies!$A$2:$A$85,FILTER(IMPORTRA"&amp;"NGE(""https://docs.google.com/spreadsheets/d/1kGrh75X1cNR1D7_FcY9zMnHP8iPO4M5RCRjy6nZY0TY/edit#gid=0"",""Table 1: Study characteristics!A4:A171""), $A162=IMPORTRANGE(""https://docs.google.com/spreadsheets/d/1kGrh75X1cNR1D7_FcY9zMnHP8iPO4M5RCRjy6nZY0TY/edi"&amp;"t#gid=0"",""Table 1: Study characteristics!B4:B171"")))&gt;0
),
""Include""
)"),"Exclude")</f>
        <v>Exclude</v>
      </c>
      <c r="G162" s="5" t="str">
        <f>IFERROR(__xludf.DUMMYFUNCTION("IFS(
D162=""Exclude"",
FILTER(IMPORTRANGE(""https://docs.google.com/spreadsheets/d/1BJSV3WBYJGRhQ6zExamkszQ5VutGIcaQqmbD9ZTVXMQ/edit#gid=1251630045"",""articles_with_PRISMA_reasons!AB2:AB2113""), $A162=IMPORTRANGE(""https://docs.google.com/spreadsheets/d/"&amp;"1BJSV3WBYJGRhQ6zExamkszQ5VutGIcaQqmbD9ZTVXMQ/edit#gid=1251630045"",""articles_with_PRISMA_reasons!B2:B2113"")),
E162=""Exclude"",
FILTER(IMPORTRANGE(""https://docs.google.com/spreadsheets/d/1qpEmbGH0JjaJbUdp21-y2cPbobDbMjr09BbtdKROZWc/edit#gid=1444865654"&amp;""",""articles_with_PRISMA_reasons!Z2:Z2113""), $A162=IMPORTRANGE(""https://docs.google.com/spreadsheets/d/1qpEmbGH0JjaJbUdp21-y2cPbobDbMjr09BbtdKROZWc/edit#gid=1444865654"",""articles_with_PRISMA_reasons!B2:B2113"")),F162
=""Include"",FILTER(IMPORTRANGE("&amp;"""https://docs.google.com/spreadsheets/d/1kGrh75X1cNR1D7_FcY9zMnHP8iPO4M5RCRjy6nZY0TY/edit#gid=0"",""Table 1: Study characteristics!A4:A171""), $A162=IMPORTRANGE(""https://docs.google.com/spreadsheets/d/1kGrh75X1cNR1D7_FcY9zMnHP8iPO4M5RCRjy6nZY0TY/edit#gi"&amp;"d=0"",""Table 1: Study characteristics!B4:B171""))
)"),"wrong population")</f>
        <v>wrong population</v>
      </c>
    </row>
    <row r="163">
      <c r="A163" s="4" t="str">
        <f>IFERROR(__xludf.DUMMYFUNCTION("""COMPUTED_VALUE"""),"A cross-sectional study of dehydroepiandrosterone sulfate in prepubertal children with myelomeningocele")</f>
        <v>A cross-sectional study of dehydroepiandrosterone sulfate in prepubertal children with myelomeningocele</v>
      </c>
      <c r="B163" s="5" t="str">
        <f>IFERROR(__xludf.DUMMYFUNCTION("LEFT(FILTER(IMPORTRANGE(""https://docs.google.com/spreadsheets/d/1BJSV3WBYJGRhQ6zExamkszQ5VutGIcaQqmbD9ZTVXMQ/edit#gid=1251630045"",""articles_with_PRISMA_reasons!K2:K2113""), $A163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$A163=IMPORTRANGE(""https://docs.google.com/spreadsheets/d/1BJSV3WBYJGRhQ6zExamkszQ5VutGIcaQqmbD9ZTVXMQ/edit#gid=1251630045"",""articles_with_PRISMA_reasons!B2:B2113"")))-1)"),"Langhans")</f>
        <v>Langhans</v>
      </c>
      <c r="C163" s="6">
        <f>IFERROR(__xludf.DUMMYFUNCTION("FILTER(IMPORTRANGE(""https://docs.google.com/spreadsheets/d/1BJSV3WBYJGRhQ6zExamkszQ5VutGIcaQqmbD9ZTVXMQ/edit#gid=1251630045"",""articles_with_PRISMA_reasons!C2:C2113""), $A163=IMPORTRANGE(""https://docs.google.com/spreadsheets/d/1BJSV3WBYJGRhQ6zExamkszQ5"&amp;"VutGIcaQqmbD9ZTVXMQ/edit#gid=1251630045"",""articles_with_PRISMA_reasons!B2:B2113""))"),2001.0)</f>
        <v>2001</v>
      </c>
      <c r="D163" s="5" t="str">
        <f>IFERROR(__xludf.DUMMYFUNCTION("IFS(AND(
FILTER(IMPORTRANGE(""https://docs.google.com/spreadsheets/d/1BJSV3WBYJGRhQ6zExamkszQ5VutGIcaQqmbD9ZTVXMQ/edit#gid=1251630045"",""articles_with_PRISMA_reasons!Y2:Y2113""), $A163=IMPORTRANGE(""https://docs.google.com/spreadsheets/d/1BJSV3WBYJGRhQ6z"&amp;"ExamkszQ5VutGIcaQqmbD9ZTVXMQ/edit#gid=1251630045"",""articles_with_PRISMA_reasons!B2:B2113""))&gt;=2,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$A163=IMPORTRANGE(""https://docs.google.com/spreadsheets/d/1BJSV3WBYJGRhQ6zExamkszQ5VutGIcaQqmbD9ZTVXMQ/edit#gid=1251630045"",""articles_with_PRISMA_reasons!B2:B2113""))&lt;2),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$A163=IMPORTRANGE(""https://docs.google.com/spreadsheets/d/1BJSV3WBYJGRhQ6zExamkszQ5VutGIcaQqmbD9ZTVXMQ/edit#gid=1251630045"",""arti"&amp;"cles_with_PRISMA_reasons!B2:B2113""))&lt;2,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$A163=IMPORTRANGE(""https://docs.google.com"&amp;"/spreadsheets/d/1BJSV3WBYJGRhQ6zExamkszQ5VutGIcaQqmbD9ZTVXMQ/edit#gid=1251630045"",""articles_with_PRISMA_reasons!B2:B2113""))&gt;=2),
""Exclude""
)"),"Exclude")</f>
        <v>Exclude</v>
      </c>
      <c r="E163" s="5" t="str">
        <f>IFERROR(__xludf.DUMMYFUNCTION("IFS(
D163=""Exclude"",""Exclude"",
AND(
FILTER(IMPORTRANGE(""https://docs.google.com/spreadsheets/d/1qpEmbGH0JjaJbUdp21-y2cPbobDbMjr09BbtdKROZWc/edit#gid=1444865654"",""articles_with_PRISMA_reasons!W2:W2113""), $A163=IMPORTRANGE(""https://docs.google.com/"&amp;"spreadsheets/d/1qpEmbGH0JjaJbUdp21-y2cPbobDbMjr09BbtdKROZWc/edit#gid=1444865654"",""articles_with_PRISMA_reasons!B2:B2113""))&gt;=2,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$A163=IMPORTRANGE(""https://docs.google.com/spreadsheets/d/1qpEmbGH0JjaJbUdp21-y2cPbobDbMjr09BbtdKROZWc/edit#gid=1444865654"",""articles_with_PRISMA_reasons!B2:B2113""))&lt;2),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$A163=IMPORTRANGE(""https://docs.google.com/spreadsheets/d/1qpEmbGH0JjaJbUdp21-y2cPbobDbMjr09BbtdKRO"&amp;"ZWc/edit#gid=1444865654"",""articles_with_PRISMA_reasons!B2:B2113""))&lt;2,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$A163=IMPOR"&amp;"TRANGE(""https://docs.google.com/spreadsheets/d/1qpEmbGH0JjaJbUdp21-y2cPbobDbMjr09BbtdKROZWc/edit#gid=1444865654"",""articles_with_PRISMA_reasons!B2:B2113""))&gt;=2),
""Exclude""
)"),"Exclude")</f>
        <v>Exclude</v>
      </c>
      <c r="F163" s="5" t="str">
        <f>IFERROR(__xludf.DUMMYFUNCTION("IFS(
E163=""Exclude"",""Exclude"",
AND(
COUNTIF(
IMPORTRANGE(""https://docs.google.com/spreadsheets/d/1kGrh75X1cNR1D7_FcY9zMnHP8iPO4M5RCRjy6nZY0TY/edit#gid=0"",""Table 1: Study characteristics!B4:B171""),A163)&gt;0,
COUNTIF(Studies!$A$2:$A$85,FILTER(IMPORTRA"&amp;"NGE(""https://docs.google.com/spreadsheets/d/1kGrh75X1cNR1D7_FcY9zMnHP8iPO4M5RCRjy6nZY0TY/edit#gid=0"",""Table 1: Study characteristics!A4:A171""), $A163=IMPORTRANGE(""https://docs.google.com/spreadsheets/d/1kGrh75X1cNR1D7_FcY9zMnHP8iPO4M5RCRjy6nZY0TY/edi"&amp;"t#gid=0"",""Table 1: Study characteristics!B4:B171"")))&gt;0
),
""Include""
)"),"Exclude")</f>
        <v>Exclude</v>
      </c>
      <c r="G163" s="5" t="str">
        <f>IFERROR(__xludf.DUMMYFUNCTION("IFS(
D163=""Exclude"",
FILTER(IMPORTRANGE(""https://docs.google.com/spreadsheets/d/1BJSV3WBYJGRhQ6zExamkszQ5VutGIcaQqmbD9ZTVXMQ/edit#gid=1251630045"",""articles_with_PRISMA_reasons!AB2:AB2113""), $A163=IMPORTRANGE(""https://docs.google.com/spreadsheets/d/"&amp;"1BJSV3WBYJGRhQ6zExamkszQ5VutGIcaQqmbD9ZTVXMQ/edit#gid=1251630045"",""articles_with_PRISMA_reasons!B2:B2113"")),
E163=""Exclude"",
FILTER(IMPORTRANGE(""https://docs.google.com/spreadsheets/d/1qpEmbGH0JjaJbUdp21-y2cPbobDbMjr09BbtdKROZWc/edit#gid=1444865654"&amp;""",""articles_with_PRISMA_reasons!Z2:Z2113""), $A163=IMPORTRANGE(""https://docs.google.com/spreadsheets/d/1qpEmbGH0JjaJbUdp21-y2cPbobDbMjr09BbtdKROZWc/edit#gid=1444865654"",""articles_with_PRISMA_reasons!B2:B2113"")),F163
=""Include"",FILTER(IMPORTRANGE("&amp;"""https://docs.google.com/spreadsheets/d/1kGrh75X1cNR1D7_FcY9zMnHP8iPO4M5RCRjy6nZY0TY/edit#gid=0"",""Table 1: Study characteristics!A4:A171""), $A163=IMPORTRANGE(""https://docs.google.com/spreadsheets/d/1kGrh75X1cNR1D7_FcY9zMnHP8iPO4M5RCRjy6nZY0TY/edit#gi"&amp;"d=0"",""Table 1: Study characteristics!B4:B171""))
)"),"wrong population")</f>
        <v>wrong population</v>
      </c>
    </row>
    <row r="164">
      <c r="A164" s="4" t="str">
        <f>IFERROR(__xludf.DUMMYFUNCTION("""COMPUTED_VALUE"""),"A decade of ""primary"" hydrocephalus in the west of Scotland")</f>
        <v>A decade of "primary" hydrocephalus in the west of Scotland</v>
      </c>
      <c r="B164" s="5" t="str">
        <f>IFERROR(__xludf.DUMMYFUNCTION("LEFT(FILTER(IMPORTRANGE(""https://docs.google.com/spreadsheets/d/1BJSV3WBYJGRhQ6zExamkszQ5VutGIcaQqmbD9ZTVXMQ/edit#gid=1251630045"",""articles_with_PRISMA_reasons!K2:K2113""), $A164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$A164=IMPORTRANGE(""https://docs.google.com/spreadsheets/d/1BJSV3WBYJGRhQ6zExamkszQ5VutGIcaQqmbD9ZTVXMQ/edit#gid=1251630045"",""articles_with_PRISMA_reasons!B2:B2113"")))-1)"),"Melville")</f>
        <v>Melville</v>
      </c>
      <c r="C164" s="6">
        <f>IFERROR(__xludf.DUMMYFUNCTION("FILTER(IMPORTRANGE(""https://docs.google.com/spreadsheets/d/1BJSV3WBYJGRhQ6zExamkszQ5VutGIcaQqmbD9ZTVXMQ/edit#gid=1251630045"",""articles_with_PRISMA_reasons!C2:C2113""), $A164=IMPORTRANGE(""https://docs.google.com/spreadsheets/d/1BJSV3WBYJGRhQ6zExamkszQ5"&amp;"VutGIcaQqmbD9ZTVXMQ/edit#gid=1251630045"",""articles_with_PRISMA_reasons!B2:B2113""))"),1981.0)</f>
        <v>1981</v>
      </c>
      <c r="D164" s="5" t="str">
        <f>IFERROR(__xludf.DUMMYFUNCTION("IFS(AND(
FILTER(IMPORTRANGE(""https://docs.google.com/spreadsheets/d/1BJSV3WBYJGRhQ6zExamkszQ5VutGIcaQqmbD9ZTVXMQ/edit#gid=1251630045"",""articles_with_PRISMA_reasons!Y2:Y2113""), $A164=IMPORTRANGE(""https://docs.google.com/spreadsheets/d/1BJSV3WBYJGRhQ6z"&amp;"ExamkszQ5VutGIcaQqmbD9ZTVXMQ/edit#gid=1251630045"",""articles_with_PRISMA_reasons!B2:B2113""))&gt;=2,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$A164=IMPORTRANGE(""https://docs.google.com/spreadsheets/d/1BJSV3WBYJGRhQ6zExamkszQ5VutGIcaQqmbD9ZTVXMQ/edit#gid=1251630045"",""articles_with_PRISMA_reasons!B2:B2113""))&lt;2),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$A164=IMPORTRANGE(""https://docs.google.com/spreadsheets/d/1BJSV3WBYJGRhQ6zExamkszQ5VutGIcaQqmbD9ZTVXMQ/edit#gid=1251630045"",""arti"&amp;"cles_with_PRISMA_reasons!B2:B2113""))&lt;2,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$A164=IMPORTRANGE(""https://docs.google.com"&amp;"/spreadsheets/d/1BJSV3WBYJGRhQ6zExamkszQ5VutGIcaQqmbD9ZTVXMQ/edit#gid=1251630045"",""articles_with_PRISMA_reasons!B2:B2113""))&gt;=2),
""Exclude""
)"),"Exclude")</f>
        <v>Exclude</v>
      </c>
      <c r="E164" s="5" t="str">
        <f>IFERROR(__xludf.DUMMYFUNCTION("IFS(
D164=""Exclude"",""Exclude"",
AND(
FILTER(IMPORTRANGE(""https://docs.google.com/spreadsheets/d/1qpEmbGH0JjaJbUdp21-y2cPbobDbMjr09BbtdKROZWc/edit#gid=1444865654"",""articles_with_PRISMA_reasons!W2:W2113""), $A164=IMPORTRANGE(""https://docs.google.com/"&amp;"spreadsheets/d/1qpEmbGH0JjaJbUdp21-y2cPbobDbMjr09BbtdKROZWc/edit#gid=1444865654"",""articles_with_PRISMA_reasons!B2:B2113""))&gt;=2,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$A164=IMPORTRANGE(""https://docs.google.com/spreadsheets/d/1qpEmbGH0JjaJbUdp21-y2cPbobDbMjr09BbtdKROZWc/edit#gid=1444865654"",""articles_with_PRISMA_reasons!B2:B2113""))&lt;2),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$A164=IMPORTRANGE(""https://docs.google.com/spreadsheets/d/1qpEmbGH0JjaJbUdp21-y2cPbobDbMjr09BbtdKRO"&amp;"ZWc/edit#gid=1444865654"",""articles_with_PRISMA_reasons!B2:B2113""))&lt;2,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$A164=IMPOR"&amp;"TRANGE(""https://docs.google.com/spreadsheets/d/1qpEmbGH0JjaJbUdp21-y2cPbobDbMjr09BbtdKROZWc/edit#gid=1444865654"",""articles_with_PRISMA_reasons!B2:B2113""))&gt;=2),
""Exclude""
)"),"Exclude")</f>
        <v>Exclude</v>
      </c>
      <c r="F164" s="5" t="str">
        <f>IFERROR(__xludf.DUMMYFUNCTION("IFS(
E164=""Exclude"",""Exclude"",
AND(
COUNTIF(
IMPORTRANGE(""https://docs.google.com/spreadsheets/d/1kGrh75X1cNR1D7_FcY9zMnHP8iPO4M5RCRjy6nZY0TY/edit#gid=0"",""Table 1: Study characteristics!B4:B171""),A164)&gt;0,
COUNTIF(Studies!$A$2:$A$85,FILTER(IMPORTRA"&amp;"NGE(""https://docs.google.com/spreadsheets/d/1kGrh75X1cNR1D7_FcY9zMnHP8iPO4M5RCRjy6nZY0TY/edit#gid=0"",""Table 1: Study characteristics!A4:A171""), $A164=IMPORTRANGE(""https://docs.google.com/spreadsheets/d/1kGrh75X1cNR1D7_FcY9zMnHP8iPO4M5RCRjy6nZY0TY/edi"&amp;"t#gid=0"",""Table 1: Study characteristics!B4:B171"")))&gt;0
),
""Include""
)"),"Exclude")</f>
        <v>Exclude</v>
      </c>
      <c r="G164" s="5" t="str">
        <f>IFERROR(__xludf.DUMMYFUNCTION("IFS(
D164=""Exclude"",
FILTER(IMPORTRANGE(""https://docs.google.com/spreadsheets/d/1BJSV3WBYJGRhQ6zExamkszQ5VutGIcaQqmbD9ZTVXMQ/edit#gid=1251630045"",""articles_with_PRISMA_reasons!AB2:AB2113""), $A164=IMPORTRANGE(""https://docs.google.com/spreadsheets/d/"&amp;"1BJSV3WBYJGRhQ6zExamkszQ5VutGIcaQqmbD9ZTVXMQ/edit#gid=1251630045"",""articles_with_PRISMA_reasons!B2:B2113"")),
E164=""Exclude"",
FILTER(IMPORTRANGE(""https://docs.google.com/spreadsheets/d/1qpEmbGH0JjaJbUdp21-y2cPbobDbMjr09BbtdKROZWc/edit#gid=1444865654"&amp;""",""articles_with_PRISMA_reasons!Z2:Z2113""), $A164=IMPORTRANGE(""https://docs.google.com/spreadsheets/d/1qpEmbGH0JjaJbUdp21-y2cPbobDbMjr09BbtdKROZWc/edit#gid=1444865654"",""articles_with_PRISMA_reasons!B2:B2113"")),F164
=""Include"",FILTER(IMPORTRANGE("&amp;"""https://docs.google.com/spreadsheets/d/1kGrh75X1cNR1D7_FcY9zMnHP8iPO4M5RCRjy6nZY0TY/edit#gid=0"",""Table 1: Study characteristics!A4:A171""), $A164=IMPORTRANGE(""https://docs.google.com/spreadsheets/d/1kGrh75X1cNR1D7_FcY9zMnHP8iPO4M5RCRjy6nZY0TY/edit#gi"&amp;"d=0"",""Table 1: Study characteristics!B4:B171""))
)"),"background article")</f>
        <v>background article</v>
      </c>
    </row>
    <row r="165">
      <c r="A165" s="4" t="str">
        <f>IFERROR(__xludf.DUMMYFUNCTION("""COMPUTED_VALUE"""),"A genetic model for cloacal exstrophy, the extreme cloacal malformation")</f>
        <v>A genetic model for cloacal exstrophy, the extreme cloacal malformation</v>
      </c>
      <c r="B165" s="5" t="str">
        <f>IFERROR(__xludf.DUMMYFUNCTION("LEFT(FILTER(IMPORTRANGE(""https://docs.google.com/spreadsheets/d/1BJSV3WBYJGRhQ6zExamkszQ5VutGIcaQqmbD9ZTVXMQ/edit#gid=1251630045"",""articles_with_PRISMA_reasons!K2:K2113""), $A165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$A165=IMPORTRANGE(""https://docs.google.com/spreadsheets/d/1BJSV3WBYJGRhQ6zExamkszQ5VutGIcaQqmbD9ZTVXMQ/edit#gid=1251630045"",""articles_with_PRISMA_reasons!B2:B2113"")))-1)"),"Sathienkijkanchai")</f>
        <v>Sathienkijkanchai</v>
      </c>
      <c r="C165" s="6">
        <f>IFERROR(__xludf.DUMMYFUNCTION("FILTER(IMPORTRANGE(""https://docs.google.com/spreadsheets/d/1BJSV3WBYJGRhQ6zExamkszQ5VutGIcaQqmbD9ZTVXMQ/edit#gid=1251630045"",""articles_with_PRISMA_reasons!C2:C2113""), $A165=IMPORTRANGE(""https://docs.google.com/spreadsheets/d/1BJSV3WBYJGRhQ6zExamkszQ5"&amp;"VutGIcaQqmbD9ZTVXMQ/edit#gid=1251630045"",""articles_with_PRISMA_reasons!B2:B2113""))"),2007.0)</f>
        <v>2007</v>
      </c>
      <c r="D165" s="5" t="str">
        <f>IFERROR(__xludf.DUMMYFUNCTION("IFS(AND(
FILTER(IMPORTRANGE(""https://docs.google.com/spreadsheets/d/1BJSV3WBYJGRhQ6zExamkszQ5VutGIcaQqmbD9ZTVXMQ/edit#gid=1251630045"",""articles_with_PRISMA_reasons!Y2:Y2113""), $A165=IMPORTRANGE(""https://docs.google.com/spreadsheets/d/1BJSV3WBYJGRhQ6z"&amp;"ExamkszQ5VutGIcaQqmbD9ZTVXMQ/edit#gid=1251630045"",""articles_with_PRISMA_reasons!B2:B2113""))&gt;=2,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$A165=IMPORTRANGE(""https://docs.google.com/spreadsheets/d/1BJSV3WBYJGRhQ6zExamkszQ5VutGIcaQqmbD9ZTVXMQ/edit#gid=1251630045"",""articles_with_PRISMA_reasons!B2:B2113""))&lt;2),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$A165=IMPORTRANGE(""https://docs.google.com/spreadsheets/d/1BJSV3WBYJGRhQ6zExamkszQ5VutGIcaQqmbD9ZTVXMQ/edit#gid=1251630045"",""arti"&amp;"cles_with_PRISMA_reasons!B2:B2113""))&lt;2,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$A165=IMPORTRANGE(""https://docs.google.com"&amp;"/spreadsheets/d/1BJSV3WBYJGRhQ6zExamkszQ5VutGIcaQqmbD9ZTVXMQ/edit#gid=1251630045"",""articles_with_PRISMA_reasons!B2:B2113""))&gt;=2),
""Exclude""
)"),"Exclude")</f>
        <v>Exclude</v>
      </c>
      <c r="E165" s="5" t="str">
        <f>IFERROR(__xludf.DUMMYFUNCTION("IFS(
D165=""Exclude"",""Exclude"",
AND(
FILTER(IMPORTRANGE(""https://docs.google.com/spreadsheets/d/1qpEmbGH0JjaJbUdp21-y2cPbobDbMjr09BbtdKROZWc/edit#gid=1444865654"",""articles_with_PRISMA_reasons!W2:W2113""), $A165=IMPORTRANGE(""https://docs.google.com/"&amp;"spreadsheets/d/1qpEmbGH0JjaJbUdp21-y2cPbobDbMjr09BbtdKROZWc/edit#gid=1444865654"",""articles_with_PRISMA_reasons!B2:B2113""))&gt;=2,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$A165=IMPORTRANGE(""https://docs.google.com/spreadsheets/d/1qpEmbGH0JjaJbUdp21-y2cPbobDbMjr09BbtdKROZWc/edit#gid=1444865654"",""articles_with_PRISMA_reasons!B2:B2113""))&lt;2),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$A165=IMPORTRANGE(""https://docs.google.com/spreadsheets/d/1qpEmbGH0JjaJbUdp21-y2cPbobDbMjr09BbtdKRO"&amp;"ZWc/edit#gid=1444865654"",""articles_with_PRISMA_reasons!B2:B2113""))&lt;2,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$A165=IMPOR"&amp;"TRANGE(""https://docs.google.com/spreadsheets/d/1qpEmbGH0JjaJbUdp21-y2cPbobDbMjr09BbtdKROZWc/edit#gid=1444865654"",""articles_with_PRISMA_reasons!B2:B2113""))&gt;=2),
""Exclude""
)"),"Exclude")</f>
        <v>Exclude</v>
      </c>
      <c r="F165" s="5" t="str">
        <f>IFERROR(__xludf.DUMMYFUNCTION("IFS(
E165=""Exclude"",""Exclude"",
AND(
COUNTIF(
IMPORTRANGE(""https://docs.google.com/spreadsheets/d/1kGrh75X1cNR1D7_FcY9zMnHP8iPO4M5RCRjy6nZY0TY/edit#gid=0"",""Table 1: Study characteristics!B4:B171""),A165)&gt;0,
COUNTIF(Studies!$A$2:$A$85,FILTER(IMPORTRA"&amp;"NGE(""https://docs.google.com/spreadsheets/d/1kGrh75X1cNR1D7_FcY9zMnHP8iPO4M5RCRjy6nZY0TY/edit#gid=0"",""Table 1: Study characteristics!A4:A171""), $A165=IMPORTRANGE(""https://docs.google.com/spreadsheets/d/1kGrh75X1cNR1D7_FcY9zMnHP8iPO4M5RCRjy6nZY0TY/edi"&amp;"t#gid=0"",""Table 1: Study characteristics!B4:B171"")))&gt;0
),
""Include""
)"),"Exclude")</f>
        <v>Exclude</v>
      </c>
      <c r="G165" s="5" t="str">
        <f>IFERROR(__xludf.DUMMYFUNCTION("IFS(
D165=""Exclude"",
FILTER(IMPORTRANGE(""https://docs.google.com/spreadsheets/d/1BJSV3WBYJGRhQ6zExamkszQ5VutGIcaQqmbD9ZTVXMQ/edit#gid=1251630045"",""articles_with_PRISMA_reasons!AB2:AB2113""), $A165=IMPORTRANGE(""https://docs.google.com/spreadsheets/d/"&amp;"1BJSV3WBYJGRhQ6zExamkszQ5VutGIcaQqmbD9ZTVXMQ/edit#gid=1251630045"",""articles_with_PRISMA_reasons!B2:B2113"")),
E165=""Exclude"",
FILTER(IMPORTRANGE(""https://docs.google.com/spreadsheets/d/1qpEmbGH0JjaJbUdp21-y2cPbobDbMjr09BbtdKROZWc/edit#gid=1444865654"&amp;""",""articles_with_PRISMA_reasons!Z2:Z2113""), $A165=IMPORTRANGE(""https://docs.google.com/spreadsheets/d/1qpEmbGH0JjaJbUdp21-y2cPbobDbMjr09BbtdKROZWc/edit#gid=1444865654"",""articles_with_PRISMA_reasons!B2:B2113"")),F165
=""Include"",FILTER(IMPORTRANGE("&amp;"""https://docs.google.com/spreadsheets/d/1kGrh75X1cNR1D7_FcY9zMnHP8iPO4M5RCRjy6nZY0TY/edit#gid=0"",""Table 1: Study characteristics!A4:A171""), $A165=IMPORTRANGE(""https://docs.google.com/spreadsheets/d/1kGrh75X1cNR1D7_FcY9zMnHP8iPO4M5RCRjy6nZY0TY/edit#gi"&amp;"d=0"",""Table 1: Study characteristics!B4:B171""))
)"),"wrong study design")</f>
        <v>wrong study design</v>
      </c>
    </row>
    <row r="166">
      <c r="A166" s="4" t="str">
        <f>IFERROR(__xludf.DUMMYFUNCTION("""COMPUTED_VALUE"""),"A girl with Peters plus syndrome associated with myelomeningocele and chronic renal failure")</f>
        <v>A girl with Peters plus syndrome associated with myelomeningocele and chronic renal failure</v>
      </c>
      <c r="B166" s="5" t="str">
        <f>IFERROR(__xludf.DUMMYFUNCTION("LEFT(FILTER(IMPORTRANGE(""https://docs.google.com/spreadsheets/d/1BJSV3WBYJGRhQ6zExamkszQ5VutGIcaQqmbD9ZTVXMQ/edit#gid=1251630045"",""articles_with_PRISMA_reasons!K2:K2113""), $A166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$A166=IMPORTRANGE(""https://docs.google.com/spreadsheets/d/1BJSV3WBYJGRhQ6zExamkszQ5VutGIcaQqmbD9ZTVXMQ/edit#gid=1251630045"",""articles_with_PRISMA_reasons!B2:B2113"")))-1)"),"Motoyama")</f>
        <v>Motoyama</v>
      </c>
      <c r="C166" s="6">
        <f>IFERROR(__xludf.DUMMYFUNCTION("FILTER(IMPORTRANGE(""https://docs.google.com/spreadsheets/d/1BJSV3WBYJGRhQ6zExamkszQ5VutGIcaQqmbD9ZTVXMQ/edit#gid=1251630045"",""articles_with_PRISMA_reasons!C2:C2113""), $A166=IMPORTRANGE(""https://docs.google.com/spreadsheets/d/1BJSV3WBYJGRhQ6zExamkszQ5"&amp;"VutGIcaQqmbD9ZTVXMQ/edit#gid=1251630045"",""articles_with_PRISMA_reasons!B2:B2113""))"),2010.0)</f>
        <v>2010</v>
      </c>
      <c r="D166" s="5" t="str">
        <f>IFERROR(__xludf.DUMMYFUNCTION("IFS(AND(
FILTER(IMPORTRANGE(""https://docs.google.com/spreadsheets/d/1BJSV3WBYJGRhQ6zExamkszQ5VutGIcaQqmbD9ZTVXMQ/edit#gid=1251630045"",""articles_with_PRISMA_reasons!Y2:Y2113""), $A166=IMPORTRANGE(""https://docs.google.com/spreadsheets/d/1BJSV3WBYJGRhQ6z"&amp;"ExamkszQ5VutGIcaQqmbD9ZTVXMQ/edit#gid=1251630045"",""articles_with_PRISMA_reasons!B2:B2113""))&gt;=2,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$A166=IMPORTRANGE(""https://docs.google.com/spreadsheets/d/1BJSV3WBYJGRhQ6zExamkszQ5VutGIcaQqmbD9ZTVXMQ/edit#gid=1251630045"",""articles_with_PRISMA_reasons!B2:B2113""))&lt;2),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$A166=IMPORTRANGE(""https://docs.google.com/spreadsheets/d/1BJSV3WBYJGRhQ6zExamkszQ5VutGIcaQqmbD9ZTVXMQ/edit#gid=1251630045"",""arti"&amp;"cles_with_PRISMA_reasons!B2:B2113""))&lt;2,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$A166=IMPORTRANGE(""https://docs.google.com"&amp;"/spreadsheets/d/1BJSV3WBYJGRhQ6zExamkszQ5VutGIcaQqmbD9ZTVXMQ/edit#gid=1251630045"",""articles_with_PRISMA_reasons!B2:B2113""))&gt;=2),
""Exclude""
)"),"Exclude")</f>
        <v>Exclude</v>
      </c>
      <c r="E166" s="5" t="str">
        <f>IFERROR(__xludf.DUMMYFUNCTION("IFS(
D166=""Exclude"",""Exclude"",
AND(
FILTER(IMPORTRANGE(""https://docs.google.com/spreadsheets/d/1qpEmbGH0JjaJbUdp21-y2cPbobDbMjr09BbtdKROZWc/edit#gid=1444865654"",""articles_with_PRISMA_reasons!W2:W2113""), $A166=IMPORTRANGE(""https://docs.google.com/"&amp;"spreadsheets/d/1qpEmbGH0JjaJbUdp21-y2cPbobDbMjr09BbtdKROZWc/edit#gid=1444865654"",""articles_with_PRISMA_reasons!B2:B2113""))&gt;=2,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$A166=IMPORTRANGE(""https://docs.google.com/spreadsheets/d/1qpEmbGH0JjaJbUdp21-y2cPbobDbMjr09BbtdKROZWc/edit#gid=1444865654"",""articles_with_PRISMA_reasons!B2:B2113""))&lt;2),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$A166=IMPORTRANGE(""https://docs.google.com/spreadsheets/d/1qpEmbGH0JjaJbUdp21-y2cPbobDbMjr09BbtdKRO"&amp;"ZWc/edit#gid=1444865654"",""articles_with_PRISMA_reasons!B2:B2113""))&lt;2,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$A166=IMPOR"&amp;"TRANGE(""https://docs.google.com/spreadsheets/d/1qpEmbGH0JjaJbUdp21-y2cPbobDbMjr09BbtdKROZWc/edit#gid=1444865654"",""articles_with_PRISMA_reasons!B2:B2113""))&gt;=2),
""Exclude""
)"),"Exclude")</f>
        <v>Exclude</v>
      </c>
      <c r="F166" s="5" t="str">
        <f>IFERROR(__xludf.DUMMYFUNCTION("IFS(
E166=""Exclude"",""Exclude"",
AND(
COUNTIF(
IMPORTRANGE(""https://docs.google.com/spreadsheets/d/1kGrh75X1cNR1D7_FcY9zMnHP8iPO4M5RCRjy6nZY0TY/edit#gid=0"",""Table 1: Study characteristics!B4:B171""),A166)&gt;0,
COUNTIF(Studies!$A$2:$A$85,FILTER(IMPORTRA"&amp;"NGE(""https://docs.google.com/spreadsheets/d/1kGrh75X1cNR1D7_FcY9zMnHP8iPO4M5RCRjy6nZY0TY/edit#gid=0"",""Table 1: Study characteristics!A4:A171""), $A166=IMPORTRANGE(""https://docs.google.com/spreadsheets/d/1kGrh75X1cNR1D7_FcY9zMnHP8iPO4M5RCRjy6nZY0TY/edi"&amp;"t#gid=0"",""Table 1: Study characteristics!B4:B171"")))&gt;0
),
""Include""
)"),"Exclude")</f>
        <v>Exclude</v>
      </c>
      <c r="G166" s="5" t="str">
        <f>IFERROR(__xludf.DUMMYFUNCTION("IFS(
D166=""Exclude"",
FILTER(IMPORTRANGE(""https://docs.google.com/spreadsheets/d/1BJSV3WBYJGRhQ6zExamkszQ5VutGIcaQqmbD9ZTVXMQ/edit#gid=1251630045"",""articles_with_PRISMA_reasons!AB2:AB2113""), $A166=IMPORTRANGE(""https://docs.google.com/spreadsheets/d/"&amp;"1BJSV3WBYJGRhQ6zExamkszQ5VutGIcaQqmbD9ZTVXMQ/edit#gid=1251630045"",""articles_with_PRISMA_reasons!B2:B2113"")),
E166=""Exclude"",
FILTER(IMPORTRANGE(""https://docs.google.com/spreadsheets/d/1qpEmbGH0JjaJbUdp21-y2cPbobDbMjr09BbtdKROZWc/edit#gid=1444865654"&amp;""",""articles_with_PRISMA_reasons!Z2:Z2113""), $A166=IMPORTRANGE(""https://docs.google.com/spreadsheets/d/1qpEmbGH0JjaJbUdp21-y2cPbobDbMjr09BbtdKROZWc/edit#gid=1444865654"",""articles_with_PRISMA_reasons!B2:B2113"")),F166
=""Include"",FILTER(IMPORTRANGE("&amp;"""https://docs.google.com/spreadsheets/d/1kGrh75X1cNR1D7_FcY9zMnHP8iPO4M5RCRjy6nZY0TY/edit#gid=0"",""Table 1: Study characteristics!A4:A171""), $A166=IMPORTRANGE(""https://docs.google.com/spreadsheets/d/1kGrh75X1cNR1D7_FcY9zMnHP8iPO4M5RCRjy6nZY0TY/edit#gi"&amp;"d=0"",""Table 1: Study characteristics!B4:B171""))
)"),"wrong study design")</f>
        <v>wrong study design</v>
      </c>
    </row>
    <row r="167">
      <c r="A167" s="4" t="str">
        <f>IFERROR(__xludf.DUMMYFUNCTION("""COMPUTED_VALUE"""),"A kyphectomy technique with reduced perioperative morbidity for myelomeningocele kyphosis")</f>
        <v>A kyphectomy technique with reduced perioperative morbidity for myelomeningocele kyphosis</v>
      </c>
      <c r="B167" s="5" t="str">
        <f>IFERROR(__xludf.DUMMYFUNCTION("LEFT(FILTER(IMPORTRANGE(""https://docs.google.com/spreadsheets/d/1BJSV3WBYJGRhQ6zExamkszQ5VutGIcaQqmbD9ZTVXMQ/edit#gid=1251630045"",""articles_with_PRISMA_reasons!K2:K2113""), $A167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$A167=IMPORTRANGE(""https://docs.google.com/spreadsheets/d/1BJSV3WBYJGRhQ6zExamkszQ5VutGIcaQqmbD9ZTVXMQ/edit#gid=1251630045"",""articles_with_PRISMA_reasons!B2:B2113"")))-1)"),"Nolden")</f>
        <v>Nolden</v>
      </c>
      <c r="C167" s="6">
        <f>IFERROR(__xludf.DUMMYFUNCTION("FILTER(IMPORTRANGE(""https://docs.google.com/spreadsheets/d/1BJSV3WBYJGRhQ6zExamkszQ5VutGIcaQqmbD9ZTVXMQ/edit#gid=1251630045"",""articles_with_PRISMA_reasons!C2:C2113""), $A167=IMPORTRANGE(""https://docs.google.com/spreadsheets/d/1BJSV3WBYJGRhQ6zExamkszQ5"&amp;"VutGIcaQqmbD9ZTVXMQ/edit#gid=1251630045"",""articles_with_PRISMA_reasons!B2:B2113""))"),2002.0)</f>
        <v>2002</v>
      </c>
      <c r="D167" s="5" t="str">
        <f>IFERROR(__xludf.DUMMYFUNCTION("IFS(AND(
FILTER(IMPORTRANGE(""https://docs.google.com/spreadsheets/d/1BJSV3WBYJGRhQ6zExamkszQ5VutGIcaQqmbD9ZTVXMQ/edit#gid=1251630045"",""articles_with_PRISMA_reasons!Y2:Y2113""), $A167=IMPORTRANGE(""https://docs.google.com/spreadsheets/d/1BJSV3WBYJGRhQ6z"&amp;"ExamkszQ5VutGIcaQqmbD9ZTVXMQ/edit#gid=1251630045"",""articles_with_PRISMA_reasons!B2:B2113""))&gt;=2,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$A167=IMPORTRANGE(""https://docs.google.com/spreadsheets/d/1BJSV3WBYJGRhQ6zExamkszQ5VutGIcaQqmbD9ZTVXMQ/edit#gid=1251630045"",""articles_with_PRISMA_reasons!B2:B2113""))&lt;2),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$A167=IMPORTRANGE(""https://docs.google.com/spreadsheets/d/1BJSV3WBYJGRhQ6zExamkszQ5VutGIcaQqmbD9ZTVXMQ/edit#gid=1251630045"",""arti"&amp;"cles_with_PRISMA_reasons!B2:B2113""))&lt;2,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$A167=IMPORTRANGE(""https://docs.google.com"&amp;"/spreadsheets/d/1BJSV3WBYJGRhQ6zExamkszQ5VutGIcaQqmbD9ZTVXMQ/edit#gid=1251630045"",""articles_with_PRISMA_reasons!B2:B2113""))&gt;=2),
""Exclude""
)"),"Exclude")</f>
        <v>Exclude</v>
      </c>
      <c r="E167" s="5" t="str">
        <f>IFERROR(__xludf.DUMMYFUNCTION("IFS(
D167=""Exclude"",""Exclude"",
AND(
FILTER(IMPORTRANGE(""https://docs.google.com/spreadsheets/d/1qpEmbGH0JjaJbUdp21-y2cPbobDbMjr09BbtdKROZWc/edit#gid=1444865654"",""articles_with_PRISMA_reasons!W2:W2113""), $A167=IMPORTRANGE(""https://docs.google.com/"&amp;"spreadsheets/d/1qpEmbGH0JjaJbUdp21-y2cPbobDbMjr09BbtdKROZWc/edit#gid=1444865654"",""articles_with_PRISMA_reasons!B2:B2113""))&gt;=2,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$A167=IMPORTRANGE(""https://docs.google.com/spreadsheets/d/1qpEmbGH0JjaJbUdp21-y2cPbobDbMjr09BbtdKROZWc/edit#gid=1444865654"",""articles_with_PRISMA_reasons!B2:B2113""))&lt;2),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$A167=IMPORTRANGE(""https://docs.google.com/spreadsheets/d/1qpEmbGH0JjaJbUdp21-y2cPbobDbMjr09BbtdKRO"&amp;"ZWc/edit#gid=1444865654"",""articles_with_PRISMA_reasons!B2:B2113""))&lt;2,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$A167=IMPOR"&amp;"TRANGE(""https://docs.google.com/spreadsheets/d/1qpEmbGH0JjaJbUdp21-y2cPbobDbMjr09BbtdKROZWc/edit#gid=1444865654"",""articles_with_PRISMA_reasons!B2:B2113""))&gt;=2),
""Exclude""
)"),"Exclude")</f>
        <v>Exclude</v>
      </c>
      <c r="F167" s="5" t="str">
        <f>IFERROR(__xludf.DUMMYFUNCTION("IFS(
E167=""Exclude"",""Exclude"",
AND(
COUNTIF(
IMPORTRANGE(""https://docs.google.com/spreadsheets/d/1kGrh75X1cNR1D7_FcY9zMnHP8iPO4M5RCRjy6nZY0TY/edit#gid=0"",""Table 1: Study characteristics!B4:B171""),A167)&gt;0,
COUNTIF(Studies!$A$2:$A$85,FILTER(IMPORTRA"&amp;"NGE(""https://docs.google.com/spreadsheets/d/1kGrh75X1cNR1D7_FcY9zMnHP8iPO4M5RCRjy6nZY0TY/edit#gid=0"",""Table 1: Study characteristics!A4:A171""), $A167=IMPORTRANGE(""https://docs.google.com/spreadsheets/d/1kGrh75X1cNR1D7_FcY9zMnHP8iPO4M5RCRjy6nZY0TY/edi"&amp;"t#gid=0"",""Table 1: Study characteristics!B4:B171"")))&gt;0
),
""Include""
)"),"Exclude")</f>
        <v>Exclude</v>
      </c>
      <c r="G167" s="5" t="str">
        <f>IFERROR(__xludf.DUMMYFUNCTION("IFS(
D167=""Exclude"",
FILTER(IMPORTRANGE(""https://docs.google.com/spreadsheets/d/1BJSV3WBYJGRhQ6zExamkszQ5VutGIcaQqmbD9ZTVXMQ/edit#gid=1251630045"",""articles_with_PRISMA_reasons!AB2:AB2113""), $A167=IMPORTRANGE(""https://docs.google.com/spreadsheets/d/"&amp;"1BJSV3WBYJGRhQ6zExamkszQ5VutGIcaQqmbD9ZTVXMQ/edit#gid=1251630045"",""articles_with_PRISMA_reasons!B2:B2113"")),
E167=""Exclude"",
FILTER(IMPORTRANGE(""https://docs.google.com/spreadsheets/d/1qpEmbGH0JjaJbUdp21-y2cPbobDbMjr09BbtdKROZWc/edit#gid=1444865654"&amp;""",""articles_with_PRISMA_reasons!Z2:Z2113""), $A167=IMPORTRANGE(""https://docs.google.com/spreadsheets/d/1qpEmbGH0JjaJbUdp21-y2cPbobDbMjr09BbtdKROZWc/edit#gid=1444865654"",""articles_with_PRISMA_reasons!B2:B2113"")),F167
=""Include"",FILTER(IMPORTRANGE("&amp;"""https://docs.google.com/spreadsheets/d/1kGrh75X1cNR1D7_FcY9zMnHP8iPO4M5RCRjy6nZY0TY/edit#gid=0"",""Table 1: Study characteristics!A4:A171""), $A167=IMPORTRANGE(""https://docs.google.com/spreadsheets/d/1kGrh75X1cNR1D7_FcY9zMnHP8iPO4M5RCRjy6nZY0TY/edit#gi"&amp;"d=0"",""Table 1: Study characteristics!B4:B171""))
)"),"wrong population")</f>
        <v>wrong population</v>
      </c>
    </row>
    <row r="168">
      <c r="A168" s="4" t="str">
        <f>IFERROR(__xludf.DUMMYFUNCTION("""COMPUTED_VALUE"""),"A longitudinal study of cognitive abilities and achievement status of children with myelomeningocele and their relationship with clinical types")</f>
        <v>A longitudinal study of cognitive abilities and achievement status of children with myelomeningocele and their relationship with clinical types</v>
      </c>
      <c r="B168" s="5" t="str">
        <f>IFERROR(__xludf.DUMMYFUNCTION("LEFT(FILTER(IMPORTRANGE(""https://docs.google.com/spreadsheets/d/1BJSV3WBYJGRhQ6zExamkszQ5VutGIcaQqmbD9ZTVXMQ/edit#gid=1251630045"",""articles_with_PRISMA_reasons!K2:K2113""), $A168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$A168=IMPORTRANGE(""https://docs.google.com/spreadsheets/d/1BJSV3WBYJGRhQ6zExamkszQ5VutGIcaQqmbD9ZTVXMQ/edit#gid=1251630045"",""articles_with_PRISMA_reasons!B2:B2113"")))-1)"),"Casari")</f>
        <v>Casari</v>
      </c>
      <c r="C168" s="6">
        <f>IFERROR(__xludf.DUMMYFUNCTION("FILTER(IMPORTRANGE(""https://docs.google.com/spreadsheets/d/1BJSV3WBYJGRhQ6zExamkszQ5VutGIcaQqmbD9ZTVXMQ/edit#gid=1251630045"",""articles_with_PRISMA_reasons!C2:C2113""), $A168=IMPORTRANGE(""https://docs.google.com/spreadsheets/d/1BJSV3WBYJGRhQ6zExamkszQ5"&amp;"VutGIcaQqmbD9ZTVXMQ/edit#gid=1251630045"",""articles_with_PRISMA_reasons!B2:B2113""))"),1998.0)</f>
        <v>1998</v>
      </c>
      <c r="D168" s="5" t="str">
        <f>IFERROR(__xludf.DUMMYFUNCTION("IFS(AND(
FILTER(IMPORTRANGE(""https://docs.google.com/spreadsheets/d/1BJSV3WBYJGRhQ6zExamkszQ5VutGIcaQqmbD9ZTVXMQ/edit#gid=1251630045"",""articles_with_PRISMA_reasons!Y2:Y2113""), $A168=IMPORTRANGE(""https://docs.google.com/spreadsheets/d/1BJSV3WBYJGRhQ6z"&amp;"ExamkszQ5VutGIcaQqmbD9ZTVXMQ/edit#gid=1251630045"",""articles_with_PRISMA_reasons!B2:B2113""))&gt;=2,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$A168=IMPORTRANGE(""https://docs.google.com/spreadsheets/d/1BJSV3WBYJGRhQ6zExamkszQ5VutGIcaQqmbD9ZTVXMQ/edit#gid=1251630045"",""articles_with_PRISMA_reasons!B2:B2113""))&lt;2),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$A168=IMPORTRANGE(""https://docs.google.com/spreadsheets/d/1BJSV3WBYJGRhQ6zExamkszQ5VutGIcaQqmbD9ZTVXMQ/edit#gid=1251630045"",""arti"&amp;"cles_with_PRISMA_reasons!B2:B2113""))&lt;2,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$A168=IMPORTRANGE(""https://docs.google.com"&amp;"/spreadsheets/d/1BJSV3WBYJGRhQ6zExamkszQ5VutGIcaQqmbD9ZTVXMQ/edit#gid=1251630045"",""articles_with_PRISMA_reasons!B2:B2113""))&gt;=2),
""Exclude""
)"),"Include")</f>
        <v>Include</v>
      </c>
      <c r="E168" s="5" t="str">
        <f>IFERROR(__xludf.DUMMYFUNCTION("IFS(
D168=""Exclude"",""Exclude"",
AND(
FILTER(IMPORTRANGE(""https://docs.google.com/spreadsheets/d/1qpEmbGH0JjaJbUdp21-y2cPbobDbMjr09BbtdKROZWc/edit#gid=1444865654"",""articles_with_PRISMA_reasons!W2:W2113""), $A168=IMPORTRANGE(""https://docs.google.com/"&amp;"spreadsheets/d/1qpEmbGH0JjaJbUdp21-y2cPbobDbMjr09BbtdKROZWc/edit#gid=1444865654"",""articles_with_PRISMA_reasons!B2:B2113""))&gt;=2,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$A168=IMPORTRANGE(""https://docs.google.com/spreadsheets/d/1qpEmbGH0JjaJbUdp21-y2cPbobDbMjr09BbtdKROZWc/edit#gid=1444865654"",""articles_with_PRISMA_reasons!B2:B2113""))&lt;2),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$A168=IMPORTRANGE(""https://docs.google.com/spreadsheets/d/1qpEmbGH0JjaJbUdp21-y2cPbobDbMjr09BbtdKRO"&amp;"ZWc/edit#gid=1444865654"",""articles_with_PRISMA_reasons!B2:B2113""))&lt;2,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$A168=IMPOR"&amp;"TRANGE(""https://docs.google.com/spreadsheets/d/1qpEmbGH0JjaJbUdp21-y2cPbobDbMjr09BbtdKROZWc/edit#gid=1444865654"",""articles_with_PRISMA_reasons!B2:B2113""))&gt;=2),
""Exclude""
)"),"Exclude")</f>
        <v>Exclude</v>
      </c>
      <c r="F168" s="5" t="str">
        <f>IFERROR(__xludf.DUMMYFUNCTION("IFS(
E168=""Exclude"",""Exclude"",
AND(
COUNTIF(
IMPORTRANGE(""https://docs.google.com/spreadsheets/d/1kGrh75X1cNR1D7_FcY9zMnHP8iPO4M5RCRjy6nZY0TY/edit#gid=0"",""Table 1: Study characteristics!B4:B171""),A168)&gt;0,
COUNTIF(Studies!$A$2:$A$85,FILTER(IMPORTRA"&amp;"NGE(""https://docs.google.com/spreadsheets/d/1kGrh75X1cNR1D7_FcY9zMnHP8iPO4M5RCRjy6nZY0TY/edit#gid=0"",""Table 1: Study characteristics!A4:A171""), $A168=IMPORTRANGE(""https://docs.google.com/spreadsheets/d/1kGrh75X1cNR1D7_FcY9zMnHP8iPO4M5RCRjy6nZY0TY/edi"&amp;"t#gid=0"",""Table 1: Study characteristics!B4:B171"")))&gt;0
),
""Include""
)"),"Exclude")</f>
        <v>Exclude</v>
      </c>
      <c r="G168" s="5" t="str">
        <f>IFERROR(__xludf.DUMMYFUNCTION("IFS(
D168=""Exclude"",
FILTER(IMPORTRANGE(""https://docs.google.com/spreadsheets/d/1BJSV3WBYJGRhQ6zExamkszQ5VutGIcaQqmbD9ZTVXMQ/edit#gid=1251630045"",""articles_with_PRISMA_reasons!AB2:AB2113""), $A168=IMPORTRANGE(""https://docs.google.com/spreadsheets/d/"&amp;"1BJSV3WBYJGRhQ6zExamkszQ5VutGIcaQqmbD9ZTVXMQ/edit#gid=1251630045"",""articles_with_PRISMA_reasons!B2:B2113"")),
E168=""Exclude"",
FILTER(IMPORTRANGE(""https://docs.google.com/spreadsheets/d/1qpEmbGH0JjaJbUdp21-y2cPbobDbMjr09BbtdKROZWc/edit#gid=1444865654"&amp;""",""articles_with_PRISMA_reasons!Z2:Z2113""), $A168=IMPORTRANGE(""https://docs.google.com/spreadsheets/d/1qpEmbGH0JjaJbUdp21-y2cPbobDbMjr09BbtdKROZWc/edit#gid=1444865654"",""articles_with_PRISMA_reasons!B2:B2113"")),F168
=""Include"",FILTER(IMPORTRANGE("&amp;"""https://docs.google.com/spreadsheets/d/1kGrh75X1cNR1D7_FcY9zMnHP8iPO4M5RCRjy6nZY0TY/edit#gid=0"",""Table 1: Study characteristics!A4:A171""), $A168=IMPORTRANGE(""https://docs.google.com/spreadsheets/d/1kGrh75X1cNR1D7_FcY9zMnHP8iPO4M5RCRjy6nZY0TY/edit#gi"&amp;"d=0"",""Table 1: Study characteristics!B4:B171""))
)"),"wrong population")</f>
        <v>wrong population</v>
      </c>
    </row>
    <row r="169">
      <c r="A169" s="4" t="str">
        <f>IFERROR(__xludf.DUMMYFUNCTION("""COMPUTED_VALUE"""),"A model of comprehension in spina bifida meningomyelocele: Meaning activation, integration, and revision")</f>
        <v>A model of comprehension in spina bifida meningomyelocele: Meaning activation, integration, and revision</v>
      </c>
      <c r="B169" s="5" t="str">
        <f>IFERROR(__xludf.DUMMYFUNCTION("LEFT(FILTER(IMPORTRANGE(""https://docs.google.com/spreadsheets/d/1BJSV3WBYJGRhQ6zExamkszQ5VutGIcaQqmbD9ZTVXMQ/edit#gid=1251630045"",""articles_with_PRISMA_reasons!K2:K2113""), $A169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$A169=IMPORTRANGE(""https://docs.google.com/spreadsheets/d/1BJSV3WBYJGRhQ6zExamkszQ5VutGIcaQqmbD9ZTVXMQ/edit#gid=1251630045"",""articles_with_PRISMA_reasons!B2:B2113"")))-1)"),"Johnston")</f>
        <v>Johnston</v>
      </c>
      <c r="C169" s="6">
        <f>IFERROR(__xludf.DUMMYFUNCTION("FILTER(IMPORTRANGE(""https://docs.google.com/spreadsheets/d/1BJSV3WBYJGRhQ6zExamkszQ5VutGIcaQqmbD9ZTVXMQ/edit#gid=1251630045"",""articles_with_PRISMA_reasons!C2:C2113""), $A169=IMPORTRANGE(""https://docs.google.com/spreadsheets/d/1BJSV3WBYJGRhQ6zExamkszQ5"&amp;"VutGIcaQqmbD9ZTVXMQ/edit#gid=1251630045"",""articles_with_PRISMA_reasons!B2:B2113""))"),2007.0)</f>
        <v>2007</v>
      </c>
      <c r="D169" s="5" t="str">
        <f>IFERROR(__xludf.DUMMYFUNCTION("IFS(AND(
FILTER(IMPORTRANGE(""https://docs.google.com/spreadsheets/d/1BJSV3WBYJGRhQ6zExamkszQ5VutGIcaQqmbD9ZTVXMQ/edit#gid=1251630045"",""articles_with_PRISMA_reasons!Y2:Y2113""), $A169=IMPORTRANGE(""https://docs.google.com/spreadsheets/d/1BJSV3WBYJGRhQ6z"&amp;"ExamkszQ5VutGIcaQqmbD9ZTVXMQ/edit#gid=1251630045"",""articles_with_PRISMA_reasons!B2:B2113""))&gt;=2,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$A169=IMPORTRANGE(""https://docs.google.com/spreadsheets/d/1BJSV3WBYJGRhQ6zExamkszQ5VutGIcaQqmbD9ZTVXMQ/edit#gid=1251630045"",""articles_with_PRISMA_reasons!B2:B2113""))&lt;2),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$A169=IMPORTRANGE(""https://docs.google.com/spreadsheets/d/1BJSV3WBYJGRhQ6zExamkszQ5VutGIcaQqmbD9ZTVXMQ/edit#gid=1251630045"",""arti"&amp;"cles_with_PRISMA_reasons!B2:B2113""))&lt;2,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$A169=IMPORTRANGE(""https://docs.google.com"&amp;"/spreadsheets/d/1BJSV3WBYJGRhQ6zExamkszQ5VutGIcaQqmbD9ZTVXMQ/edit#gid=1251630045"",""articles_with_PRISMA_reasons!B2:B2113""))&gt;=2),
""Exclude""
)"),"Exclude")</f>
        <v>Exclude</v>
      </c>
      <c r="E169" s="5" t="str">
        <f>IFERROR(__xludf.DUMMYFUNCTION("IFS(
D169=""Exclude"",""Exclude"",
AND(
FILTER(IMPORTRANGE(""https://docs.google.com/spreadsheets/d/1qpEmbGH0JjaJbUdp21-y2cPbobDbMjr09BbtdKROZWc/edit#gid=1444865654"",""articles_with_PRISMA_reasons!W2:W2113""), $A169=IMPORTRANGE(""https://docs.google.com/"&amp;"spreadsheets/d/1qpEmbGH0JjaJbUdp21-y2cPbobDbMjr09BbtdKROZWc/edit#gid=1444865654"",""articles_with_PRISMA_reasons!B2:B2113""))&gt;=2,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$A169=IMPORTRANGE(""https://docs.google.com/spreadsheets/d/1qpEmbGH0JjaJbUdp21-y2cPbobDbMjr09BbtdKROZWc/edit#gid=1444865654"",""articles_with_PRISMA_reasons!B2:B2113""))&lt;2),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$A169=IMPORTRANGE(""https://docs.google.com/spreadsheets/d/1qpEmbGH0JjaJbUdp21-y2cPbobDbMjr09BbtdKRO"&amp;"ZWc/edit#gid=1444865654"",""articles_with_PRISMA_reasons!B2:B2113""))&lt;2,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$A169=IMPOR"&amp;"TRANGE(""https://docs.google.com/spreadsheets/d/1qpEmbGH0JjaJbUdp21-y2cPbobDbMjr09BbtdKROZWc/edit#gid=1444865654"",""articles_with_PRISMA_reasons!B2:B2113""))&gt;=2),
""Exclude""
)"),"Exclude")</f>
        <v>Exclude</v>
      </c>
      <c r="F169" s="5" t="str">
        <f>IFERROR(__xludf.DUMMYFUNCTION("IFS(
E169=""Exclude"",""Exclude"",
AND(
COUNTIF(
IMPORTRANGE(""https://docs.google.com/spreadsheets/d/1kGrh75X1cNR1D7_FcY9zMnHP8iPO4M5RCRjy6nZY0TY/edit#gid=0"",""Table 1: Study characteristics!B4:B171""),A169)&gt;0,
COUNTIF(Studies!$A$2:$A$85,FILTER(IMPORTRA"&amp;"NGE(""https://docs.google.com/spreadsheets/d/1kGrh75X1cNR1D7_FcY9zMnHP8iPO4M5RCRjy6nZY0TY/edit#gid=0"",""Table 1: Study characteristics!A4:A171""), $A169=IMPORTRANGE(""https://docs.google.com/spreadsheets/d/1kGrh75X1cNR1D7_FcY9zMnHP8iPO4M5RCRjy6nZY0TY/edi"&amp;"t#gid=0"",""Table 1: Study characteristics!B4:B171"")))&gt;0
),
""Include""
)"),"Exclude")</f>
        <v>Exclude</v>
      </c>
      <c r="G169" s="5" t="str">
        <f>IFERROR(__xludf.DUMMYFUNCTION("IFS(
D169=""Exclude"",
FILTER(IMPORTRANGE(""https://docs.google.com/spreadsheets/d/1BJSV3WBYJGRhQ6zExamkszQ5VutGIcaQqmbD9ZTVXMQ/edit#gid=1251630045"",""articles_with_PRISMA_reasons!AB2:AB2113""), $A169=IMPORTRANGE(""https://docs.google.com/spreadsheets/d/"&amp;"1BJSV3WBYJGRhQ6zExamkszQ5VutGIcaQqmbD9ZTVXMQ/edit#gid=1251630045"",""articles_with_PRISMA_reasons!B2:B2113"")),
E169=""Exclude"",
FILTER(IMPORTRANGE(""https://docs.google.com/spreadsheets/d/1qpEmbGH0JjaJbUdp21-y2cPbobDbMjr09BbtdKROZWc/edit#gid=1444865654"&amp;""",""articles_with_PRISMA_reasons!Z2:Z2113""), $A169=IMPORTRANGE(""https://docs.google.com/spreadsheets/d/1qpEmbGH0JjaJbUdp21-y2cPbobDbMjr09BbtdKROZWc/edit#gid=1444865654"",""articles_with_PRISMA_reasons!B2:B2113"")),F169
=""Include"",FILTER(IMPORTRANGE("&amp;"""https://docs.google.com/spreadsheets/d/1kGrh75X1cNR1D7_FcY9zMnHP8iPO4M5RCRjy6nZY0TY/edit#gid=0"",""Table 1: Study characteristics!A4:A171""), $A169=IMPORTRANGE(""https://docs.google.com/spreadsheets/d/1kGrh75X1cNR1D7_FcY9zMnHP8iPO4M5RCRjy6nZY0TY/edit#gi"&amp;"d=0"",""Table 1: Study characteristics!B4:B171""))
)"),"wrong study design")</f>
        <v>wrong study design</v>
      </c>
    </row>
    <row r="170">
      <c r="A170" s="4" t="str">
        <f>IFERROR(__xludf.DUMMYFUNCTION("""COMPUTED_VALUE"""),"A model of neurocognitive function in spina bifida over the life span")</f>
        <v>A model of neurocognitive function in spina bifida over the life span</v>
      </c>
      <c r="B170" s="5" t="str">
        <f>IFERROR(__xludf.DUMMYFUNCTION("LEFT(FILTER(IMPORTRANGE(""https://docs.google.com/spreadsheets/d/1BJSV3WBYJGRhQ6zExamkszQ5VutGIcaQqmbD9ZTVXMQ/edit#gid=1251630045"",""articles_with_PRISMA_reasons!K2:K2113""), $A170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$A170=IMPORTRANGE(""https://docs.google.com/spreadsheets/d/1BJSV3WBYJGRhQ6zExamkszQ5VutGIcaQqmbD9ZTVXMQ/edit#gid=1251630045"",""articles_with_PRISMA_reasons!B2:B2113"")))-1)"),"Dennis")</f>
        <v>Dennis</v>
      </c>
      <c r="C170" s="6">
        <f>IFERROR(__xludf.DUMMYFUNCTION("FILTER(IMPORTRANGE(""https://docs.google.com/spreadsheets/d/1BJSV3WBYJGRhQ6zExamkszQ5VutGIcaQqmbD9ZTVXMQ/edit#gid=1251630045"",""articles_with_PRISMA_reasons!C2:C2113""), $A170=IMPORTRANGE(""https://docs.google.com/spreadsheets/d/1BJSV3WBYJGRhQ6zExamkszQ5"&amp;"VutGIcaQqmbD9ZTVXMQ/edit#gid=1251630045"",""articles_with_PRISMA_reasons!B2:B2113""))"),2006.0)</f>
        <v>2006</v>
      </c>
      <c r="D170" s="5" t="str">
        <f>IFERROR(__xludf.DUMMYFUNCTION("IFS(AND(
FILTER(IMPORTRANGE(""https://docs.google.com/spreadsheets/d/1BJSV3WBYJGRhQ6zExamkszQ5VutGIcaQqmbD9ZTVXMQ/edit#gid=1251630045"",""articles_with_PRISMA_reasons!Y2:Y2113""), $A170=IMPORTRANGE(""https://docs.google.com/spreadsheets/d/1BJSV3WBYJGRhQ6z"&amp;"ExamkszQ5VutGIcaQqmbD9ZTVXMQ/edit#gid=1251630045"",""articles_with_PRISMA_reasons!B2:B2113""))&gt;=2,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$A170=IMPORTRANGE(""https://docs.google.com/spreadsheets/d/1BJSV3WBYJGRhQ6zExamkszQ5VutGIcaQqmbD9ZTVXMQ/edit#gid=1251630045"",""articles_with_PRISMA_reasons!B2:B2113""))&lt;2),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$A170=IMPORTRANGE(""https://docs.google.com/spreadsheets/d/1BJSV3WBYJGRhQ6zExamkszQ5VutGIcaQqmbD9ZTVXMQ/edit#gid=1251630045"",""arti"&amp;"cles_with_PRISMA_reasons!B2:B2113""))&lt;2,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$A170=IMPORTRANGE(""https://docs.google.com"&amp;"/spreadsheets/d/1BJSV3WBYJGRhQ6zExamkszQ5VutGIcaQqmbD9ZTVXMQ/edit#gid=1251630045"",""articles_with_PRISMA_reasons!B2:B2113""))&gt;=2),
""Exclude""
)"),"Exclude")</f>
        <v>Exclude</v>
      </c>
      <c r="E170" s="5" t="str">
        <f>IFERROR(__xludf.DUMMYFUNCTION("IFS(
D170=""Exclude"",""Exclude"",
AND(
FILTER(IMPORTRANGE(""https://docs.google.com/spreadsheets/d/1qpEmbGH0JjaJbUdp21-y2cPbobDbMjr09BbtdKROZWc/edit#gid=1444865654"",""articles_with_PRISMA_reasons!W2:W2113""), $A170=IMPORTRANGE(""https://docs.google.com/"&amp;"spreadsheets/d/1qpEmbGH0JjaJbUdp21-y2cPbobDbMjr09BbtdKROZWc/edit#gid=1444865654"",""articles_with_PRISMA_reasons!B2:B2113""))&gt;=2,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$A170=IMPORTRANGE(""https://docs.google.com/spreadsheets/d/1qpEmbGH0JjaJbUdp21-y2cPbobDbMjr09BbtdKROZWc/edit#gid=1444865654"",""articles_with_PRISMA_reasons!B2:B2113""))&lt;2),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$A170=IMPORTRANGE(""https://docs.google.com/spreadsheets/d/1qpEmbGH0JjaJbUdp21-y2cPbobDbMjr09BbtdKRO"&amp;"ZWc/edit#gid=1444865654"",""articles_with_PRISMA_reasons!B2:B2113""))&lt;2,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$A170=IMPOR"&amp;"TRANGE(""https://docs.google.com/spreadsheets/d/1qpEmbGH0JjaJbUdp21-y2cPbobDbMjr09BbtdKROZWc/edit#gid=1444865654"",""articles_with_PRISMA_reasons!B2:B2113""))&gt;=2),
""Exclude""
)"),"Exclude")</f>
        <v>Exclude</v>
      </c>
      <c r="F170" s="5" t="str">
        <f>IFERROR(__xludf.DUMMYFUNCTION("IFS(
E170=""Exclude"",""Exclude"",
AND(
COUNTIF(
IMPORTRANGE(""https://docs.google.com/spreadsheets/d/1kGrh75X1cNR1D7_FcY9zMnHP8iPO4M5RCRjy6nZY0TY/edit#gid=0"",""Table 1: Study characteristics!B4:B171""),A170)&gt;0,
COUNTIF(Studies!$A$2:$A$85,FILTER(IMPORTRA"&amp;"NGE(""https://docs.google.com/spreadsheets/d/1kGrh75X1cNR1D7_FcY9zMnHP8iPO4M5RCRjy6nZY0TY/edit#gid=0"",""Table 1: Study characteristics!A4:A171""), $A170=IMPORTRANGE(""https://docs.google.com/spreadsheets/d/1kGrh75X1cNR1D7_FcY9zMnHP8iPO4M5RCRjy6nZY0TY/edi"&amp;"t#gid=0"",""Table 1: Study characteristics!B4:B171"")))&gt;0
),
""Include""
)"),"Exclude")</f>
        <v>Exclude</v>
      </c>
      <c r="G170" s="5" t="str">
        <f>IFERROR(__xludf.DUMMYFUNCTION("IFS(
D170=""Exclude"",
FILTER(IMPORTRANGE(""https://docs.google.com/spreadsheets/d/1BJSV3WBYJGRhQ6zExamkszQ5VutGIcaQqmbD9ZTVXMQ/edit#gid=1251630045"",""articles_with_PRISMA_reasons!AB2:AB2113""), $A170=IMPORTRANGE(""https://docs.google.com/spreadsheets/d/"&amp;"1BJSV3WBYJGRhQ6zExamkszQ5VutGIcaQqmbD9ZTVXMQ/edit#gid=1251630045"",""articles_with_PRISMA_reasons!B2:B2113"")),
E170=""Exclude"",
FILTER(IMPORTRANGE(""https://docs.google.com/spreadsheets/d/1qpEmbGH0JjaJbUdp21-y2cPbobDbMjr09BbtdKROZWc/edit#gid=1444865654"&amp;""",""articles_with_PRISMA_reasons!Z2:Z2113""), $A170=IMPORTRANGE(""https://docs.google.com/spreadsheets/d/1qpEmbGH0JjaJbUdp21-y2cPbobDbMjr09BbtdKROZWc/edit#gid=1444865654"",""articles_with_PRISMA_reasons!B2:B2113"")),F170
=""Include"",FILTER(IMPORTRANGE("&amp;"""https://docs.google.com/spreadsheets/d/1kGrh75X1cNR1D7_FcY9zMnHP8iPO4M5RCRjy6nZY0TY/edit#gid=0"",""Table 1: Study characteristics!A4:A171""), $A170=IMPORTRANGE(""https://docs.google.com/spreadsheets/d/1kGrh75X1cNR1D7_FcY9zMnHP8iPO4M5RCRjy6nZY0TY/edit#gi"&amp;"d=0"",""Table 1: Study characteristics!B4:B171""))
)"),"duplicate")</f>
        <v>duplicate</v>
      </c>
    </row>
    <row r="171">
      <c r="A171" s="4" t="str">
        <f>IFERROR(__xludf.DUMMYFUNCTION("""COMPUTED_VALUE"""),"A multicenter prospective cohort study of the Strata valve for the management of hydrocephalus in pediatric patients")</f>
        <v>A multicenter prospective cohort study of the Strata valve for the management of hydrocephalus in pediatric patients</v>
      </c>
      <c r="B171" s="5" t="str">
        <f>IFERROR(__xludf.DUMMYFUNCTION("LEFT(FILTER(IMPORTRANGE(""https://docs.google.com/spreadsheets/d/1BJSV3WBYJGRhQ6zExamkszQ5VutGIcaQqmbD9ZTVXMQ/edit#gid=1251630045"",""articles_with_PRISMA_reasons!K2:K2113""), $A171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$A171=IMPORTRANGE(""https://docs.google.com/spreadsheets/d/1BJSV3WBYJGRhQ6zExamkszQ5VutGIcaQqmbD9ZTVXMQ/edit#gid=1251630045"",""articles_with_PRISMA_reasons!B2:B2113"")))-1)"),"Kestle")</f>
        <v>Kestle</v>
      </c>
      <c r="C171" s="6" t="str">
        <f>IFERROR(__xludf.DUMMYFUNCTION("FILTER(IMPORTRANGE(""https://docs.google.com/spreadsheets/d/1BJSV3WBYJGRhQ6zExamkszQ5VutGIcaQqmbD9ZTVXMQ/edit#gid=1251630045"",""articles_with_PRISMA_reasons!C2:C2113""), $A171=IMPORTRANGE(""https://docs.google.com/spreadsheets/d/1BJSV3WBYJGRhQ6zExamkszQ5"&amp;"VutGIcaQqmbD9ZTVXMQ/edit#gid=1251630045"",""articles_with_PRISMA_reasons!B2:B2113""))"),"Mar")</f>
        <v>Mar</v>
      </c>
      <c r="D171" s="5" t="str">
        <f>IFERROR(__xludf.DUMMYFUNCTION("IFS(AND(
FILTER(IMPORTRANGE(""https://docs.google.com/spreadsheets/d/1BJSV3WBYJGRhQ6zExamkszQ5VutGIcaQqmbD9ZTVXMQ/edit#gid=1251630045"",""articles_with_PRISMA_reasons!Y2:Y2113""), $A171=IMPORTRANGE(""https://docs.google.com/spreadsheets/d/1BJSV3WBYJGRhQ6z"&amp;"ExamkszQ5VutGIcaQqmbD9ZTVXMQ/edit#gid=1251630045"",""articles_with_PRISMA_reasons!B2:B2113""))&gt;=2,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$A171=IMPORTRANGE(""https://docs.google.com/spreadsheets/d/1BJSV3WBYJGRhQ6zExamkszQ5VutGIcaQqmbD9ZTVXMQ/edit#gid=1251630045"",""articles_with_PRISMA_reasons!B2:B2113""))&lt;2),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$A171=IMPORTRANGE(""https://docs.google.com/spreadsheets/d/1BJSV3WBYJGRhQ6zExamkszQ5VutGIcaQqmbD9ZTVXMQ/edit#gid=1251630045"",""arti"&amp;"cles_with_PRISMA_reasons!B2:B2113""))&lt;2,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$A171=IMPORTRANGE(""https://docs.google.com"&amp;"/spreadsheets/d/1BJSV3WBYJGRhQ6zExamkszQ5VutGIcaQqmbD9ZTVXMQ/edit#gid=1251630045"",""articles_with_PRISMA_reasons!B2:B2113""))&gt;=2),
""Exclude""
)"),"Include")</f>
        <v>Include</v>
      </c>
      <c r="E171" s="5" t="str">
        <f>IFERROR(__xludf.DUMMYFUNCTION("IFS(
D171=""Exclude"",""Exclude"",
AND(
FILTER(IMPORTRANGE(""https://docs.google.com/spreadsheets/d/1qpEmbGH0JjaJbUdp21-y2cPbobDbMjr09BbtdKROZWc/edit#gid=1444865654"",""articles_with_PRISMA_reasons!W2:W2113""), $A171=IMPORTRANGE(""https://docs.google.com/"&amp;"spreadsheets/d/1qpEmbGH0JjaJbUdp21-y2cPbobDbMjr09BbtdKROZWc/edit#gid=1444865654"",""articles_with_PRISMA_reasons!B2:B2113""))&gt;=2,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$A171=IMPORTRANGE(""https://docs.google.com/spreadsheets/d/1qpEmbGH0JjaJbUdp21-y2cPbobDbMjr09BbtdKROZWc/edit#gid=1444865654"",""articles_with_PRISMA_reasons!B2:B2113""))&lt;2),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$A171=IMPORTRANGE(""https://docs.google.com/spreadsheets/d/1qpEmbGH0JjaJbUdp21-y2cPbobDbMjr09BbtdKRO"&amp;"ZWc/edit#gid=1444865654"",""articles_with_PRISMA_reasons!B2:B2113""))&lt;2,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$A171=IMPOR"&amp;"TRANGE(""https://docs.google.com/spreadsheets/d/1qpEmbGH0JjaJbUdp21-y2cPbobDbMjr09BbtdKROZWc/edit#gid=1444865654"",""articles_with_PRISMA_reasons!B2:B2113""))&gt;=2),
""Exclude""
)"),"Exclude")</f>
        <v>Exclude</v>
      </c>
      <c r="F171" s="5" t="str">
        <f>IFERROR(__xludf.DUMMYFUNCTION("IFS(
E171=""Exclude"",""Exclude"",
AND(
COUNTIF(
IMPORTRANGE(""https://docs.google.com/spreadsheets/d/1kGrh75X1cNR1D7_FcY9zMnHP8iPO4M5RCRjy6nZY0TY/edit#gid=0"",""Table 1: Study characteristics!B4:B171""),A171)&gt;0,
COUNTIF(Studies!$A$2:$A$85,FILTER(IMPORTRA"&amp;"NGE(""https://docs.google.com/spreadsheets/d/1kGrh75X1cNR1D7_FcY9zMnHP8iPO4M5RCRjy6nZY0TY/edit#gid=0"",""Table 1: Study characteristics!A4:A171""), $A171=IMPORTRANGE(""https://docs.google.com/spreadsheets/d/1kGrh75X1cNR1D7_FcY9zMnHP8iPO4M5RCRjy6nZY0TY/edi"&amp;"t#gid=0"",""Table 1: Study characteristics!B4:B171"")))&gt;0
),
""Include""
)"),"Exclude")</f>
        <v>Exclude</v>
      </c>
      <c r="G171" s="5" t="str">
        <f>IFERROR(__xludf.DUMMYFUNCTION("IFS(
D171=""Exclude"",
FILTER(IMPORTRANGE(""https://docs.google.com/spreadsheets/d/1BJSV3WBYJGRhQ6zExamkszQ5VutGIcaQqmbD9ZTVXMQ/edit#gid=1251630045"",""articles_with_PRISMA_reasons!AB2:AB2113""), $A171=IMPORTRANGE(""https://docs.google.com/spreadsheets/d/"&amp;"1BJSV3WBYJGRhQ6zExamkszQ5VutGIcaQqmbD9ZTVXMQ/edit#gid=1251630045"",""articles_with_PRISMA_reasons!B2:B2113"")),
E171=""Exclude"",
FILTER(IMPORTRANGE(""https://docs.google.com/spreadsheets/d/1qpEmbGH0JjaJbUdp21-y2cPbobDbMjr09BbtdKROZWc/edit#gid=1444865654"&amp;""",""articles_with_PRISMA_reasons!Z2:Z2113""), $A171=IMPORTRANGE(""https://docs.google.com/spreadsheets/d/1qpEmbGH0JjaJbUdp21-y2cPbobDbMjr09BbtdKROZWc/edit#gid=1444865654"",""articles_with_PRISMA_reasons!B2:B2113"")),F171
=""Include"",FILTER(IMPORTRANGE("&amp;"""https://docs.google.com/spreadsheets/d/1kGrh75X1cNR1D7_FcY9zMnHP8iPO4M5RCRjy6nZY0TY/edit#gid=0"",""Table 1: Study characteristics!A4:A171""), $A171=IMPORTRANGE(""https://docs.google.com/spreadsheets/d/1kGrh75X1cNR1D7_FcY9zMnHP8iPO4M5RCRjy6nZY0TY/edit#gi"&amp;"d=0"",""Table 1: Study characteristics!B4:B171""))
)"),"wrong population")</f>
        <v>wrong population</v>
      </c>
    </row>
    <row r="172">
      <c r="A172" s="4" t="str">
        <f>IFERROR(__xludf.DUMMYFUNCTION("""COMPUTED_VALUE"""),"A multicenter retrospective study of heterogeneous tissue aggregates obstructing ventricular catheters explanted from patients with hydrocephalus")</f>
        <v>A multicenter retrospective study of heterogeneous tissue aggregates obstructing ventricular catheters explanted from patients with hydrocephalus</v>
      </c>
      <c r="B172" s="5" t="str">
        <f>IFERROR(__xludf.DUMMYFUNCTION("LEFT(FILTER(IMPORTRANGE(""https://docs.google.com/spreadsheets/d/1BJSV3WBYJGRhQ6zExamkszQ5VutGIcaQqmbD9ZTVXMQ/edit#gid=1251630045"",""articles_with_PRISMA_reasons!K2:K2113""), $A172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$A172=IMPORTRANGE(""https://docs.google.com/spreadsheets/d/1BJSV3WBYJGRhQ6zExamkszQ5VutGIcaQqmbD9ZTVXMQ/edit#gid=1251630045"",""articles_with_PRISMA_reasons!B2:B2113"")))-1)"),"Hariharan")</f>
        <v>Hariharan</v>
      </c>
      <c r="C172" s="6">
        <f>IFERROR(__xludf.DUMMYFUNCTION("FILTER(IMPORTRANGE(""https://docs.google.com/spreadsheets/d/1BJSV3WBYJGRhQ6zExamkszQ5VutGIcaQqmbD9ZTVXMQ/edit#gid=1251630045"",""articles_with_PRISMA_reasons!C2:C2113""), $A172=IMPORTRANGE(""https://docs.google.com/spreadsheets/d/1BJSV3WBYJGRhQ6zExamkszQ5"&amp;"VutGIcaQqmbD9ZTVXMQ/edit#gid=1251630045"",""articles_with_PRISMA_reasons!B2:B2113""))"),2021.0)</f>
        <v>2021</v>
      </c>
      <c r="D172" s="5" t="str">
        <f>IFERROR(__xludf.DUMMYFUNCTION("IFS(AND(
FILTER(IMPORTRANGE(""https://docs.google.com/spreadsheets/d/1BJSV3WBYJGRhQ6zExamkszQ5VutGIcaQqmbD9ZTVXMQ/edit#gid=1251630045"",""articles_with_PRISMA_reasons!Y2:Y2113""), $A172=IMPORTRANGE(""https://docs.google.com/spreadsheets/d/1BJSV3WBYJGRhQ6z"&amp;"ExamkszQ5VutGIcaQqmbD9ZTVXMQ/edit#gid=1251630045"",""articles_with_PRISMA_reasons!B2:B2113""))&gt;=2,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$A172=IMPORTRANGE(""https://docs.google.com/spreadsheets/d/1BJSV3WBYJGRhQ6zExamkszQ5VutGIcaQqmbD9ZTVXMQ/edit#gid=1251630045"",""articles_with_PRISMA_reasons!B2:B2113""))&lt;2),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$A172=IMPORTRANGE(""https://docs.google.com/spreadsheets/d/1BJSV3WBYJGRhQ6zExamkszQ5VutGIcaQqmbD9ZTVXMQ/edit#gid=1251630045"",""arti"&amp;"cles_with_PRISMA_reasons!B2:B2113""))&lt;2,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$A172=IMPORTRANGE(""https://docs.google.com"&amp;"/spreadsheets/d/1BJSV3WBYJGRhQ6zExamkszQ5VutGIcaQqmbD9ZTVXMQ/edit#gid=1251630045"",""articles_with_PRISMA_reasons!B2:B2113""))&gt;=2),
""Exclude""
)"),"Include")</f>
        <v>Include</v>
      </c>
      <c r="E172" s="5" t="str">
        <f>IFERROR(__xludf.DUMMYFUNCTION("IFS(
D172=""Exclude"",""Exclude"",
AND(
FILTER(IMPORTRANGE(""https://docs.google.com/spreadsheets/d/1qpEmbGH0JjaJbUdp21-y2cPbobDbMjr09BbtdKROZWc/edit#gid=1444865654"",""articles_with_PRISMA_reasons!W2:W2113""), $A172=IMPORTRANGE(""https://docs.google.com/"&amp;"spreadsheets/d/1qpEmbGH0JjaJbUdp21-y2cPbobDbMjr09BbtdKROZWc/edit#gid=1444865654"",""articles_with_PRISMA_reasons!B2:B2113""))&gt;=2,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$A172=IMPORTRANGE(""https://docs.google.com/spreadsheets/d/1qpEmbGH0JjaJbUdp21-y2cPbobDbMjr09BbtdKROZWc/edit#gid=1444865654"",""articles_with_PRISMA_reasons!B2:B2113""))&lt;2),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$A172=IMPORTRANGE(""https://docs.google.com/spreadsheets/d/1qpEmbGH0JjaJbUdp21-y2cPbobDbMjr09BbtdKRO"&amp;"ZWc/edit#gid=1444865654"",""articles_with_PRISMA_reasons!B2:B2113""))&lt;2,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$A172=IMPOR"&amp;"TRANGE(""https://docs.google.com/spreadsheets/d/1qpEmbGH0JjaJbUdp21-y2cPbobDbMjr09BbtdKROZWc/edit#gid=1444865654"",""articles_with_PRISMA_reasons!B2:B2113""))&gt;=2),
""Exclude""
)"),"Exclude")</f>
        <v>Exclude</v>
      </c>
      <c r="F172" s="5" t="str">
        <f>IFERROR(__xludf.DUMMYFUNCTION("IFS(
E172=""Exclude"",""Exclude"",
AND(
COUNTIF(
IMPORTRANGE(""https://docs.google.com/spreadsheets/d/1kGrh75X1cNR1D7_FcY9zMnHP8iPO4M5RCRjy6nZY0TY/edit#gid=0"",""Table 1: Study characteristics!B4:B171""),A172)&gt;0,
COUNTIF(Studies!$A$2:$A$85,FILTER(IMPORTRA"&amp;"NGE(""https://docs.google.com/spreadsheets/d/1kGrh75X1cNR1D7_FcY9zMnHP8iPO4M5RCRjy6nZY0TY/edit#gid=0"",""Table 1: Study characteristics!A4:A171""), $A172=IMPORTRANGE(""https://docs.google.com/spreadsheets/d/1kGrh75X1cNR1D7_FcY9zMnHP8iPO4M5RCRjy6nZY0TY/edi"&amp;"t#gid=0"",""Table 1: Study characteristics!B4:B171"")))&gt;0
),
""Include""
)"),"Exclude")</f>
        <v>Exclude</v>
      </c>
      <c r="G172" s="5" t="str">
        <f>IFERROR(__xludf.DUMMYFUNCTION("IFS(
D172=""Exclude"",
FILTER(IMPORTRANGE(""https://docs.google.com/spreadsheets/d/1BJSV3WBYJGRhQ6zExamkszQ5VutGIcaQqmbD9ZTVXMQ/edit#gid=1251630045"",""articles_with_PRISMA_reasons!AB2:AB2113""), $A172=IMPORTRANGE(""https://docs.google.com/spreadsheets/d/"&amp;"1BJSV3WBYJGRhQ6zExamkszQ5VutGIcaQqmbD9ZTVXMQ/edit#gid=1251630045"",""articles_with_PRISMA_reasons!B2:B2113"")),
E172=""Exclude"",
FILTER(IMPORTRANGE(""https://docs.google.com/spreadsheets/d/1qpEmbGH0JjaJbUdp21-y2cPbobDbMjr09BbtdKROZWc/edit#gid=1444865654"&amp;""",""articles_with_PRISMA_reasons!Z2:Z2113""), $A172=IMPORTRANGE(""https://docs.google.com/spreadsheets/d/1qpEmbGH0JjaJbUdp21-y2cPbobDbMjr09BbtdKROZWc/edit#gid=1444865654"",""articles_with_PRISMA_reasons!B2:B2113"")),F172
=""Include"",FILTER(IMPORTRANGE("&amp;"""https://docs.google.com/spreadsheets/d/1kGrh75X1cNR1D7_FcY9zMnHP8iPO4M5RCRjy6nZY0TY/edit#gid=0"",""Table 1: Study characteristics!A4:A171""), $A172=IMPORTRANGE(""https://docs.google.com/spreadsheets/d/1kGrh75X1cNR1D7_FcY9zMnHP8iPO4M5RCRjy6nZY0TY/edit#gi"&amp;"d=0"",""Table 1: Study characteristics!B4:B171""))
)"),"wrong population")</f>
        <v>wrong population</v>
      </c>
    </row>
    <row r="173">
      <c r="A173" s="4" t="str">
        <f>IFERROR(__xludf.DUMMYFUNCTION("""COMPUTED_VALUE"""),"A neonate with a meningomyelocele complicated by aeromonas caviae ventriculoperitoneal shunt infection")</f>
        <v>A neonate with a meningomyelocele complicated by aeromonas caviae ventriculoperitoneal shunt infection</v>
      </c>
      <c r="B173" s="5" t="str">
        <f>IFERROR(__xludf.DUMMYFUNCTION("LEFT(FILTER(IMPORTRANGE(""https://docs.google.com/spreadsheets/d/1BJSV3WBYJGRhQ6zExamkszQ5VutGIcaQqmbD9ZTVXMQ/edit#gid=1251630045"",""articles_with_PRISMA_reasons!K2:K2113""), $A173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$A173=IMPORTRANGE(""https://docs.google.com/spreadsheets/d/1BJSV3WBYJGRhQ6zExamkszQ5VutGIcaQqmbD9ZTVXMQ/edit#gid=1251630045"",""articles_with_PRISMA_reasons!B2:B2113"")))-1)"),"Den Butter")</f>
        <v>Den Butter</v>
      </c>
      <c r="C173" s="6">
        <f>IFERROR(__xludf.DUMMYFUNCTION("FILTER(IMPORTRANGE(""https://docs.google.com/spreadsheets/d/1BJSV3WBYJGRhQ6zExamkszQ5VutGIcaQqmbD9ZTVXMQ/edit#gid=1251630045"",""articles_with_PRISMA_reasons!C2:C2113""), $A173=IMPORTRANGE(""https://docs.google.com/spreadsheets/d/1BJSV3WBYJGRhQ6zExamkszQ5"&amp;"VutGIcaQqmbD9ZTVXMQ/edit#gid=1251630045"",""articles_with_PRISMA_reasons!B2:B2113""))"),2013.0)</f>
        <v>2013</v>
      </c>
      <c r="D173" s="5" t="str">
        <f>IFERROR(__xludf.DUMMYFUNCTION("IFS(AND(
FILTER(IMPORTRANGE(""https://docs.google.com/spreadsheets/d/1BJSV3WBYJGRhQ6zExamkszQ5VutGIcaQqmbD9ZTVXMQ/edit#gid=1251630045"",""articles_with_PRISMA_reasons!Y2:Y2113""), $A173=IMPORTRANGE(""https://docs.google.com/spreadsheets/d/1BJSV3WBYJGRhQ6z"&amp;"ExamkszQ5VutGIcaQqmbD9ZTVXMQ/edit#gid=1251630045"",""articles_with_PRISMA_reasons!B2:B2113""))&gt;=2,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$A173=IMPORTRANGE(""https://docs.google.com/spreadsheets/d/1BJSV3WBYJGRhQ6zExamkszQ5VutGIcaQqmbD9ZTVXMQ/edit#gid=1251630045"",""articles_with_PRISMA_reasons!B2:B2113""))&lt;2),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$A173=IMPORTRANGE(""https://docs.google.com/spreadsheets/d/1BJSV3WBYJGRhQ6zExamkszQ5VutGIcaQqmbD9ZTVXMQ/edit#gid=1251630045"",""arti"&amp;"cles_with_PRISMA_reasons!B2:B2113""))&lt;2,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$A173=IMPORTRANGE(""https://docs.google.com"&amp;"/spreadsheets/d/1BJSV3WBYJGRhQ6zExamkszQ5VutGIcaQqmbD9ZTVXMQ/edit#gid=1251630045"",""articles_with_PRISMA_reasons!B2:B2113""))&gt;=2),
""Exclude""
)"),"Exclude")</f>
        <v>Exclude</v>
      </c>
      <c r="E173" s="5" t="str">
        <f>IFERROR(__xludf.DUMMYFUNCTION("IFS(
D173=""Exclude"",""Exclude"",
AND(
FILTER(IMPORTRANGE(""https://docs.google.com/spreadsheets/d/1qpEmbGH0JjaJbUdp21-y2cPbobDbMjr09BbtdKROZWc/edit#gid=1444865654"",""articles_with_PRISMA_reasons!W2:W2113""), $A173=IMPORTRANGE(""https://docs.google.com/"&amp;"spreadsheets/d/1qpEmbGH0JjaJbUdp21-y2cPbobDbMjr09BbtdKROZWc/edit#gid=1444865654"",""articles_with_PRISMA_reasons!B2:B2113""))&gt;=2,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$A173=IMPORTRANGE(""https://docs.google.com/spreadsheets/d/1qpEmbGH0JjaJbUdp21-y2cPbobDbMjr09BbtdKROZWc/edit#gid=1444865654"",""articles_with_PRISMA_reasons!B2:B2113""))&lt;2),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$A173=IMPORTRANGE(""https://docs.google.com/spreadsheets/d/1qpEmbGH0JjaJbUdp21-y2cPbobDbMjr09BbtdKRO"&amp;"ZWc/edit#gid=1444865654"",""articles_with_PRISMA_reasons!B2:B2113""))&lt;2,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$A173=IMPOR"&amp;"TRANGE(""https://docs.google.com/spreadsheets/d/1qpEmbGH0JjaJbUdp21-y2cPbobDbMjr09BbtdKROZWc/edit#gid=1444865654"",""articles_with_PRISMA_reasons!B2:B2113""))&gt;=2),
""Exclude""
)"),"Exclude")</f>
        <v>Exclude</v>
      </c>
      <c r="F173" s="5" t="str">
        <f>IFERROR(__xludf.DUMMYFUNCTION("IFS(
E173=""Exclude"",""Exclude"",
AND(
COUNTIF(
IMPORTRANGE(""https://docs.google.com/spreadsheets/d/1kGrh75X1cNR1D7_FcY9zMnHP8iPO4M5RCRjy6nZY0TY/edit#gid=0"",""Table 1: Study characteristics!B4:B171""),A173)&gt;0,
COUNTIF(Studies!$A$2:$A$85,FILTER(IMPORTRA"&amp;"NGE(""https://docs.google.com/spreadsheets/d/1kGrh75X1cNR1D7_FcY9zMnHP8iPO4M5RCRjy6nZY0TY/edit#gid=0"",""Table 1: Study characteristics!A4:A171""), $A173=IMPORTRANGE(""https://docs.google.com/spreadsheets/d/1kGrh75X1cNR1D7_FcY9zMnHP8iPO4M5RCRjy6nZY0TY/edi"&amp;"t#gid=0"",""Table 1: Study characteristics!B4:B171"")))&gt;0
),
""Include""
)"),"Exclude")</f>
        <v>Exclude</v>
      </c>
      <c r="G173" s="5" t="str">
        <f>IFERROR(__xludf.DUMMYFUNCTION("IFS(
D173=""Exclude"",
FILTER(IMPORTRANGE(""https://docs.google.com/spreadsheets/d/1BJSV3WBYJGRhQ6zExamkszQ5VutGIcaQqmbD9ZTVXMQ/edit#gid=1251630045"",""articles_with_PRISMA_reasons!AB2:AB2113""), $A173=IMPORTRANGE(""https://docs.google.com/spreadsheets/d/"&amp;"1BJSV3WBYJGRhQ6zExamkszQ5VutGIcaQqmbD9ZTVXMQ/edit#gid=1251630045"",""articles_with_PRISMA_reasons!B2:B2113"")),
E173=""Exclude"",
FILTER(IMPORTRANGE(""https://docs.google.com/spreadsheets/d/1qpEmbGH0JjaJbUdp21-y2cPbobDbMjr09BbtdKROZWc/edit#gid=1444865654"&amp;""",""articles_with_PRISMA_reasons!Z2:Z2113""), $A173=IMPORTRANGE(""https://docs.google.com/spreadsheets/d/1qpEmbGH0JjaJbUdp21-y2cPbobDbMjr09BbtdKROZWc/edit#gid=1444865654"",""articles_with_PRISMA_reasons!B2:B2113"")),F173
=""Include"",FILTER(IMPORTRANGE("&amp;"""https://docs.google.com/spreadsheets/d/1kGrh75X1cNR1D7_FcY9zMnHP8iPO4M5RCRjy6nZY0TY/edit#gid=0"",""Table 1: Study characteristics!A4:A171""), $A173=IMPORTRANGE(""https://docs.google.com/spreadsheets/d/1kGrh75X1cNR1D7_FcY9zMnHP8iPO4M5RCRjy6nZY0TY/edit#gi"&amp;"d=0"",""Table 1: Study characteristics!B4:B171""))
)"),"wrong study design")</f>
        <v>wrong study design</v>
      </c>
    </row>
    <row r="174">
      <c r="A174" s="4" t="str">
        <f>IFERROR(__xludf.DUMMYFUNCTION("""COMPUTED_VALUE"""),"A new approach in the repair of a myelomeningocele using amnion and a sensate perforator flap")</f>
        <v>A new approach in the repair of a myelomeningocele using amnion and a sensate perforator flap</v>
      </c>
      <c r="B174" s="5" t="str">
        <f>IFERROR(__xludf.DUMMYFUNCTION("LEFT(FILTER(IMPORTRANGE(""https://docs.google.com/spreadsheets/d/1BJSV3WBYJGRhQ6zExamkszQ5VutGIcaQqmbD9ZTVXMQ/edit#gid=1251630045"",""articles_with_PRISMA_reasons!K2:K2113""), $A174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$A174=IMPORTRANGE(""https://docs.google.com/spreadsheets/d/1BJSV3WBYJGRhQ6zExamkszQ5VutGIcaQqmbD9ZTVXMQ/edit#gid=1251630045"",""articles_with_PRISMA_reasons!B2:B2113"")))-1)"),"De Weerd")</f>
        <v>De Weerd</v>
      </c>
      <c r="C174" s="6">
        <f>IFERROR(__xludf.DUMMYFUNCTION("FILTER(IMPORTRANGE(""https://docs.google.com/spreadsheets/d/1BJSV3WBYJGRhQ6zExamkszQ5VutGIcaQqmbD9ZTVXMQ/edit#gid=1251630045"",""articles_with_PRISMA_reasons!C2:C2113""), $A174=IMPORTRANGE(""https://docs.google.com/spreadsheets/d/1BJSV3WBYJGRhQ6zExamkszQ5"&amp;"VutGIcaQqmbD9ZTVXMQ/edit#gid=1251630045"",""articles_with_PRISMA_reasons!B2:B2113""))"),2013.0)</f>
        <v>2013</v>
      </c>
      <c r="D174" s="5" t="str">
        <f>IFERROR(__xludf.DUMMYFUNCTION("IFS(AND(
FILTER(IMPORTRANGE(""https://docs.google.com/spreadsheets/d/1BJSV3WBYJGRhQ6zExamkszQ5VutGIcaQqmbD9ZTVXMQ/edit#gid=1251630045"",""articles_with_PRISMA_reasons!Y2:Y2113""), $A174=IMPORTRANGE(""https://docs.google.com/spreadsheets/d/1BJSV3WBYJGRhQ6z"&amp;"ExamkszQ5VutGIcaQqmbD9ZTVXMQ/edit#gid=1251630045"",""articles_with_PRISMA_reasons!B2:B2113""))&gt;=2,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$A174=IMPORTRANGE(""https://docs.google.com/spreadsheets/d/1BJSV3WBYJGRhQ6zExamkszQ5VutGIcaQqmbD9ZTVXMQ/edit#gid=1251630045"",""articles_with_PRISMA_reasons!B2:B2113""))&lt;2),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$A174=IMPORTRANGE(""https://docs.google.com/spreadsheets/d/1BJSV3WBYJGRhQ6zExamkszQ5VutGIcaQqmbD9ZTVXMQ/edit#gid=1251630045"",""arti"&amp;"cles_with_PRISMA_reasons!B2:B2113""))&lt;2,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$A174=IMPORTRANGE(""https://docs.google.com"&amp;"/spreadsheets/d/1BJSV3WBYJGRhQ6zExamkszQ5VutGIcaQqmbD9ZTVXMQ/edit#gid=1251630045"",""articles_with_PRISMA_reasons!B2:B2113""))&gt;=2),
""Exclude""
)"),"Exclude")</f>
        <v>Exclude</v>
      </c>
      <c r="E174" s="5" t="str">
        <f>IFERROR(__xludf.DUMMYFUNCTION("IFS(
D174=""Exclude"",""Exclude"",
AND(
FILTER(IMPORTRANGE(""https://docs.google.com/spreadsheets/d/1qpEmbGH0JjaJbUdp21-y2cPbobDbMjr09BbtdKROZWc/edit#gid=1444865654"",""articles_with_PRISMA_reasons!W2:W2113""), $A174=IMPORTRANGE(""https://docs.google.com/"&amp;"spreadsheets/d/1qpEmbGH0JjaJbUdp21-y2cPbobDbMjr09BbtdKROZWc/edit#gid=1444865654"",""articles_with_PRISMA_reasons!B2:B2113""))&gt;=2,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$A174=IMPORTRANGE(""https://docs.google.com/spreadsheets/d/1qpEmbGH0JjaJbUdp21-y2cPbobDbMjr09BbtdKROZWc/edit#gid=1444865654"",""articles_with_PRISMA_reasons!B2:B2113""))&lt;2),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$A174=IMPORTRANGE(""https://docs.google.com/spreadsheets/d/1qpEmbGH0JjaJbUdp21-y2cPbobDbMjr09BbtdKRO"&amp;"ZWc/edit#gid=1444865654"",""articles_with_PRISMA_reasons!B2:B2113""))&lt;2,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$A174=IMPOR"&amp;"TRANGE(""https://docs.google.com/spreadsheets/d/1qpEmbGH0JjaJbUdp21-y2cPbobDbMjr09BbtdKROZWc/edit#gid=1444865654"",""articles_with_PRISMA_reasons!B2:B2113""))&gt;=2),
""Exclude""
)"),"Exclude")</f>
        <v>Exclude</v>
      </c>
      <c r="F174" s="5" t="str">
        <f>IFERROR(__xludf.DUMMYFUNCTION("IFS(
E174=""Exclude"",""Exclude"",
AND(
COUNTIF(
IMPORTRANGE(""https://docs.google.com/spreadsheets/d/1kGrh75X1cNR1D7_FcY9zMnHP8iPO4M5RCRjy6nZY0TY/edit#gid=0"",""Table 1: Study characteristics!B4:B171""),A174)&gt;0,
COUNTIF(Studies!$A$2:$A$85,FILTER(IMPORTRA"&amp;"NGE(""https://docs.google.com/spreadsheets/d/1kGrh75X1cNR1D7_FcY9zMnHP8iPO4M5RCRjy6nZY0TY/edit#gid=0"",""Table 1: Study characteristics!A4:A171""), $A174=IMPORTRANGE(""https://docs.google.com/spreadsheets/d/1kGrh75X1cNR1D7_FcY9zMnHP8iPO4M5RCRjy6nZY0TY/edi"&amp;"t#gid=0"",""Table 1: Study characteristics!B4:B171"")))&gt;0
),
""Include""
)"),"Exclude")</f>
        <v>Exclude</v>
      </c>
      <c r="G174" s="5" t="str">
        <f>IFERROR(__xludf.DUMMYFUNCTION("IFS(
D174=""Exclude"",
FILTER(IMPORTRANGE(""https://docs.google.com/spreadsheets/d/1BJSV3WBYJGRhQ6zExamkszQ5VutGIcaQqmbD9ZTVXMQ/edit#gid=1251630045"",""articles_with_PRISMA_reasons!AB2:AB2113""), $A174=IMPORTRANGE(""https://docs.google.com/spreadsheets/d/"&amp;"1BJSV3WBYJGRhQ6zExamkszQ5VutGIcaQqmbD9ZTVXMQ/edit#gid=1251630045"",""articles_with_PRISMA_reasons!B2:B2113"")),
E174=""Exclude"",
FILTER(IMPORTRANGE(""https://docs.google.com/spreadsheets/d/1qpEmbGH0JjaJbUdp21-y2cPbobDbMjr09BbtdKROZWc/edit#gid=1444865654"&amp;""",""articles_with_PRISMA_reasons!Z2:Z2113""), $A174=IMPORTRANGE(""https://docs.google.com/spreadsheets/d/1qpEmbGH0JjaJbUdp21-y2cPbobDbMjr09BbtdKROZWc/edit#gid=1444865654"",""articles_with_PRISMA_reasons!B2:B2113"")),F174
=""Include"",FILTER(IMPORTRANGE("&amp;"""https://docs.google.com/spreadsheets/d/1kGrh75X1cNR1D7_FcY9zMnHP8iPO4M5RCRjy6nZY0TY/edit#gid=0"",""Table 1: Study characteristics!A4:A171""), $A174=IMPORTRANGE(""https://docs.google.com/spreadsheets/d/1kGrh75X1cNR1D7_FcY9zMnHP8iPO4M5RCRjy6nZY0TY/edit#gi"&amp;"d=0"",""Table 1: Study characteristics!B4:B171""))
)"),"wrong study design")</f>
        <v>wrong study design</v>
      </c>
    </row>
    <row r="175">
      <c r="A175" s="4" t="str">
        <f>IFERROR(__xludf.DUMMYFUNCTION("""COMPUTED_VALUE"""),"A new form of herniation: The Chiari V malformation")</f>
        <v>A new form of herniation: The Chiari V malformation</v>
      </c>
      <c r="B175" s="5" t="str">
        <f>IFERROR(__xludf.DUMMYFUNCTION("LEFT(FILTER(IMPORTRANGE(""https://docs.google.com/spreadsheets/d/1BJSV3WBYJGRhQ6zExamkszQ5VutGIcaQqmbD9ZTVXMQ/edit#gid=1251630045"",""articles_with_PRISMA_reasons!K2:K2113""), $A175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$A175=IMPORTRANGE(""https://docs.google.com/spreadsheets/d/1BJSV3WBYJGRhQ6zExamkszQ5VutGIcaQqmbD9ZTVXMQ/edit#gid=1251630045"",""articles_with_PRISMA_reasons!B2:B2113"")))-1)"),"Tubbs")</f>
        <v>Tubbs</v>
      </c>
      <c r="C175" s="6">
        <f>IFERROR(__xludf.DUMMYFUNCTION("FILTER(IMPORTRANGE(""https://docs.google.com/spreadsheets/d/1BJSV3WBYJGRhQ6zExamkszQ5VutGIcaQqmbD9ZTVXMQ/edit#gid=1251630045"",""articles_with_PRISMA_reasons!C2:C2113""), $A175=IMPORTRANGE(""https://docs.google.com/spreadsheets/d/1BJSV3WBYJGRhQ6zExamkszQ5"&amp;"VutGIcaQqmbD9ZTVXMQ/edit#gid=1251630045"",""articles_with_PRISMA_reasons!B2:B2113""))"),2012.0)</f>
        <v>2012</v>
      </c>
      <c r="D175" s="5" t="str">
        <f>IFERROR(__xludf.DUMMYFUNCTION("IFS(AND(
FILTER(IMPORTRANGE(""https://docs.google.com/spreadsheets/d/1BJSV3WBYJGRhQ6zExamkszQ5VutGIcaQqmbD9ZTVXMQ/edit#gid=1251630045"",""articles_with_PRISMA_reasons!Y2:Y2113""), $A175=IMPORTRANGE(""https://docs.google.com/spreadsheets/d/1BJSV3WBYJGRhQ6z"&amp;"ExamkszQ5VutGIcaQqmbD9ZTVXMQ/edit#gid=1251630045"",""articles_with_PRISMA_reasons!B2:B2113""))&gt;=2,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$A175=IMPORTRANGE(""https://docs.google.com/spreadsheets/d/1BJSV3WBYJGRhQ6zExamkszQ5VutGIcaQqmbD9ZTVXMQ/edit#gid=1251630045"",""articles_with_PRISMA_reasons!B2:B2113""))&lt;2),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$A175=IMPORTRANGE(""https://docs.google.com/spreadsheets/d/1BJSV3WBYJGRhQ6zExamkszQ5VutGIcaQqmbD9ZTVXMQ/edit#gid=1251630045"",""arti"&amp;"cles_with_PRISMA_reasons!B2:B2113""))&lt;2,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$A175=IMPORTRANGE(""https://docs.google.com"&amp;"/spreadsheets/d/1BJSV3WBYJGRhQ6zExamkszQ5VutGIcaQqmbD9ZTVXMQ/edit#gid=1251630045"",""articles_with_PRISMA_reasons!B2:B2113""))&gt;=2),
""Exclude""
)"),"Exclude")</f>
        <v>Exclude</v>
      </c>
      <c r="E175" s="5" t="str">
        <f>IFERROR(__xludf.DUMMYFUNCTION("IFS(
D175=""Exclude"",""Exclude"",
AND(
FILTER(IMPORTRANGE(""https://docs.google.com/spreadsheets/d/1qpEmbGH0JjaJbUdp21-y2cPbobDbMjr09BbtdKROZWc/edit#gid=1444865654"",""articles_with_PRISMA_reasons!W2:W2113""), $A175=IMPORTRANGE(""https://docs.google.com/"&amp;"spreadsheets/d/1qpEmbGH0JjaJbUdp21-y2cPbobDbMjr09BbtdKROZWc/edit#gid=1444865654"",""articles_with_PRISMA_reasons!B2:B2113""))&gt;=2,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$A175=IMPORTRANGE(""https://docs.google.com/spreadsheets/d/1qpEmbGH0JjaJbUdp21-y2cPbobDbMjr09BbtdKROZWc/edit#gid=1444865654"",""articles_with_PRISMA_reasons!B2:B2113""))&lt;2),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$A175=IMPORTRANGE(""https://docs.google.com/spreadsheets/d/1qpEmbGH0JjaJbUdp21-y2cPbobDbMjr09BbtdKRO"&amp;"ZWc/edit#gid=1444865654"",""articles_with_PRISMA_reasons!B2:B2113""))&lt;2,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$A175=IMPOR"&amp;"TRANGE(""https://docs.google.com/spreadsheets/d/1qpEmbGH0JjaJbUdp21-y2cPbobDbMjr09BbtdKROZWc/edit#gid=1444865654"",""articles_with_PRISMA_reasons!B2:B2113""))&gt;=2),
""Exclude""
)"),"Exclude")</f>
        <v>Exclude</v>
      </c>
      <c r="F175" s="5" t="str">
        <f>IFERROR(__xludf.DUMMYFUNCTION("IFS(
E175=""Exclude"",""Exclude"",
AND(
COUNTIF(
IMPORTRANGE(""https://docs.google.com/spreadsheets/d/1kGrh75X1cNR1D7_FcY9zMnHP8iPO4M5RCRjy6nZY0TY/edit#gid=0"",""Table 1: Study characteristics!B4:B171""),A175)&gt;0,
COUNTIF(Studies!$A$2:$A$85,FILTER(IMPORTRA"&amp;"NGE(""https://docs.google.com/spreadsheets/d/1kGrh75X1cNR1D7_FcY9zMnHP8iPO4M5RCRjy6nZY0TY/edit#gid=0"",""Table 1: Study characteristics!A4:A171""), $A175=IMPORTRANGE(""https://docs.google.com/spreadsheets/d/1kGrh75X1cNR1D7_FcY9zMnHP8iPO4M5RCRjy6nZY0TY/edi"&amp;"t#gid=0"",""Table 1: Study characteristics!B4:B171"")))&gt;0
),
""Include""
)"),"Exclude")</f>
        <v>Exclude</v>
      </c>
      <c r="G175" s="5" t="str">
        <f>IFERROR(__xludf.DUMMYFUNCTION("IFS(
D175=""Exclude"",
FILTER(IMPORTRANGE(""https://docs.google.com/spreadsheets/d/1BJSV3WBYJGRhQ6zExamkszQ5VutGIcaQqmbD9ZTVXMQ/edit#gid=1251630045"",""articles_with_PRISMA_reasons!AB2:AB2113""), $A175=IMPORTRANGE(""https://docs.google.com/spreadsheets/d/"&amp;"1BJSV3WBYJGRhQ6zExamkszQ5VutGIcaQqmbD9ZTVXMQ/edit#gid=1251630045"",""articles_with_PRISMA_reasons!B2:B2113"")),
E175=""Exclude"",
FILTER(IMPORTRANGE(""https://docs.google.com/spreadsheets/d/1qpEmbGH0JjaJbUdp21-y2cPbobDbMjr09BbtdKROZWc/edit#gid=1444865654"&amp;""",""articles_with_PRISMA_reasons!Z2:Z2113""), $A175=IMPORTRANGE(""https://docs.google.com/spreadsheets/d/1qpEmbGH0JjaJbUdp21-y2cPbobDbMjr09BbtdKROZWc/edit#gid=1444865654"",""articles_with_PRISMA_reasons!B2:B2113"")),F175
=""Include"",FILTER(IMPORTRANGE("&amp;"""https://docs.google.com/spreadsheets/d/1kGrh75X1cNR1D7_FcY9zMnHP8iPO4M5RCRjy6nZY0TY/edit#gid=0"",""Table 1: Study characteristics!A4:A171""), $A175=IMPORTRANGE(""https://docs.google.com/spreadsheets/d/1kGrh75X1cNR1D7_FcY9zMnHP8iPO4M5RCRjy6nZY0TY/edit#gi"&amp;"d=0"",""Table 1: Study characteristics!B4:B171""))
)"),"background article")</f>
        <v>background article</v>
      </c>
    </row>
    <row r="176">
      <c r="A176" s="4" t="str">
        <f>IFERROR(__xludf.DUMMYFUNCTION("""COMPUTED_VALUE"""),"A new look at meningomyeloceles")</f>
        <v>A new look at meningomyeloceles</v>
      </c>
      <c r="B176" s="5" t="str">
        <f>IFERROR(__xludf.DUMMYFUNCTION("LEFT(FILTER(IMPORTRANGE(""https://docs.google.com/spreadsheets/d/1BJSV3WBYJGRhQ6zExamkszQ5VutGIcaQqmbD9ZTVXMQ/edit#gid=1251630045"",""articles_with_PRISMA_reasons!K2:K2113""), $A176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$A176=IMPORTRANGE(""https://docs.google.com/spreadsheets/d/1BJSV3WBYJGRhQ6zExamkszQ5VutGIcaQqmbD9ZTVXMQ/edit#gid=1251630045"",""articles_with_PRISMA_reasons!B2:B2113"")))-1)"),"Worley")</f>
        <v>Worley</v>
      </c>
      <c r="C176" s="6">
        <f>IFERROR(__xludf.DUMMYFUNCTION("FILTER(IMPORTRANGE(""https://docs.google.com/spreadsheets/d/1BJSV3WBYJGRhQ6zExamkszQ5VutGIcaQqmbD9ZTVXMQ/edit#gid=1251630045"",""articles_with_PRISMA_reasons!C2:C2113""), $A176=IMPORTRANGE(""https://docs.google.com/spreadsheets/d/1BJSV3WBYJGRhQ6zExamkszQ5"&amp;"VutGIcaQqmbD9ZTVXMQ/edit#gid=1251630045"",""articles_with_PRISMA_reasons!B2:B2113""))"),2003.0)</f>
        <v>2003</v>
      </c>
      <c r="D176" s="5" t="str">
        <f>IFERROR(__xludf.DUMMYFUNCTION("IFS(AND(
FILTER(IMPORTRANGE(""https://docs.google.com/spreadsheets/d/1BJSV3WBYJGRhQ6zExamkszQ5VutGIcaQqmbD9ZTVXMQ/edit#gid=1251630045"",""articles_with_PRISMA_reasons!Y2:Y2113""), $A176=IMPORTRANGE(""https://docs.google.com/spreadsheets/d/1BJSV3WBYJGRhQ6z"&amp;"ExamkszQ5VutGIcaQqmbD9ZTVXMQ/edit#gid=1251630045"",""articles_with_PRISMA_reasons!B2:B2113""))&gt;=2,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$A176=IMPORTRANGE(""https://docs.google.com/spreadsheets/d/1BJSV3WBYJGRhQ6zExamkszQ5VutGIcaQqmbD9ZTVXMQ/edit#gid=1251630045"",""articles_with_PRISMA_reasons!B2:B2113""))&lt;2),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$A176=IMPORTRANGE(""https://docs.google.com/spreadsheets/d/1BJSV3WBYJGRhQ6zExamkszQ5VutGIcaQqmbD9ZTVXMQ/edit#gid=1251630045"",""arti"&amp;"cles_with_PRISMA_reasons!B2:B2113""))&lt;2,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$A176=IMPORTRANGE(""https://docs.google.com"&amp;"/spreadsheets/d/1BJSV3WBYJGRhQ6zExamkszQ5VutGIcaQqmbD9ZTVXMQ/edit#gid=1251630045"",""articles_with_PRISMA_reasons!B2:B2113""))&gt;=2),
""Exclude""
)"),"Exclude")</f>
        <v>Exclude</v>
      </c>
      <c r="E176" s="5" t="str">
        <f>IFERROR(__xludf.DUMMYFUNCTION("IFS(
D176=""Exclude"",""Exclude"",
AND(
FILTER(IMPORTRANGE(""https://docs.google.com/spreadsheets/d/1qpEmbGH0JjaJbUdp21-y2cPbobDbMjr09BbtdKROZWc/edit#gid=1444865654"",""articles_with_PRISMA_reasons!W2:W2113""), $A176=IMPORTRANGE(""https://docs.google.com/"&amp;"spreadsheets/d/1qpEmbGH0JjaJbUdp21-y2cPbobDbMjr09BbtdKROZWc/edit#gid=1444865654"",""articles_with_PRISMA_reasons!B2:B2113""))&gt;=2,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$A176=IMPORTRANGE(""https://docs.google.com/spreadsheets/d/1qpEmbGH0JjaJbUdp21-y2cPbobDbMjr09BbtdKROZWc/edit#gid=1444865654"",""articles_with_PRISMA_reasons!B2:B2113""))&lt;2),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$A176=IMPORTRANGE(""https://docs.google.com/spreadsheets/d/1qpEmbGH0JjaJbUdp21-y2cPbobDbMjr09BbtdKRO"&amp;"ZWc/edit#gid=1444865654"",""articles_with_PRISMA_reasons!B2:B2113""))&lt;2,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$A176=IMPOR"&amp;"TRANGE(""https://docs.google.com/spreadsheets/d/1qpEmbGH0JjaJbUdp21-y2cPbobDbMjr09BbtdKROZWc/edit#gid=1444865654"",""articles_with_PRISMA_reasons!B2:B2113""))&gt;=2),
""Exclude""
)"),"Exclude")</f>
        <v>Exclude</v>
      </c>
      <c r="F176" s="5" t="str">
        <f>IFERROR(__xludf.DUMMYFUNCTION("IFS(
E176=""Exclude"",""Exclude"",
AND(
COUNTIF(
IMPORTRANGE(""https://docs.google.com/spreadsheets/d/1kGrh75X1cNR1D7_FcY9zMnHP8iPO4M5RCRjy6nZY0TY/edit#gid=0"",""Table 1: Study characteristics!B4:B171""),A176)&gt;0,
COUNTIF(Studies!$A$2:$A$85,FILTER(IMPORTRA"&amp;"NGE(""https://docs.google.com/spreadsheets/d/1kGrh75X1cNR1D7_FcY9zMnHP8iPO4M5RCRjy6nZY0TY/edit#gid=0"",""Table 1: Study characteristics!A4:A171""), $A176=IMPORTRANGE(""https://docs.google.com/spreadsheets/d/1kGrh75X1cNR1D7_FcY9zMnHP8iPO4M5RCRjy6nZY0TY/edi"&amp;"t#gid=0"",""Table 1: Study characteristics!B4:B171"")))&gt;0
),
""Include""
)"),"Exclude")</f>
        <v>Exclude</v>
      </c>
      <c r="G176" s="5" t="str">
        <f>IFERROR(__xludf.DUMMYFUNCTION("IFS(
D176=""Exclude"",
FILTER(IMPORTRANGE(""https://docs.google.com/spreadsheets/d/1BJSV3WBYJGRhQ6zExamkszQ5VutGIcaQqmbD9ZTVXMQ/edit#gid=1251630045"",""articles_with_PRISMA_reasons!AB2:AB2113""), $A176=IMPORTRANGE(""https://docs.google.com/spreadsheets/d/"&amp;"1BJSV3WBYJGRhQ6zExamkszQ5VutGIcaQqmbD9ZTVXMQ/edit#gid=1251630045"",""articles_with_PRISMA_reasons!B2:B2113"")),
E176=""Exclude"",
FILTER(IMPORTRANGE(""https://docs.google.com/spreadsheets/d/1qpEmbGH0JjaJbUdp21-y2cPbobDbMjr09BbtdKROZWc/edit#gid=1444865654"&amp;""",""articles_with_PRISMA_reasons!Z2:Z2113""), $A176=IMPORTRANGE(""https://docs.google.com/spreadsheets/d/1qpEmbGH0JjaJbUdp21-y2cPbobDbMjr09BbtdKROZWc/edit#gid=1444865654"",""articles_with_PRISMA_reasons!B2:B2113"")),F176
=""Include"",FILTER(IMPORTRANGE("&amp;"""https://docs.google.com/spreadsheets/d/1kGrh75X1cNR1D7_FcY9zMnHP8iPO4M5RCRjy6nZY0TY/edit#gid=0"",""Table 1: Study characteristics!A4:A171""), $A176=IMPORTRANGE(""https://docs.google.com/spreadsheets/d/1kGrh75X1cNR1D7_FcY9zMnHP8iPO4M5RCRjy6nZY0TY/edit#gi"&amp;"d=0"",""Table 1: Study characteristics!B4:B171""))
)"),"background article")</f>
        <v>background article</v>
      </c>
    </row>
    <row r="177">
      <c r="A177" s="4" t="str">
        <f>IFERROR(__xludf.DUMMYFUNCTION("""COMPUTED_VALUE"""),"A new look at myelomeningoceles: Functional level, vertebral level, shunting, and the implications for fetal intervention")</f>
        <v>A new look at myelomeningoceles: Functional level, vertebral level, shunting, and the implications for fetal intervention</v>
      </c>
      <c r="B177" s="5" t="str">
        <f>IFERROR(__xludf.DUMMYFUNCTION("LEFT(FILTER(IMPORTRANGE(""https://docs.google.com/spreadsheets/d/1BJSV3WBYJGRhQ6zExamkszQ5VutGIcaQqmbD9ZTVXMQ/edit#gid=1251630045"",""articles_with_PRISMA_reasons!K2:K2113""), $A177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$A177=IMPORTRANGE(""https://docs.google.com/spreadsheets/d/1BJSV3WBYJGRhQ6zExamkszQ5VutGIcaQqmbD9ZTVXMQ/edit#gid=1251630045"",""articles_with_PRISMA_reasons!B2:B2113"")))-1)"),"Rintoul")</f>
        <v>Rintoul</v>
      </c>
      <c r="C177" s="6">
        <f>IFERROR(__xludf.DUMMYFUNCTION("FILTER(IMPORTRANGE(""https://docs.google.com/spreadsheets/d/1BJSV3WBYJGRhQ6zExamkszQ5VutGIcaQqmbD9ZTVXMQ/edit#gid=1251630045"",""articles_with_PRISMA_reasons!C2:C2113""), $A177=IMPORTRANGE(""https://docs.google.com/spreadsheets/d/1BJSV3WBYJGRhQ6zExamkszQ5"&amp;"VutGIcaQqmbD9ZTVXMQ/edit#gid=1251630045"",""articles_with_PRISMA_reasons!B2:B2113""))"),2002.0)</f>
        <v>2002</v>
      </c>
      <c r="D177" s="5" t="str">
        <f>IFERROR(__xludf.DUMMYFUNCTION("IFS(AND(
FILTER(IMPORTRANGE(""https://docs.google.com/spreadsheets/d/1BJSV3WBYJGRhQ6zExamkszQ5VutGIcaQqmbD9ZTVXMQ/edit#gid=1251630045"",""articles_with_PRISMA_reasons!Y2:Y2113""), $A177=IMPORTRANGE(""https://docs.google.com/spreadsheets/d/1BJSV3WBYJGRhQ6z"&amp;"ExamkszQ5VutGIcaQqmbD9ZTVXMQ/edit#gid=1251630045"",""articles_with_PRISMA_reasons!B2:B2113""))&gt;=2,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$A177=IMPORTRANGE(""https://docs.google.com/spreadsheets/d/1BJSV3WBYJGRhQ6zExamkszQ5VutGIcaQqmbD9ZTVXMQ/edit#gid=1251630045"",""articles_with_PRISMA_reasons!B2:B2113""))&lt;2),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$A177=IMPORTRANGE(""https://docs.google.com/spreadsheets/d/1BJSV3WBYJGRhQ6zExamkszQ5VutGIcaQqmbD9ZTVXMQ/edit#gid=1251630045"",""arti"&amp;"cles_with_PRISMA_reasons!B2:B2113""))&lt;2,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$A177=IMPORTRANGE(""https://docs.google.com"&amp;"/spreadsheets/d/1BJSV3WBYJGRhQ6zExamkszQ5VutGIcaQqmbD9ZTVXMQ/edit#gid=1251630045"",""articles_with_PRISMA_reasons!B2:B2113""))&gt;=2),
""Exclude""
)"),"Exclude")</f>
        <v>Exclude</v>
      </c>
      <c r="E177" s="5" t="str">
        <f>IFERROR(__xludf.DUMMYFUNCTION("IFS(
D177=""Exclude"",""Exclude"",
AND(
FILTER(IMPORTRANGE(""https://docs.google.com/spreadsheets/d/1qpEmbGH0JjaJbUdp21-y2cPbobDbMjr09BbtdKROZWc/edit#gid=1444865654"",""articles_with_PRISMA_reasons!W2:W2113""), $A177=IMPORTRANGE(""https://docs.google.com/"&amp;"spreadsheets/d/1qpEmbGH0JjaJbUdp21-y2cPbobDbMjr09BbtdKROZWc/edit#gid=1444865654"",""articles_with_PRISMA_reasons!B2:B2113""))&gt;=2,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$A177=IMPORTRANGE(""https://docs.google.com/spreadsheets/d/1qpEmbGH0JjaJbUdp21-y2cPbobDbMjr09BbtdKROZWc/edit#gid=1444865654"",""articles_with_PRISMA_reasons!B2:B2113""))&lt;2),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$A177=IMPORTRANGE(""https://docs.google.com/spreadsheets/d/1qpEmbGH0JjaJbUdp21-y2cPbobDbMjr09BbtdKRO"&amp;"ZWc/edit#gid=1444865654"",""articles_with_PRISMA_reasons!B2:B2113""))&lt;2,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$A177=IMPOR"&amp;"TRANGE(""https://docs.google.com/spreadsheets/d/1qpEmbGH0JjaJbUdp21-y2cPbobDbMjr09BbtdKROZWc/edit#gid=1444865654"",""articles_with_PRISMA_reasons!B2:B2113""))&gt;=2),
""Exclude""
)"),"Exclude")</f>
        <v>Exclude</v>
      </c>
      <c r="F177" s="5" t="str">
        <f>IFERROR(__xludf.DUMMYFUNCTION("IFS(
E177=""Exclude"",""Exclude"",
AND(
COUNTIF(
IMPORTRANGE(""https://docs.google.com/spreadsheets/d/1kGrh75X1cNR1D7_FcY9zMnHP8iPO4M5RCRjy6nZY0TY/edit#gid=0"",""Table 1: Study characteristics!B4:B171""),A177)&gt;0,
COUNTIF(Studies!$A$2:$A$85,FILTER(IMPORTRA"&amp;"NGE(""https://docs.google.com/spreadsheets/d/1kGrh75X1cNR1D7_FcY9zMnHP8iPO4M5RCRjy6nZY0TY/edit#gid=0"",""Table 1: Study characteristics!A4:A171""), $A177=IMPORTRANGE(""https://docs.google.com/spreadsheets/d/1kGrh75X1cNR1D7_FcY9zMnHP8iPO4M5RCRjy6nZY0TY/edi"&amp;"t#gid=0"",""Table 1: Study characteristics!B4:B171"")))&gt;0
),
""Include""
)"),"Exclude")</f>
        <v>Exclude</v>
      </c>
      <c r="G177" s="5" t="str">
        <f>IFERROR(__xludf.DUMMYFUNCTION("IFS(
D177=""Exclude"",
FILTER(IMPORTRANGE(""https://docs.google.com/spreadsheets/d/1BJSV3WBYJGRhQ6zExamkszQ5VutGIcaQqmbD9ZTVXMQ/edit#gid=1251630045"",""articles_with_PRISMA_reasons!AB2:AB2113""), $A177=IMPORTRANGE(""https://docs.google.com/spreadsheets/d/"&amp;"1BJSV3WBYJGRhQ6zExamkszQ5VutGIcaQqmbD9ZTVXMQ/edit#gid=1251630045"",""articles_with_PRISMA_reasons!B2:B2113"")),
E177=""Exclude"",
FILTER(IMPORTRANGE(""https://docs.google.com/spreadsheets/d/1qpEmbGH0JjaJbUdp21-y2cPbobDbMjr09BbtdKROZWc/edit#gid=1444865654"&amp;""",""articles_with_PRISMA_reasons!Z2:Z2113""), $A177=IMPORTRANGE(""https://docs.google.com/spreadsheets/d/1qpEmbGH0JjaJbUdp21-y2cPbobDbMjr09BbtdKROZWc/edit#gid=1444865654"",""articles_with_PRISMA_reasons!B2:B2113"")),F177
=""Include"",FILTER(IMPORTRANGE("&amp;"""https://docs.google.com/spreadsheets/d/1kGrh75X1cNR1D7_FcY9zMnHP8iPO4M5RCRjy6nZY0TY/edit#gid=0"",""Table 1: Study characteristics!A4:A171""), $A177=IMPORTRANGE(""https://docs.google.com/spreadsheets/d/1kGrh75X1cNR1D7_FcY9zMnHP8iPO4M5RCRjy6nZY0TY/edit#gi"&amp;"d=0"",""Table 1: Study characteristics!B4:B171""))
)"),"background article")</f>
        <v>background article</v>
      </c>
    </row>
    <row r="178">
      <c r="A178" s="4" t="str">
        <f>IFERROR(__xludf.DUMMYFUNCTION("""COMPUTED_VALUE"""),"A new technique for closure of large meningomyelocele defects")</f>
        <v>A new technique for closure of large meningomyelocele defects</v>
      </c>
      <c r="B178" s="5" t="str">
        <f>IFERROR(__xludf.DUMMYFUNCTION("LEFT(FILTER(IMPORTRANGE(""https://docs.google.com/spreadsheets/d/1BJSV3WBYJGRhQ6zExamkszQ5VutGIcaQqmbD9ZTVXMQ/edit#gid=1251630045"",""articles_with_PRISMA_reasons!K2:K2113""), $A178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$A178=IMPORTRANGE(""https://docs.google.com/spreadsheets/d/1BJSV3WBYJGRhQ6zExamkszQ5VutGIcaQqmbD9ZTVXMQ/edit#gid=1251630045"",""articles_with_PRISMA_reasons!B2:B2113"")))-1)"),"Mutaf")</f>
        <v>Mutaf</v>
      </c>
      <c r="C178" s="6">
        <f>IFERROR(__xludf.DUMMYFUNCTION("FILTER(IMPORTRANGE(""https://docs.google.com/spreadsheets/d/1BJSV3WBYJGRhQ6zExamkszQ5VutGIcaQqmbD9ZTVXMQ/edit#gid=1251630045"",""articles_with_PRISMA_reasons!C2:C2113""), $A178=IMPORTRANGE(""https://docs.google.com/spreadsheets/d/1BJSV3WBYJGRhQ6zExamkszQ5"&amp;"VutGIcaQqmbD9ZTVXMQ/edit#gid=1251630045"",""articles_with_PRISMA_reasons!B2:B2113""))"),2007.0)</f>
        <v>2007</v>
      </c>
      <c r="D178" s="5" t="str">
        <f>IFERROR(__xludf.DUMMYFUNCTION("IFS(AND(
FILTER(IMPORTRANGE(""https://docs.google.com/spreadsheets/d/1BJSV3WBYJGRhQ6zExamkszQ5VutGIcaQqmbD9ZTVXMQ/edit#gid=1251630045"",""articles_with_PRISMA_reasons!Y2:Y2113""), $A178=IMPORTRANGE(""https://docs.google.com/spreadsheets/d/1BJSV3WBYJGRhQ6z"&amp;"ExamkszQ5VutGIcaQqmbD9ZTVXMQ/edit#gid=1251630045"",""articles_with_PRISMA_reasons!B2:B2113""))&gt;=2,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$A178=IMPORTRANGE(""https://docs.google.com/spreadsheets/d/1BJSV3WBYJGRhQ6zExamkszQ5VutGIcaQqmbD9ZTVXMQ/edit#gid=1251630045"",""articles_with_PRISMA_reasons!B2:B2113""))&lt;2),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$A178=IMPORTRANGE(""https://docs.google.com/spreadsheets/d/1BJSV3WBYJGRhQ6zExamkszQ5VutGIcaQqmbD9ZTVXMQ/edit#gid=1251630045"",""arti"&amp;"cles_with_PRISMA_reasons!B2:B2113""))&lt;2,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$A178=IMPORTRANGE(""https://docs.google.com"&amp;"/spreadsheets/d/1BJSV3WBYJGRhQ6zExamkszQ5VutGIcaQqmbD9ZTVXMQ/edit#gid=1251630045"",""articles_with_PRISMA_reasons!B2:B2113""))&gt;=2),
""Exclude""
)"),"Exclude")</f>
        <v>Exclude</v>
      </c>
      <c r="E178" s="5" t="str">
        <f>IFERROR(__xludf.DUMMYFUNCTION("IFS(
D178=""Exclude"",""Exclude"",
AND(
FILTER(IMPORTRANGE(""https://docs.google.com/spreadsheets/d/1qpEmbGH0JjaJbUdp21-y2cPbobDbMjr09BbtdKROZWc/edit#gid=1444865654"",""articles_with_PRISMA_reasons!W2:W2113""), $A178=IMPORTRANGE(""https://docs.google.com/"&amp;"spreadsheets/d/1qpEmbGH0JjaJbUdp21-y2cPbobDbMjr09BbtdKROZWc/edit#gid=1444865654"",""articles_with_PRISMA_reasons!B2:B2113""))&gt;=2,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$A178=IMPORTRANGE(""https://docs.google.com/spreadsheets/d/1qpEmbGH0JjaJbUdp21-y2cPbobDbMjr09BbtdKROZWc/edit#gid=1444865654"",""articles_with_PRISMA_reasons!B2:B2113""))&lt;2),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$A178=IMPORTRANGE(""https://docs.google.com/spreadsheets/d/1qpEmbGH0JjaJbUdp21-y2cPbobDbMjr09BbtdKRO"&amp;"ZWc/edit#gid=1444865654"",""articles_with_PRISMA_reasons!B2:B2113""))&lt;2,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$A178=IMPOR"&amp;"TRANGE(""https://docs.google.com/spreadsheets/d/1qpEmbGH0JjaJbUdp21-y2cPbobDbMjr09BbtdKROZWc/edit#gid=1444865654"",""articles_with_PRISMA_reasons!B2:B2113""))&gt;=2),
""Exclude""
)"),"Exclude")</f>
        <v>Exclude</v>
      </c>
      <c r="F178" s="5" t="str">
        <f>IFERROR(__xludf.DUMMYFUNCTION("IFS(
E178=""Exclude"",""Exclude"",
AND(
COUNTIF(
IMPORTRANGE(""https://docs.google.com/spreadsheets/d/1kGrh75X1cNR1D7_FcY9zMnHP8iPO4M5RCRjy6nZY0TY/edit#gid=0"",""Table 1: Study characteristics!B4:B171""),A178)&gt;0,
COUNTIF(Studies!$A$2:$A$85,FILTER(IMPORTRA"&amp;"NGE(""https://docs.google.com/spreadsheets/d/1kGrh75X1cNR1D7_FcY9zMnHP8iPO4M5RCRjy6nZY0TY/edit#gid=0"",""Table 1: Study characteristics!A4:A171""), $A178=IMPORTRANGE(""https://docs.google.com/spreadsheets/d/1kGrh75X1cNR1D7_FcY9zMnHP8iPO4M5RCRjy6nZY0TY/edi"&amp;"t#gid=0"",""Table 1: Study characteristics!B4:B171"")))&gt;0
),
""Include""
)"),"Exclude")</f>
        <v>Exclude</v>
      </c>
      <c r="G178" s="5" t="str">
        <f>IFERROR(__xludf.DUMMYFUNCTION("IFS(
D178=""Exclude"",
FILTER(IMPORTRANGE(""https://docs.google.com/spreadsheets/d/1BJSV3WBYJGRhQ6zExamkszQ5VutGIcaQqmbD9ZTVXMQ/edit#gid=1251630045"",""articles_with_PRISMA_reasons!AB2:AB2113""), $A178=IMPORTRANGE(""https://docs.google.com/spreadsheets/d/"&amp;"1BJSV3WBYJGRhQ6zExamkszQ5VutGIcaQqmbD9ZTVXMQ/edit#gid=1251630045"",""articles_with_PRISMA_reasons!B2:B2113"")),
E178=""Exclude"",
FILTER(IMPORTRANGE(""https://docs.google.com/spreadsheets/d/1qpEmbGH0JjaJbUdp21-y2cPbobDbMjr09BbtdKROZWc/edit#gid=1444865654"&amp;""",""articles_with_PRISMA_reasons!Z2:Z2113""), $A178=IMPORTRANGE(""https://docs.google.com/spreadsheets/d/1qpEmbGH0JjaJbUdp21-y2cPbobDbMjr09BbtdKROZWc/edit#gid=1444865654"",""articles_with_PRISMA_reasons!B2:B2113"")),F178
=""Include"",FILTER(IMPORTRANGE("&amp;"""https://docs.google.com/spreadsheets/d/1kGrh75X1cNR1D7_FcY9zMnHP8iPO4M5RCRjy6nZY0TY/edit#gid=0"",""Table 1: Study characteristics!A4:A171""), $A178=IMPORTRANGE(""https://docs.google.com/spreadsheets/d/1kGrh75X1cNR1D7_FcY9zMnHP8iPO4M5RCRjy6nZY0TY/edit#gi"&amp;"d=0"",""Table 1: Study characteristics!B4:B171""))
)"),"background article")</f>
        <v>background article</v>
      </c>
    </row>
    <row r="179">
      <c r="A179" s="4" t="str">
        <f>IFERROR(__xludf.DUMMYFUNCTION("""COMPUTED_VALUE"""),"A newborn with thoracic and lumbosacral meningocele without neurological deficit")</f>
        <v>A newborn with thoracic and lumbosacral meningocele without neurological deficit</v>
      </c>
      <c r="B179" s="5" t="str">
        <f>IFERROR(__xludf.DUMMYFUNCTION("LEFT(FILTER(IMPORTRANGE(""https://docs.google.com/spreadsheets/d/1BJSV3WBYJGRhQ6zExamkszQ5VutGIcaQqmbD9ZTVXMQ/edit#gid=1251630045"",""articles_with_PRISMA_reasons!K2:K2113""), $A179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$A179=IMPORTRANGE(""https://docs.google.com/spreadsheets/d/1BJSV3WBYJGRhQ6zExamkszQ5VutGIcaQqmbD9ZTVXMQ/edit#gid=1251630045"",""articles_with_PRISMA_reasons!B2:B2113"")))-1)"),"Aqrabqwi")</f>
        <v>Aqrabqwi</v>
      </c>
      <c r="C179" s="6">
        <f>IFERROR(__xludf.DUMMYFUNCTION("FILTER(IMPORTRANGE(""https://docs.google.com/spreadsheets/d/1BJSV3WBYJGRhQ6zExamkszQ5VutGIcaQqmbD9ZTVXMQ/edit#gid=1251630045"",""articles_with_PRISMA_reasons!C2:C2113""), $A179=IMPORTRANGE(""https://docs.google.com/spreadsheets/d/1BJSV3WBYJGRhQ6zExamkszQ5"&amp;"VutGIcaQqmbD9ZTVXMQ/edit#gid=1251630045"",""articles_with_PRISMA_reasons!B2:B2113""))"),2016.0)</f>
        <v>2016</v>
      </c>
      <c r="D179" s="5" t="str">
        <f>IFERROR(__xludf.DUMMYFUNCTION("IFS(AND(
FILTER(IMPORTRANGE(""https://docs.google.com/spreadsheets/d/1BJSV3WBYJGRhQ6zExamkszQ5VutGIcaQqmbD9ZTVXMQ/edit#gid=1251630045"",""articles_with_PRISMA_reasons!Y2:Y2113""), $A179=IMPORTRANGE(""https://docs.google.com/spreadsheets/d/1BJSV3WBYJGRhQ6z"&amp;"ExamkszQ5VutGIcaQqmbD9ZTVXMQ/edit#gid=1251630045"",""articles_with_PRISMA_reasons!B2:B2113""))&gt;=2,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$A179=IMPORTRANGE(""https://docs.google.com/spreadsheets/d/1BJSV3WBYJGRhQ6zExamkszQ5VutGIcaQqmbD9ZTVXMQ/edit#gid=1251630045"",""articles_with_PRISMA_reasons!B2:B2113""))&lt;2),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$A179=IMPORTRANGE(""https://docs.google.com/spreadsheets/d/1BJSV3WBYJGRhQ6zExamkszQ5VutGIcaQqmbD9ZTVXMQ/edit#gid=1251630045"",""arti"&amp;"cles_with_PRISMA_reasons!B2:B2113""))&lt;2,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$A179=IMPORTRANGE(""https://docs.google.com"&amp;"/spreadsheets/d/1BJSV3WBYJGRhQ6zExamkszQ5VutGIcaQqmbD9ZTVXMQ/edit#gid=1251630045"",""articles_with_PRISMA_reasons!B2:B2113""))&gt;=2),
""Exclude""
)"),"Exclude")</f>
        <v>Exclude</v>
      </c>
      <c r="E179" s="5" t="str">
        <f>IFERROR(__xludf.DUMMYFUNCTION("IFS(
D179=""Exclude"",""Exclude"",
AND(
FILTER(IMPORTRANGE(""https://docs.google.com/spreadsheets/d/1qpEmbGH0JjaJbUdp21-y2cPbobDbMjr09BbtdKROZWc/edit#gid=1444865654"",""articles_with_PRISMA_reasons!W2:W2113""), $A179=IMPORTRANGE(""https://docs.google.com/"&amp;"spreadsheets/d/1qpEmbGH0JjaJbUdp21-y2cPbobDbMjr09BbtdKROZWc/edit#gid=1444865654"",""articles_with_PRISMA_reasons!B2:B2113""))&gt;=2,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$A179=IMPORTRANGE(""https://docs.google.com/spreadsheets/d/1qpEmbGH0JjaJbUdp21-y2cPbobDbMjr09BbtdKROZWc/edit#gid=1444865654"",""articles_with_PRISMA_reasons!B2:B2113""))&lt;2),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$A179=IMPORTRANGE(""https://docs.google.com/spreadsheets/d/1qpEmbGH0JjaJbUdp21-y2cPbobDbMjr09BbtdKRO"&amp;"ZWc/edit#gid=1444865654"",""articles_with_PRISMA_reasons!B2:B2113""))&lt;2,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$A179=IMPOR"&amp;"TRANGE(""https://docs.google.com/spreadsheets/d/1qpEmbGH0JjaJbUdp21-y2cPbobDbMjr09BbtdKROZWc/edit#gid=1444865654"",""articles_with_PRISMA_reasons!B2:B2113""))&gt;=2),
""Exclude""
)"),"Exclude")</f>
        <v>Exclude</v>
      </c>
      <c r="F179" s="5" t="str">
        <f>IFERROR(__xludf.DUMMYFUNCTION("IFS(
E179=""Exclude"",""Exclude"",
AND(
COUNTIF(
IMPORTRANGE(""https://docs.google.com/spreadsheets/d/1kGrh75X1cNR1D7_FcY9zMnHP8iPO4M5RCRjy6nZY0TY/edit#gid=0"",""Table 1: Study characteristics!B4:B171""),A179)&gt;0,
COUNTIF(Studies!$A$2:$A$85,FILTER(IMPORTRA"&amp;"NGE(""https://docs.google.com/spreadsheets/d/1kGrh75X1cNR1D7_FcY9zMnHP8iPO4M5RCRjy6nZY0TY/edit#gid=0"",""Table 1: Study characteristics!A4:A171""), $A179=IMPORTRANGE(""https://docs.google.com/spreadsheets/d/1kGrh75X1cNR1D7_FcY9zMnHP8iPO4M5RCRjy6nZY0TY/edi"&amp;"t#gid=0"",""Table 1: Study characteristics!B4:B171"")))&gt;0
),
""Include""
)"),"Exclude")</f>
        <v>Exclude</v>
      </c>
      <c r="G179" s="5" t="str">
        <f>IFERROR(__xludf.DUMMYFUNCTION("IFS(
D179=""Exclude"",
FILTER(IMPORTRANGE(""https://docs.google.com/spreadsheets/d/1BJSV3WBYJGRhQ6zExamkszQ5VutGIcaQqmbD9ZTVXMQ/edit#gid=1251630045"",""articles_with_PRISMA_reasons!AB2:AB2113""), $A179=IMPORTRANGE(""https://docs.google.com/spreadsheets/d/"&amp;"1BJSV3WBYJGRhQ6zExamkszQ5VutGIcaQqmbD9ZTVXMQ/edit#gid=1251630045"",""articles_with_PRISMA_reasons!B2:B2113"")),
E179=""Exclude"",
FILTER(IMPORTRANGE(""https://docs.google.com/spreadsheets/d/1qpEmbGH0JjaJbUdp21-y2cPbobDbMjr09BbtdKROZWc/edit#gid=1444865654"&amp;""",""articles_with_PRISMA_reasons!Z2:Z2113""), $A179=IMPORTRANGE(""https://docs.google.com/spreadsheets/d/1qpEmbGH0JjaJbUdp21-y2cPbobDbMjr09BbtdKROZWc/edit#gid=1444865654"",""articles_with_PRISMA_reasons!B2:B2113"")),F179
=""Include"",FILTER(IMPORTRANGE("&amp;"""https://docs.google.com/spreadsheets/d/1kGrh75X1cNR1D7_FcY9zMnHP8iPO4M5RCRjy6nZY0TY/edit#gid=0"",""Table 1: Study characteristics!A4:A171""), $A179=IMPORTRANGE(""https://docs.google.com/spreadsheets/d/1kGrh75X1cNR1D7_FcY9zMnHP8iPO4M5RCRjy6nZY0TY/edit#gi"&amp;"d=0"",""Table 1: Study characteristics!B4:B171""))
)"),"wrong publication type")</f>
        <v>wrong publication type</v>
      </c>
    </row>
    <row r="180">
      <c r="A180" s="4" t="str">
        <f>IFERROR(__xludf.DUMMYFUNCTION("""COMPUTED_VALUE"""),"A pattern strabismus in myelomeningocele")</f>
        <v>A pattern strabismus in myelomeningocele</v>
      </c>
      <c r="B180" s="5" t="str">
        <f>IFERROR(__xludf.DUMMYFUNCTION("LEFT(FILTER(IMPORTRANGE(""https://docs.google.com/spreadsheets/d/1BJSV3WBYJGRhQ6zExamkszQ5VutGIcaQqmbD9ZTVXMQ/edit#gid=1251630045"",""articles_with_PRISMA_reasons!K2:K2113""), $A180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$A180=IMPORTRANGE(""https://docs.google.com/spreadsheets/d/1BJSV3WBYJGRhQ6zExamkszQ5VutGIcaQqmbD9ZTVXMQ/edit#gid=1251630045"",""articles_with_PRISMA_reasons!B2:B2113"")))-1)"),"Wheeler")</f>
        <v>Wheeler</v>
      </c>
      <c r="C180" s="6">
        <f>IFERROR(__xludf.DUMMYFUNCTION("FILTER(IMPORTRANGE(""https://docs.google.com/spreadsheets/d/1BJSV3WBYJGRhQ6zExamkszQ5VutGIcaQqmbD9ZTVXMQ/edit#gid=1251630045"",""articles_with_PRISMA_reasons!C2:C2113""), $A180=IMPORTRANGE(""https://docs.google.com/spreadsheets/d/1BJSV3WBYJGRhQ6zExamkszQ5"&amp;"VutGIcaQqmbD9ZTVXMQ/edit#gid=1251630045"",""articles_with_PRISMA_reasons!B2:B2113""))"),1982.0)</f>
        <v>1982</v>
      </c>
      <c r="D180" s="5" t="str">
        <f>IFERROR(__xludf.DUMMYFUNCTION("IFS(AND(
FILTER(IMPORTRANGE(""https://docs.google.com/spreadsheets/d/1BJSV3WBYJGRhQ6zExamkszQ5VutGIcaQqmbD9ZTVXMQ/edit#gid=1251630045"",""articles_with_PRISMA_reasons!Y2:Y2113""), $A180=IMPORTRANGE(""https://docs.google.com/spreadsheets/d/1BJSV3WBYJGRhQ6z"&amp;"ExamkszQ5VutGIcaQqmbD9ZTVXMQ/edit#gid=1251630045"",""articles_with_PRISMA_reasons!B2:B2113""))&gt;=2,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$A180=IMPORTRANGE(""https://docs.google.com/spreadsheets/d/1BJSV3WBYJGRhQ6zExamkszQ5VutGIcaQqmbD9ZTVXMQ/edit#gid=1251630045"",""articles_with_PRISMA_reasons!B2:B2113""))&lt;2),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$A180=IMPORTRANGE(""https://docs.google.com/spreadsheets/d/1BJSV3WBYJGRhQ6zExamkszQ5VutGIcaQqmbD9ZTVXMQ/edit#gid=1251630045"",""arti"&amp;"cles_with_PRISMA_reasons!B2:B2113""))&lt;2,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$A180=IMPORTRANGE(""https://docs.google.com"&amp;"/spreadsheets/d/1BJSV3WBYJGRhQ6zExamkszQ5VutGIcaQqmbD9ZTVXMQ/edit#gid=1251630045"",""articles_with_PRISMA_reasons!B2:B2113""))&gt;=2),
""Exclude""
)"),"Exclude")</f>
        <v>Exclude</v>
      </c>
      <c r="E180" s="5" t="str">
        <f>IFERROR(__xludf.DUMMYFUNCTION("IFS(
D180=""Exclude"",""Exclude"",
AND(
FILTER(IMPORTRANGE(""https://docs.google.com/spreadsheets/d/1qpEmbGH0JjaJbUdp21-y2cPbobDbMjr09BbtdKROZWc/edit#gid=1444865654"",""articles_with_PRISMA_reasons!W2:W2113""), $A180=IMPORTRANGE(""https://docs.google.com/"&amp;"spreadsheets/d/1qpEmbGH0JjaJbUdp21-y2cPbobDbMjr09BbtdKROZWc/edit#gid=1444865654"",""articles_with_PRISMA_reasons!B2:B2113""))&gt;=2,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$A180=IMPORTRANGE(""https://docs.google.com/spreadsheets/d/1qpEmbGH0JjaJbUdp21-y2cPbobDbMjr09BbtdKROZWc/edit#gid=1444865654"",""articles_with_PRISMA_reasons!B2:B2113""))&lt;2),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$A180=IMPORTRANGE(""https://docs.google.com/spreadsheets/d/1qpEmbGH0JjaJbUdp21-y2cPbobDbMjr09BbtdKRO"&amp;"ZWc/edit#gid=1444865654"",""articles_with_PRISMA_reasons!B2:B2113""))&lt;2,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$A180=IMPOR"&amp;"TRANGE(""https://docs.google.com/spreadsheets/d/1qpEmbGH0JjaJbUdp21-y2cPbobDbMjr09BbtdKROZWc/edit#gid=1444865654"",""articles_with_PRISMA_reasons!B2:B2113""))&gt;=2),
""Exclude""
)"),"Exclude")</f>
        <v>Exclude</v>
      </c>
      <c r="F180" s="5" t="str">
        <f>IFERROR(__xludf.DUMMYFUNCTION("IFS(
E180=""Exclude"",""Exclude"",
AND(
COUNTIF(
IMPORTRANGE(""https://docs.google.com/spreadsheets/d/1kGrh75X1cNR1D7_FcY9zMnHP8iPO4M5RCRjy6nZY0TY/edit#gid=0"",""Table 1: Study characteristics!B4:B171""),A180)&gt;0,
COUNTIF(Studies!$A$2:$A$85,FILTER(IMPORTRA"&amp;"NGE(""https://docs.google.com/spreadsheets/d/1kGrh75X1cNR1D7_FcY9zMnHP8iPO4M5RCRjy6nZY0TY/edit#gid=0"",""Table 1: Study characteristics!A4:A171""), $A180=IMPORTRANGE(""https://docs.google.com/spreadsheets/d/1kGrh75X1cNR1D7_FcY9zMnHP8iPO4M5RCRjy6nZY0TY/edi"&amp;"t#gid=0"",""Table 1: Study characteristics!B4:B171"")))&gt;0
),
""Include""
)"),"Exclude")</f>
        <v>Exclude</v>
      </c>
      <c r="G180" s="5" t="str">
        <f>IFERROR(__xludf.DUMMYFUNCTION("IFS(
D180=""Exclude"",
FILTER(IMPORTRANGE(""https://docs.google.com/spreadsheets/d/1BJSV3WBYJGRhQ6zExamkszQ5VutGIcaQqmbD9ZTVXMQ/edit#gid=1251630045"",""articles_with_PRISMA_reasons!AB2:AB2113""), $A180=IMPORTRANGE(""https://docs.google.com/spreadsheets/d/"&amp;"1BJSV3WBYJGRhQ6zExamkszQ5VutGIcaQqmbD9ZTVXMQ/edit#gid=1251630045"",""articles_with_PRISMA_reasons!B2:B2113"")),
E180=""Exclude"",
FILTER(IMPORTRANGE(""https://docs.google.com/spreadsheets/d/1qpEmbGH0JjaJbUdp21-y2cPbobDbMjr09BbtdKROZWc/edit#gid=1444865654"&amp;""",""articles_with_PRISMA_reasons!Z2:Z2113""), $A180=IMPORTRANGE(""https://docs.google.com/spreadsheets/d/1qpEmbGH0JjaJbUdp21-y2cPbobDbMjr09BbtdKROZWc/edit#gid=1444865654"",""articles_with_PRISMA_reasons!B2:B2113"")),F180
=""Include"",FILTER(IMPORTRANGE("&amp;"""https://docs.google.com/spreadsheets/d/1kGrh75X1cNR1D7_FcY9zMnHP8iPO4M5RCRjy6nZY0TY/edit#gid=0"",""Table 1: Study characteristics!A4:A171""), $A180=IMPORTRANGE(""https://docs.google.com/spreadsheets/d/1kGrh75X1cNR1D7_FcY9zMnHP8iPO4M5RCRjy6nZY0TY/edit#gi"&amp;"d=0"",""Table 1: Study characteristics!B4:B171""))
)"),"background article")</f>
        <v>background article</v>
      </c>
    </row>
    <row r="181">
      <c r="A181" s="4" t="str">
        <f>IFERROR(__xludf.DUMMYFUNCTION("""COMPUTED_VALUE"""),"A peritoneal marker for optimal timing of ventriculo-peritoneal shunt revision in early childhood")</f>
        <v>A peritoneal marker for optimal timing of ventriculo-peritoneal shunt revision in early childhood</v>
      </c>
      <c r="B181" s="5" t="str">
        <f>IFERROR(__xludf.DUMMYFUNCTION("LEFT(FILTER(IMPORTRANGE(""https://docs.google.com/spreadsheets/d/1BJSV3WBYJGRhQ6zExamkszQ5VutGIcaQqmbD9ZTVXMQ/edit#gid=1251630045"",""articles_with_PRISMA_reasons!K2:K2113""), $A181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$A181=IMPORTRANGE(""https://docs.google.com/spreadsheets/d/1BJSV3WBYJGRhQ6zExamkszQ5VutGIcaQqmbD9ZTVXMQ/edit#gid=1251630045"",""articles_with_PRISMA_reasons!B2:B2113"")))-1)"),"Ninomiya")</f>
        <v>Ninomiya</v>
      </c>
      <c r="C181" s="6">
        <f>IFERROR(__xludf.DUMMYFUNCTION("FILTER(IMPORTRANGE(""https://docs.google.com/spreadsheets/d/1BJSV3WBYJGRhQ6zExamkszQ5VutGIcaQqmbD9ZTVXMQ/edit#gid=1251630045"",""articles_with_PRISMA_reasons!C2:C2113""), $A181=IMPORTRANGE(""https://docs.google.com/spreadsheets/d/1BJSV3WBYJGRhQ6zExamkszQ5"&amp;"VutGIcaQqmbD9ZTVXMQ/edit#gid=1251630045"",""articles_with_PRISMA_reasons!B2:B2113""))"),1998.0)</f>
        <v>1998</v>
      </c>
      <c r="D181" s="5" t="str">
        <f>IFERROR(__xludf.DUMMYFUNCTION("IFS(AND(
FILTER(IMPORTRANGE(""https://docs.google.com/spreadsheets/d/1BJSV3WBYJGRhQ6zExamkszQ5VutGIcaQqmbD9ZTVXMQ/edit#gid=1251630045"",""articles_with_PRISMA_reasons!Y2:Y2113""), $A181=IMPORTRANGE(""https://docs.google.com/spreadsheets/d/1BJSV3WBYJGRhQ6z"&amp;"ExamkszQ5VutGIcaQqmbD9ZTVXMQ/edit#gid=1251630045"",""articles_with_PRISMA_reasons!B2:B2113""))&gt;=2,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$A181=IMPORTRANGE(""https://docs.google.com/spreadsheets/d/1BJSV3WBYJGRhQ6zExamkszQ5VutGIcaQqmbD9ZTVXMQ/edit#gid=1251630045"",""articles_with_PRISMA_reasons!B2:B2113""))&lt;2),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$A181=IMPORTRANGE(""https://docs.google.com/spreadsheets/d/1BJSV3WBYJGRhQ6zExamkszQ5VutGIcaQqmbD9ZTVXMQ/edit#gid=1251630045"",""arti"&amp;"cles_with_PRISMA_reasons!B2:B2113""))&lt;2,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$A181=IMPORTRANGE(""https://docs.google.com"&amp;"/spreadsheets/d/1BJSV3WBYJGRhQ6zExamkszQ5VutGIcaQqmbD9ZTVXMQ/edit#gid=1251630045"",""articles_with_PRISMA_reasons!B2:B2113""))&gt;=2),
""Exclude""
)"),"Exclude")</f>
        <v>Exclude</v>
      </c>
      <c r="E181" s="5" t="str">
        <f>IFERROR(__xludf.DUMMYFUNCTION("IFS(
D181=""Exclude"",""Exclude"",
AND(
FILTER(IMPORTRANGE(""https://docs.google.com/spreadsheets/d/1qpEmbGH0JjaJbUdp21-y2cPbobDbMjr09BbtdKROZWc/edit#gid=1444865654"",""articles_with_PRISMA_reasons!W2:W2113""), $A181=IMPORTRANGE(""https://docs.google.com/"&amp;"spreadsheets/d/1qpEmbGH0JjaJbUdp21-y2cPbobDbMjr09BbtdKROZWc/edit#gid=1444865654"",""articles_with_PRISMA_reasons!B2:B2113""))&gt;=2,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$A181=IMPORTRANGE(""https://docs.google.com/spreadsheets/d/1qpEmbGH0JjaJbUdp21-y2cPbobDbMjr09BbtdKROZWc/edit#gid=1444865654"",""articles_with_PRISMA_reasons!B2:B2113""))&lt;2),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$A181=IMPORTRANGE(""https://docs.google.com/spreadsheets/d/1qpEmbGH0JjaJbUdp21-y2cPbobDbMjr09BbtdKRO"&amp;"ZWc/edit#gid=1444865654"",""articles_with_PRISMA_reasons!B2:B2113""))&lt;2,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$A181=IMPOR"&amp;"TRANGE(""https://docs.google.com/spreadsheets/d/1qpEmbGH0JjaJbUdp21-y2cPbobDbMjr09BbtdKROZWc/edit#gid=1444865654"",""articles_with_PRISMA_reasons!B2:B2113""))&gt;=2),
""Exclude""
)"),"Exclude")</f>
        <v>Exclude</v>
      </c>
      <c r="F181" s="5" t="str">
        <f>IFERROR(__xludf.DUMMYFUNCTION("IFS(
E181=""Exclude"",""Exclude"",
AND(
COUNTIF(
IMPORTRANGE(""https://docs.google.com/spreadsheets/d/1kGrh75X1cNR1D7_FcY9zMnHP8iPO4M5RCRjy6nZY0TY/edit#gid=0"",""Table 1: Study characteristics!B4:B171""),A181)&gt;0,
COUNTIF(Studies!$A$2:$A$85,FILTER(IMPORTRA"&amp;"NGE(""https://docs.google.com/spreadsheets/d/1kGrh75X1cNR1D7_FcY9zMnHP8iPO4M5RCRjy6nZY0TY/edit#gid=0"",""Table 1: Study characteristics!A4:A171""), $A181=IMPORTRANGE(""https://docs.google.com/spreadsheets/d/1kGrh75X1cNR1D7_FcY9zMnHP8iPO4M5RCRjy6nZY0TY/edi"&amp;"t#gid=0"",""Table 1: Study characteristics!B4:B171"")))&gt;0
),
""Include""
)"),"Exclude")</f>
        <v>Exclude</v>
      </c>
      <c r="G181" s="5" t="str">
        <f>IFERROR(__xludf.DUMMYFUNCTION("IFS(
D181=""Exclude"",
FILTER(IMPORTRANGE(""https://docs.google.com/spreadsheets/d/1BJSV3WBYJGRhQ6zExamkszQ5VutGIcaQqmbD9ZTVXMQ/edit#gid=1251630045"",""articles_with_PRISMA_reasons!AB2:AB2113""), $A181=IMPORTRANGE(""https://docs.google.com/spreadsheets/d/"&amp;"1BJSV3WBYJGRhQ6zExamkszQ5VutGIcaQqmbD9ZTVXMQ/edit#gid=1251630045"",""articles_with_PRISMA_reasons!B2:B2113"")),
E181=""Exclude"",
FILTER(IMPORTRANGE(""https://docs.google.com/spreadsheets/d/1qpEmbGH0JjaJbUdp21-y2cPbobDbMjr09BbtdKROZWc/edit#gid=1444865654"&amp;""",""articles_with_PRISMA_reasons!Z2:Z2113""), $A181=IMPORTRANGE(""https://docs.google.com/spreadsheets/d/1qpEmbGH0JjaJbUdp21-y2cPbobDbMjr09BbtdKROZWc/edit#gid=1444865654"",""articles_with_PRISMA_reasons!B2:B2113"")),F181
=""Include"",FILTER(IMPORTRANGE("&amp;"""https://docs.google.com/spreadsheets/d/1kGrh75X1cNR1D7_FcY9zMnHP8iPO4M5RCRjy6nZY0TY/edit#gid=0"",""Table 1: Study characteristics!A4:A171""), $A181=IMPORTRANGE(""https://docs.google.com/spreadsheets/d/1kGrh75X1cNR1D7_FcY9zMnHP8iPO4M5RCRjy6nZY0TY/edit#gi"&amp;"d=0"",""Table 1: Study characteristics!B4:B171""))
)"),"wrong study design")</f>
        <v>wrong study design</v>
      </c>
    </row>
    <row r="182">
      <c r="A182" s="4" t="str">
        <f>IFERROR(__xludf.DUMMYFUNCTION("""COMPUTED_VALUE"""),"A perspective in the management of myelomeningocoele in the KwaZulu-Natal Province of South Africa")</f>
        <v>A perspective in the management of myelomeningocoele in the KwaZulu-Natal Province of South Africa</v>
      </c>
      <c r="B182" s="5" t="str">
        <f>IFERROR(__xludf.DUMMYFUNCTION("LEFT(FILTER(IMPORTRANGE(""https://docs.google.com/spreadsheets/d/1BJSV3WBYJGRhQ6zExamkszQ5VutGIcaQqmbD9ZTVXMQ/edit#gid=1251630045"",""articles_with_PRISMA_reasons!K2:K2113""), $A182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$A182=IMPORTRANGE(""https://docs.google.com/spreadsheets/d/1BJSV3WBYJGRhQ6zExamkszQ5VutGIcaQqmbD9ZTVXMQ/edit#gid=1251630045"",""articles_with_PRISMA_reasons!B2:B2113"")))-1)"),"Mnguni")</f>
        <v>Mnguni</v>
      </c>
      <c r="C182" s="6" t="str">
        <f>IFERROR(__xludf.DUMMYFUNCTION("FILTER(IMPORTRANGE(""https://docs.google.com/spreadsheets/d/1BJSV3WBYJGRhQ6zExamkszQ5VutGIcaQqmbD9ZTVXMQ/edit#gid=1251630045"",""articles_with_PRISMA_reasons!C2:C2113""), $A182=IMPORTRANGE(""https://docs.google.com/spreadsheets/d/1BJSV3WBYJGRhQ6zExamkszQ5"&amp;"VutGIcaQqmbD9ZTVXMQ/edit#gid=1251630045"",""articles_with_PRISMA_reasons!B2:B2113""))"),"Jul")</f>
        <v>Jul</v>
      </c>
      <c r="D182" s="5" t="str">
        <f>IFERROR(__xludf.DUMMYFUNCTION("IFS(AND(
FILTER(IMPORTRANGE(""https://docs.google.com/spreadsheets/d/1BJSV3WBYJGRhQ6zExamkszQ5VutGIcaQqmbD9ZTVXMQ/edit#gid=1251630045"",""articles_with_PRISMA_reasons!Y2:Y2113""), $A182=IMPORTRANGE(""https://docs.google.com/spreadsheets/d/1BJSV3WBYJGRhQ6z"&amp;"ExamkszQ5VutGIcaQqmbD9ZTVXMQ/edit#gid=1251630045"",""articles_with_PRISMA_reasons!B2:B2113""))&gt;=2,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$A182=IMPORTRANGE(""https://docs.google.com/spreadsheets/d/1BJSV3WBYJGRhQ6zExamkszQ5VutGIcaQqmbD9ZTVXMQ/edit#gid=1251630045"",""articles_with_PRISMA_reasons!B2:B2113""))&lt;2),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$A182=IMPORTRANGE(""https://docs.google.com/spreadsheets/d/1BJSV3WBYJGRhQ6zExamkszQ5VutGIcaQqmbD9ZTVXMQ/edit#gid=1251630045"",""arti"&amp;"cles_with_PRISMA_reasons!B2:B2113""))&lt;2,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$A182=IMPORTRANGE(""https://docs.google.com"&amp;"/spreadsheets/d/1BJSV3WBYJGRhQ6zExamkszQ5VutGIcaQqmbD9ZTVXMQ/edit#gid=1251630045"",""articles_with_PRISMA_reasons!B2:B2113""))&gt;=2),
""Exclude""
)"),"Include")</f>
        <v>Include</v>
      </c>
      <c r="E182" s="5" t="str">
        <f>IFERROR(__xludf.DUMMYFUNCTION("IFS(
D182=""Exclude"",""Exclude"",
AND(
FILTER(IMPORTRANGE(""https://docs.google.com/spreadsheets/d/1qpEmbGH0JjaJbUdp21-y2cPbobDbMjr09BbtdKROZWc/edit#gid=1444865654"",""articles_with_PRISMA_reasons!W2:W2113""), $A182=IMPORTRANGE(""https://docs.google.com/"&amp;"spreadsheets/d/1qpEmbGH0JjaJbUdp21-y2cPbobDbMjr09BbtdKROZWc/edit#gid=1444865654"",""articles_with_PRISMA_reasons!B2:B2113""))&gt;=2,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$A182=IMPORTRANGE(""https://docs.google.com/spreadsheets/d/1qpEmbGH0JjaJbUdp21-y2cPbobDbMjr09BbtdKROZWc/edit#gid=1444865654"",""articles_with_PRISMA_reasons!B2:B2113""))&lt;2),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$A182=IMPORTRANGE(""https://docs.google.com/spreadsheets/d/1qpEmbGH0JjaJbUdp21-y2cPbobDbMjr09BbtdKRO"&amp;"ZWc/edit#gid=1444865654"",""articles_with_PRISMA_reasons!B2:B2113""))&lt;2,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$A182=IMPOR"&amp;"TRANGE(""https://docs.google.com/spreadsheets/d/1qpEmbGH0JjaJbUdp21-y2cPbobDbMjr09BbtdKROZWc/edit#gid=1444865654"",""articles_with_PRISMA_reasons!B2:B2113""))&gt;=2),
""Exclude""
)"),"Exclude")</f>
        <v>Exclude</v>
      </c>
      <c r="F182" s="5" t="str">
        <f>IFERROR(__xludf.DUMMYFUNCTION("IFS(
E182=""Exclude"",""Exclude"",
AND(
COUNTIF(
IMPORTRANGE(""https://docs.google.com/spreadsheets/d/1kGrh75X1cNR1D7_FcY9zMnHP8iPO4M5RCRjy6nZY0TY/edit#gid=0"",""Table 1: Study characteristics!B4:B171""),A182)&gt;0,
COUNTIF(Studies!$A$2:$A$85,FILTER(IMPORTRA"&amp;"NGE(""https://docs.google.com/spreadsheets/d/1kGrh75X1cNR1D7_FcY9zMnHP8iPO4M5RCRjy6nZY0TY/edit#gid=0"",""Table 1: Study characteristics!A4:A171""), $A182=IMPORTRANGE(""https://docs.google.com/spreadsheets/d/1kGrh75X1cNR1D7_FcY9zMnHP8iPO4M5RCRjy6nZY0TY/edi"&amp;"t#gid=0"",""Table 1: Study characteristics!B4:B171"")))&gt;0
),
""Include""
)"),"Exclude")</f>
        <v>Exclude</v>
      </c>
      <c r="G182" s="5" t="str">
        <f>IFERROR(__xludf.DUMMYFUNCTION("IFS(
D182=""Exclude"",
FILTER(IMPORTRANGE(""https://docs.google.com/spreadsheets/d/1BJSV3WBYJGRhQ6zExamkszQ5VutGIcaQqmbD9ZTVXMQ/edit#gid=1251630045"",""articles_with_PRISMA_reasons!AB2:AB2113""), $A182=IMPORTRANGE(""https://docs.google.com/spreadsheets/d/"&amp;"1BJSV3WBYJGRhQ6zExamkszQ5VutGIcaQqmbD9ZTVXMQ/edit#gid=1251630045"",""articles_with_PRISMA_reasons!B2:B2113"")),
E182=""Exclude"",
FILTER(IMPORTRANGE(""https://docs.google.com/spreadsheets/d/1qpEmbGH0JjaJbUdp21-y2cPbobDbMjr09BbtdKROZWc/edit#gid=1444865654"&amp;""",""articles_with_PRISMA_reasons!Z2:Z2113""), $A182=IMPORTRANGE(""https://docs.google.com/spreadsheets/d/1qpEmbGH0JjaJbUdp21-y2cPbobDbMjr09BbtdKROZWc/edit#gid=1444865654"",""articles_with_PRISMA_reasons!B2:B2113"")),F182
=""Include"",FILTER(IMPORTRANGE("&amp;"""https://docs.google.com/spreadsheets/d/1kGrh75X1cNR1D7_FcY9zMnHP8iPO4M5RCRjy6nZY0TY/edit#gid=0"",""Table 1: Study characteristics!A4:A171""), $A182=IMPORTRANGE(""https://docs.google.com/spreadsheets/d/1kGrh75X1cNR1D7_FcY9zMnHP8iPO4M5RCRjy6nZY0TY/edit#gi"&amp;"d=0"",""Table 1: Study characteristics!B4:B171""))
)"),"wrong population")</f>
        <v>wrong population</v>
      </c>
    </row>
    <row r="183">
      <c r="A183" s="4" t="str">
        <f>IFERROR(__xludf.DUMMYFUNCTION("""COMPUTED_VALUE"""),"A quantitative assessment of CSF reabsorption in infants with meningomyelocele")</f>
        <v>A quantitative assessment of CSF reabsorption in infants with meningomyelocele</v>
      </c>
      <c r="B183" s="5" t="str">
        <f>IFERROR(__xludf.DUMMYFUNCTION("LEFT(FILTER(IMPORTRANGE(""https://docs.google.com/spreadsheets/d/1BJSV3WBYJGRhQ6zExamkszQ5VutGIcaQqmbD9ZTVXMQ/edit#gid=1251630045"",""articles_with_PRISMA_reasons!K2:K2113""), $A183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$A183=IMPORTRANGE(""https://docs.google.com/spreadsheets/d/1BJSV3WBYJGRhQ6zExamkszQ5VutGIcaQqmbD9ZTVXMQ/edit#gid=1251630045"",""articles_with_PRISMA_reasons!B2:B2113"")))-1)"),"Vries")</f>
        <v>Vries</v>
      </c>
      <c r="C183" s="6">
        <f>IFERROR(__xludf.DUMMYFUNCTION("FILTER(IMPORTRANGE(""https://docs.google.com/spreadsheets/d/1BJSV3WBYJGRhQ6zExamkszQ5VutGIcaQqmbD9ZTVXMQ/edit#gid=1251630045"",""articles_with_PRISMA_reasons!C2:C2113""), $A183=IMPORTRANGE(""https://docs.google.com/spreadsheets/d/1BJSV3WBYJGRhQ6zExamkszQ5"&amp;"VutGIcaQqmbD9ZTVXMQ/edit#gid=1251630045"",""articles_with_PRISMA_reasons!B2:B2113""))"),1980.0)</f>
        <v>1980</v>
      </c>
      <c r="D183" s="5" t="str">
        <f>IFERROR(__xludf.DUMMYFUNCTION("IFS(AND(
FILTER(IMPORTRANGE(""https://docs.google.com/spreadsheets/d/1BJSV3WBYJGRhQ6zExamkszQ5VutGIcaQqmbD9ZTVXMQ/edit#gid=1251630045"",""articles_with_PRISMA_reasons!Y2:Y2113""), $A183=IMPORTRANGE(""https://docs.google.com/spreadsheets/d/1BJSV3WBYJGRhQ6z"&amp;"ExamkszQ5VutGIcaQqmbD9ZTVXMQ/edit#gid=1251630045"",""articles_with_PRISMA_reasons!B2:B2113""))&gt;=2,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$A183=IMPORTRANGE(""https://docs.google.com/spreadsheets/d/1BJSV3WBYJGRhQ6zExamkszQ5VutGIcaQqmbD9ZTVXMQ/edit#gid=1251630045"",""articles_with_PRISMA_reasons!B2:B2113""))&lt;2),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$A183=IMPORTRANGE(""https://docs.google.com/spreadsheets/d/1BJSV3WBYJGRhQ6zExamkszQ5VutGIcaQqmbD9ZTVXMQ/edit#gid=1251630045"",""arti"&amp;"cles_with_PRISMA_reasons!B2:B2113""))&lt;2,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$A183=IMPORTRANGE(""https://docs.google.com"&amp;"/spreadsheets/d/1BJSV3WBYJGRhQ6zExamkszQ5VutGIcaQqmbD9ZTVXMQ/edit#gid=1251630045"",""articles_with_PRISMA_reasons!B2:B2113""))&gt;=2),
""Exclude""
)"),"Exclude")</f>
        <v>Exclude</v>
      </c>
      <c r="E183" s="5" t="str">
        <f>IFERROR(__xludf.DUMMYFUNCTION("IFS(
D183=""Exclude"",""Exclude"",
AND(
FILTER(IMPORTRANGE(""https://docs.google.com/spreadsheets/d/1qpEmbGH0JjaJbUdp21-y2cPbobDbMjr09BbtdKROZWc/edit#gid=1444865654"",""articles_with_PRISMA_reasons!W2:W2113""), $A183=IMPORTRANGE(""https://docs.google.com/"&amp;"spreadsheets/d/1qpEmbGH0JjaJbUdp21-y2cPbobDbMjr09BbtdKROZWc/edit#gid=1444865654"",""articles_with_PRISMA_reasons!B2:B2113""))&gt;=2,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$A183=IMPORTRANGE(""https://docs.google.com/spreadsheets/d/1qpEmbGH0JjaJbUdp21-y2cPbobDbMjr09BbtdKROZWc/edit#gid=1444865654"",""articles_with_PRISMA_reasons!B2:B2113""))&lt;2),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$A183=IMPORTRANGE(""https://docs.google.com/spreadsheets/d/1qpEmbGH0JjaJbUdp21-y2cPbobDbMjr09BbtdKRO"&amp;"ZWc/edit#gid=1444865654"",""articles_with_PRISMA_reasons!B2:B2113""))&lt;2,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$A183=IMPOR"&amp;"TRANGE(""https://docs.google.com/spreadsheets/d/1qpEmbGH0JjaJbUdp21-y2cPbobDbMjr09BbtdKROZWc/edit#gid=1444865654"",""articles_with_PRISMA_reasons!B2:B2113""))&gt;=2),
""Exclude""
)"),"Exclude")</f>
        <v>Exclude</v>
      </c>
      <c r="F183" s="5" t="str">
        <f>IFERROR(__xludf.DUMMYFUNCTION("IFS(
E183=""Exclude"",""Exclude"",
AND(
COUNTIF(
IMPORTRANGE(""https://docs.google.com/spreadsheets/d/1kGrh75X1cNR1D7_FcY9zMnHP8iPO4M5RCRjy6nZY0TY/edit#gid=0"",""Table 1: Study characteristics!B4:B171""),A183)&gt;0,
COUNTIF(Studies!$A$2:$A$85,FILTER(IMPORTRA"&amp;"NGE(""https://docs.google.com/spreadsheets/d/1kGrh75X1cNR1D7_FcY9zMnHP8iPO4M5RCRjy6nZY0TY/edit#gid=0"",""Table 1: Study characteristics!A4:A171""), $A183=IMPORTRANGE(""https://docs.google.com/spreadsheets/d/1kGrh75X1cNR1D7_FcY9zMnHP8iPO4M5RCRjy6nZY0TY/edi"&amp;"t#gid=0"",""Table 1: Study characteristics!B4:B171"")))&gt;0
),
""Include""
)"),"Exclude")</f>
        <v>Exclude</v>
      </c>
      <c r="G183" s="5" t="str">
        <f>IFERROR(__xludf.DUMMYFUNCTION("IFS(
D183=""Exclude"",
FILTER(IMPORTRANGE(""https://docs.google.com/spreadsheets/d/1BJSV3WBYJGRhQ6zExamkszQ5VutGIcaQqmbD9ZTVXMQ/edit#gid=1251630045"",""articles_with_PRISMA_reasons!AB2:AB2113""), $A183=IMPORTRANGE(""https://docs.google.com/spreadsheets/d/"&amp;"1BJSV3WBYJGRhQ6zExamkszQ5VutGIcaQqmbD9ZTVXMQ/edit#gid=1251630045"",""articles_with_PRISMA_reasons!B2:B2113"")),
E183=""Exclude"",
FILTER(IMPORTRANGE(""https://docs.google.com/spreadsheets/d/1qpEmbGH0JjaJbUdp21-y2cPbobDbMjr09BbtdKROZWc/edit#gid=1444865654"&amp;""",""articles_with_PRISMA_reasons!Z2:Z2113""), $A183=IMPORTRANGE(""https://docs.google.com/spreadsheets/d/1qpEmbGH0JjaJbUdp21-y2cPbobDbMjr09BbtdKROZWc/edit#gid=1444865654"",""articles_with_PRISMA_reasons!B2:B2113"")),F183
=""Include"",FILTER(IMPORTRANGE("&amp;"""https://docs.google.com/spreadsheets/d/1kGrh75X1cNR1D7_FcY9zMnHP8iPO4M5RCRjy6nZY0TY/edit#gid=0"",""Table 1: Study characteristics!A4:A171""), $A183=IMPORTRANGE(""https://docs.google.com/spreadsheets/d/1kGrh75X1cNR1D7_FcY9zMnHP8iPO4M5RCRjy6nZY0TY/edit#gi"&amp;"d=0"",""Table 1: Study characteristics!B4:B171""))
)"),"wrong intervention")</f>
        <v>wrong intervention</v>
      </c>
    </row>
    <row r="184">
      <c r="A184" s="4" t="str">
        <f>IFERROR(__xludf.DUMMYFUNCTION("""COMPUTED_VALUE"""),"A radiological study of the central canal in myelomeningocele")</f>
        <v>A radiological study of the central canal in myelomeningocele</v>
      </c>
      <c r="B184" s="5" t="str">
        <f>IFERROR(__xludf.DUMMYFUNCTION("LEFT(FILTER(IMPORTRANGE(""https://docs.google.com/spreadsheets/d/1BJSV3WBYJGRhQ6zExamkszQ5VutGIcaQqmbD9ZTVXMQ/edit#gid=1251630045"",""articles_with_PRISMA_reasons!K2:K2113""), $A184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$A184=IMPORTRANGE(""https://docs.google.com/spreadsheets/d/1BJSV3WBYJGRhQ6zExamkszQ5VutGIcaQqmbD9ZTVXMQ/edit#gid=1251630045"",""articles_with_PRISMA_reasons!B2:B2113"")))-1)"),"Andersson")</f>
        <v>Andersson</v>
      </c>
      <c r="C184" s="6">
        <f>IFERROR(__xludf.DUMMYFUNCTION("FILTER(IMPORTRANGE(""https://docs.google.com/spreadsheets/d/1BJSV3WBYJGRhQ6zExamkszQ5VutGIcaQqmbD9ZTVXMQ/edit#gid=1251630045"",""articles_with_PRISMA_reasons!C2:C2113""), $A184=IMPORTRANGE(""https://docs.google.com/spreadsheets/d/1BJSV3WBYJGRhQ6zExamkszQ5"&amp;"VutGIcaQqmbD9ZTVXMQ/edit#gid=1251630045"",""articles_with_PRISMA_reasons!B2:B2113""))"),1967.0)</f>
        <v>1967</v>
      </c>
      <c r="D184" s="5" t="str">
        <f>IFERROR(__xludf.DUMMYFUNCTION("IFS(AND(
FILTER(IMPORTRANGE(""https://docs.google.com/spreadsheets/d/1BJSV3WBYJGRhQ6zExamkszQ5VutGIcaQqmbD9ZTVXMQ/edit#gid=1251630045"",""articles_with_PRISMA_reasons!Y2:Y2113""), $A184=IMPORTRANGE(""https://docs.google.com/spreadsheets/d/1BJSV3WBYJGRhQ6z"&amp;"ExamkszQ5VutGIcaQqmbD9ZTVXMQ/edit#gid=1251630045"",""articles_with_PRISMA_reasons!B2:B2113""))&gt;=2,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$A184=IMPORTRANGE(""https://docs.google.com/spreadsheets/d/1BJSV3WBYJGRhQ6zExamkszQ5VutGIcaQqmbD9ZTVXMQ/edit#gid=1251630045"",""articles_with_PRISMA_reasons!B2:B2113""))&lt;2),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$A184=IMPORTRANGE(""https://docs.google.com/spreadsheets/d/1BJSV3WBYJGRhQ6zExamkszQ5VutGIcaQqmbD9ZTVXMQ/edit#gid=1251630045"",""arti"&amp;"cles_with_PRISMA_reasons!B2:B2113""))&lt;2,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$A184=IMPORTRANGE(""https://docs.google.com"&amp;"/spreadsheets/d/1BJSV3WBYJGRhQ6zExamkszQ5VutGIcaQqmbD9ZTVXMQ/edit#gid=1251630045"",""articles_with_PRISMA_reasons!B2:B2113""))&gt;=2),
""Exclude""
)"),"Exclude")</f>
        <v>Exclude</v>
      </c>
      <c r="E184" s="5" t="str">
        <f>IFERROR(__xludf.DUMMYFUNCTION("IFS(
D184=""Exclude"",""Exclude"",
AND(
FILTER(IMPORTRANGE(""https://docs.google.com/spreadsheets/d/1qpEmbGH0JjaJbUdp21-y2cPbobDbMjr09BbtdKROZWc/edit#gid=1444865654"",""articles_with_PRISMA_reasons!W2:W2113""), $A184=IMPORTRANGE(""https://docs.google.com/"&amp;"spreadsheets/d/1qpEmbGH0JjaJbUdp21-y2cPbobDbMjr09BbtdKROZWc/edit#gid=1444865654"",""articles_with_PRISMA_reasons!B2:B2113""))&gt;=2,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$A184=IMPORTRANGE(""https://docs.google.com/spreadsheets/d/1qpEmbGH0JjaJbUdp21-y2cPbobDbMjr09BbtdKROZWc/edit#gid=1444865654"",""articles_with_PRISMA_reasons!B2:B2113""))&lt;2),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$A184=IMPORTRANGE(""https://docs.google.com/spreadsheets/d/1qpEmbGH0JjaJbUdp21-y2cPbobDbMjr09BbtdKRO"&amp;"ZWc/edit#gid=1444865654"",""articles_with_PRISMA_reasons!B2:B2113""))&lt;2,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$A184=IMPOR"&amp;"TRANGE(""https://docs.google.com/spreadsheets/d/1qpEmbGH0JjaJbUdp21-y2cPbobDbMjr09BbtdKROZWc/edit#gid=1444865654"",""articles_with_PRISMA_reasons!B2:B2113""))&gt;=2),
""Exclude""
)"),"Exclude")</f>
        <v>Exclude</v>
      </c>
      <c r="F184" s="5" t="str">
        <f>IFERROR(__xludf.DUMMYFUNCTION("IFS(
E184=""Exclude"",""Exclude"",
AND(
COUNTIF(
IMPORTRANGE(""https://docs.google.com/spreadsheets/d/1kGrh75X1cNR1D7_FcY9zMnHP8iPO4M5RCRjy6nZY0TY/edit#gid=0"",""Table 1: Study characteristics!B4:B171""),A184)&gt;0,
COUNTIF(Studies!$A$2:$A$85,FILTER(IMPORTRA"&amp;"NGE(""https://docs.google.com/spreadsheets/d/1kGrh75X1cNR1D7_FcY9zMnHP8iPO4M5RCRjy6nZY0TY/edit#gid=0"",""Table 1: Study characteristics!A4:A171""), $A184=IMPORTRANGE(""https://docs.google.com/spreadsheets/d/1kGrh75X1cNR1D7_FcY9zMnHP8iPO4M5RCRjy6nZY0TY/edi"&amp;"t#gid=0"",""Table 1: Study characteristics!B4:B171"")))&gt;0
),
""Include""
)"),"Exclude")</f>
        <v>Exclude</v>
      </c>
      <c r="G184" s="5" t="str">
        <f>IFERROR(__xludf.DUMMYFUNCTION("IFS(
D184=""Exclude"",
FILTER(IMPORTRANGE(""https://docs.google.com/spreadsheets/d/1BJSV3WBYJGRhQ6zExamkszQ5VutGIcaQqmbD9ZTVXMQ/edit#gid=1251630045"",""articles_with_PRISMA_reasons!AB2:AB2113""), $A184=IMPORTRANGE(""https://docs.google.com/spreadsheets/d/"&amp;"1BJSV3WBYJGRhQ6zExamkszQ5VutGIcaQqmbD9ZTVXMQ/edit#gid=1251630045"",""articles_with_PRISMA_reasons!B2:B2113"")),
E184=""Exclude"",
FILTER(IMPORTRANGE(""https://docs.google.com/spreadsheets/d/1qpEmbGH0JjaJbUdp21-y2cPbobDbMjr09BbtdKROZWc/edit#gid=1444865654"&amp;""",""articles_with_PRISMA_reasons!Z2:Z2113""), $A184=IMPORTRANGE(""https://docs.google.com/spreadsheets/d/1qpEmbGH0JjaJbUdp21-y2cPbobDbMjr09BbtdKROZWc/edit#gid=1444865654"",""articles_with_PRISMA_reasons!B2:B2113"")),F184
=""Include"",FILTER(IMPORTRANGE("&amp;"""https://docs.google.com/spreadsheets/d/1kGrh75X1cNR1D7_FcY9zMnHP8iPO4M5RCRjy6nZY0TY/edit#gid=0"",""Table 1: Study characteristics!A4:A171""), $A184=IMPORTRANGE(""https://docs.google.com/spreadsheets/d/1kGrh75X1cNR1D7_FcY9zMnHP8iPO4M5RCRjy6nZY0TY/edit#gi"&amp;"d=0"",""Table 1: Study characteristics!B4:B171""))
)"),"wrong study design")</f>
        <v>wrong study design</v>
      </c>
    </row>
    <row r="185">
      <c r="A185" s="4" t="str">
        <f>IFERROR(__xludf.DUMMYFUNCTION("""COMPUTED_VALUE"""),"A randomized controlled trial of perioperative rifampin/trimethoprim in cerebrospinal fluid shunt surgery")</f>
        <v>A randomized controlled trial of perioperative rifampin/trimethoprim in cerebrospinal fluid shunt surgery</v>
      </c>
      <c r="B185" s="5" t="str">
        <f>IFERROR(__xludf.DUMMYFUNCTION("LEFT(FILTER(IMPORTRANGE(""https://docs.google.com/spreadsheets/d/1BJSV3WBYJGRhQ6zExamkszQ5VutGIcaQqmbD9ZTVXMQ/edit#gid=1251630045"",""articles_with_PRISMA_reasons!K2:K2113""), $A185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$A185=IMPORTRANGE(""https://docs.google.com/spreadsheets/d/1BJSV3WBYJGRhQ6zExamkszQ5VutGIcaQqmbD9ZTVXMQ/edit#gid=1251630045"",""articles_with_PRISMA_reasons!B2:B2113"")))-1)"),"Walters")</f>
        <v>Walters</v>
      </c>
      <c r="C185" s="6">
        <f>IFERROR(__xludf.DUMMYFUNCTION("FILTER(IMPORTRANGE(""https://docs.google.com/spreadsheets/d/1BJSV3WBYJGRhQ6zExamkszQ5VutGIcaQqmbD9ZTVXMQ/edit#gid=1251630045"",""articles_with_PRISMA_reasons!C2:C2113""), $A185=IMPORTRANGE(""https://docs.google.com/spreadsheets/d/1BJSV3WBYJGRhQ6zExamkszQ5"&amp;"VutGIcaQqmbD9ZTVXMQ/edit#gid=1251630045"",""articles_with_PRISMA_reasons!B2:B2113""))"),1992.0)</f>
        <v>1992</v>
      </c>
      <c r="D185" s="5" t="str">
        <f>IFERROR(__xludf.DUMMYFUNCTION("IFS(AND(
FILTER(IMPORTRANGE(""https://docs.google.com/spreadsheets/d/1BJSV3WBYJGRhQ6zExamkszQ5VutGIcaQqmbD9ZTVXMQ/edit#gid=1251630045"",""articles_with_PRISMA_reasons!Y2:Y2113""), $A185=IMPORTRANGE(""https://docs.google.com/spreadsheets/d/1BJSV3WBYJGRhQ6z"&amp;"ExamkszQ5VutGIcaQqmbD9ZTVXMQ/edit#gid=1251630045"",""articles_with_PRISMA_reasons!B2:B2113""))&gt;=2,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$A185=IMPORTRANGE(""https://docs.google.com/spreadsheets/d/1BJSV3WBYJGRhQ6zExamkszQ5VutGIcaQqmbD9ZTVXMQ/edit#gid=1251630045"",""articles_with_PRISMA_reasons!B2:B2113""))&lt;2),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$A185=IMPORTRANGE(""https://docs.google.com/spreadsheets/d/1BJSV3WBYJGRhQ6zExamkszQ5VutGIcaQqmbD9ZTVXMQ/edit#gid=1251630045"",""arti"&amp;"cles_with_PRISMA_reasons!B2:B2113""))&lt;2,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$A185=IMPORTRANGE(""https://docs.google.com"&amp;"/spreadsheets/d/1BJSV3WBYJGRhQ6zExamkszQ5VutGIcaQqmbD9ZTVXMQ/edit#gid=1251630045"",""articles_with_PRISMA_reasons!B2:B2113""))&gt;=2),
""Exclude""
)"),"Exclude")</f>
        <v>Exclude</v>
      </c>
      <c r="E185" s="5" t="str">
        <f>IFERROR(__xludf.DUMMYFUNCTION("IFS(
D185=""Exclude"",""Exclude"",
AND(
FILTER(IMPORTRANGE(""https://docs.google.com/spreadsheets/d/1qpEmbGH0JjaJbUdp21-y2cPbobDbMjr09BbtdKROZWc/edit#gid=1444865654"",""articles_with_PRISMA_reasons!W2:W2113""), $A185=IMPORTRANGE(""https://docs.google.com/"&amp;"spreadsheets/d/1qpEmbGH0JjaJbUdp21-y2cPbobDbMjr09BbtdKROZWc/edit#gid=1444865654"",""articles_with_PRISMA_reasons!B2:B2113""))&gt;=2,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$A185=IMPORTRANGE(""https://docs.google.com/spreadsheets/d/1qpEmbGH0JjaJbUdp21-y2cPbobDbMjr09BbtdKROZWc/edit#gid=1444865654"",""articles_with_PRISMA_reasons!B2:B2113""))&lt;2),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$A185=IMPORTRANGE(""https://docs.google.com/spreadsheets/d/1qpEmbGH0JjaJbUdp21-y2cPbobDbMjr09BbtdKRO"&amp;"ZWc/edit#gid=1444865654"",""articles_with_PRISMA_reasons!B2:B2113""))&lt;2,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$A185=IMPOR"&amp;"TRANGE(""https://docs.google.com/spreadsheets/d/1qpEmbGH0JjaJbUdp21-y2cPbobDbMjr09BbtdKROZWc/edit#gid=1444865654"",""articles_with_PRISMA_reasons!B2:B2113""))&gt;=2),
""Exclude""
)"),"Exclude")</f>
        <v>Exclude</v>
      </c>
      <c r="F185" s="5" t="str">
        <f>IFERROR(__xludf.DUMMYFUNCTION("IFS(
E185=""Exclude"",""Exclude"",
AND(
COUNTIF(
IMPORTRANGE(""https://docs.google.com/spreadsheets/d/1kGrh75X1cNR1D7_FcY9zMnHP8iPO4M5RCRjy6nZY0TY/edit#gid=0"",""Table 1: Study characteristics!B4:B171""),A185)&gt;0,
COUNTIF(Studies!$A$2:$A$85,FILTER(IMPORTRA"&amp;"NGE(""https://docs.google.com/spreadsheets/d/1kGrh75X1cNR1D7_FcY9zMnHP8iPO4M5RCRjy6nZY0TY/edit#gid=0"",""Table 1: Study characteristics!A4:A171""), $A185=IMPORTRANGE(""https://docs.google.com/spreadsheets/d/1kGrh75X1cNR1D7_FcY9zMnHP8iPO4M5RCRjy6nZY0TY/edi"&amp;"t#gid=0"",""Table 1: Study characteristics!B4:B171"")))&gt;0
),
""Include""
)"),"Exclude")</f>
        <v>Exclude</v>
      </c>
      <c r="G185" s="5" t="str">
        <f>IFERROR(__xludf.DUMMYFUNCTION("IFS(
D185=""Exclude"",
FILTER(IMPORTRANGE(""https://docs.google.com/spreadsheets/d/1BJSV3WBYJGRhQ6zExamkszQ5VutGIcaQqmbD9ZTVXMQ/edit#gid=1251630045"",""articles_with_PRISMA_reasons!AB2:AB2113""), $A185=IMPORTRANGE(""https://docs.google.com/spreadsheets/d/"&amp;"1BJSV3WBYJGRhQ6zExamkszQ5VutGIcaQqmbD9ZTVXMQ/edit#gid=1251630045"",""articles_with_PRISMA_reasons!B2:B2113"")),
E185=""Exclude"",
FILTER(IMPORTRANGE(""https://docs.google.com/spreadsheets/d/1qpEmbGH0JjaJbUdp21-y2cPbobDbMjr09BbtdKROZWc/edit#gid=1444865654"&amp;""",""articles_with_PRISMA_reasons!Z2:Z2113""), $A185=IMPORTRANGE(""https://docs.google.com/spreadsheets/d/1qpEmbGH0JjaJbUdp21-y2cPbobDbMjr09BbtdKROZWc/edit#gid=1444865654"",""articles_with_PRISMA_reasons!B2:B2113"")),F185
=""Include"",FILTER(IMPORTRANGE("&amp;"""https://docs.google.com/spreadsheets/d/1kGrh75X1cNR1D7_FcY9zMnHP8iPO4M5RCRjy6nZY0TY/edit#gid=0"",""Table 1: Study characteristics!A4:A171""), $A185=IMPORTRANGE(""https://docs.google.com/spreadsheets/d/1kGrh75X1cNR1D7_FcY9zMnHP8iPO4M5RCRjy6nZY0TY/edit#gi"&amp;"d=0"",""Table 1: Study characteristics!B4:B171""))
)"),"wrong population")</f>
        <v>wrong population</v>
      </c>
    </row>
    <row r="186">
      <c r="A186" s="4" t="str">
        <f>IFERROR(__xludf.DUMMYFUNCTION("""COMPUTED_VALUE"""),"A rare case of complete intraventricular migration of ventriculo-peritoneal shunt")</f>
        <v>A rare case of complete intraventricular migration of ventriculo-peritoneal shunt</v>
      </c>
      <c r="B186" s="5" t="str">
        <f>IFERROR(__xludf.DUMMYFUNCTION("LEFT(FILTER(IMPORTRANGE(""https://docs.google.com/spreadsheets/d/1BJSV3WBYJGRhQ6zExamkszQ5VutGIcaQqmbD9ZTVXMQ/edit#gid=1251630045"",""articles_with_PRISMA_reasons!K2:K2113""), $A186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$A186=IMPORTRANGE(""https://docs.google.com/spreadsheets/d/1BJSV3WBYJGRhQ6zExamkszQ5VutGIcaQqmbD9ZTVXMQ/edit#gid=1251630045"",""articles_with_PRISMA_reasons!B2:B2113"")))-1)"),"Yadav")</f>
        <v>Yadav</v>
      </c>
      <c r="C186" s="6">
        <f>IFERROR(__xludf.DUMMYFUNCTION("FILTER(IMPORTRANGE(""https://docs.google.com/spreadsheets/d/1BJSV3WBYJGRhQ6zExamkszQ5VutGIcaQqmbD9ZTVXMQ/edit#gid=1251630045"",""articles_with_PRISMA_reasons!C2:C2113""), $A186=IMPORTRANGE(""https://docs.google.com/spreadsheets/d/1BJSV3WBYJGRhQ6zExamkszQ5"&amp;"VutGIcaQqmbD9ZTVXMQ/edit#gid=1251630045"",""articles_with_PRISMA_reasons!B2:B2113""))"),2009.0)</f>
        <v>2009</v>
      </c>
      <c r="D186" s="5" t="str">
        <f>IFERROR(__xludf.DUMMYFUNCTION("IFS(AND(
FILTER(IMPORTRANGE(""https://docs.google.com/spreadsheets/d/1BJSV3WBYJGRhQ6zExamkszQ5VutGIcaQqmbD9ZTVXMQ/edit#gid=1251630045"",""articles_with_PRISMA_reasons!Y2:Y2113""), $A186=IMPORTRANGE(""https://docs.google.com/spreadsheets/d/1BJSV3WBYJGRhQ6z"&amp;"ExamkszQ5VutGIcaQqmbD9ZTVXMQ/edit#gid=1251630045"",""articles_with_PRISMA_reasons!B2:B2113""))&gt;=2,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$A186=IMPORTRANGE(""https://docs.google.com/spreadsheets/d/1BJSV3WBYJGRhQ6zExamkszQ5VutGIcaQqmbD9ZTVXMQ/edit#gid=1251630045"",""articles_with_PRISMA_reasons!B2:B2113""))&lt;2),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$A186=IMPORTRANGE(""https://docs.google.com/spreadsheets/d/1BJSV3WBYJGRhQ6zExamkszQ5VutGIcaQqmbD9ZTVXMQ/edit#gid=1251630045"",""arti"&amp;"cles_with_PRISMA_reasons!B2:B2113""))&lt;2,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$A186=IMPORTRANGE(""https://docs.google.com"&amp;"/spreadsheets/d/1BJSV3WBYJGRhQ6zExamkszQ5VutGIcaQqmbD9ZTVXMQ/edit#gid=1251630045"",""articles_with_PRISMA_reasons!B2:B2113""))&gt;=2),
""Exclude""
)"),"Exclude")</f>
        <v>Exclude</v>
      </c>
      <c r="E186" s="5" t="str">
        <f>IFERROR(__xludf.DUMMYFUNCTION("IFS(
D186=""Exclude"",""Exclude"",
AND(
FILTER(IMPORTRANGE(""https://docs.google.com/spreadsheets/d/1qpEmbGH0JjaJbUdp21-y2cPbobDbMjr09BbtdKROZWc/edit#gid=1444865654"",""articles_with_PRISMA_reasons!W2:W2113""), $A186=IMPORTRANGE(""https://docs.google.com/"&amp;"spreadsheets/d/1qpEmbGH0JjaJbUdp21-y2cPbobDbMjr09BbtdKROZWc/edit#gid=1444865654"",""articles_with_PRISMA_reasons!B2:B2113""))&gt;=2,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$A186=IMPORTRANGE(""https://docs.google.com/spreadsheets/d/1qpEmbGH0JjaJbUdp21-y2cPbobDbMjr09BbtdKROZWc/edit#gid=1444865654"",""articles_with_PRISMA_reasons!B2:B2113""))&lt;2),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$A186=IMPORTRANGE(""https://docs.google.com/spreadsheets/d/1qpEmbGH0JjaJbUdp21-y2cPbobDbMjr09BbtdKRO"&amp;"ZWc/edit#gid=1444865654"",""articles_with_PRISMA_reasons!B2:B2113""))&lt;2,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$A186=IMPOR"&amp;"TRANGE(""https://docs.google.com/spreadsheets/d/1qpEmbGH0JjaJbUdp21-y2cPbobDbMjr09BbtdKROZWc/edit#gid=1444865654"",""articles_with_PRISMA_reasons!B2:B2113""))&gt;=2),
""Exclude""
)"),"Exclude")</f>
        <v>Exclude</v>
      </c>
      <c r="F186" s="5" t="str">
        <f>IFERROR(__xludf.DUMMYFUNCTION("IFS(
E186=""Exclude"",""Exclude"",
AND(
COUNTIF(
IMPORTRANGE(""https://docs.google.com/spreadsheets/d/1kGrh75X1cNR1D7_FcY9zMnHP8iPO4M5RCRjy6nZY0TY/edit#gid=0"",""Table 1: Study characteristics!B4:B171""),A186)&gt;0,
COUNTIF(Studies!$A$2:$A$85,FILTER(IMPORTRA"&amp;"NGE(""https://docs.google.com/spreadsheets/d/1kGrh75X1cNR1D7_FcY9zMnHP8iPO4M5RCRjy6nZY0TY/edit#gid=0"",""Table 1: Study characteristics!A4:A171""), $A186=IMPORTRANGE(""https://docs.google.com/spreadsheets/d/1kGrh75X1cNR1D7_FcY9zMnHP8iPO4M5RCRjy6nZY0TY/edi"&amp;"t#gid=0"",""Table 1: Study characteristics!B4:B171"")))&gt;0
),
""Include""
)"),"Exclude")</f>
        <v>Exclude</v>
      </c>
      <c r="G186" s="5" t="str">
        <f>IFERROR(__xludf.DUMMYFUNCTION("IFS(
D186=""Exclude"",
FILTER(IMPORTRANGE(""https://docs.google.com/spreadsheets/d/1BJSV3WBYJGRhQ6zExamkszQ5VutGIcaQqmbD9ZTVXMQ/edit#gid=1251630045"",""articles_with_PRISMA_reasons!AB2:AB2113""), $A186=IMPORTRANGE(""https://docs.google.com/spreadsheets/d/"&amp;"1BJSV3WBYJGRhQ6zExamkszQ5VutGIcaQqmbD9ZTVXMQ/edit#gid=1251630045"",""articles_with_PRISMA_reasons!B2:B2113"")),
E186=""Exclude"",
FILTER(IMPORTRANGE(""https://docs.google.com/spreadsheets/d/1qpEmbGH0JjaJbUdp21-y2cPbobDbMjr09BbtdKROZWc/edit#gid=1444865654"&amp;""",""articles_with_PRISMA_reasons!Z2:Z2113""), $A186=IMPORTRANGE(""https://docs.google.com/spreadsheets/d/1qpEmbGH0JjaJbUdp21-y2cPbobDbMjr09BbtdKROZWc/edit#gid=1444865654"",""articles_with_PRISMA_reasons!B2:B2113"")),F186
=""Include"",FILTER(IMPORTRANGE("&amp;"""https://docs.google.com/spreadsheets/d/1kGrh75X1cNR1D7_FcY9zMnHP8iPO4M5RCRjy6nZY0TY/edit#gid=0"",""Table 1: Study characteristics!A4:A171""), $A186=IMPORTRANGE(""https://docs.google.com/spreadsheets/d/1kGrh75X1cNR1D7_FcY9zMnHP8iPO4M5RCRjy6nZY0TY/edit#gi"&amp;"d=0"",""Table 1: Study characteristics!B4:B171""))
)"),"wrong publication type")</f>
        <v>wrong publication type</v>
      </c>
    </row>
    <row r="187">
      <c r="A187" s="4" t="str">
        <f>IFERROR(__xludf.DUMMYFUNCTION("""COMPUTED_VALUE"""),"A rare case of giant multiseptated thoracic myelomeningocele with segmental placode: Commentary")</f>
        <v>A rare case of giant multiseptated thoracic myelomeningocele with segmental placode: Commentary</v>
      </c>
      <c r="B187" s="5" t="str">
        <f>IFERROR(__xludf.DUMMYFUNCTION("LEFT(FILTER(IMPORTRANGE(""https://docs.google.com/spreadsheets/d/1BJSV3WBYJGRhQ6zExamkszQ5VutGIcaQqmbD9ZTVXMQ/edit#gid=1251630045"",""articles_with_PRISMA_reasons!K2:K2113""), $A187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$A187=IMPORTRANGE(""https://docs.google.com/spreadsheets/d/1BJSV3WBYJGRhQ6zExamkszQ5VutGIcaQqmbD9ZTVXMQ/edit#gid=1251630045"",""articles_with_PRISMA_reasons!B2:B2113"")))-1)"),"Beuriat")</f>
        <v>Beuriat</v>
      </c>
      <c r="C187" s="6">
        <f>IFERROR(__xludf.DUMMYFUNCTION("FILTER(IMPORTRANGE(""https://docs.google.com/spreadsheets/d/1BJSV3WBYJGRhQ6zExamkszQ5VutGIcaQqmbD9ZTVXMQ/edit#gid=1251630045"",""articles_with_PRISMA_reasons!C2:C2113""), $A187=IMPORTRANGE(""https://docs.google.com/spreadsheets/d/1BJSV3WBYJGRhQ6zExamkszQ5"&amp;"VutGIcaQqmbD9ZTVXMQ/edit#gid=1251630045"",""articles_with_PRISMA_reasons!B2:B2113""))"),2016.0)</f>
        <v>2016</v>
      </c>
      <c r="D187" s="5" t="str">
        <f>IFERROR(__xludf.DUMMYFUNCTION("IFS(AND(
FILTER(IMPORTRANGE(""https://docs.google.com/spreadsheets/d/1BJSV3WBYJGRhQ6zExamkszQ5VutGIcaQqmbD9ZTVXMQ/edit#gid=1251630045"",""articles_with_PRISMA_reasons!Y2:Y2113""), $A187=IMPORTRANGE(""https://docs.google.com/spreadsheets/d/1BJSV3WBYJGRhQ6z"&amp;"ExamkszQ5VutGIcaQqmbD9ZTVXMQ/edit#gid=1251630045"",""articles_with_PRISMA_reasons!B2:B2113""))&gt;=2,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$A187=IMPORTRANGE(""https://docs.google.com/spreadsheets/d/1BJSV3WBYJGRhQ6zExamkszQ5VutGIcaQqmbD9ZTVXMQ/edit#gid=1251630045"",""articles_with_PRISMA_reasons!B2:B2113""))&lt;2),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$A187=IMPORTRANGE(""https://docs.google.com/spreadsheets/d/1BJSV3WBYJGRhQ6zExamkszQ5VutGIcaQqmbD9ZTVXMQ/edit#gid=1251630045"",""arti"&amp;"cles_with_PRISMA_reasons!B2:B2113""))&lt;2,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$A187=IMPORTRANGE(""https://docs.google.com"&amp;"/spreadsheets/d/1BJSV3WBYJGRhQ6zExamkszQ5VutGIcaQqmbD9ZTVXMQ/edit#gid=1251630045"",""articles_with_PRISMA_reasons!B2:B2113""))&gt;=2),
""Exclude""
)"),"Exclude")</f>
        <v>Exclude</v>
      </c>
      <c r="E187" s="5" t="str">
        <f>IFERROR(__xludf.DUMMYFUNCTION("IFS(
D187=""Exclude"",""Exclude"",
AND(
FILTER(IMPORTRANGE(""https://docs.google.com/spreadsheets/d/1qpEmbGH0JjaJbUdp21-y2cPbobDbMjr09BbtdKROZWc/edit#gid=1444865654"",""articles_with_PRISMA_reasons!W2:W2113""), $A187=IMPORTRANGE(""https://docs.google.com/"&amp;"spreadsheets/d/1qpEmbGH0JjaJbUdp21-y2cPbobDbMjr09BbtdKROZWc/edit#gid=1444865654"",""articles_with_PRISMA_reasons!B2:B2113""))&gt;=2,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$A187=IMPORTRANGE(""https://docs.google.com/spreadsheets/d/1qpEmbGH0JjaJbUdp21-y2cPbobDbMjr09BbtdKROZWc/edit#gid=1444865654"",""articles_with_PRISMA_reasons!B2:B2113""))&lt;2),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$A187=IMPORTRANGE(""https://docs.google.com/spreadsheets/d/1qpEmbGH0JjaJbUdp21-y2cPbobDbMjr09BbtdKRO"&amp;"ZWc/edit#gid=1444865654"",""articles_with_PRISMA_reasons!B2:B2113""))&lt;2,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$A187=IMPOR"&amp;"TRANGE(""https://docs.google.com/spreadsheets/d/1qpEmbGH0JjaJbUdp21-y2cPbobDbMjr09BbtdKROZWc/edit#gid=1444865654"",""articles_with_PRISMA_reasons!B2:B2113""))&gt;=2),
""Exclude""
)"),"Exclude")</f>
        <v>Exclude</v>
      </c>
      <c r="F187" s="5" t="str">
        <f>IFERROR(__xludf.DUMMYFUNCTION("IFS(
E187=""Exclude"",""Exclude"",
AND(
COUNTIF(
IMPORTRANGE(""https://docs.google.com/spreadsheets/d/1kGrh75X1cNR1D7_FcY9zMnHP8iPO4M5RCRjy6nZY0TY/edit#gid=0"",""Table 1: Study characteristics!B4:B171""),A187)&gt;0,
COUNTIF(Studies!$A$2:$A$85,FILTER(IMPORTRA"&amp;"NGE(""https://docs.google.com/spreadsheets/d/1kGrh75X1cNR1D7_FcY9zMnHP8iPO4M5RCRjy6nZY0TY/edit#gid=0"",""Table 1: Study characteristics!A4:A171""), $A187=IMPORTRANGE(""https://docs.google.com/spreadsheets/d/1kGrh75X1cNR1D7_FcY9zMnHP8iPO4M5RCRjy6nZY0TY/edi"&amp;"t#gid=0"",""Table 1: Study characteristics!B4:B171"")))&gt;0
),
""Include""
)"),"Exclude")</f>
        <v>Exclude</v>
      </c>
      <c r="G187" s="5" t="str">
        <f>IFERROR(__xludf.DUMMYFUNCTION("IFS(
D187=""Exclude"",
FILTER(IMPORTRANGE(""https://docs.google.com/spreadsheets/d/1BJSV3WBYJGRhQ6zExamkszQ5VutGIcaQqmbD9ZTVXMQ/edit#gid=1251630045"",""articles_with_PRISMA_reasons!AB2:AB2113""), $A187=IMPORTRANGE(""https://docs.google.com/spreadsheets/d/"&amp;"1BJSV3WBYJGRhQ6zExamkszQ5VutGIcaQqmbD9ZTVXMQ/edit#gid=1251630045"",""articles_with_PRISMA_reasons!B2:B2113"")),
E187=""Exclude"",
FILTER(IMPORTRANGE(""https://docs.google.com/spreadsheets/d/1qpEmbGH0JjaJbUdp21-y2cPbobDbMjr09BbtdKROZWc/edit#gid=1444865654"&amp;""",""articles_with_PRISMA_reasons!Z2:Z2113""), $A187=IMPORTRANGE(""https://docs.google.com/spreadsheets/d/1qpEmbGH0JjaJbUdp21-y2cPbobDbMjr09BbtdKROZWc/edit#gid=1444865654"",""articles_with_PRISMA_reasons!B2:B2113"")),F187
=""Include"",FILTER(IMPORTRANGE("&amp;"""https://docs.google.com/spreadsheets/d/1kGrh75X1cNR1D7_FcY9zMnHP8iPO4M5RCRjy6nZY0TY/edit#gid=0"",""Table 1: Study characteristics!A4:A171""), $A187=IMPORTRANGE(""https://docs.google.com/spreadsheets/d/1kGrh75X1cNR1D7_FcY9zMnHP8iPO4M5RCRjy6nZY0TY/edit#gi"&amp;"d=0"",""Table 1: Study characteristics!B4:B171""))
)"),"wrong study design")</f>
        <v>wrong study design</v>
      </c>
    </row>
    <row r="188">
      <c r="A188" s="4" t="str">
        <f>IFERROR(__xludf.DUMMYFUNCTION("""COMPUTED_VALUE"""),"A retrospective analyses of newborns operated due to midline spinal closure defect: A single center experience")</f>
        <v>A retrospective analyses of newborns operated due to midline spinal closure defect: A single center experience</v>
      </c>
      <c r="B188" s="5" t="str">
        <f>IFERROR(__xludf.DUMMYFUNCTION("LEFT(FILTER(IMPORTRANGE(""https://docs.google.com/spreadsheets/d/1BJSV3WBYJGRhQ6zExamkszQ5VutGIcaQqmbD9ZTVXMQ/edit#gid=1251630045"",""articles_with_PRISMA_reasons!K2:K2113""), $A188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$A188=IMPORTRANGE(""https://docs.google.com/spreadsheets/d/1BJSV3WBYJGRhQ6zExamkszQ5VutGIcaQqmbD9ZTVXMQ/edit#gid=1251630045"",""articles_with_PRISMA_reasons!B2:B2113"")))-1)"),"Ozbek")</f>
        <v>Ozbek</v>
      </c>
      <c r="C188" s="6">
        <f>IFERROR(__xludf.DUMMYFUNCTION("FILTER(IMPORTRANGE(""https://docs.google.com/spreadsheets/d/1BJSV3WBYJGRhQ6zExamkszQ5VutGIcaQqmbD9ZTVXMQ/edit#gid=1251630045"",""articles_with_PRISMA_reasons!C2:C2113""), $A188=IMPORTRANGE(""https://docs.google.com/spreadsheets/d/1BJSV3WBYJGRhQ6zExamkszQ5"&amp;"VutGIcaQqmbD9ZTVXMQ/edit#gid=1251630045"",""articles_with_PRISMA_reasons!B2:B2113""))"),2017.0)</f>
        <v>2017</v>
      </c>
      <c r="D188" s="5" t="str">
        <f>IFERROR(__xludf.DUMMYFUNCTION("IFS(AND(
FILTER(IMPORTRANGE(""https://docs.google.com/spreadsheets/d/1BJSV3WBYJGRhQ6zExamkszQ5VutGIcaQqmbD9ZTVXMQ/edit#gid=1251630045"",""articles_with_PRISMA_reasons!Y2:Y2113""), $A188=IMPORTRANGE(""https://docs.google.com/spreadsheets/d/1BJSV3WBYJGRhQ6z"&amp;"ExamkszQ5VutGIcaQqmbD9ZTVXMQ/edit#gid=1251630045"",""articles_with_PRISMA_reasons!B2:B2113""))&gt;=2,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$A188=IMPORTRANGE(""https://docs.google.com/spreadsheets/d/1BJSV3WBYJGRhQ6zExamkszQ5VutGIcaQqmbD9ZTVXMQ/edit#gid=1251630045"",""articles_with_PRISMA_reasons!B2:B2113""))&lt;2),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$A188=IMPORTRANGE(""https://docs.google.com/spreadsheets/d/1BJSV3WBYJGRhQ6zExamkszQ5VutGIcaQqmbD9ZTVXMQ/edit#gid=1251630045"",""arti"&amp;"cles_with_PRISMA_reasons!B2:B2113""))&lt;2,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$A188=IMPORTRANGE(""https://docs.google.com"&amp;"/spreadsheets/d/1BJSV3WBYJGRhQ6zExamkszQ5VutGIcaQqmbD9ZTVXMQ/edit#gid=1251630045"",""articles_with_PRISMA_reasons!B2:B2113""))&gt;=2),
""Exclude""
)"),"Include")</f>
        <v>Include</v>
      </c>
      <c r="E188" s="5" t="str">
        <f>IFERROR(__xludf.DUMMYFUNCTION("IFS(
D188=""Exclude"",""Exclude"",
AND(
FILTER(IMPORTRANGE(""https://docs.google.com/spreadsheets/d/1qpEmbGH0JjaJbUdp21-y2cPbobDbMjr09BbtdKROZWc/edit#gid=1444865654"",""articles_with_PRISMA_reasons!W2:W2113""), $A188=IMPORTRANGE(""https://docs.google.com/"&amp;"spreadsheets/d/1qpEmbGH0JjaJbUdp21-y2cPbobDbMjr09BbtdKROZWc/edit#gid=1444865654"",""articles_with_PRISMA_reasons!B2:B2113""))&gt;=2,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$A188=IMPORTRANGE(""https://docs.google.com/spreadsheets/d/1qpEmbGH0JjaJbUdp21-y2cPbobDbMjr09BbtdKROZWc/edit#gid=1444865654"",""articles_with_PRISMA_reasons!B2:B2113""))&lt;2),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$A188=IMPORTRANGE(""https://docs.google.com/spreadsheets/d/1qpEmbGH0JjaJbUdp21-y2cPbobDbMjr09BbtdKRO"&amp;"ZWc/edit#gid=1444865654"",""articles_with_PRISMA_reasons!B2:B2113""))&lt;2,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$A188=IMPOR"&amp;"TRANGE(""https://docs.google.com/spreadsheets/d/1qpEmbGH0JjaJbUdp21-y2cPbobDbMjr09BbtdKROZWc/edit#gid=1444865654"",""articles_with_PRISMA_reasons!B2:B2113""))&gt;=2),
""Exclude""
)"),"Exclude")</f>
        <v>Exclude</v>
      </c>
      <c r="F188" s="5" t="str">
        <f>IFERROR(__xludf.DUMMYFUNCTION("IFS(
E188=""Exclude"",""Exclude"",
AND(
COUNTIF(
IMPORTRANGE(""https://docs.google.com/spreadsheets/d/1kGrh75X1cNR1D7_FcY9zMnHP8iPO4M5RCRjy6nZY0TY/edit#gid=0"",""Table 1: Study characteristics!B4:B171""),A188)&gt;0,
COUNTIF(Studies!$A$2:$A$85,FILTER(IMPORTRA"&amp;"NGE(""https://docs.google.com/spreadsheets/d/1kGrh75X1cNR1D7_FcY9zMnHP8iPO4M5RCRjy6nZY0TY/edit#gid=0"",""Table 1: Study characteristics!A4:A171""), $A188=IMPORTRANGE(""https://docs.google.com/spreadsheets/d/1kGrh75X1cNR1D7_FcY9zMnHP8iPO4M5RCRjy6nZY0TY/edi"&amp;"t#gid=0"",""Table 1: Study characteristics!B4:B171"")))&gt;0
),
""Include""
)"),"Exclude")</f>
        <v>Exclude</v>
      </c>
      <c r="G188" s="5" t="str">
        <f>IFERROR(__xludf.DUMMYFUNCTION("IFS(
D188=""Exclude"",
FILTER(IMPORTRANGE(""https://docs.google.com/spreadsheets/d/1BJSV3WBYJGRhQ6zExamkszQ5VutGIcaQqmbD9ZTVXMQ/edit#gid=1251630045"",""articles_with_PRISMA_reasons!AB2:AB2113""), $A188=IMPORTRANGE(""https://docs.google.com/spreadsheets/d/"&amp;"1BJSV3WBYJGRhQ6zExamkszQ5VutGIcaQqmbD9ZTVXMQ/edit#gid=1251630045"",""articles_with_PRISMA_reasons!B2:B2113"")),
E188=""Exclude"",
FILTER(IMPORTRANGE(""https://docs.google.com/spreadsheets/d/1qpEmbGH0JjaJbUdp21-y2cPbobDbMjr09BbtdKROZWc/edit#gid=1444865654"&amp;""",""articles_with_PRISMA_reasons!Z2:Z2113""), $A188=IMPORTRANGE(""https://docs.google.com/spreadsheets/d/1qpEmbGH0JjaJbUdp21-y2cPbobDbMjr09BbtdKROZWc/edit#gid=1444865654"",""articles_with_PRISMA_reasons!B2:B2113"")),F188
=""Include"",FILTER(IMPORTRANGE("&amp;"""https://docs.google.com/spreadsheets/d/1kGrh75X1cNR1D7_FcY9zMnHP8iPO4M5RCRjy6nZY0TY/edit#gid=0"",""Table 1: Study characteristics!A4:A171""), $A188=IMPORTRANGE(""https://docs.google.com/spreadsheets/d/1kGrh75X1cNR1D7_FcY9zMnHP8iPO4M5RCRjy6nZY0TY/edit#gi"&amp;"d=0"",""Table 1: Study characteristics!B4:B171""))
)"),"wrong population")</f>
        <v>wrong population</v>
      </c>
    </row>
    <row r="189">
      <c r="A189" s="4" t="str">
        <f>IFERROR(__xludf.DUMMYFUNCTION("""COMPUTED_VALUE"""),"A retrospective analysis of conservative versus active management in severe open myelomeningocele")</f>
        <v>A retrospective analysis of conservative versus active management in severe open myelomeningocele</v>
      </c>
      <c r="B189" s="5" t="str">
        <f>IFERROR(__xludf.DUMMYFUNCTION("LEFT(FILTER(IMPORTRANGE(""https://docs.google.com/spreadsheets/d/1BJSV3WBYJGRhQ6zExamkszQ5VutGIcaQqmbD9ZTVXMQ/edit#gid=1251630045"",""articles_with_PRISMA_reasons!K2:K2113""), $A189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$A189=IMPORTRANGE(""https://docs.google.com/spreadsheets/d/1BJSV3WBYJGRhQ6zExamkszQ5VutGIcaQqmbD9ZTVXMQ/edit#gid=1251630045"",""articles_with_PRISMA_reasons!B2:B2113"")))-1)"),"Boston")</f>
        <v>Boston</v>
      </c>
      <c r="C189" s="6">
        <f>IFERROR(__xludf.DUMMYFUNCTION("FILTER(IMPORTRANGE(""https://docs.google.com/spreadsheets/d/1BJSV3WBYJGRhQ6zExamkszQ5VutGIcaQqmbD9ZTVXMQ/edit#gid=1251630045"",""articles_with_PRISMA_reasons!C2:C2113""), $A189=IMPORTRANGE(""https://docs.google.com/spreadsheets/d/1BJSV3WBYJGRhQ6zExamkszQ5"&amp;"VutGIcaQqmbD9ZTVXMQ/edit#gid=1251630045"",""articles_with_PRISMA_reasons!B2:B2113""))"),1979.0)</f>
        <v>1979</v>
      </c>
      <c r="D189" s="5" t="str">
        <f>IFERROR(__xludf.DUMMYFUNCTION("IFS(AND(
FILTER(IMPORTRANGE(""https://docs.google.com/spreadsheets/d/1BJSV3WBYJGRhQ6zExamkszQ5VutGIcaQqmbD9ZTVXMQ/edit#gid=1251630045"",""articles_with_PRISMA_reasons!Y2:Y2113""), $A189=IMPORTRANGE(""https://docs.google.com/spreadsheets/d/1BJSV3WBYJGRhQ6z"&amp;"ExamkszQ5VutGIcaQqmbD9ZTVXMQ/edit#gid=1251630045"",""articles_with_PRISMA_reasons!B2:B2113""))&gt;=2,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$A189=IMPORTRANGE(""https://docs.google.com/spreadsheets/d/1BJSV3WBYJGRhQ6zExamkszQ5VutGIcaQqmbD9ZTVXMQ/edit#gid=1251630045"",""articles_with_PRISMA_reasons!B2:B2113""))&lt;2),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$A189=IMPORTRANGE(""https://docs.google.com/spreadsheets/d/1BJSV3WBYJGRhQ6zExamkszQ5VutGIcaQqmbD9ZTVXMQ/edit#gid=1251630045"",""arti"&amp;"cles_with_PRISMA_reasons!B2:B2113""))&lt;2,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$A189=IMPORTRANGE(""https://docs.google.com"&amp;"/spreadsheets/d/1BJSV3WBYJGRhQ6zExamkszQ5VutGIcaQqmbD9ZTVXMQ/edit#gid=1251630045"",""articles_with_PRISMA_reasons!B2:B2113""))&gt;=2),
""Exclude""
)"),"Include")</f>
        <v>Include</v>
      </c>
      <c r="E189" s="5" t="str">
        <f>IFERROR(__xludf.DUMMYFUNCTION("IFS(
D189=""Exclude"",""Exclude"",
AND(
FILTER(IMPORTRANGE(""https://docs.google.com/spreadsheets/d/1qpEmbGH0JjaJbUdp21-y2cPbobDbMjr09BbtdKROZWc/edit#gid=1444865654"",""articles_with_PRISMA_reasons!W2:W2113""), $A189=IMPORTRANGE(""https://docs.google.com/"&amp;"spreadsheets/d/1qpEmbGH0JjaJbUdp21-y2cPbobDbMjr09BbtdKROZWc/edit#gid=1444865654"",""articles_with_PRISMA_reasons!B2:B2113""))&gt;=2,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$A189=IMPORTRANGE(""https://docs.google.com/spreadsheets/d/1qpEmbGH0JjaJbUdp21-y2cPbobDbMjr09BbtdKROZWc/edit#gid=1444865654"",""articles_with_PRISMA_reasons!B2:B2113""))&lt;2),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$A189=IMPORTRANGE(""https://docs.google.com/spreadsheets/d/1qpEmbGH0JjaJbUdp21-y2cPbobDbMjr09BbtdKRO"&amp;"ZWc/edit#gid=1444865654"",""articles_with_PRISMA_reasons!B2:B2113""))&lt;2,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$A189=IMPOR"&amp;"TRANGE(""https://docs.google.com/spreadsheets/d/1qpEmbGH0JjaJbUdp21-y2cPbobDbMjr09BbtdKROZWc/edit#gid=1444865654"",""articles_with_PRISMA_reasons!B2:B2113""))&gt;=2),
""Exclude""
)"),"Exclude")</f>
        <v>Exclude</v>
      </c>
      <c r="F189" s="5" t="str">
        <f>IFERROR(__xludf.DUMMYFUNCTION("IFS(
E189=""Exclude"",""Exclude"",
AND(
COUNTIF(
IMPORTRANGE(""https://docs.google.com/spreadsheets/d/1kGrh75X1cNR1D7_FcY9zMnHP8iPO4M5RCRjy6nZY0TY/edit#gid=0"",""Table 1: Study characteristics!B4:B171""),A189)&gt;0,
COUNTIF(Studies!$A$2:$A$85,FILTER(IMPORTRA"&amp;"NGE(""https://docs.google.com/spreadsheets/d/1kGrh75X1cNR1D7_FcY9zMnHP8iPO4M5RCRjy6nZY0TY/edit#gid=0"",""Table 1: Study characteristics!A4:A171""), $A189=IMPORTRANGE(""https://docs.google.com/spreadsheets/d/1kGrh75X1cNR1D7_FcY9zMnHP8iPO4M5RCRjy6nZY0TY/edi"&amp;"t#gid=0"",""Table 1: Study characteristics!B4:B171"")))&gt;0
),
""Include""
)"),"Exclude")</f>
        <v>Exclude</v>
      </c>
      <c r="G189" s="5" t="str">
        <f>IFERROR(__xludf.DUMMYFUNCTION("IFS(
D189=""Exclude"",
FILTER(IMPORTRANGE(""https://docs.google.com/spreadsheets/d/1BJSV3WBYJGRhQ6zExamkszQ5VutGIcaQqmbD9ZTVXMQ/edit#gid=1251630045"",""articles_with_PRISMA_reasons!AB2:AB2113""), $A189=IMPORTRANGE(""https://docs.google.com/spreadsheets/d/"&amp;"1BJSV3WBYJGRhQ6zExamkszQ5VutGIcaQqmbD9ZTVXMQ/edit#gid=1251630045"",""articles_with_PRISMA_reasons!B2:B2113"")),
E189=""Exclude"",
FILTER(IMPORTRANGE(""https://docs.google.com/spreadsheets/d/1qpEmbGH0JjaJbUdp21-y2cPbobDbMjr09BbtdKROZWc/edit#gid=1444865654"&amp;""",""articles_with_PRISMA_reasons!Z2:Z2113""), $A189=IMPORTRANGE(""https://docs.google.com/spreadsheets/d/1qpEmbGH0JjaJbUdp21-y2cPbobDbMjr09BbtdKROZWc/edit#gid=1444865654"",""articles_with_PRISMA_reasons!B2:B2113"")),F189
=""Include"",FILTER(IMPORTRANGE("&amp;"""https://docs.google.com/spreadsheets/d/1kGrh75X1cNR1D7_FcY9zMnHP8iPO4M5RCRjy6nZY0TY/edit#gid=0"",""Table 1: Study characteristics!A4:A171""), $A189=IMPORTRANGE(""https://docs.google.com/spreadsheets/d/1kGrh75X1cNR1D7_FcY9zMnHP8iPO4M5RCRjy6nZY0TY/edit#gi"&amp;"d=0"",""Table 1: Study characteristics!B4:B171""))
)"),"no full text")</f>
        <v>no full text</v>
      </c>
    </row>
    <row r="190">
      <c r="A190" s="4" t="str">
        <f>IFERROR(__xludf.DUMMYFUNCTION("""COMPUTED_VALUE"""),"A retrospective analysis of perioperative complications during intracranial neuroendoscopic procedures: Our institutional experience")</f>
        <v>A retrospective analysis of perioperative complications during intracranial neuroendoscopic procedures: Our institutional experience</v>
      </c>
      <c r="B190" s="2" t="s">
        <v>11</v>
      </c>
      <c r="C190" s="6">
        <f>IFERROR(__xludf.DUMMYFUNCTION("FILTER(IMPORTRANGE(""https://docs.google.com/spreadsheets/d/1BJSV3WBYJGRhQ6zExamkszQ5VutGIcaQqmbD9ZTVXMQ/edit#gid=1251630045"",""articles_with_PRISMA_reasons!C2:C2113""), $A190=IMPORTRANGE(""https://docs.google.com/spreadsheets/d/1BJSV3WBYJGRhQ6zExamkszQ5"&amp;"VutGIcaQqmbD9ZTVXMQ/edit#gid=1251630045"",""articles_with_PRISMA_reasons!B2:B2113""))"),2011.0)</f>
        <v>2011</v>
      </c>
      <c r="D190" s="5" t="str">
        <f>IFERROR(__xludf.DUMMYFUNCTION("IFS(AND(
FILTER(IMPORTRANGE(""https://docs.google.com/spreadsheets/d/1BJSV3WBYJGRhQ6zExamkszQ5VutGIcaQqmbD9ZTVXMQ/edit#gid=1251630045"",""articles_with_PRISMA_reasons!Y2:Y2113""), $A190=IMPORTRANGE(""https://docs.google.com/spreadsheets/d/1BJSV3WBYJGRhQ6z"&amp;"ExamkszQ5VutGIcaQqmbD9ZTVXMQ/edit#gid=1251630045"",""articles_with_PRISMA_reasons!B2:B2113""))&gt;=2,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$A190=IMPORTRANGE(""https://docs.google.com/spreadsheets/d/1BJSV3WBYJGRhQ6zExamkszQ5VutGIcaQqmbD9ZTVXMQ/edit#gid=1251630045"",""articles_with_PRISMA_reasons!B2:B2113""))&lt;2),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$A190=IMPORTRANGE(""https://docs.google.com/spreadsheets/d/1BJSV3WBYJGRhQ6zExamkszQ5VutGIcaQqmbD9ZTVXMQ/edit#gid=1251630045"",""arti"&amp;"cles_with_PRISMA_reasons!B2:B2113""))&lt;2,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$A190=IMPORTRANGE(""https://docs.google.com"&amp;"/spreadsheets/d/1BJSV3WBYJGRhQ6zExamkszQ5VutGIcaQqmbD9ZTVXMQ/edit#gid=1251630045"",""articles_with_PRISMA_reasons!B2:B2113""))&gt;=2),
""Exclude""
)"),"Exclude")</f>
        <v>Exclude</v>
      </c>
      <c r="E190" s="5" t="str">
        <f>IFERROR(__xludf.DUMMYFUNCTION("IFS(
D190=""Exclude"",""Exclude"",
AND(
FILTER(IMPORTRANGE(""https://docs.google.com/spreadsheets/d/1qpEmbGH0JjaJbUdp21-y2cPbobDbMjr09BbtdKROZWc/edit#gid=1444865654"",""articles_with_PRISMA_reasons!W2:W2113""), $A190=IMPORTRANGE(""https://docs.google.com/"&amp;"spreadsheets/d/1qpEmbGH0JjaJbUdp21-y2cPbobDbMjr09BbtdKROZWc/edit#gid=1444865654"",""articles_with_PRISMA_reasons!B2:B2113""))&gt;=2,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$A190=IMPORTRANGE(""https://docs.google.com/spreadsheets/d/1qpEmbGH0JjaJbUdp21-y2cPbobDbMjr09BbtdKROZWc/edit#gid=1444865654"",""articles_with_PRISMA_reasons!B2:B2113""))&lt;2),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$A190=IMPORTRANGE(""https://docs.google.com/spreadsheets/d/1qpEmbGH0JjaJbUdp21-y2cPbobDbMjr09BbtdKRO"&amp;"ZWc/edit#gid=1444865654"",""articles_with_PRISMA_reasons!B2:B2113""))&lt;2,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$A190=IMPOR"&amp;"TRANGE(""https://docs.google.com/spreadsheets/d/1qpEmbGH0JjaJbUdp21-y2cPbobDbMjr09BbtdKROZWc/edit#gid=1444865654"",""articles_with_PRISMA_reasons!B2:B2113""))&gt;=2),
""Exclude""
)"),"Exclude")</f>
        <v>Exclude</v>
      </c>
      <c r="F190" s="5" t="str">
        <f>IFERROR(__xludf.DUMMYFUNCTION("IFS(
E190=""Exclude"",""Exclude"",
AND(
COUNTIF(
IMPORTRANGE(""https://docs.google.com/spreadsheets/d/1kGrh75X1cNR1D7_FcY9zMnHP8iPO4M5RCRjy6nZY0TY/edit#gid=0"",""Table 1: Study characteristics!B4:B171""),A190)&gt;0,
COUNTIF(Studies!$A$2:$A$85,FILTER(IMPORTRA"&amp;"NGE(""https://docs.google.com/spreadsheets/d/1kGrh75X1cNR1D7_FcY9zMnHP8iPO4M5RCRjy6nZY0TY/edit#gid=0"",""Table 1: Study characteristics!A4:A171""), $A190=IMPORTRANGE(""https://docs.google.com/spreadsheets/d/1kGrh75X1cNR1D7_FcY9zMnHP8iPO4M5RCRjy6nZY0TY/edi"&amp;"t#gid=0"",""Table 1: Study characteristics!B4:B171"")))&gt;0
),
""Include""
)"),"Exclude")</f>
        <v>Exclude</v>
      </c>
      <c r="G190" s="5" t="str">
        <f>IFERROR(__xludf.DUMMYFUNCTION("IFS(
D190=""Exclude"",
FILTER(IMPORTRANGE(""https://docs.google.com/spreadsheets/d/1BJSV3WBYJGRhQ6zExamkszQ5VutGIcaQqmbD9ZTVXMQ/edit#gid=1251630045"",""articles_with_PRISMA_reasons!AB2:AB2113""), $A190=IMPORTRANGE(""https://docs.google.com/spreadsheets/d/"&amp;"1BJSV3WBYJGRhQ6zExamkszQ5VutGIcaQqmbD9ZTVXMQ/edit#gid=1251630045"",""articles_with_PRISMA_reasons!B2:B2113"")),
E190=""Exclude"",
FILTER(IMPORTRANGE(""https://docs.google.com/spreadsheets/d/1qpEmbGH0JjaJbUdp21-y2cPbobDbMjr09BbtdKROZWc/edit#gid=1444865654"&amp;""",""articles_with_PRISMA_reasons!Z2:Z2113""), $A190=IMPORTRANGE(""https://docs.google.com/spreadsheets/d/1qpEmbGH0JjaJbUdp21-y2cPbobDbMjr09BbtdKROZWc/edit#gid=1444865654"",""articles_with_PRISMA_reasons!B2:B2113"")),F190
=""Include"",FILTER(IMPORTRANGE("&amp;"""https://docs.google.com/spreadsheets/d/1kGrh75X1cNR1D7_FcY9zMnHP8iPO4M5RCRjy6nZY0TY/edit#gid=0"",""Table 1: Study characteristics!A4:A171""), $A190=IMPORTRANGE(""https://docs.google.com/spreadsheets/d/1kGrh75X1cNR1D7_FcY9zMnHP8iPO4M5RCRjy6nZY0TY/edit#gi"&amp;"d=0"",""Table 1: Study characteristics!B4:B171""))
)"),"wrong population")</f>
        <v>wrong population</v>
      </c>
    </row>
    <row r="191">
      <c r="A191" s="4" t="str">
        <f>IFERROR(__xludf.DUMMYFUNCTION("""COMPUTED_VALUE"""),"A retrospective study of central nervous system shunt infections diagnosed during 3 year period")</f>
        <v>A retrospective study of central nervous system shunt infections diagnosed during 3 year period</v>
      </c>
      <c r="B191" s="5" t="str">
        <f>IFERROR(__xludf.DUMMYFUNCTION("LEFT(FILTER(IMPORTRANGE(""https://docs.google.com/spreadsheets/d/1BJSV3WBYJGRhQ6zExamkszQ5VutGIcaQqmbD9ZTVXMQ/edit#gid=1251630045"",""articles_with_PRISMA_reasons!K2:K2113""), $A191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$A191=IMPORTRANGE(""https://docs.google.com/spreadsheets/d/1BJSV3WBYJGRhQ6zExamkszQ5VutGIcaQqmbD9ZTVXMQ/edit#gid=1251630045"",""articles_with_PRISMA_reasons!B2:B2113"")))-1)"),"Ashraf")</f>
        <v>Ashraf</v>
      </c>
      <c r="C191" s="6">
        <f>IFERROR(__xludf.DUMMYFUNCTION("FILTER(IMPORTRANGE(""https://docs.google.com/spreadsheets/d/1BJSV3WBYJGRhQ6zExamkszQ5VutGIcaQqmbD9ZTVXMQ/edit#gid=1251630045"",""articles_with_PRISMA_reasons!C2:C2113""), $A191=IMPORTRANGE(""https://docs.google.com/spreadsheets/d/1BJSV3WBYJGRhQ6zExamkszQ5"&amp;"VutGIcaQqmbD9ZTVXMQ/edit#gid=1251630045"",""articles_with_PRISMA_reasons!B2:B2113""))"),2009.0)</f>
        <v>2009</v>
      </c>
      <c r="D191" s="5" t="str">
        <f>IFERROR(__xludf.DUMMYFUNCTION("IFS(AND(
FILTER(IMPORTRANGE(""https://docs.google.com/spreadsheets/d/1BJSV3WBYJGRhQ6zExamkszQ5VutGIcaQqmbD9ZTVXMQ/edit#gid=1251630045"",""articles_with_PRISMA_reasons!Y2:Y2113""), $A191=IMPORTRANGE(""https://docs.google.com/spreadsheets/d/1BJSV3WBYJGRhQ6z"&amp;"ExamkszQ5VutGIcaQqmbD9ZTVXMQ/edit#gid=1251630045"",""articles_with_PRISMA_reasons!B2:B2113""))&gt;=2,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$A191=IMPORTRANGE(""https://docs.google.com/spreadsheets/d/1BJSV3WBYJGRhQ6zExamkszQ5VutGIcaQqmbD9ZTVXMQ/edit#gid=1251630045"",""articles_with_PRISMA_reasons!B2:B2113""))&lt;2),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$A191=IMPORTRANGE(""https://docs.google.com/spreadsheets/d/1BJSV3WBYJGRhQ6zExamkszQ5VutGIcaQqmbD9ZTVXMQ/edit#gid=1251630045"",""arti"&amp;"cles_with_PRISMA_reasons!B2:B2113""))&lt;2,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$A191=IMPORTRANGE(""https://docs.google.com"&amp;"/spreadsheets/d/1BJSV3WBYJGRhQ6zExamkszQ5VutGIcaQqmbD9ZTVXMQ/edit#gid=1251630045"",""articles_with_PRISMA_reasons!B2:B2113""))&gt;=2),
""Exclude""
)"),"Include")</f>
        <v>Include</v>
      </c>
      <c r="E191" s="5" t="str">
        <f>IFERROR(__xludf.DUMMYFUNCTION("IFS(
D191=""Exclude"",""Exclude"",
AND(
FILTER(IMPORTRANGE(""https://docs.google.com/spreadsheets/d/1qpEmbGH0JjaJbUdp21-y2cPbobDbMjr09BbtdKROZWc/edit#gid=1444865654"",""articles_with_PRISMA_reasons!W2:W2113""), $A191=IMPORTRANGE(""https://docs.google.com/"&amp;"spreadsheets/d/1qpEmbGH0JjaJbUdp21-y2cPbobDbMjr09BbtdKROZWc/edit#gid=1444865654"",""articles_with_PRISMA_reasons!B2:B2113""))&gt;=2,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$A191=IMPORTRANGE(""https://docs.google.com/spreadsheets/d/1qpEmbGH0JjaJbUdp21-y2cPbobDbMjr09BbtdKROZWc/edit#gid=1444865654"",""articles_with_PRISMA_reasons!B2:B2113""))&lt;2),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$A191=IMPORTRANGE(""https://docs.google.com/spreadsheets/d/1qpEmbGH0JjaJbUdp21-y2cPbobDbMjr09BbtdKRO"&amp;"ZWc/edit#gid=1444865654"",""articles_with_PRISMA_reasons!B2:B2113""))&lt;2,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$A191=IMPOR"&amp;"TRANGE(""https://docs.google.com/spreadsheets/d/1qpEmbGH0JjaJbUdp21-y2cPbobDbMjr09BbtdKROZWc/edit#gid=1444865654"",""articles_with_PRISMA_reasons!B2:B2113""))&gt;=2),
""Exclude""
)"),"Exclude")</f>
        <v>Exclude</v>
      </c>
      <c r="F191" s="5" t="str">
        <f>IFERROR(__xludf.DUMMYFUNCTION("IFS(
E191=""Exclude"",""Exclude"",
AND(
COUNTIF(
IMPORTRANGE(""https://docs.google.com/spreadsheets/d/1kGrh75X1cNR1D7_FcY9zMnHP8iPO4M5RCRjy6nZY0TY/edit#gid=0"",""Table 1: Study characteristics!B4:B171""),A191)&gt;0,
COUNTIF(Studies!$A$2:$A$85,FILTER(IMPORTRA"&amp;"NGE(""https://docs.google.com/spreadsheets/d/1kGrh75X1cNR1D7_FcY9zMnHP8iPO4M5RCRjy6nZY0TY/edit#gid=0"",""Table 1: Study characteristics!A4:A171""), $A191=IMPORTRANGE(""https://docs.google.com/spreadsheets/d/1kGrh75X1cNR1D7_FcY9zMnHP8iPO4M5RCRjy6nZY0TY/edi"&amp;"t#gid=0"",""Table 1: Study characteristics!B4:B171"")))&gt;0
),
""Include""
)"),"Exclude")</f>
        <v>Exclude</v>
      </c>
      <c r="G191" s="5" t="str">
        <f>IFERROR(__xludf.DUMMYFUNCTION("IFS(
D191=""Exclude"",
FILTER(IMPORTRANGE(""https://docs.google.com/spreadsheets/d/1BJSV3WBYJGRhQ6zExamkszQ5VutGIcaQqmbD9ZTVXMQ/edit#gid=1251630045"",""articles_with_PRISMA_reasons!AB2:AB2113""), $A191=IMPORTRANGE(""https://docs.google.com/spreadsheets/d/"&amp;"1BJSV3WBYJGRhQ6zExamkszQ5VutGIcaQqmbD9ZTVXMQ/edit#gid=1251630045"",""articles_with_PRISMA_reasons!B2:B2113"")),
E191=""Exclude"",
FILTER(IMPORTRANGE(""https://docs.google.com/spreadsheets/d/1qpEmbGH0JjaJbUdp21-y2cPbobDbMjr09BbtdKROZWc/edit#gid=1444865654"&amp;""",""articles_with_PRISMA_reasons!Z2:Z2113""), $A191=IMPORTRANGE(""https://docs.google.com/spreadsheets/d/1qpEmbGH0JjaJbUdp21-y2cPbobDbMjr09BbtdKROZWc/edit#gid=1444865654"",""articles_with_PRISMA_reasons!B2:B2113"")),F191
=""Include"",FILTER(IMPORTRANGE("&amp;"""https://docs.google.com/spreadsheets/d/1kGrh75X1cNR1D7_FcY9zMnHP8iPO4M5RCRjy6nZY0TY/edit#gid=0"",""Table 1: Study characteristics!A4:A171""), $A191=IMPORTRANGE(""https://docs.google.com/spreadsheets/d/1kGrh75X1cNR1D7_FcY9zMnHP8iPO4M5RCRjy6nZY0TY/edit#gi"&amp;"d=0"",""Table 1: Study characteristics!B4:B171""))
)"),"no full text")</f>
        <v>no full text</v>
      </c>
    </row>
    <row r="192">
      <c r="A192" s="4" t="str">
        <f>IFERROR(__xludf.DUMMYFUNCTION("""COMPUTED_VALUE"""),"A retrospective study of central nervous system shunt infections diagnosed in a university hospital during a 4-year period")</f>
        <v>A retrospective study of central nervous system shunt infections diagnosed in a university hospital during a 4-year period</v>
      </c>
      <c r="B192" s="5" t="str">
        <f>IFERROR(__xludf.DUMMYFUNCTION("LEFT(FILTER(IMPORTRANGE(""https://docs.google.com/spreadsheets/d/1BJSV3WBYJGRhQ6zExamkszQ5VutGIcaQqmbD9ZTVXMQ/edit#gid=1251630045"",""articles_with_PRISMA_reasons!K2:K2113""), $A192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$A192=IMPORTRANGE(""https://docs.google.com/spreadsheets/d/1BJSV3WBYJGRhQ6zExamkszQ5VutGIcaQqmbD9ZTVXMQ/edit#gid=1251630045"",""articles_with_PRISMA_reasons!B2:B2113"")))-1)"),"Sacar")</f>
        <v>Sacar</v>
      </c>
      <c r="C192" s="6">
        <f>IFERROR(__xludf.DUMMYFUNCTION("FILTER(IMPORTRANGE(""https://docs.google.com/spreadsheets/d/1BJSV3WBYJGRhQ6zExamkszQ5VutGIcaQqmbD9ZTVXMQ/edit#gid=1251630045"",""articles_with_PRISMA_reasons!C2:C2113""), $A192=IMPORTRANGE(""https://docs.google.com/spreadsheets/d/1BJSV3WBYJGRhQ6zExamkszQ5"&amp;"VutGIcaQqmbD9ZTVXMQ/edit#gid=1251630045"",""articles_with_PRISMA_reasons!B2:B2113""))"),2006.0)</f>
        <v>2006</v>
      </c>
      <c r="D192" s="5" t="str">
        <f>IFERROR(__xludf.DUMMYFUNCTION("IFS(AND(
FILTER(IMPORTRANGE(""https://docs.google.com/spreadsheets/d/1BJSV3WBYJGRhQ6zExamkszQ5VutGIcaQqmbD9ZTVXMQ/edit#gid=1251630045"",""articles_with_PRISMA_reasons!Y2:Y2113""), $A192=IMPORTRANGE(""https://docs.google.com/spreadsheets/d/1BJSV3WBYJGRhQ6z"&amp;"ExamkszQ5VutGIcaQqmbD9ZTVXMQ/edit#gid=1251630045"",""articles_with_PRISMA_reasons!B2:B2113""))&gt;=2,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$A192=IMPORTRANGE(""https://docs.google.com/spreadsheets/d/1BJSV3WBYJGRhQ6zExamkszQ5VutGIcaQqmbD9ZTVXMQ/edit#gid=1251630045"",""articles_with_PRISMA_reasons!B2:B2113""))&lt;2),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$A192=IMPORTRANGE(""https://docs.google.com/spreadsheets/d/1BJSV3WBYJGRhQ6zExamkszQ5VutGIcaQqmbD9ZTVXMQ/edit#gid=1251630045"",""arti"&amp;"cles_with_PRISMA_reasons!B2:B2113""))&lt;2,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$A192=IMPORTRANGE(""https://docs.google.com"&amp;"/spreadsheets/d/1BJSV3WBYJGRhQ6zExamkszQ5VutGIcaQqmbD9ZTVXMQ/edit#gid=1251630045"",""articles_with_PRISMA_reasons!B2:B2113""))&gt;=2),
""Exclude""
)"),"Include")</f>
        <v>Include</v>
      </c>
      <c r="E192" s="5" t="str">
        <f>IFERROR(__xludf.DUMMYFUNCTION("IFS(
D192=""Exclude"",""Exclude"",
AND(
FILTER(IMPORTRANGE(""https://docs.google.com/spreadsheets/d/1qpEmbGH0JjaJbUdp21-y2cPbobDbMjr09BbtdKROZWc/edit#gid=1444865654"",""articles_with_PRISMA_reasons!W2:W2113""), $A192=IMPORTRANGE(""https://docs.google.com/"&amp;"spreadsheets/d/1qpEmbGH0JjaJbUdp21-y2cPbobDbMjr09BbtdKROZWc/edit#gid=1444865654"",""articles_with_PRISMA_reasons!B2:B2113""))&gt;=2,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$A192=IMPORTRANGE(""https://docs.google.com/spreadsheets/d/1qpEmbGH0JjaJbUdp21-y2cPbobDbMjr09BbtdKROZWc/edit#gid=1444865654"",""articles_with_PRISMA_reasons!B2:B2113""))&lt;2),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$A192=IMPORTRANGE(""https://docs.google.com/spreadsheets/d/1qpEmbGH0JjaJbUdp21-y2cPbobDbMjr09BbtdKRO"&amp;"ZWc/edit#gid=1444865654"",""articles_with_PRISMA_reasons!B2:B2113""))&lt;2,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$A192=IMPOR"&amp;"TRANGE(""https://docs.google.com/spreadsheets/d/1qpEmbGH0JjaJbUdp21-y2cPbobDbMjr09BbtdKROZWc/edit#gid=1444865654"",""articles_with_PRISMA_reasons!B2:B2113""))&gt;=2),
""Exclude""
)"),"Include")</f>
        <v>Include</v>
      </c>
      <c r="F192" s="5" t="str">
        <f>IFERROR(__xludf.DUMMYFUNCTION("IFS(
E192=""Exclude"",""Exclude"",
AND(
COUNTIF(
IMPORTRANGE(""https://docs.google.com/spreadsheets/d/1kGrh75X1cNR1D7_FcY9zMnHP8iPO4M5RCRjy6nZY0TY/edit#gid=0"",""Table 1: Study characteristics!B4:B171""),A192)&gt;0,
COUNTIF(Studies!$A$2:$A$85,FILTER(IMPORTRA"&amp;"NGE(""https://docs.google.com/spreadsheets/d/1kGrh75X1cNR1D7_FcY9zMnHP8iPO4M5RCRjy6nZY0TY/edit#gid=0"",""Table 1: Study characteristics!A4:A171""), $A192=IMPORTRANGE(""https://docs.google.com/spreadsheets/d/1kGrh75X1cNR1D7_FcY9zMnHP8iPO4M5RCRjy6nZY0TY/edi"&amp;"t#gid=0"",""Table 1: Study characteristics!B4:B171"")))&gt;0
),
""Include""
)"),"Include")</f>
        <v>Include</v>
      </c>
      <c r="G192" s="5" t="str">
        <f>IFERROR(__xludf.DUMMYFUNCTION("IFS(
D192=""Exclude"",
FILTER(IMPORTRANGE(""https://docs.google.com/spreadsheets/d/1BJSV3WBYJGRhQ6zExamkszQ5VutGIcaQqmbD9ZTVXMQ/edit#gid=1251630045"",""articles_with_PRISMA_reasons!AB2:AB2113""), $A192=IMPORTRANGE(""https://docs.google.com/spreadsheets/d/"&amp;"1BJSV3WBYJGRhQ6zExamkszQ5VutGIcaQqmbD9ZTVXMQ/edit#gid=1251630045"",""articles_with_PRISMA_reasons!B2:B2113"")),
E192=""Exclude"",
FILTER(IMPORTRANGE(""https://docs.google.com/spreadsheets/d/1qpEmbGH0JjaJbUdp21-y2cPbobDbMjr09BbtdKROZWc/edit#gid=1444865654"&amp;""",""articles_with_PRISMA_reasons!Z2:Z2113""), $A192=IMPORTRANGE(""https://docs.google.com/spreadsheets/d/1qpEmbGH0JjaJbUdp21-y2cPbobDbMjr09BbtdKROZWc/edit#gid=1444865654"",""articles_with_PRISMA_reasons!B2:B2113"")),F192
=""Include"",FILTER(IMPORTRANGE("&amp;"""https://docs.google.com/spreadsheets/d/1kGrh75X1cNR1D7_FcY9zMnHP8iPO4M5RCRjy6nZY0TY/edit#gid=0"",""Table 1: Study characteristics!A4:A171""), $A192=IMPORTRANGE(""https://docs.google.com/spreadsheets/d/1kGrh75X1cNR1D7_FcY9zMnHP8iPO4M5RCRjy6nZY0TY/edit#gi"&amp;"d=0"",""Table 1: Study characteristics!B4:B171""))
)"),"ID 4")</f>
        <v>ID 4</v>
      </c>
    </row>
    <row r="193">
      <c r="A193" s="4" t="str">
        <f>IFERROR(__xludf.DUMMYFUNCTION("""COMPUTED_VALUE"""),"A retrospective study of infections after primary VP shunt placement in the newborn with myelomeningocele without prophylactic antibiotics")</f>
        <v>A retrospective study of infections after primary VP shunt placement in the newborn with myelomeningocele without prophylactic antibiotics</v>
      </c>
      <c r="B193" s="5" t="str">
        <f>IFERROR(__xludf.DUMMYFUNCTION("LEFT(FILTER(IMPORTRANGE(""https://docs.google.com/spreadsheets/d/1BJSV3WBYJGRhQ6zExamkszQ5VutGIcaQqmbD9ZTVXMQ/edit#gid=1251630045"",""articles_with_PRISMA_reasons!K2:K2113""), $A193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$A193=IMPORTRANGE(""https://docs.google.com/spreadsheets/d/1BJSV3WBYJGRhQ6zExamkszQ5VutGIcaQqmbD9ZTVXMQ/edit#gid=1251630045"",""articles_with_PRISMA_reasons!B2:B2113"")))-1)"),"Clemmensen")</f>
        <v>Clemmensen</v>
      </c>
      <c r="C193" s="6">
        <f>IFERROR(__xludf.DUMMYFUNCTION("FILTER(IMPORTRANGE(""https://docs.google.com/spreadsheets/d/1BJSV3WBYJGRhQ6zExamkszQ5VutGIcaQqmbD9ZTVXMQ/edit#gid=1251630045"",""articles_with_PRISMA_reasons!C2:C2113""), $A193=IMPORTRANGE(""https://docs.google.com/spreadsheets/d/1BJSV3WBYJGRhQ6zExamkszQ5"&amp;"VutGIcaQqmbD9ZTVXMQ/edit#gid=1251630045"",""articles_with_PRISMA_reasons!B2:B2113""))"),2010.0)</f>
        <v>2010</v>
      </c>
      <c r="D193" s="5" t="str">
        <f>IFERROR(__xludf.DUMMYFUNCTION("IFS(AND(
FILTER(IMPORTRANGE(""https://docs.google.com/spreadsheets/d/1BJSV3WBYJGRhQ6zExamkszQ5VutGIcaQqmbD9ZTVXMQ/edit#gid=1251630045"",""articles_with_PRISMA_reasons!Y2:Y2113""), $A193=IMPORTRANGE(""https://docs.google.com/spreadsheets/d/1BJSV3WBYJGRhQ6z"&amp;"ExamkszQ5VutGIcaQqmbD9ZTVXMQ/edit#gid=1251630045"",""articles_with_PRISMA_reasons!B2:B2113""))&gt;=2,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$A193=IMPORTRANGE(""https://docs.google.com/spreadsheets/d/1BJSV3WBYJGRhQ6zExamkszQ5VutGIcaQqmbD9ZTVXMQ/edit#gid=1251630045"",""articles_with_PRISMA_reasons!B2:B2113""))&lt;2),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$A193=IMPORTRANGE(""https://docs.google.com/spreadsheets/d/1BJSV3WBYJGRhQ6zExamkszQ5VutGIcaQqmbD9ZTVXMQ/edit#gid=1251630045"",""arti"&amp;"cles_with_PRISMA_reasons!B2:B2113""))&lt;2,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$A193=IMPORTRANGE(""https://docs.google.com"&amp;"/spreadsheets/d/1BJSV3WBYJGRhQ6zExamkszQ5VutGIcaQqmbD9ZTVXMQ/edit#gid=1251630045"",""articles_with_PRISMA_reasons!B2:B2113""))&gt;=2),
""Exclude""
)"),"Include")</f>
        <v>Include</v>
      </c>
      <c r="E193" s="5" t="str">
        <f>IFERROR(__xludf.DUMMYFUNCTION("IFS(
D193=""Exclude"",""Exclude"",
AND(
FILTER(IMPORTRANGE(""https://docs.google.com/spreadsheets/d/1qpEmbGH0JjaJbUdp21-y2cPbobDbMjr09BbtdKROZWc/edit#gid=1444865654"",""articles_with_PRISMA_reasons!W2:W2113""), $A193=IMPORTRANGE(""https://docs.google.com/"&amp;"spreadsheets/d/1qpEmbGH0JjaJbUdp21-y2cPbobDbMjr09BbtdKROZWc/edit#gid=1444865654"",""articles_with_PRISMA_reasons!B2:B2113""))&gt;=2,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$A193=IMPORTRANGE(""https://docs.google.com/spreadsheets/d/1qpEmbGH0JjaJbUdp21-y2cPbobDbMjr09BbtdKROZWc/edit#gid=1444865654"",""articles_with_PRISMA_reasons!B2:B2113""))&lt;2),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$A193=IMPORTRANGE(""https://docs.google.com/spreadsheets/d/1qpEmbGH0JjaJbUdp21-y2cPbobDbMjr09BbtdKRO"&amp;"ZWc/edit#gid=1444865654"",""articles_with_PRISMA_reasons!B2:B2113""))&lt;2,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$A193=IMPOR"&amp;"TRANGE(""https://docs.google.com/spreadsheets/d/1qpEmbGH0JjaJbUdp21-y2cPbobDbMjr09BbtdKROZWc/edit#gid=1444865654"",""articles_with_PRISMA_reasons!B2:B2113""))&gt;=2),
""Exclude""
)"),"Include")</f>
        <v>Include</v>
      </c>
      <c r="F193" s="5" t="str">
        <f>IFERROR(__xludf.DUMMYFUNCTION("IFS(
E193=""Exclude"",""Exclude"",
AND(
COUNTIF(
IMPORTRANGE(""https://docs.google.com/spreadsheets/d/1kGrh75X1cNR1D7_FcY9zMnHP8iPO4M5RCRjy6nZY0TY/edit#gid=0"",""Table 1: Study characteristics!B4:B171""),A193)&gt;0,
COUNTIF(Studies!$A$2:$A$85,FILTER(IMPORTRA"&amp;"NGE(""https://docs.google.com/spreadsheets/d/1kGrh75X1cNR1D7_FcY9zMnHP8iPO4M5RCRjy6nZY0TY/edit#gid=0"",""Table 1: Study characteristics!A4:A171""), $A193=IMPORTRANGE(""https://docs.google.com/spreadsheets/d/1kGrh75X1cNR1D7_FcY9zMnHP8iPO4M5RCRjy6nZY0TY/edi"&amp;"t#gid=0"",""Table 1: Study characteristics!B4:B171"")))&gt;0
),
""Include""
)"),"Include")</f>
        <v>Include</v>
      </c>
      <c r="G193" s="5" t="str">
        <f>IFERROR(__xludf.DUMMYFUNCTION("IFS(
D193=""Exclude"",
FILTER(IMPORTRANGE(""https://docs.google.com/spreadsheets/d/1BJSV3WBYJGRhQ6zExamkszQ5VutGIcaQqmbD9ZTVXMQ/edit#gid=1251630045"",""articles_with_PRISMA_reasons!AB2:AB2113""), $A193=IMPORTRANGE(""https://docs.google.com/spreadsheets/d/"&amp;"1BJSV3WBYJGRhQ6zExamkszQ5VutGIcaQqmbD9ZTVXMQ/edit#gid=1251630045"",""articles_with_PRISMA_reasons!B2:B2113"")),
E193=""Exclude"",
FILTER(IMPORTRANGE(""https://docs.google.com/spreadsheets/d/1qpEmbGH0JjaJbUdp21-y2cPbobDbMjr09BbtdKROZWc/edit#gid=1444865654"&amp;""",""articles_with_PRISMA_reasons!Z2:Z2113""), $A193=IMPORTRANGE(""https://docs.google.com/spreadsheets/d/1qpEmbGH0JjaJbUdp21-y2cPbobDbMjr09BbtdKROZWc/edit#gid=1444865654"",""articles_with_PRISMA_reasons!B2:B2113"")),F193
=""Include"",FILTER(IMPORTRANGE("&amp;"""https://docs.google.com/spreadsheets/d/1kGrh75X1cNR1D7_FcY9zMnHP8iPO4M5RCRjy6nZY0TY/edit#gid=0"",""Table 1: Study characteristics!A4:A171""), $A193=IMPORTRANGE(""https://docs.google.com/spreadsheets/d/1kGrh75X1cNR1D7_FcY9zMnHP8iPO4M5RCRjy6nZY0TY/edit#gi"&amp;"d=0"",""Table 1: Study characteristics!B4:B171""))
)"),"ID 5")</f>
        <v>ID 5</v>
      </c>
    </row>
    <row r="194">
      <c r="A194" s="4" t="str">
        <f>IFERROR(__xludf.DUMMYFUNCTION("""COMPUTED_VALUE"""),"A shunt infection caused by Francisella tularensis")</f>
        <v>A shunt infection caused by Francisella tularensis</v>
      </c>
      <c r="B194" s="5" t="str">
        <f>IFERROR(__xludf.DUMMYFUNCTION("LEFT(FILTER(IMPORTRANGE(""https://docs.google.com/spreadsheets/d/1BJSV3WBYJGRhQ6zExamkszQ5VutGIcaQqmbD9ZTVXMQ/edit#gid=1251630045"",""articles_with_PRISMA_reasons!K2:K2113""), $A194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$A194=IMPORTRANGE(""https://docs.google.com/spreadsheets/d/1BJSV3WBYJGRhQ6zExamkszQ5VutGIcaQqmbD9ZTVXMQ/edit#gid=1251630045"",""articles_with_PRISMA_reasons!B2:B2113"")))-1)"),"Pittman")</f>
        <v>Pittman</v>
      </c>
      <c r="C194" s="6">
        <f>IFERROR(__xludf.DUMMYFUNCTION("FILTER(IMPORTRANGE(""https://docs.google.com/spreadsheets/d/1BJSV3WBYJGRhQ6zExamkszQ5VutGIcaQqmbD9ZTVXMQ/edit#gid=1251630045"",""articles_with_PRISMA_reasons!C2:C2113""), $A194=IMPORTRANGE(""https://docs.google.com/spreadsheets/d/1BJSV3WBYJGRhQ6zExamkszQ5"&amp;"VutGIcaQqmbD9ZTVXMQ/edit#gid=1251630045"",""articles_with_PRISMA_reasons!B2:B2113""))"),1996.0)</f>
        <v>1996</v>
      </c>
      <c r="D194" s="5" t="str">
        <f>IFERROR(__xludf.DUMMYFUNCTION("IFS(AND(
FILTER(IMPORTRANGE(""https://docs.google.com/spreadsheets/d/1BJSV3WBYJGRhQ6zExamkszQ5VutGIcaQqmbD9ZTVXMQ/edit#gid=1251630045"",""articles_with_PRISMA_reasons!Y2:Y2113""), $A194=IMPORTRANGE(""https://docs.google.com/spreadsheets/d/1BJSV3WBYJGRhQ6z"&amp;"ExamkszQ5VutGIcaQqmbD9ZTVXMQ/edit#gid=1251630045"",""articles_with_PRISMA_reasons!B2:B2113""))&gt;=2,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$A194=IMPORTRANGE(""https://docs.google.com/spreadsheets/d/1BJSV3WBYJGRhQ6zExamkszQ5VutGIcaQqmbD9ZTVXMQ/edit#gid=1251630045"",""articles_with_PRISMA_reasons!B2:B2113""))&lt;2),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$A194=IMPORTRANGE(""https://docs.google.com/spreadsheets/d/1BJSV3WBYJGRhQ6zExamkszQ5VutGIcaQqmbD9ZTVXMQ/edit#gid=1251630045"",""arti"&amp;"cles_with_PRISMA_reasons!B2:B2113""))&lt;2,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$A194=IMPORTRANGE(""https://docs.google.com"&amp;"/spreadsheets/d/1BJSV3WBYJGRhQ6zExamkszQ5VutGIcaQqmbD9ZTVXMQ/edit#gid=1251630045"",""articles_with_PRISMA_reasons!B2:B2113""))&gt;=2),
""Exclude""
)"),"Exclude")</f>
        <v>Exclude</v>
      </c>
      <c r="E194" s="5" t="str">
        <f>IFERROR(__xludf.DUMMYFUNCTION("IFS(
D194=""Exclude"",""Exclude"",
AND(
FILTER(IMPORTRANGE(""https://docs.google.com/spreadsheets/d/1qpEmbGH0JjaJbUdp21-y2cPbobDbMjr09BbtdKROZWc/edit#gid=1444865654"",""articles_with_PRISMA_reasons!W2:W2113""), $A194=IMPORTRANGE(""https://docs.google.com/"&amp;"spreadsheets/d/1qpEmbGH0JjaJbUdp21-y2cPbobDbMjr09BbtdKROZWc/edit#gid=1444865654"",""articles_with_PRISMA_reasons!B2:B2113""))&gt;=2,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$A194=IMPORTRANGE(""https://docs.google.com/spreadsheets/d/1qpEmbGH0JjaJbUdp21-y2cPbobDbMjr09BbtdKROZWc/edit#gid=1444865654"",""articles_with_PRISMA_reasons!B2:B2113""))&lt;2),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$A194=IMPORTRANGE(""https://docs.google.com/spreadsheets/d/1qpEmbGH0JjaJbUdp21-y2cPbobDbMjr09BbtdKRO"&amp;"ZWc/edit#gid=1444865654"",""articles_with_PRISMA_reasons!B2:B2113""))&lt;2,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$A194=IMPOR"&amp;"TRANGE(""https://docs.google.com/spreadsheets/d/1qpEmbGH0JjaJbUdp21-y2cPbobDbMjr09BbtdKROZWc/edit#gid=1444865654"",""articles_with_PRISMA_reasons!B2:B2113""))&gt;=2),
""Exclude""
)"),"Exclude")</f>
        <v>Exclude</v>
      </c>
      <c r="F194" s="5" t="str">
        <f>IFERROR(__xludf.DUMMYFUNCTION("IFS(
E194=""Exclude"",""Exclude"",
AND(
COUNTIF(
IMPORTRANGE(""https://docs.google.com/spreadsheets/d/1kGrh75X1cNR1D7_FcY9zMnHP8iPO4M5RCRjy6nZY0TY/edit#gid=0"",""Table 1: Study characteristics!B4:B171""),A194)&gt;0,
COUNTIF(Studies!$A$2:$A$85,FILTER(IMPORTRA"&amp;"NGE(""https://docs.google.com/spreadsheets/d/1kGrh75X1cNR1D7_FcY9zMnHP8iPO4M5RCRjy6nZY0TY/edit#gid=0"",""Table 1: Study characteristics!A4:A171""), $A194=IMPORTRANGE(""https://docs.google.com/spreadsheets/d/1kGrh75X1cNR1D7_FcY9zMnHP8iPO4M5RCRjy6nZY0TY/edi"&amp;"t#gid=0"",""Table 1: Study characteristics!B4:B171"")))&gt;0
),
""Include""
)"),"Exclude")</f>
        <v>Exclude</v>
      </c>
      <c r="G194" s="5" t="str">
        <f>IFERROR(__xludf.DUMMYFUNCTION("IFS(
D194=""Exclude"",
FILTER(IMPORTRANGE(""https://docs.google.com/spreadsheets/d/1BJSV3WBYJGRhQ6zExamkszQ5VutGIcaQqmbD9ZTVXMQ/edit#gid=1251630045"",""articles_with_PRISMA_reasons!AB2:AB2113""), $A194=IMPORTRANGE(""https://docs.google.com/spreadsheets/d/"&amp;"1BJSV3WBYJGRhQ6zExamkszQ5VutGIcaQqmbD9ZTVXMQ/edit#gid=1251630045"",""articles_with_PRISMA_reasons!B2:B2113"")),
E194=""Exclude"",
FILTER(IMPORTRANGE(""https://docs.google.com/spreadsheets/d/1qpEmbGH0JjaJbUdp21-y2cPbobDbMjr09BbtdKROZWc/edit#gid=1444865654"&amp;""",""articles_with_PRISMA_reasons!Z2:Z2113""), $A194=IMPORTRANGE(""https://docs.google.com/spreadsheets/d/1qpEmbGH0JjaJbUdp21-y2cPbobDbMjr09BbtdKROZWc/edit#gid=1444865654"",""articles_with_PRISMA_reasons!B2:B2113"")),F194
=""Include"",FILTER(IMPORTRANGE("&amp;"""https://docs.google.com/spreadsheets/d/1kGrh75X1cNR1D7_FcY9zMnHP8iPO4M5RCRjy6nZY0TY/edit#gid=0"",""Table 1: Study characteristics!A4:A171""), $A194=IMPORTRANGE(""https://docs.google.com/spreadsheets/d/1kGrh75X1cNR1D7_FcY9zMnHP8iPO4M5RCRjy6nZY0TY/edit#gi"&amp;"d=0"",""Table 1: Study characteristics!B4:B171""))
)"),"wrong study design")</f>
        <v>wrong study design</v>
      </c>
    </row>
    <row r="195">
      <c r="A195" s="4" t="str">
        <f>IFERROR(__xludf.DUMMYFUNCTION("""COMPUTED_VALUE"""),"A Single-Center Experience of CNS Anomalies or Neural Tube Defects in Patients with Jarcho-Levin Syndrome")</f>
        <v>A Single-Center Experience of CNS Anomalies or Neural Tube Defects in Patients with Jarcho-Levin Syndrome</v>
      </c>
      <c r="B195" s="5" t="str">
        <f>IFERROR(__xludf.DUMMYFUNCTION("LEFT(FILTER(IMPORTRANGE(""https://docs.google.com/spreadsheets/d/1BJSV3WBYJGRhQ6zExamkszQ5VutGIcaQqmbD9ZTVXMQ/edit#gid=1251630045"",""articles_with_PRISMA_reasons!K2:K2113""), $A195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$A195=IMPORTRANGE(""https://docs.google.com/spreadsheets/d/1BJSV3WBYJGRhQ6zExamkszQ5VutGIcaQqmbD9ZTVXMQ/edit#gid=1251630045"",""articles_with_PRISMA_reasons!B2:B2113"")))-1)"),"Demir")</f>
        <v>Demir</v>
      </c>
      <c r="C195" s="6">
        <f>IFERROR(__xludf.DUMMYFUNCTION("FILTER(IMPORTRANGE(""https://docs.google.com/spreadsheets/d/1BJSV3WBYJGRhQ6zExamkszQ5VutGIcaQqmbD9ZTVXMQ/edit#gid=1251630045"",""articles_with_PRISMA_reasons!C2:C2113""), $A195=IMPORTRANGE(""https://docs.google.com/spreadsheets/d/1BJSV3WBYJGRhQ6zExamkszQ5"&amp;"VutGIcaQqmbD9ZTVXMQ/edit#gid=1251630045"",""articles_with_PRISMA_reasons!B2:B2113""))"),2016.0)</f>
        <v>2016</v>
      </c>
      <c r="D195" s="5" t="str">
        <f>IFERROR(__xludf.DUMMYFUNCTION("IFS(AND(
FILTER(IMPORTRANGE(""https://docs.google.com/spreadsheets/d/1BJSV3WBYJGRhQ6zExamkszQ5VutGIcaQqmbD9ZTVXMQ/edit#gid=1251630045"",""articles_with_PRISMA_reasons!Y2:Y2113""), $A195=IMPORTRANGE(""https://docs.google.com/spreadsheets/d/1BJSV3WBYJGRhQ6z"&amp;"ExamkszQ5VutGIcaQqmbD9ZTVXMQ/edit#gid=1251630045"",""articles_with_PRISMA_reasons!B2:B2113""))&gt;=2,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$A195=IMPORTRANGE(""https://docs.google.com/spreadsheets/d/1BJSV3WBYJGRhQ6zExamkszQ5VutGIcaQqmbD9ZTVXMQ/edit#gid=1251630045"",""articles_with_PRISMA_reasons!B2:B2113""))&lt;2),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$A195=IMPORTRANGE(""https://docs.google.com/spreadsheets/d/1BJSV3WBYJGRhQ6zExamkszQ5VutGIcaQqmbD9ZTVXMQ/edit#gid=1251630045"",""arti"&amp;"cles_with_PRISMA_reasons!B2:B2113""))&lt;2,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$A195=IMPORTRANGE(""https://docs.google.com"&amp;"/spreadsheets/d/1BJSV3WBYJGRhQ6zExamkszQ5VutGIcaQqmbD9ZTVXMQ/edit#gid=1251630045"",""articles_with_PRISMA_reasons!B2:B2113""))&gt;=2),
""Exclude""
)"),"Exclude")</f>
        <v>Exclude</v>
      </c>
      <c r="E195" s="5" t="str">
        <f>IFERROR(__xludf.DUMMYFUNCTION("IFS(
D195=""Exclude"",""Exclude"",
AND(
FILTER(IMPORTRANGE(""https://docs.google.com/spreadsheets/d/1qpEmbGH0JjaJbUdp21-y2cPbobDbMjr09BbtdKROZWc/edit#gid=1444865654"",""articles_with_PRISMA_reasons!W2:W2113""), $A195=IMPORTRANGE(""https://docs.google.com/"&amp;"spreadsheets/d/1qpEmbGH0JjaJbUdp21-y2cPbobDbMjr09BbtdKROZWc/edit#gid=1444865654"",""articles_with_PRISMA_reasons!B2:B2113""))&gt;=2,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$A195=IMPORTRANGE(""https://docs.google.com/spreadsheets/d/1qpEmbGH0JjaJbUdp21-y2cPbobDbMjr09BbtdKROZWc/edit#gid=1444865654"",""articles_with_PRISMA_reasons!B2:B2113""))&lt;2),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$A195=IMPORTRANGE(""https://docs.google.com/spreadsheets/d/1qpEmbGH0JjaJbUdp21-y2cPbobDbMjr09BbtdKRO"&amp;"ZWc/edit#gid=1444865654"",""articles_with_PRISMA_reasons!B2:B2113""))&lt;2,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$A195=IMPOR"&amp;"TRANGE(""https://docs.google.com/spreadsheets/d/1qpEmbGH0JjaJbUdp21-y2cPbobDbMjr09BbtdKROZWc/edit#gid=1444865654"",""articles_with_PRISMA_reasons!B2:B2113""))&gt;=2),
""Exclude""
)"),"Exclude")</f>
        <v>Exclude</v>
      </c>
      <c r="F195" s="5" t="str">
        <f>IFERROR(__xludf.DUMMYFUNCTION("IFS(
E195=""Exclude"",""Exclude"",
AND(
COUNTIF(
IMPORTRANGE(""https://docs.google.com/spreadsheets/d/1kGrh75X1cNR1D7_FcY9zMnHP8iPO4M5RCRjy6nZY0TY/edit#gid=0"",""Table 1: Study characteristics!B4:B171""),A195)&gt;0,
COUNTIF(Studies!$A$2:$A$85,FILTER(IMPORTRA"&amp;"NGE(""https://docs.google.com/spreadsheets/d/1kGrh75X1cNR1D7_FcY9zMnHP8iPO4M5RCRjy6nZY0TY/edit#gid=0"",""Table 1: Study characteristics!A4:A171""), $A195=IMPORTRANGE(""https://docs.google.com/spreadsheets/d/1kGrh75X1cNR1D7_FcY9zMnHP8iPO4M5RCRjy6nZY0TY/edi"&amp;"t#gid=0"",""Table 1: Study characteristics!B4:B171"")))&gt;0
),
""Include""
)"),"Exclude")</f>
        <v>Exclude</v>
      </c>
      <c r="G195" s="5" t="str">
        <f>IFERROR(__xludf.DUMMYFUNCTION("IFS(
D195=""Exclude"",
FILTER(IMPORTRANGE(""https://docs.google.com/spreadsheets/d/1BJSV3WBYJGRhQ6zExamkszQ5VutGIcaQqmbD9ZTVXMQ/edit#gid=1251630045"",""articles_with_PRISMA_reasons!AB2:AB2113""), $A195=IMPORTRANGE(""https://docs.google.com/spreadsheets/d/"&amp;"1BJSV3WBYJGRhQ6zExamkszQ5VutGIcaQqmbD9ZTVXMQ/edit#gid=1251630045"",""articles_with_PRISMA_reasons!B2:B2113"")),
E195=""Exclude"",
FILTER(IMPORTRANGE(""https://docs.google.com/spreadsheets/d/1qpEmbGH0JjaJbUdp21-y2cPbobDbMjr09BbtdKROZWc/edit#gid=1444865654"&amp;""",""articles_with_PRISMA_reasons!Z2:Z2113""), $A195=IMPORTRANGE(""https://docs.google.com/spreadsheets/d/1qpEmbGH0JjaJbUdp21-y2cPbobDbMjr09BbtdKROZWc/edit#gid=1444865654"",""articles_with_PRISMA_reasons!B2:B2113"")),F195
=""Include"",FILTER(IMPORTRANGE("&amp;"""https://docs.google.com/spreadsheets/d/1kGrh75X1cNR1D7_FcY9zMnHP8iPO4M5RCRjy6nZY0TY/edit#gid=0"",""Table 1: Study characteristics!A4:A171""), $A195=IMPORTRANGE(""https://docs.google.com/spreadsheets/d/1kGrh75X1cNR1D7_FcY9zMnHP8iPO4M5RCRjy6nZY0TY/edit#gi"&amp;"d=0"",""Table 1: Study characteristics!B4:B171""))
)"),"background article")</f>
        <v>background article</v>
      </c>
    </row>
    <row r="196">
      <c r="A196" s="4" t="str">
        <f>IFERROR(__xludf.DUMMYFUNCTION("""COMPUTED_VALUE"""),"A single-pass tunneling technique for CSF shunting procedures")</f>
        <v>A single-pass tunneling technique for CSF shunting procedures</v>
      </c>
      <c r="B196" s="5" t="str">
        <f>IFERROR(__xludf.DUMMYFUNCTION("LEFT(FILTER(IMPORTRANGE(""https://docs.google.com/spreadsheets/d/1BJSV3WBYJGRhQ6zExamkszQ5VutGIcaQqmbD9ZTVXMQ/edit#gid=1251630045"",""articles_with_PRISMA_reasons!K2:K2113""), $A196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$A196=IMPORTRANGE(""https://docs.google.com/spreadsheets/d/1BJSV3WBYJGRhQ6zExamkszQ5VutGIcaQqmbD9ZTVXMQ/edit#gid=1251630045"",""articles_with_PRISMA_reasons!B2:B2113"")))-1)"),"S and quist")</f>
        <v>S and quist</v>
      </c>
      <c r="C196" s="6">
        <f>IFERROR(__xludf.DUMMYFUNCTION("FILTER(IMPORTRANGE(""https://docs.google.com/spreadsheets/d/1BJSV3WBYJGRhQ6zExamkszQ5VutGIcaQqmbD9ZTVXMQ/edit#gid=1251630045"",""articles_with_PRISMA_reasons!C2:C2113""), $A196=IMPORTRANGE(""https://docs.google.com/spreadsheets/d/1BJSV3WBYJGRhQ6zExamkszQ5"&amp;"VutGIcaQqmbD9ZTVXMQ/edit#gid=1251630045"",""articles_with_PRISMA_reasons!B2:B2113""))"),2003.0)</f>
        <v>2003</v>
      </c>
      <c r="D196" s="5" t="str">
        <f>IFERROR(__xludf.DUMMYFUNCTION("IFS(AND(
FILTER(IMPORTRANGE(""https://docs.google.com/spreadsheets/d/1BJSV3WBYJGRhQ6zExamkszQ5VutGIcaQqmbD9ZTVXMQ/edit#gid=1251630045"",""articles_with_PRISMA_reasons!Y2:Y2113""), $A196=IMPORTRANGE(""https://docs.google.com/spreadsheets/d/1BJSV3WBYJGRhQ6z"&amp;"ExamkszQ5VutGIcaQqmbD9ZTVXMQ/edit#gid=1251630045"",""articles_with_PRISMA_reasons!B2:B2113""))&gt;=2,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$A196=IMPORTRANGE(""https://docs.google.com/spreadsheets/d/1BJSV3WBYJGRhQ6zExamkszQ5VutGIcaQqmbD9ZTVXMQ/edit#gid=1251630045"",""articles_with_PRISMA_reasons!B2:B2113""))&lt;2),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$A196=IMPORTRANGE(""https://docs.google.com/spreadsheets/d/1BJSV3WBYJGRhQ6zExamkszQ5VutGIcaQqmbD9ZTVXMQ/edit#gid=1251630045"",""arti"&amp;"cles_with_PRISMA_reasons!B2:B2113""))&lt;2,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$A196=IMPORTRANGE(""https://docs.google.com"&amp;"/spreadsheets/d/1BJSV3WBYJGRhQ6zExamkszQ5VutGIcaQqmbD9ZTVXMQ/edit#gid=1251630045"",""articles_with_PRISMA_reasons!B2:B2113""))&gt;=2),
""Exclude""
)"),"Include")</f>
        <v>Include</v>
      </c>
      <c r="E196" s="5" t="str">
        <f>IFERROR(__xludf.DUMMYFUNCTION("IFS(
D196=""Exclude"",""Exclude"",
AND(
FILTER(IMPORTRANGE(""https://docs.google.com/spreadsheets/d/1qpEmbGH0JjaJbUdp21-y2cPbobDbMjr09BbtdKROZWc/edit#gid=1444865654"",""articles_with_PRISMA_reasons!W2:W2113""), $A196=IMPORTRANGE(""https://docs.google.com/"&amp;"spreadsheets/d/1qpEmbGH0JjaJbUdp21-y2cPbobDbMjr09BbtdKROZWc/edit#gid=1444865654"",""articles_with_PRISMA_reasons!B2:B2113""))&gt;=2,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$A196=IMPORTRANGE(""https://docs.google.com/spreadsheets/d/1qpEmbGH0JjaJbUdp21-y2cPbobDbMjr09BbtdKROZWc/edit#gid=1444865654"",""articles_with_PRISMA_reasons!B2:B2113""))&lt;2),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$A196=IMPORTRANGE(""https://docs.google.com/spreadsheets/d/1qpEmbGH0JjaJbUdp21-y2cPbobDbMjr09BbtdKRO"&amp;"ZWc/edit#gid=1444865654"",""articles_with_PRISMA_reasons!B2:B2113""))&lt;2,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$A196=IMPOR"&amp;"TRANGE(""https://docs.google.com/spreadsheets/d/1qpEmbGH0JjaJbUdp21-y2cPbobDbMjr09BbtdKROZWc/edit#gid=1444865654"",""articles_with_PRISMA_reasons!B2:B2113""))&gt;=2),
""Exclude""
)"),"Include")</f>
        <v>Include</v>
      </c>
      <c r="F196" s="5" t="str">
        <f>IFERROR(__xludf.DUMMYFUNCTION("IFS(
E196=""Exclude"",""Exclude"",
AND(
COUNTIF(
IMPORTRANGE(""https://docs.google.com/spreadsheets/d/1kGrh75X1cNR1D7_FcY9zMnHP8iPO4M5RCRjy6nZY0TY/edit#gid=0"",""Table 1: Study characteristics!B4:B171""),A196)&gt;0,
COUNTIF(Studies!$A$2:$A$85,FILTER(IMPORTRA"&amp;"NGE(""https://docs.google.com/spreadsheets/d/1kGrh75X1cNR1D7_FcY9zMnHP8iPO4M5RCRjy6nZY0TY/edit#gid=0"",""Table 1: Study characteristics!A4:A171""), $A196=IMPORTRANGE(""https://docs.google.com/spreadsheets/d/1kGrh75X1cNR1D7_FcY9zMnHP8iPO4M5RCRjy6nZY0TY/edi"&amp;"t#gid=0"",""Table 1: Study characteristics!B4:B171"")))&gt;0
),
""Include""
)"),"Include")</f>
        <v>Include</v>
      </c>
      <c r="G196" s="5" t="str">
        <f>IFERROR(__xludf.DUMMYFUNCTION("IFS(
D196=""Exclude"",
FILTER(IMPORTRANGE(""https://docs.google.com/spreadsheets/d/1BJSV3WBYJGRhQ6zExamkszQ5VutGIcaQqmbD9ZTVXMQ/edit#gid=1251630045"",""articles_with_PRISMA_reasons!AB2:AB2113""), $A196=IMPORTRANGE(""https://docs.google.com/spreadsheets/d/"&amp;"1BJSV3WBYJGRhQ6zExamkszQ5VutGIcaQqmbD9ZTVXMQ/edit#gid=1251630045"",""articles_with_PRISMA_reasons!B2:B2113"")),
E196=""Exclude"",
FILTER(IMPORTRANGE(""https://docs.google.com/spreadsheets/d/1qpEmbGH0JjaJbUdp21-y2cPbobDbMjr09BbtdKROZWc/edit#gid=1444865654"&amp;""",""articles_with_PRISMA_reasons!Z2:Z2113""), $A196=IMPORTRANGE(""https://docs.google.com/spreadsheets/d/1qpEmbGH0JjaJbUdp21-y2cPbobDbMjr09BbtdKROZWc/edit#gid=1444865654"",""articles_with_PRISMA_reasons!B2:B2113"")),F196
=""Include"",FILTER(IMPORTRANGE("&amp;"""https://docs.google.com/spreadsheets/d/1kGrh75X1cNR1D7_FcY9zMnHP8iPO4M5RCRjy6nZY0TY/edit#gid=0"",""Table 1: Study characteristics!A4:A171""), $A196=IMPORTRANGE(""https://docs.google.com/spreadsheets/d/1kGrh75X1cNR1D7_FcY9zMnHP8iPO4M5RCRjy6nZY0TY/edit#gi"&amp;"d=0"",""Table 1: Study characteristics!B4:B171""))
)"),"ID 6")</f>
        <v>ID 6</v>
      </c>
    </row>
    <row r="197">
      <c r="A197" s="4" t="str">
        <f>IFERROR(__xludf.DUMMYFUNCTION("""COMPUTED_VALUE"""),"A study of the demand for neuropaediatric attention in a general hospital. III. Diagnosis")</f>
        <v>A study of the demand for neuropaediatric attention in a general hospital. III. Diagnosis</v>
      </c>
      <c r="B197" s="5" t="str">
        <f>IFERROR(__xludf.DUMMYFUNCTION("LEFT(FILTER(IMPORTRANGE(""https://docs.google.com/spreadsheets/d/1BJSV3WBYJGRhQ6zExamkszQ5VutGIcaQqmbD9ZTVXMQ/edit#gid=1251630045"",""articles_with_PRISMA_reasons!K2:K2113""), $A197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$A197=IMPORTRANGE(""https://docs.google.com/spreadsheets/d/1BJSV3WBYJGRhQ6zExamkszQ5VutGIcaQqmbD9ZTVXMQ/edit#gid=1251630045"",""articles_with_PRISMA_reasons!B2:B2113"")))-1)"),"Garcia-Jimenez")</f>
        <v>Garcia-Jimenez</v>
      </c>
      <c r="C197" s="6">
        <f>IFERROR(__xludf.DUMMYFUNCTION("FILTER(IMPORTRANGE(""https://docs.google.com/spreadsheets/d/1BJSV3WBYJGRhQ6zExamkszQ5VutGIcaQqmbD9ZTVXMQ/edit#gid=1251630045"",""articles_with_PRISMA_reasons!C2:C2113""), $A197=IMPORTRANGE(""https://docs.google.com/spreadsheets/d/1BJSV3WBYJGRhQ6zExamkszQ5"&amp;"VutGIcaQqmbD9ZTVXMQ/edit#gid=1251630045"",""articles_with_PRISMA_reasons!B2:B2113""))"),1997.0)</f>
        <v>1997</v>
      </c>
      <c r="D197" s="5" t="str">
        <f>IFERROR(__xludf.DUMMYFUNCTION("IFS(AND(
FILTER(IMPORTRANGE(""https://docs.google.com/spreadsheets/d/1BJSV3WBYJGRhQ6zExamkszQ5VutGIcaQqmbD9ZTVXMQ/edit#gid=1251630045"",""articles_with_PRISMA_reasons!Y2:Y2113""), $A197=IMPORTRANGE(""https://docs.google.com/spreadsheets/d/1BJSV3WBYJGRhQ6z"&amp;"ExamkszQ5VutGIcaQqmbD9ZTVXMQ/edit#gid=1251630045"",""articles_with_PRISMA_reasons!B2:B2113""))&gt;=2,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$A197=IMPORTRANGE(""https://docs.google.com/spreadsheets/d/1BJSV3WBYJGRhQ6zExamkszQ5VutGIcaQqmbD9ZTVXMQ/edit#gid=1251630045"",""articles_with_PRISMA_reasons!B2:B2113""))&lt;2),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$A197=IMPORTRANGE(""https://docs.google.com/spreadsheets/d/1BJSV3WBYJGRhQ6zExamkszQ5VutGIcaQqmbD9ZTVXMQ/edit#gid=1251630045"",""arti"&amp;"cles_with_PRISMA_reasons!B2:B2113""))&lt;2,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$A197=IMPORTRANGE(""https://docs.google.com"&amp;"/spreadsheets/d/1BJSV3WBYJGRhQ6zExamkszQ5VutGIcaQqmbD9ZTVXMQ/edit#gid=1251630045"",""articles_with_PRISMA_reasons!B2:B2113""))&gt;=2),
""Exclude""
)"),"Exclude")</f>
        <v>Exclude</v>
      </c>
      <c r="E197" s="5" t="str">
        <f>IFERROR(__xludf.DUMMYFUNCTION("IFS(
D197=""Exclude"",""Exclude"",
AND(
FILTER(IMPORTRANGE(""https://docs.google.com/spreadsheets/d/1qpEmbGH0JjaJbUdp21-y2cPbobDbMjr09BbtdKROZWc/edit#gid=1444865654"",""articles_with_PRISMA_reasons!W2:W2113""), $A197=IMPORTRANGE(""https://docs.google.com/"&amp;"spreadsheets/d/1qpEmbGH0JjaJbUdp21-y2cPbobDbMjr09BbtdKROZWc/edit#gid=1444865654"",""articles_with_PRISMA_reasons!B2:B2113""))&gt;=2,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$A197=IMPORTRANGE(""https://docs.google.com/spreadsheets/d/1qpEmbGH0JjaJbUdp21-y2cPbobDbMjr09BbtdKROZWc/edit#gid=1444865654"",""articles_with_PRISMA_reasons!B2:B2113""))&lt;2),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$A197=IMPORTRANGE(""https://docs.google.com/spreadsheets/d/1qpEmbGH0JjaJbUdp21-y2cPbobDbMjr09BbtdKRO"&amp;"ZWc/edit#gid=1444865654"",""articles_with_PRISMA_reasons!B2:B2113""))&lt;2,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$A197=IMPOR"&amp;"TRANGE(""https://docs.google.com/spreadsheets/d/1qpEmbGH0JjaJbUdp21-y2cPbobDbMjr09BbtdKROZWc/edit#gid=1444865654"",""articles_with_PRISMA_reasons!B2:B2113""))&gt;=2),
""Exclude""
)"),"Exclude")</f>
        <v>Exclude</v>
      </c>
      <c r="F197" s="5" t="str">
        <f>IFERROR(__xludf.DUMMYFUNCTION("IFS(
E197=""Exclude"",""Exclude"",
AND(
COUNTIF(
IMPORTRANGE(""https://docs.google.com/spreadsheets/d/1kGrh75X1cNR1D7_FcY9zMnHP8iPO4M5RCRjy6nZY0TY/edit#gid=0"",""Table 1: Study characteristics!B4:B171""),A197)&gt;0,
COUNTIF(Studies!$A$2:$A$85,FILTER(IMPORTRA"&amp;"NGE(""https://docs.google.com/spreadsheets/d/1kGrh75X1cNR1D7_FcY9zMnHP8iPO4M5RCRjy6nZY0TY/edit#gid=0"",""Table 1: Study characteristics!A4:A171""), $A197=IMPORTRANGE(""https://docs.google.com/spreadsheets/d/1kGrh75X1cNR1D7_FcY9zMnHP8iPO4M5RCRjy6nZY0TY/edi"&amp;"t#gid=0"",""Table 1: Study characteristics!B4:B171"")))&gt;0
),
""Include""
)"),"Exclude")</f>
        <v>Exclude</v>
      </c>
      <c r="G197" s="5" t="str">
        <f>IFERROR(__xludf.DUMMYFUNCTION("IFS(
D197=""Exclude"",
FILTER(IMPORTRANGE(""https://docs.google.com/spreadsheets/d/1BJSV3WBYJGRhQ6zExamkszQ5VutGIcaQqmbD9ZTVXMQ/edit#gid=1251630045"",""articles_with_PRISMA_reasons!AB2:AB2113""), $A197=IMPORTRANGE(""https://docs.google.com/spreadsheets/d/"&amp;"1BJSV3WBYJGRhQ6zExamkszQ5VutGIcaQqmbD9ZTVXMQ/edit#gid=1251630045"",""articles_with_PRISMA_reasons!B2:B2113"")),
E197=""Exclude"",
FILTER(IMPORTRANGE(""https://docs.google.com/spreadsheets/d/1qpEmbGH0JjaJbUdp21-y2cPbobDbMjr09BbtdKROZWc/edit#gid=1444865654"&amp;""",""articles_with_PRISMA_reasons!Z2:Z2113""), $A197=IMPORTRANGE(""https://docs.google.com/spreadsheets/d/1qpEmbGH0JjaJbUdp21-y2cPbobDbMjr09BbtdKROZWc/edit#gid=1444865654"",""articles_with_PRISMA_reasons!B2:B2113"")),F197
=""Include"",FILTER(IMPORTRANGE("&amp;"""https://docs.google.com/spreadsheets/d/1kGrh75X1cNR1D7_FcY9zMnHP8iPO4M5RCRjy6nZY0TY/edit#gid=0"",""Table 1: Study characteristics!A4:A171""), $A197=IMPORTRANGE(""https://docs.google.com/spreadsheets/d/1kGrh75X1cNR1D7_FcY9zMnHP8iPO4M5RCRjy6nZY0TY/edit#gi"&amp;"d=0"",""Table 1: Study characteristics!B4:B171""))
)"),"wrong study design")</f>
        <v>wrong study design</v>
      </c>
    </row>
    <row r="198">
      <c r="A198" s="4" t="str">
        <f>IFERROR(__xludf.DUMMYFUNCTION("""COMPUTED_VALUE"""),"A study of the ocular complications of hydrocephalus and meningomyelocele")</f>
        <v>A study of the ocular complications of hydrocephalus and meningomyelocele</v>
      </c>
      <c r="B198" s="5" t="str">
        <f>IFERROR(__xludf.DUMMYFUNCTION("LEFT(FILTER(IMPORTRANGE(""https://docs.google.com/spreadsheets/d/1BJSV3WBYJGRhQ6zExamkszQ5VutGIcaQqmbD9ZTVXMQ/edit#gid=1251630045"",""articles_with_PRISMA_reasons!K2:K2113""), $A198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$A198=IMPORTRANGE(""https://docs.google.com/spreadsheets/d/1BJSV3WBYJGRhQ6zExamkszQ5VutGIcaQqmbD9ZTVXMQ/edit#gid=1251630045"",""articles_with_PRISMA_reasons!B2:B2113"")))-1)"),"Clements")</f>
        <v>Clements</v>
      </c>
      <c r="C198" s="6">
        <f>IFERROR(__xludf.DUMMYFUNCTION("FILTER(IMPORTRANGE(""https://docs.google.com/spreadsheets/d/1BJSV3WBYJGRhQ6zExamkszQ5VutGIcaQqmbD9ZTVXMQ/edit#gid=1251630045"",""articles_with_PRISMA_reasons!C2:C2113""), $A198=IMPORTRANGE(""https://docs.google.com/spreadsheets/d/1BJSV3WBYJGRhQ6zExamkszQ5"&amp;"VutGIcaQqmbD9ZTVXMQ/edit#gid=1251630045"",""articles_with_PRISMA_reasons!B2:B2113""))"),1970.0)</f>
        <v>1970</v>
      </c>
      <c r="D198" s="5" t="str">
        <f>IFERROR(__xludf.DUMMYFUNCTION("IFS(AND(
FILTER(IMPORTRANGE(""https://docs.google.com/spreadsheets/d/1BJSV3WBYJGRhQ6zExamkszQ5VutGIcaQqmbD9ZTVXMQ/edit#gid=1251630045"",""articles_with_PRISMA_reasons!Y2:Y2113""), $A198=IMPORTRANGE(""https://docs.google.com/spreadsheets/d/1BJSV3WBYJGRhQ6z"&amp;"ExamkszQ5VutGIcaQqmbD9ZTVXMQ/edit#gid=1251630045"",""articles_with_PRISMA_reasons!B2:B2113""))&gt;=2,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$A198=IMPORTRANGE(""https://docs.google.com/spreadsheets/d/1BJSV3WBYJGRhQ6zExamkszQ5VutGIcaQqmbD9ZTVXMQ/edit#gid=1251630045"",""articles_with_PRISMA_reasons!B2:B2113""))&lt;2),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$A198=IMPORTRANGE(""https://docs.google.com/spreadsheets/d/1BJSV3WBYJGRhQ6zExamkszQ5VutGIcaQqmbD9ZTVXMQ/edit#gid=1251630045"",""arti"&amp;"cles_with_PRISMA_reasons!B2:B2113""))&lt;2,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$A198=IMPORTRANGE(""https://docs.google.com"&amp;"/spreadsheets/d/1BJSV3WBYJGRhQ6zExamkszQ5VutGIcaQqmbD9ZTVXMQ/edit#gid=1251630045"",""articles_with_PRISMA_reasons!B2:B2113""))&gt;=2),
""Exclude""
)"),"Exclude")</f>
        <v>Exclude</v>
      </c>
      <c r="E198" s="5" t="str">
        <f>IFERROR(__xludf.DUMMYFUNCTION("IFS(
D198=""Exclude"",""Exclude"",
AND(
FILTER(IMPORTRANGE(""https://docs.google.com/spreadsheets/d/1qpEmbGH0JjaJbUdp21-y2cPbobDbMjr09BbtdKROZWc/edit#gid=1444865654"",""articles_with_PRISMA_reasons!W2:W2113""), $A198=IMPORTRANGE(""https://docs.google.com/"&amp;"spreadsheets/d/1qpEmbGH0JjaJbUdp21-y2cPbobDbMjr09BbtdKROZWc/edit#gid=1444865654"",""articles_with_PRISMA_reasons!B2:B2113""))&gt;=2,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$A198=IMPORTRANGE(""https://docs.google.com/spreadsheets/d/1qpEmbGH0JjaJbUdp21-y2cPbobDbMjr09BbtdKROZWc/edit#gid=1444865654"",""articles_with_PRISMA_reasons!B2:B2113""))&lt;2),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$A198=IMPORTRANGE(""https://docs.google.com/spreadsheets/d/1qpEmbGH0JjaJbUdp21-y2cPbobDbMjr09BbtdKRO"&amp;"ZWc/edit#gid=1444865654"",""articles_with_PRISMA_reasons!B2:B2113""))&lt;2,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$A198=IMPOR"&amp;"TRANGE(""https://docs.google.com/spreadsheets/d/1qpEmbGH0JjaJbUdp21-y2cPbobDbMjr09BbtdKROZWc/edit#gid=1444865654"",""articles_with_PRISMA_reasons!B2:B2113""))&gt;=2),
""Exclude""
)"),"Exclude")</f>
        <v>Exclude</v>
      </c>
      <c r="F198" s="5" t="str">
        <f>IFERROR(__xludf.DUMMYFUNCTION("IFS(
E198=""Exclude"",""Exclude"",
AND(
COUNTIF(
IMPORTRANGE(""https://docs.google.com/spreadsheets/d/1kGrh75X1cNR1D7_FcY9zMnHP8iPO4M5RCRjy6nZY0TY/edit#gid=0"",""Table 1: Study characteristics!B4:B171""),A198)&gt;0,
COUNTIF(Studies!$A$2:$A$85,FILTER(IMPORTRA"&amp;"NGE(""https://docs.google.com/spreadsheets/d/1kGrh75X1cNR1D7_FcY9zMnHP8iPO4M5RCRjy6nZY0TY/edit#gid=0"",""Table 1: Study characteristics!A4:A171""), $A198=IMPORTRANGE(""https://docs.google.com/spreadsheets/d/1kGrh75X1cNR1D7_FcY9zMnHP8iPO4M5RCRjy6nZY0TY/edi"&amp;"t#gid=0"",""Table 1: Study characteristics!B4:B171"")))&gt;0
),
""Include""
)"),"Exclude")</f>
        <v>Exclude</v>
      </c>
      <c r="G198" s="5" t="str">
        <f>IFERROR(__xludf.DUMMYFUNCTION("IFS(
D198=""Exclude"",
FILTER(IMPORTRANGE(""https://docs.google.com/spreadsheets/d/1BJSV3WBYJGRhQ6zExamkszQ5VutGIcaQqmbD9ZTVXMQ/edit#gid=1251630045"",""articles_with_PRISMA_reasons!AB2:AB2113""), $A198=IMPORTRANGE(""https://docs.google.com/spreadsheets/d/"&amp;"1BJSV3WBYJGRhQ6zExamkszQ5VutGIcaQqmbD9ZTVXMQ/edit#gid=1251630045"",""articles_with_PRISMA_reasons!B2:B2113"")),
E198=""Exclude"",
FILTER(IMPORTRANGE(""https://docs.google.com/spreadsheets/d/1qpEmbGH0JjaJbUdp21-y2cPbobDbMjr09BbtdKROZWc/edit#gid=1444865654"&amp;""",""articles_with_PRISMA_reasons!Z2:Z2113""), $A198=IMPORTRANGE(""https://docs.google.com/spreadsheets/d/1qpEmbGH0JjaJbUdp21-y2cPbobDbMjr09BbtdKROZWc/edit#gid=1444865654"",""articles_with_PRISMA_reasons!B2:B2113"")),F198
=""Include"",FILTER(IMPORTRANGE("&amp;"""https://docs.google.com/spreadsheets/d/1kGrh75X1cNR1D7_FcY9zMnHP8iPO4M5RCRjy6nZY0TY/edit#gid=0"",""Table 1: Study characteristics!A4:A171""), $A198=IMPORTRANGE(""https://docs.google.com/spreadsheets/d/1kGrh75X1cNR1D7_FcY9zMnHP8iPO4M5RCRjy6nZY0TY/edit#gi"&amp;"d=0"",""Table 1: Study characteristics!B4:B171""))
)"),"wrong study design")</f>
        <v>wrong study design</v>
      </c>
    </row>
    <row r="199">
      <c r="A199" s="4" t="str">
        <f>IFERROR(__xludf.DUMMYFUNCTION("""COMPUTED_VALUE"""),"A sudden-death case of Arnold-Chiari malformation (type I) with sleep apnea")</f>
        <v>A sudden-death case of Arnold-Chiari malformation (type I) with sleep apnea</v>
      </c>
      <c r="B199" s="5" t="str">
        <f>IFERROR(__xludf.DUMMYFUNCTION("LEFT(FILTER(IMPORTRANGE(""https://docs.google.com/spreadsheets/d/1BJSV3WBYJGRhQ6zExamkszQ5VutGIcaQqmbD9ZTVXMQ/edit#gid=1251630045"",""articles_with_PRISMA_reasons!K2:K2113""), $A199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$A199=IMPORTRANGE(""https://docs.google.com/spreadsheets/d/1BJSV3WBYJGRhQ6zExamkszQ5VutGIcaQqmbD9ZTVXMQ/edit#gid=1251630045"",""articles_with_PRISMA_reasons!B2:B2113"")))-1)"),"Iwabuchi")</f>
        <v>Iwabuchi</v>
      </c>
      <c r="C199" s="6">
        <f>IFERROR(__xludf.DUMMYFUNCTION("FILTER(IMPORTRANGE(""https://docs.google.com/spreadsheets/d/1BJSV3WBYJGRhQ6zExamkszQ5VutGIcaQqmbD9ZTVXMQ/edit#gid=1251630045"",""articles_with_PRISMA_reasons!C2:C2113""), $A199=IMPORTRANGE(""https://docs.google.com/spreadsheets/d/1BJSV3WBYJGRhQ6zExamkszQ5"&amp;"VutGIcaQqmbD9ZTVXMQ/edit#gid=1251630045"",""articles_with_PRISMA_reasons!B2:B2113""))"),1985.0)</f>
        <v>1985</v>
      </c>
      <c r="D199" s="5" t="str">
        <f>IFERROR(__xludf.DUMMYFUNCTION("IFS(AND(
FILTER(IMPORTRANGE(""https://docs.google.com/spreadsheets/d/1BJSV3WBYJGRhQ6zExamkszQ5VutGIcaQqmbD9ZTVXMQ/edit#gid=1251630045"",""articles_with_PRISMA_reasons!Y2:Y2113""), $A199=IMPORTRANGE(""https://docs.google.com/spreadsheets/d/1BJSV3WBYJGRhQ6z"&amp;"ExamkszQ5VutGIcaQqmbD9ZTVXMQ/edit#gid=1251630045"",""articles_with_PRISMA_reasons!B2:B2113""))&gt;=2,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$A199=IMPORTRANGE(""https://docs.google.com/spreadsheets/d/1BJSV3WBYJGRhQ6zExamkszQ5VutGIcaQqmbD9ZTVXMQ/edit#gid=1251630045"",""articles_with_PRISMA_reasons!B2:B2113""))&lt;2),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$A199=IMPORTRANGE(""https://docs.google.com/spreadsheets/d/1BJSV3WBYJGRhQ6zExamkszQ5VutGIcaQqmbD9ZTVXMQ/edit#gid=1251630045"",""arti"&amp;"cles_with_PRISMA_reasons!B2:B2113""))&lt;2,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$A199=IMPORTRANGE(""https://docs.google.com"&amp;"/spreadsheets/d/1BJSV3WBYJGRhQ6zExamkszQ5VutGIcaQqmbD9ZTVXMQ/edit#gid=1251630045"",""articles_with_PRISMA_reasons!B2:B2113""))&gt;=2),
""Exclude""
)"),"Exclude")</f>
        <v>Exclude</v>
      </c>
      <c r="E199" s="5" t="str">
        <f>IFERROR(__xludf.DUMMYFUNCTION("IFS(
D199=""Exclude"",""Exclude"",
AND(
FILTER(IMPORTRANGE(""https://docs.google.com/spreadsheets/d/1qpEmbGH0JjaJbUdp21-y2cPbobDbMjr09BbtdKROZWc/edit#gid=1444865654"",""articles_with_PRISMA_reasons!W2:W2113""), $A199=IMPORTRANGE(""https://docs.google.com/"&amp;"spreadsheets/d/1qpEmbGH0JjaJbUdp21-y2cPbobDbMjr09BbtdKROZWc/edit#gid=1444865654"",""articles_with_PRISMA_reasons!B2:B2113""))&gt;=2,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$A199=IMPORTRANGE(""https://docs.google.com/spreadsheets/d/1qpEmbGH0JjaJbUdp21-y2cPbobDbMjr09BbtdKROZWc/edit#gid=1444865654"",""articles_with_PRISMA_reasons!B2:B2113""))&lt;2),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$A199=IMPORTRANGE(""https://docs.google.com/spreadsheets/d/1qpEmbGH0JjaJbUdp21-y2cPbobDbMjr09BbtdKRO"&amp;"ZWc/edit#gid=1444865654"",""articles_with_PRISMA_reasons!B2:B2113""))&lt;2,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$A199=IMPOR"&amp;"TRANGE(""https://docs.google.com/spreadsheets/d/1qpEmbGH0JjaJbUdp21-y2cPbobDbMjr09BbtdKROZWc/edit#gid=1444865654"",""articles_with_PRISMA_reasons!B2:B2113""))&gt;=2),
""Exclude""
)"),"Exclude")</f>
        <v>Exclude</v>
      </c>
      <c r="F199" s="5" t="str">
        <f>IFERROR(__xludf.DUMMYFUNCTION("IFS(
E199=""Exclude"",""Exclude"",
AND(
COUNTIF(
IMPORTRANGE(""https://docs.google.com/spreadsheets/d/1kGrh75X1cNR1D7_FcY9zMnHP8iPO4M5RCRjy6nZY0TY/edit#gid=0"",""Table 1: Study characteristics!B4:B171""),A199)&gt;0,
COUNTIF(Studies!$A$2:$A$85,FILTER(IMPORTRA"&amp;"NGE(""https://docs.google.com/spreadsheets/d/1kGrh75X1cNR1D7_FcY9zMnHP8iPO4M5RCRjy6nZY0TY/edit#gid=0"",""Table 1: Study characteristics!A4:A171""), $A199=IMPORTRANGE(""https://docs.google.com/spreadsheets/d/1kGrh75X1cNR1D7_FcY9zMnHP8iPO4M5RCRjy6nZY0TY/edi"&amp;"t#gid=0"",""Table 1: Study characteristics!B4:B171"")))&gt;0
),
""Include""
)"),"Exclude")</f>
        <v>Exclude</v>
      </c>
      <c r="G199" s="5" t="str">
        <f>IFERROR(__xludf.DUMMYFUNCTION("IFS(
D199=""Exclude"",
FILTER(IMPORTRANGE(""https://docs.google.com/spreadsheets/d/1BJSV3WBYJGRhQ6zExamkszQ5VutGIcaQqmbD9ZTVXMQ/edit#gid=1251630045"",""articles_with_PRISMA_reasons!AB2:AB2113""), $A199=IMPORTRANGE(""https://docs.google.com/spreadsheets/d/"&amp;"1BJSV3WBYJGRhQ6zExamkszQ5VutGIcaQqmbD9ZTVXMQ/edit#gid=1251630045"",""articles_with_PRISMA_reasons!B2:B2113"")),
E199=""Exclude"",
FILTER(IMPORTRANGE(""https://docs.google.com/spreadsheets/d/1qpEmbGH0JjaJbUdp21-y2cPbobDbMjr09BbtdKROZWc/edit#gid=1444865654"&amp;""",""articles_with_PRISMA_reasons!Z2:Z2113""), $A199=IMPORTRANGE(""https://docs.google.com/spreadsheets/d/1qpEmbGH0JjaJbUdp21-y2cPbobDbMjr09BbtdKROZWc/edit#gid=1444865654"",""articles_with_PRISMA_reasons!B2:B2113"")),F199
=""Include"",FILTER(IMPORTRANGE("&amp;"""https://docs.google.com/spreadsheets/d/1kGrh75X1cNR1D7_FcY9zMnHP8iPO4M5RCRjy6nZY0TY/edit#gid=0"",""Table 1: Study characteristics!A4:A171""), $A199=IMPORTRANGE(""https://docs.google.com/spreadsheets/d/1kGrh75X1cNR1D7_FcY9zMnHP8iPO4M5RCRjy6nZY0TY/edit#gi"&amp;"d=0"",""Table 1: Study characteristics!B4:B171""))
)"),"wrong study design")</f>
        <v>wrong study design</v>
      </c>
    </row>
    <row r="200">
      <c r="A200" s="4" t="str">
        <f>IFERROR(__xludf.DUMMYFUNCTION("""COMPUTED_VALUE"""),"A temperament for learning: The limbic system and myelomeningocele")</f>
        <v>A temperament for learning: The limbic system and myelomeningocele</v>
      </c>
      <c r="B200" s="5" t="str">
        <f>IFERROR(__xludf.DUMMYFUNCTION("LEFT(FILTER(IMPORTRANGE(""https://docs.google.com/spreadsheets/d/1BJSV3WBYJGRhQ6zExamkszQ5VutGIcaQqmbD9ZTVXMQ/edit#gid=1251630045"",""articles_with_PRISMA_reasons!K2:K2113""), $A200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$A200=IMPORTRANGE(""https://docs.google.com/spreadsheets/d/1BJSV3WBYJGRhQ6zExamkszQ5VutGIcaQqmbD9ZTVXMQ/edit#gid=1251630045"",""articles_with_PRISMA_reasons!B2:B2113"")))-1)"),"Vachha")</f>
        <v>Vachha</v>
      </c>
      <c r="C200" s="6">
        <f>IFERROR(__xludf.DUMMYFUNCTION("FILTER(IMPORTRANGE(""https://docs.google.com/spreadsheets/d/1BJSV3WBYJGRhQ6zExamkszQ5VutGIcaQqmbD9ZTVXMQ/edit#gid=1251630045"",""articles_with_PRISMA_reasons!C2:C2113""), $A200=IMPORTRANGE(""https://docs.google.com/spreadsheets/d/1BJSV3WBYJGRhQ6zExamkszQ5"&amp;"VutGIcaQqmbD9ZTVXMQ/edit#gid=1251630045"",""articles_with_PRISMA_reasons!B2:B2113""))"),2004.0)</f>
        <v>2004</v>
      </c>
      <c r="D200" s="5" t="str">
        <f>IFERROR(__xludf.DUMMYFUNCTION("IFS(AND(
FILTER(IMPORTRANGE(""https://docs.google.com/spreadsheets/d/1BJSV3WBYJGRhQ6zExamkszQ5VutGIcaQqmbD9ZTVXMQ/edit#gid=1251630045"",""articles_with_PRISMA_reasons!Y2:Y2113""), $A200=IMPORTRANGE(""https://docs.google.com/spreadsheets/d/1BJSV3WBYJGRhQ6z"&amp;"ExamkszQ5VutGIcaQqmbD9ZTVXMQ/edit#gid=1251630045"",""articles_with_PRISMA_reasons!B2:B2113""))&gt;=2,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$A200=IMPORTRANGE(""https://docs.google.com/spreadsheets/d/1BJSV3WBYJGRhQ6zExamkszQ5VutGIcaQqmbD9ZTVXMQ/edit#gid=1251630045"",""articles_with_PRISMA_reasons!B2:B2113""))&lt;2),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$A200=IMPORTRANGE(""https://docs.google.com/spreadsheets/d/1BJSV3WBYJGRhQ6zExamkszQ5VutGIcaQqmbD9ZTVXMQ/edit#gid=1251630045"",""arti"&amp;"cles_with_PRISMA_reasons!B2:B2113""))&lt;2,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$A200=IMPORTRANGE(""https://docs.google.com"&amp;"/spreadsheets/d/1BJSV3WBYJGRhQ6zExamkszQ5VutGIcaQqmbD9ZTVXMQ/edit#gid=1251630045"",""articles_with_PRISMA_reasons!B2:B2113""))&gt;=2),
""Exclude""
)"),"Exclude")</f>
        <v>Exclude</v>
      </c>
      <c r="E200" s="5" t="str">
        <f>IFERROR(__xludf.DUMMYFUNCTION("IFS(
D200=""Exclude"",""Exclude"",
AND(
FILTER(IMPORTRANGE(""https://docs.google.com/spreadsheets/d/1qpEmbGH0JjaJbUdp21-y2cPbobDbMjr09BbtdKROZWc/edit#gid=1444865654"",""articles_with_PRISMA_reasons!W2:W2113""), $A200=IMPORTRANGE(""https://docs.google.com/"&amp;"spreadsheets/d/1qpEmbGH0JjaJbUdp21-y2cPbobDbMjr09BbtdKROZWc/edit#gid=1444865654"",""articles_with_PRISMA_reasons!B2:B2113""))&gt;=2,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$A200=IMPORTRANGE(""https://docs.google.com/spreadsheets/d/1qpEmbGH0JjaJbUdp21-y2cPbobDbMjr09BbtdKROZWc/edit#gid=1444865654"",""articles_with_PRISMA_reasons!B2:B2113""))&lt;2),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$A200=IMPORTRANGE(""https://docs.google.com/spreadsheets/d/1qpEmbGH0JjaJbUdp21-y2cPbobDbMjr09BbtdKRO"&amp;"ZWc/edit#gid=1444865654"",""articles_with_PRISMA_reasons!B2:B2113""))&lt;2,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$A200=IMPOR"&amp;"TRANGE(""https://docs.google.com/spreadsheets/d/1qpEmbGH0JjaJbUdp21-y2cPbobDbMjr09BbtdKROZWc/edit#gid=1444865654"",""articles_with_PRISMA_reasons!B2:B2113""))&gt;=2),
""Exclude""
)"),"Exclude")</f>
        <v>Exclude</v>
      </c>
      <c r="F200" s="5" t="str">
        <f>IFERROR(__xludf.DUMMYFUNCTION("IFS(
E200=""Exclude"",""Exclude"",
AND(
COUNTIF(
IMPORTRANGE(""https://docs.google.com/spreadsheets/d/1kGrh75X1cNR1D7_FcY9zMnHP8iPO4M5RCRjy6nZY0TY/edit#gid=0"",""Table 1: Study characteristics!B4:B171""),A200)&gt;0,
COUNTIF(Studies!$A$2:$A$85,FILTER(IMPORTRA"&amp;"NGE(""https://docs.google.com/spreadsheets/d/1kGrh75X1cNR1D7_FcY9zMnHP8iPO4M5RCRjy6nZY0TY/edit#gid=0"",""Table 1: Study characteristics!A4:A171""), $A200=IMPORTRANGE(""https://docs.google.com/spreadsheets/d/1kGrh75X1cNR1D7_FcY9zMnHP8iPO4M5RCRjy6nZY0TY/edi"&amp;"t#gid=0"",""Table 1: Study characteristics!B4:B171"")))&gt;0
),
""Include""
)"),"Exclude")</f>
        <v>Exclude</v>
      </c>
      <c r="G200" s="5" t="str">
        <f>IFERROR(__xludf.DUMMYFUNCTION("IFS(
D200=""Exclude"",
FILTER(IMPORTRANGE(""https://docs.google.com/spreadsheets/d/1BJSV3WBYJGRhQ6zExamkszQ5VutGIcaQqmbD9ZTVXMQ/edit#gid=1251630045"",""articles_with_PRISMA_reasons!AB2:AB2113""), $A200=IMPORTRANGE(""https://docs.google.com/spreadsheets/d/"&amp;"1BJSV3WBYJGRhQ6zExamkszQ5VutGIcaQqmbD9ZTVXMQ/edit#gid=1251630045"",""articles_with_PRISMA_reasons!B2:B2113"")),
E200=""Exclude"",
FILTER(IMPORTRANGE(""https://docs.google.com/spreadsheets/d/1qpEmbGH0JjaJbUdp21-y2cPbobDbMjr09BbtdKROZWc/edit#gid=1444865654"&amp;""",""articles_with_PRISMA_reasons!Z2:Z2113""), $A200=IMPORTRANGE(""https://docs.google.com/spreadsheets/d/1qpEmbGH0JjaJbUdp21-y2cPbobDbMjr09BbtdKROZWc/edit#gid=1444865654"",""articles_with_PRISMA_reasons!B2:B2113"")),F200
=""Include"",FILTER(IMPORTRANGE("&amp;"""https://docs.google.com/spreadsheets/d/1kGrh75X1cNR1D7_FcY9zMnHP8iPO4M5RCRjy6nZY0TY/edit#gid=0"",""Table 1: Study characteristics!A4:A171""), $A200=IMPORTRANGE(""https://docs.google.com/spreadsheets/d/1kGrh75X1cNR1D7_FcY9zMnHP8iPO4M5RCRjy6nZY0TY/edit#gi"&amp;"d=0"",""Table 1: Study characteristics!B4:B171""))
)"),"wrong study design")</f>
        <v>wrong study design</v>
      </c>
    </row>
    <row r="201">
      <c r="A201" s="4" t="str">
        <f>IFERROR(__xludf.DUMMYFUNCTION("""COMPUTED_VALUE"""),"A ten year case history of air fluidized support")</f>
        <v>A ten year case history of air fluidized support</v>
      </c>
      <c r="B201" s="5" t="str">
        <f>IFERROR(__xludf.DUMMYFUNCTION("LEFT(FILTER(IMPORTRANGE(""https://docs.google.com/spreadsheets/d/1BJSV3WBYJGRhQ6zExamkszQ5VutGIcaQqmbD9ZTVXMQ/edit#gid=1251630045"",""articles_with_PRISMA_reasons!K2:K2113""), $A201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$A201=IMPORTRANGE(""https://docs.google.com/spreadsheets/d/1BJSV3WBYJGRhQ6zExamkszQ5VutGIcaQqmbD9ZTVXMQ/edit#gid=1251630045"",""articles_with_PRISMA_reasons!B2:B2113"")))-1)"),"Lieberman")</f>
        <v>Lieberman</v>
      </c>
      <c r="C201" s="6" t="str">
        <f>IFERROR(__xludf.DUMMYFUNCTION("FILTER(IMPORTRANGE(""https://docs.google.com/spreadsheets/d/1BJSV3WBYJGRhQ6zExamkszQ5VutGIcaQqmbD9ZTVXMQ/edit#gid=1251630045"",""articles_with_PRISMA_reasons!C2:C2113""), $A201=IMPORTRANGE(""https://docs.google.com/spreadsheets/d/1BJSV3WBYJGRhQ6zExamkszQ5"&amp;"VutGIcaQqmbD9ZTVXMQ/edit#gid=1251630045"",""articles_with_PRISMA_reasons!B2:B2113""))"),"Jun")</f>
        <v>Jun</v>
      </c>
      <c r="D201" s="5" t="str">
        <f>IFERROR(__xludf.DUMMYFUNCTION("IFS(AND(
FILTER(IMPORTRANGE(""https://docs.google.com/spreadsheets/d/1BJSV3WBYJGRhQ6zExamkszQ5VutGIcaQqmbD9ZTVXMQ/edit#gid=1251630045"",""articles_with_PRISMA_reasons!Y2:Y2113""), $A201=IMPORTRANGE(""https://docs.google.com/spreadsheets/d/1BJSV3WBYJGRhQ6z"&amp;"ExamkszQ5VutGIcaQqmbD9ZTVXMQ/edit#gid=1251630045"",""articles_with_PRISMA_reasons!B2:B2113""))&gt;=2,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$A201=IMPORTRANGE(""https://docs.google.com/spreadsheets/d/1BJSV3WBYJGRhQ6zExamkszQ5VutGIcaQqmbD9ZTVXMQ/edit#gid=1251630045"",""articles_with_PRISMA_reasons!B2:B2113""))&lt;2),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$A201=IMPORTRANGE(""https://docs.google.com/spreadsheets/d/1BJSV3WBYJGRhQ6zExamkszQ5VutGIcaQqmbD9ZTVXMQ/edit#gid=1251630045"",""arti"&amp;"cles_with_PRISMA_reasons!B2:B2113""))&lt;2,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$A201=IMPORTRANGE(""https://docs.google.com"&amp;"/spreadsheets/d/1BJSV3WBYJGRhQ6zExamkszQ5VutGIcaQqmbD9ZTVXMQ/edit#gid=1251630045"",""articles_with_PRISMA_reasons!B2:B2113""))&gt;=2),
""Exclude""
)"),"Exclude")</f>
        <v>Exclude</v>
      </c>
      <c r="E201" s="5" t="str">
        <f>IFERROR(__xludf.DUMMYFUNCTION("IFS(
D201=""Exclude"",""Exclude"",
AND(
FILTER(IMPORTRANGE(""https://docs.google.com/spreadsheets/d/1qpEmbGH0JjaJbUdp21-y2cPbobDbMjr09BbtdKROZWc/edit#gid=1444865654"",""articles_with_PRISMA_reasons!W2:W2113""), $A201=IMPORTRANGE(""https://docs.google.com/"&amp;"spreadsheets/d/1qpEmbGH0JjaJbUdp21-y2cPbobDbMjr09BbtdKROZWc/edit#gid=1444865654"",""articles_with_PRISMA_reasons!B2:B2113""))&gt;=2,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$A201=IMPORTRANGE(""https://docs.google.com/spreadsheets/d/1qpEmbGH0JjaJbUdp21-y2cPbobDbMjr09BbtdKROZWc/edit#gid=1444865654"",""articles_with_PRISMA_reasons!B2:B2113""))&lt;2),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$A201=IMPORTRANGE(""https://docs.google.com/spreadsheets/d/1qpEmbGH0JjaJbUdp21-y2cPbobDbMjr09BbtdKRO"&amp;"ZWc/edit#gid=1444865654"",""articles_with_PRISMA_reasons!B2:B2113""))&lt;2,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$A201=IMPOR"&amp;"TRANGE(""https://docs.google.com/spreadsheets/d/1qpEmbGH0JjaJbUdp21-y2cPbobDbMjr09BbtdKROZWc/edit#gid=1444865654"",""articles_with_PRISMA_reasons!B2:B2113""))&gt;=2),
""Exclude""
)"),"Exclude")</f>
        <v>Exclude</v>
      </c>
      <c r="F201" s="5" t="str">
        <f>IFERROR(__xludf.DUMMYFUNCTION("IFS(
E201=""Exclude"",""Exclude"",
AND(
COUNTIF(
IMPORTRANGE(""https://docs.google.com/spreadsheets/d/1kGrh75X1cNR1D7_FcY9zMnHP8iPO4M5RCRjy6nZY0TY/edit#gid=0"",""Table 1: Study characteristics!B4:B171""),A201)&gt;0,
COUNTIF(Studies!$A$2:$A$85,FILTER(IMPORTRA"&amp;"NGE(""https://docs.google.com/spreadsheets/d/1kGrh75X1cNR1D7_FcY9zMnHP8iPO4M5RCRjy6nZY0TY/edit#gid=0"",""Table 1: Study characteristics!A4:A171""), $A201=IMPORTRANGE(""https://docs.google.com/spreadsheets/d/1kGrh75X1cNR1D7_FcY9zMnHP8iPO4M5RCRjy6nZY0TY/edi"&amp;"t#gid=0"",""Table 1: Study characteristics!B4:B171"")))&gt;0
),
""Include""
)"),"Exclude")</f>
        <v>Exclude</v>
      </c>
      <c r="G201" s="5" t="str">
        <f>IFERROR(__xludf.DUMMYFUNCTION("IFS(
D201=""Exclude"",
FILTER(IMPORTRANGE(""https://docs.google.com/spreadsheets/d/1BJSV3WBYJGRhQ6zExamkszQ5VutGIcaQqmbD9ZTVXMQ/edit#gid=1251630045"",""articles_with_PRISMA_reasons!AB2:AB2113""), $A201=IMPORTRANGE(""https://docs.google.com/spreadsheets/d/"&amp;"1BJSV3WBYJGRhQ6zExamkszQ5VutGIcaQqmbD9ZTVXMQ/edit#gid=1251630045"",""articles_with_PRISMA_reasons!B2:B2113"")),
E201=""Exclude"",
FILTER(IMPORTRANGE(""https://docs.google.com/spreadsheets/d/1qpEmbGH0JjaJbUdp21-y2cPbobDbMjr09BbtdKROZWc/edit#gid=1444865654"&amp;""",""articles_with_PRISMA_reasons!Z2:Z2113""), $A201=IMPORTRANGE(""https://docs.google.com/spreadsheets/d/1qpEmbGH0JjaJbUdp21-y2cPbobDbMjr09BbtdKROZWc/edit#gid=1444865654"",""articles_with_PRISMA_reasons!B2:B2113"")),F201
=""Include"",FILTER(IMPORTRANGE("&amp;"""https://docs.google.com/spreadsheets/d/1kGrh75X1cNR1D7_FcY9zMnHP8iPO4M5RCRjy6nZY0TY/edit#gid=0"",""Table 1: Study characteristics!A4:A171""), $A201=IMPORTRANGE(""https://docs.google.com/spreadsheets/d/1kGrh75X1cNR1D7_FcY9zMnHP8iPO4M5RCRjy6nZY0TY/edit#gi"&amp;"d=0"",""Table 1: Study characteristics!B4:B171""))
)"),"wrong study design")</f>
        <v>wrong study design</v>
      </c>
    </row>
    <row r="202">
      <c r="A202" s="4" t="str">
        <f>IFERROR(__xludf.DUMMYFUNCTION("""COMPUTED_VALUE"""),"Abdominal Cerebrospinal Fluid Pseudocyst Diagnosed by Point-of-Care Ultrasound")</f>
        <v>Abdominal Cerebrospinal Fluid Pseudocyst Diagnosed by Point-of-Care Ultrasound</v>
      </c>
      <c r="B202" s="5" t="str">
        <f>IFERROR(__xludf.DUMMYFUNCTION("LEFT(FILTER(IMPORTRANGE(""https://docs.google.com/spreadsheets/d/1BJSV3WBYJGRhQ6zExamkszQ5VutGIcaQqmbD9ZTVXMQ/edit#gid=1251630045"",""articles_with_PRISMA_reasons!K2:K2113""), $A202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$A202=IMPORTRANGE(""https://docs.google.com/spreadsheets/d/1BJSV3WBYJGRhQ6zExamkszQ5VutGIcaQqmbD9ZTVXMQ/edit#gid=1251630045"",""articles_with_PRISMA_reasons!B2:B2113"")))-1)"),"Ivan")</f>
        <v>Ivan</v>
      </c>
      <c r="C202" s="6">
        <f>IFERROR(__xludf.DUMMYFUNCTION("FILTER(IMPORTRANGE(""https://docs.google.com/spreadsheets/d/1BJSV3WBYJGRhQ6zExamkszQ5VutGIcaQqmbD9ZTVXMQ/edit#gid=1251630045"",""articles_with_PRISMA_reasons!C2:C2113""), $A202=IMPORTRANGE(""https://docs.google.com/spreadsheets/d/1BJSV3WBYJGRhQ6zExamkszQ5"&amp;"VutGIcaQqmbD9ZTVXMQ/edit#gid=1251630045"",""articles_with_PRISMA_reasons!B2:B2113""))"),2016.0)</f>
        <v>2016</v>
      </c>
      <c r="D202" s="5" t="str">
        <f>IFERROR(__xludf.DUMMYFUNCTION("IFS(AND(
FILTER(IMPORTRANGE(""https://docs.google.com/spreadsheets/d/1BJSV3WBYJGRhQ6zExamkszQ5VutGIcaQqmbD9ZTVXMQ/edit#gid=1251630045"",""articles_with_PRISMA_reasons!Y2:Y2113""), $A202=IMPORTRANGE(""https://docs.google.com/spreadsheets/d/1BJSV3WBYJGRhQ6z"&amp;"ExamkszQ5VutGIcaQqmbD9ZTVXMQ/edit#gid=1251630045"",""articles_with_PRISMA_reasons!B2:B2113""))&gt;=2,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$A202=IMPORTRANGE(""https://docs.google.com/spreadsheets/d/1BJSV3WBYJGRhQ6zExamkszQ5VutGIcaQqmbD9ZTVXMQ/edit#gid=1251630045"",""articles_with_PRISMA_reasons!B2:B2113""))&lt;2),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$A202=IMPORTRANGE(""https://docs.google.com/spreadsheets/d/1BJSV3WBYJGRhQ6zExamkszQ5VutGIcaQqmbD9ZTVXMQ/edit#gid=1251630045"",""arti"&amp;"cles_with_PRISMA_reasons!B2:B2113""))&lt;2,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$A202=IMPORTRANGE(""https://docs.google.com"&amp;"/spreadsheets/d/1BJSV3WBYJGRhQ6zExamkszQ5VutGIcaQqmbD9ZTVXMQ/edit#gid=1251630045"",""articles_with_PRISMA_reasons!B2:B2113""))&gt;=2),
""Exclude""
)"),"Exclude")</f>
        <v>Exclude</v>
      </c>
      <c r="E202" s="5" t="str">
        <f>IFERROR(__xludf.DUMMYFUNCTION("IFS(
D202=""Exclude"",""Exclude"",
AND(
FILTER(IMPORTRANGE(""https://docs.google.com/spreadsheets/d/1qpEmbGH0JjaJbUdp21-y2cPbobDbMjr09BbtdKROZWc/edit#gid=1444865654"",""articles_with_PRISMA_reasons!W2:W2113""), $A202=IMPORTRANGE(""https://docs.google.com/"&amp;"spreadsheets/d/1qpEmbGH0JjaJbUdp21-y2cPbobDbMjr09BbtdKROZWc/edit#gid=1444865654"",""articles_with_PRISMA_reasons!B2:B2113""))&gt;=2,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$A202=IMPORTRANGE(""https://docs.google.com/spreadsheets/d/1qpEmbGH0JjaJbUdp21-y2cPbobDbMjr09BbtdKROZWc/edit#gid=1444865654"",""articles_with_PRISMA_reasons!B2:B2113""))&lt;2),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$A202=IMPORTRANGE(""https://docs.google.com/spreadsheets/d/1qpEmbGH0JjaJbUdp21-y2cPbobDbMjr09BbtdKRO"&amp;"ZWc/edit#gid=1444865654"",""articles_with_PRISMA_reasons!B2:B2113""))&lt;2,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$A202=IMPOR"&amp;"TRANGE(""https://docs.google.com/spreadsheets/d/1qpEmbGH0JjaJbUdp21-y2cPbobDbMjr09BbtdKROZWc/edit#gid=1444865654"",""articles_with_PRISMA_reasons!B2:B2113""))&gt;=2),
""Exclude""
)"),"Exclude")</f>
        <v>Exclude</v>
      </c>
      <c r="F202" s="5" t="str">
        <f>IFERROR(__xludf.DUMMYFUNCTION("IFS(
E202=""Exclude"",""Exclude"",
AND(
COUNTIF(
IMPORTRANGE(""https://docs.google.com/spreadsheets/d/1kGrh75X1cNR1D7_FcY9zMnHP8iPO4M5RCRjy6nZY0TY/edit#gid=0"",""Table 1: Study characteristics!B4:B171""),A202)&gt;0,
COUNTIF(Studies!$A$2:$A$85,FILTER(IMPORTRA"&amp;"NGE(""https://docs.google.com/spreadsheets/d/1kGrh75X1cNR1D7_FcY9zMnHP8iPO4M5RCRjy6nZY0TY/edit#gid=0"",""Table 1: Study characteristics!A4:A171""), $A202=IMPORTRANGE(""https://docs.google.com/spreadsheets/d/1kGrh75X1cNR1D7_FcY9zMnHP8iPO4M5RCRjy6nZY0TY/edi"&amp;"t#gid=0"",""Table 1: Study characteristics!B4:B171"")))&gt;0
),
""Include""
)"),"Exclude")</f>
        <v>Exclude</v>
      </c>
      <c r="G202" s="5" t="str">
        <f>IFERROR(__xludf.DUMMYFUNCTION("IFS(
D202=""Exclude"",
FILTER(IMPORTRANGE(""https://docs.google.com/spreadsheets/d/1BJSV3WBYJGRhQ6zExamkszQ5VutGIcaQqmbD9ZTVXMQ/edit#gid=1251630045"",""articles_with_PRISMA_reasons!AB2:AB2113""), $A202=IMPORTRANGE(""https://docs.google.com/spreadsheets/d/"&amp;"1BJSV3WBYJGRhQ6zExamkszQ5VutGIcaQqmbD9ZTVXMQ/edit#gid=1251630045"",""articles_with_PRISMA_reasons!B2:B2113"")),
E202=""Exclude"",
FILTER(IMPORTRANGE(""https://docs.google.com/spreadsheets/d/1qpEmbGH0JjaJbUdp21-y2cPbobDbMjr09BbtdKROZWc/edit#gid=1444865654"&amp;""",""articles_with_PRISMA_reasons!Z2:Z2113""), $A202=IMPORTRANGE(""https://docs.google.com/spreadsheets/d/1qpEmbGH0JjaJbUdp21-y2cPbobDbMjr09BbtdKROZWc/edit#gid=1444865654"",""articles_with_PRISMA_reasons!B2:B2113"")),F202
=""Include"",FILTER(IMPORTRANGE("&amp;"""https://docs.google.com/spreadsheets/d/1kGrh75X1cNR1D7_FcY9zMnHP8iPO4M5RCRjy6nZY0TY/edit#gid=0"",""Table 1: Study characteristics!A4:A171""), $A202=IMPORTRANGE(""https://docs.google.com/spreadsheets/d/1kGrh75X1cNR1D7_FcY9zMnHP8iPO4M5RCRjy6nZY0TY/edit#gi"&amp;"d=0"",""Table 1: Study characteristics!B4:B171""))
)"),"wrong study design")</f>
        <v>wrong study design</v>
      </c>
    </row>
    <row r="203">
      <c r="A203" s="4" t="str">
        <f>IFERROR(__xludf.DUMMYFUNCTION("""COMPUTED_VALUE"""),"Abdominal cerebrospinal fluid pseudocyst: A comparative analysis between children and adults")</f>
        <v>Abdominal cerebrospinal fluid pseudocyst: A comparative analysis between children and adults</v>
      </c>
      <c r="B203" s="5" t="str">
        <f>IFERROR(__xludf.DUMMYFUNCTION("LEFT(FILTER(IMPORTRANGE(""https://docs.google.com/spreadsheets/d/1BJSV3WBYJGRhQ6zExamkszQ5VutGIcaQqmbD9ZTVXMQ/edit#gid=1251630045"",""articles_with_PRISMA_reasons!K2:K2113""), $A203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$A203=IMPORTRANGE(""https://docs.google.com/spreadsheets/d/1BJSV3WBYJGRhQ6zExamkszQ5VutGIcaQqmbD9ZTVXMQ/edit#gid=1251630045"",""articles_with_PRISMA_reasons!B2:B2113"")))-1)"),"Dabdoub")</f>
        <v>Dabdoub</v>
      </c>
      <c r="C203" s="6">
        <f>IFERROR(__xludf.DUMMYFUNCTION("FILTER(IMPORTRANGE(""https://docs.google.com/spreadsheets/d/1BJSV3WBYJGRhQ6zExamkszQ5VutGIcaQqmbD9ZTVXMQ/edit#gid=1251630045"",""articles_with_PRISMA_reasons!C2:C2113""), $A203=IMPORTRANGE(""https://docs.google.com/spreadsheets/d/1BJSV3WBYJGRhQ6zExamkszQ5"&amp;"VutGIcaQqmbD9ZTVXMQ/edit#gid=1251630045"",""articles_with_PRISMA_reasons!B2:B2113""))"),2014.0)</f>
        <v>2014</v>
      </c>
      <c r="D203" s="5" t="str">
        <f>IFERROR(__xludf.DUMMYFUNCTION("IFS(AND(
FILTER(IMPORTRANGE(""https://docs.google.com/spreadsheets/d/1BJSV3WBYJGRhQ6zExamkszQ5VutGIcaQqmbD9ZTVXMQ/edit#gid=1251630045"",""articles_with_PRISMA_reasons!Y2:Y2113""), $A203=IMPORTRANGE(""https://docs.google.com/spreadsheets/d/1BJSV3WBYJGRhQ6z"&amp;"ExamkszQ5VutGIcaQqmbD9ZTVXMQ/edit#gid=1251630045"",""articles_with_PRISMA_reasons!B2:B2113""))&gt;=2,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$A203=IMPORTRANGE(""https://docs.google.com/spreadsheets/d/1BJSV3WBYJGRhQ6zExamkszQ5VutGIcaQqmbD9ZTVXMQ/edit#gid=1251630045"",""articles_with_PRISMA_reasons!B2:B2113""))&lt;2),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$A203=IMPORTRANGE(""https://docs.google.com/spreadsheets/d/1BJSV3WBYJGRhQ6zExamkszQ5VutGIcaQqmbD9ZTVXMQ/edit#gid=1251630045"",""arti"&amp;"cles_with_PRISMA_reasons!B2:B2113""))&lt;2,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$A203=IMPORTRANGE(""https://docs.google.com"&amp;"/spreadsheets/d/1BJSV3WBYJGRhQ6zExamkszQ5VutGIcaQqmbD9ZTVXMQ/edit#gid=1251630045"",""articles_with_PRISMA_reasons!B2:B2113""))&gt;=2),
""Exclude""
)"),"Exclude")</f>
        <v>Exclude</v>
      </c>
      <c r="E203" s="5" t="str">
        <f>IFERROR(__xludf.DUMMYFUNCTION("IFS(
D203=""Exclude"",""Exclude"",
AND(
FILTER(IMPORTRANGE(""https://docs.google.com/spreadsheets/d/1qpEmbGH0JjaJbUdp21-y2cPbobDbMjr09BbtdKROZWc/edit#gid=1444865654"",""articles_with_PRISMA_reasons!W2:W2113""), $A203=IMPORTRANGE(""https://docs.google.com/"&amp;"spreadsheets/d/1qpEmbGH0JjaJbUdp21-y2cPbobDbMjr09BbtdKROZWc/edit#gid=1444865654"",""articles_with_PRISMA_reasons!B2:B2113""))&gt;=2,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$A203=IMPORTRANGE(""https://docs.google.com/spreadsheets/d/1qpEmbGH0JjaJbUdp21-y2cPbobDbMjr09BbtdKROZWc/edit#gid=1444865654"",""articles_with_PRISMA_reasons!B2:B2113""))&lt;2),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$A203=IMPORTRANGE(""https://docs.google.com/spreadsheets/d/1qpEmbGH0JjaJbUdp21-y2cPbobDbMjr09BbtdKRO"&amp;"ZWc/edit#gid=1444865654"",""articles_with_PRISMA_reasons!B2:B2113""))&lt;2,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$A203=IMPOR"&amp;"TRANGE(""https://docs.google.com/spreadsheets/d/1qpEmbGH0JjaJbUdp21-y2cPbobDbMjr09BbtdKROZWc/edit#gid=1444865654"",""articles_with_PRISMA_reasons!B2:B2113""))&gt;=2),
""Exclude""
)"),"Exclude")</f>
        <v>Exclude</v>
      </c>
      <c r="F203" s="5" t="str">
        <f>IFERROR(__xludf.DUMMYFUNCTION("IFS(
E203=""Exclude"",""Exclude"",
AND(
COUNTIF(
IMPORTRANGE(""https://docs.google.com/spreadsheets/d/1kGrh75X1cNR1D7_FcY9zMnHP8iPO4M5RCRjy6nZY0TY/edit#gid=0"",""Table 1: Study characteristics!B4:B171""),A203)&gt;0,
COUNTIF(Studies!$A$2:$A$85,FILTER(IMPORTRA"&amp;"NGE(""https://docs.google.com/spreadsheets/d/1kGrh75X1cNR1D7_FcY9zMnHP8iPO4M5RCRjy6nZY0TY/edit#gid=0"",""Table 1: Study characteristics!A4:A171""), $A203=IMPORTRANGE(""https://docs.google.com/spreadsheets/d/1kGrh75X1cNR1D7_FcY9zMnHP8iPO4M5RCRjy6nZY0TY/edi"&amp;"t#gid=0"",""Table 1: Study characteristics!B4:B171"")))&gt;0
),
""Include""
)"),"Exclude")</f>
        <v>Exclude</v>
      </c>
      <c r="G203" s="5" t="str">
        <f>IFERROR(__xludf.DUMMYFUNCTION("IFS(
D203=""Exclude"",
FILTER(IMPORTRANGE(""https://docs.google.com/spreadsheets/d/1BJSV3WBYJGRhQ6zExamkszQ5VutGIcaQqmbD9ZTVXMQ/edit#gid=1251630045"",""articles_with_PRISMA_reasons!AB2:AB2113""), $A203=IMPORTRANGE(""https://docs.google.com/spreadsheets/d/"&amp;"1BJSV3WBYJGRhQ6zExamkszQ5VutGIcaQqmbD9ZTVXMQ/edit#gid=1251630045"",""articles_with_PRISMA_reasons!B2:B2113"")),
E203=""Exclude"",
FILTER(IMPORTRANGE(""https://docs.google.com/spreadsheets/d/1qpEmbGH0JjaJbUdp21-y2cPbobDbMjr09BbtdKROZWc/edit#gid=1444865654"&amp;""",""articles_with_PRISMA_reasons!Z2:Z2113""), $A203=IMPORTRANGE(""https://docs.google.com/spreadsheets/d/1qpEmbGH0JjaJbUdp21-y2cPbobDbMjr09BbtdKROZWc/edit#gid=1444865654"",""articles_with_PRISMA_reasons!B2:B2113"")),F203
=""Include"",FILTER(IMPORTRANGE("&amp;"""https://docs.google.com/spreadsheets/d/1kGrh75X1cNR1D7_FcY9zMnHP8iPO4M5RCRjy6nZY0TY/edit#gid=0"",""Table 1: Study characteristics!A4:A171""), $A203=IMPORTRANGE(""https://docs.google.com/spreadsheets/d/1kGrh75X1cNR1D7_FcY9zMnHP8iPO4M5RCRjy6nZY0TY/edit#gi"&amp;"d=0"",""Table 1: Study characteristics!B4:B171""))
)"),"wrong study design")</f>
        <v>wrong study design</v>
      </c>
    </row>
    <row r="204">
      <c r="A204" s="4" t="str">
        <f>IFERROR(__xludf.DUMMYFUNCTION("""COMPUTED_VALUE"""),"Abdominal Complications of Ventriculoperitoneal Shunt in Pediatric Patients: Experiences of a Pediatric Surgery Clinic")</f>
        <v>Abdominal Complications of Ventriculoperitoneal Shunt in Pediatric Patients: Experiences of a Pediatric Surgery Clinic</v>
      </c>
      <c r="B204" s="5" t="str">
        <f>IFERROR(__xludf.DUMMYFUNCTION("LEFT(FILTER(IMPORTRANGE(""https://docs.google.com/spreadsheets/d/1BJSV3WBYJGRhQ6zExamkszQ5VutGIcaQqmbD9ZTVXMQ/edit#gid=1251630045"",""articles_with_PRISMA_reasons!K2:K2113""), $A204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$A204=IMPORTRANGE(""https://docs.google.com/spreadsheets/d/1BJSV3WBYJGRhQ6zExamkszQ5VutGIcaQqmbD9ZTVXMQ/edit#gid=1251630045"",""articles_with_PRISMA_reasons!B2:B2113"")))-1)"),"Burhan")</f>
        <v>Burhan</v>
      </c>
      <c r="C204" s="6">
        <f>IFERROR(__xludf.DUMMYFUNCTION("FILTER(IMPORTRANGE(""https://docs.google.com/spreadsheets/d/1BJSV3WBYJGRhQ6zExamkszQ5VutGIcaQqmbD9ZTVXMQ/edit#gid=1251630045"",""articles_with_PRISMA_reasons!C2:C2113""), $A204=IMPORTRANGE(""https://docs.google.com/spreadsheets/d/1BJSV3WBYJGRhQ6zExamkszQ5"&amp;"VutGIcaQqmbD9ZTVXMQ/edit#gid=1251630045"",""articles_with_PRISMA_reasons!B2:B2113""))"),2018.0)</f>
        <v>2018</v>
      </c>
      <c r="D204" s="5" t="str">
        <f>IFERROR(__xludf.DUMMYFUNCTION("IFS(AND(
FILTER(IMPORTRANGE(""https://docs.google.com/spreadsheets/d/1BJSV3WBYJGRhQ6zExamkszQ5VutGIcaQqmbD9ZTVXMQ/edit#gid=1251630045"",""articles_with_PRISMA_reasons!Y2:Y2113""), $A204=IMPORTRANGE(""https://docs.google.com/spreadsheets/d/1BJSV3WBYJGRhQ6z"&amp;"ExamkszQ5VutGIcaQqmbD9ZTVXMQ/edit#gid=1251630045"",""articles_with_PRISMA_reasons!B2:B2113""))&gt;=2,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$A204=IMPORTRANGE(""https://docs.google.com/spreadsheets/d/1BJSV3WBYJGRhQ6zExamkszQ5VutGIcaQqmbD9ZTVXMQ/edit#gid=1251630045"",""articles_with_PRISMA_reasons!B2:B2113""))&lt;2),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$A204=IMPORTRANGE(""https://docs.google.com/spreadsheets/d/1BJSV3WBYJGRhQ6zExamkszQ5VutGIcaQqmbD9ZTVXMQ/edit#gid=1251630045"",""arti"&amp;"cles_with_PRISMA_reasons!B2:B2113""))&lt;2,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$A204=IMPORTRANGE(""https://docs.google.com"&amp;"/spreadsheets/d/1BJSV3WBYJGRhQ6zExamkszQ5VutGIcaQqmbD9ZTVXMQ/edit#gid=1251630045"",""articles_with_PRISMA_reasons!B2:B2113""))&gt;=2),
""Exclude""
)"),"Exclude")</f>
        <v>Exclude</v>
      </c>
      <c r="E204" s="5" t="str">
        <f>IFERROR(__xludf.DUMMYFUNCTION("IFS(
D204=""Exclude"",""Exclude"",
AND(
FILTER(IMPORTRANGE(""https://docs.google.com/spreadsheets/d/1qpEmbGH0JjaJbUdp21-y2cPbobDbMjr09BbtdKROZWc/edit#gid=1444865654"",""articles_with_PRISMA_reasons!W2:W2113""), $A204=IMPORTRANGE(""https://docs.google.com/"&amp;"spreadsheets/d/1qpEmbGH0JjaJbUdp21-y2cPbobDbMjr09BbtdKROZWc/edit#gid=1444865654"",""articles_with_PRISMA_reasons!B2:B2113""))&gt;=2,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$A204=IMPORTRANGE(""https://docs.google.com/spreadsheets/d/1qpEmbGH0JjaJbUdp21-y2cPbobDbMjr09BbtdKROZWc/edit#gid=1444865654"",""articles_with_PRISMA_reasons!B2:B2113""))&lt;2),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$A204=IMPORTRANGE(""https://docs.google.com/spreadsheets/d/1qpEmbGH0JjaJbUdp21-y2cPbobDbMjr09BbtdKRO"&amp;"ZWc/edit#gid=1444865654"",""articles_with_PRISMA_reasons!B2:B2113""))&lt;2,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$A204=IMPOR"&amp;"TRANGE(""https://docs.google.com/spreadsheets/d/1qpEmbGH0JjaJbUdp21-y2cPbobDbMjr09BbtdKROZWc/edit#gid=1444865654"",""articles_with_PRISMA_reasons!B2:B2113""))&gt;=2),
""Exclude""
)"),"Exclude")</f>
        <v>Exclude</v>
      </c>
      <c r="F204" s="5" t="str">
        <f>IFERROR(__xludf.DUMMYFUNCTION("IFS(
E204=""Exclude"",""Exclude"",
AND(
COUNTIF(
IMPORTRANGE(""https://docs.google.com/spreadsheets/d/1kGrh75X1cNR1D7_FcY9zMnHP8iPO4M5RCRjy6nZY0TY/edit#gid=0"",""Table 1: Study characteristics!B4:B171""),A204)&gt;0,
COUNTIF(Studies!$A$2:$A$85,FILTER(IMPORTRA"&amp;"NGE(""https://docs.google.com/spreadsheets/d/1kGrh75X1cNR1D7_FcY9zMnHP8iPO4M5RCRjy6nZY0TY/edit#gid=0"",""Table 1: Study characteristics!A4:A171""), $A204=IMPORTRANGE(""https://docs.google.com/spreadsheets/d/1kGrh75X1cNR1D7_FcY9zMnHP8iPO4M5RCRjy6nZY0TY/edi"&amp;"t#gid=0"",""Table 1: Study characteristics!B4:B171"")))&gt;0
),
""Include""
)"),"Exclude")</f>
        <v>Exclude</v>
      </c>
      <c r="G204" s="5" t="str">
        <f>IFERROR(__xludf.DUMMYFUNCTION("IFS(
D204=""Exclude"",
FILTER(IMPORTRANGE(""https://docs.google.com/spreadsheets/d/1BJSV3WBYJGRhQ6zExamkszQ5VutGIcaQqmbD9ZTVXMQ/edit#gid=1251630045"",""articles_with_PRISMA_reasons!AB2:AB2113""), $A204=IMPORTRANGE(""https://docs.google.com/spreadsheets/d/"&amp;"1BJSV3WBYJGRhQ6zExamkszQ5VutGIcaQqmbD9ZTVXMQ/edit#gid=1251630045"",""articles_with_PRISMA_reasons!B2:B2113"")),
E204=""Exclude"",
FILTER(IMPORTRANGE(""https://docs.google.com/spreadsheets/d/1qpEmbGH0JjaJbUdp21-y2cPbobDbMjr09BbtdKROZWc/edit#gid=1444865654"&amp;""",""articles_with_PRISMA_reasons!Z2:Z2113""), $A204=IMPORTRANGE(""https://docs.google.com/spreadsheets/d/1qpEmbGH0JjaJbUdp21-y2cPbobDbMjr09BbtdKROZWc/edit#gid=1444865654"",""articles_with_PRISMA_reasons!B2:B2113"")),F204
=""Include"",FILTER(IMPORTRANGE("&amp;"""https://docs.google.com/spreadsheets/d/1kGrh75X1cNR1D7_FcY9zMnHP8iPO4M5RCRjy6nZY0TY/edit#gid=0"",""Table 1: Study characteristics!A4:A171""), $A204=IMPORTRANGE(""https://docs.google.com/spreadsheets/d/1kGrh75X1cNR1D7_FcY9zMnHP8iPO4M5RCRjy6nZY0TY/edit#gi"&amp;"d=0"",""Table 1: Study characteristics!B4:B171""))
)"),"wrong population")</f>
        <v>wrong population</v>
      </c>
    </row>
    <row r="205">
      <c r="A205" s="4" t="str">
        <f>IFERROR(__xludf.DUMMYFUNCTION("""COMPUTED_VALUE"""),"Abdominal Pseudocysts and Peritoneal Catheter Revisions: Surgical Long-Term Results in Pediatric Hydrocephalus")</f>
        <v>Abdominal Pseudocysts and Peritoneal Catheter Revisions: Surgical Long-Term Results in Pediatric Hydrocephalus</v>
      </c>
      <c r="B205" s="5" t="str">
        <f>IFERROR(__xludf.DUMMYFUNCTION("LEFT(FILTER(IMPORTRANGE(""https://docs.google.com/spreadsheets/d/1BJSV3WBYJGRhQ6zExamkszQ5VutGIcaQqmbD9ZTVXMQ/edit#gid=1251630045"",""articles_with_PRISMA_reasons!K2:K2113""), $A205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$A205=IMPORTRANGE(""https://docs.google.com/spreadsheets/d/1BJSV3WBYJGRhQ6zExamkszQ5VutGIcaQqmbD9ZTVXMQ/edit#gid=1251630045"",""articles_with_PRISMA_reasons!B2:B2113"")))-1)"),"Gmeiner")</f>
        <v>Gmeiner</v>
      </c>
      <c r="C205" s="6">
        <f>IFERROR(__xludf.DUMMYFUNCTION("FILTER(IMPORTRANGE(""https://docs.google.com/spreadsheets/d/1BJSV3WBYJGRhQ6zExamkszQ5VutGIcaQqmbD9ZTVXMQ/edit#gid=1251630045"",""articles_with_PRISMA_reasons!C2:C2113""), $A205=IMPORTRANGE(""https://docs.google.com/spreadsheets/d/1BJSV3WBYJGRhQ6zExamkszQ5"&amp;"VutGIcaQqmbD9ZTVXMQ/edit#gid=1251630045"",""articles_with_PRISMA_reasons!B2:B2113""))"),2018.0)</f>
        <v>2018</v>
      </c>
      <c r="D205" s="5" t="str">
        <f>IFERROR(__xludf.DUMMYFUNCTION("IFS(AND(
FILTER(IMPORTRANGE(""https://docs.google.com/spreadsheets/d/1BJSV3WBYJGRhQ6zExamkszQ5VutGIcaQqmbD9ZTVXMQ/edit#gid=1251630045"",""articles_with_PRISMA_reasons!Y2:Y2113""), $A205=IMPORTRANGE(""https://docs.google.com/spreadsheets/d/1BJSV3WBYJGRhQ6z"&amp;"ExamkszQ5VutGIcaQqmbD9ZTVXMQ/edit#gid=1251630045"",""articles_with_PRISMA_reasons!B2:B2113""))&gt;=2,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$A205=IMPORTRANGE(""https://docs.google.com/spreadsheets/d/1BJSV3WBYJGRhQ6zExamkszQ5VutGIcaQqmbD9ZTVXMQ/edit#gid=1251630045"",""articles_with_PRISMA_reasons!B2:B2113""))&lt;2),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$A205=IMPORTRANGE(""https://docs.google.com/spreadsheets/d/1BJSV3WBYJGRhQ6zExamkszQ5VutGIcaQqmbD9ZTVXMQ/edit#gid=1251630045"",""arti"&amp;"cles_with_PRISMA_reasons!B2:B2113""))&lt;2,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$A205=IMPORTRANGE(""https://docs.google.com"&amp;"/spreadsheets/d/1BJSV3WBYJGRhQ6zExamkszQ5VutGIcaQqmbD9ZTVXMQ/edit#gid=1251630045"",""articles_with_PRISMA_reasons!B2:B2113""))&gt;=2),
""Exclude""
)"),"Exclude")</f>
        <v>Exclude</v>
      </c>
      <c r="E205" s="5" t="str">
        <f>IFERROR(__xludf.DUMMYFUNCTION("IFS(
D205=""Exclude"",""Exclude"",
AND(
FILTER(IMPORTRANGE(""https://docs.google.com/spreadsheets/d/1qpEmbGH0JjaJbUdp21-y2cPbobDbMjr09BbtdKROZWc/edit#gid=1444865654"",""articles_with_PRISMA_reasons!W2:W2113""), $A205=IMPORTRANGE(""https://docs.google.com/"&amp;"spreadsheets/d/1qpEmbGH0JjaJbUdp21-y2cPbobDbMjr09BbtdKROZWc/edit#gid=1444865654"",""articles_with_PRISMA_reasons!B2:B2113""))&gt;=2,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$A205=IMPORTRANGE(""https://docs.google.com/spreadsheets/d/1qpEmbGH0JjaJbUdp21-y2cPbobDbMjr09BbtdKROZWc/edit#gid=1444865654"",""articles_with_PRISMA_reasons!B2:B2113""))&lt;2),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$A205=IMPORTRANGE(""https://docs.google.com/spreadsheets/d/1qpEmbGH0JjaJbUdp21-y2cPbobDbMjr09BbtdKRO"&amp;"ZWc/edit#gid=1444865654"",""articles_with_PRISMA_reasons!B2:B2113""))&lt;2,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$A205=IMPOR"&amp;"TRANGE(""https://docs.google.com/spreadsheets/d/1qpEmbGH0JjaJbUdp21-y2cPbobDbMjr09BbtdKROZWc/edit#gid=1444865654"",""articles_with_PRISMA_reasons!B2:B2113""))&gt;=2),
""Exclude""
)"),"Exclude")</f>
        <v>Exclude</v>
      </c>
      <c r="F205" s="5" t="str">
        <f>IFERROR(__xludf.DUMMYFUNCTION("IFS(
E205=""Exclude"",""Exclude"",
AND(
COUNTIF(
IMPORTRANGE(""https://docs.google.com/spreadsheets/d/1kGrh75X1cNR1D7_FcY9zMnHP8iPO4M5RCRjy6nZY0TY/edit#gid=0"",""Table 1: Study characteristics!B4:B171""),A205)&gt;0,
COUNTIF(Studies!$A$2:$A$85,FILTER(IMPORTRA"&amp;"NGE(""https://docs.google.com/spreadsheets/d/1kGrh75X1cNR1D7_FcY9zMnHP8iPO4M5RCRjy6nZY0TY/edit#gid=0"",""Table 1: Study characteristics!A4:A171""), $A205=IMPORTRANGE(""https://docs.google.com/spreadsheets/d/1kGrh75X1cNR1D7_FcY9zMnHP8iPO4M5RCRjy6nZY0TY/edi"&amp;"t#gid=0"",""Table 1: Study characteristics!B4:B171"")))&gt;0
),
""Include""
)"),"Exclude")</f>
        <v>Exclude</v>
      </c>
      <c r="G205" s="5" t="str">
        <f>IFERROR(__xludf.DUMMYFUNCTION("IFS(
D205=""Exclude"",
FILTER(IMPORTRANGE(""https://docs.google.com/spreadsheets/d/1BJSV3WBYJGRhQ6zExamkszQ5VutGIcaQqmbD9ZTVXMQ/edit#gid=1251630045"",""articles_with_PRISMA_reasons!AB2:AB2113""), $A205=IMPORTRANGE(""https://docs.google.com/spreadsheets/d/"&amp;"1BJSV3WBYJGRhQ6zExamkszQ5VutGIcaQqmbD9ZTVXMQ/edit#gid=1251630045"",""articles_with_PRISMA_reasons!B2:B2113"")),
E205=""Exclude"",
FILTER(IMPORTRANGE(""https://docs.google.com/spreadsheets/d/1qpEmbGH0JjaJbUdp21-y2cPbobDbMjr09BbtdKROZWc/edit#gid=1444865654"&amp;""",""articles_with_PRISMA_reasons!Z2:Z2113""), $A205=IMPORTRANGE(""https://docs.google.com/spreadsheets/d/1qpEmbGH0JjaJbUdp21-y2cPbobDbMjr09BbtdKROZWc/edit#gid=1444865654"",""articles_with_PRISMA_reasons!B2:B2113"")),F205
=""Include"",FILTER(IMPORTRANGE("&amp;"""https://docs.google.com/spreadsheets/d/1kGrh75X1cNR1D7_FcY9zMnHP8iPO4M5RCRjy6nZY0TY/edit#gid=0"",""Table 1: Study characteristics!A4:A171""), $A205=IMPORTRANGE(""https://docs.google.com/spreadsheets/d/1kGrh75X1cNR1D7_FcY9zMnHP8iPO4M5RCRjy6nZY0TY/edit#gi"&amp;"d=0"",""Table 1: Study characteristics!B4:B171""))
)"),"wrong population")</f>
        <v>wrong population</v>
      </c>
    </row>
    <row r="206">
      <c r="A206" s="4" t="str">
        <f>IFERROR(__xludf.DUMMYFUNCTION("""COMPUTED_VALUE"""),"Abnormal anisotropic diffusion properties in pediatric myelomeningocele patients treated with fetal surgery: an initial DTI study")</f>
        <v>Abnormal anisotropic diffusion properties in pediatric myelomeningocele patients treated with fetal surgery: an initial DTI study</v>
      </c>
      <c r="B206" s="5" t="str">
        <f>IFERROR(__xludf.DUMMYFUNCTION("LEFT(FILTER(IMPORTRANGE(""https://docs.google.com/spreadsheets/d/1BJSV3WBYJGRhQ6zExamkszQ5VutGIcaQqmbD9ZTVXMQ/edit#gid=1251630045"",""articles_with_PRISMA_reasons!K2:K2113""), $A206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$A206=IMPORTRANGE(""https://docs.google.com/spreadsheets/d/1BJSV3WBYJGRhQ6zExamkszQ5VutGIcaQqmbD9ZTVXMQ/edit#gid=1251630045"",""articles_with_PRISMA_reasons!B2:B2113"")))-1)"),"Mangano")</f>
        <v>Mangano</v>
      </c>
      <c r="C206" s="6">
        <f>IFERROR(__xludf.DUMMYFUNCTION("FILTER(IMPORTRANGE(""https://docs.google.com/spreadsheets/d/1BJSV3WBYJGRhQ6zExamkszQ5VutGIcaQqmbD9ZTVXMQ/edit#gid=1251630045"",""articles_with_PRISMA_reasons!C2:C2113""), $A206=IMPORTRANGE(""https://docs.google.com/spreadsheets/d/1BJSV3WBYJGRhQ6zExamkszQ5"&amp;"VutGIcaQqmbD9ZTVXMQ/edit#gid=1251630045"",""articles_with_PRISMA_reasons!B2:B2113""))"),2020.0)</f>
        <v>2020</v>
      </c>
      <c r="D206" s="5" t="str">
        <f>IFERROR(__xludf.DUMMYFUNCTION("IFS(AND(
FILTER(IMPORTRANGE(""https://docs.google.com/spreadsheets/d/1BJSV3WBYJGRhQ6zExamkszQ5VutGIcaQqmbD9ZTVXMQ/edit#gid=1251630045"",""articles_with_PRISMA_reasons!Y2:Y2113""), $A206=IMPORTRANGE(""https://docs.google.com/spreadsheets/d/1BJSV3WBYJGRhQ6z"&amp;"ExamkszQ5VutGIcaQqmbD9ZTVXMQ/edit#gid=1251630045"",""articles_with_PRISMA_reasons!B2:B2113""))&gt;=2,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$A206=IMPORTRANGE(""https://docs.google.com/spreadsheets/d/1BJSV3WBYJGRhQ6zExamkszQ5VutGIcaQqmbD9ZTVXMQ/edit#gid=1251630045"",""articles_with_PRISMA_reasons!B2:B2113""))&lt;2),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$A206=IMPORTRANGE(""https://docs.google.com/spreadsheets/d/1BJSV3WBYJGRhQ6zExamkszQ5VutGIcaQqmbD9ZTVXMQ/edit#gid=1251630045"",""arti"&amp;"cles_with_PRISMA_reasons!B2:B2113""))&lt;2,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$A206=IMPORTRANGE(""https://docs.google.com"&amp;"/spreadsheets/d/1BJSV3WBYJGRhQ6zExamkszQ5VutGIcaQqmbD9ZTVXMQ/edit#gid=1251630045"",""articles_with_PRISMA_reasons!B2:B2113""))&gt;=2),
""Exclude""
)"),"Include")</f>
        <v>Include</v>
      </c>
      <c r="E206" s="5" t="str">
        <f>IFERROR(__xludf.DUMMYFUNCTION("IFS(
D206=""Exclude"",""Exclude"",
AND(
FILTER(IMPORTRANGE(""https://docs.google.com/spreadsheets/d/1qpEmbGH0JjaJbUdp21-y2cPbobDbMjr09BbtdKROZWc/edit#gid=1444865654"",""articles_with_PRISMA_reasons!W2:W2113""), $A206=IMPORTRANGE(""https://docs.google.com/"&amp;"spreadsheets/d/1qpEmbGH0JjaJbUdp21-y2cPbobDbMjr09BbtdKROZWc/edit#gid=1444865654"",""articles_with_PRISMA_reasons!B2:B2113""))&gt;=2,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$A206=IMPORTRANGE(""https://docs.google.com/spreadsheets/d/1qpEmbGH0JjaJbUdp21-y2cPbobDbMjr09BbtdKROZWc/edit#gid=1444865654"",""articles_with_PRISMA_reasons!B2:B2113""))&lt;2),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$A206=IMPORTRANGE(""https://docs.google.com/spreadsheets/d/1qpEmbGH0JjaJbUdp21-y2cPbobDbMjr09BbtdKRO"&amp;"ZWc/edit#gid=1444865654"",""articles_with_PRISMA_reasons!B2:B2113""))&lt;2,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$A206=IMPOR"&amp;"TRANGE(""https://docs.google.com/spreadsheets/d/1qpEmbGH0JjaJbUdp21-y2cPbobDbMjr09BbtdKROZWc/edit#gid=1444865654"",""articles_with_PRISMA_reasons!B2:B2113""))&gt;=2),
""Exclude""
)"),"Exclude")</f>
        <v>Exclude</v>
      </c>
      <c r="F206" s="5" t="str">
        <f>IFERROR(__xludf.DUMMYFUNCTION("IFS(
E206=""Exclude"",""Exclude"",
AND(
COUNTIF(
IMPORTRANGE(""https://docs.google.com/spreadsheets/d/1kGrh75X1cNR1D7_FcY9zMnHP8iPO4M5RCRjy6nZY0TY/edit#gid=0"",""Table 1: Study characteristics!B4:B171""),A206)&gt;0,
COUNTIF(Studies!$A$2:$A$85,FILTER(IMPORTRA"&amp;"NGE(""https://docs.google.com/spreadsheets/d/1kGrh75X1cNR1D7_FcY9zMnHP8iPO4M5RCRjy6nZY0TY/edit#gid=0"",""Table 1: Study characteristics!A4:A171""), $A206=IMPORTRANGE(""https://docs.google.com/spreadsheets/d/1kGrh75X1cNR1D7_FcY9zMnHP8iPO4M5RCRjy6nZY0TY/edi"&amp;"t#gid=0"",""Table 1: Study characteristics!B4:B171"")))&gt;0
),
""Include""
)"),"Exclude")</f>
        <v>Exclude</v>
      </c>
      <c r="G206" s="5" t="str">
        <f>IFERROR(__xludf.DUMMYFUNCTION("IFS(
D206=""Exclude"",
FILTER(IMPORTRANGE(""https://docs.google.com/spreadsheets/d/1BJSV3WBYJGRhQ6zExamkszQ5VutGIcaQqmbD9ZTVXMQ/edit#gid=1251630045"",""articles_with_PRISMA_reasons!AB2:AB2113""), $A206=IMPORTRANGE(""https://docs.google.com/spreadsheets/d/"&amp;"1BJSV3WBYJGRhQ6zExamkszQ5VutGIcaQqmbD9ZTVXMQ/edit#gid=1251630045"",""articles_with_PRISMA_reasons!B2:B2113"")),
E206=""Exclude"",
FILTER(IMPORTRANGE(""https://docs.google.com/spreadsheets/d/1qpEmbGH0JjaJbUdp21-y2cPbobDbMjr09BbtdKROZWc/edit#gid=1444865654"&amp;""",""articles_with_PRISMA_reasons!Z2:Z2113""), $A206=IMPORTRANGE(""https://docs.google.com/spreadsheets/d/1qpEmbGH0JjaJbUdp21-y2cPbobDbMjr09BbtdKROZWc/edit#gid=1444865654"",""articles_with_PRISMA_reasons!B2:B2113"")),F206
=""Include"",FILTER(IMPORTRANGE("&amp;"""https://docs.google.com/spreadsheets/d/1kGrh75X1cNR1D7_FcY9zMnHP8iPO4M5RCRjy6nZY0TY/edit#gid=0"",""Table 1: Study characteristics!A4:A171""), $A206=IMPORTRANGE(""https://docs.google.com/spreadsheets/d/1kGrh75X1cNR1D7_FcY9zMnHP8iPO4M5RCRjy6nZY0TY/edit#gi"&amp;"d=0"",""Table 1: Study characteristics!B4:B171""))
)"),"wrong intervention")</f>
        <v>wrong intervention</v>
      </c>
    </row>
    <row r="207">
      <c r="A207" s="4" t="str">
        <f>IFERROR(__xludf.DUMMYFUNCTION("""COMPUTED_VALUE"""),"Abnormal development of the central nervous system")</f>
        <v>Abnormal development of the central nervous system</v>
      </c>
      <c r="B207" s="5" t="str">
        <f>IFERROR(__xludf.DUMMYFUNCTION("LEFT(FILTER(IMPORTRANGE(""https://docs.google.com/spreadsheets/d/1BJSV3WBYJGRhQ6zExamkszQ5VutGIcaQqmbD9ZTVXMQ/edit#gid=1251630045"",""articles_with_PRISMA_reasons!K2:K2113""), $A207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$A207=IMPORTRANGE(""https://docs.google.com/spreadsheets/d/1BJSV3WBYJGRhQ6zExamkszQ5VutGIcaQqmbD9ZTVXMQ/edit#gid=1251630045"",""articles_with_PRISMA_reasons!B2:B2113"")))-1)"),"Persaud")</f>
        <v>Persaud</v>
      </c>
      <c r="C207" s="6">
        <f>IFERROR(__xludf.DUMMYFUNCTION("FILTER(IMPORTRANGE(""https://docs.google.com/spreadsheets/d/1BJSV3WBYJGRhQ6zExamkszQ5VutGIcaQqmbD9ZTVXMQ/edit#gid=1251630045"",""articles_with_PRISMA_reasons!C2:C2113""), $A207=IMPORTRANGE(""https://docs.google.com/spreadsheets/d/1BJSV3WBYJGRhQ6zExamkszQ5"&amp;"VutGIcaQqmbD9ZTVXMQ/edit#gid=1251630045"",""articles_with_PRISMA_reasons!B2:B2113""))"),1981.0)</f>
        <v>1981</v>
      </c>
      <c r="D207" s="5" t="str">
        <f>IFERROR(__xludf.DUMMYFUNCTION("IFS(AND(
FILTER(IMPORTRANGE(""https://docs.google.com/spreadsheets/d/1BJSV3WBYJGRhQ6zExamkszQ5VutGIcaQqmbD9ZTVXMQ/edit#gid=1251630045"",""articles_with_PRISMA_reasons!Y2:Y2113""), $A207=IMPORTRANGE(""https://docs.google.com/spreadsheets/d/1BJSV3WBYJGRhQ6z"&amp;"ExamkszQ5VutGIcaQqmbD9ZTVXMQ/edit#gid=1251630045"",""articles_with_PRISMA_reasons!B2:B2113""))&gt;=2,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$A207=IMPORTRANGE(""https://docs.google.com/spreadsheets/d/1BJSV3WBYJGRhQ6zExamkszQ5VutGIcaQqmbD9ZTVXMQ/edit#gid=1251630045"",""articles_with_PRISMA_reasons!B2:B2113""))&lt;2),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$A207=IMPORTRANGE(""https://docs.google.com/spreadsheets/d/1BJSV3WBYJGRhQ6zExamkszQ5VutGIcaQqmbD9ZTVXMQ/edit#gid=1251630045"",""arti"&amp;"cles_with_PRISMA_reasons!B2:B2113""))&lt;2,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$A207=IMPORTRANGE(""https://docs.google.com"&amp;"/spreadsheets/d/1BJSV3WBYJGRhQ6zExamkszQ5VutGIcaQqmbD9ZTVXMQ/edit#gid=1251630045"",""articles_with_PRISMA_reasons!B2:B2113""))&gt;=2),
""Exclude""
)"),"Exclude")</f>
        <v>Exclude</v>
      </c>
      <c r="E207" s="5" t="str">
        <f>IFERROR(__xludf.DUMMYFUNCTION("IFS(
D207=""Exclude"",""Exclude"",
AND(
FILTER(IMPORTRANGE(""https://docs.google.com/spreadsheets/d/1qpEmbGH0JjaJbUdp21-y2cPbobDbMjr09BbtdKROZWc/edit#gid=1444865654"",""articles_with_PRISMA_reasons!W2:W2113""), $A207=IMPORTRANGE(""https://docs.google.com/"&amp;"spreadsheets/d/1qpEmbGH0JjaJbUdp21-y2cPbobDbMjr09BbtdKROZWc/edit#gid=1444865654"",""articles_with_PRISMA_reasons!B2:B2113""))&gt;=2,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$A207=IMPORTRANGE(""https://docs.google.com/spreadsheets/d/1qpEmbGH0JjaJbUdp21-y2cPbobDbMjr09BbtdKROZWc/edit#gid=1444865654"",""articles_with_PRISMA_reasons!B2:B2113""))&lt;2),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$A207=IMPORTRANGE(""https://docs.google.com/spreadsheets/d/1qpEmbGH0JjaJbUdp21-y2cPbobDbMjr09BbtdKRO"&amp;"ZWc/edit#gid=1444865654"",""articles_with_PRISMA_reasons!B2:B2113""))&lt;2,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$A207=IMPOR"&amp;"TRANGE(""https://docs.google.com/spreadsheets/d/1qpEmbGH0JjaJbUdp21-y2cPbobDbMjr09BbtdKROZWc/edit#gid=1444865654"",""articles_with_PRISMA_reasons!B2:B2113""))&gt;=2),
""Exclude""
)"),"Exclude")</f>
        <v>Exclude</v>
      </c>
      <c r="F207" s="5" t="str">
        <f>IFERROR(__xludf.DUMMYFUNCTION("IFS(
E207=""Exclude"",""Exclude"",
AND(
COUNTIF(
IMPORTRANGE(""https://docs.google.com/spreadsheets/d/1kGrh75X1cNR1D7_FcY9zMnHP8iPO4M5RCRjy6nZY0TY/edit#gid=0"",""Table 1: Study characteristics!B4:B171""),A207)&gt;0,
COUNTIF(Studies!$A$2:$A$85,FILTER(IMPORTRA"&amp;"NGE(""https://docs.google.com/spreadsheets/d/1kGrh75X1cNR1D7_FcY9zMnHP8iPO4M5RCRjy6nZY0TY/edit#gid=0"",""Table 1: Study characteristics!A4:A171""), $A207=IMPORTRANGE(""https://docs.google.com/spreadsheets/d/1kGrh75X1cNR1D7_FcY9zMnHP8iPO4M5RCRjy6nZY0TY/edi"&amp;"t#gid=0"",""Table 1: Study characteristics!B4:B171"")))&gt;0
),
""Include""
)"),"Exclude")</f>
        <v>Exclude</v>
      </c>
      <c r="G207" s="5" t="str">
        <f>IFERROR(__xludf.DUMMYFUNCTION("IFS(
D207=""Exclude"",
FILTER(IMPORTRANGE(""https://docs.google.com/spreadsheets/d/1BJSV3WBYJGRhQ6zExamkszQ5VutGIcaQqmbD9ZTVXMQ/edit#gid=1251630045"",""articles_with_PRISMA_reasons!AB2:AB2113""), $A207=IMPORTRANGE(""https://docs.google.com/spreadsheets/d/"&amp;"1BJSV3WBYJGRhQ6zExamkszQ5VutGIcaQqmbD9ZTVXMQ/edit#gid=1251630045"",""articles_with_PRISMA_reasons!B2:B2113"")),
E207=""Exclude"",
FILTER(IMPORTRANGE(""https://docs.google.com/spreadsheets/d/1qpEmbGH0JjaJbUdp21-y2cPbobDbMjr09BbtdKROZWc/edit#gid=1444865654"&amp;""",""articles_with_PRISMA_reasons!Z2:Z2113""), $A207=IMPORTRANGE(""https://docs.google.com/spreadsheets/d/1qpEmbGH0JjaJbUdp21-y2cPbobDbMjr09BbtdKROZWc/edit#gid=1444865654"",""articles_with_PRISMA_reasons!B2:B2113"")),F207
=""Include"",FILTER(IMPORTRANGE("&amp;"""https://docs.google.com/spreadsheets/d/1kGrh75X1cNR1D7_FcY9zMnHP8iPO4M5RCRjy6nZY0TY/edit#gid=0"",""Table 1: Study characteristics!A4:A171""), $A207=IMPORTRANGE(""https://docs.google.com/spreadsheets/d/1kGrh75X1cNR1D7_FcY9zMnHP8iPO4M5RCRjy6nZY0TY/edit#gi"&amp;"d=0"",""Table 1: Study characteristics!B4:B171""))
)"),"wrong publication type")</f>
        <v>wrong publication type</v>
      </c>
    </row>
    <row r="208">
      <c r="A208" s="4" t="str">
        <f>IFERROR(__xludf.DUMMYFUNCTION("""COMPUTED_VALUE"""),"Abnormal folate metabolism and genetic polymorphism of the folate pathway in a child with down syndrome and neural tube defect")</f>
        <v>Abnormal folate metabolism and genetic polymorphism of the folate pathway in a child with down syndrome and neural tube defect</v>
      </c>
      <c r="B208" s="5" t="str">
        <f>IFERROR(__xludf.DUMMYFUNCTION("LEFT(FILTER(IMPORTRANGE(""https://docs.google.com/spreadsheets/d/1BJSV3WBYJGRhQ6zExamkszQ5VutGIcaQqmbD9ZTVXMQ/edit#gid=1251630045"",""articles_with_PRISMA_reasons!K2:K2113""), $A208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$A208=IMPORTRANGE(""https://docs.google.com/spreadsheets/d/1BJSV3WBYJGRhQ6zExamkszQ5VutGIcaQqmbD9ZTVXMQ/edit#gid=1251630045"",""articles_with_PRISMA_reasons!B2:B2113"")))-1)"),"Ladogana")</f>
        <v>Ladogana</v>
      </c>
      <c r="C208" s="6">
        <f>IFERROR(__xludf.DUMMYFUNCTION("FILTER(IMPORTRANGE(""https://docs.google.com/spreadsheets/d/1BJSV3WBYJGRhQ6zExamkszQ5VutGIcaQqmbD9ZTVXMQ/edit#gid=1251630045"",""articles_with_PRISMA_reasons!C2:C2113""), $A208=IMPORTRANGE(""https://docs.google.com/spreadsheets/d/1BJSV3WBYJGRhQ6zExamkszQ5"&amp;"VutGIcaQqmbD9ZTVXMQ/edit#gid=1251630045"",""articles_with_PRISMA_reasons!B2:B2113""))"),2001.0)</f>
        <v>2001</v>
      </c>
      <c r="D208" s="5" t="str">
        <f>IFERROR(__xludf.DUMMYFUNCTION("IFS(AND(
FILTER(IMPORTRANGE(""https://docs.google.com/spreadsheets/d/1BJSV3WBYJGRhQ6zExamkszQ5VutGIcaQqmbD9ZTVXMQ/edit#gid=1251630045"",""articles_with_PRISMA_reasons!Y2:Y2113""), $A208=IMPORTRANGE(""https://docs.google.com/spreadsheets/d/1BJSV3WBYJGRhQ6z"&amp;"ExamkszQ5VutGIcaQqmbD9ZTVXMQ/edit#gid=1251630045"",""articles_with_PRISMA_reasons!B2:B2113""))&gt;=2,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$A208=IMPORTRANGE(""https://docs.google.com/spreadsheets/d/1BJSV3WBYJGRhQ6zExamkszQ5VutGIcaQqmbD9ZTVXMQ/edit#gid=1251630045"",""articles_with_PRISMA_reasons!B2:B2113""))&lt;2),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$A208=IMPORTRANGE(""https://docs.google.com/spreadsheets/d/1BJSV3WBYJGRhQ6zExamkszQ5VutGIcaQqmbD9ZTVXMQ/edit#gid=1251630045"",""arti"&amp;"cles_with_PRISMA_reasons!B2:B2113""))&lt;2,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$A208=IMPORTRANGE(""https://docs.google.com"&amp;"/spreadsheets/d/1BJSV3WBYJGRhQ6zExamkszQ5VutGIcaQqmbD9ZTVXMQ/edit#gid=1251630045"",""articles_with_PRISMA_reasons!B2:B2113""))&gt;=2),
""Exclude""
)"),"Exclude")</f>
        <v>Exclude</v>
      </c>
      <c r="E208" s="5" t="str">
        <f>IFERROR(__xludf.DUMMYFUNCTION("IFS(
D208=""Exclude"",""Exclude"",
AND(
FILTER(IMPORTRANGE(""https://docs.google.com/spreadsheets/d/1qpEmbGH0JjaJbUdp21-y2cPbobDbMjr09BbtdKROZWc/edit#gid=1444865654"",""articles_with_PRISMA_reasons!W2:W2113""), $A208=IMPORTRANGE(""https://docs.google.com/"&amp;"spreadsheets/d/1qpEmbGH0JjaJbUdp21-y2cPbobDbMjr09BbtdKROZWc/edit#gid=1444865654"",""articles_with_PRISMA_reasons!B2:B2113""))&gt;=2,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$A208=IMPORTRANGE(""https://docs.google.com/spreadsheets/d/1qpEmbGH0JjaJbUdp21-y2cPbobDbMjr09BbtdKROZWc/edit#gid=1444865654"",""articles_with_PRISMA_reasons!B2:B2113""))&lt;2),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$A208=IMPORTRANGE(""https://docs.google.com/spreadsheets/d/1qpEmbGH0JjaJbUdp21-y2cPbobDbMjr09BbtdKRO"&amp;"ZWc/edit#gid=1444865654"",""articles_with_PRISMA_reasons!B2:B2113""))&lt;2,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$A208=IMPOR"&amp;"TRANGE(""https://docs.google.com/spreadsheets/d/1qpEmbGH0JjaJbUdp21-y2cPbobDbMjr09BbtdKROZWc/edit#gid=1444865654"",""articles_with_PRISMA_reasons!B2:B2113""))&gt;=2),
""Exclude""
)"),"Exclude")</f>
        <v>Exclude</v>
      </c>
      <c r="F208" s="5" t="str">
        <f>IFERROR(__xludf.DUMMYFUNCTION("IFS(
E208=""Exclude"",""Exclude"",
AND(
COUNTIF(
IMPORTRANGE(""https://docs.google.com/spreadsheets/d/1kGrh75X1cNR1D7_FcY9zMnHP8iPO4M5RCRjy6nZY0TY/edit#gid=0"",""Table 1: Study characteristics!B4:B171""),A208)&gt;0,
COUNTIF(Studies!$A$2:$A$85,FILTER(IMPORTRA"&amp;"NGE(""https://docs.google.com/spreadsheets/d/1kGrh75X1cNR1D7_FcY9zMnHP8iPO4M5RCRjy6nZY0TY/edit#gid=0"",""Table 1: Study characteristics!A4:A171""), $A208=IMPORTRANGE(""https://docs.google.com/spreadsheets/d/1kGrh75X1cNR1D7_FcY9zMnHP8iPO4M5RCRjy6nZY0TY/edi"&amp;"t#gid=0"",""Table 1: Study characteristics!B4:B171"")))&gt;0
),
""Include""
)"),"Exclude")</f>
        <v>Exclude</v>
      </c>
      <c r="G208" s="5" t="str">
        <f>IFERROR(__xludf.DUMMYFUNCTION("IFS(
D208=""Exclude"",
FILTER(IMPORTRANGE(""https://docs.google.com/spreadsheets/d/1BJSV3WBYJGRhQ6zExamkszQ5VutGIcaQqmbD9ZTVXMQ/edit#gid=1251630045"",""articles_with_PRISMA_reasons!AB2:AB2113""), $A208=IMPORTRANGE(""https://docs.google.com/spreadsheets/d/"&amp;"1BJSV3WBYJGRhQ6zExamkszQ5VutGIcaQqmbD9ZTVXMQ/edit#gid=1251630045"",""articles_with_PRISMA_reasons!B2:B2113"")),
E208=""Exclude"",
FILTER(IMPORTRANGE(""https://docs.google.com/spreadsheets/d/1qpEmbGH0JjaJbUdp21-y2cPbobDbMjr09BbtdKROZWc/edit#gid=1444865654"&amp;""",""articles_with_PRISMA_reasons!Z2:Z2113""), $A208=IMPORTRANGE(""https://docs.google.com/spreadsheets/d/1qpEmbGH0JjaJbUdp21-y2cPbobDbMjr09BbtdKROZWc/edit#gid=1444865654"",""articles_with_PRISMA_reasons!B2:B2113"")),F208
=""Include"",FILTER(IMPORTRANGE("&amp;"""https://docs.google.com/spreadsheets/d/1kGrh75X1cNR1D7_FcY9zMnHP8iPO4M5RCRjy6nZY0TY/edit#gid=0"",""Table 1: Study characteristics!A4:A171""), $A208=IMPORTRANGE(""https://docs.google.com/spreadsheets/d/1kGrh75X1cNR1D7_FcY9zMnHP8iPO4M5RCRjy6nZY0TY/edit#gi"&amp;"d=0"",""Table 1: Study characteristics!B4:B171""))
)"),"wrong study design")</f>
        <v>wrong study design</v>
      </c>
    </row>
    <row r="209">
      <c r="A209" s="4" t="str">
        <f>IFERROR(__xludf.DUMMYFUNCTION("""COMPUTED_VALUE"""),"Abnormal head growth")</f>
        <v>Abnormal head growth</v>
      </c>
      <c r="B209" s="5" t="str">
        <f>IFERROR(__xludf.DUMMYFUNCTION("LEFT(FILTER(IMPORTRANGE(""https://docs.google.com/spreadsheets/d/1BJSV3WBYJGRhQ6zExamkszQ5VutGIcaQqmbD9ZTVXMQ/edit#gid=1251630045"",""articles_with_PRISMA_reasons!K2:K2113""), $A209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$A209=IMPORTRANGE(""https://docs.google.com/spreadsheets/d/1BJSV3WBYJGRhQ6zExamkszQ5VutGIcaQqmbD9ZTVXMQ/edit#gid=1251630045"",""articles_with_PRISMA_reasons!B2:B2113"")))-1)"),"Sniderman")</f>
        <v>Sniderman</v>
      </c>
      <c r="C209" s="6">
        <f>IFERROR(__xludf.DUMMYFUNCTION("FILTER(IMPORTRANGE(""https://docs.google.com/spreadsheets/d/1BJSV3WBYJGRhQ6zExamkszQ5VutGIcaQqmbD9ZTVXMQ/edit#gid=1251630045"",""articles_with_PRISMA_reasons!C2:C2113""), $A209=IMPORTRANGE(""https://docs.google.com/spreadsheets/d/1BJSV3WBYJGRhQ6zExamkszQ5"&amp;"VutGIcaQqmbD9ZTVXMQ/edit#gid=1251630045"",""articles_with_PRISMA_reasons!B2:B2113""))"),2010.0)</f>
        <v>2010</v>
      </c>
      <c r="D209" s="5" t="str">
        <f>IFERROR(__xludf.DUMMYFUNCTION("IFS(AND(
FILTER(IMPORTRANGE(""https://docs.google.com/spreadsheets/d/1BJSV3WBYJGRhQ6zExamkszQ5VutGIcaQqmbD9ZTVXMQ/edit#gid=1251630045"",""articles_with_PRISMA_reasons!Y2:Y2113""), $A209=IMPORTRANGE(""https://docs.google.com/spreadsheets/d/1BJSV3WBYJGRhQ6z"&amp;"ExamkszQ5VutGIcaQqmbD9ZTVXMQ/edit#gid=1251630045"",""articles_with_PRISMA_reasons!B2:B2113""))&gt;=2,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$A209=IMPORTRANGE(""https://docs.google.com/spreadsheets/d/1BJSV3WBYJGRhQ6zExamkszQ5VutGIcaQqmbD9ZTVXMQ/edit#gid=1251630045"",""articles_with_PRISMA_reasons!B2:B2113""))&lt;2),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$A209=IMPORTRANGE(""https://docs.google.com/spreadsheets/d/1BJSV3WBYJGRhQ6zExamkszQ5VutGIcaQqmbD9ZTVXMQ/edit#gid=1251630045"",""arti"&amp;"cles_with_PRISMA_reasons!B2:B2113""))&lt;2,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$A209=IMPORTRANGE(""https://docs.google.com"&amp;"/spreadsheets/d/1BJSV3WBYJGRhQ6zExamkszQ5VutGIcaQqmbD9ZTVXMQ/edit#gid=1251630045"",""articles_with_PRISMA_reasons!B2:B2113""))&gt;=2),
""Exclude""
)"),"Exclude")</f>
        <v>Exclude</v>
      </c>
      <c r="E209" s="5" t="str">
        <f>IFERROR(__xludf.DUMMYFUNCTION("IFS(
D209=""Exclude"",""Exclude"",
AND(
FILTER(IMPORTRANGE(""https://docs.google.com/spreadsheets/d/1qpEmbGH0JjaJbUdp21-y2cPbobDbMjr09BbtdKROZWc/edit#gid=1444865654"",""articles_with_PRISMA_reasons!W2:W2113""), $A209=IMPORTRANGE(""https://docs.google.com/"&amp;"spreadsheets/d/1qpEmbGH0JjaJbUdp21-y2cPbobDbMjr09BbtdKROZWc/edit#gid=1444865654"",""articles_with_PRISMA_reasons!B2:B2113""))&gt;=2,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$A209=IMPORTRANGE(""https://docs.google.com/spreadsheets/d/1qpEmbGH0JjaJbUdp21-y2cPbobDbMjr09BbtdKROZWc/edit#gid=1444865654"",""articles_with_PRISMA_reasons!B2:B2113""))&lt;2),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$A209=IMPORTRANGE(""https://docs.google.com/spreadsheets/d/1qpEmbGH0JjaJbUdp21-y2cPbobDbMjr09BbtdKRO"&amp;"ZWc/edit#gid=1444865654"",""articles_with_PRISMA_reasons!B2:B2113""))&lt;2,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$A209=IMPOR"&amp;"TRANGE(""https://docs.google.com/spreadsheets/d/1qpEmbGH0JjaJbUdp21-y2cPbobDbMjr09BbtdKROZWc/edit#gid=1444865654"",""articles_with_PRISMA_reasons!B2:B2113""))&gt;=2),
""Exclude""
)"),"Exclude")</f>
        <v>Exclude</v>
      </c>
      <c r="F209" s="5" t="str">
        <f>IFERROR(__xludf.DUMMYFUNCTION("IFS(
E209=""Exclude"",""Exclude"",
AND(
COUNTIF(
IMPORTRANGE(""https://docs.google.com/spreadsheets/d/1kGrh75X1cNR1D7_FcY9zMnHP8iPO4M5RCRjy6nZY0TY/edit#gid=0"",""Table 1: Study characteristics!B4:B171""),A209)&gt;0,
COUNTIF(Studies!$A$2:$A$85,FILTER(IMPORTRA"&amp;"NGE(""https://docs.google.com/spreadsheets/d/1kGrh75X1cNR1D7_FcY9zMnHP8iPO4M5RCRjy6nZY0TY/edit#gid=0"",""Table 1: Study characteristics!A4:A171""), $A209=IMPORTRANGE(""https://docs.google.com/spreadsheets/d/1kGrh75X1cNR1D7_FcY9zMnHP8iPO4M5RCRjy6nZY0TY/edi"&amp;"t#gid=0"",""Table 1: Study characteristics!B4:B171"")))&gt;0
),
""Include""
)"),"Exclude")</f>
        <v>Exclude</v>
      </c>
      <c r="G209" s="5" t="str">
        <f>IFERROR(__xludf.DUMMYFUNCTION("IFS(
D209=""Exclude"",
FILTER(IMPORTRANGE(""https://docs.google.com/spreadsheets/d/1BJSV3WBYJGRhQ6zExamkszQ5VutGIcaQqmbD9ZTVXMQ/edit#gid=1251630045"",""articles_with_PRISMA_reasons!AB2:AB2113""), $A209=IMPORTRANGE(""https://docs.google.com/spreadsheets/d/"&amp;"1BJSV3WBYJGRhQ6zExamkszQ5VutGIcaQqmbD9ZTVXMQ/edit#gid=1251630045"",""articles_with_PRISMA_reasons!B2:B2113"")),
E209=""Exclude"",
FILTER(IMPORTRANGE(""https://docs.google.com/spreadsheets/d/1qpEmbGH0JjaJbUdp21-y2cPbobDbMjr09BbtdKROZWc/edit#gid=1444865654"&amp;""",""articles_with_PRISMA_reasons!Z2:Z2113""), $A209=IMPORTRANGE(""https://docs.google.com/spreadsheets/d/1qpEmbGH0JjaJbUdp21-y2cPbobDbMjr09BbtdKROZWc/edit#gid=1444865654"",""articles_with_PRISMA_reasons!B2:B2113"")),F209
=""Include"",FILTER(IMPORTRANGE("&amp;"""https://docs.google.com/spreadsheets/d/1kGrh75X1cNR1D7_FcY9zMnHP8iPO4M5RCRjy6nZY0TY/edit#gid=0"",""Table 1: Study characteristics!A4:A171""), $A209=IMPORTRANGE(""https://docs.google.com/spreadsheets/d/1kGrh75X1cNR1D7_FcY9zMnHP8iPO4M5RCRjy6nZY0TY/edit#gi"&amp;"d=0"",""Table 1: Study characteristics!B4:B171""))
)"),"background article")</f>
        <v>background article</v>
      </c>
    </row>
    <row r="210">
      <c r="A210" s="4" t="str">
        <f>IFERROR(__xludf.DUMMYFUNCTION("""COMPUTED_VALUE"""),"Abnormal head size in children and adolescents with congenital nervous system disorders or neurological syndromes with one or more neurodysfunction visible since infancy")</f>
        <v>Abnormal head size in children and adolescents with congenital nervous system disorders or neurological syndromes with one or more neurodysfunction visible since infancy</v>
      </c>
      <c r="B210" s="5" t="str">
        <f>IFERROR(__xludf.DUMMYFUNCTION("LEFT(FILTER(IMPORTRANGE(""https://docs.google.com/spreadsheets/d/1BJSV3WBYJGRhQ6zExamkszQ5VutGIcaQqmbD9ZTVXMQ/edit#gid=1251630045"",""articles_with_PRISMA_reasons!K2:K2113""), $A210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$A210=IMPORTRANGE(""https://docs.google.com/spreadsheets/d/1BJSV3WBYJGRhQ6zExamkszQ5VutGIcaQqmbD9ZTVXMQ/edit#gid=1251630045"",""articles_with_PRISMA_reasons!B2:B2113"")))-1)"),"Perenc")</f>
        <v>Perenc</v>
      </c>
      <c r="C210" s="6">
        <f>IFERROR(__xludf.DUMMYFUNCTION("FILTER(IMPORTRANGE(""https://docs.google.com/spreadsheets/d/1BJSV3WBYJGRhQ6zExamkszQ5VutGIcaQqmbD9ZTVXMQ/edit#gid=1251630045"",""articles_with_PRISMA_reasons!C2:C2113""), $A210=IMPORTRANGE(""https://docs.google.com/spreadsheets/d/1BJSV3WBYJGRhQ6zExamkszQ5"&amp;"VutGIcaQqmbD9ZTVXMQ/edit#gid=1251630045"",""articles_with_PRISMA_reasons!B2:B2113""))"),2020.0)</f>
        <v>2020</v>
      </c>
      <c r="D210" s="5" t="str">
        <f>IFERROR(__xludf.DUMMYFUNCTION("IFS(AND(
FILTER(IMPORTRANGE(""https://docs.google.com/spreadsheets/d/1BJSV3WBYJGRhQ6zExamkszQ5VutGIcaQqmbD9ZTVXMQ/edit#gid=1251630045"",""articles_with_PRISMA_reasons!Y2:Y2113""), $A210=IMPORTRANGE(""https://docs.google.com/spreadsheets/d/1BJSV3WBYJGRhQ6z"&amp;"ExamkszQ5VutGIcaQqmbD9ZTVXMQ/edit#gid=1251630045"",""articles_with_PRISMA_reasons!B2:B2113""))&gt;=2,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$A210=IMPORTRANGE(""https://docs.google.com/spreadsheets/d/1BJSV3WBYJGRhQ6zExamkszQ5VutGIcaQqmbD9ZTVXMQ/edit#gid=1251630045"",""articles_with_PRISMA_reasons!B2:B2113""))&lt;2),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$A210=IMPORTRANGE(""https://docs.google.com/spreadsheets/d/1BJSV3WBYJGRhQ6zExamkszQ5VutGIcaQqmbD9ZTVXMQ/edit#gid=1251630045"",""arti"&amp;"cles_with_PRISMA_reasons!B2:B2113""))&lt;2,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$A210=IMPORTRANGE(""https://docs.google.com"&amp;"/spreadsheets/d/1BJSV3WBYJGRhQ6zExamkszQ5VutGIcaQqmbD9ZTVXMQ/edit#gid=1251630045"",""articles_with_PRISMA_reasons!B2:B2113""))&gt;=2),
""Exclude""
)"),"Exclude")</f>
        <v>Exclude</v>
      </c>
      <c r="E210" s="5" t="str">
        <f>IFERROR(__xludf.DUMMYFUNCTION("IFS(
D210=""Exclude"",""Exclude"",
AND(
FILTER(IMPORTRANGE(""https://docs.google.com/spreadsheets/d/1qpEmbGH0JjaJbUdp21-y2cPbobDbMjr09BbtdKROZWc/edit#gid=1444865654"",""articles_with_PRISMA_reasons!W2:W2113""), $A210=IMPORTRANGE(""https://docs.google.com/"&amp;"spreadsheets/d/1qpEmbGH0JjaJbUdp21-y2cPbobDbMjr09BbtdKROZWc/edit#gid=1444865654"",""articles_with_PRISMA_reasons!B2:B2113""))&gt;=2,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$A210=IMPORTRANGE(""https://docs.google.com/spreadsheets/d/1qpEmbGH0JjaJbUdp21-y2cPbobDbMjr09BbtdKROZWc/edit#gid=1444865654"",""articles_with_PRISMA_reasons!B2:B2113""))&lt;2),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$A210=IMPORTRANGE(""https://docs.google.com/spreadsheets/d/1qpEmbGH0JjaJbUdp21-y2cPbobDbMjr09BbtdKRO"&amp;"ZWc/edit#gid=1444865654"",""articles_with_PRISMA_reasons!B2:B2113""))&lt;2,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$A210=IMPOR"&amp;"TRANGE(""https://docs.google.com/spreadsheets/d/1qpEmbGH0JjaJbUdp21-y2cPbobDbMjr09BbtdKROZWc/edit#gid=1444865654"",""articles_with_PRISMA_reasons!B2:B2113""))&gt;=2),
""Exclude""
)"),"Exclude")</f>
        <v>Exclude</v>
      </c>
      <c r="F210" s="5" t="str">
        <f>IFERROR(__xludf.DUMMYFUNCTION("IFS(
E210=""Exclude"",""Exclude"",
AND(
COUNTIF(
IMPORTRANGE(""https://docs.google.com/spreadsheets/d/1kGrh75X1cNR1D7_FcY9zMnHP8iPO4M5RCRjy6nZY0TY/edit#gid=0"",""Table 1: Study characteristics!B4:B171""),A210)&gt;0,
COUNTIF(Studies!$A$2:$A$85,FILTER(IMPORTRA"&amp;"NGE(""https://docs.google.com/spreadsheets/d/1kGrh75X1cNR1D7_FcY9zMnHP8iPO4M5RCRjy6nZY0TY/edit#gid=0"",""Table 1: Study characteristics!A4:A171""), $A210=IMPORTRANGE(""https://docs.google.com/spreadsheets/d/1kGrh75X1cNR1D7_FcY9zMnHP8iPO4M5RCRjy6nZY0TY/edi"&amp;"t#gid=0"",""Table 1: Study characteristics!B4:B171"")))&gt;0
),
""Include""
)"),"Exclude")</f>
        <v>Exclude</v>
      </c>
      <c r="G210" s="5" t="str">
        <f>IFERROR(__xludf.DUMMYFUNCTION("IFS(
D210=""Exclude"",
FILTER(IMPORTRANGE(""https://docs.google.com/spreadsheets/d/1BJSV3WBYJGRhQ6zExamkszQ5VutGIcaQqmbD9ZTVXMQ/edit#gid=1251630045"",""articles_with_PRISMA_reasons!AB2:AB2113""), $A210=IMPORTRANGE(""https://docs.google.com/spreadsheets/d/"&amp;"1BJSV3WBYJGRhQ6zExamkszQ5VutGIcaQqmbD9ZTVXMQ/edit#gid=1251630045"",""articles_with_PRISMA_reasons!B2:B2113"")),
E210=""Exclude"",
FILTER(IMPORTRANGE(""https://docs.google.com/spreadsheets/d/1qpEmbGH0JjaJbUdp21-y2cPbobDbMjr09BbtdKROZWc/edit#gid=1444865654"&amp;""",""articles_with_PRISMA_reasons!Z2:Z2113""), $A210=IMPORTRANGE(""https://docs.google.com/spreadsheets/d/1qpEmbGH0JjaJbUdp21-y2cPbobDbMjr09BbtdKROZWc/edit#gid=1444865654"",""articles_with_PRISMA_reasons!B2:B2113"")),F210
=""Include"",FILTER(IMPORTRANGE("&amp;"""https://docs.google.com/spreadsheets/d/1kGrh75X1cNR1D7_FcY9zMnHP8iPO4M5RCRjy6nZY0TY/edit#gid=0"",""Table 1: Study characteristics!A4:A171""), $A210=IMPORTRANGE(""https://docs.google.com/spreadsheets/d/1kGrh75X1cNR1D7_FcY9zMnHP8iPO4M5RCRjy6nZY0TY/edit#gi"&amp;"d=0"",""Table 1: Study characteristics!B4:B171""))
)"),"wrong population")</f>
        <v>wrong population</v>
      </c>
    </row>
    <row r="211">
      <c r="A211" s="4" t="str">
        <f>IFERROR(__xludf.DUMMYFUNCTION("""COMPUTED_VALUE"""),"Abnormal ventilatory patterns during sleep in infants with myelomeningocele")</f>
        <v>Abnormal ventilatory patterns during sleep in infants with myelomeningocele</v>
      </c>
      <c r="B211" s="5" t="str">
        <f>IFERROR(__xludf.DUMMYFUNCTION("LEFT(FILTER(IMPORTRANGE(""https://docs.google.com/spreadsheets/d/1BJSV3WBYJGRhQ6zExamkszQ5VutGIcaQqmbD9ZTVXMQ/edit#gid=1251630045"",""articles_with_PRISMA_reasons!K2:K2113""), $A211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$A211=IMPORTRANGE(""https://docs.google.com/spreadsheets/d/1BJSV3WBYJGRhQ6zExamkszQ5VutGIcaQqmbD9ZTVXMQ/edit#gid=1251630045"",""articles_with_PRISMA_reasons!B2:B2113"")))-1)"),"Ward")</f>
        <v>Ward</v>
      </c>
      <c r="C211" s="6">
        <f>IFERROR(__xludf.DUMMYFUNCTION("FILTER(IMPORTRANGE(""https://docs.google.com/spreadsheets/d/1BJSV3WBYJGRhQ6zExamkszQ5VutGIcaQqmbD9ZTVXMQ/edit#gid=1251630045"",""articles_with_PRISMA_reasons!C2:C2113""), $A211=IMPORTRANGE(""https://docs.google.com/spreadsheets/d/1BJSV3WBYJGRhQ6zExamkszQ5"&amp;"VutGIcaQqmbD9ZTVXMQ/edit#gid=1251630045"",""articles_with_PRISMA_reasons!B2:B2113""))"),1986.0)</f>
        <v>1986</v>
      </c>
      <c r="D211" s="5" t="str">
        <f>IFERROR(__xludf.DUMMYFUNCTION("IFS(AND(
FILTER(IMPORTRANGE(""https://docs.google.com/spreadsheets/d/1BJSV3WBYJGRhQ6zExamkszQ5VutGIcaQqmbD9ZTVXMQ/edit#gid=1251630045"",""articles_with_PRISMA_reasons!Y2:Y2113""), $A211=IMPORTRANGE(""https://docs.google.com/spreadsheets/d/1BJSV3WBYJGRhQ6z"&amp;"ExamkszQ5VutGIcaQqmbD9ZTVXMQ/edit#gid=1251630045"",""articles_with_PRISMA_reasons!B2:B2113""))&gt;=2,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$A211=IMPORTRANGE(""https://docs.google.com/spreadsheets/d/1BJSV3WBYJGRhQ6zExamkszQ5VutGIcaQqmbD9ZTVXMQ/edit#gid=1251630045"",""articles_with_PRISMA_reasons!B2:B2113""))&lt;2),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$A211=IMPORTRANGE(""https://docs.google.com/spreadsheets/d/1BJSV3WBYJGRhQ6zExamkszQ5VutGIcaQqmbD9ZTVXMQ/edit#gid=1251630045"",""arti"&amp;"cles_with_PRISMA_reasons!B2:B2113""))&lt;2,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$A211=IMPORTRANGE(""https://docs.google.com"&amp;"/spreadsheets/d/1BJSV3WBYJGRhQ6zExamkszQ5VutGIcaQqmbD9ZTVXMQ/edit#gid=1251630045"",""articles_with_PRISMA_reasons!B2:B2113""))&gt;=2),
""Exclude""
)"),"Exclude")</f>
        <v>Exclude</v>
      </c>
      <c r="E211" s="5" t="str">
        <f>IFERROR(__xludf.DUMMYFUNCTION("IFS(
D211=""Exclude"",""Exclude"",
AND(
FILTER(IMPORTRANGE(""https://docs.google.com/spreadsheets/d/1qpEmbGH0JjaJbUdp21-y2cPbobDbMjr09BbtdKROZWc/edit#gid=1444865654"",""articles_with_PRISMA_reasons!W2:W2113""), $A211=IMPORTRANGE(""https://docs.google.com/"&amp;"spreadsheets/d/1qpEmbGH0JjaJbUdp21-y2cPbobDbMjr09BbtdKROZWc/edit#gid=1444865654"",""articles_with_PRISMA_reasons!B2:B2113""))&gt;=2,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$A211=IMPORTRANGE(""https://docs.google.com/spreadsheets/d/1qpEmbGH0JjaJbUdp21-y2cPbobDbMjr09BbtdKROZWc/edit#gid=1444865654"",""articles_with_PRISMA_reasons!B2:B2113""))&lt;2),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$A211=IMPORTRANGE(""https://docs.google.com/spreadsheets/d/1qpEmbGH0JjaJbUdp21-y2cPbobDbMjr09BbtdKRO"&amp;"ZWc/edit#gid=1444865654"",""articles_with_PRISMA_reasons!B2:B2113""))&lt;2,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$A211=IMPOR"&amp;"TRANGE(""https://docs.google.com/spreadsheets/d/1qpEmbGH0JjaJbUdp21-y2cPbobDbMjr09BbtdKROZWc/edit#gid=1444865654"",""articles_with_PRISMA_reasons!B2:B2113""))&gt;=2),
""Exclude""
)"),"Exclude")</f>
        <v>Exclude</v>
      </c>
      <c r="F211" s="5" t="str">
        <f>IFERROR(__xludf.DUMMYFUNCTION("IFS(
E211=""Exclude"",""Exclude"",
AND(
COUNTIF(
IMPORTRANGE(""https://docs.google.com/spreadsheets/d/1kGrh75X1cNR1D7_FcY9zMnHP8iPO4M5RCRjy6nZY0TY/edit#gid=0"",""Table 1: Study characteristics!B4:B171""),A211)&gt;0,
COUNTIF(Studies!$A$2:$A$85,FILTER(IMPORTRA"&amp;"NGE(""https://docs.google.com/spreadsheets/d/1kGrh75X1cNR1D7_FcY9zMnHP8iPO4M5RCRjy6nZY0TY/edit#gid=0"",""Table 1: Study characteristics!A4:A171""), $A211=IMPORTRANGE(""https://docs.google.com/spreadsheets/d/1kGrh75X1cNR1D7_FcY9zMnHP8iPO4M5RCRjy6nZY0TY/edi"&amp;"t#gid=0"",""Table 1: Study characteristics!B4:B171"")))&gt;0
),
""Include""
)"),"Exclude")</f>
        <v>Exclude</v>
      </c>
      <c r="G211" s="5" t="str">
        <f>IFERROR(__xludf.DUMMYFUNCTION("IFS(
D211=""Exclude"",
FILTER(IMPORTRANGE(""https://docs.google.com/spreadsheets/d/1BJSV3WBYJGRhQ6zExamkszQ5VutGIcaQqmbD9ZTVXMQ/edit#gid=1251630045"",""articles_with_PRISMA_reasons!AB2:AB2113""), $A211=IMPORTRANGE(""https://docs.google.com/spreadsheets/d/"&amp;"1BJSV3WBYJGRhQ6zExamkszQ5VutGIcaQqmbD9ZTVXMQ/edit#gid=1251630045"",""articles_with_PRISMA_reasons!B2:B2113"")),
E211=""Exclude"",
FILTER(IMPORTRANGE(""https://docs.google.com/spreadsheets/d/1qpEmbGH0JjaJbUdp21-y2cPbobDbMjr09BbtdKROZWc/edit#gid=1444865654"&amp;""",""articles_with_PRISMA_reasons!Z2:Z2113""), $A211=IMPORTRANGE(""https://docs.google.com/spreadsheets/d/1qpEmbGH0JjaJbUdp21-y2cPbobDbMjr09BbtdKROZWc/edit#gid=1444865654"",""articles_with_PRISMA_reasons!B2:B2113"")),F211
=""Include"",FILTER(IMPORTRANGE("&amp;"""https://docs.google.com/spreadsheets/d/1kGrh75X1cNR1D7_FcY9zMnHP8iPO4M5RCRjy6nZY0TY/edit#gid=0"",""Table 1: Study characteristics!A4:A171""), $A211=IMPORTRANGE(""https://docs.google.com/spreadsheets/d/1kGrh75X1cNR1D7_FcY9zMnHP8iPO4M5RCRjy6nZY0TY/edit#gi"&amp;"d=0"",""Table 1: Study characteristics!B4:B171""))
)"),"wrong population")</f>
        <v>wrong population</v>
      </c>
    </row>
    <row r="212">
      <c r="A212" s="4" t="str">
        <f>IFERROR(__xludf.DUMMYFUNCTION("""COMPUTED_VALUE"""),"Abnormalities in the central nervous system and alterations in the upper limbs in patients with myelomeningocele")</f>
        <v>Abnormalities in the central nervous system and alterations in the upper limbs in patients with myelomeningocele</v>
      </c>
      <c r="B212" s="5" t="str">
        <f>IFERROR(__xludf.DUMMYFUNCTION("LEFT(FILTER(IMPORTRANGE(""https://docs.google.com/spreadsheets/d/1BJSV3WBYJGRhQ6zExamkszQ5VutGIcaQqmbD9ZTVXMQ/edit#gid=1251630045"",""articles_with_PRISMA_reasons!K2:K2113""), $A212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$A212=IMPORTRANGE(""https://docs.google.com/spreadsheets/d/1BJSV3WBYJGRhQ6zExamkszQ5VutGIcaQqmbD9ZTVXMQ/edit#gid=1251630045"",""articles_with_PRISMA_reasons!B2:B2113"")))-1)"),"Silveira-Carrara")</f>
        <v>Silveira-Carrara</v>
      </c>
      <c r="C212" s="6">
        <f>IFERROR(__xludf.DUMMYFUNCTION("FILTER(IMPORTRANGE(""https://docs.google.com/spreadsheets/d/1BJSV3WBYJGRhQ6zExamkszQ5VutGIcaQqmbD9ZTVXMQ/edit#gid=1251630045"",""articles_with_PRISMA_reasons!C2:C2113""), $A212=IMPORTRANGE(""https://docs.google.com/spreadsheets/d/1BJSV3WBYJGRhQ6zExamkszQ5"&amp;"VutGIcaQqmbD9ZTVXMQ/edit#gid=1251630045"",""articles_with_PRISMA_reasons!B2:B2113""))"),2008.0)</f>
        <v>2008</v>
      </c>
      <c r="D212" s="5" t="str">
        <f>IFERROR(__xludf.DUMMYFUNCTION("IFS(AND(
FILTER(IMPORTRANGE(""https://docs.google.com/spreadsheets/d/1BJSV3WBYJGRhQ6zExamkszQ5VutGIcaQqmbD9ZTVXMQ/edit#gid=1251630045"",""articles_with_PRISMA_reasons!Y2:Y2113""), $A212=IMPORTRANGE(""https://docs.google.com/spreadsheets/d/1BJSV3WBYJGRhQ6z"&amp;"ExamkszQ5VutGIcaQqmbD9ZTVXMQ/edit#gid=1251630045"",""articles_with_PRISMA_reasons!B2:B2113""))&gt;=2,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$A212=IMPORTRANGE(""https://docs.google.com/spreadsheets/d/1BJSV3WBYJGRhQ6zExamkszQ5VutGIcaQqmbD9ZTVXMQ/edit#gid=1251630045"",""articles_with_PRISMA_reasons!B2:B2113""))&lt;2),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$A212=IMPORTRANGE(""https://docs.google.com/spreadsheets/d/1BJSV3WBYJGRhQ6zExamkszQ5VutGIcaQqmbD9ZTVXMQ/edit#gid=1251630045"",""arti"&amp;"cles_with_PRISMA_reasons!B2:B2113""))&lt;2,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$A212=IMPORTRANGE(""https://docs.google.com"&amp;"/spreadsheets/d/1BJSV3WBYJGRhQ6zExamkszQ5VutGIcaQqmbD9ZTVXMQ/edit#gid=1251630045"",""articles_with_PRISMA_reasons!B2:B2113""))&gt;=2),
""Exclude""
)"),"Exclude")</f>
        <v>Exclude</v>
      </c>
      <c r="E212" s="5" t="str">
        <f>IFERROR(__xludf.DUMMYFUNCTION("IFS(
D212=""Exclude"",""Exclude"",
AND(
FILTER(IMPORTRANGE(""https://docs.google.com/spreadsheets/d/1qpEmbGH0JjaJbUdp21-y2cPbobDbMjr09BbtdKROZWc/edit#gid=1444865654"",""articles_with_PRISMA_reasons!W2:W2113""), $A212=IMPORTRANGE(""https://docs.google.com/"&amp;"spreadsheets/d/1qpEmbGH0JjaJbUdp21-y2cPbobDbMjr09BbtdKROZWc/edit#gid=1444865654"",""articles_with_PRISMA_reasons!B2:B2113""))&gt;=2,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$A212=IMPORTRANGE(""https://docs.google.com/spreadsheets/d/1qpEmbGH0JjaJbUdp21-y2cPbobDbMjr09BbtdKROZWc/edit#gid=1444865654"",""articles_with_PRISMA_reasons!B2:B2113""))&lt;2),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$A212=IMPORTRANGE(""https://docs.google.com/spreadsheets/d/1qpEmbGH0JjaJbUdp21-y2cPbobDbMjr09BbtdKRO"&amp;"ZWc/edit#gid=1444865654"",""articles_with_PRISMA_reasons!B2:B2113""))&lt;2,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$A212=IMPOR"&amp;"TRANGE(""https://docs.google.com/spreadsheets/d/1qpEmbGH0JjaJbUdp21-y2cPbobDbMjr09BbtdKROZWc/edit#gid=1444865654"",""articles_with_PRISMA_reasons!B2:B2113""))&gt;=2),
""Exclude""
)"),"Exclude")</f>
        <v>Exclude</v>
      </c>
      <c r="F212" s="5" t="str">
        <f>IFERROR(__xludf.DUMMYFUNCTION("IFS(
E212=""Exclude"",""Exclude"",
AND(
COUNTIF(
IMPORTRANGE(""https://docs.google.com/spreadsheets/d/1kGrh75X1cNR1D7_FcY9zMnHP8iPO4M5RCRjy6nZY0TY/edit#gid=0"",""Table 1: Study characteristics!B4:B171""),A212)&gt;0,
COUNTIF(Studies!$A$2:$A$85,FILTER(IMPORTRA"&amp;"NGE(""https://docs.google.com/spreadsheets/d/1kGrh75X1cNR1D7_FcY9zMnHP8iPO4M5RCRjy6nZY0TY/edit#gid=0"",""Table 1: Study characteristics!A4:A171""), $A212=IMPORTRANGE(""https://docs.google.com/spreadsheets/d/1kGrh75X1cNR1D7_FcY9zMnHP8iPO4M5RCRjy6nZY0TY/edi"&amp;"t#gid=0"",""Table 1: Study characteristics!B4:B171"")))&gt;0
),
""Include""
)"),"Exclude")</f>
        <v>Exclude</v>
      </c>
      <c r="G212" s="5" t="str">
        <f>IFERROR(__xludf.DUMMYFUNCTION("IFS(
D212=""Exclude"",
FILTER(IMPORTRANGE(""https://docs.google.com/spreadsheets/d/1BJSV3WBYJGRhQ6zExamkszQ5VutGIcaQqmbD9ZTVXMQ/edit#gid=1251630045"",""articles_with_PRISMA_reasons!AB2:AB2113""), $A212=IMPORTRANGE(""https://docs.google.com/spreadsheets/d/"&amp;"1BJSV3WBYJGRhQ6zExamkszQ5VutGIcaQqmbD9ZTVXMQ/edit#gid=1251630045"",""articles_with_PRISMA_reasons!B2:B2113"")),
E212=""Exclude"",
FILTER(IMPORTRANGE(""https://docs.google.com/spreadsheets/d/1qpEmbGH0JjaJbUdp21-y2cPbobDbMjr09BbtdKROZWc/edit#gid=1444865654"&amp;""",""articles_with_PRISMA_reasons!Z2:Z2113""), $A212=IMPORTRANGE(""https://docs.google.com/spreadsheets/d/1qpEmbGH0JjaJbUdp21-y2cPbobDbMjr09BbtdKROZWc/edit#gid=1444865654"",""articles_with_PRISMA_reasons!B2:B2113"")),F212
=""Include"",FILTER(IMPORTRANGE("&amp;"""https://docs.google.com/spreadsheets/d/1kGrh75X1cNR1D7_FcY9zMnHP8iPO4M5RCRjy6nZY0TY/edit#gid=0"",""Table 1: Study characteristics!A4:A171""), $A212=IMPORTRANGE(""https://docs.google.com/spreadsheets/d/1kGrh75X1cNR1D7_FcY9zMnHP8iPO4M5RCRjy6nZY0TY/edit#gi"&amp;"d=0"",""Table 1: Study characteristics!B4:B171""))
)"),"wrong population")</f>
        <v>wrong population</v>
      </c>
    </row>
    <row r="213">
      <c r="A213" s="4" t="str">
        <f>IFERROR(__xludf.DUMMYFUNCTION("""COMPUTED_VALUE"""),"Abnormalities of brain differentiation")</f>
        <v>Abnormalities of brain differentiation</v>
      </c>
      <c r="B213" s="5" t="str">
        <f>IFERROR(__xludf.DUMMYFUNCTION("LEFT(FILTER(IMPORTRANGE(""https://docs.google.com/spreadsheets/d/1BJSV3WBYJGRhQ6zExamkszQ5VutGIcaQqmbD9ZTVXMQ/edit#gid=1251630045"",""articles_with_PRISMA_reasons!K2:K2113""), $A213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$A213=IMPORTRANGE(""https://docs.google.com/spreadsheets/d/1BJSV3WBYJGRhQ6zExamkszQ5VutGIcaQqmbD9ZTVXMQ/edit#gid=1251630045"",""articles_with_PRISMA_reasons!B2:B2113"")))-1)"),"Rorke")</f>
        <v>Rorke</v>
      </c>
      <c r="C213" s="6">
        <f>IFERROR(__xludf.DUMMYFUNCTION("FILTER(IMPORTRANGE(""https://docs.google.com/spreadsheets/d/1BJSV3WBYJGRhQ6zExamkszQ5VutGIcaQqmbD9ZTVXMQ/edit#gid=1251630045"",""articles_with_PRISMA_reasons!C2:C2113""), $A213=IMPORTRANGE(""https://docs.google.com/spreadsheets/d/1BJSV3WBYJGRhQ6zExamkszQ5"&amp;"VutGIcaQqmbD9ZTVXMQ/edit#gid=1251630045"",""articles_with_PRISMA_reasons!B2:B2113""))"),1987.0)</f>
        <v>1987</v>
      </c>
      <c r="D213" s="5" t="str">
        <f>IFERROR(__xludf.DUMMYFUNCTION("IFS(AND(
FILTER(IMPORTRANGE(""https://docs.google.com/spreadsheets/d/1BJSV3WBYJGRhQ6zExamkszQ5VutGIcaQqmbD9ZTVXMQ/edit#gid=1251630045"",""articles_with_PRISMA_reasons!Y2:Y2113""), $A213=IMPORTRANGE(""https://docs.google.com/spreadsheets/d/1BJSV3WBYJGRhQ6z"&amp;"ExamkszQ5VutGIcaQqmbD9ZTVXMQ/edit#gid=1251630045"",""articles_with_PRISMA_reasons!B2:B2113""))&gt;=2,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$A213=IMPORTRANGE(""https://docs.google.com/spreadsheets/d/1BJSV3WBYJGRhQ6zExamkszQ5VutGIcaQqmbD9ZTVXMQ/edit#gid=1251630045"",""articles_with_PRISMA_reasons!B2:B2113""))&lt;2),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$A213=IMPORTRANGE(""https://docs.google.com/spreadsheets/d/1BJSV3WBYJGRhQ6zExamkszQ5VutGIcaQqmbD9ZTVXMQ/edit#gid=1251630045"",""arti"&amp;"cles_with_PRISMA_reasons!B2:B2113""))&lt;2,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$A213=IMPORTRANGE(""https://docs.google.com"&amp;"/spreadsheets/d/1BJSV3WBYJGRhQ6zExamkszQ5VutGIcaQqmbD9ZTVXMQ/edit#gid=1251630045"",""articles_with_PRISMA_reasons!B2:B2113""))&gt;=2),
""Exclude""
)"),"Exclude")</f>
        <v>Exclude</v>
      </c>
      <c r="E213" s="5" t="str">
        <f>IFERROR(__xludf.DUMMYFUNCTION("IFS(
D213=""Exclude"",""Exclude"",
AND(
FILTER(IMPORTRANGE(""https://docs.google.com/spreadsheets/d/1qpEmbGH0JjaJbUdp21-y2cPbobDbMjr09BbtdKROZWc/edit#gid=1444865654"",""articles_with_PRISMA_reasons!W2:W2113""), $A213=IMPORTRANGE(""https://docs.google.com/"&amp;"spreadsheets/d/1qpEmbGH0JjaJbUdp21-y2cPbobDbMjr09BbtdKROZWc/edit#gid=1444865654"",""articles_with_PRISMA_reasons!B2:B2113""))&gt;=2,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$A213=IMPORTRANGE(""https://docs.google.com/spreadsheets/d/1qpEmbGH0JjaJbUdp21-y2cPbobDbMjr09BbtdKROZWc/edit#gid=1444865654"",""articles_with_PRISMA_reasons!B2:B2113""))&lt;2),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$A213=IMPORTRANGE(""https://docs.google.com/spreadsheets/d/1qpEmbGH0JjaJbUdp21-y2cPbobDbMjr09BbtdKRO"&amp;"ZWc/edit#gid=1444865654"",""articles_with_PRISMA_reasons!B2:B2113""))&lt;2,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$A213=IMPOR"&amp;"TRANGE(""https://docs.google.com/spreadsheets/d/1qpEmbGH0JjaJbUdp21-y2cPbobDbMjr09BbtdKROZWc/edit#gid=1444865654"",""articles_with_PRISMA_reasons!B2:B2113""))&gt;=2),
""Exclude""
)"),"Exclude")</f>
        <v>Exclude</v>
      </c>
      <c r="F213" s="5" t="str">
        <f>IFERROR(__xludf.DUMMYFUNCTION("IFS(
E213=""Exclude"",""Exclude"",
AND(
COUNTIF(
IMPORTRANGE(""https://docs.google.com/spreadsheets/d/1kGrh75X1cNR1D7_FcY9zMnHP8iPO4M5RCRjy6nZY0TY/edit#gid=0"",""Table 1: Study characteristics!B4:B171""),A213)&gt;0,
COUNTIF(Studies!$A$2:$A$85,FILTER(IMPORTRA"&amp;"NGE(""https://docs.google.com/spreadsheets/d/1kGrh75X1cNR1D7_FcY9zMnHP8iPO4M5RCRjy6nZY0TY/edit#gid=0"",""Table 1: Study characteristics!A4:A171""), $A213=IMPORTRANGE(""https://docs.google.com/spreadsheets/d/1kGrh75X1cNR1D7_FcY9zMnHP8iPO4M5RCRjy6nZY0TY/edi"&amp;"t#gid=0"",""Table 1: Study characteristics!B4:B171"")))&gt;0
),
""Include""
)"),"Exclude")</f>
        <v>Exclude</v>
      </c>
      <c r="G213" s="5" t="str">
        <f>IFERROR(__xludf.DUMMYFUNCTION("IFS(
D213=""Exclude"",
FILTER(IMPORTRANGE(""https://docs.google.com/spreadsheets/d/1BJSV3WBYJGRhQ6zExamkszQ5VutGIcaQqmbD9ZTVXMQ/edit#gid=1251630045"",""articles_with_PRISMA_reasons!AB2:AB2113""), $A213=IMPORTRANGE(""https://docs.google.com/spreadsheets/d/"&amp;"1BJSV3WBYJGRhQ6zExamkszQ5VutGIcaQqmbD9ZTVXMQ/edit#gid=1251630045"",""articles_with_PRISMA_reasons!B2:B2113"")),
E213=""Exclude"",
FILTER(IMPORTRANGE(""https://docs.google.com/spreadsheets/d/1qpEmbGH0JjaJbUdp21-y2cPbobDbMjr09BbtdKROZWc/edit#gid=1444865654"&amp;""",""articles_with_PRISMA_reasons!Z2:Z2113""), $A213=IMPORTRANGE(""https://docs.google.com/spreadsheets/d/1qpEmbGH0JjaJbUdp21-y2cPbobDbMjr09BbtdKROZWc/edit#gid=1444865654"",""articles_with_PRISMA_reasons!B2:B2113"")),F213
=""Include"",FILTER(IMPORTRANGE("&amp;"""https://docs.google.com/spreadsheets/d/1kGrh75X1cNR1D7_FcY9zMnHP8iPO4M5RCRjy6nZY0TY/edit#gid=0"",""Table 1: Study characteristics!A4:A171""), $A213=IMPORTRANGE(""https://docs.google.com/spreadsheets/d/1kGrh75X1cNR1D7_FcY9zMnHP8iPO4M5RCRjy6nZY0TY/edit#gi"&amp;"d=0"",""Table 1: Study characteristics!B4:B171""))
)"),"duplicate")</f>
        <v>duplicate</v>
      </c>
    </row>
    <row r="214">
      <c r="A214" s="4" t="str">
        <f>IFERROR(__xludf.DUMMYFUNCTION("""COMPUTED_VALUE"""),"ABO and Rh Blood Groups and Risk of Myelomeningocele")</f>
        <v>ABO and Rh Blood Groups and Risk of Myelomeningocele</v>
      </c>
      <c r="B214" s="5" t="str">
        <f>IFERROR(__xludf.DUMMYFUNCTION("LEFT(FILTER(IMPORTRANGE(""https://docs.google.com/spreadsheets/d/1BJSV3WBYJGRhQ6zExamkszQ5VutGIcaQqmbD9ZTVXMQ/edit#gid=1251630045"",""articles_with_PRISMA_reasons!K2:K2113""), $A214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$A214=IMPORTRANGE(""https://docs.google.com/spreadsheets/d/1BJSV3WBYJGRhQ6zExamkszQ5VutGIcaQqmbD9ZTVXMQ/edit#gid=1251630045"",""articles_with_PRISMA_reasons!B2:B2113"")))-1)"),"Isik")</f>
        <v>Isik</v>
      </c>
      <c r="C214" s="6">
        <f>IFERROR(__xludf.DUMMYFUNCTION("FILTER(IMPORTRANGE(""https://docs.google.com/spreadsheets/d/1BJSV3WBYJGRhQ6zExamkszQ5VutGIcaQqmbD9ZTVXMQ/edit#gid=1251630045"",""articles_with_PRISMA_reasons!C2:C2113""), $A214=IMPORTRANGE(""https://docs.google.com/spreadsheets/d/1BJSV3WBYJGRhQ6zExamkszQ5"&amp;"VutGIcaQqmbD9ZTVXMQ/edit#gid=1251630045"",""articles_with_PRISMA_reasons!B2:B2113""))"),2020.0)</f>
        <v>2020</v>
      </c>
      <c r="D214" s="5" t="str">
        <f>IFERROR(__xludf.DUMMYFUNCTION("IFS(AND(
FILTER(IMPORTRANGE(""https://docs.google.com/spreadsheets/d/1BJSV3WBYJGRhQ6zExamkszQ5VutGIcaQqmbD9ZTVXMQ/edit#gid=1251630045"",""articles_with_PRISMA_reasons!Y2:Y2113""), $A214=IMPORTRANGE(""https://docs.google.com/spreadsheets/d/1BJSV3WBYJGRhQ6z"&amp;"ExamkszQ5VutGIcaQqmbD9ZTVXMQ/edit#gid=1251630045"",""articles_with_PRISMA_reasons!B2:B2113""))&gt;=2,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$A214=IMPORTRANGE(""https://docs.google.com/spreadsheets/d/1BJSV3WBYJGRhQ6zExamkszQ5VutGIcaQqmbD9ZTVXMQ/edit#gid=1251630045"",""articles_with_PRISMA_reasons!B2:B2113""))&lt;2),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$A214=IMPORTRANGE(""https://docs.google.com/spreadsheets/d/1BJSV3WBYJGRhQ6zExamkszQ5VutGIcaQqmbD9ZTVXMQ/edit#gid=1251630045"",""arti"&amp;"cles_with_PRISMA_reasons!B2:B2113""))&lt;2,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$A214=IMPORTRANGE(""https://docs.google.com"&amp;"/spreadsheets/d/1BJSV3WBYJGRhQ6zExamkszQ5VutGIcaQqmbD9ZTVXMQ/edit#gid=1251630045"",""articles_with_PRISMA_reasons!B2:B2113""))&gt;=2),
""Exclude""
)"),"Exclude")</f>
        <v>Exclude</v>
      </c>
      <c r="E214" s="5" t="str">
        <f>IFERROR(__xludf.DUMMYFUNCTION("IFS(
D214=""Exclude"",""Exclude"",
AND(
FILTER(IMPORTRANGE(""https://docs.google.com/spreadsheets/d/1qpEmbGH0JjaJbUdp21-y2cPbobDbMjr09BbtdKROZWc/edit#gid=1444865654"",""articles_with_PRISMA_reasons!W2:W2113""), $A214=IMPORTRANGE(""https://docs.google.com/"&amp;"spreadsheets/d/1qpEmbGH0JjaJbUdp21-y2cPbobDbMjr09BbtdKROZWc/edit#gid=1444865654"",""articles_with_PRISMA_reasons!B2:B2113""))&gt;=2,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$A214=IMPORTRANGE(""https://docs.google.com/spreadsheets/d/1qpEmbGH0JjaJbUdp21-y2cPbobDbMjr09BbtdKROZWc/edit#gid=1444865654"",""articles_with_PRISMA_reasons!B2:B2113""))&lt;2),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$A214=IMPORTRANGE(""https://docs.google.com/spreadsheets/d/1qpEmbGH0JjaJbUdp21-y2cPbobDbMjr09BbtdKRO"&amp;"ZWc/edit#gid=1444865654"",""articles_with_PRISMA_reasons!B2:B2113""))&lt;2,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$A214=IMPOR"&amp;"TRANGE(""https://docs.google.com/spreadsheets/d/1qpEmbGH0JjaJbUdp21-y2cPbobDbMjr09BbtdKROZWc/edit#gid=1444865654"",""articles_with_PRISMA_reasons!B2:B2113""))&gt;=2),
""Exclude""
)"),"Exclude")</f>
        <v>Exclude</v>
      </c>
      <c r="F214" s="5" t="str">
        <f>IFERROR(__xludf.DUMMYFUNCTION("IFS(
E214=""Exclude"",""Exclude"",
AND(
COUNTIF(
IMPORTRANGE(""https://docs.google.com/spreadsheets/d/1kGrh75X1cNR1D7_FcY9zMnHP8iPO4M5RCRjy6nZY0TY/edit#gid=0"",""Table 1: Study characteristics!B4:B171""),A214)&gt;0,
COUNTIF(Studies!$A$2:$A$85,FILTER(IMPORTRA"&amp;"NGE(""https://docs.google.com/spreadsheets/d/1kGrh75X1cNR1D7_FcY9zMnHP8iPO4M5RCRjy6nZY0TY/edit#gid=0"",""Table 1: Study characteristics!A4:A171""), $A214=IMPORTRANGE(""https://docs.google.com/spreadsheets/d/1kGrh75X1cNR1D7_FcY9zMnHP8iPO4M5RCRjy6nZY0TY/edi"&amp;"t#gid=0"",""Table 1: Study characteristics!B4:B171"")))&gt;0
),
""Include""
)"),"Exclude")</f>
        <v>Exclude</v>
      </c>
      <c r="G214" s="5" t="str">
        <f>IFERROR(__xludf.DUMMYFUNCTION("IFS(
D214=""Exclude"",
FILTER(IMPORTRANGE(""https://docs.google.com/spreadsheets/d/1BJSV3WBYJGRhQ6zExamkszQ5VutGIcaQqmbD9ZTVXMQ/edit#gid=1251630045"",""articles_with_PRISMA_reasons!AB2:AB2113""), $A214=IMPORTRANGE(""https://docs.google.com/spreadsheets/d/"&amp;"1BJSV3WBYJGRhQ6zExamkszQ5VutGIcaQqmbD9ZTVXMQ/edit#gid=1251630045"",""articles_with_PRISMA_reasons!B2:B2113"")),
E214=""Exclude"",
FILTER(IMPORTRANGE(""https://docs.google.com/spreadsheets/d/1qpEmbGH0JjaJbUdp21-y2cPbobDbMjr09BbtdKROZWc/edit#gid=1444865654"&amp;""",""articles_with_PRISMA_reasons!Z2:Z2113""), $A214=IMPORTRANGE(""https://docs.google.com/spreadsheets/d/1qpEmbGH0JjaJbUdp21-y2cPbobDbMjr09BbtdKROZWc/edit#gid=1444865654"",""articles_with_PRISMA_reasons!B2:B2113"")),F214
=""Include"",FILTER(IMPORTRANGE("&amp;"""https://docs.google.com/spreadsheets/d/1kGrh75X1cNR1D7_FcY9zMnHP8iPO4M5RCRjy6nZY0TY/edit#gid=0"",""Table 1: Study characteristics!A4:A171""), $A214=IMPORTRANGE(""https://docs.google.com/spreadsheets/d/1kGrh75X1cNR1D7_FcY9zMnHP8iPO4M5RCRjy6nZY0TY/edit#gi"&amp;"d=0"",""Table 1: Study characteristics!B4:B171""))
)"),"wrong population")</f>
        <v>wrong population</v>
      </c>
    </row>
    <row r="215">
      <c r="A215" s="4" t="str">
        <f>IFERROR(__xludf.DUMMYFUNCTION("""COMPUTED_VALUE"""),"About the rate of shunt complications in patients with hydrocephalus and myelomeningocele")</f>
        <v>About the rate of shunt complications in patients with hydrocephalus and myelomeningocele</v>
      </c>
      <c r="B215" s="5" t="str">
        <f>IFERROR(__xludf.DUMMYFUNCTION("LEFT(FILTER(IMPORTRANGE(""https://docs.google.com/spreadsheets/d/1BJSV3WBYJGRhQ6zExamkszQ5VutGIcaQqmbD9ZTVXMQ/edit#gid=1251630045"",""articles_with_PRISMA_reasons!K2:K2113""), $A215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$A215=IMPORTRANGE(""https://docs.google.com/spreadsheets/d/1BJSV3WBYJGRhQ6zExamkszQ5VutGIcaQqmbD9ZTVXMQ/edit#gid=1251630045"",""articles_with_PRISMA_reasons!B2:B2113"")))-1)"),"Rolle")</f>
        <v>Rolle</v>
      </c>
      <c r="C215" s="6">
        <f>IFERROR(__xludf.DUMMYFUNCTION("FILTER(IMPORTRANGE(""https://docs.google.com/spreadsheets/d/1BJSV3WBYJGRhQ6zExamkszQ5VutGIcaQqmbD9ZTVXMQ/edit#gid=1251630045"",""articles_with_PRISMA_reasons!C2:C2113""), $A215=IMPORTRANGE(""https://docs.google.com/spreadsheets/d/1BJSV3WBYJGRhQ6zExamkszQ5"&amp;"VutGIcaQqmbD9ZTVXMQ/edit#gid=1251630045"",""articles_with_PRISMA_reasons!B2:B2113""))"),1999.0)</f>
        <v>1999</v>
      </c>
      <c r="D215" s="5" t="str">
        <f>IFERROR(__xludf.DUMMYFUNCTION("IFS(AND(
FILTER(IMPORTRANGE(""https://docs.google.com/spreadsheets/d/1BJSV3WBYJGRhQ6zExamkszQ5VutGIcaQqmbD9ZTVXMQ/edit#gid=1251630045"",""articles_with_PRISMA_reasons!Y2:Y2113""), $A215=IMPORTRANGE(""https://docs.google.com/spreadsheets/d/1BJSV3WBYJGRhQ6z"&amp;"ExamkszQ5VutGIcaQqmbD9ZTVXMQ/edit#gid=1251630045"",""articles_with_PRISMA_reasons!B2:B2113""))&gt;=2,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$A215=IMPORTRANGE(""https://docs.google.com/spreadsheets/d/1BJSV3WBYJGRhQ6zExamkszQ5VutGIcaQqmbD9ZTVXMQ/edit#gid=1251630045"",""articles_with_PRISMA_reasons!B2:B2113""))&lt;2),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$A215=IMPORTRANGE(""https://docs.google.com/spreadsheets/d/1BJSV3WBYJGRhQ6zExamkszQ5VutGIcaQqmbD9ZTVXMQ/edit#gid=1251630045"",""arti"&amp;"cles_with_PRISMA_reasons!B2:B2113""))&lt;2,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$A215=IMPORTRANGE(""https://docs.google.com"&amp;"/spreadsheets/d/1BJSV3WBYJGRhQ6zExamkszQ5VutGIcaQqmbD9ZTVXMQ/edit#gid=1251630045"",""articles_with_PRISMA_reasons!B2:B2113""))&gt;=2),
""Exclude""
)"),"Exclude")</f>
        <v>Exclude</v>
      </c>
      <c r="E215" s="5" t="str">
        <f>IFERROR(__xludf.DUMMYFUNCTION("IFS(
D215=""Exclude"",""Exclude"",
AND(
FILTER(IMPORTRANGE(""https://docs.google.com/spreadsheets/d/1qpEmbGH0JjaJbUdp21-y2cPbobDbMjr09BbtdKROZWc/edit#gid=1444865654"",""articles_with_PRISMA_reasons!W2:W2113""), $A215=IMPORTRANGE(""https://docs.google.com/"&amp;"spreadsheets/d/1qpEmbGH0JjaJbUdp21-y2cPbobDbMjr09BbtdKROZWc/edit#gid=1444865654"",""articles_with_PRISMA_reasons!B2:B2113""))&gt;=2,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$A215=IMPORTRANGE(""https://docs.google.com/spreadsheets/d/1qpEmbGH0JjaJbUdp21-y2cPbobDbMjr09BbtdKROZWc/edit#gid=1444865654"",""articles_with_PRISMA_reasons!B2:B2113""))&lt;2),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$A215=IMPORTRANGE(""https://docs.google.com/spreadsheets/d/1qpEmbGH0JjaJbUdp21-y2cPbobDbMjr09BbtdKRO"&amp;"ZWc/edit#gid=1444865654"",""articles_with_PRISMA_reasons!B2:B2113""))&lt;2,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$A215=IMPOR"&amp;"TRANGE(""https://docs.google.com/spreadsheets/d/1qpEmbGH0JjaJbUdp21-y2cPbobDbMjr09BbtdKROZWc/edit#gid=1444865654"",""articles_with_PRISMA_reasons!B2:B2113""))&gt;=2),
""Exclude""
)"),"Exclude")</f>
        <v>Exclude</v>
      </c>
      <c r="F215" s="5" t="str">
        <f>IFERROR(__xludf.DUMMYFUNCTION("IFS(
E215=""Exclude"",""Exclude"",
AND(
COUNTIF(
IMPORTRANGE(""https://docs.google.com/spreadsheets/d/1kGrh75X1cNR1D7_FcY9zMnHP8iPO4M5RCRjy6nZY0TY/edit#gid=0"",""Table 1: Study characteristics!B4:B171""),A215)&gt;0,
COUNTIF(Studies!$A$2:$A$85,FILTER(IMPORTRA"&amp;"NGE(""https://docs.google.com/spreadsheets/d/1kGrh75X1cNR1D7_FcY9zMnHP8iPO4M5RCRjy6nZY0TY/edit#gid=0"",""Table 1: Study characteristics!A4:A171""), $A215=IMPORTRANGE(""https://docs.google.com/spreadsheets/d/1kGrh75X1cNR1D7_FcY9zMnHP8iPO4M5RCRjy6nZY0TY/edi"&amp;"t#gid=0"",""Table 1: Study characteristics!B4:B171"")))&gt;0
),
""Include""
)"),"Exclude")</f>
        <v>Exclude</v>
      </c>
      <c r="G215" s="5" t="str">
        <f>IFERROR(__xludf.DUMMYFUNCTION("IFS(
D215=""Exclude"",
FILTER(IMPORTRANGE(""https://docs.google.com/spreadsheets/d/1BJSV3WBYJGRhQ6zExamkszQ5VutGIcaQqmbD9ZTVXMQ/edit#gid=1251630045"",""articles_with_PRISMA_reasons!AB2:AB2113""), $A215=IMPORTRANGE(""https://docs.google.com/spreadsheets/d/"&amp;"1BJSV3WBYJGRhQ6zExamkszQ5VutGIcaQqmbD9ZTVXMQ/edit#gid=1251630045"",""articles_with_PRISMA_reasons!B2:B2113"")),
E215=""Exclude"",
FILTER(IMPORTRANGE(""https://docs.google.com/spreadsheets/d/1qpEmbGH0JjaJbUdp21-y2cPbobDbMjr09BbtdKROZWc/edit#gid=1444865654"&amp;""",""articles_with_PRISMA_reasons!Z2:Z2113""), $A215=IMPORTRANGE(""https://docs.google.com/spreadsheets/d/1qpEmbGH0JjaJbUdp21-y2cPbobDbMjr09BbtdKROZWc/edit#gid=1444865654"",""articles_with_PRISMA_reasons!B2:B2113"")),F215
=""Include"",FILTER(IMPORTRANGE("&amp;"""https://docs.google.com/spreadsheets/d/1kGrh75X1cNR1D7_FcY9zMnHP8iPO4M5RCRjy6nZY0TY/edit#gid=0"",""Table 1: Study characteristics!A4:A171""), $A215=IMPORTRANGE(""https://docs.google.com/spreadsheets/d/1kGrh75X1cNR1D7_FcY9zMnHP8iPO4M5RCRjy6nZY0TY/edit#gi"&amp;"d=0"",""Table 1: Study characteristics!B4:B171""))
)"),"wrong study design")</f>
        <v>wrong study design</v>
      </c>
    </row>
    <row r="216">
      <c r="A216" s="4" t="str">
        <f>IFERROR(__xludf.DUMMYFUNCTION("""COMPUTED_VALUE"""),"Absent hypoxic and hypercapneic arousal responses in children with myelomeningocele and apnea")</f>
        <v>Absent hypoxic and hypercapneic arousal responses in children with myelomeningocele and apnea</v>
      </c>
      <c r="B216" s="5" t="str">
        <f>IFERROR(__xludf.DUMMYFUNCTION("LEFT(FILTER(IMPORTRANGE(""https://docs.google.com/spreadsheets/d/1BJSV3WBYJGRhQ6zExamkszQ5VutGIcaQqmbD9ZTVXMQ/edit#gid=1251630045"",""articles_with_PRISMA_reasons!K2:K2113""), $A216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$A216=IMPORTRANGE(""https://docs.google.com/spreadsheets/d/1BJSV3WBYJGRhQ6zExamkszQ5VutGIcaQqmbD9ZTVXMQ/edit#gid=1251630045"",""articles_with_PRISMA_reasons!B2:B2113"")))-1)"),"Ward")</f>
        <v>Ward</v>
      </c>
      <c r="C216" s="6">
        <f>IFERROR(__xludf.DUMMYFUNCTION("FILTER(IMPORTRANGE(""https://docs.google.com/spreadsheets/d/1BJSV3WBYJGRhQ6zExamkszQ5VutGIcaQqmbD9ZTVXMQ/edit#gid=1251630045"",""articles_with_PRISMA_reasons!C2:C2113""), $A216=IMPORTRANGE(""https://docs.google.com/spreadsheets/d/1BJSV3WBYJGRhQ6zExamkszQ5"&amp;"VutGIcaQqmbD9ZTVXMQ/edit#gid=1251630045"",""articles_with_PRISMA_reasons!B2:B2113""))"),1986.0)</f>
        <v>1986</v>
      </c>
      <c r="D216" s="5" t="str">
        <f>IFERROR(__xludf.DUMMYFUNCTION("IFS(AND(
FILTER(IMPORTRANGE(""https://docs.google.com/spreadsheets/d/1BJSV3WBYJGRhQ6zExamkszQ5VutGIcaQqmbD9ZTVXMQ/edit#gid=1251630045"",""articles_with_PRISMA_reasons!Y2:Y2113""), $A216=IMPORTRANGE(""https://docs.google.com/spreadsheets/d/1BJSV3WBYJGRhQ6z"&amp;"ExamkszQ5VutGIcaQqmbD9ZTVXMQ/edit#gid=1251630045"",""articles_with_PRISMA_reasons!B2:B2113""))&gt;=2,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$A216=IMPORTRANGE(""https://docs.google.com/spreadsheets/d/1BJSV3WBYJGRhQ6zExamkszQ5VutGIcaQqmbD9ZTVXMQ/edit#gid=1251630045"",""articles_with_PRISMA_reasons!B2:B2113""))&lt;2),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$A216=IMPORTRANGE(""https://docs.google.com/spreadsheets/d/1BJSV3WBYJGRhQ6zExamkszQ5VutGIcaQqmbD9ZTVXMQ/edit#gid=1251630045"",""arti"&amp;"cles_with_PRISMA_reasons!B2:B2113""))&lt;2,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$A216=IMPORTRANGE(""https://docs.google.com"&amp;"/spreadsheets/d/1BJSV3WBYJGRhQ6zExamkszQ5VutGIcaQqmbD9ZTVXMQ/edit#gid=1251630045"",""articles_with_PRISMA_reasons!B2:B2113""))&gt;=2),
""Exclude""
)"),"Exclude")</f>
        <v>Exclude</v>
      </c>
      <c r="E216" s="5" t="str">
        <f>IFERROR(__xludf.DUMMYFUNCTION("IFS(
D216=""Exclude"",""Exclude"",
AND(
FILTER(IMPORTRANGE(""https://docs.google.com/spreadsheets/d/1qpEmbGH0JjaJbUdp21-y2cPbobDbMjr09BbtdKROZWc/edit#gid=1444865654"",""articles_with_PRISMA_reasons!W2:W2113""), $A216=IMPORTRANGE(""https://docs.google.com/"&amp;"spreadsheets/d/1qpEmbGH0JjaJbUdp21-y2cPbobDbMjr09BbtdKROZWc/edit#gid=1444865654"",""articles_with_PRISMA_reasons!B2:B2113""))&gt;=2,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$A216=IMPORTRANGE(""https://docs.google.com/spreadsheets/d/1qpEmbGH0JjaJbUdp21-y2cPbobDbMjr09BbtdKROZWc/edit#gid=1444865654"",""articles_with_PRISMA_reasons!B2:B2113""))&lt;2),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$A216=IMPORTRANGE(""https://docs.google.com/spreadsheets/d/1qpEmbGH0JjaJbUdp21-y2cPbobDbMjr09BbtdKRO"&amp;"ZWc/edit#gid=1444865654"",""articles_with_PRISMA_reasons!B2:B2113""))&lt;2,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$A216=IMPOR"&amp;"TRANGE(""https://docs.google.com/spreadsheets/d/1qpEmbGH0JjaJbUdp21-y2cPbobDbMjr09BbtdKROZWc/edit#gid=1444865654"",""articles_with_PRISMA_reasons!B2:B2113""))&gt;=2),
""Exclude""
)"),"Exclude")</f>
        <v>Exclude</v>
      </c>
      <c r="F216" s="5" t="str">
        <f>IFERROR(__xludf.DUMMYFUNCTION("IFS(
E216=""Exclude"",""Exclude"",
AND(
COUNTIF(
IMPORTRANGE(""https://docs.google.com/spreadsheets/d/1kGrh75X1cNR1D7_FcY9zMnHP8iPO4M5RCRjy6nZY0TY/edit#gid=0"",""Table 1: Study characteristics!B4:B171""),A216)&gt;0,
COUNTIF(Studies!$A$2:$A$85,FILTER(IMPORTRA"&amp;"NGE(""https://docs.google.com/spreadsheets/d/1kGrh75X1cNR1D7_FcY9zMnHP8iPO4M5RCRjy6nZY0TY/edit#gid=0"",""Table 1: Study characteristics!A4:A171""), $A216=IMPORTRANGE(""https://docs.google.com/spreadsheets/d/1kGrh75X1cNR1D7_FcY9zMnHP8iPO4M5RCRjy6nZY0TY/edi"&amp;"t#gid=0"",""Table 1: Study characteristics!B4:B171"")))&gt;0
),
""Include""
)"),"Exclude")</f>
        <v>Exclude</v>
      </c>
      <c r="G216" s="5" t="str">
        <f>IFERROR(__xludf.DUMMYFUNCTION("IFS(
D216=""Exclude"",
FILTER(IMPORTRANGE(""https://docs.google.com/spreadsheets/d/1BJSV3WBYJGRhQ6zExamkszQ5VutGIcaQqmbD9ZTVXMQ/edit#gid=1251630045"",""articles_with_PRISMA_reasons!AB2:AB2113""), $A216=IMPORTRANGE(""https://docs.google.com/spreadsheets/d/"&amp;"1BJSV3WBYJGRhQ6zExamkszQ5VutGIcaQqmbD9ZTVXMQ/edit#gid=1251630045"",""articles_with_PRISMA_reasons!B2:B2113"")),
E216=""Exclude"",
FILTER(IMPORTRANGE(""https://docs.google.com/spreadsheets/d/1qpEmbGH0JjaJbUdp21-y2cPbobDbMjr09BbtdKROZWc/edit#gid=1444865654"&amp;""",""articles_with_PRISMA_reasons!Z2:Z2113""), $A216=IMPORTRANGE(""https://docs.google.com/spreadsheets/d/1qpEmbGH0JjaJbUdp21-y2cPbobDbMjr09BbtdKROZWc/edit#gid=1444865654"",""articles_with_PRISMA_reasons!B2:B2113"")),F216
=""Include"",FILTER(IMPORTRANGE("&amp;"""https://docs.google.com/spreadsheets/d/1kGrh75X1cNR1D7_FcY9zMnHP8iPO4M5RCRjy6nZY0TY/edit#gid=0"",""Table 1: Study characteristics!A4:A171""), $A216=IMPORTRANGE(""https://docs.google.com/spreadsheets/d/1kGrh75X1cNR1D7_FcY9zMnHP8iPO4M5RCRjy6nZY0TY/edit#gi"&amp;"d=0"",""Table 1: Study characteristics!B4:B171""))
)"),"wrong population")</f>
        <v>wrong population</v>
      </c>
    </row>
    <row r="217">
      <c r="A217" s="4" t="str">
        <f>IFERROR(__xludf.DUMMYFUNCTION("""COMPUTED_VALUE"""),"Accessory limb with myelomeningocele: a rare case challenging previously held beliefs")</f>
        <v>Accessory limb with myelomeningocele: a rare case challenging previously held beliefs</v>
      </c>
      <c r="B217" s="5" t="str">
        <f>IFERROR(__xludf.DUMMYFUNCTION("LEFT(FILTER(IMPORTRANGE(""https://docs.google.com/spreadsheets/d/1BJSV3WBYJGRhQ6zExamkszQ5VutGIcaQqmbD9ZTVXMQ/edit#gid=1251630045"",""articles_with_PRISMA_reasons!K2:K2113""), $A217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$A217=IMPORTRANGE(""https://docs.google.com/spreadsheets/d/1BJSV3WBYJGRhQ6zExamkszQ5VutGIcaQqmbD9ZTVXMQ/edit#gid=1251630045"",""articles_with_PRISMA_reasons!B2:B2113"")))-1)"),"Parks")</f>
        <v>Parks</v>
      </c>
      <c r="C217" s="6">
        <f>IFERROR(__xludf.DUMMYFUNCTION("FILTER(IMPORTRANGE(""https://docs.google.com/spreadsheets/d/1BJSV3WBYJGRhQ6zExamkszQ5VutGIcaQqmbD9ZTVXMQ/edit#gid=1251630045"",""articles_with_PRISMA_reasons!C2:C2113""), $A217=IMPORTRANGE(""https://docs.google.com/spreadsheets/d/1BJSV3WBYJGRhQ6zExamkszQ5"&amp;"VutGIcaQqmbD9ZTVXMQ/edit#gid=1251630045"",""articles_with_PRISMA_reasons!B2:B2113""))"),2014.0)</f>
        <v>2014</v>
      </c>
      <c r="D217" s="5" t="str">
        <f>IFERROR(__xludf.DUMMYFUNCTION("IFS(AND(
FILTER(IMPORTRANGE(""https://docs.google.com/spreadsheets/d/1BJSV3WBYJGRhQ6zExamkszQ5VutGIcaQqmbD9ZTVXMQ/edit#gid=1251630045"",""articles_with_PRISMA_reasons!Y2:Y2113""), $A217=IMPORTRANGE(""https://docs.google.com/spreadsheets/d/1BJSV3WBYJGRhQ6z"&amp;"ExamkszQ5VutGIcaQqmbD9ZTVXMQ/edit#gid=1251630045"",""articles_with_PRISMA_reasons!B2:B2113""))&gt;=2,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$A217=IMPORTRANGE(""https://docs.google.com/spreadsheets/d/1BJSV3WBYJGRhQ6zExamkszQ5VutGIcaQqmbD9ZTVXMQ/edit#gid=1251630045"",""articles_with_PRISMA_reasons!B2:B2113""))&lt;2),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$A217=IMPORTRANGE(""https://docs.google.com/spreadsheets/d/1BJSV3WBYJGRhQ6zExamkszQ5VutGIcaQqmbD9ZTVXMQ/edit#gid=1251630045"",""arti"&amp;"cles_with_PRISMA_reasons!B2:B2113""))&lt;2,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$A217=IMPORTRANGE(""https://docs.google.com"&amp;"/spreadsheets/d/1BJSV3WBYJGRhQ6zExamkszQ5VutGIcaQqmbD9ZTVXMQ/edit#gid=1251630045"",""articles_with_PRISMA_reasons!B2:B2113""))&gt;=2),
""Exclude""
)"),"Exclude")</f>
        <v>Exclude</v>
      </c>
      <c r="E217" s="5" t="str">
        <f>IFERROR(__xludf.DUMMYFUNCTION("IFS(
D217=""Exclude"",""Exclude"",
AND(
FILTER(IMPORTRANGE(""https://docs.google.com/spreadsheets/d/1qpEmbGH0JjaJbUdp21-y2cPbobDbMjr09BbtdKROZWc/edit#gid=1444865654"",""articles_with_PRISMA_reasons!W2:W2113""), $A217=IMPORTRANGE(""https://docs.google.com/"&amp;"spreadsheets/d/1qpEmbGH0JjaJbUdp21-y2cPbobDbMjr09BbtdKROZWc/edit#gid=1444865654"",""articles_with_PRISMA_reasons!B2:B2113""))&gt;=2,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$A217=IMPORTRANGE(""https://docs.google.com/spreadsheets/d/1qpEmbGH0JjaJbUdp21-y2cPbobDbMjr09BbtdKROZWc/edit#gid=1444865654"",""articles_with_PRISMA_reasons!B2:B2113""))&lt;2),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$A217=IMPORTRANGE(""https://docs.google.com/spreadsheets/d/1qpEmbGH0JjaJbUdp21-y2cPbobDbMjr09BbtdKRO"&amp;"ZWc/edit#gid=1444865654"",""articles_with_PRISMA_reasons!B2:B2113""))&lt;2,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$A217=IMPOR"&amp;"TRANGE(""https://docs.google.com/spreadsheets/d/1qpEmbGH0JjaJbUdp21-y2cPbobDbMjr09BbtdKROZWc/edit#gid=1444865654"",""articles_with_PRISMA_reasons!B2:B2113""))&gt;=2),
""Exclude""
)"),"Exclude")</f>
        <v>Exclude</v>
      </c>
      <c r="F217" s="5" t="str">
        <f>IFERROR(__xludf.DUMMYFUNCTION("IFS(
E217=""Exclude"",""Exclude"",
AND(
COUNTIF(
IMPORTRANGE(""https://docs.google.com/spreadsheets/d/1kGrh75X1cNR1D7_FcY9zMnHP8iPO4M5RCRjy6nZY0TY/edit#gid=0"",""Table 1: Study characteristics!B4:B171""),A217)&gt;0,
COUNTIF(Studies!$A$2:$A$85,FILTER(IMPORTRA"&amp;"NGE(""https://docs.google.com/spreadsheets/d/1kGrh75X1cNR1D7_FcY9zMnHP8iPO4M5RCRjy6nZY0TY/edit#gid=0"",""Table 1: Study characteristics!A4:A171""), $A217=IMPORTRANGE(""https://docs.google.com/spreadsheets/d/1kGrh75X1cNR1D7_FcY9zMnHP8iPO4M5RCRjy6nZY0TY/edi"&amp;"t#gid=0"",""Table 1: Study characteristics!B4:B171"")))&gt;0
),
""Include""
)"),"Exclude")</f>
        <v>Exclude</v>
      </c>
      <c r="G217" s="5" t="str">
        <f>IFERROR(__xludf.DUMMYFUNCTION("IFS(
D217=""Exclude"",
FILTER(IMPORTRANGE(""https://docs.google.com/spreadsheets/d/1BJSV3WBYJGRhQ6zExamkszQ5VutGIcaQqmbD9ZTVXMQ/edit#gid=1251630045"",""articles_with_PRISMA_reasons!AB2:AB2113""), $A217=IMPORTRANGE(""https://docs.google.com/spreadsheets/d/"&amp;"1BJSV3WBYJGRhQ6zExamkszQ5VutGIcaQqmbD9ZTVXMQ/edit#gid=1251630045"",""articles_with_PRISMA_reasons!B2:B2113"")),
E217=""Exclude"",
FILTER(IMPORTRANGE(""https://docs.google.com/spreadsheets/d/1qpEmbGH0JjaJbUdp21-y2cPbobDbMjr09BbtdKROZWc/edit#gid=1444865654"&amp;""",""articles_with_PRISMA_reasons!Z2:Z2113""), $A217=IMPORTRANGE(""https://docs.google.com/spreadsheets/d/1qpEmbGH0JjaJbUdp21-y2cPbobDbMjr09BbtdKROZWc/edit#gid=1444865654"",""articles_with_PRISMA_reasons!B2:B2113"")),F217
=""Include"",FILTER(IMPORTRANGE("&amp;"""https://docs.google.com/spreadsheets/d/1kGrh75X1cNR1D7_FcY9zMnHP8iPO4M5RCRjy6nZY0TY/edit#gid=0"",""Table 1: Study characteristics!A4:A171""), $A217=IMPORTRANGE(""https://docs.google.com/spreadsheets/d/1kGrh75X1cNR1D7_FcY9zMnHP8iPO4M5RCRjy6nZY0TY/edit#gi"&amp;"d=0"",""Table 1: Study characteristics!B4:B171""))
)"),"wrong study design")</f>
        <v>wrong study design</v>
      </c>
    </row>
    <row r="218">
      <c r="A218" s="4" t="str">
        <f>IFERROR(__xludf.DUMMYFUNCTION("""COMPUTED_VALUE"""),"Accurate placement of coronal ventricular catheter using stereotactic coordinate-guided free-hand passage. Technical note")</f>
        <v>Accurate placement of coronal ventricular catheter using stereotactic coordinate-guided free-hand passage. Technical note</v>
      </c>
      <c r="B218" s="5" t="str">
        <f>IFERROR(__xludf.DUMMYFUNCTION("LEFT(FILTER(IMPORTRANGE(""https://docs.google.com/spreadsheets/d/1BJSV3WBYJGRhQ6zExamkszQ5VutGIcaQqmbD9ZTVXMQ/edit#gid=1251630045"",""articles_with_PRISMA_reasons!K2:K2113""), $A218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$A218=IMPORTRANGE(""https://docs.google.com/spreadsheets/d/1BJSV3WBYJGRhQ6zExamkszQ5VutGIcaQqmbD9ZTVXMQ/edit#gid=1251630045"",""articles_with_PRISMA_reasons!B2:B2113"")))-1)"),"Pang")</f>
        <v>Pang</v>
      </c>
      <c r="C218" s="6">
        <f>IFERROR(__xludf.DUMMYFUNCTION("FILTER(IMPORTRANGE(""https://docs.google.com/spreadsheets/d/1BJSV3WBYJGRhQ6zExamkszQ5VutGIcaQqmbD9ZTVXMQ/edit#gid=1251630045"",""articles_with_PRISMA_reasons!C2:C2113""), $A218=IMPORTRANGE(""https://docs.google.com/spreadsheets/d/1BJSV3WBYJGRhQ6zExamkszQ5"&amp;"VutGIcaQqmbD9ZTVXMQ/edit#gid=1251630045"",""articles_with_PRISMA_reasons!B2:B2113""))"),1994.0)</f>
        <v>1994</v>
      </c>
      <c r="D218" s="5" t="str">
        <f>IFERROR(__xludf.DUMMYFUNCTION("IFS(AND(
FILTER(IMPORTRANGE(""https://docs.google.com/spreadsheets/d/1BJSV3WBYJGRhQ6zExamkszQ5VutGIcaQqmbD9ZTVXMQ/edit#gid=1251630045"",""articles_with_PRISMA_reasons!Y2:Y2113""), $A218=IMPORTRANGE(""https://docs.google.com/spreadsheets/d/1BJSV3WBYJGRhQ6z"&amp;"ExamkszQ5VutGIcaQqmbD9ZTVXMQ/edit#gid=1251630045"",""articles_with_PRISMA_reasons!B2:B2113""))&gt;=2,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$A218=IMPORTRANGE(""https://docs.google.com/spreadsheets/d/1BJSV3WBYJGRhQ6zExamkszQ5VutGIcaQqmbD9ZTVXMQ/edit#gid=1251630045"",""articles_with_PRISMA_reasons!B2:B2113""))&lt;2),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$A218=IMPORTRANGE(""https://docs.google.com/spreadsheets/d/1BJSV3WBYJGRhQ6zExamkszQ5VutGIcaQqmbD9ZTVXMQ/edit#gid=1251630045"",""arti"&amp;"cles_with_PRISMA_reasons!B2:B2113""))&lt;2,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$A218=IMPORTRANGE(""https://docs.google.com"&amp;"/spreadsheets/d/1BJSV3WBYJGRhQ6zExamkszQ5VutGIcaQqmbD9ZTVXMQ/edit#gid=1251630045"",""articles_with_PRISMA_reasons!B2:B2113""))&gt;=2),
""Exclude""
)"),"Exclude")</f>
        <v>Exclude</v>
      </c>
      <c r="E218" s="5" t="str">
        <f>IFERROR(__xludf.DUMMYFUNCTION("IFS(
D218=""Exclude"",""Exclude"",
AND(
FILTER(IMPORTRANGE(""https://docs.google.com/spreadsheets/d/1qpEmbGH0JjaJbUdp21-y2cPbobDbMjr09BbtdKROZWc/edit#gid=1444865654"",""articles_with_PRISMA_reasons!W2:W2113""), $A218=IMPORTRANGE(""https://docs.google.com/"&amp;"spreadsheets/d/1qpEmbGH0JjaJbUdp21-y2cPbobDbMjr09BbtdKROZWc/edit#gid=1444865654"",""articles_with_PRISMA_reasons!B2:B2113""))&gt;=2,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$A218=IMPORTRANGE(""https://docs.google.com/spreadsheets/d/1qpEmbGH0JjaJbUdp21-y2cPbobDbMjr09BbtdKROZWc/edit#gid=1444865654"",""articles_with_PRISMA_reasons!B2:B2113""))&lt;2),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$A218=IMPORTRANGE(""https://docs.google.com/spreadsheets/d/1qpEmbGH0JjaJbUdp21-y2cPbobDbMjr09BbtdKRO"&amp;"ZWc/edit#gid=1444865654"",""articles_with_PRISMA_reasons!B2:B2113""))&lt;2,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$A218=IMPOR"&amp;"TRANGE(""https://docs.google.com/spreadsheets/d/1qpEmbGH0JjaJbUdp21-y2cPbobDbMjr09BbtdKROZWc/edit#gid=1444865654"",""articles_with_PRISMA_reasons!B2:B2113""))&gt;=2),
""Exclude""
)"),"Exclude")</f>
        <v>Exclude</v>
      </c>
      <c r="F218" s="5" t="str">
        <f>IFERROR(__xludf.DUMMYFUNCTION("IFS(
E218=""Exclude"",""Exclude"",
AND(
COUNTIF(
IMPORTRANGE(""https://docs.google.com/spreadsheets/d/1kGrh75X1cNR1D7_FcY9zMnHP8iPO4M5RCRjy6nZY0TY/edit#gid=0"",""Table 1: Study characteristics!B4:B171""),A218)&gt;0,
COUNTIF(Studies!$A$2:$A$85,FILTER(IMPORTRA"&amp;"NGE(""https://docs.google.com/spreadsheets/d/1kGrh75X1cNR1D7_FcY9zMnHP8iPO4M5RCRjy6nZY0TY/edit#gid=0"",""Table 1: Study characteristics!A4:A171""), $A218=IMPORTRANGE(""https://docs.google.com/spreadsheets/d/1kGrh75X1cNR1D7_FcY9zMnHP8iPO4M5RCRjy6nZY0TY/edi"&amp;"t#gid=0"",""Table 1: Study characteristics!B4:B171"")))&gt;0
),
""Include""
)"),"Exclude")</f>
        <v>Exclude</v>
      </c>
      <c r="G218" s="5" t="str">
        <f>IFERROR(__xludf.DUMMYFUNCTION("IFS(
D218=""Exclude"",
FILTER(IMPORTRANGE(""https://docs.google.com/spreadsheets/d/1BJSV3WBYJGRhQ6zExamkszQ5VutGIcaQqmbD9ZTVXMQ/edit#gid=1251630045"",""articles_with_PRISMA_reasons!AB2:AB2113""), $A218=IMPORTRANGE(""https://docs.google.com/spreadsheets/d/"&amp;"1BJSV3WBYJGRhQ6zExamkszQ5VutGIcaQqmbD9ZTVXMQ/edit#gid=1251630045"",""articles_with_PRISMA_reasons!B2:B2113"")),
E218=""Exclude"",
FILTER(IMPORTRANGE(""https://docs.google.com/spreadsheets/d/1qpEmbGH0JjaJbUdp21-y2cPbobDbMjr09BbtdKROZWc/edit#gid=1444865654"&amp;""",""articles_with_PRISMA_reasons!Z2:Z2113""), $A218=IMPORTRANGE(""https://docs.google.com/spreadsheets/d/1qpEmbGH0JjaJbUdp21-y2cPbobDbMjr09BbtdKROZWc/edit#gid=1444865654"",""articles_with_PRISMA_reasons!B2:B2113"")),F218
=""Include"",FILTER(IMPORTRANGE("&amp;"""https://docs.google.com/spreadsheets/d/1kGrh75X1cNR1D7_FcY9zMnHP8iPO4M5RCRjy6nZY0TY/edit#gid=0"",""Table 1: Study characteristics!A4:A171""), $A218=IMPORTRANGE(""https://docs.google.com/spreadsheets/d/1kGrh75X1cNR1D7_FcY9zMnHP8iPO4M5RCRjy6nZY0TY/edit#gi"&amp;"d=0"",""Table 1: Study characteristics!B4:B171""))
)"),"wrong study design")</f>
        <v>wrong study design</v>
      </c>
    </row>
    <row r="219">
      <c r="A219" s="4" t="str">
        <f>IFERROR(__xludf.DUMMYFUNCTION("""COMPUTED_VALUE"""),"Acellular Dermal Matrix as a Definitive Reconstructive Option for Management of a Large Myelomeningocele Defect in the Setting of Severe Lumbar Kyphosis")</f>
        <v>Acellular Dermal Matrix as a Definitive Reconstructive Option for Management of a Large Myelomeningocele Defect in the Setting of Severe Lumbar Kyphosis</v>
      </c>
      <c r="B219" s="5" t="str">
        <f>IFERROR(__xludf.DUMMYFUNCTION("LEFT(FILTER(IMPORTRANGE(""https://docs.google.com/spreadsheets/d/1BJSV3WBYJGRhQ6zExamkszQ5VutGIcaQqmbD9ZTVXMQ/edit#gid=1251630045"",""articles_with_PRISMA_reasons!K2:K2113""), $A219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$A219=IMPORTRANGE(""https://docs.google.com/spreadsheets/d/1BJSV3WBYJGRhQ6zExamkszQ5VutGIcaQqmbD9ZTVXMQ/edit#gid=1251630045"",""articles_with_PRISMA_reasons!B2:B2113"")))-1)"),"Susarla")</f>
        <v>Susarla</v>
      </c>
      <c r="C219" s="6">
        <f>IFERROR(__xludf.DUMMYFUNCTION("FILTER(IMPORTRANGE(""https://docs.google.com/spreadsheets/d/1BJSV3WBYJGRhQ6zExamkszQ5VutGIcaQqmbD9ZTVXMQ/edit#gid=1251630045"",""articles_with_PRISMA_reasons!C2:C2113""), $A219=IMPORTRANGE(""https://docs.google.com/spreadsheets/d/1BJSV3WBYJGRhQ6zExamkszQ5"&amp;"VutGIcaQqmbD9ZTVXMQ/edit#gid=1251630045"",""articles_with_PRISMA_reasons!B2:B2113""))"),2019.0)</f>
        <v>2019</v>
      </c>
      <c r="D219" s="5" t="str">
        <f>IFERROR(__xludf.DUMMYFUNCTION("IFS(AND(
FILTER(IMPORTRANGE(""https://docs.google.com/spreadsheets/d/1BJSV3WBYJGRhQ6zExamkszQ5VutGIcaQqmbD9ZTVXMQ/edit#gid=1251630045"",""articles_with_PRISMA_reasons!Y2:Y2113""), $A219=IMPORTRANGE(""https://docs.google.com/spreadsheets/d/1BJSV3WBYJGRhQ6z"&amp;"ExamkszQ5VutGIcaQqmbD9ZTVXMQ/edit#gid=1251630045"",""articles_with_PRISMA_reasons!B2:B2113""))&gt;=2,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$A219=IMPORTRANGE(""https://docs.google.com/spreadsheets/d/1BJSV3WBYJGRhQ6zExamkszQ5VutGIcaQqmbD9ZTVXMQ/edit#gid=1251630045"",""articles_with_PRISMA_reasons!B2:B2113""))&lt;2),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$A219=IMPORTRANGE(""https://docs.google.com/spreadsheets/d/1BJSV3WBYJGRhQ6zExamkszQ5VutGIcaQqmbD9ZTVXMQ/edit#gid=1251630045"",""arti"&amp;"cles_with_PRISMA_reasons!B2:B2113""))&lt;2,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$A219=IMPORTRANGE(""https://docs.google.com"&amp;"/spreadsheets/d/1BJSV3WBYJGRhQ6zExamkszQ5VutGIcaQqmbD9ZTVXMQ/edit#gid=1251630045"",""articles_with_PRISMA_reasons!B2:B2113""))&gt;=2),
""Exclude""
)"),"Exclude")</f>
        <v>Exclude</v>
      </c>
      <c r="E219" s="5" t="str">
        <f>IFERROR(__xludf.DUMMYFUNCTION("IFS(
D219=""Exclude"",""Exclude"",
AND(
FILTER(IMPORTRANGE(""https://docs.google.com/spreadsheets/d/1qpEmbGH0JjaJbUdp21-y2cPbobDbMjr09BbtdKROZWc/edit#gid=1444865654"",""articles_with_PRISMA_reasons!W2:W2113""), $A219=IMPORTRANGE(""https://docs.google.com/"&amp;"spreadsheets/d/1qpEmbGH0JjaJbUdp21-y2cPbobDbMjr09BbtdKROZWc/edit#gid=1444865654"",""articles_with_PRISMA_reasons!B2:B2113""))&gt;=2,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$A219=IMPORTRANGE(""https://docs.google.com/spreadsheets/d/1qpEmbGH0JjaJbUdp21-y2cPbobDbMjr09BbtdKROZWc/edit#gid=1444865654"",""articles_with_PRISMA_reasons!B2:B2113""))&lt;2),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$A219=IMPORTRANGE(""https://docs.google.com/spreadsheets/d/1qpEmbGH0JjaJbUdp21-y2cPbobDbMjr09BbtdKRO"&amp;"ZWc/edit#gid=1444865654"",""articles_with_PRISMA_reasons!B2:B2113""))&lt;2,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$A219=IMPOR"&amp;"TRANGE(""https://docs.google.com/spreadsheets/d/1qpEmbGH0JjaJbUdp21-y2cPbobDbMjr09BbtdKROZWc/edit#gid=1444865654"",""articles_with_PRISMA_reasons!B2:B2113""))&gt;=2),
""Exclude""
)"),"Exclude")</f>
        <v>Exclude</v>
      </c>
      <c r="F219" s="5" t="str">
        <f>IFERROR(__xludf.DUMMYFUNCTION("IFS(
E219=""Exclude"",""Exclude"",
AND(
COUNTIF(
IMPORTRANGE(""https://docs.google.com/spreadsheets/d/1kGrh75X1cNR1D7_FcY9zMnHP8iPO4M5RCRjy6nZY0TY/edit#gid=0"",""Table 1: Study characteristics!B4:B171""),A219)&gt;0,
COUNTIF(Studies!$A$2:$A$85,FILTER(IMPORTRA"&amp;"NGE(""https://docs.google.com/spreadsheets/d/1kGrh75X1cNR1D7_FcY9zMnHP8iPO4M5RCRjy6nZY0TY/edit#gid=0"",""Table 1: Study characteristics!A4:A171""), $A219=IMPORTRANGE(""https://docs.google.com/spreadsheets/d/1kGrh75X1cNR1D7_FcY9zMnHP8iPO4M5RCRjy6nZY0TY/edi"&amp;"t#gid=0"",""Table 1: Study characteristics!B4:B171"")))&gt;0
),
""Include""
)"),"Exclude")</f>
        <v>Exclude</v>
      </c>
      <c r="G219" s="5" t="str">
        <f>IFERROR(__xludf.DUMMYFUNCTION("IFS(
D219=""Exclude"",
FILTER(IMPORTRANGE(""https://docs.google.com/spreadsheets/d/1BJSV3WBYJGRhQ6zExamkszQ5VutGIcaQqmbD9ZTVXMQ/edit#gid=1251630045"",""articles_with_PRISMA_reasons!AB2:AB2113""), $A219=IMPORTRANGE(""https://docs.google.com/spreadsheets/d/"&amp;"1BJSV3WBYJGRhQ6zExamkszQ5VutGIcaQqmbD9ZTVXMQ/edit#gid=1251630045"",""articles_with_PRISMA_reasons!B2:B2113"")),
E219=""Exclude"",
FILTER(IMPORTRANGE(""https://docs.google.com/spreadsheets/d/1qpEmbGH0JjaJbUdp21-y2cPbobDbMjr09BbtdKROZWc/edit#gid=1444865654"&amp;""",""articles_with_PRISMA_reasons!Z2:Z2113""), $A219=IMPORTRANGE(""https://docs.google.com/spreadsheets/d/1qpEmbGH0JjaJbUdp21-y2cPbobDbMjr09BbtdKROZWc/edit#gid=1444865654"",""articles_with_PRISMA_reasons!B2:B2113"")),F219
=""Include"",FILTER(IMPORTRANGE("&amp;"""https://docs.google.com/spreadsheets/d/1kGrh75X1cNR1D7_FcY9zMnHP8iPO4M5RCRjy6nZY0TY/edit#gid=0"",""Table 1: Study characteristics!A4:A171""), $A219=IMPORTRANGE(""https://docs.google.com/spreadsheets/d/1kGrh75X1cNR1D7_FcY9zMnHP8iPO4M5RCRjy6nZY0TY/edit#gi"&amp;"d=0"",""Table 1: Study characteristics!B4:B171""))
)"),"wrong study design")</f>
        <v>wrong study design</v>
      </c>
    </row>
    <row r="220">
      <c r="A220" s="4" t="str">
        <f>IFERROR(__xludf.DUMMYFUNCTION("""COMPUTED_VALUE"""),"Achados oculares em pacientes com mielomeningocele: 72 casos")</f>
        <v>Achados oculares em pacientes com mielomeningocele: 72 casos</v>
      </c>
      <c r="B220" s="5" t="str">
        <f>IFERROR(__xludf.DUMMYFUNCTION("LEFT(FILTER(IMPORTRANGE(""https://docs.google.com/spreadsheets/d/1BJSV3WBYJGRhQ6zExamkszQ5VutGIcaQqmbD9ZTVXMQ/edit#gid=1251630045"",""articles_with_PRISMA_reasons!K2:K2113""), $A220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$A220=IMPORTRANGE(""https://docs.google.com/spreadsheets/d/1BJSV3WBYJGRhQ6zExamkszQ5VutGIcaQqmbD9ZTVXMQ/edit#gid=1251630045"",""articles_with_PRISMA_reasons!B2:B2113"")))-1)"),"Cronemberger")</f>
        <v>Cronemberger</v>
      </c>
      <c r="C220" s="6">
        <f>IFERROR(__xludf.DUMMYFUNCTION("FILTER(IMPORTRANGE(""https://docs.google.com/spreadsheets/d/1BJSV3WBYJGRhQ6zExamkszQ5VutGIcaQqmbD9ZTVXMQ/edit#gid=1251630045"",""articles_with_PRISMA_reasons!C2:C2113""), $A220=IMPORTRANGE(""https://docs.google.com/spreadsheets/d/1BJSV3WBYJGRhQ6zExamkszQ5"&amp;"VutGIcaQqmbD9ZTVXMQ/edit#gid=1251630045"",""articles_with_PRISMA_reasons!B2:B2113""))"),2000.0)</f>
        <v>2000</v>
      </c>
      <c r="D220" s="5" t="str">
        <f>IFERROR(__xludf.DUMMYFUNCTION("IFS(AND(
FILTER(IMPORTRANGE(""https://docs.google.com/spreadsheets/d/1BJSV3WBYJGRhQ6zExamkszQ5VutGIcaQqmbD9ZTVXMQ/edit#gid=1251630045"",""articles_with_PRISMA_reasons!Y2:Y2113""), $A220=IMPORTRANGE(""https://docs.google.com/spreadsheets/d/1BJSV3WBYJGRhQ6z"&amp;"ExamkszQ5VutGIcaQqmbD9ZTVXMQ/edit#gid=1251630045"",""articles_with_PRISMA_reasons!B2:B2113""))&gt;=2,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$A220=IMPORTRANGE(""https://docs.google.com/spreadsheets/d/1BJSV3WBYJGRhQ6zExamkszQ5VutGIcaQqmbD9ZTVXMQ/edit#gid=1251630045"",""articles_with_PRISMA_reasons!B2:B2113""))&lt;2),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$A220=IMPORTRANGE(""https://docs.google.com/spreadsheets/d/1BJSV3WBYJGRhQ6zExamkszQ5VutGIcaQqmbD9ZTVXMQ/edit#gid=1251630045"",""arti"&amp;"cles_with_PRISMA_reasons!B2:B2113""))&lt;2,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$A220=IMPORTRANGE(""https://docs.google.com"&amp;"/spreadsheets/d/1BJSV3WBYJGRhQ6zExamkszQ5VutGIcaQqmbD9ZTVXMQ/edit#gid=1251630045"",""articles_with_PRISMA_reasons!B2:B2113""))&gt;=2),
""Exclude""
)"),"Exclude")</f>
        <v>Exclude</v>
      </c>
      <c r="E220" s="5" t="str">
        <f>IFERROR(__xludf.DUMMYFUNCTION("IFS(
D220=""Exclude"",""Exclude"",
AND(
FILTER(IMPORTRANGE(""https://docs.google.com/spreadsheets/d/1qpEmbGH0JjaJbUdp21-y2cPbobDbMjr09BbtdKROZWc/edit#gid=1444865654"",""articles_with_PRISMA_reasons!W2:W2113""), $A220=IMPORTRANGE(""https://docs.google.com/"&amp;"spreadsheets/d/1qpEmbGH0JjaJbUdp21-y2cPbobDbMjr09BbtdKROZWc/edit#gid=1444865654"",""articles_with_PRISMA_reasons!B2:B2113""))&gt;=2,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$A220=IMPORTRANGE(""https://docs.google.com/spreadsheets/d/1qpEmbGH0JjaJbUdp21-y2cPbobDbMjr09BbtdKROZWc/edit#gid=1444865654"",""articles_with_PRISMA_reasons!B2:B2113""))&lt;2),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$A220=IMPORTRANGE(""https://docs.google.com/spreadsheets/d/1qpEmbGH0JjaJbUdp21-y2cPbobDbMjr09BbtdKRO"&amp;"ZWc/edit#gid=1444865654"",""articles_with_PRISMA_reasons!B2:B2113""))&lt;2,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$A220=IMPOR"&amp;"TRANGE(""https://docs.google.com/spreadsheets/d/1qpEmbGH0JjaJbUdp21-y2cPbobDbMjr09BbtdKROZWc/edit#gid=1444865654"",""articles_with_PRISMA_reasons!B2:B2113""))&gt;=2),
""Exclude""
)"),"Exclude")</f>
        <v>Exclude</v>
      </c>
      <c r="F220" s="5" t="str">
        <f>IFERROR(__xludf.DUMMYFUNCTION("IFS(
E220=""Exclude"",""Exclude"",
AND(
COUNTIF(
IMPORTRANGE(""https://docs.google.com/spreadsheets/d/1kGrh75X1cNR1D7_FcY9zMnHP8iPO4M5RCRjy6nZY0TY/edit#gid=0"",""Table 1: Study characteristics!B4:B171""),A220)&gt;0,
COUNTIF(Studies!$A$2:$A$85,FILTER(IMPORTRA"&amp;"NGE(""https://docs.google.com/spreadsheets/d/1kGrh75X1cNR1D7_FcY9zMnHP8iPO4M5RCRjy6nZY0TY/edit#gid=0"",""Table 1: Study characteristics!A4:A171""), $A220=IMPORTRANGE(""https://docs.google.com/spreadsheets/d/1kGrh75X1cNR1D7_FcY9zMnHP8iPO4M5RCRjy6nZY0TY/edi"&amp;"t#gid=0"",""Table 1: Study characteristics!B4:B171"")))&gt;0
),
""Include""
)"),"Exclude")</f>
        <v>Exclude</v>
      </c>
      <c r="G220" s="5" t="str">
        <f>IFERROR(__xludf.DUMMYFUNCTION("IFS(
D220=""Exclude"",
FILTER(IMPORTRANGE(""https://docs.google.com/spreadsheets/d/1BJSV3WBYJGRhQ6zExamkszQ5VutGIcaQqmbD9ZTVXMQ/edit#gid=1251630045"",""articles_with_PRISMA_reasons!AB2:AB2113""), $A220=IMPORTRANGE(""https://docs.google.com/spreadsheets/d/"&amp;"1BJSV3WBYJGRhQ6zExamkszQ5VutGIcaQqmbD9ZTVXMQ/edit#gid=1251630045"",""articles_with_PRISMA_reasons!B2:B2113"")),
E220=""Exclude"",
FILTER(IMPORTRANGE(""https://docs.google.com/spreadsheets/d/1qpEmbGH0JjaJbUdp21-y2cPbobDbMjr09BbtdKROZWc/edit#gid=1444865654"&amp;""",""articles_with_PRISMA_reasons!Z2:Z2113""), $A220=IMPORTRANGE(""https://docs.google.com/spreadsheets/d/1qpEmbGH0JjaJbUdp21-y2cPbobDbMjr09BbtdKROZWc/edit#gid=1444865654"",""articles_with_PRISMA_reasons!B2:B2113"")),F220
=""Include"",FILTER(IMPORTRANGE("&amp;"""https://docs.google.com/spreadsheets/d/1kGrh75X1cNR1D7_FcY9zMnHP8iPO4M5RCRjy6nZY0TY/edit#gid=0"",""Table 1: Study characteristics!A4:A171""), $A220=IMPORTRANGE(""https://docs.google.com/spreadsheets/d/1kGrh75X1cNR1D7_FcY9zMnHP8iPO4M5RCRjy6nZY0TY/edit#gi"&amp;"d=0"",""Table 1: Study characteristics!B4:B171""))
)"),"wrong population")</f>
        <v>wrong population</v>
      </c>
    </row>
    <row r="221">
      <c r="A221" s="4" t="str">
        <f>IFERROR(__xludf.DUMMYFUNCTION("""COMPUTED_VALUE"""),"Acquisition of autonomy skills in adolescents with myelomeningocele")</f>
        <v>Acquisition of autonomy skills in adolescents with myelomeningocele</v>
      </c>
      <c r="B221" s="5" t="str">
        <f>IFERROR(__xludf.DUMMYFUNCTION("LEFT(FILTER(IMPORTRANGE(""https://docs.google.com/spreadsheets/d/1BJSV3WBYJGRhQ6zExamkszQ5VutGIcaQqmbD9ZTVXMQ/edit#gid=1251630045"",""articles_with_PRISMA_reasons!K2:K2113""), $A221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$A221=IMPORTRANGE(""https://docs.google.com/spreadsheets/d/1BJSV3WBYJGRhQ6zExamkszQ5VutGIcaQqmbD9ZTVXMQ/edit#gid=1251630045"",""articles_with_PRISMA_reasons!B2:B2113"")))-1)"),"Shurtleff")</f>
        <v>Shurtleff</v>
      </c>
      <c r="C221" s="6">
        <f>IFERROR(__xludf.DUMMYFUNCTION("FILTER(IMPORTRANGE(""https://docs.google.com/spreadsheets/d/1BJSV3WBYJGRhQ6zExamkszQ5VutGIcaQqmbD9ZTVXMQ/edit#gid=1251630045"",""articles_with_PRISMA_reasons!C2:C2113""), $A221=IMPORTRANGE(""https://docs.google.com/spreadsheets/d/1BJSV3WBYJGRhQ6zExamkszQ5"&amp;"VutGIcaQqmbD9ZTVXMQ/edit#gid=1251630045"",""articles_with_PRISMA_reasons!B2:B2113""))"),2006.0)</f>
        <v>2006</v>
      </c>
      <c r="D221" s="5" t="str">
        <f>IFERROR(__xludf.DUMMYFUNCTION("IFS(AND(
FILTER(IMPORTRANGE(""https://docs.google.com/spreadsheets/d/1BJSV3WBYJGRhQ6zExamkszQ5VutGIcaQqmbD9ZTVXMQ/edit#gid=1251630045"",""articles_with_PRISMA_reasons!Y2:Y2113""), $A221=IMPORTRANGE(""https://docs.google.com/spreadsheets/d/1BJSV3WBYJGRhQ6z"&amp;"ExamkszQ5VutGIcaQqmbD9ZTVXMQ/edit#gid=1251630045"",""articles_with_PRISMA_reasons!B2:B2113""))&gt;=2,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$A221=IMPORTRANGE(""https://docs.google.com/spreadsheets/d/1BJSV3WBYJGRhQ6zExamkszQ5VutGIcaQqmbD9ZTVXMQ/edit#gid=1251630045"",""articles_with_PRISMA_reasons!B2:B2113""))&lt;2),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$A221=IMPORTRANGE(""https://docs.google.com/spreadsheets/d/1BJSV3WBYJGRhQ6zExamkszQ5VutGIcaQqmbD9ZTVXMQ/edit#gid=1251630045"",""arti"&amp;"cles_with_PRISMA_reasons!B2:B2113""))&lt;2,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$A221=IMPORTRANGE(""https://docs.google.com"&amp;"/spreadsheets/d/1BJSV3WBYJGRhQ6zExamkszQ5VutGIcaQqmbD9ZTVXMQ/edit#gid=1251630045"",""articles_with_PRISMA_reasons!B2:B2113""))&gt;=2),
""Exclude""
)"),"Exclude")</f>
        <v>Exclude</v>
      </c>
      <c r="E221" s="5" t="str">
        <f>IFERROR(__xludf.DUMMYFUNCTION("IFS(
D221=""Exclude"",""Exclude"",
AND(
FILTER(IMPORTRANGE(""https://docs.google.com/spreadsheets/d/1qpEmbGH0JjaJbUdp21-y2cPbobDbMjr09BbtdKROZWc/edit#gid=1444865654"",""articles_with_PRISMA_reasons!W2:W2113""), $A221=IMPORTRANGE(""https://docs.google.com/"&amp;"spreadsheets/d/1qpEmbGH0JjaJbUdp21-y2cPbobDbMjr09BbtdKROZWc/edit#gid=1444865654"",""articles_with_PRISMA_reasons!B2:B2113""))&gt;=2,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$A221=IMPORTRANGE(""https://docs.google.com/spreadsheets/d/1qpEmbGH0JjaJbUdp21-y2cPbobDbMjr09BbtdKROZWc/edit#gid=1444865654"",""articles_with_PRISMA_reasons!B2:B2113""))&lt;2),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$A221=IMPORTRANGE(""https://docs.google.com/spreadsheets/d/1qpEmbGH0JjaJbUdp21-y2cPbobDbMjr09BbtdKRO"&amp;"ZWc/edit#gid=1444865654"",""articles_with_PRISMA_reasons!B2:B2113""))&lt;2,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$A221=IMPOR"&amp;"TRANGE(""https://docs.google.com/spreadsheets/d/1qpEmbGH0JjaJbUdp21-y2cPbobDbMjr09BbtdKROZWc/edit#gid=1444865654"",""articles_with_PRISMA_reasons!B2:B2113""))&gt;=2),
""Exclude""
)"),"Exclude")</f>
        <v>Exclude</v>
      </c>
      <c r="F221" s="5" t="str">
        <f>IFERROR(__xludf.DUMMYFUNCTION("IFS(
E221=""Exclude"",""Exclude"",
AND(
COUNTIF(
IMPORTRANGE(""https://docs.google.com/spreadsheets/d/1kGrh75X1cNR1D7_FcY9zMnHP8iPO4M5RCRjy6nZY0TY/edit#gid=0"",""Table 1: Study characteristics!B4:B171""),A221)&gt;0,
COUNTIF(Studies!$A$2:$A$85,FILTER(IMPORTRA"&amp;"NGE(""https://docs.google.com/spreadsheets/d/1kGrh75X1cNR1D7_FcY9zMnHP8iPO4M5RCRjy6nZY0TY/edit#gid=0"",""Table 1: Study characteristics!A4:A171""), $A221=IMPORTRANGE(""https://docs.google.com/spreadsheets/d/1kGrh75X1cNR1D7_FcY9zMnHP8iPO4M5RCRjy6nZY0TY/edi"&amp;"t#gid=0"",""Table 1: Study characteristics!B4:B171"")))&gt;0
),
""Include""
)"),"Exclude")</f>
        <v>Exclude</v>
      </c>
      <c r="G221" s="5" t="str">
        <f>IFERROR(__xludf.DUMMYFUNCTION("IFS(
D221=""Exclude"",
FILTER(IMPORTRANGE(""https://docs.google.com/spreadsheets/d/1BJSV3WBYJGRhQ6zExamkszQ5VutGIcaQqmbD9ZTVXMQ/edit#gid=1251630045"",""articles_with_PRISMA_reasons!AB2:AB2113""), $A221=IMPORTRANGE(""https://docs.google.com/spreadsheets/d/"&amp;"1BJSV3WBYJGRhQ6zExamkszQ5VutGIcaQqmbD9ZTVXMQ/edit#gid=1251630045"",""articles_with_PRISMA_reasons!B2:B2113"")),
E221=""Exclude"",
FILTER(IMPORTRANGE(""https://docs.google.com/spreadsheets/d/1qpEmbGH0JjaJbUdp21-y2cPbobDbMjr09BbtdKROZWc/edit#gid=1444865654"&amp;""",""articles_with_PRISMA_reasons!Z2:Z2113""), $A221=IMPORTRANGE(""https://docs.google.com/spreadsheets/d/1qpEmbGH0JjaJbUdp21-y2cPbobDbMjr09BbtdKROZWc/edit#gid=1444865654"",""articles_with_PRISMA_reasons!B2:B2113"")),F221
=""Include"",FILTER(IMPORTRANGE("&amp;"""https://docs.google.com/spreadsheets/d/1kGrh75X1cNR1D7_FcY9zMnHP8iPO4M5RCRjy6nZY0TY/edit#gid=0"",""Table 1: Study characteristics!A4:A171""), $A221=IMPORTRANGE(""https://docs.google.com/spreadsheets/d/1kGrh75X1cNR1D7_FcY9zMnHP8iPO4M5RCRjy6nZY0TY/edit#gi"&amp;"d=0"",""Table 1: Study characteristics!B4:B171""))
)"),"wrong population")</f>
        <v>wrong population</v>
      </c>
    </row>
    <row r="222">
      <c r="A222" s="4" t="str">
        <f>IFERROR(__xludf.DUMMYFUNCTION("""COMPUTED_VALUE"""),"Actinobaculum schaalii an emerging pediatric pathogen?")</f>
        <v>Actinobaculum schaalii an emerging pediatric pathogen?</v>
      </c>
      <c r="B222" s="5" t="str">
        <f>IFERROR(__xludf.DUMMYFUNCTION("LEFT(FILTER(IMPORTRANGE(""https://docs.google.com/spreadsheets/d/1BJSV3WBYJGRhQ6zExamkszQ5VutGIcaQqmbD9ZTVXMQ/edit#gid=1251630045"",""articles_with_PRISMA_reasons!K2:K2113""), $A222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$A222=IMPORTRANGE(""https://docs.google.com/spreadsheets/d/1BJSV3WBYJGRhQ6zExamkszQ5VutGIcaQqmbD9ZTVXMQ/edit#gid=1251630045"",""articles_with_PRISMA_reasons!B2:B2113"")))-1)"),"Zimmermann")</f>
        <v>Zimmermann</v>
      </c>
      <c r="C222" s="6">
        <f>IFERROR(__xludf.DUMMYFUNCTION("FILTER(IMPORTRANGE(""https://docs.google.com/spreadsheets/d/1BJSV3WBYJGRhQ6zExamkszQ5VutGIcaQqmbD9ZTVXMQ/edit#gid=1251630045"",""articles_with_PRISMA_reasons!C2:C2113""), $A222=IMPORTRANGE(""https://docs.google.com/spreadsheets/d/1BJSV3WBYJGRhQ6zExamkszQ5"&amp;"VutGIcaQqmbD9ZTVXMQ/edit#gid=1251630045"",""articles_with_PRISMA_reasons!B2:B2113""))"),2012.0)</f>
        <v>2012</v>
      </c>
      <c r="D222" s="5" t="str">
        <f>IFERROR(__xludf.DUMMYFUNCTION("IFS(AND(
FILTER(IMPORTRANGE(""https://docs.google.com/spreadsheets/d/1BJSV3WBYJGRhQ6zExamkszQ5VutGIcaQqmbD9ZTVXMQ/edit#gid=1251630045"",""articles_with_PRISMA_reasons!Y2:Y2113""), $A222=IMPORTRANGE(""https://docs.google.com/spreadsheets/d/1BJSV3WBYJGRhQ6z"&amp;"ExamkszQ5VutGIcaQqmbD9ZTVXMQ/edit#gid=1251630045"",""articles_with_PRISMA_reasons!B2:B2113""))&gt;=2,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$A222=IMPORTRANGE(""https://docs.google.com/spreadsheets/d/1BJSV3WBYJGRhQ6zExamkszQ5VutGIcaQqmbD9ZTVXMQ/edit#gid=1251630045"",""articles_with_PRISMA_reasons!B2:B2113""))&lt;2),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$A222=IMPORTRANGE(""https://docs.google.com/spreadsheets/d/1BJSV3WBYJGRhQ6zExamkszQ5VutGIcaQqmbD9ZTVXMQ/edit#gid=1251630045"",""arti"&amp;"cles_with_PRISMA_reasons!B2:B2113""))&lt;2,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$A222=IMPORTRANGE(""https://docs.google.com"&amp;"/spreadsheets/d/1BJSV3WBYJGRhQ6zExamkszQ5VutGIcaQqmbD9ZTVXMQ/edit#gid=1251630045"",""articles_with_PRISMA_reasons!B2:B2113""))&gt;=2),
""Exclude""
)"),"Exclude")</f>
        <v>Exclude</v>
      </c>
      <c r="E222" s="5" t="str">
        <f>IFERROR(__xludf.DUMMYFUNCTION("IFS(
D222=""Exclude"",""Exclude"",
AND(
FILTER(IMPORTRANGE(""https://docs.google.com/spreadsheets/d/1qpEmbGH0JjaJbUdp21-y2cPbobDbMjr09BbtdKROZWc/edit#gid=1444865654"",""articles_with_PRISMA_reasons!W2:W2113""), $A222=IMPORTRANGE(""https://docs.google.com/"&amp;"spreadsheets/d/1qpEmbGH0JjaJbUdp21-y2cPbobDbMjr09BbtdKROZWc/edit#gid=1444865654"",""articles_with_PRISMA_reasons!B2:B2113""))&gt;=2,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$A222=IMPORTRANGE(""https://docs.google.com/spreadsheets/d/1qpEmbGH0JjaJbUdp21-y2cPbobDbMjr09BbtdKROZWc/edit#gid=1444865654"",""articles_with_PRISMA_reasons!B2:B2113""))&lt;2),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$A222=IMPORTRANGE(""https://docs.google.com/spreadsheets/d/1qpEmbGH0JjaJbUdp21-y2cPbobDbMjr09BbtdKRO"&amp;"ZWc/edit#gid=1444865654"",""articles_with_PRISMA_reasons!B2:B2113""))&lt;2,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$A222=IMPOR"&amp;"TRANGE(""https://docs.google.com/spreadsheets/d/1qpEmbGH0JjaJbUdp21-y2cPbobDbMjr09BbtdKROZWc/edit#gid=1444865654"",""articles_with_PRISMA_reasons!B2:B2113""))&gt;=2),
""Exclude""
)"),"Exclude")</f>
        <v>Exclude</v>
      </c>
      <c r="F222" s="5" t="str">
        <f>IFERROR(__xludf.DUMMYFUNCTION("IFS(
E222=""Exclude"",""Exclude"",
AND(
COUNTIF(
IMPORTRANGE(""https://docs.google.com/spreadsheets/d/1kGrh75X1cNR1D7_FcY9zMnHP8iPO4M5RCRjy6nZY0TY/edit#gid=0"",""Table 1: Study characteristics!B4:B171""),A222)&gt;0,
COUNTIF(Studies!$A$2:$A$85,FILTER(IMPORTRA"&amp;"NGE(""https://docs.google.com/spreadsheets/d/1kGrh75X1cNR1D7_FcY9zMnHP8iPO4M5RCRjy6nZY0TY/edit#gid=0"",""Table 1: Study characteristics!A4:A171""), $A222=IMPORTRANGE(""https://docs.google.com/spreadsheets/d/1kGrh75X1cNR1D7_FcY9zMnHP8iPO4M5RCRjy6nZY0TY/edi"&amp;"t#gid=0"",""Table 1: Study characteristics!B4:B171"")))&gt;0
),
""Include""
)"),"Exclude")</f>
        <v>Exclude</v>
      </c>
      <c r="G222" s="5" t="str">
        <f>IFERROR(__xludf.DUMMYFUNCTION("IFS(
D222=""Exclude"",
FILTER(IMPORTRANGE(""https://docs.google.com/spreadsheets/d/1BJSV3WBYJGRhQ6zExamkszQ5VutGIcaQqmbD9ZTVXMQ/edit#gid=1251630045"",""articles_with_PRISMA_reasons!AB2:AB2113""), $A222=IMPORTRANGE(""https://docs.google.com/spreadsheets/d/"&amp;"1BJSV3WBYJGRhQ6zExamkszQ5VutGIcaQqmbD9ZTVXMQ/edit#gid=1251630045"",""articles_with_PRISMA_reasons!B2:B2113"")),
E222=""Exclude"",
FILTER(IMPORTRANGE(""https://docs.google.com/spreadsheets/d/1qpEmbGH0JjaJbUdp21-y2cPbobDbMjr09BbtdKROZWc/edit#gid=1444865654"&amp;""",""articles_with_PRISMA_reasons!Z2:Z2113""), $A222=IMPORTRANGE(""https://docs.google.com/spreadsheets/d/1qpEmbGH0JjaJbUdp21-y2cPbobDbMjr09BbtdKROZWc/edit#gid=1444865654"",""articles_with_PRISMA_reasons!B2:B2113"")),F222
=""Include"",FILTER(IMPORTRANGE("&amp;"""https://docs.google.com/spreadsheets/d/1kGrh75X1cNR1D7_FcY9zMnHP8iPO4M5RCRjy6nZY0TY/edit#gid=0"",""Table 1: Study characteristics!A4:A171""), $A222=IMPORTRANGE(""https://docs.google.com/spreadsheets/d/1kGrh75X1cNR1D7_FcY9zMnHP8iPO4M5RCRjy6nZY0TY/edit#gi"&amp;"d=0"",""Table 1: Study characteristics!B4:B171""))
)"),"wrong study design")</f>
        <v>wrong study design</v>
      </c>
    </row>
    <row r="223">
      <c r="A223" s="4" t="str">
        <f>IFERROR(__xludf.DUMMYFUNCTION("""COMPUTED_VALUE"""),"Acute abdominal complications of ventriculoperitoneal shunts")</f>
        <v>Acute abdominal complications of ventriculoperitoneal shunts</v>
      </c>
      <c r="B223" s="5" t="str">
        <f>IFERROR(__xludf.DUMMYFUNCTION("LEFT(FILTER(IMPORTRANGE(""https://docs.google.com/spreadsheets/d/1BJSV3WBYJGRhQ6zExamkszQ5VutGIcaQqmbD9ZTVXMQ/edit#gid=1251630045"",""articles_with_PRISMA_reasons!K2:K2113""), $A223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$A223=IMPORTRANGE(""https://docs.google.com/spreadsheets/d/1BJSV3WBYJGRhQ6zExamkszQ5VutGIcaQqmbD9ZTVXMQ/edit#gid=1251630045"",""articles_with_PRISMA_reasons!B2:B2113"")))-1)"),"Baeza Herrera")</f>
        <v>Baeza Herrera</v>
      </c>
      <c r="C223" s="6">
        <f>IFERROR(__xludf.DUMMYFUNCTION("FILTER(IMPORTRANGE(""https://docs.google.com/spreadsheets/d/1BJSV3WBYJGRhQ6zExamkszQ5VutGIcaQqmbD9ZTVXMQ/edit#gid=1251630045"",""articles_with_PRISMA_reasons!C2:C2113""), $A223=IMPORTRANGE(""https://docs.google.com/spreadsheets/d/1BJSV3WBYJGRhQ6zExamkszQ5"&amp;"VutGIcaQqmbD9ZTVXMQ/edit#gid=1251630045"",""articles_with_PRISMA_reasons!B2:B2113""))"),1980.0)</f>
        <v>1980</v>
      </c>
      <c r="D223" s="5" t="str">
        <f>IFERROR(__xludf.DUMMYFUNCTION("IFS(AND(
FILTER(IMPORTRANGE(""https://docs.google.com/spreadsheets/d/1BJSV3WBYJGRhQ6zExamkszQ5VutGIcaQqmbD9ZTVXMQ/edit#gid=1251630045"",""articles_with_PRISMA_reasons!Y2:Y2113""), $A223=IMPORTRANGE(""https://docs.google.com/spreadsheets/d/1BJSV3WBYJGRhQ6z"&amp;"ExamkszQ5VutGIcaQqmbD9ZTVXMQ/edit#gid=1251630045"",""articles_with_PRISMA_reasons!B2:B2113""))&gt;=2,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$A223=IMPORTRANGE(""https://docs.google.com/spreadsheets/d/1BJSV3WBYJGRhQ6zExamkszQ5VutGIcaQqmbD9ZTVXMQ/edit#gid=1251630045"",""articles_with_PRISMA_reasons!B2:B2113""))&lt;2),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$A223=IMPORTRANGE(""https://docs.google.com/spreadsheets/d/1BJSV3WBYJGRhQ6zExamkszQ5VutGIcaQqmbD9ZTVXMQ/edit#gid=1251630045"",""arti"&amp;"cles_with_PRISMA_reasons!B2:B2113""))&lt;2,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$A223=IMPORTRANGE(""https://docs.google.com"&amp;"/spreadsheets/d/1BJSV3WBYJGRhQ6zExamkszQ5VutGIcaQqmbD9ZTVXMQ/edit#gid=1251630045"",""articles_with_PRISMA_reasons!B2:B2113""))&gt;=2),
""Exclude""
)"),"Exclude")</f>
        <v>Exclude</v>
      </c>
      <c r="E223" s="5" t="str">
        <f>IFERROR(__xludf.DUMMYFUNCTION("IFS(
D223=""Exclude"",""Exclude"",
AND(
FILTER(IMPORTRANGE(""https://docs.google.com/spreadsheets/d/1qpEmbGH0JjaJbUdp21-y2cPbobDbMjr09BbtdKROZWc/edit#gid=1444865654"",""articles_with_PRISMA_reasons!W2:W2113""), $A223=IMPORTRANGE(""https://docs.google.com/"&amp;"spreadsheets/d/1qpEmbGH0JjaJbUdp21-y2cPbobDbMjr09BbtdKROZWc/edit#gid=1444865654"",""articles_with_PRISMA_reasons!B2:B2113""))&gt;=2,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$A223=IMPORTRANGE(""https://docs.google.com/spreadsheets/d/1qpEmbGH0JjaJbUdp21-y2cPbobDbMjr09BbtdKROZWc/edit#gid=1444865654"",""articles_with_PRISMA_reasons!B2:B2113""))&lt;2),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$A223=IMPORTRANGE(""https://docs.google.com/spreadsheets/d/1qpEmbGH0JjaJbUdp21-y2cPbobDbMjr09BbtdKRO"&amp;"ZWc/edit#gid=1444865654"",""articles_with_PRISMA_reasons!B2:B2113""))&lt;2,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$A223=IMPOR"&amp;"TRANGE(""https://docs.google.com/spreadsheets/d/1qpEmbGH0JjaJbUdp21-y2cPbobDbMjr09BbtdKROZWc/edit#gid=1444865654"",""articles_with_PRISMA_reasons!B2:B2113""))&gt;=2),
""Exclude""
)"),"Exclude")</f>
        <v>Exclude</v>
      </c>
      <c r="F223" s="5" t="str">
        <f>IFERROR(__xludf.DUMMYFUNCTION("IFS(
E223=""Exclude"",""Exclude"",
AND(
COUNTIF(
IMPORTRANGE(""https://docs.google.com/spreadsheets/d/1kGrh75X1cNR1D7_FcY9zMnHP8iPO4M5RCRjy6nZY0TY/edit#gid=0"",""Table 1: Study characteristics!B4:B171""),A223)&gt;0,
COUNTIF(Studies!$A$2:$A$85,FILTER(IMPORTRA"&amp;"NGE(""https://docs.google.com/spreadsheets/d/1kGrh75X1cNR1D7_FcY9zMnHP8iPO4M5RCRjy6nZY0TY/edit#gid=0"",""Table 1: Study characteristics!A4:A171""), $A223=IMPORTRANGE(""https://docs.google.com/spreadsheets/d/1kGrh75X1cNR1D7_FcY9zMnHP8iPO4M5RCRjy6nZY0TY/edi"&amp;"t#gid=0"",""Table 1: Study characteristics!B4:B171"")))&gt;0
),
""Include""
)"),"Exclude")</f>
        <v>Exclude</v>
      </c>
      <c r="G223" s="5" t="str">
        <f>IFERROR(__xludf.DUMMYFUNCTION("IFS(
D223=""Exclude"",
FILTER(IMPORTRANGE(""https://docs.google.com/spreadsheets/d/1BJSV3WBYJGRhQ6zExamkszQ5VutGIcaQqmbD9ZTVXMQ/edit#gid=1251630045"",""articles_with_PRISMA_reasons!AB2:AB2113""), $A223=IMPORTRANGE(""https://docs.google.com/spreadsheets/d/"&amp;"1BJSV3WBYJGRhQ6zExamkszQ5VutGIcaQqmbD9ZTVXMQ/edit#gid=1251630045"",""articles_with_PRISMA_reasons!B2:B2113"")),
E223=""Exclude"",
FILTER(IMPORTRANGE(""https://docs.google.com/spreadsheets/d/1qpEmbGH0JjaJbUdp21-y2cPbobDbMjr09BbtdKROZWc/edit#gid=1444865654"&amp;""",""articles_with_PRISMA_reasons!Z2:Z2113""), $A223=IMPORTRANGE(""https://docs.google.com/spreadsheets/d/1qpEmbGH0JjaJbUdp21-y2cPbobDbMjr09BbtdKROZWc/edit#gid=1444865654"",""articles_with_PRISMA_reasons!B2:B2113"")),F223
=""Include"",FILTER(IMPORTRANGE("&amp;"""https://docs.google.com/spreadsheets/d/1kGrh75X1cNR1D7_FcY9zMnHP8iPO4M5RCRjy6nZY0TY/edit#gid=0"",""Table 1: Study characteristics!A4:A171""), $A223=IMPORTRANGE(""https://docs.google.com/spreadsheets/d/1kGrh75X1cNR1D7_FcY9zMnHP8iPO4M5RCRjy6nZY0TY/edit#gi"&amp;"d=0"",""Table 1: Study characteristics!B4:B171""))
)"),"wrong study design")</f>
        <v>wrong study design</v>
      </c>
    </row>
    <row r="224">
      <c r="A224" s="4" t="str">
        <f>IFERROR(__xludf.DUMMYFUNCTION("""COMPUTED_VALUE"""),"Acute Communicating Hydrocephalus as Spinal Cord Surgery Complication in Patient with Lumbar Lipomyelocele")</f>
        <v>Acute Communicating Hydrocephalus as Spinal Cord Surgery Complication in Patient with Lumbar Lipomyelocele</v>
      </c>
      <c r="B224" s="5" t="str">
        <f>IFERROR(__xludf.DUMMYFUNCTION("LEFT(FILTER(IMPORTRANGE(""https://docs.google.com/spreadsheets/d/1BJSV3WBYJGRhQ6zExamkszQ5VutGIcaQqmbD9ZTVXMQ/edit#gid=1251630045"",""articles_with_PRISMA_reasons!K2:K2113""), $A224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$A224=IMPORTRANGE(""https://docs.google.com/spreadsheets/d/1BJSV3WBYJGRhQ6zExamkszQ5VutGIcaQqmbD9ZTVXMQ/edit#gid=1251630045"",""articles_with_PRISMA_reasons!B2:B2113"")))-1)"),"Prior")</f>
        <v>Prior</v>
      </c>
      <c r="C224" s="6">
        <f>IFERROR(__xludf.DUMMYFUNCTION("FILTER(IMPORTRANGE(""https://docs.google.com/spreadsheets/d/1BJSV3WBYJGRhQ6zExamkszQ5VutGIcaQqmbD9ZTVXMQ/edit#gid=1251630045"",""articles_with_PRISMA_reasons!C2:C2113""), $A224=IMPORTRANGE(""https://docs.google.com/spreadsheets/d/1BJSV3WBYJGRhQ6zExamkszQ5"&amp;"VutGIcaQqmbD9ZTVXMQ/edit#gid=1251630045"",""articles_with_PRISMA_reasons!B2:B2113""))"),2018.0)</f>
        <v>2018</v>
      </c>
      <c r="D224" s="5" t="str">
        <f>IFERROR(__xludf.DUMMYFUNCTION("IFS(AND(
FILTER(IMPORTRANGE(""https://docs.google.com/spreadsheets/d/1BJSV3WBYJGRhQ6zExamkszQ5VutGIcaQqmbD9ZTVXMQ/edit#gid=1251630045"",""articles_with_PRISMA_reasons!Y2:Y2113""), $A224=IMPORTRANGE(""https://docs.google.com/spreadsheets/d/1BJSV3WBYJGRhQ6z"&amp;"ExamkszQ5VutGIcaQqmbD9ZTVXMQ/edit#gid=1251630045"",""articles_with_PRISMA_reasons!B2:B2113""))&gt;=2,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$A224=IMPORTRANGE(""https://docs.google.com/spreadsheets/d/1BJSV3WBYJGRhQ6zExamkszQ5VutGIcaQqmbD9ZTVXMQ/edit#gid=1251630045"",""articles_with_PRISMA_reasons!B2:B2113""))&lt;2),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$A224=IMPORTRANGE(""https://docs.google.com/spreadsheets/d/1BJSV3WBYJGRhQ6zExamkszQ5VutGIcaQqmbD9ZTVXMQ/edit#gid=1251630045"",""arti"&amp;"cles_with_PRISMA_reasons!B2:B2113""))&lt;2,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$A224=IMPORTRANGE(""https://docs.google.com"&amp;"/spreadsheets/d/1BJSV3WBYJGRhQ6zExamkszQ5VutGIcaQqmbD9ZTVXMQ/edit#gid=1251630045"",""articles_with_PRISMA_reasons!B2:B2113""))&gt;=2),
""Exclude""
)"),"Exclude")</f>
        <v>Exclude</v>
      </c>
      <c r="E224" s="5" t="str">
        <f>IFERROR(__xludf.DUMMYFUNCTION("IFS(
D224=""Exclude"",""Exclude"",
AND(
FILTER(IMPORTRANGE(""https://docs.google.com/spreadsheets/d/1qpEmbGH0JjaJbUdp21-y2cPbobDbMjr09BbtdKROZWc/edit#gid=1444865654"",""articles_with_PRISMA_reasons!W2:W2113""), $A224=IMPORTRANGE(""https://docs.google.com/"&amp;"spreadsheets/d/1qpEmbGH0JjaJbUdp21-y2cPbobDbMjr09BbtdKROZWc/edit#gid=1444865654"",""articles_with_PRISMA_reasons!B2:B2113""))&gt;=2,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$A224=IMPORTRANGE(""https://docs.google.com/spreadsheets/d/1qpEmbGH0JjaJbUdp21-y2cPbobDbMjr09BbtdKROZWc/edit#gid=1444865654"",""articles_with_PRISMA_reasons!B2:B2113""))&lt;2),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$A224=IMPORTRANGE(""https://docs.google.com/spreadsheets/d/1qpEmbGH0JjaJbUdp21-y2cPbobDbMjr09BbtdKRO"&amp;"ZWc/edit#gid=1444865654"",""articles_with_PRISMA_reasons!B2:B2113""))&lt;2,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$A224=IMPOR"&amp;"TRANGE(""https://docs.google.com/spreadsheets/d/1qpEmbGH0JjaJbUdp21-y2cPbobDbMjr09BbtdKROZWc/edit#gid=1444865654"",""articles_with_PRISMA_reasons!B2:B2113""))&gt;=2),
""Exclude""
)"),"Exclude")</f>
        <v>Exclude</v>
      </c>
      <c r="F224" s="5" t="str">
        <f>IFERROR(__xludf.DUMMYFUNCTION("IFS(
E224=""Exclude"",""Exclude"",
AND(
COUNTIF(
IMPORTRANGE(""https://docs.google.com/spreadsheets/d/1kGrh75X1cNR1D7_FcY9zMnHP8iPO4M5RCRjy6nZY0TY/edit#gid=0"",""Table 1: Study characteristics!B4:B171""),A224)&gt;0,
COUNTIF(Studies!$A$2:$A$85,FILTER(IMPORTRA"&amp;"NGE(""https://docs.google.com/spreadsheets/d/1kGrh75X1cNR1D7_FcY9zMnHP8iPO4M5RCRjy6nZY0TY/edit#gid=0"",""Table 1: Study characteristics!A4:A171""), $A224=IMPORTRANGE(""https://docs.google.com/spreadsheets/d/1kGrh75X1cNR1D7_FcY9zMnHP8iPO4M5RCRjy6nZY0TY/edi"&amp;"t#gid=0"",""Table 1: Study characteristics!B4:B171"")))&gt;0
),
""Include""
)"),"Exclude")</f>
        <v>Exclude</v>
      </c>
      <c r="G224" s="5" t="str">
        <f>IFERROR(__xludf.DUMMYFUNCTION("IFS(
D224=""Exclude"",
FILTER(IMPORTRANGE(""https://docs.google.com/spreadsheets/d/1BJSV3WBYJGRhQ6zExamkszQ5VutGIcaQqmbD9ZTVXMQ/edit#gid=1251630045"",""articles_with_PRISMA_reasons!AB2:AB2113""), $A224=IMPORTRANGE(""https://docs.google.com/spreadsheets/d/"&amp;"1BJSV3WBYJGRhQ6zExamkszQ5VutGIcaQqmbD9ZTVXMQ/edit#gid=1251630045"",""articles_with_PRISMA_reasons!B2:B2113"")),
E224=""Exclude"",
FILTER(IMPORTRANGE(""https://docs.google.com/spreadsheets/d/1qpEmbGH0JjaJbUdp21-y2cPbobDbMjr09BbtdKROZWc/edit#gid=1444865654"&amp;""",""articles_with_PRISMA_reasons!Z2:Z2113""), $A224=IMPORTRANGE(""https://docs.google.com/spreadsheets/d/1qpEmbGH0JjaJbUdp21-y2cPbobDbMjr09BbtdKROZWc/edit#gid=1444865654"",""articles_with_PRISMA_reasons!B2:B2113"")),F224
=""Include"",FILTER(IMPORTRANGE("&amp;"""https://docs.google.com/spreadsheets/d/1kGrh75X1cNR1D7_FcY9zMnHP8iPO4M5RCRjy6nZY0TY/edit#gid=0"",""Table 1: Study characteristics!A4:A171""), $A224=IMPORTRANGE(""https://docs.google.com/spreadsheets/d/1kGrh75X1cNR1D7_FcY9zMnHP8iPO4M5RCRjy6nZY0TY/edit#gi"&amp;"d=0"",""Table 1: Study characteristics!B4:B171""))
)"),"wrong study design")</f>
        <v>wrong study design</v>
      </c>
    </row>
    <row r="225">
      <c r="A225" s="4" t="str">
        <f>IFERROR(__xludf.DUMMYFUNCTION("""COMPUTED_VALUE"""),"Acute respiratory arrest. A complication of malformation of the shunt in children with myelomeningocele and Arnold-Chiari malformation")</f>
        <v>Acute respiratory arrest. A complication of malformation of the shunt in children with myelomeningocele and Arnold-Chiari malformation</v>
      </c>
      <c r="B225" s="5" t="str">
        <f>IFERROR(__xludf.DUMMYFUNCTION("LEFT(FILTER(IMPORTRANGE(""https://docs.google.com/spreadsheets/d/1BJSV3WBYJGRhQ6zExamkszQ5VutGIcaQqmbD9ZTVXMQ/edit#gid=1251630045"",""articles_with_PRISMA_reasons!K2:K2113""), $A225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$A225=IMPORTRANGE(""https://docs.google.com/spreadsheets/d/1BJSV3WBYJGRhQ6zExamkszQ5VutGIcaQqmbD9ZTVXMQ/edit#gid=1251630045"",""articles_with_PRISMA_reasons!B2:B2113"")))-1)"),"Tomita")</f>
        <v>Tomita</v>
      </c>
      <c r="C225" s="6">
        <f>IFERROR(__xludf.DUMMYFUNCTION("FILTER(IMPORTRANGE(""https://docs.google.com/spreadsheets/d/1BJSV3WBYJGRhQ6zExamkszQ5VutGIcaQqmbD9ZTVXMQ/edit#gid=1251630045"",""articles_with_PRISMA_reasons!C2:C2113""), $A225=IMPORTRANGE(""https://docs.google.com/spreadsheets/d/1BJSV3WBYJGRhQ6zExamkszQ5"&amp;"VutGIcaQqmbD9ZTVXMQ/edit#gid=1251630045"",""articles_with_PRISMA_reasons!B2:B2113""))"),1983.0)</f>
        <v>1983</v>
      </c>
      <c r="D225" s="5" t="str">
        <f>IFERROR(__xludf.DUMMYFUNCTION("IFS(AND(
FILTER(IMPORTRANGE(""https://docs.google.com/spreadsheets/d/1BJSV3WBYJGRhQ6zExamkszQ5VutGIcaQqmbD9ZTVXMQ/edit#gid=1251630045"",""articles_with_PRISMA_reasons!Y2:Y2113""), $A225=IMPORTRANGE(""https://docs.google.com/spreadsheets/d/1BJSV3WBYJGRhQ6z"&amp;"ExamkszQ5VutGIcaQqmbD9ZTVXMQ/edit#gid=1251630045"",""articles_with_PRISMA_reasons!B2:B2113""))&gt;=2,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$A225=IMPORTRANGE(""https://docs.google.com/spreadsheets/d/1BJSV3WBYJGRhQ6zExamkszQ5VutGIcaQqmbD9ZTVXMQ/edit#gid=1251630045"",""articles_with_PRISMA_reasons!B2:B2113""))&lt;2),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$A225=IMPORTRANGE(""https://docs.google.com/spreadsheets/d/1BJSV3WBYJGRhQ6zExamkszQ5VutGIcaQqmbD9ZTVXMQ/edit#gid=1251630045"",""arti"&amp;"cles_with_PRISMA_reasons!B2:B2113""))&lt;2,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$A225=IMPORTRANGE(""https://docs.google.com"&amp;"/spreadsheets/d/1BJSV3WBYJGRhQ6zExamkszQ5VutGIcaQqmbD9ZTVXMQ/edit#gid=1251630045"",""articles_with_PRISMA_reasons!B2:B2113""))&gt;=2),
""Exclude""
)"),"Exclude")</f>
        <v>Exclude</v>
      </c>
      <c r="E225" s="5" t="str">
        <f>IFERROR(__xludf.DUMMYFUNCTION("IFS(
D225=""Exclude"",""Exclude"",
AND(
FILTER(IMPORTRANGE(""https://docs.google.com/spreadsheets/d/1qpEmbGH0JjaJbUdp21-y2cPbobDbMjr09BbtdKROZWc/edit#gid=1444865654"",""articles_with_PRISMA_reasons!W2:W2113""), $A225=IMPORTRANGE(""https://docs.google.com/"&amp;"spreadsheets/d/1qpEmbGH0JjaJbUdp21-y2cPbobDbMjr09BbtdKROZWc/edit#gid=1444865654"",""articles_with_PRISMA_reasons!B2:B2113""))&gt;=2,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$A225=IMPORTRANGE(""https://docs.google.com/spreadsheets/d/1qpEmbGH0JjaJbUdp21-y2cPbobDbMjr09BbtdKROZWc/edit#gid=1444865654"",""articles_with_PRISMA_reasons!B2:B2113""))&lt;2),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$A225=IMPORTRANGE(""https://docs.google.com/spreadsheets/d/1qpEmbGH0JjaJbUdp21-y2cPbobDbMjr09BbtdKRO"&amp;"ZWc/edit#gid=1444865654"",""articles_with_PRISMA_reasons!B2:B2113""))&lt;2,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$A225=IMPOR"&amp;"TRANGE(""https://docs.google.com/spreadsheets/d/1qpEmbGH0JjaJbUdp21-y2cPbobDbMjr09BbtdKROZWc/edit#gid=1444865654"",""articles_with_PRISMA_reasons!B2:B2113""))&gt;=2),
""Exclude""
)"),"Exclude")</f>
        <v>Exclude</v>
      </c>
      <c r="F225" s="5" t="str">
        <f>IFERROR(__xludf.DUMMYFUNCTION("IFS(
E225=""Exclude"",""Exclude"",
AND(
COUNTIF(
IMPORTRANGE(""https://docs.google.com/spreadsheets/d/1kGrh75X1cNR1D7_FcY9zMnHP8iPO4M5RCRjy6nZY0TY/edit#gid=0"",""Table 1: Study characteristics!B4:B171""),A225)&gt;0,
COUNTIF(Studies!$A$2:$A$85,FILTER(IMPORTRA"&amp;"NGE(""https://docs.google.com/spreadsheets/d/1kGrh75X1cNR1D7_FcY9zMnHP8iPO4M5RCRjy6nZY0TY/edit#gid=0"",""Table 1: Study characteristics!A4:A171""), $A225=IMPORTRANGE(""https://docs.google.com/spreadsheets/d/1kGrh75X1cNR1D7_FcY9zMnHP8iPO4M5RCRjy6nZY0TY/edi"&amp;"t#gid=0"",""Table 1: Study characteristics!B4:B171"")))&gt;0
),
""Include""
)"),"Exclude")</f>
        <v>Exclude</v>
      </c>
      <c r="G225" s="5" t="str">
        <f>IFERROR(__xludf.DUMMYFUNCTION("IFS(
D225=""Exclude"",
FILTER(IMPORTRANGE(""https://docs.google.com/spreadsheets/d/1BJSV3WBYJGRhQ6zExamkszQ5VutGIcaQqmbD9ZTVXMQ/edit#gid=1251630045"",""articles_with_PRISMA_reasons!AB2:AB2113""), $A225=IMPORTRANGE(""https://docs.google.com/spreadsheets/d/"&amp;"1BJSV3WBYJGRhQ6zExamkszQ5VutGIcaQqmbD9ZTVXMQ/edit#gid=1251630045"",""articles_with_PRISMA_reasons!B2:B2113"")),
E225=""Exclude"",
FILTER(IMPORTRANGE(""https://docs.google.com/spreadsheets/d/1qpEmbGH0JjaJbUdp21-y2cPbobDbMjr09BbtdKROZWc/edit#gid=1444865654"&amp;""",""articles_with_PRISMA_reasons!Z2:Z2113""), $A225=IMPORTRANGE(""https://docs.google.com/spreadsheets/d/1qpEmbGH0JjaJbUdp21-y2cPbobDbMjr09BbtdKROZWc/edit#gid=1444865654"",""articles_with_PRISMA_reasons!B2:B2113"")),F225
=""Include"",FILTER(IMPORTRANGE("&amp;"""https://docs.google.com/spreadsheets/d/1kGrh75X1cNR1D7_FcY9zMnHP8iPO4M5RCRjy6nZY0TY/edit#gid=0"",""Table 1: Study characteristics!A4:A171""), $A225=IMPORTRANGE(""https://docs.google.com/spreadsheets/d/1kGrh75X1cNR1D7_FcY9zMnHP8iPO4M5RCRjy6nZY0TY/edit#gi"&amp;"d=0"",""Table 1: Study characteristics!B4:B171""))
)"),"duplicate")</f>
        <v>duplicate</v>
      </c>
    </row>
    <row r="226">
      <c r="A226" s="4" t="str">
        <f>IFERROR(__xludf.DUMMYFUNCTION("""COMPUTED_VALUE"""),"Adaptation of reaching movements in children and young adults with myelomeningocele")</f>
        <v>Adaptation of reaching movements in children and young adults with myelomeningocele</v>
      </c>
      <c r="B226" s="5" t="str">
        <f>IFERROR(__xludf.DUMMYFUNCTION("LEFT(FILTER(IMPORTRANGE(""https://docs.google.com/spreadsheets/d/1BJSV3WBYJGRhQ6zExamkszQ5VutGIcaQqmbD9ZTVXMQ/edit#gid=1251630045"",""articles_with_PRISMA_reasons!K2:K2113""), $A226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$A226=IMPORTRANGE(""https://docs.google.com/spreadsheets/d/1BJSV3WBYJGRhQ6zExamkszQ5VutGIcaQqmbD9ZTVXMQ/edit#gid=1251630045"",""articles_with_PRISMA_reasons!B2:B2113"")))-1)"),"Rosblad")</f>
        <v>Rosblad</v>
      </c>
      <c r="C226" s="6">
        <f>IFERROR(__xludf.DUMMYFUNCTION("FILTER(IMPORTRANGE(""https://docs.google.com/spreadsheets/d/1BJSV3WBYJGRhQ6zExamkszQ5VutGIcaQqmbD9ZTVXMQ/edit#gid=1251630045"",""articles_with_PRISMA_reasons!C2:C2113""), $A226=IMPORTRANGE(""https://docs.google.com/spreadsheets/d/1BJSV3WBYJGRhQ6zExamkszQ5"&amp;"VutGIcaQqmbD9ZTVXMQ/edit#gid=1251630045"",""articles_with_PRISMA_reasons!B2:B2113""))"),2004.0)</f>
        <v>2004</v>
      </c>
      <c r="D226" s="5" t="str">
        <f>IFERROR(__xludf.DUMMYFUNCTION("IFS(AND(
FILTER(IMPORTRANGE(""https://docs.google.com/spreadsheets/d/1BJSV3WBYJGRhQ6zExamkszQ5VutGIcaQqmbD9ZTVXMQ/edit#gid=1251630045"",""articles_with_PRISMA_reasons!Y2:Y2113""), $A226=IMPORTRANGE(""https://docs.google.com/spreadsheets/d/1BJSV3WBYJGRhQ6z"&amp;"ExamkszQ5VutGIcaQqmbD9ZTVXMQ/edit#gid=1251630045"",""articles_with_PRISMA_reasons!B2:B2113""))&gt;=2,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$A226=IMPORTRANGE(""https://docs.google.com/spreadsheets/d/1BJSV3WBYJGRhQ6zExamkszQ5VutGIcaQqmbD9ZTVXMQ/edit#gid=1251630045"",""articles_with_PRISMA_reasons!B2:B2113""))&lt;2),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$A226=IMPORTRANGE(""https://docs.google.com/spreadsheets/d/1BJSV3WBYJGRhQ6zExamkszQ5VutGIcaQqmbD9ZTVXMQ/edit#gid=1251630045"",""arti"&amp;"cles_with_PRISMA_reasons!B2:B2113""))&lt;2,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$A226=IMPORTRANGE(""https://docs.google.com"&amp;"/spreadsheets/d/1BJSV3WBYJGRhQ6zExamkszQ5VutGIcaQqmbD9ZTVXMQ/edit#gid=1251630045"",""articles_with_PRISMA_reasons!B2:B2113""))&gt;=2),
""Exclude""
)"),"Exclude")</f>
        <v>Exclude</v>
      </c>
      <c r="E226" s="5" t="str">
        <f>IFERROR(__xludf.DUMMYFUNCTION("IFS(
D226=""Exclude"",""Exclude"",
AND(
FILTER(IMPORTRANGE(""https://docs.google.com/spreadsheets/d/1qpEmbGH0JjaJbUdp21-y2cPbobDbMjr09BbtdKROZWc/edit#gid=1444865654"",""articles_with_PRISMA_reasons!W2:W2113""), $A226=IMPORTRANGE(""https://docs.google.com/"&amp;"spreadsheets/d/1qpEmbGH0JjaJbUdp21-y2cPbobDbMjr09BbtdKROZWc/edit#gid=1444865654"",""articles_with_PRISMA_reasons!B2:B2113""))&gt;=2,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$A226=IMPORTRANGE(""https://docs.google.com/spreadsheets/d/1qpEmbGH0JjaJbUdp21-y2cPbobDbMjr09BbtdKROZWc/edit#gid=1444865654"",""articles_with_PRISMA_reasons!B2:B2113""))&lt;2),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$A226=IMPORTRANGE(""https://docs.google.com/spreadsheets/d/1qpEmbGH0JjaJbUdp21-y2cPbobDbMjr09BbtdKRO"&amp;"ZWc/edit#gid=1444865654"",""articles_with_PRISMA_reasons!B2:B2113""))&lt;2,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$A226=IMPOR"&amp;"TRANGE(""https://docs.google.com/spreadsheets/d/1qpEmbGH0JjaJbUdp21-y2cPbobDbMjr09BbtdKROZWc/edit#gid=1444865654"",""articles_with_PRISMA_reasons!B2:B2113""))&gt;=2),
""Exclude""
)"),"Exclude")</f>
        <v>Exclude</v>
      </c>
      <c r="F226" s="5" t="str">
        <f>IFERROR(__xludf.DUMMYFUNCTION("IFS(
E226=""Exclude"",""Exclude"",
AND(
COUNTIF(
IMPORTRANGE(""https://docs.google.com/spreadsheets/d/1kGrh75X1cNR1D7_FcY9zMnHP8iPO4M5RCRjy6nZY0TY/edit#gid=0"",""Table 1: Study characteristics!B4:B171""),A226)&gt;0,
COUNTIF(Studies!$A$2:$A$85,FILTER(IMPORTRA"&amp;"NGE(""https://docs.google.com/spreadsheets/d/1kGrh75X1cNR1D7_FcY9zMnHP8iPO4M5RCRjy6nZY0TY/edit#gid=0"",""Table 1: Study characteristics!A4:A171""), $A226=IMPORTRANGE(""https://docs.google.com/spreadsheets/d/1kGrh75X1cNR1D7_FcY9zMnHP8iPO4M5RCRjy6nZY0TY/edi"&amp;"t#gid=0"",""Table 1: Study characteristics!B4:B171"")))&gt;0
),
""Include""
)"),"Exclude")</f>
        <v>Exclude</v>
      </c>
      <c r="G226" s="5" t="str">
        <f>IFERROR(__xludf.DUMMYFUNCTION("IFS(
D226=""Exclude"",
FILTER(IMPORTRANGE(""https://docs.google.com/spreadsheets/d/1BJSV3WBYJGRhQ6zExamkszQ5VutGIcaQqmbD9ZTVXMQ/edit#gid=1251630045"",""articles_with_PRISMA_reasons!AB2:AB2113""), $A226=IMPORTRANGE(""https://docs.google.com/spreadsheets/d/"&amp;"1BJSV3WBYJGRhQ6zExamkszQ5VutGIcaQqmbD9ZTVXMQ/edit#gid=1251630045"",""articles_with_PRISMA_reasons!B2:B2113"")),
E226=""Exclude"",
FILTER(IMPORTRANGE(""https://docs.google.com/spreadsheets/d/1qpEmbGH0JjaJbUdp21-y2cPbobDbMjr09BbtdKROZWc/edit#gid=1444865654"&amp;""",""articles_with_PRISMA_reasons!Z2:Z2113""), $A226=IMPORTRANGE(""https://docs.google.com/spreadsheets/d/1qpEmbGH0JjaJbUdp21-y2cPbobDbMjr09BbtdKROZWc/edit#gid=1444865654"",""articles_with_PRISMA_reasons!B2:B2113"")),F226
=""Include"",FILTER(IMPORTRANGE("&amp;"""https://docs.google.com/spreadsheets/d/1kGrh75X1cNR1D7_FcY9zMnHP8iPO4M5RCRjy6nZY0TY/edit#gid=0"",""Table 1: Study characteristics!A4:A171""), $A226=IMPORTRANGE(""https://docs.google.com/spreadsheets/d/1kGrh75X1cNR1D7_FcY9zMnHP8iPO4M5RCRjy6nZY0TY/edit#gi"&amp;"d=0"",""Table 1: Study characteristics!B4:B171""))
)"),"duplicate")</f>
        <v>duplicate</v>
      </c>
    </row>
    <row r="227">
      <c r="A227" s="4" t="str">
        <f>IFERROR(__xludf.DUMMYFUNCTION("""COMPUTED_VALUE"""),"Adducted thumbs: A clinical clue to genetic diagnosis")</f>
        <v>Adducted thumbs: A clinical clue to genetic diagnosis</v>
      </c>
      <c r="B227" s="5" t="str">
        <f>IFERROR(__xludf.DUMMYFUNCTION("LEFT(FILTER(IMPORTRANGE(""https://docs.google.com/spreadsheets/d/1BJSV3WBYJGRhQ6zExamkszQ5VutGIcaQqmbD9ZTVXMQ/edit#gid=1251630045"",""articles_with_PRISMA_reasons!K2:K2113""), $A227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$A227=IMPORTRANGE(""https://docs.google.com/spreadsheets/d/1BJSV3WBYJGRhQ6zExamkszQ5VutGIcaQqmbD9ZTVXMQ/edit#gid=1251630045"",""articles_with_PRISMA_reasons!B2:B2113"")))-1)"),"Verhagen")</f>
        <v>Verhagen</v>
      </c>
      <c r="C227" s="6">
        <f>IFERROR(__xludf.DUMMYFUNCTION("FILTER(IMPORTRANGE(""https://docs.google.com/spreadsheets/d/1BJSV3WBYJGRhQ6zExamkszQ5VutGIcaQqmbD9ZTVXMQ/edit#gid=1251630045"",""articles_with_PRISMA_reasons!C2:C2113""), $A227=IMPORTRANGE(""https://docs.google.com/spreadsheets/d/1BJSV3WBYJGRhQ6zExamkszQ5"&amp;"VutGIcaQqmbD9ZTVXMQ/edit#gid=1251630045"",""articles_with_PRISMA_reasons!B2:B2113""))"),2013.0)</f>
        <v>2013</v>
      </c>
      <c r="D227" s="5" t="str">
        <f>IFERROR(__xludf.DUMMYFUNCTION("IFS(AND(
FILTER(IMPORTRANGE(""https://docs.google.com/spreadsheets/d/1BJSV3WBYJGRhQ6zExamkszQ5VutGIcaQqmbD9ZTVXMQ/edit#gid=1251630045"",""articles_with_PRISMA_reasons!Y2:Y2113""), $A227=IMPORTRANGE(""https://docs.google.com/spreadsheets/d/1BJSV3WBYJGRhQ6z"&amp;"ExamkszQ5VutGIcaQqmbD9ZTVXMQ/edit#gid=1251630045"",""articles_with_PRISMA_reasons!B2:B2113""))&gt;=2,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$A227=IMPORTRANGE(""https://docs.google.com/spreadsheets/d/1BJSV3WBYJGRhQ6zExamkszQ5VutGIcaQqmbD9ZTVXMQ/edit#gid=1251630045"",""articles_with_PRISMA_reasons!B2:B2113""))&lt;2),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$A227=IMPORTRANGE(""https://docs.google.com/spreadsheets/d/1BJSV3WBYJGRhQ6zExamkszQ5VutGIcaQqmbD9ZTVXMQ/edit#gid=1251630045"",""arti"&amp;"cles_with_PRISMA_reasons!B2:B2113""))&lt;2,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$A227=IMPORTRANGE(""https://docs.google.com"&amp;"/spreadsheets/d/1BJSV3WBYJGRhQ6zExamkszQ5VutGIcaQqmbD9ZTVXMQ/edit#gid=1251630045"",""articles_with_PRISMA_reasons!B2:B2113""))&gt;=2),
""Exclude""
)"),"Exclude")</f>
        <v>Exclude</v>
      </c>
      <c r="E227" s="5" t="str">
        <f>IFERROR(__xludf.DUMMYFUNCTION("IFS(
D227=""Exclude"",""Exclude"",
AND(
FILTER(IMPORTRANGE(""https://docs.google.com/spreadsheets/d/1qpEmbGH0JjaJbUdp21-y2cPbobDbMjr09BbtdKROZWc/edit#gid=1444865654"",""articles_with_PRISMA_reasons!W2:W2113""), $A227=IMPORTRANGE(""https://docs.google.com/"&amp;"spreadsheets/d/1qpEmbGH0JjaJbUdp21-y2cPbobDbMjr09BbtdKROZWc/edit#gid=1444865654"",""articles_with_PRISMA_reasons!B2:B2113""))&gt;=2,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$A227=IMPORTRANGE(""https://docs.google.com/spreadsheets/d/1qpEmbGH0JjaJbUdp21-y2cPbobDbMjr09BbtdKROZWc/edit#gid=1444865654"",""articles_with_PRISMA_reasons!B2:B2113""))&lt;2),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$A227=IMPORTRANGE(""https://docs.google.com/spreadsheets/d/1qpEmbGH0JjaJbUdp21-y2cPbobDbMjr09BbtdKRO"&amp;"ZWc/edit#gid=1444865654"",""articles_with_PRISMA_reasons!B2:B2113""))&lt;2,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$A227=IMPOR"&amp;"TRANGE(""https://docs.google.com/spreadsheets/d/1qpEmbGH0JjaJbUdp21-y2cPbobDbMjr09BbtdKROZWc/edit#gid=1444865654"",""articles_with_PRISMA_reasons!B2:B2113""))&gt;=2),
""Exclude""
)"),"Exclude")</f>
        <v>Exclude</v>
      </c>
      <c r="F227" s="5" t="str">
        <f>IFERROR(__xludf.DUMMYFUNCTION("IFS(
E227=""Exclude"",""Exclude"",
AND(
COUNTIF(
IMPORTRANGE(""https://docs.google.com/spreadsheets/d/1kGrh75X1cNR1D7_FcY9zMnHP8iPO4M5RCRjy6nZY0TY/edit#gid=0"",""Table 1: Study characteristics!B4:B171""),A227)&gt;0,
COUNTIF(Studies!$A$2:$A$85,FILTER(IMPORTRA"&amp;"NGE(""https://docs.google.com/spreadsheets/d/1kGrh75X1cNR1D7_FcY9zMnHP8iPO4M5RCRjy6nZY0TY/edit#gid=0"",""Table 1: Study characteristics!A4:A171""), $A227=IMPORTRANGE(""https://docs.google.com/spreadsheets/d/1kGrh75X1cNR1D7_FcY9zMnHP8iPO4M5RCRjy6nZY0TY/edi"&amp;"t#gid=0"",""Table 1: Study characteristics!B4:B171"")))&gt;0
),
""Include""
)"),"Exclude")</f>
        <v>Exclude</v>
      </c>
      <c r="G227" s="5" t="str">
        <f>IFERROR(__xludf.DUMMYFUNCTION("IFS(
D227=""Exclude"",
FILTER(IMPORTRANGE(""https://docs.google.com/spreadsheets/d/1BJSV3WBYJGRhQ6zExamkszQ5VutGIcaQqmbD9ZTVXMQ/edit#gid=1251630045"",""articles_with_PRISMA_reasons!AB2:AB2113""), $A227=IMPORTRANGE(""https://docs.google.com/spreadsheets/d/"&amp;"1BJSV3WBYJGRhQ6zExamkszQ5VutGIcaQqmbD9ZTVXMQ/edit#gid=1251630045"",""articles_with_PRISMA_reasons!B2:B2113"")),
E227=""Exclude"",
FILTER(IMPORTRANGE(""https://docs.google.com/spreadsheets/d/1qpEmbGH0JjaJbUdp21-y2cPbobDbMjr09BbtdKROZWc/edit#gid=1444865654"&amp;""",""articles_with_PRISMA_reasons!Z2:Z2113""), $A227=IMPORTRANGE(""https://docs.google.com/spreadsheets/d/1qpEmbGH0JjaJbUdp21-y2cPbobDbMjr09BbtdKROZWc/edit#gid=1444865654"",""articles_with_PRISMA_reasons!B2:B2113"")),F227
=""Include"",FILTER(IMPORTRANGE("&amp;"""https://docs.google.com/spreadsheets/d/1kGrh75X1cNR1D7_FcY9zMnHP8iPO4M5RCRjy6nZY0TY/edit#gid=0"",""Table 1: Study characteristics!A4:A171""), $A227=IMPORTRANGE(""https://docs.google.com/spreadsheets/d/1kGrh75X1cNR1D7_FcY9zMnHP8iPO4M5RCRjy6nZY0TY/edit#gi"&amp;"d=0"",""Table 1: Study characteristics!B4:B171""))
)"),"background article")</f>
        <v>background article</v>
      </c>
    </row>
    <row r="228">
      <c r="A228" s="4" t="str">
        <f>IFERROR(__xludf.DUMMYFUNCTION("""COMPUTED_VALUE"""),"Adult long-term health-related quality of life of congenital hydrocephalus patients")</f>
        <v>Adult long-term health-related quality of life of congenital hydrocephalus patients</v>
      </c>
      <c r="B228" s="5" t="str">
        <f>IFERROR(__xludf.DUMMYFUNCTION("LEFT(FILTER(IMPORTRANGE(""https://docs.google.com/spreadsheets/d/1BJSV3WBYJGRhQ6zExamkszQ5VutGIcaQqmbD9ZTVXMQ/edit#gid=1251630045"",""articles_with_PRISMA_reasons!K2:K2113""), $A228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$A228=IMPORTRANGE(""https://docs.google.com/spreadsheets/d/1BJSV3WBYJGRhQ6zExamkszQ5VutGIcaQqmbD9ZTVXMQ/edit#gid=1251630045"",""articles_with_PRISMA_reasons!B2:B2113"")))-1)"),"Kutscher")</f>
        <v>Kutscher</v>
      </c>
      <c r="C228" s="6">
        <f>IFERROR(__xludf.DUMMYFUNCTION("FILTER(IMPORTRANGE(""https://docs.google.com/spreadsheets/d/1BJSV3WBYJGRhQ6zExamkszQ5VutGIcaQqmbD9ZTVXMQ/edit#gid=1251630045"",""articles_with_PRISMA_reasons!C2:C2113""), $A228=IMPORTRANGE(""https://docs.google.com/spreadsheets/d/1BJSV3WBYJGRhQ6zExamkszQ5"&amp;"VutGIcaQqmbD9ZTVXMQ/edit#gid=1251630045"",""articles_with_PRISMA_reasons!B2:B2113""))"),2015.0)</f>
        <v>2015</v>
      </c>
      <c r="D228" s="5" t="str">
        <f>IFERROR(__xludf.DUMMYFUNCTION("IFS(AND(
FILTER(IMPORTRANGE(""https://docs.google.com/spreadsheets/d/1BJSV3WBYJGRhQ6zExamkszQ5VutGIcaQqmbD9ZTVXMQ/edit#gid=1251630045"",""articles_with_PRISMA_reasons!Y2:Y2113""), $A228=IMPORTRANGE(""https://docs.google.com/spreadsheets/d/1BJSV3WBYJGRhQ6z"&amp;"ExamkszQ5VutGIcaQqmbD9ZTVXMQ/edit#gid=1251630045"",""articles_with_PRISMA_reasons!B2:B2113""))&gt;=2,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$A228=IMPORTRANGE(""https://docs.google.com/spreadsheets/d/1BJSV3WBYJGRhQ6zExamkszQ5VutGIcaQqmbD9ZTVXMQ/edit#gid=1251630045"",""articles_with_PRISMA_reasons!B2:B2113""))&lt;2),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$A228=IMPORTRANGE(""https://docs.google.com/spreadsheets/d/1BJSV3WBYJGRhQ6zExamkszQ5VutGIcaQqmbD9ZTVXMQ/edit#gid=1251630045"",""arti"&amp;"cles_with_PRISMA_reasons!B2:B2113""))&lt;2,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$A228=IMPORTRANGE(""https://docs.google.com"&amp;"/spreadsheets/d/1BJSV3WBYJGRhQ6zExamkszQ5VutGIcaQqmbD9ZTVXMQ/edit#gid=1251630045"",""articles_with_PRISMA_reasons!B2:B2113""))&gt;=2),
""Exclude""
)"),"Exclude")</f>
        <v>Exclude</v>
      </c>
      <c r="E228" s="5" t="str">
        <f>IFERROR(__xludf.DUMMYFUNCTION("IFS(
D228=""Exclude"",""Exclude"",
AND(
FILTER(IMPORTRANGE(""https://docs.google.com/spreadsheets/d/1qpEmbGH0JjaJbUdp21-y2cPbobDbMjr09BbtdKROZWc/edit#gid=1444865654"",""articles_with_PRISMA_reasons!W2:W2113""), $A228=IMPORTRANGE(""https://docs.google.com/"&amp;"spreadsheets/d/1qpEmbGH0JjaJbUdp21-y2cPbobDbMjr09BbtdKROZWc/edit#gid=1444865654"",""articles_with_PRISMA_reasons!B2:B2113""))&gt;=2,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$A228=IMPORTRANGE(""https://docs.google.com/spreadsheets/d/1qpEmbGH0JjaJbUdp21-y2cPbobDbMjr09BbtdKROZWc/edit#gid=1444865654"",""articles_with_PRISMA_reasons!B2:B2113""))&lt;2),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$A228=IMPORTRANGE(""https://docs.google.com/spreadsheets/d/1qpEmbGH0JjaJbUdp21-y2cPbobDbMjr09BbtdKRO"&amp;"ZWc/edit#gid=1444865654"",""articles_with_PRISMA_reasons!B2:B2113""))&lt;2,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$A228=IMPOR"&amp;"TRANGE(""https://docs.google.com/spreadsheets/d/1qpEmbGH0JjaJbUdp21-y2cPbobDbMjr09BbtdKROZWc/edit#gid=1444865654"",""articles_with_PRISMA_reasons!B2:B2113""))&gt;=2),
""Exclude""
)"),"Exclude")</f>
        <v>Exclude</v>
      </c>
      <c r="F228" s="5" t="str">
        <f>IFERROR(__xludf.DUMMYFUNCTION("IFS(
E228=""Exclude"",""Exclude"",
AND(
COUNTIF(
IMPORTRANGE(""https://docs.google.com/spreadsheets/d/1kGrh75X1cNR1D7_FcY9zMnHP8iPO4M5RCRjy6nZY0TY/edit#gid=0"",""Table 1: Study characteristics!B4:B171""),A228)&gt;0,
COUNTIF(Studies!$A$2:$A$85,FILTER(IMPORTRA"&amp;"NGE(""https://docs.google.com/spreadsheets/d/1kGrh75X1cNR1D7_FcY9zMnHP8iPO4M5RCRjy6nZY0TY/edit#gid=0"",""Table 1: Study characteristics!A4:A171""), $A228=IMPORTRANGE(""https://docs.google.com/spreadsheets/d/1kGrh75X1cNR1D7_FcY9zMnHP8iPO4M5RCRjy6nZY0TY/edi"&amp;"t#gid=0"",""Table 1: Study characteristics!B4:B171"")))&gt;0
),
""Include""
)"),"Exclude")</f>
        <v>Exclude</v>
      </c>
      <c r="G228" s="5" t="str">
        <f>IFERROR(__xludf.DUMMYFUNCTION("IFS(
D228=""Exclude"",
FILTER(IMPORTRANGE(""https://docs.google.com/spreadsheets/d/1BJSV3WBYJGRhQ6zExamkszQ5VutGIcaQqmbD9ZTVXMQ/edit#gid=1251630045"",""articles_with_PRISMA_reasons!AB2:AB2113""), $A228=IMPORTRANGE(""https://docs.google.com/spreadsheets/d/"&amp;"1BJSV3WBYJGRhQ6zExamkszQ5VutGIcaQqmbD9ZTVXMQ/edit#gid=1251630045"",""articles_with_PRISMA_reasons!B2:B2113"")),
E228=""Exclude"",
FILTER(IMPORTRANGE(""https://docs.google.com/spreadsheets/d/1qpEmbGH0JjaJbUdp21-y2cPbobDbMjr09BbtdKROZWc/edit#gid=1444865654"&amp;""",""articles_with_PRISMA_reasons!Z2:Z2113""), $A228=IMPORTRANGE(""https://docs.google.com/spreadsheets/d/1qpEmbGH0JjaJbUdp21-y2cPbobDbMjr09BbtdKROZWc/edit#gid=1444865654"",""articles_with_PRISMA_reasons!B2:B2113"")),F228
=""Include"",FILTER(IMPORTRANGE("&amp;"""https://docs.google.com/spreadsheets/d/1kGrh75X1cNR1D7_FcY9zMnHP8iPO4M5RCRjy6nZY0TY/edit#gid=0"",""Table 1: Study characteristics!A4:A171""), $A228=IMPORTRANGE(""https://docs.google.com/spreadsheets/d/1kGrh75X1cNR1D7_FcY9zMnHP8iPO4M5RCRjy6nZY0TY/edit#gi"&amp;"d=0"",""Table 1: Study characteristics!B4:B171""))
)"),"duplicate")</f>
        <v>duplicate</v>
      </c>
    </row>
    <row r="229">
      <c r="A229" s="4" t="str">
        <f>IFERROR(__xludf.DUMMYFUNCTION("""COMPUTED_VALUE"""),"Adult Outcome in Shunted Pediatric Hydrocephalus: Long-Term Functional, Social, and Neurocognitive Results")</f>
        <v>Adult Outcome in Shunted Pediatric Hydrocephalus: Long-Term Functional, Social, and Neurocognitive Results</v>
      </c>
      <c r="B229" s="5" t="str">
        <f>IFERROR(__xludf.DUMMYFUNCTION("LEFT(FILTER(IMPORTRANGE(""https://docs.google.com/spreadsheets/d/1BJSV3WBYJGRhQ6zExamkszQ5VutGIcaQqmbD9ZTVXMQ/edit#gid=1251630045"",""articles_with_PRISMA_reasons!K2:K2113""), $A229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$A229=IMPORTRANGE(""https://docs.google.com/spreadsheets/d/1BJSV3WBYJGRhQ6zExamkszQ5VutGIcaQqmbD9ZTVXMQ/edit#gid=1251630045"",""articles_with_PRISMA_reasons!B2:B2113"")))-1)"),"Senker")</f>
        <v>Senker</v>
      </c>
      <c r="C229" s="6">
        <f>IFERROR(__xludf.DUMMYFUNCTION("FILTER(IMPORTRANGE(""https://docs.google.com/spreadsheets/d/1BJSV3WBYJGRhQ6zExamkszQ5VutGIcaQqmbD9ZTVXMQ/edit#gid=1251630045"",""articles_with_PRISMA_reasons!C2:C2113""), $A229=IMPORTRANGE(""https://docs.google.com/spreadsheets/d/1BJSV3WBYJGRhQ6zExamkszQ5"&amp;"VutGIcaQqmbD9ZTVXMQ/edit#gid=1251630045"",""articles_with_PRISMA_reasons!B2:B2113""))"),2019.0)</f>
        <v>2019</v>
      </c>
      <c r="D229" s="5" t="str">
        <f>IFERROR(__xludf.DUMMYFUNCTION("IFS(AND(
FILTER(IMPORTRANGE(""https://docs.google.com/spreadsheets/d/1BJSV3WBYJGRhQ6zExamkszQ5VutGIcaQqmbD9ZTVXMQ/edit#gid=1251630045"",""articles_with_PRISMA_reasons!Y2:Y2113""), $A229=IMPORTRANGE(""https://docs.google.com/spreadsheets/d/1BJSV3WBYJGRhQ6z"&amp;"ExamkszQ5VutGIcaQqmbD9ZTVXMQ/edit#gid=1251630045"",""articles_with_PRISMA_reasons!B2:B2113""))&gt;=2,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$A229=IMPORTRANGE(""https://docs.google.com/spreadsheets/d/1BJSV3WBYJGRhQ6zExamkszQ5VutGIcaQqmbD9ZTVXMQ/edit#gid=1251630045"",""articles_with_PRISMA_reasons!B2:B2113""))&lt;2),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$A229=IMPORTRANGE(""https://docs.google.com/spreadsheets/d/1BJSV3WBYJGRhQ6zExamkszQ5VutGIcaQqmbD9ZTVXMQ/edit#gid=1251630045"",""arti"&amp;"cles_with_PRISMA_reasons!B2:B2113""))&lt;2,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$A229=IMPORTRANGE(""https://docs.google.com"&amp;"/spreadsheets/d/1BJSV3WBYJGRhQ6zExamkszQ5VutGIcaQqmbD9ZTVXMQ/edit#gid=1251630045"",""articles_with_PRISMA_reasons!B2:B2113""))&gt;=2),
""Exclude""
)"),"Exclude")</f>
        <v>Exclude</v>
      </c>
      <c r="E229" s="5" t="str">
        <f>IFERROR(__xludf.DUMMYFUNCTION("IFS(
D229=""Exclude"",""Exclude"",
AND(
FILTER(IMPORTRANGE(""https://docs.google.com/spreadsheets/d/1qpEmbGH0JjaJbUdp21-y2cPbobDbMjr09BbtdKROZWc/edit#gid=1444865654"",""articles_with_PRISMA_reasons!W2:W2113""), $A229=IMPORTRANGE(""https://docs.google.com/"&amp;"spreadsheets/d/1qpEmbGH0JjaJbUdp21-y2cPbobDbMjr09BbtdKROZWc/edit#gid=1444865654"",""articles_with_PRISMA_reasons!B2:B2113""))&gt;=2,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$A229=IMPORTRANGE(""https://docs.google.com/spreadsheets/d/1qpEmbGH0JjaJbUdp21-y2cPbobDbMjr09BbtdKROZWc/edit#gid=1444865654"",""articles_with_PRISMA_reasons!B2:B2113""))&lt;2),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$A229=IMPORTRANGE(""https://docs.google.com/spreadsheets/d/1qpEmbGH0JjaJbUdp21-y2cPbobDbMjr09BbtdKRO"&amp;"ZWc/edit#gid=1444865654"",""articles_with_PRISMA_reasons!B2:B2113""))&lt;2,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$A229=IMPOR"&amp;"TRANGE(""https://docs.google.com/spreadsheets/d/1qpEmbGH0JjaJbUdp21-y2cPbobDbMjr09BbtdKROZWc/edit#gid=1444865654"",""articles_with_PRISMA_reasons!B2:B2113""))&gt;=2),
""Exclude""
)"),"Exclude")</f>
        <v>Exclude</v>
      </c>
      <c r="F229" s="5" t="str">
        <f>IFERROR(__xludf.DUMMYFUNCTION("IFS(
E229=""Exclude"",""Exclude"",
AND(
COUNTIF(
IMPORTRANGE(""https://docs.google.com/spreadsheets/d/1kGrh75X1cNR1D7_FcY9zMnHP8iPO4M5RCRjy6nZY0TY/edit#gid=0"",""Table 1: Study characteristics!B4:B171""),A229)&gt;0,
COUNTIF(Studies!$A$2:$A$85,FILTER(IMPORTRA"&amp;"NGE(""https://docs.google.com/spreadsheets/d/1kGrh75X1cNR1D7_FcY9zMnHP8iPO4M5RCRjy6nZY0TY/edit#gid=0"",""Table 1: Study characteristics!A4:A171""), $A229=IMPORTRANGE(""https://docs.google.com/spreadsheets/d/1kGrh75X1cNR1D7_FcY9zMnHP8iPO4M5RCRjy6nZY0TY/edi"&amp;"t#gid=0"",""Table 1: Study characteristics!B4:B171"")))&gt;0
),
""Include""
)"),"Exclude")</f>
        <v>Exclude</v>
      </c>
      <c r="G229" s="5" t="str">
        <f>IFERROR(__xludf.DUMMYFUNCTION("IFS(
D229=""Exclude"",
FILTER(IMPORTRANGE(""https://docs.google.com/spreadsheets/d/1BJSV3WBYJGRhQ6zExamkszQ5VutGIcaQqmbD9ZTVXMQ/edit#gid=1251630045"",""articles_with_PRISMA_reasons!AB2:AB2113""), $A229=IMPORTRANGE(""https://docs.google.com/spreadsheets/d/"&amp;"1BJSV3WBYJGRhQ6zExamkszQ5VutGIcaQqmbD9ZTVXMQ/edit#gid=1251630045"",""articles_with_PRISMA_reasons!B2:B2113"")),
E229=""Exclude"",
FILTER(IMPORTRANGE(""https://docs.google.com/spreadsheets/d/1qpEmbGH0JjaJbUdp21-y2cPbobDbMjr09BbtdKROZWc/edit#gid=1444865654"&amp;""",""articles_with_PRISMA_reasons!Z2:Z2113""), $A229=IMPORTRANGE(""https://docs.google.com/spreadsheets/d/1qpEmbGH0JjaJbUdp21-y2cPbobDbMjr09BbtdKROZWc/edit#gid=1444865654"",""articles_with_PRISMA_reasons!B2:B2113"")),F229
=""Include"",FILTER(IMPORTRANGE("&amp;"""https://docs.google.com/spreadsheets/d/1kGrh75X1cNR1D7_FcY9zMnHP8iPO4M5RCRjy6nZY0TY/edit#gid=0"",""Table 1: Study characteristics!A4:A171""), $A229=IMPORTRANGE(""https://docs.google.com/spreadsheets/d/1kGrh75X1cNR1D7_FcY9zMnHP8iPO4M5RCRjy6nZY0TY/edit#gi"&amp;"d=0"",""Table 1: Study characteristics!B4:B171""))
)"),"wrong population")</f>
        <v>wrong population</v>
      </c>
    </row>
    <row r="230">
      <c r="A230" s="4" t="str">
        <f>IFERROR(__xludf.DUMMYFUNCTION("""COMPUTED_VALUE"""),"Adult stature and anthropomorphic measurements of patients with myelomeningocele")</f>
        <v>Adult stature and anthropomorphic measurements of patients with myelomeningocele</v>
      </c>
      <c r="B230" s="5" t="str">
        <f>IFERROR(__xludf.DUMMYFUNCTION("LEFT(FILTER(IMPORTRANGE(""https://docs.google.com/spreadsheets/d/1BJSV3WBYJGRhQ6zExamkszQ5VutGIcaQqmbD9ZTVXMQ/edit#gid=1251630045"",""articles_with_PRISMA_reasons!K2:K2113""), $A230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$A230=IMPORTRANGE(""https://docs.google.com/spreadsheets/d/1BJSV3WBYJGRhQ6zExamkszQ5VutGIcaQqmbD9ZTVXMQ/edit#gid=1251630045"",""articles_with_PRISMA_reasons!B2:B2113"")))-1)"),"Rotenstein")</f>
        <v>Rotenstein</v>
      </c>
      <c r="C230" s="6">
        <f>IFERROR(__xludf.DUMMYFUNCTION("FILTER(IMPORTRANGE(""https://docs.google.com/spreadsheets/d/1BJSV3WBYJGRhQ6zExamkszQ5VutGIcaQqmbD9ZTVXMQ/edit#gid=1251630045"",""articles_with_PRISMA_reasons!C2:C2113""), $A230=IMPORTRANGE(""https://docs.google.com/spreadsheets/d/1BJSV3WBYJGRhQ6zExamkszQ5"&amp;"VutGIcaQqmbD9ZTVXMQ/edit#gid=1251630045"",""articles_with_PRISMA_reasons!B2:B2113""))"),1995.0)</f>
        <v>1995</v>
      </c>
      <c r="D230" s="5" t="str">
        <f>IFERROR(__xludf.DUMMYFUNCTION("IFS(AND(
FILTER(IMPORTRANGE(""https://docs.google.com/spreadsheets/d/1BJSV3WBYJGRhQ6zExamkszQ5VutGIcaQqmbD9ZTVXMQ/edit#gid=1251630045"",""articles_with_PRISMA_reasons!Y2:Y2113""), $A230=IMPORTRANGE(""https://docs.google.com/spreadsheets/d/1BJSV3WBYJGRhQ6z"&amp;"ExamkszQ5VutGIcaQqmbD9ZTVXMQ/edit#gid=1251630045"",""articles_with_PRISMA_reasons!B2:B2113""))&gt;=2,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$A230=IMPORTRANGE(""https://docs.google.com/spreadsheets/d/1BJSV3WBYJGRhQ6zExamkszQ5VutGIcaQqmbD9ZTVXMQ/edit#gid=1251630045"",""articles_with_PRISMA_reasons!B2:B2113""))&lt;2),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$A230=IMPORTRANGE(""https://docs.google.com/spreadsheets/d/1BJSV3WBYJGRhQ6zExamkszQ5VutGIcaQqmbD9ZTVXMQ/edit#gid=1251630045"",""arti"&amp;"cles_with_PRISMA_reasons!B2:B2113""))&lt;2,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$A230=IMPORTRANGE(""https://docs.google.com"&amp;"/spreadsheets/d/1BJSV3WBYJGRhQ6zExamkszQ5VutGIcaQqmbD9ZTVXMQ/edit#gid=1251630045"",""articles_with_PRISMA_reasons!B2:B2113""))&gt;=2),
""Exclude""
)"),"Exclude")</f>
        <v>Exclude</v>
      </c>
      <c r="E230" s="5" t="str">
        <f>IFERROR(__xludf.DUMMYFUNCTION("IFS(
D230=""Exclude"",""Exclude"",
AND(
FILTER(IMPORTRANGE(""https://docs.google.com/spreadsheets/d/1qpEmbGH0JjaJbUdp21-y2cPbobDbMjr09BbtdKROZWc/edit#gid=1444865654"",""articles_with_PRISMA_reasons!W2:W2113""), $A230=IMPORTRANGE(""https://docs.google.com/"&amp;"spreadsheets/d/1qpEmbGH0JjaJbUdp21-y2cPbobDbMjr09BbtdKROZWc/edit#gid=1444865654"",""articles_with_PRISMA_reasons!B2:B2113""))&gt;=2,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$A230=IMPORTRANGE(""https://docs.google.com/spreadsheets/d/1qpEmbGH0JjaJbUdp21-y2cPbobDbMjr09BbtdKROZWc/edit#gid=1444865654"",""articles_with_PRISMA_reasons!B2:B2113""))&lt;2),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$A230=IMPORTRANGE(""https://docs.google.com/spreadsheets/d/1qpEmbGH0JjaJbUdp21-y2cPbobDbMjr09BbtdKRO"&amp;"ZWc/edit#gid=1444865654"",""articles_with_PRISMA_reasons!B2:B2113""))&lt;2,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$A230=IMPOR"&amp;"TRANGE(""https://docs.google.com/spreadsheets/d/1qpEmbGH0JjaJbUdp21-y2cPbobDbMjr09BbtdKROZWc/edit#gid=1444865654"",""articles_with_PRISMA_reasons!B2:B2113""))&gt;=2),
""Exclude""
)"),"Exclude")</f>
        <v>Exclude</v>
      </c>
      <c r="F230" s="5" t="str">
        <f>IFERROR(__xludf.DUMMYFUNCTION("IFS(
E230=""Exclude"",""Exclude"",
AND(
COUNTIF(
IMPORTRANGE(""https://docs.google.com/spreadsheets/d/1kGrh75X1cNR1D7_FcY9zMnHP8iPO4M5RCRjy6nZY0TY/edit#gid=0"",""Table 1: Study characteristics!B4:B171""),A230)&gt;0,
COUNTIF(Studies!$A$2:$A$85,FILTER(IMPORTRA"&amp;"NGE(""https://docs.google.com/spreadsheets/d/1kGrh75X1cNR1D7_FcY9zMnHP8iPO4M5RCRjy6nZY0TY/edit#gid=0"",""Table 1: Study characteristics!A4:A171""), $A230=IMPORTRANGE(""https://docs.google.com/spreadsheets/d/1kGrh75X1cNR1D7_FcY9zMnHP8iPO4M5RCRjy6nZY0TY/edi"&amp;"t#gid=0"",""Table 1: Study characteristics!B4:B171"")))&gt;0
),
""Include""
)"),"Exclude")</f>
        <v>Exclude</v>
      </c>
      <c r="G230" s="5" t="str">
        <f>IFERROR(__xludf.DUMMYFUNCTION("IFS(
D230=""Exclude"",
FILTER(IMPORTRANGE(""https://docs.google.com/spreadsheets/d/1BJSV3WBYJGRhQ6zExamkszQ5VutGIcaQqmbD9ZTVXMQ/edit#gid=1251630045"",""articles_with_PRISMA_reasons!AB2:AB2113""), $A230=IMPORTRANGE(""https://docs.google.com/spreadsheets/d/"&amp;"1BJSV3WBYJGRhQ6zExamkszQ5VutGIcaQqmbD9ZTVXMQ/edit#gid=1251630045"",""articles_with_PRISMA_reasons!B2:B2113"")),
E230=""Exclude"",
FILTER(IMPORTRANGE(""https://docs.google.com/spreadsheets/d/1qpEmbGH0JjaJbUdp21-y2cPbobDbMjr09BbtdKROZWc/edit#gid=1444865654"&amp;""",""articles_with_PRISMA_reasons!Z2:Z2113""), $A230=IMPORTRANGE(""https://docs.google.com/spreadsheets/d/1qpEmbGH0JjaJbUdp21-y2cPbobDbMjr09BbtdKROZWc/edit#gid=1444865654"",""articles_with_PRISMA_reasons!B2:B2113"")),F230
=""Include"",FILTER(IMPORTRANGE("&amp;"""https://docs.google.com/spreadsheets/d/1kGrh75X1cNR1D7_FcY9zMnHP8iPO4M5RCRjy6nZY0TY/edit#gid=0"",""Table 1: Study characteristics!A4:A171""), $A230=IMPORTRANGE(""https://docs.google.com/spreadsheets/d/1kGrh75X1cNR1D7_FcY9zMnHP8iPO4M5RCRjy6nZY0TY/edit#gi"&amp;"d=0"",""Table 1: Study characteristics!B4:B171""))
)"),"wrong population")</f>
        <v>wrong population</v>
      </c>
    </row>
    <row r="231">
      <c r="A231" s="4" t="str">
        <f>IFERROR(__xludf.DUMMYFUNCTION("""COMPUTED_VALUE"""),"Adults with myelomeningocele and other forms of spinal dysraphism: Hospital care in the United States since the turn of the millennium")</f>
        <v>Adults with myelomeningocele and other forms of spinal dysraphism: Hospital care in the United States since the turn of the millennium</v>
      </c>
      <c r="B231" s="5" t="str">
        <f>IFERROR(__xludf.DUMMYFUNCTION("LEFT(FILTER(IMPORTRANGE(""https://docs.google.com/spreadsheets/d/1BJSV3WBYJGRhQ6zExamkszQ5VutGIcaQqmbD9ZTVXMQ/edit#gid=1251630045"",""articles_with_PRISMA_reasons!K2:K2113""), $A231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$A231=IMPORTRANGE(""https://docs.google.com/spreadsheets/d/1BJSV3WBYJGRhQ6zExamkszQ5VutGIcaQqmbD9ZTVXMQ/edit#gid=1251630045"",""articles_with_PRISMA_reasons!B2:B2113"")))-1)"),"Piatt")</f>
        <v>Piatt</v>
      </c>
      <c r="C231" s="6">
        <f>IFERROR(__xludf.DUMMYFUNCTION("FILTER(IMPORTRANGE(""https://docs.google.com/spreadsheets/d/1BJSV3WBYJGRhQ6zExamkszQ5VutGIcaQqmbD9ZTVXMQ/edit#gid=1251630045"",""articles_with_PRISMA_reasons!C2:C2113""), $A231=IMPORTRANGE(""https://docs.google.com/spreadsheets/d/1BJSV3WBYJGRhQ6zExamkszQ5"&amp;"VutGIcaQqmbD9ZTVXMQ/edit#gid=1251630045"",""articles_with_PRISMA_reasons!B2:B2113""))"),2016.0)</f>
        <v>2016</v>
      </c>
      <c r="D231" s="5" t="str">
        <f>IFERROR(__xludf.DUMMYFUNCTION("IFS(AND(
FILTER(IMPORTRANGE(""https://docs.google.com/spreadsheets/d/1BJSV3WBYJGRhQ6zExamkszQ5VutGIcaQqmbD9ZTVXMQ/edit#gid=1251630045"",""articles_with_PRISMA_reasons!Y2:Y2113""), $A231=IMPORTRANGE(""https://docs.google.com/spreadsheets/d/1BJSV3WBYJGRhQ6z"&amp;"ExamkszQ5VutGIcaQqmbD9ZTVXMQ/edit#gid=1251630045"",""articles_with_PRISMA_reasons!B2:B2113""))&gt;=2,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$A231=IMPORTRANGE(""https://docs.google.com/spreadsheets/d/1BJSV3WBYJGRhQ6zExamkszQ5VutGIcaQqmbD9ZTVXMQ/edit#gid=1251630045"",""articles_with_PRISMA_reasons!B2:B2113""))&lt;2),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$A231=IMPORTRANGE(""https://docs.google.com/spreadsheets/d/1BJSV3WBYJGRhQ6zExamkszQ5VutGIcaQqmbD9ZTVXMQ/edit#gid=1251630045"",""arti"&amp;"cles_with_PRISMA_reasons!B2:B2113""))&lt;2,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$A231=IMPORTRANGE(""https://docs.google.com"&amp;"/spreadsheets/d/1BJSV3WBYJGRhQ6zExamkszQ5VutGIcaQqmbD9ZTVXMQ/edit#gid=1251630045"",""articles_with_PRISMA_reasons!B2:B2113""))&gt;=2),
""Exclude""
)"),"Exclude")</f>
        <v>Exclude</v>
      </c>
      <c r="E231" s="5" t="str">
        <f>IFERROR(__xludf.DUMMYFUNCTION("IFS(
D231=""Exclude"",""Exclude"",
AND(
FILTER(IMPORTRANGE(""https://docs.google.com/spreadsheets/d/1qpEmbGH0JjaJbUdp21-y2cPbobDbMjr09BbtdKROZWc/edit#gid=1444865654"",""articles_with_PRISMA_reasons!W2:W2113""), $A231=IMPORTRANGE(""https://docs.google.com/"&amp;"spreadsheets/d/1qpEmbGH0JjaJbUdp21-y2cPbobDbMjr09BbtdKROZWc/edit#gid=1444865654"",""articles_with_PRISMA_reasons!B2:B2113""))&gt;=2,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$A231=IMPORTRANGE(""https://docs.google.com/spreadsheets/d/1qpEmbGH0JjaJbUdp21-y2cPbobDbMjr09BbtdKROZWc/edit#gid=1444865654"",""articles_with_PRISMA_reasons!B2:B2113""))&lt;2),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$A231=IMPORTRANGE(""https://docs.google.com/spreadsheets/d/1qpEmbGH0JjaJbUdp21-y2cPbobDbMjr09BbtdKRO"&amp;"ZWc/edit#gid=1444865654"",""articles_with_PRISMA_reasons!B2:B2113""))&lt;2,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$A231=IMPOR"&amp;"TRANGE(""https://docs.google.com/spreadsheets/d/1qpEmbGH0JjaJbUdp21-y2cPbobDbMjr09BbtdKROZWc/edit#gid=1444865654"",""articles_with_PRISMA_reasons!B2:B2113""))&gt;=2),
""Exclude""
)"),"Exclude")</f>
        <v>Exclude</v>
      </c>
      <c r="F231" s="5" t="str">
        <f>IFERROR(__xludf.DUMMYFUNCTION("IFS(
E231=""Exclude"",""Exclude"",
AND(
COUNTIF(
IMPORTRANGE(""https://docs.google.com/spreadsheets/d/1kGrh75X1cNR1D7_FcY9zMnHP8iPO4M5RCRjy6nZY0TY/edit#gid=0"",""Table 1: Study characteristics!B4:B171""),A231)&gt;0,
COUNTIF(Studies!$A$2:$A$85,FILTER(IMPORTRA"&amp;"NGE(""https://docs.google.com/spreadsheets/d/1kGrh75X1cNR1D7_FcY9zMnHP8iPO4M5RCRjy6nZY0TY/edit#gid=0"",""Table 1: Study characteristics!A4:A171""), $A231=IMPORTRANGE(""https://docs.google.com/spreadsheets/d/1kGrh75X1cNR1D7_FcY9zMnHP8iPO4M5RCRjy6nZY0TY/edi"&amp;"t#gid=0"",""Table 1: Study characteristics!B4:B171"")))&gt;0
),
""Include""
)"),"Exclude")</f>
        <v>Exclude</v>
      </c>
      <c r="G231" s="5" t="str">
        <f>IFERROR(__xludf.DUMMYFUNCTION("IFS(
D231=""Exclude"",
FILTER(IMPORTRANGE(""https://docs.google.com/spreadsheets/d/1BJSV3WBYJGRhQ6zExamkszQ5VutGIcaQqmbD9ZTVXMQ/edit#gid=1251630045"",""articles_with_PRISMA_reasons!AB2:AB2113""), $A231=IMPORTRANGE(""https://docs.google.com/spreadsheets/d/"&amp;"1BJSV3WBYJGRhQ6zExamkszQ5VutGIcaQqmbD9ZTVXMQ/edit#gid=1251630045"",""articles_with_PRISMA_reasons!B2:B2113"")),
E231=""Exclude"",
FILTER(IMPORTRANGE(""https://docs.google.com/spreadsheets/d/1qpEmbGH0JjaJbUdp21-y2cPbobDbMjr09BbtdKROZWc/edit#gid=1444865654"&amp;""",""articles_with_PRISMA_reasons!Z2:Z2113""), $A231=IMPORTRANGE(""https://docs.google.com/spreadsheets/d/1qpEmbGH0JjaJbUdp21-y2cPbobDbMjr09BbtdKROZWc/edit#gid=1444865654"",""articles_with_PRISMA_reasons!B2:B2113"")),F231
=""Include"",FILTER(IMPORTRANGE("&amp;"""https://docs.google.com/spreadsheets/d/1kGrh75X1cNR1D7_FcY9zMnHP8iPO4M5RCRjy6nZY0TY/edit#gid=0"",""Table 1: Study characteristics!A4:A171""), $A231=IMPORTRANGE(""https://docs.google.com/spreadsheets/d/1kGrh75X1cNR1D7_FcY9zMnHP8iPO4M5RCRjy6nZY0TY/edit#gi"&amp;"d=0"",""Table 1: Study characteristics!B4:B171""))
)"),"wrong population")</f>
        <v>wrong population</v>
      </c>
    </row>
    <row r="232">
      <c r="A232" s="4" t="str">
        <f>IFERROR(__xludf.DUMMYFUNCTION("""COMPUTED_VALUE"""),"Adults with spina bifida: A cross-sectional study of health issues and living conditions")</f>
        <v>Adults with spina bifida: A cross-sectional study of health issues and living conditions</v>
      </c>
      <c r="B232" s="5" t="str">
        <f>IFERROR(__xludf.DUMMYFUNCTION("LEFT(FILTER(IMPORTRANGE(""https://docs.google.com/spreadsheets/d/1BJSV3WBYJGRhQ6zExamkszQ5VutGIcaQqmbD9ZTVXMQ/edit#gid=1251630045"",""articles_with_PRISMA_reasons!K2:K2113""), $A232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$A232=IMPORTRANGE(""https://docs.google.com/spreadsheets/d/1BJSV3WBYJGRhQ6zExamkszQ5VutGIcaQqmbD9ZTVXMQ/edit#gid=1251630045"",""articles_with_PRISMA_reasons!B2:B2113"")))-1)"),"Bendt")</f>
        <v>Bendt</v>
      </c>
      <c r="C232" s="6">
        <f>IFERROR(__xludf.DUMMYFUNCTION("FILTER(IMPORTRANGE(""https://docs.google.com/spreadsheets/d/1BJSV3WBYJGRhQ6zExamkszQ5VutGIcaQqmbD9ZTVXMQ/edit#gid=1251630045"",""articles_with_PRISMA_reasons!C2:C2113""), $A232=IMPORTRANGE(""https://docs.google.com/spreadsheets/d/1BJSV3WBYJGRhQ6zExamkszQ5"&amp;"VutGIcaQqmbD9ZTVXMQ/edit#gid=1251630045"",""articles_with_PRISMA_reasons!B2:B2113""))"),2020.0)</f>
        <v>2020</v>
      </c>
      <c r="D232" s="5" t="str">
        <f>IFERROR(__xludf.DUMMYFUNCTION("IFS(AND(
FILTER(IMPORTRANGE(""https://docs.google.com/spreadsheets/d/1BJSV3WBYJGRhQ6zExamkszQ5VutGIcaQqmbD9ZTVXMQ/edit#gid=1251630045"",""articles_with_PRISMA_reasons!Y2:Y2113""), $A232=IMPORTRANGE(""https://docs.google.com/spreadsheets/d/1BJSV3WBYJGRhQ6z"&amp;"ExamkszQ5VutGIcaQqmbD9ZTVXMQ/edit#gid=1251630045"",""articles_with_PRISMA_reasons!B2:B2113""))&gt;=2,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$A232=IMPORTRANGE(""https://docs.google.com/spreadsheets/d/1BJSV3WBYJGRhQ6zExamkszQ5VutGIcaQqmbD9ZTVXMQ/edit#gid=1251630045"",""articles_with_PRISMA_reasons!B2:B2113""))&lt;2),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$A232=IMPORTRANGE(""https://docs.google.com/spreadsheets/d/1BJSV3WBYJGRhQ6zExamkszQ5VutGIcaQqmbD9ZTVXMQ/edit#gid=1251630045"",""arti"&amp;"cles_with_PRISMA_reasons!B2:B2113""))&lt;2,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$A232=IMPORTRANGE(""https://docs.google.com"&amp;"/spreadsheets/d/1BJSV3WBYJGRhQ6zExamkszQ5VutGIcaQqmbD9ZTVXMQ/edit#gid=1251630045"",""articles_with_PRISMA_reasons!B2:B2113""))&gt;=2),
""Exclude""
)"),"Exclude")</f>
        <v>Exclude</v>
      </c>
      <c r="E232" s="5" t="str">
        <f>IFERROR(__xludf.DUMMYFUNCTION("IFS(
D232=""Exclude"",""Exclude"",
AND(
FILTER(IMPORTRANGE(""https://docs.google.com/spreadsheets/d/1qpEmbGH0JjaJbUdp21-y2cPbobDbMjr09BbtdKROZWc/edit#gid=1444865654"",""articles_with_PRISMA_reasons!W2:W2113""), $A232=IMPORTRANGE(""https://docs.google.com/"&amp;"spreadsheets/d/1qpEmbGH0JjaJbUdp21-y2cPbobDbMjr09BbtdKROZWc/edit#gid=1444865654"",""articles_with_PRISMA_reasons!B2:B2113""))&gt;=2,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$A232=IMPORTRANGE(""https://docs.google.com/spreadsheets/d/1qpEmbGH0JjaJbUdp21-y2cPbobDbMjr09BbtdKROZWc/edit#gid=1444865654"",""articles_with_PRISMA_reasons!B2:B2113""))&lt;2),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$A232=IMPORTRANGE(""https://docs.google.com/spreadsheets/d/1qpEmbGH0JjaJbUdp21-y2cPbobDbMjr09BbtdKRO"&amp;"ZWc/edit#gid=1444865654"",""articles_with_PRISMA_reasons!B2:B2113""))&lt;2,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$A232=IMPOR"&amp;"TRANGE(""https://docs.google.com/spreadsheets/d/1qpEmbGH0JjaJbUdp21-y2cPbobDbMjr09BbtdKROZWc/edit#gid=1444865654"",""articles_with_PRISMA_reasons!B2:B2113""))&gt;=2),
""Exclude""
)"),"Exclude")</f>
        <v>Exclude</v>
      </c>
      <c r="F232" s="5" t="str">
        <f>IFERROR(__xludf.DUMMYFUNCTION("IFS(
E232=""Exclude"",""Exclude"",
AND(
COUNTIF(
IMPORTRANGE(""https://docs.google.com/spreadsheets/d/1kGrh75X1cNR1D7_FcY9zMnHP8iPO4M5RCRjy6nZY0TY/edit#gid=0"",""Table 1: Study characteristics!B4:B171""),A232)&gt;0,
COUNTIF(Studies!$A$2:$A$85,FILTER(IMPORTRA"&amp;"NGE(""https://docs.google.com/spreadsheets/d/1kGrh75X1cNR1D7_FcY9zMnHP8iPO4M5RCRjy6nZY0TY/edit#gid=0"",""Table 1: Study characteristics!A4:A171""), $A232=IMPORTRANGE(""https://docs.google.com/spreadsheets/d/1kGrh75X1cNR1D7_FcY9zMnHP8iPO4M5RCRjy6nZY0TY/edi"&amp;"t#gid=0"",""Table 1: Study characteristics!B4:B171"")))&gt;0
),
""Include""
)"),"Exclude")</f>
        <v>Exclude</v>
      </c>
      <c r="G232" s="5" t="str">
        <f>IFERROR(__xludf.DUMMYFUNCTION("IFS(
D232=""Exclude"",
FILTER(IMPORTRANGE(""https://docs.google.com/spreadsheets/d/1BJSV3WBYJGRhQ6zExamkszQ5VutGIcaQqmbD9ZTVXMQ/edit#gid=1251630045"",""articles_with_PRISMA_reasons!AB2:AB2113""), $A232=IMPORTRANGE(""https://docs.google.com/spreadsheets/d/"&amp;"1BJSV3WBYJGRhQ6zExamkszQ5VutGIcaQqmbD9ZTVXMQ/edit#gid=1251630045"",""articles_with_PRISMA_reasons!B2:B2113"")),
E232=""Exclude"",
FILTER(IMPORTRANGE(""https://docs.google.com/spreadsheets/d/1qpEmbGH0JjaJbUdp21-y2cPbobDbMjr09BbtdKROZWc/edit#gid=1444865654"&amp;""",""articles_with_PRISMA_reasons!Z2:Z2113""), $A232=IMPORTRANGE(""https://docs.google.com/spreadsheets/d/1qpEmbGH0JjaJbUdp21-y2cPbobDbMjr09BbtdKROZWc/edit#gid=1444865654"",""articles_with_PRISMA_reasons!B2:B2113"")),F232
=""Include"",FILTER(IMPORTRANGE("&amp;"""https://docs.google.com/spreadsheets/d/1kGrh75X1cNR1D7_FcY9zMnHP8iPO4M5RCRjy6nZY0TY/edit#gid=0"",""Table 1: Study characteristics!A4:A171""), $A232=IMPORTRANGE(""https://docs.google.com/spreadsheets/d/1kGrh75X1cNR1D7_FcY9zMnHP8iPO4M5RCRjy6nZY0TY/edit#gi"&amp;"d=0"",""Table 1: Study characteristics!B4:B171""))
)"),"wrong population")</f>
        <v>wrong population</v>
      </c>
    </row>
    <row r="233">
      <c r="A233" s="4" t="str">
        <f>IFERROR(__xludf.DUMMYFUNCTION("""COMPUTED_VALUE"""),"Advances in fetal surgery")</f>
        <v>Advances in fetal surgery</v>
      </c>
      <c r="B233" s="2" t="s">
        <v>12</v>
      </c>
      <c r="C233" s="6">
        <f>IFERROR(__xludf.DUMMYFUNCTION("FILTER(IMPORTRANGE(""https://docs.google.com/spreadsheets/d/1BJSV3WBYJGRhQ6zExamkszQ5VutGIcaQqmbD9ZTVXMQ/edit#gid=1251630045"",""articles_with_PRISMA_reasons!C2:C2113""), $A233=IMPORTRANGE(""https://docs.google.com/spreadsheets/d/1BJSV3WBYJGRhQ6zExamkszQ5"&amp;"VutGIcaQqmbD9ZTVXMQ/edit#gid=1251630045"",""articles_with_PRISMA_reasons!B2:B2113""))"),2013.0)</f>
        <v>2013</v>
      </c>
      <c r="D233" s="5" t="str">
        <f>IFERROR(__xludf.DUMMYFUNCTION("IFS(AND(
FILTER(IMPORTRANGE(""https://docs.google.com/spreadsheets/d/1BJSV3WBYJGRhQ6zExamkszQ5VutGIcaQqmbD9ZTVXMQ/edit#gid=1251630045"",""articles_with_PRISMA_reasons!Y2:Y2113""), $A233=IMPORTRANGE(""https://docs.google.com/spreadsheets/d/1BJSV3WBYJGRhQ6z"&amp;"ExamkszQ5VutGIcaQqmbD9ZTVXMQ/edit#gid=1251630045"",""articles_with_PRISMA_reasons!B2:B2113""))&gt;=2,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$A233=IMPORTRANGE(""https://docs.google.com/spreadsheets/d/1BJSV3WBYJGRhQ6zExamkszQ5VutGIcaQqmbD9ZTVXMQ/edit#gid=1251630045"",""articles_with_PRISMA_reasons!B2:B2113""))&lt;2),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$A233=IMPORTRANGE(""https://docs.google.com/spreadsheets/d/1BJSV3WBYJGRhQ6zExamkszQ5VutGIcaQqmbD9ZTVXMQ/edit#gid=1251630045"",""arti"&amp;"cles_with_PRISMA_reasons!B2:B2113""))&lt;2,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$A233=IMPORTRANGE(""https://docs.google.com"&amp;"/spreadsheets/d/1BJSV3WBYJGRhQ6zExamkszQ5VutGIcaQqmbD9ZTVXMQ/edit#gid=1251630045"",""articles_with_PRISMA_reasons!B2:B2113""))&gt;=2),
""Exclude""
)"),"Exclude")</f>
        <v>Exclude</v>
      </c>
      <c r="E233" s="5" t="str">
        <f>IFERROR(__xludf.DUMMYFUNCTION("IFS(
D233=""Exclude"",""Exclude"",
AND(
FILTER(IMPORTRANGE(""https://docs.google.com/spreadsheets/d/1qpEmbGH0JjaJbUdp21-y2cPbobDbMjr09BbtdKROZWc/edit#gid=1444865654"",""articles_with_PRISMA_reasons!W2:W2113""), $A233=IMPORTRANGE(""https://docs.google.com/"&amp;"spreadsheets/d/1qpEmbGH0JjaJbUdp21-y2cPbobDbMjr09BbtdKROZWc/edit#gid=1444865654"",""articles_with_PRISMA_reasons!B2:B2113""))&gt;=2,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$A233=IMPORTRANGE(""https://docs.google.com/spreadsheets/d/1qpEmbGH0JjaJbUdp21-y2cPbobDbMjr09BbtdKROZWc/edit#gid=1444865654"",""articles_with_PRISMA_reasons!B2:B2113""))&lt;2),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$A233=IMPORTRANGE(""https://docs.google.com/spreadsheets/d/1qpEmbGH0JjaJbUdp21-y2cPbobDbMjr09BbtdKRO"&amp;"ZWc/edit#gid=1444865654"",""articles_with_PRISMA_reasons!B2:B2113""))&lt;2,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$A233=IMPOR"&amp;"TRANGE(""https://docs.google.com/spreadsheets/d/1qpEmbGH0JjaJbUdp21-y2cPbobDbMjr09BbtdKROZWc/edit#gid=1444865654"",""articles_with_PRISMA_reasons!B2:B2113""))&gt;=2),
""Exclude""
)"),"Exclude")</f>
        <v>Exclude</v>
      </c>
      <c r="F233" s="5" t="str">
        <f>IFERROR(__xludf.DUMMYFUNCTION("IFS(
E233=""Exclude"",""Exclude"",
AND(
COUNTIF(
IMPORTRANGE(""https://docs.google.com/spreadsheets/d/1kGrh75X1cNR1D7_FcY9zMnHP8iPO4M5RCRjy6nZY0TY/edit#gid=0"",""Table 1: Study characteristics!B4:B171""),A233)&gt;0,
COUNTIF(Studies!$A$2:$A$85,FILTER(IMPORTRA"&amp;"NGE(""https://docs.google.com/spreadsheets/d/1kGrh75X1cNR1D7_FcY9zMnHP8iPO4M5RCRjy6nZY0TY/edit#gid=0"",""Table 1: Study characteristics!A4:A171""), $A233=IMPORTRANGE(""https://docs.google.com/spreadsheets/d/1kGrh75X1cNR1D7_FcY9zMnHP8iPO4M5RCRjy6nZY0TY/edi"&amp;"t#gid=0"",""Table 1: Study characteristics!B4:B171"")))&gt;0
),
""Include""
)"),"Exclude")</f>
        <v>Exclude</v>
      </c>
      <c r="G233" s="5" t="str">
        <f>IFERROR(__xludf.DUMMYFUNCTION("IFS(
D233=""Exclude"",
FILTER(IMPORTRANGE(""https://docs.google.com/spreadsheets/d/1BJSV3WBYJGRhQ6zExamkszQ5VutGIcaQqmbD9ZTVXMQ/edit#gid=1251630045"",""articles_with_PRISMA_reasons!AB2:AB2113""), $A233=IMPORTRANGE(""https://docs.google.com/spreadsheets/d/"&amp;"1BJSV3WBYJGRhQ6zExamkszQ5VutGIcaQqmbD9ZTVXMQ/edit#gid=1251630045"",""articles_with_PRISMA_reasons!B2:B2113"")),
E233=""Exclude"",
FILTER(IMPORTRANGE(""https://docs.google.com/spreadsheets/d/1qpEmbGH0JjaJbUdp21-y2cPbobDbMjr09BbtdKROZWc/edit#gid=1444865654"&amp;""",""articles_with_PRISMA_reasons!Z2:Z2113""), $A233=IMPORTRANGE(""https://docs.google.com/spreadsheets/d/1qpEmbGH0JjaJbUdp21-y2cPbobDbMjr09BbtdKROZWc/edit#gid=1444865654"",""articles_with_PRISMA_reasons!B2:B2113"")),F233
=""Include"",FILTER(IMPORTRANGE("&amp;"""https://docs.google.com/spreadsheets/d/1kGrh75X1cNR1D7_FcY9zMnHP8iPO4M5RCRjy6nZY0TY/edit#gid=0"",""Table 1: Study characteristics!A4:A171""), $A233=IMPORTRANGE(""https://docs.google.com/spreadsheets/d/1kGrh75X1cNR1D7_FcY9zMnHP8iPO4M5RCRjy6nZY0TY/edit#gi"&amp;"d=0"",""Table 1: Study characteristics!B4:B171""))
)"),"background article")</f>
        <v>background article</v>
      </c>
    </row>
    <row r="234">
      <c r="A234" s="4" t="str">
        <f>IFERROR(__xludf.DUMMYFUNCTION("""COMPUTED_VALUE"""),"Adverse-event profile of Crataegus spp.: A systematic review")</f>
        <v>Adverse-event profile of Crataegus spp.: A systematic review</v>
      </c>
      <c r="B234" s="5" t="str">
        <f>IFERROR(__xludf.DUMMYFUNCTION("LEFT(FILTER(IMPORTRANGE(""https://docs.google.com/spreadsheets/d/1BJSV3WBYJGRhQ6zExamkszQ5VutGIcaQqmbD9ZTVXMQ/edit#gid=1251630045"",""articles_with_PRISMA_reasons!K2:K2113""), $A234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$A234=IMPORTRANGE(""https://docs.google.com/spreadsheets/d/1BJSV3WBYJGRhQ6zExamkszQ5VutGIcaQqmbD9ZTVXMQ/edit#gid=1251630045"",""articles_with_PRISMA_reasons!B2:B2113"")))-1)"),"Mazzanti")</f>
        <v>Mazzanti</v>
      </c>
      <c r="C234" s="6">
        <f>IFERROR(__xludf.DUMMYFUNCTION("FILTER(IMPORTRANGE(""https://docs.google.com/spreadsheets/d/1BJSV3WBYJGRhQ6zExamkszQ5VutGIcaQqmbD9ZTVXMQ/edit#gid=1251630045"",""articles_with_PRISMA_reasons!C2:C2113""), $A234=IMPORTRANGE(""https://docs.google.com/spreadsheets/d/1BJSV3WBYJGRhQ6zExamkszQ5"&amp;"VutGIcaQqmbD9ZTVXMQ/edit#gid=1251630045"",""articles_with_PRISMA_reasons!B2:B2113""))"),2006.0)</f>
        <v>2006</v>
      </c>
      <c r="D234" s="5" t="str">
        <f>IFERROR(__xludf.DUMMYFUNCTION("IFS(AND(
FILTER(IMPORTRANGE(""https://docs.google.com/spreadsheets/d/1BJSV3WBYJGRhQ6zExamkszQ5VutGIcaQqmbD9ZTVXMQ/edit#gid=1251630045"",""articles_with_PRISMA_reasons!Y2:Y2113""), $A234=IMPORTRANGE(""https://docs.google.com/spreadsheets/d/1BJSV3WBYJGRhQ6z"&amp;"ExamkszQ5VutGIcaQqmbD9ZTVXMQ/edit#gid=1251630045"",""articles_with_PRISMA_reasons!B2:B2113""))&gt;=2,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$A234=IMPORTRANGE(""https://docs.google.com/spreadsheets/d/1BJSV3WBYJGRhQ6zExamkszQ5VutGIcaQqmbD9ZTVXMQ/edit#gid=1251630045"",""articles_with_PRISMA_reasons!B2:B2113""))&lt;2),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$A234=IMPORTRANGE(""https://docs.google.com/spreadsheets/d/1BJSV3WBYJGRhQ6zExamkszQ5VutGIcaQqmbD9ZTVXMQ/edit#gid=1251630045"",""arti"&amp;"cles_with_PRISMA_reasons!B2:B2113""))&lt;2,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$A234=IMPORTRANGE(""https://docs.google.com"&amp;"/spreadsheets/d/1BJSV3WBYJGRhQ6zExamkszQ5VutGIcaQqmbD9ZTVXMQ/edit#gid=1251630045"",""articles_with_PRISMA_reasons!B2:B2113""))&gt;=2),
""Exclude""
)"),"Exclude")</f>
        <v>Exclude</v>
      </c>
      <c r="E234" s="5" t="str">
        <f>IFERROR(__xludf.DUMMYFUNCTION("IFS(
D234=""Exclude"",""Exclude"",
AND(
FILTER(IMPORTRANGE(""https://docs.google.com/spreadsheets/d/1qpEmbGH0JjaJbUdp21-y2cPbobDbMjr09BbtdKROZWc/edit#gid=1444865654"",""articles_with_PRISMA_reasons!W2:W2113""), $A234=IMPORTRANGE(""https://docs.google.com/"&amp;"spreadsheets/d/1qpEmbGH0JjaJbUdp21-y2cPbobDbMjr09BbtdKROZWc/edit#gid=1444865654"",""articles_with_PRISMA_reasons!B2:B2113""))&gt;=2,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$A234=IMPORTRANGE(""https://docs.google.com/spreadsheets/d/1qpEmbGH0JjaJbUdp21-y2cPbobDbMjr09BbtdKROZWc/edit#gid=1444865654"",""articles_with_PRISMA_reasons!B2:B2113""))&lt;2),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$A234=IMPORTRANGE(""https://docs.google.com/spreadsheets/d/1qpEmbGH0JjaJbUdp21-y2cPbobDbMjr09BbtdKRO"&amp;"ZWc/edit#gid=1444865654"",""articles_with_PRISMA_reasons!B2:B2113""))&lt;2,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$A234=IMPOR"&amp;"TRANGE(""https://docs.google.com/spreadsheets/d/1qpEmbGH0JjaJbUdp21-y2cPbobDbMjr09BbtdKROZWc/edit#gid=1444865654"",""articles_with_PRISMA_reasons!B2:B2113""))&gt;=2),
""Exclude""
)"),"Exclude")</f>
        <v>Exclude</v>
      </c>
      <c r="F234" s="5" t="str">
        <f>IFERROR(__xludf.DUMMYFUNCTION("IFS(
E234=""Exclude"",""Exclude"",
AND(
COUNTIF(
IMPORTRANGE(""https://docs.google.com/spreadsheets/d/1kGrh75X1cNR1D7_FcY9zMnHP8iPO4M5RCRjy6nZY0TY/edit#gid=0"",""Table 1: Study characteristics!B4:B171""),A234)&gt;0,
COUNTIF(Studies!$A$2:$A$85,FILTER(IMPORTRA"&amp;"NGE(""https://docs.google.com/spreadsheets/d/1kGrh75X1cNR1D7_FcY9zMnHP8iPO4M5RCRjy6nZY0TY/edit#gid=0"",""Table 1: Study characteristics!A4:A171""), $A234=IMPORTRANGE(""https://docs.google.com/spreadsheets/d/1kGrh75X1cNR1D7_FcY9zMnHP8iPO4M5RCRjy6nZY0TY/edi"&amp;"t#gid=0"",""Table 1: Study characteristics!B4:B171"")))&gt;0
),
""Include""
)"),"Exclude")</f>
        <v>Exclude</v>
      </c>
      <c r="G234" s="5" t="str">
        <f>IFERROR(__xludf.DUMMYFUNCTION("IFS(
D234=""Exclude"",
FILTER(IMPORTRANGE(""https://docs.google.com/spreadsheets/d/1BJSV3WBYJGRhQ6zExamkszQ5VutGIcaQqmbD9ZTVXMQ/edit#gid=1251630045"",""articles_with_PRISMA_reasons!AB2:AB2113""), $A234=IMPORTRANGE(""https://docs.google.com/spreadsheets/d/"&amp;"1BJSV3WBYJGRhQ6zExamkszQ5VutGIcaQqmbD9ZTVXMQ/edit#gid=1251630045"",""articles_with_PRISMA_reasons!B2:B2113"")),
E234=""Exclude"",
FILTER(IMPORTRANGE(""https://docs.google.com/spreadsheets/d/1qpEmbGH0JjaJbUdp21-y2cPbobDbMjr09BbtdKROZWc/edit#gid=1444865654"&amp;""",""articles_with_PRISMA_reasons!Z2:Z2113""), $A234=IMPORTRANGE(""https://docs.google.com/spreadsheets/d/1qpEmbGH0JjaJbUdp21-y2cPbobDbMjr09BbtdKROZWc/edit#gid=1444865654"",""articles_with_PRISMA_reasons!B2:B2113"")),F234
=""Include"",FILTER(IMPORTRANGE("&amp;"""https://docs.google.com/spreadsheets/d/1kGrh75X1cNR1D7_FcY9zMnHP8iPO4M5RCRjy6nZY0TY/edit#gid=0"",""Table 1: Study characteristics!A4:A171""), $A234=IMPORTRANGE(""https://docs.google.com/spreadsheets/d/1kGrh75X1cNR1D7_FcY9zMnHP8iPO4M5RCRjy6nZY0TY/edit#gi"&amp;"d=0"",""Table 1: Study characteristics!B4:B171""))
)"),"wrong study design")</f>
        <v>wrong study design</v>
      </c>
    </row>
    <row r="235">
      <c r="A235" s="4" t="str">
        <f>IFERROR(__xludf.DUMMYFUNCTION("""COMPUTED_VALUE"""),"Age-related differences in executive function among children with spina bifida/hydrocephalus based on parent behavior ratings")</f>
        <v>Age-related differences in executive function among children with spina bifida/hydrocephalus based on parent behavior ratings</v>
      </c>
      <c r="B235" s="5" t="str">
        <f>IFERROR(__xludf.DUMMYFUNCTION("LEFT(FILTER(IMPORTRANGE(""https://docs.google.com/spreadsheets/d/1BJSV3WBYJGRhQ6zExamkszQ5VutGIcaQqmbD9ZTVXMQ/edit#gid=1251630045"",""articles_with_PRISMA_reasons!K2:K2113""), $A235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$A235=IMPORTRANGE(""https://docs.google.com/spreadsheets/d/1BJSV3WBYJGRhQ6zExamkszQ5VutGIcaQqmbD9ZTVXMQ/edit#gid=1251630045"",""articles_with_PRISMA_reasons!B2:B2113"")))-1)"),"Tarazi")</f>
        <v>Tarazi</v>
      </c>
      <c r="C235" s="6">
        <f>IFERROR(__xludf.DUMMYFUNCTION("FILTER(IMPORTRANGE(""https://docs.google.com/spreadsheets/d/1BJSV3WBYJGRhQ6zExamkszQ5VutGIcaQqmbD9ZTVXMQ/edit#gid=1251630045"",""articles_with_PRISMA_reasons!C2:C2113""), $A235=IMPORTRANGE(""https://docs.google.com/spreadsheets/d/1BJSV3WBYJGRhQ6zExamkszQ5"&amp;"VutGIcaQqmbD9ZTVXMQ/edit#gid=1251630045"",""articles_with_PRISMA_reasons!B2:B2113""))"),2008.0)</f>
        <v>2008</v>
      </c>
      <c r="D235" s="5" t="str">
        <f>IFERROR(__xludf.DUMMYFUNCTION("IFS(AND(
FILTER(IMPORTRANGE(""https://docs.google.com/spreadsheets/d/1BJSV3WBYJGRhQ6zExamkszQ5VutGIcaQqmbD9ZTVXMQ/edit#gid=1251630045"",""articles_with_PRISMA_reasons!Y2:Y2113""), $A235=IMPORTRANGE(""https://docs.google.com/spreadsheets/d/1BJSV3WBYJGRhQ6z"&amp;"ExamkszQ5VutGIcaQqmbD9ZTVXMQ/edit#gid=1251630045"",""articles_with_PRISMA_reasons!B2:B2113""))&gt;=2,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$A235=IMPORTRANGE(""https://docs.google.com/spreadsheets/d/1BJSV3WBYJGRhQ6zExamkszQ5VutGIcaQqmbD9ZTVXMQ/edit#gid=1251630045"",""articles_with_PRISMA_reasons!B2:B2113""))&lt;2),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$A235=IMPORTRANGE(""https://docs.google.com/spreadsheets/d/1BJSV3WBYJGRhQ6zExamkszQ5VutGIcaQqmbD9ZTVXMQ/edit#gid=1251630045"",""arti"&amp;"cles_with_PRISMA_reasons!B2:B2113""))&lt;2,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$A235=IMPORTRANGE(""https://docs.google.com"&amp;"/spreadsheets/d/1BJSV3WBYJGRhQ6zExamkszQ5VutGIcaQqmbD9ZTVXMQ/edit#gid=1251630045"",""articles_with_PRISMA_reasons!B2:B2113""))&gt;=2),
""Exclude""
)"),"Exclude")</f>
        <v>Exclude</v>
      </c>
      <c r="E235" s="5" t="str">
        <f>IFERROR(__xludf.DUMMYFUNCTION("IFS(
D235=""Exclude"",""Exclude"",
AND(
FILTER(IMPORTRANGE(""https://docs.google.com/spreadsheets/d/1qpEmbGH0JjaJbUdp21-y2cPbobDbMjr09BbtdKROZWc/edit#gid=1444865654"",""articles_with_PRISMA_reasons!W2:W2113""), $A235=IMPORTRANGE(""https://docs.google.com/"&amp;"spreadsheets/d/1qpEmbGH0JjaJbUdp21-y2cPbobDbMjr09BbtdKROZWc/edit#gid=1444865654"",""articles_with_PRISMA_reasons!B2:B2113""))&gt;=2,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$A235=IMPORTRANGE(""https://docs.google.com/spreadsheets/d/1qpEmbGH0JjaJbUdp21-y2cPbobDbMjr09BbtdKROZWc/edit#gid=1444865654"",""articles_with_PRISMA_reasons!B2:B2113""))&lt;2),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$A235=IMPORTRANGE(""https://docs.google.com/spreadsheets/d/1qpEmbGH0JjaJbUdp21-y2cPbobDbMjr09BbtdKRO"&amp;"ZWc/edit#gid=1444865654"",""articles_with_PRISMA_reasons!B2:B2113""))&lt;2,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$A235=IMPOR"&amp;"TRANGE(""https://docs.google.com/spreadsheets/d/1qpEmbGH0JjaJbUdp21-y2cPbobDbMjr09BbtdKROZWc/edit#gid=1444865654"",""articles_with_PRISMA_reasons!B2:B2113""))&gt;=2),
""Exclude""
)"),"Exclude")</f>
        <v>Exclude</v>
      </c>
      <c r="F235" s="5" t="str">
        <f>IFERROR(__xludf.DUMMYFUNCTION("IFS(
E235=""Exclude"",""Exclude"",
AND(
COUNTIF(
IMPORTRANGE(""https://docs.google.com/spreadsheets/d/1kGrh75X1cNR1D7_FcY9zMnHP8iPO4M5RCRjy6nZY0TY/edit#gid=0"",""Table 1: Study characteristics!B4:B171""),A235)&gt;0,
COUNTIF(Studies!$A$2:$A$85,FILTER(IMPORTRA"&amp;"NGE(""https://docs.google.com/spreadsheets/d/1kGrh75X1cNR1D7_FcY9zMnHP8iPO4M5RCRjy6nZY0TY/edit#gid=0"",""Table 1: Study characteristics!A4:A171""), $A235=IMPORTRANGE(""https://docs.google.com/spreadsheets/d/1kGrh75X1cNR1D7_FcY9zMnHP8iPO4M5RCRjy6nZY0TY/edi"&amp;"t#gid=0"",""Table 1: Study characteristics!B4:B171"")))&gt;0
),
""Include""
)"),"Exclude")</f>
        <v>Exclude</v>
      </c>
      <c r="G235" s="5" t="str">
        <f>IFERROR(__xludf.DUMMYFUNCTION("IFS(
D235=""Exclude"",
FILTER(IMPORTRANGE(""https://docs.google.com/spreadsheets/d/1BJSV3WBYJGRhQ6zExamkszQ5VutGIcaQqmbD9ZTVXMQ/edit#gid=1251630045"",""articles_with_PRISMA_reasons!AB2:AB2113""), $A235=IMPORTRANGE(""https://docs.google.com/spreadsheets/d/"&amp;"1BJSV3WBYJGRhQ6zExamkszQ5VutGIcaQqmbD9ZTVXMQ/edit#gid=1251630045"",""articles_with_PRISMA_reasons!B2:B2113"")),
E235=""Exclude"",
FILTER(IMPORTRANGE(""https://docs.google.com/spreadsheets/d/1qpEmbGH0JjaJbUdp21-y2cPbobDbMjr09BbtdKROZWc/edit#gid=1444865654"&amp;""",""articles_with_PRISMA_reasons!Z2:Z2113""), $A235=IMPORTRANGE(""https://docs.google.com/spreadsheets/d/1qpEmbGH0JjaJbUdp21-y2cPbobDbMjr09BbtdKROZWc/edit#gid=1444865654"",""articles_with_PRISMA_reasons!B2:B2113"")),F235
=""Include"",FILTER(IMPORTRANGE("&amp;"""https://docs.google.com/spreadsheets/d/1kGrh75X1cNR1D7_FcY9zMnHP8iPO4M5RCRjy6nZY0TY/edit#gid=0"",""Table 1: Study characteristics!A4:A171""), $A235=IMPORTRANGE(""https://docs.google.com/spreadsheets/d/1kGrh75X1cNR1D7_FcY9zMnHP8iPO4M5RCRjy6nZY0TY/edit#gi"&amp;"d=0"",""Table 1: Study characteristics!B4:B171""))
)"),"wrong population")</f>
        <v>wrong population</v>
      </c>
    </row>
    <row r="236">
      <c r="A236" s="4" t="str">
        <f>IFERROR(__xludf.DUMMYFUNCTION("""COMPUTED_VALUE"""),"Age-specific occurrence of pathological fractures in patients with spina bifida")</f>
        <v>Age-specific occurrence of pathological fractures in patients with spina bifida</v>
      </c>
      <c r="B236" s="5" t="str">
        <f>IFERROR(__xludf.DUMMYFUNCTION("LEFT(FILTER(IMPORTRANGE(""https://docs.google.com/spreadsheets/d/1BJSV3WBYJGRhQ6zExamkszQ5VutGIcaQqmbD9ZTVXMQ/edit#gid=1251630045"",""articles_with_PRISMA_reasons!K2:K2113""), $A236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$A236=IMPORTRANGE(""https://docs.google.com/spreadsheets/d/1BJSV3WBYJGRhQ6zExamkszQ5VutGIcaQqmbD9ZTVXMQ/edit#gid=1251630045"",""articles_with_PRISMA_reasons!B2:B2113"")))-1)"),"Aliatakis")</f>
        <v>Aliatakis</v>
      </c>
      <c r="C236" s="6">
        <f>IFERROR(__xludf.DUMMYFUNCTION("FILTER(IMPORTRANGE(""https://docs.google.com/spreadsheets/d/1BJSV3WBYJGRhQ6zExamkszQ5VutGIcaQqmbD9ZTVXMQ/edit#gid=1251630045"",""articles_with_PRISMA_reasons!C2:C2113""), $A236=IMPORTRANGE(""https://docs.google.com/spreadsheets/d/1BJSV3WBYJGRhQ6zExamkszQ5"&amp;"VutGIcaQqmbD9ZTVXMQ/edit#gid=1251630045"",""articles_with_PRISMA_reasons!B2:B2113""))"),2020.0)</f>
        <v>2020</v>
      </c>
      <c r="D236" s="5" t="str">
        <f>IFERROR(__xludf.DUMMYFUNCTION("IFS(AND(
FILTER(IMPORTRANGE(""https://docs.google.com/spreadsheets/d/1BJSV3WBYJGRhQ6zExamkszQ5VutGIcaQqmbD9ZTVXMQ/edit#gid=1251630045"",""articles_with_PRISMA_reasons!Y2:Y2113""), $A236=IMPORTRANGE(""https://docs.google.com/spreadsheets/d/1BJSV3WBYJGRhQ6z"&amp;"ExamkszQ5VutGIcaQqmbD9ZTVXMQ/edit#gid=1251630045"",""articles_with_PRISMA_reasons!B2:B2113""))&gt;=2,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$A236=IMPORTRANGE(""https://docs.google.com/spreadsheets/d/1BJSV3WBYJGRhQ6zExamkszQ5VutGIcaQqmbD9ZTVXMQ/edit#gid=1251630045"",""articles_with_PRISMA_reasons!B2:B2113""))&lt;2),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$A236=IMPORTRANGE(""https://docs.google.com/spreadsheets/d/1BJSV3WBYJGRhQ6zExamkszQ5VutGIcaQqmbD9ZTVXMQ/edit#gid=1251630045"",""arti"&amp;"cles_with_PRISMA_reasons!B2:B2113""))&lt;2,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$A236=IMPORTRANGE(""https://docs.google.com"&amp;"/spreadsheets/d/1BJSV3WBYJGRhQ6zExamkszQ5VutGIcaQqmbD9ZTVXMQ/edit#gid=1251630045"",""articles_with_PRISMA_reasons!B2:B2113""))&gt;=2),
""Exclude""
)"),"Exclude")</f>
        <v>Exclude</v>
      </c>
      <c r="E236" s="5" t="str">
        <f>IFERROR(__xludf.DUMMYFUNCTION("IFS(
D236=""Exclude"",""Exclude"",
AND(
FILTER(IMPORTRANGE(""https://docs.google.com/spreadsheets/d/1qpEmbGH0JjaJbUdp21-y2cPbobDbMjr09BbtdKROZWc/edit#gid=1444865654"",""articles_with_PRISMA_reasons!W2:W2113""), $A236=IMPORTRANGE(""https://docs.google.com/"&amp;"spreadsheets/d/1qpEmbGH0JjaJbUdp21-y2cPbobDbMjr09BbtdKROZWc/edit#gid=1444865654"",""articles_with_PRISMA_reasons!B2:B2113""))&gt;=2,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$A236=IMPORTRANGE(""https://docs.google.com/spreadsheets/d/1qpEmbGH0JjaJbUdp21-y2cPbobDbMjr09BbtdKROZWc/edit#gid=1444865654"",""articles_with_PRISMA_reasons!B2:B2113""))&lt;2),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$A236=IMPORTRANGE(""https://docs.google.com/spreadsheets/d/1qpEmbGH0JjaJbUdp21-y2cPbobDbMjr09BbtdKRO"&amp;"ZWc/edit#gid=1444865654"",""articles_with_PRISMA_reasons!B2:B2113""))&lt;2,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$A236=IMPOR"&amp;"TRANGE(""https://docs.google.com/spreadsheets/d/1qpEmbGH0JjaJbUdp21-y2cPbobDbMjr09BbtdKROZWc/edit#gid=1444865654"",""articles_with_PRISMA_reasons!B2:B2113""))&gt;=2),
""Exclude""
)"),"Exclude")</f>
        <v>Exclude</v>
      </c>
      <c r="F236" s="5" t="str">
        <f>IFERROR(__xludf.DUMMYFUNCTION("IFS(
E236=""Exclude"",""Exclude"",
AND(
COUNTIF(
IMPORTRANGE(""https://docs.google.com/spreadsheets/d/1kGrh75X1cNR1D7_FcY9zMnHP8iPO4M5RCRjy6nZY0TY/edit#gid=0"",""Table 1: Study characteristics!B4:B171""),A236)&gt;0,
COUNTIF(Studies!$A$2:$A$85,FILTER(IMPORTRA"&amp;"NGE(""https://docs.google.com/spreadsheets/d/1kGrh75X1cNR1D7_FcY9zMnHP8iPO4M5RCRjy6nZY0TY/edit#gid=0"",""Table 1: Study characteristics!A4:A171""), $A236=IMPORTRANGE(""https://docs.google.com/spreadsheets/d/1kGrh75X1cNR1D7_FcY9zMnHP8iPO4M5RCRjy6nZY0TY/edi"&amp;"t#gid=0"",""Table 1: Study characteristics!B4:B171"")))&gt;0
),
""Include""
)"),"Exclude")</f>
        <v>Exclude</v>
      </c>
      <c r="G236" s="5" t="str">
        <f>IFERROR(__xludf.DUMMYFUNCTION("IFS(
D236=""Exclude"",
FILTER(IMPORTRANGE(""https://docs.google.com/spreadsheets/d/1BJSV3WBYJGRhQ6zExamkszQ5VutGIcaQqmbD9ZTVXMQ/edit#gid=1251630045"",""articles_with_PRISMA_reasons!AB2:AB2113""), $A236=IMPORTRANGE(""https://docs.google.com/spreadsheets/d/"&amp;"1BJSV3WBYJGRhQ6zExamkszQ5VutGIcaQqmbD9ZTVXMQ/edit#gid=1251630045"",""articles_with_PRISMA_reasons!B2:B2113"")),
E236=""Exclude"",
FILTER(IMPORTRANGE(""https://docs.google.com/spreadsheets/d/1qpEmbGH0JjaJbUdp21-y2cPbobDbMjr09BbtdKROZWc/edit#gid=1444865654"&amp;""",""articles_with_PRISMA_reasons!Z2:Z2113""), $A236=IMPORTRANGE(""https://docs.google.com/spreadsheets/d/1qpEmbGH0JjaJbUdp21-y2cPbobDbMjr09BbtdKROZWc/edit#gid=1444865654"",""articles_with_PRISMA_reasons!B2:B2113"")),F236
=""Include"",FILTER(IMPORTRANGE("&amp;"""https://docs.google.com/spreadsheets/d/1kGrh75X1cNR1D7_FcY9zMnHP8iPO4M5RCRjy6nZY0TY/edit#gid=0"",""Table 1: Study characteristics!A4:A171""), $A236=IMPORTRANGE(""https://docs.google.com/spreadsheets/d/1kGrh75X1cNR1D7_FcY9zMnHP8iPO4M5RCRjy6nZY0TY/edit#gi"&amp;"d=0"",""Table 1: Study characteristics!B4:B171""))
)"),"wrong population")</f>
        <v>wrong population</v>
      </c>
    </row>
    <row r="237">
      <c r="A237" s="4" t="str">
        <f>IFERROR(__xludf.DUMMYFUNCTION("""COMPUTED_VALUE"""),"Agenesia sacra asociada a disrrafismo espinal e hidrocefalia")</f>
        <v>Agenesia sacra asociada a disrrafismo espinal e hidrocefalia</v>
      </c>
      <c r="B237" s="5" t="str">
        <f>IFERROR(__xludf.DUMMYFUNCTION("LEFT(FILTER(IMPORTRANGE(""https://docs.google.com/spreadsheets/d/1BJSV3WBYJGRhQ6zExamkszQ5VutGIcaQqmbD9ZTVXMQ/edit#gid=1251630045"",""articles_with_PRISMA_reasons!K2:K2113""), $A237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$A237=IMPORTRANGE(""https://docs.google.com/spreadsheets/d/1BJSV3WBYJGRhQ6zExamkszQ5VutGIcaQqmbD9ZTVXMQ/edit#gid=1251630045"",""articles_with_PRISMA_reasons!B2:B2113"")))-1)"),"Hernández León")</f>
        <v>Hernández León</v>
      </c>
      <c r="C237" s="6">
        <f>IFERROR(__xludf.DUMMYFUNCTION("FILTER(IMPORTRANGE(""https://docs.google.com/spreadsheets/d/1BJSV3WBYJGRhQ6zExamkszQ5VutGIcaQqmbD9ZTVXMQ/edit#gid=1251630045"",""articles_with_PRISMA_reasons!C2:C2113""), $A237=IMPORTRANGE(""https://docs.google.com/spreadsheets/d/1BJSV3WBYJGRhQ6zExamkszQ5"&amp;"VutGIcaQqmbD9ZTVXMQ/edit#gid=1251630045"",""articles_with_PRISMA_reasons!B2:B2113""))"),2013.0)</f>
        <v>2013</v>
      </c>
      <c r="D237" s="5" t="str">
        <f>IFERROR(__xludf.DUMMYFUNCTION("IFS(AND(
FILTER(IMPORTRANGE(""https://docs.google.com/spreadsheets/d/1BJSV3WBYJGRhQ6zExamkszQ5VutGIcaQqmbD9ZTVXMQ/edit#gid=1251630045"",""articles_with_PRISMA_reasons!Y2:Y2113""), $A237=IMPORTRANGE(""https://docs.google.com/spreadsheets/d/1BJSV3WBYJGRhQ6z"&amp;"ExamkszQ5VutGIcaQqmbD9ZTVXMQ/edit#gid=1251630045"",""articles_with_PRISMA_reasons!B2:B2113""))&gt;=2,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$A237=IMPORTRANGE(""https://docs.google.com/spreadsheets/d/1BJSV3WBYJGRhQ6zExamkszQ5VutGIcaQqmbD9ZTVXMQ/edit#gid=1251630045"",""articles_with_PRISMA_reasons!B2:B2113""))&lt;2),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$A237=IMPORTRANGE(""https://docs.google.com/spreadsheets/d/1BJSV3WBYJGRhQ6zExamkszQ5VutGIcaQqmbD9ZTVXMQ/edit#gid=1251630045"",""arti"&amp;"cles_with_PRISMA_reasons!B2:B2113""))&lt;2,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$A237=IMPORTRANGE(""https://docs.google.com"&amp;"/spreadsheets/d/1BJSV3WBYJGRhQ6zExamkszQ5VutGIcaQqmbD9ZTVXMQ/edit#gid=1251630045"",""articles_with_PRISMA_reasons!B2:B2113""))&gt;=2),
""Exclude""
)"),"Exclude")</f>
        <v>Exclude</v>
      </c>
      <c r="E237" s="5" t="str">
        <f>IFERROR(__xludf.DUMMYFUNCTION("IFS(
D237=""Exclude"",""Exclude"",
AND(
FILTER(IMPORTRANGE(""https://docs.google.com/spreadsheets/d/1qpEmbGH0JjaJbUdp21-y2cPbobDbMjr09BbtdKROZWc/edit#gid=1444865654"",""articles_with_PRISMA_reasons!W2:W2113""), $A237=IMPORTRANGE(""https://docs.google.com/"&amp;"spreadsheets/d/1qpEmbGH0JjaJbUdp21-y2cPbobDbMjr09BbtdKROZWc/edit#gid=1444865654"",""articles_with_PRISMA_reasons!B2:B2113""))&gt;=2,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$A237=IMPORTRANGE(""https://docs.google.com/spreadsheets/d/1qpEmbGH0JjaJbUdp21-y2cPbobDbMjr09BbtdKROZWc/edit#gid=1444865654"",""articles_with_PRISMA_reasons!B2:B2113""))&lt;2),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$A237=IMPORTRANGE(""https://docs.google.com/spreadsheets/d/1qpEmbGH0JjaJbUdp21-y2cPbobDbMjr09BbtdKRO"&amp;"ZWc/edit#gid=1444865654"",""articles_with_PRISMA_reasons!B2:B2113""))&lt;2,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$A237=IMPOR"&amp;"TRANGE(""https://docs.google.com/spreadsheets/d/1qpEmbGH0JjaJbUdp21-y2cPbobDbMjr09BbtdKROZWc/edit#gid=1444865654"",""articles_with_PRISMA_reasons!B2:B2113""))&gt;=2),
""Exclude""
)"),"Exclude")</f>
        <v>Exclude</v>
      </c>
      <c r="F237" s="5" t="str">
        <f>IFERROR(__xludf.DUMMYFUNCTION("IFS(
E237=""Exclude"",""Exclude"",
AND(
COUNTIF(
IMPORTRANGE(""https://docs.google.com/spreadsheets/d/1kGrh75X1cNR1D7_FcY9zMnHP8iPO4M5RCRjy6nZY0TY/edit#gid=0"",""Table 1: Study characteristics!B4:B171""),A237)&gt;0,
COUNTIF(Studies!$A$2:$A$85,FILTER(IMPORTRA"&amp;"NGE(""https://docs.google.com/spreadsheets/d/1kGrh75X1cNR1D7_FcY9zMnHP8iPO4M5RCRjy6nZY0TY/edit#gid=0"",""Table 1: Study characteristics!A4:A171""), $A237=IMPORTRANGE(""https://docs.google.com/spreadsheets/d/1kGrh75X1cNR1D7_FcY9zMnHP8iPO4M5RCRjy6nZY0TY/edi"&amp;"t#gid=0"",""Table 1: Study characteristics!B4:B171"")))&gt;0
),
""Include""
)"),"Exclude")</f>
        <v>Exclude</v>
      </c>
      <c r="G237" s="5" t="str">
        <f>IFERROR(__xludf.DUMMYFUNCTION("IFS(
D237=""Exclude"",
FILTER(IMPORTRANGE(""https://docs.google.com/spreadsheets/d/1BJSV3WBYJGRhQ6zExamkszQ5VutGIcaQqmbD9ZTVXMQ/edit#gid=1251630045"",""articles_with_PRISMA_reasons!AB2:AB2113""), $A237=IMPORTRANGE(""https://docs.google.com/spreadsheets/d/"&amp;"1BJSV3WBYJGRhQ6zExamkszQ5VutGIcaQqmbD9ZTVXMQ/edit#gid=1251630045"",""articles_with_PRISMA_reasons!B2:B2113"")),
E237=""Exclude"",
FILTER(IMPORTRANGE(""https://docs.google.com/spreadsheets/d/1qpEmbGH0JjaJbUdp21-y2cPbobDbMjr09BbtdKROZWc/edit#gid=1444865654"&amp;""",""articles_with_PRISMA_reasons!Z2:Z2113""), $A237=IMPORTRANGE(""https://docs.google.com/spreadsheets/d/1qpEmbGH0JjaJbUdp21-y2cPbobDbMjr09BbtdKROZWc/edit#gid=1444865654"",""articles_with_PRISMA_reasons!B2:B2113"")),F237
=""Include"",FILTER(IMPORTRANGE("&amp;"""https://docs.google.com/spreadsheets/d/1kGrh75X1cNR1D7_FcY9zMnHP8iPO4M5RCRjy6nZY0TY/edit#gid=0"",""Table 1: Study characteristics!A4:A171""), $A237=IMPORTRANGE(""https://docs.google.com/spreadsheets/d/1kGrh75X1cNR1D7_FcY9zMnHP8iPO4M5RCRjy6nZY0TY/edit#gi"&amp;"d=0"",""Table 1: Study characteristics!B4:B171""))
)"),"wrong study design")</f>
        <v>wrong study design</v>
      </c>
    </row>
    <row r="238">
      <c r="A238" s="4" t="str">
        <f>IFERROR(__xludf.DUMMYFUNCTION("""COMPUTED_VALUE"""),"Aggressive surgical management of patients with chiari II malformation and brainstem dysfunction")</f>
        <v>Aggressive surgical management of patients with chiari II malformation and brainstem dysfunction</v>
      </c>
      <c r="B238" s="5" t="str">
        <f>IFERROR(__xludf.DUMMYFUNCTION("LEFT(FILTER(IMPORTRANGE(""https://docs.google.com/spreadsheets/d/1BJSV3WBYJGRhQ6zExamkszQ5VutGIcaQqmbD9ZTVXMQ/edit#gid=1251630045"",""articles_with_PRISMA_reasons!K2:K2113""), $A238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$A238=IMPORTRANGE(""https://docs.google.com/spreadsheets/d/1BJSV3WBYJGRhQ6zExamkszQ5VutGIcaQqmbD9ZTVXMQ/edit#gid=1251630045"",""articles_with_PRISMA_reasons!B2:B2113"")))-1)"),"Rahman")</f>
        <v>Rahman</v>
      </c>
      <c r="C238" s="6">
        <f>IFERROR(__xludf.DUMMYFUNCTION("FILTER(IMPORTRANGE(""https://docs.google.com/spreadsheets/d/1BJSV3WBYJGRhQ6zExamkszQ5VutGIcaQqmbD9ZTVXMQ/edit#gid=1251630045"",""articles_with_PRISMA_reasons!C2:C2113""), $A238=IMPORTRANGE(""https://docs.google.com/spreadsheets/d/1BJSV3WBYJGRhQ6zExamkszQ5"&amp;"VutGIcaQqmbD9ZTVXMQ/edit#gid=1251630045"",""articles_with_PRISMA_reasons!B2:B2113""))"),2009.0)</f>
        <v>2009</v>
      </c>
      <c r="D238" s="5" t="str">
        <f>IFERROR(__xludf.DUMMYFUNCTION("IFS(AND(
FILTER(IMPORTRANGE(""https://docs.google.com/spreadsheets/d/1BJSV3WBYJGRhQ6zExamkszQ5VutGIcaQqmbD9ZTVXMQ/edit#gid=1251630045"",""articles_with_PRISMA_reasons!Y2:Y2113""), $A238=IMPORTRANGE(""https://docs.google.com/spreadsheets/d/1BJSV3WBYJGRhQ6z"&amp;"ExamkszQ5VutGIcaQqmbD9ZTVXMQ/edit#gid=1251630045"",""articles_with_PRISMA_reasons!B2:B2113""))&gt;=2,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$A238=IMPORTRANGE(""https://docs.google.com/spreadsheets/d/1BJSV3WBYJGRhQ6zExamkszQ5VutGIcaQqmbD9ZTVXMQ/edit#gid=1251630045"",""articles_with_PRISMA_reasons!B2:B2113""))&lt;2),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$A238=IMPORTRANGE(""https://docs.google.com/spreadsheets/d/1BJSV3WBYJGRhQ6zExamkszQ5VutGIcaQqmbD9ZTVXMQ/edit#gid=1251630045"",""arti"&amp;"cles_with_PRISMA_reasons!B2:B2113""))&lt;2,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$A238=IMPORTRANGE(""https://docs.google.com"&amp;"/spreadsheets/d/1BJSV3WBYJGRhQ6zExamkszQ5VutGIcaQqmbD9ZTVXMQ/edit#gid=1251630045"",""articles_with_PRISMA_reasons!B2:B2113""))&gt;=2),
""Exclude""
)"),"Exclude")</f>
        <v>Exclude</v>
      </c>
      <c r="E238" s="5" t="str">
        <f>IFERROR(__xludf.DUMMYFUNCTION("IFS(
D238=""Exclude"",""Exclude"",
AND(
FILTER(IMPORTRANGE(""https://docs.google.com/spreadsheets/d/1qpEmbGH0JjaJbUdp21-y2cPbobDbMjr09BbtdKROZWc/edit#gid=1444865654"",""articles_with_PRISMA_reasons!W2:W2113""), $A238=IMPORTRANGE(""https://docs.google.com/"&amp;"spreadsheets/d/1qpEmbGH0JjaJbUdp21-y2cPbobDbMjr09BbtdKROZWc/edit#gid=1444865654"",""articles_with_PRISMA_reasons!B2:B2113""))&gt;=2,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$A238=IMPORTRANGE(""https://docs.google.com/spreadsheets/d/1qpEmbGH0JjaJbUdp21-y2cPbobDbMjr09BbtdKROZWc/edit#gid=1444865654"",""articles_with_PRISMA_reasons!B2:B2113""))&lt;2),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$A238=IMPORTRANGE(""https://docs.google.com/spreadsheets/d/1qpEmbGH0JjaJbUdp21-y2cPbobDbMjr09BbtdKRO"&amp;"ZWc/edit#gid=1444865654"",""articles_with_PRISMA_reasons!B2:B2113""))&lt;2,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$A238=IMPOR"&amp;"TRANGE(""https://docs.google.com/spreadsheets/d/1qpEmbGH0JjaJbUdp21-y2cPbobDbMjr09BbtdKROZWc/edit#gid=1444865654"",""articles_with_PRISMA_reasons!B2:B2113""))&gt;=2),
""Exclude""
)"),"Exclude")</f>
        <v>Exclude</v>
      </c>
      <c r="F238" s="5" t="str">
        <f>IFERROR(__xludf.DUMMYFUNCTION("IFS(
E238=""Exclude"",""Exclude"",
AND(
COUNTIF(
IMPORTRANGE(""https://docs.google.com/spreadsheets/d/1kGrh75X1cNR1D7_FcY9zMnHP8iPO4M5RCRjy6nZY0TY/edit#gid=0"",""Table 1: Study characteristics!B4:B171""),A238)&gt;0,
COUNTIF(Studies!$A$2:$A$85,FILTER(IMPORTRA"&amp;"NGE(""https://docs.google.com/spreadsheets/d/1kGrh75X1cNR1D7_FcY9zMnHP8iPO4M5RCRjy6nZY0TY/edit#gid=0"",""Table 1: Study characteristics!A4:A171""), $A238=IMPORTRANGE(""https://docs.google.com/spreadsheets/d/1kGrh75X1cNR1D7_FcY9zMnHP8iPO4M5RCRjy6nZY0TY/edi"&amp;"t#gid=0"",""Table 1: Study characteristics!B4:B171"")))&gt;0
),
""Include""
)"),"Exclude")</f>
        <v>Exclude</v>
      </c>
      <c r="G238" s="5" t="str">
        <f>IFERROR(__xludf.DUMMYFUNCTION("IFS(
D238=""Exclude"",
FILTER(IMPORTRANGE(""https://docs.google.com/spreadsheets/d/1BJSV3WBYJGRhQ6zExamkszQ5VutGIcaQqmbD9ZTVXMQ/edit#gid=1251630045"",""articles_with_PRISMA_reasons!AB2:AB2113""), $A238=IMPORTRANGE(""https://docs.google.com/spreadsheets/d/"&amp;"1BJSV3WBYJGRhQ6zExamkszQ5VutGIcaQqmbD9ZTVXMQ/edit#gid=1251630045"",""articles_with_PRISMA_reasons!B2:B2113"")),
E238=""Exclude"",
FILTER(IMPORTRANGE(""https://docs.google.com/spreadsheets/d/1qpEmbGH0JjaJbUdp21-y2cPbobDbMjr09BbtdKROZWc/edit#gid=1444865654"&amp;""",""articles_with_PRISMA_reasons!Z2:Z2113""), $A238=IMPORTRANGE(""https://docs.google.com/spreadsheets/d/1qpEmbGH0JjaJbUdp21-y2cPbobDbMjr09BbtdKROZWc/edit#gid=1444865654"",""articles_with_PRISMA_reasons!B2:B2113"")),F238
=""Include"",FILTER(IMPORTRANGE("&amp;"""https://docs.google.com/spreadsheets/d/1kGrh75X1cNR1D7_FcY9zMnHP8iPO4M5RCRjy6nZY0TY/edit#gid=0"",""Table 1: Study characteristics!A4:A171""), $A238=IMPORTRANGE(""https://docs.google.com/spreadsheets/d/1kGrh75X1cNR1D7_FcY9zMnHP8iPO4M5RCRjy6nZY0TY/edit#gi"&amp;"d=0"",""Table 1: Study characteristics!B4:B171""))
)"),"duplicate")</f>
        <v>duplicate</v>
      </c>
    </row>
    <row r="239">
      <c r="A239" s="4" t="str">
        <f>IFERROR(__xludf.DUMMYFUNCTION("""COMPUTED_VALUE"""),"AIR-PANTOPAQUE VENTRICULOGRAPHY IN CONGENITAL HYDROCEPHALUS AND MYELOMENINGOCELE")</f>
        <v>AIR-PANTOPAQUE VENTRICULOGRAPHY IN CONGENITAL HYDROCEPHALUS AND MYELOMENINGOCELE</v>
      </c>
      <c r="B239" s="5" t="str">
        <f>IFERROR(__xludf.DUMMYFUNCTION("LEFT(FILTER(IMPORTRANGE(""https://docs.google.com/spreadsheets/d/1BJSV3WBYJGRhQ6zExamkszQ5VutGIcaQqmbD9ZTVXMQ/edit#gid=1251630045"",""articles_with_PRISMA_reasons!K2:K2113""), $A239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$A239=IMPORTRANGE(""https://docs.google.com/spreadsheets/d/1BJSV3WBYJGRhQ6zExamkszQ5VutGIcaQqmbD9ZTVXMQ/edit#gid=1251630045"",""articles_with_PRISMA_reasons!B2:B2113"")))-1)"),"Papatheodorou")</f>
        <v>Papatheodorou</v>
      </c>
      <c r="C239" s="6">
        <f>IFERROR(__xludf.DUMMYFUNCTION("FILTER(IMPORTRANGE(""https://docs.google.com/spreadsheets/d/1BJSV3WBYJGRhQ6zExamkszQ5VutGIcaQqmbD9ZTVXMQ/edit#gid=1251630045"",""articles_with_PRISMA_reasons!C2:C2113""), $A239=IMPORTRANGE(""https://docs.google.com/spreadsheets/d/1BJSV3WBYJGRhQ6zExamkszQ5"&amp;"VutGIcaQqmbD9ZTVXMQ/edit#gid=1251630045"",""articles_with_PRISMA_reasons!B2:B2113""))"),1964.0)</f>
        <v>1964</v>
      </c>
      <c r="D239" s="5" t="str">
        <f>IFERROR(__xludf.DUMMYFUNCTION("IFS(AND(
FILTER(IMPORTRANGE(""https://docs.google.com/spreadsheets/d/1BJSV3WBYJGRhQ6zExamkszQ5VutGIcaQqmbD9ZTVXMQ/edit#gid=1251630045"",""articles_with_PRISMA_reasons!Y2:Y2113""), $A239=IMPORTRANGE(""https://docs.google.com/spreadsheets/d/1BJSV3WBYJGRhQ6z"&amp;"ExamkszQ5VutGIcaQqmbD9ZTVXMQ/edit#gid=1251630045"",""articles_with_PRISMA_reasons!B2:B2113""))&gt;=2,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$A239=IMPORTRANGE(""https://docs.google.com/spreadsheets/d/1BJSV3WBYJGRhQ6zExamkszQ5VutGIcaQqmbD9ZTVXMQ/edit#gid=1251630045"",""articles_with_PRISMA_reasons!B2:B2113""))&lt;2),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$A239=IMPORTRANGE(""https://docs.google.com/spreadsheets/d/1BJSV3WBYJGRhQ6zExamkszQ5VutGIcaQqmbD9ZTVXMQ/edit#gid=1251630045"",""arti"&amp;"cles_with_PRISMA_reasons!B2:B2113""))&lt;2,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$A239=IMPORTRANGE(""https://docs.google.com"&amp;"/spreadsheets/d/1BJSV3WBYJGRhQ6zExamkszQ5VutGIcaQqmbD9ZTVXMQ/edit#gid=1251630045"",""articles_with_PRISMA_reasons!B2:B2113""))&gt;=2),
""Exclude""
)"),"Exclude")</f>
        <v>Exclude</v>
      </c>
      <c r="E239" s="5" t="str">
        <f>IFERROR(__xludf.DUMMYFUNCTION("IFS(
D239=""Exclude"",""Exclude"",
AND(
FILTER(IMPORTRANGE(""https://docs.google.com/spreadsheets/d/1qpEmbGH0JjaJbUdp21-y2cPbobDbMjr09BbtdKROZWc/edit#gid=1444865654"",""articles_with_PRISMA_reasons!W2:W2113""), $A239=IMPORTRANGE(""https://docs.google.com/"&amp;"spreadsheets/d/1qpEmbGH0JjaJbUdp21-y2cPbobDbMjr09BbtdKROZWc/edit#gid=1444865654"",""articles_with_PRISMA_reasons!B2:B2113""))&gt;=2,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$A239=IMPORTRANGE(""https://docs.google.com/spreadsheets/d/1qpEmbGH0JjaJbUdp21-y2cPbobDbMjr09BbtdKROZWc/edit#gid=1444865654"",""articles_with_PRISMA_reasons!B2:B2113""))&lt;2),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$A239=IMPORTRANGE(""https://docs.google.com/spreadsheets/d/1qpEmbGH0JjaJbUdp21-y2cPbobDbMjr09BbtdKRO"&amp;"ZWc/edit#gid=1444865654"",""articles_with_PRISMA_reasons!B2:B2113""))&lt;2,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$A239=IMPOR"&amp;"TRANGE(""https://docs.google.com/spreadsheets/d/1qpEmbGH0JjaJbUdp21-y2cPbobDbMjr09BbtdKROZWc/edit#gid=1444865654"",""articles_with_PRISMA_reasons!B2:B2113""))&gt;=2),
""Exclude""
)"),"Exclude")</f>
        <v>Exclude</v>
      </c>
      <c r="F239" s="5" t="str">
        <f>IFERROR(__xludf.DUMMYFUNCTION("IFS(
E239=""Exclude"",""Exclude"",
AND(
COUNTIF(
IMPORTRANGE(""https://docs.google.com/spreadsheets/d/1kGrh75X1cNR1D7_FcY9zMnHP8iPO4M5RCRjy6nZY0TY/edit#gid=0"",""Table 1: Study characteristics!B4:B171""),A239)&gt;0,
COUNTIF(Studies!$A$2:$A$85,FILTER(IMPORTRA"&amp;"NGE(""https://docs.google.com/spreadsheets/d/1kGrh75X1cNR1D7_FcY9zMnHP8iPO4M5RCRjy6nZY0TY/edit#gid=0"",""Table 1: Study characteristics!A4:A171""), $A239=IMPORTRANGE(""https://docs.google.com/spreadsheets/d/1kGrh75X1cNR1D7_FcY9zMnHP8iPO4M5RCRjy6nZY0TY/edi"&amp;"t#gid=0"",""Table 1: Study characteristics!B4:B171"")))&gt;0
),
""Include""
)"),"Exclude")</f>
        <v>Exclude</v>
      </c>
      <c r="G239" s="5" t="str">
        <f>IFERROR(__xludf.DUMMYFUNCTION("IFS(
D239=""Exclude"",
FILTER(IMPORTRANGE(""https://docs.google.com/spreadsheets/d/1BJSV3WBYJGRhQ6zExamkszQ5VutGIcaQqmbD9ZTVXMQ/edit#gid=1251630045"",""articles_with_PRISMA_reasons!AB2:AB2113""), $A239=IMPORTRANGE(""https://docs.google.com/spreadsheets/d/"&amp;"1BJSV3WBYJGRhQ6zExamkszQ5VutGIcaQqmbD9ZTVXMQ/edit#gid=1251630045"",""articles_with_PRISMA_reasons!B2:B2113"")),
E239=""Exclude"",
FILTER(IMPORTRANGE(""https://docs.google.com/spreadsheets/d/1qpEmbGH0JjaJbUdp21-y2cPbobDbMjr09BbtdKROZWc/edit#gid=1444865654"&amp;""",""articles_with_PRISMA_reasons!Z2:Z2113""), $A239=IMPORTRANGE(""https://docs.google.com/spreadsheets/d/1qpEmbGH0JjaJbUdp21-y2cPbobDbMjr09BbtdKROZWc/edit#gid=1444865654"",""articles_with_PRISMA_reasons!B2:B2113"")),F239
=""Include"",FILTER(IMPORTRANGE("&amp;"""https://docs.google.com/spreadsheets/d/1kGrh75X1cNR1D7_FcY9zMnHP8iPO4M5RCRjy6nZY0TY/edit#gid=0"",""Table 1: Study characteristics!A4:A171""), $A239=IMPORTRANGE(""https://docs.google.com/spreadsheets/d/1kGrh75X1cNR1D7_FcY9zMnHP8iPO4M5RCRjy6nZY0TY/edit#gi"&amp;"d=0"",""Table 1: Study characteristics!B4:B171""))
)"),"wrong study design")</f>
        <v>wrong study design</v>
      </c>
    </row>
    <row r="240">
      <c r="A240" s="4" t="str">
        <f>IFERROR(__xludf.DUMMYFUNCTION("""COMPUTED_VALUE"""),"Air, Myodil and Conray studies in the hydrocephalus of myelomeningocele")</f>
        <v>Air, Myodil and Conray studies in the hydrocephalus of myelomeningocele</v>
      </c>
      <c r="B240" s="5" t="str">
        <f>IFERROR(__xludf.DUMMYFUNCTION("LEFT(FILTER(IMPORTRANGE(""https://docs.google.com/spreadsheets/d/1BJSV3WBYJGRhQ6zExamkszQ5VutGIcaQqmbD9ZTVXMQ/edit#gid=1251630045"",""articles_with_PRISMA_reasons!K2:K2113""), $A240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$A240=IMPORTRANGE(""https://docs.google.com/spreadsheets/d/1BJSV3WBYJGRhQ6zExamkszQ5VutGIcaQqmbD9ZTVXMQ/edit#gid=1251630045"",""articles_with_PRISMA_reasons!B2:B2113"")))-1)"),"Drummond")</f>
        <v>Drummond</v>
      </c>
      <c r="C240" s="6">
        <f>IFERROR(__xludf.DUMMYFUNCTION("FILTER(IMPORTRANGE(""https://docs.google.com/spreadsheets/d/1BJSV3WBYJGRhQ6zExamkszQ5VutGIcaQqmbD9ZTVXMQ/edit#gid=1251630045"",""articles_with_PRISMA_reasons!C2:C2113""), $A240=IMPORTRANGE(""https://docs.google.com/spreadsheets/d/1BJSV3WBYJGRhQ6zExamkszQ5"&amp;"VutGIcaQqmbD9ZTVXMQ/edit#gid=1251630045"",""articles_with_PRISMA_reasons!B2:B2113""))"),1974.0)</f>
        <v>1974</v>
      </c>
      <c r="D240" s="5" t="str">
        <f>IFERROR(__xludf.DUMMYFUNCTION("IFS(AND(
FILTER(IMPORTRANGE(""https://docs.google.com/spreadsheets/d/1BJSV3WBYJGRhQ6zExamkszQ5VutGIcaQqmbD9ZTVXMQ/edit#gid=1251630045"",""articles_with_PRISMA_reasons!Y2:Y2113""), $A240=IMPORTRANGE(""https://docs.google.com/spreadsheets/d/1BJSV3WBYJGRhQ6z"&amp;"ExamkszQ5VutGIcaQqmbD9ZTVXMQ/edit#gid=1251630045"",""articles_with_PRISMA_reasons!B2:B2113""))&gt;=2,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$A240=IMPORTRANGE(""https://docs.google.com/spreadsheets/d/1BJSV3WBYJGRhQ6zExamkszQ5VutGIcaQqmbD9ZTVXMQ/edit#gid=1251630045"",""articles_with_PRISMA_reasons!B2:B2113""))&lt;2),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$A240=IMPORTRANGE(""https://docs.google.com/spreadsheets/d/1BJSV3WBYJGRhQ6zExamkszQ5VutGIcaQqmbD9ZTVXMQ/edit#gid=1251630045"",""arti"&amp;"cles_with_PRISMA_reasons!B2:B2113""))&lt;2,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$A240=IMPORTRANGE(""https://docs.google.com"&amp;"/spreadsheets/d/1BJSV3WBYJGRhQ6zExamkszQ5VutGIcaQqmbD9ZTVXMQ/edit#gid=1251630045"",""articles_with_PRISMA_reasons!B2:B2113""))&gt;=2),
""Exclude""
)"),"Include")</f>
        <v>Include</v>
      </c>
      <c r="E240" s="5" t="str">
        <f>IFERROR(__xludf.DUMMYFUNCTION("IFS(
D240=""Exclude"",""Exclude"",
AND(
FILTER(IMPORTRANGE(""https://docs.google.com/spreadsheets/d/1qpEmbGH0JjaJbUdp21-y2cPbobDbMjr09BbtdKROZWc/edit#gid=1444865654"",""articles_with_PRISMA_reasons!W2:W2113""), $A240=IMPORTRANGE(""https://docs.google.com/"&amp;"spreadsheets/d/1qpEmbGH0JjaJbUdp21-y2cPbobDbMjr09BbtdKROZWc/edit#gid=1444865654"",""articles_with_PRISMA_reasons!B2:B2113""))&gt;=2,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$A240=IMPORTRANGE(""https://docs.google.com/spreadsheets/d/1qpEmbGH0JjaJbUdp21-y2cPbobDbMjr09BbtdKROZWc/edit#gid=1444865654"",""articles_with_PRISMA_reasons!B2:B2113""))&lt;2),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$A240=IMPORTRANGE(""https://docs.google.com/spreadsheets/d/1qpEmbGH0JjaJbUdp21-y2cPbobDbMjr09BbtdKRO"&amp;"ZWc/edit#gid=1444865654"",""articles_with_PRISMA_reasons!B2:B2113""))&lt;2,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$A240=IMPOR"&amp;"TRANGE(""https://docs.google.com/spreadsheets/d/1qpEmbGH0JjaJbUdp21-y2cPbobDbMjr09BbtdKROZWc/edit#gid=1444865654"",""articles_with_PRISMA_reasons!B2:B2113""))&gt;=2),
""Exclude""
)"),"Include")</f>
        <v>Include</v>
      </c>
      <c r="F240" s="2" t="s">
        <v>8</v>
      </c>
      <c r="G240" s="2" t="s">
        <v>9</v>
      </c>
    </row>
    <row r="241">
      <c r="A241" s="4" t="str">
        <f>IFERROR(__xludf.DUMMYFUNCTION("""COMPUTED_VALUE"""),"Airway obstruction due to vocal cord paralysis in infants with hydrocephalus and meningomyelocele")</f>
        <v>Airway obstruction due to vocal cord paralysis in infants with hydrocephalus and meningomyelocele</v>
      </c>
      <c r="B241" s="5" t="str">
        <f>IFERROR(__xludf.DUMMYFUNCTION("LEFT(FILTER(IMPORTRANGE(""https://docs.google.com/spreadsheets/d/1BJSV3WBYJGRhQ6zExamkszQ5VutGIcaQqmbD9ZTVXMQ/edit#gid=1251630045"",""articles_with_PRISMA_reasons!K2:K2113""), $A241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$A241=IMPORTRANGE(""https://docs.google.com/spreadsheets/d/1BJSV3WBYJGRhQ6zExamkszQ5VutGIcaQqmbD9ZTVXMQ/edit#gid=1251630045"",""articles_with_PRISMA_reasons!B2:B2113"")))-1)"),"Bluestone")</f>
        <v>Bluestone</v>
      </c>
      <c r="C241" s="6">
        <f>IFERROR(__xludf.DUMMYFUNCTION("FILTER(IMPORTRANGE(""https://docs.google.com/spreadsheets/d/1BJSV3WBYJGRhQ6zExamkszQ5VutGIcaQqmbD9ZTVXMQ/edit#gid=1251630045"",""articles_with_PRISMA_reasons!C2:C2113""), $A241=IMPORTRANGE(""https://docs.google.com/spreadsheets/d/1BJSV3WBYJGRhQ6zExamkszQ5"&amp;"VutGIcaQqmbD9ZTVXMQ/edit#gid=1251630045"",""articles_with_PRISMA_reasons!B2:B2113""))"),1972.0)</f>
        <v>1972</v>
      </c>
      <c r="D241" s="5" t="str">
        <f>IFERROR(__xludf.DUMMYFUNCTION("IFS(AND(
FILTER(IMPORTRANGE(""https://docs.google.com/spreadsheets/d/1BJSV3WBYJGRhQ6zExamkszQ5VutGIcaQqmbD9ZTVXMQ/edit#gid=1251630045"",""articles_with_PRISMA_reasons!Y2:Y2113""), $A241=IMPORTRANGE(""https://docs.google.com/spreadsheets/d/1BJSV3WBYJGRhQ6z"&amp;"ExamkszQ5VutGIcaQqmbD9ZTVXMQ/edit#gid=1251630045"",""articles_with_PRISMA_reasons!B2:B2113""))&gt;=2,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$A241=IMPORTRANGE(""https://docs.google.com/spreadsheets/d/1BJSV3WBYJGRhQ6zExamkszQ5VutGIcaQqmbD9ZTVXMQ/edit#gid=1251630045"",""articles_with_PRISMA_reasons!B2:B2113""))&lt;2),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$A241=IMPORTRANGE(""https://docs.google.com/spreadsheets/d/1BJSV3WBYJGRhQ6zExamkszQ5VutGIcaQqmbD9ZTVXMQ/edit#gid=1251630045"",""arti"&amp;"cles_with_PRISMA_reasons!B2:B2113""))&lt;2,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$A241=IMPORTRANGE(""https://docs.google.com"&amp;"/spreadsheets/d/1BJSV3WBYJGRhQ6zExamkszQ5VutGIcaQqmbD9ZTVXMQ/edit#gid=1251630045"",""articles_with_PRISMA_reasons!B2:B2113""))&gt;=2),
""Exclude""
)"),"Include")</f>
        <v>Include</v>
      </c>
      <c r="E241" s="5" t="str">
        <f>IFERROR(__xludf.DUMMYFUNCTION("IFS(
D241=""Exclude"",""Exclude"",
AND(
FILTER(IMPORTRANGE(""https://docs.google.com/spreadsheets/d/1qpEmbGH0JjaJbUdp21-y2cPbobDbMjr09BbtdKROZWc/edit#gid=1444865654"",""articles_with_PRISMA_reasons!W2:W2113""), $A241=IMPORTRANGE(""https://docs.google.com/"&amp;"spreadsheets/d/1qpEmbGH0JjaJbUdp21-y2cPbobDbMjr09BbtdKROZWc/edit#gid=1444865654"",""articles_with_PRISMA_reasons!B2:B2113""))&gt;=2,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$A241=IMPORTRANGE(""https://docs.google.com/spreadsheets/d/1qpEmbGH0JjaJbUdp21-y2cPbobDbMjr09BbtdKROZWc/edit#gid=1444865654"",""articles_with_PRISMA_reasons!B2:B2113""))&lt;2),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$A241=IMPORTRANGE(""https://docs.google.com/spreadsheets/d/1qpEmbGH0JjaJbUdp21-y2cPbobDbMjr09BbtdKRO"&amp;"ZWc/edit#gid=1444865654"",""articles_with_PRISMA_reasons!B2:B2113""))&lt;2,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$A241=IMPOR"&amp;"TRANGE(""https://docs.google.com/spreadsheets/d/1qpEmbGH0JjaJbUdp21-y2cPbobDbMjr09BbtdKROZWc/edit#gid=1444865654"",""articles_with_PRISMA_reasons!B2:B2113""))&gt;=2),
""Exclude""
)"),"Include")</f>
        <v>Include</v>
      </c>
      <c r="F241" s="5" t="str">
        <f>IFERROR(__xludf.DUMMYFUNCTION("IFS(
E241=""Exclude"",""Exclude"",
AND(
COUNTIF(
IMPORTRANGE(""https://docs.google.com/spreadsheets/d/1kGrh75X1cNR1D7_FcY9zMnHP8iPO4M5RCRjy6nZY0TY/edit#gid=0"",""Table 1: Study characteristics!B4:B171""),A241)&gt;0,
COUNTIF(Studies!$A$2:$A$85,FILTER(IMPORTRA"&amp;"NGE(""https://docs.google.com/spreadsheets/d/1kGrh75X1cNR1D7_FcY9zMnHP8iPO4M5RCRjy6nZY0TY/edit#gid=0"",""Table 1: Study characteristics!A4:A171""), $A241=IMPORTRANGE(""https://docs.google.com/spreadsheets/d/1kGrh75X1cNR1D7_FcY9zMnHP8iPO4M5RCRjy6nZY0TY/edi"&amp;"t#gid=0"",""Table 1: Study characteristics!B4:B171"")))&gt;0
),
""Include""
)"),"Include")</f>
        <v>Include</v>
      </c>
      <c r="G241" s="5" t="str">
        <f>IFERROR(__xludf.DUMMYFUNCTION("IFS(
D241=""Exclude"",
FILTER(IMPORTRANGE(""https://docs.google.com/spreadsheets/d/1BJSV3WBYJGRhQ6zExamkszQ5VutGIcaQqmbD9ZTVXMQ/edit#gid=1251630045"",""articles_with_PRISMA_reasons!AB2:AB2113""), $A241=IMPORTRANGE(""https://docs.google.com/spreadsheets/d/"&amp;"1BJSV3WBYJGRhQ6zExamkszQ5VutGIcaQqmbD9ZTVXMQ/edit#gid=1251630045"",""articles_with_PRISMA_reasons!B2:B2113"")),
E241=""Exclude"",
FILTER(IMPORTRANGE(""https://docs.google.com/spreadsheets/d/1qpEmbGH0JjaJbUdp21-y2cPbobDbMjr09BbtdKROZWc/edit#gid=1444865654"&amp;""",""articles_with_PRISMA_reasons!Z2:Z2113""), $A241=IMPORTRANGE(""https://docs.google.com/spreadsheets/d/1qpEmbGH0JjaJbUdp21-y2cPbobDbMjr09BbtdKROZWc/edit#gid=1444865654"",""articles_with_PRISMA_reasons!B2:B2113"")),F241
=""Include"",FILTER(IMPORTRANGE("&amp;"""https://docs.google.com/spreadsheets/d/1kGrh75X1cNR1D7_FcY9zMnHP8iPO4M5RCRjy6nZY0TY/edit#gid=0"",""Table 1: Study characteristics!A4:A171""), $A241=IMPORTRANGE(""https://docs.google.com/spreadsheets/d/1kGrh75X1cNR1D7_FcY9zMnHP8iPO4M5RCRjy6nZY0TY/edit#gi"&amp;"d=0"",""Table 1: Study characteristics!B4:B171""))
)"),"ID 8")</f>
        <v>ID 8</v>
      </c>
    </row>
    <row r="242">
      <c r="A242" s="4" t="str">
        <f>IFERROR(__xludf.DUMMYFUNCTION("""COMPUTED_VALUE"""),"Alobar holoprosencephaly associated with meningomyelocoele and omphalocoele: An unusual coexistence")</f>
        <v>Alobar holoprosencephaly associated with meningomyelocoele and omphalocoele: An unusual coexistence</v>
      </c>
      <c r="B242" s="5" t="str">
        <f>IFERROR(__xludf.DUMMYFUNCTION("LEFT(FILTER(IMPORTRANGE(""https://docs.google.com/spreadsheets/d/1BJSV3WBYJGRhQ6zExamkszQ5VutGIcaQqmbD9ZTVXMQ/edit#gid=1251630045"",""articles_with_PRISMA_reasons!K2:K2113""), $A242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$A242=IMPORTRANGE(""https://docs.google.com/spreadsheets/d/1BJSV3WBYJGRhQ6zExamkszQ5VutGIcaQqmbD9ZTVXMQ/edit#gid=1251630045"",""articles_with_PRISMA_reasons!B2:B2113"")))-1)"),"Waghmare")</f>
        <v>Waghmare</v>
      </c>
      <c r="C242" s="6">
        <f>IFERROR(__xludf.DUMMYFUNCTION("FILTER(IMPORTRANGE(""https://docs.google.com/spreadsheets/d/1BJSV3WBYJGRhQ6zExamkszQ5VutGIcaQqmbD9ZTVXMQ/edit#gid=1251630045"",""articles_with_PRISMA_reasons!C2:C2113""), $A242=IMPORTRANGE(""https://docs.google.com/spreadsheets/d/1BJSV3WBYJGRhQ6zExamkszQ5"&amp;"VutGIcaQqmbD9ZTVXMQ/edit#gid=1251630045"",""articles_with_PRISMA_reasons!B2:B2113""))"),2016.0)</f>
        <v>2016</v>
      </c>
      <c r="D242" s="5" t="str">
        <f>IFERROR(__xludf.DUMMYFUNCTION("IFS(AND(
FILTER(IMPORTRANGE(""https://docs.google.com/spreadsheets/d/1BJSV3WBYJGRhQ6zExamkszQ5VutGIcaQqmbD9ZTVXMQ/edit#gid=1251630045"",""articles_with_PRISMA_reasons!Y2:Y2113""), $A242=IMPORTRANGE(""https://docs.google.com/spreadsheets/d/1BJSV3WBYJGRhQ6z"&amp;"ExamkszQ5VutGIcaQqmbD9ZTVXMQ/edit#gid=1251630045"",""articles_with_PRISMA_reasons!B2:B2113""))&gt;=2,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$A242=IMPORTRANGE(""https://docs.google.com/spreadsheets/d/1BJSV3WBYJGRhQ6zExamkszQ5VutGIcaQqmbD9ZTVXMQ/edit#gid=1251630045"",""articles_with_PRISMA_reasons!B2:B2113""))&lt;2),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$A242=IMPORTRANGE(""https://docs.google.com/spreadsheets/d/1BJSV3WBYJGRhQ6zExamkszQ5VutGIcaQqmbD9ZTVXMQ/edit#gid=1251630045"",""arti"&amp;"cles_with_PRISMA_reasons!B2:B2113""))&lt;2,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$A242=IMPORTRANGE(""https://docs.google.com"&amp;"/spreadsheets/d/1BJSV3WBYJGRhQ6zExamkszQ5VutGIcaQqmbD9ZTVXMQ/edit#gid=1251630045"",""articles_with_PRISMA_reasons!B2:B2113""))&gt;=2),
""Exclude""
)"),"Exclude")</f>
        <v>Exclude</v>
      </c>
      <c r="E242" s="5" t="str">
        <f>IFERROR(__xludf.DUMMYFUNCTION("IFS(
D242=""Exclude"",""Exclude"",
AND(
FILTER(IMPORTRANGE(""https://docs.google.com/spreadsheets/d/1qpEmbGH0JjaJbUdp21-y2cPbobDbMjr09BbtdKROZWc/edit#gid=1444865654"",""articles_with_PRISMA_reasons!W2:W2113""), $A242=IMPORTRANGE(""https://docs.google.com/"&amp;"spreadsheets/d/1qpEmbGH0JjaJbUdp21-y2cPbobDbMjr09BbtdKROZWc/edit#gid=1444865654"",""articles_with_PRISMA_reasons!B2:B2113""))&gt;=2,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$A242=IMPORTRANGE(""https://docs.google.com/spreadsheets/d/1qpEmbGH0JjaJbUdp21-y2cPbobDbMjr09BbtdKROZWc/edit#gid=1444865654"",""articles_with_PRISMA_reasons!B2:B2113""))&lt;2),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$A242=IMPORTRANGE(""https://docs.google.com/spreadsheets/d/1qpEmbGH0JjaJbUdp21-y2cPbobDbMjr09BbtdKRO"&amp;"ZWc/edit#gid=1444865654"",""articles_with_PRISMA_reasons!B2:B2113""))&lt;2,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$A242=IMPOR"&amp;"TRANGE(""https://docs.google.com/spreadsheets/d/1qpEmbGH0JjaJbUdp21-y2cPbobDbMjr09BbtdKROZWc/edit#gid=1444865654"",""articles_with_PRISMA_reasons!B2:B2113""))&gt;=2),
""Exclude""
)"),"Exclude")</f>
        <v>Exclude</v>
      </c>
      <c r="F242" s="5" t="str">
        <f>IFERROR(__xludf.DUMMYFUNCTION("IFS(
E242=""Exclude"",""Exclude"",
AND(
COUNTIF(
IMPORTRANGE(""https://docs.google.com/spreadsheets/d/1kGrh75X1cNR1D7_FcY9zMnHP8iPO4M5RCRjy6nZY0TY/edit#gid=0"",""Table 1: Study characteristics!B4:B171""),A242)&gt;0,
COUNTIF(Studies!$A$2:$A$85,FILTER(IMPORTRA"&amp;"NGE(""https://docs.google.com/spreadsheets/d/1kGrh75X1cNR1D7_FcY9zMnHP8iPO4M5RCRjy6nZY0TY/edit#gid=0"",""Table 1: Study characteristics!A4:A171""), $A242=IMPORTRANGE(""https://docs.google.com/spreadsheets/d/1kGrh75X1cNR1D7_FcY9zMnHP8iPO4M5RCRjy6nZY0TY/edi"&amp;"t#gid=0"",""Table 1: Study characteristics!B4:B171"")))&gt;0
),
""Include""
)"),"Exclude")</f>
        <v>Exclude</v>
      </c>
      <c r="G242" s="5" t="str">
        <f>IFERROR(__xludf.DUMMYFUNCTION("IFS(
D242=""Exclude"",
FILTER(IMPORTRANGE(""https://docs.google.com/spreadsheets/d/1BJSV3WBYJGRhQ6zExamkszQ5VutGIcaQqmbD9ZTVXMQ/edit#gid=1251630045"",""articles_with_PRISMA_reasons!AB2:AB2113""), $A242=IMPORTRANGE(""https://docs.google.com/spreadsheets/d/"&amp;"1BJSV3WBYJGRhQ6zExamkszQ5VutGIcaQqmbD9ZTVXMQ/edit#gid=1251630045"",""articles_with_PRISMA_reasons!B2:B2113"")),
E242=""Exclude"",
FILTER(IMPORTRANGE(""https://docs.google.com/spreadsheets/d/1qpEmbGH0JjaJbUdp21-y2cPbobDbMjr09BbtdKROZWc/edit#gid=1444865654"&amp;""",""articles_with_PRISMA_reasons!Z2:Z2113""), $A242=IMPORTRANGE(""https://docs.google.com/spreadsheets/d/1qpEmbGH0JjaJbUdp21-y2cPbobDbMjr09BbtdKROZWc/edit#gid=1444865654"",""articles_with_PRISMA_reasons!B2:B2113"")),F242
=""Include"",FILTER(IMPORTRANGE("&amp;"""https://docs.google.com/spreadsheets/d/1kGrh75X1cNR1D7_FcY9zMnHP8iPO4M5RCRjy6nZY0TY/edit#gid=0"",""Table 1: Study characteristics!A4:A171""), $A242=IMPORTRANGE(""https://docs.google.com/spreadsheets/d/1kGrh75X1cNR1D7_FcY9zMnHP8iPO4M5RCRjy6nZY0TY/edit#gi"&amp;"d=0"",""Table 1: Study characteristics!B4:B171""))
)"),"wrong study design")</f>
        <v>wrong study design</v>
      </c>
    </row>
    <row r="243">
      <c r="A243" s="4" t="str">
        <f>IFERROR(__xludf.DUMMYFUNCTION("""COMPUTED_VALUE"""),"Alterations in skull base anatomy in intrauterine and postnatal repaired myelomeningoceles")</f>
        <v>Alterations in skull base anatomy in intrauterine and postnatal repaired myelomeningoceles</v>
      </c>
      <c r="B243" s="5" t="str">
        <f>IFERROR(__xludf.DUMMYFUNCTION("LEFT(FILTER(IMPORTRANGE(""https://docs.google.com/spreadsheets/d/1BJSV3WBYJGRhQ6zExamkszQ5VutGIcaQqmbD9ZTVXMQ/edit#gid=1251630045"",""articles_with_PRISMA_reasons!K2:K2113""), $A243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$A243=IMPORTRANGE(""https://docs.google.com/spreadsheets/d/1BJSV3WBYJGRhQ6zExamkszQ5VutGIcaQqmbD9ZTVXMQ/edit#gid=1251630045"",""articles_with_PRISMA_reasons!B2:B2113"")))-1)"),"da Costa")</f>
        <v>da Costa</v>
      </c>
      <c r="C243" s="6">
        <f>IFERROR(__xludf.DUMMYFUNCTION("FILTER(IMPORTRANGE(""https://docs.google.com/spreadsheets/d/1BJSV3WBYJGRhQ6zExamkszQ5VutGIcaQqmbD9ZTVXMQ/edit#gid=1251630045"",""articles_with_PRISMA_reasons!C2:C2113""), $A243=IMPORTRANGE(""https://docs.google.com/spreadsheets/d/1BJSV3WBYJGRhQ6zExamkszQ5"&amp;"VutGIcaQqmbD9ZTVXMQ/edit#gid=1251630045"",""articles_with_PRISMA_reasons!B2:B2113""))"),2020.0)</f>
        <v>2020</v>
      </c>
      <c r="D243" s="5" t="str">
        <f>IFERROR(__xludf.DUMMYFUNCTION("IFS(AND(
FILTER(IMPORTRANGE(""https://docs.google.com/spreadsheets/d/1BJSV3WBYJGRhQ6zExamkszQ5VutGIcaQqmbD9ZTVXMQ/edit#gid=1251630045"",""articles_with_PRISMA_reasons!Y2:Y2113""), $A243=IMPORTRANGE(""https://docs.google.com/spreadsheets/d/1BJSV3WBYJGRhQ6z"&amp;"ExamkszQ5VutGIcaQqmbD9ZTVXMQ/edit#gid=1251630045"",""articles_with_PRISMA_reasons!B2:B2113""))&gt;=2,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$A243=IMPORTRANGE(""https://docs.google.com/spreadsheets/d/1BJSV3WBYJGRhQ6zExamkszQ5VutGIcaQqmbD9ZTVXMQ/edit#gid=1251630045"",""articles_with_PRISMA_reasons!B2:B2113""))&lt;2),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$A243=IMPORTRANGE(""https://docs.google.com/spreadsheets/d/1BJSV3WBYJGRhQ6zExamkszQ5VutGIcaQqmbD9ZTVXMQ/edit#gid=1251630045"",""arti"&amp;"cles_with_PRISMA_reasons!B2:B2113""))&lt;2,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$A243=IMPORTRANGE(""https://docs.google.com"&amp;"/spreadsheets/d/1BJSV3WBYJGRhQ6zExamkszQ5VutGIcaQqmbD9ZTVXMQ/edit#gid=1251630045"",""articles_with_PRISMA_reasons!B2:B2113""))&gt;=2),
""Exclude""
)"),"Include")</f>
        <v>Include</v>
      </c>
      <c r="E243" s="5" t="str">
        <f>IFERROR(__xludf.DUMMYFUNCTION("IFS(
D243=""Exclude"",""Exclude"",
AND(
FILTER(IMPORTRANGE(""https://docs.google.com/spreadsheets/d/1qpEmbGH0JjaJbUdp21-y2cPbobDbMjr09BbtdKROZWc/edit#gid=1444865654"",""articles_with_PRISMA_reasons!W2:W2113""), $A243=IMPORTRANGE(""https://docs.google.com/"&amp;"spreadsheets/d/1qpEmbGH0JjaJbUdp21-y2cPbobDbMjr09BbtdKROZWc/edit#gid=1444865654"",""articles_with_PRISMA_reasons!B2:B2113""))&gt;=2,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$A243=IMPORTRANGE(""https://docs.google.com/spreadsheets/d/1qpEmbGH0JjaJbUdp21-y2cPbobDbMjr09BbtdKROZWc/edit#gid=1444865654"",""articles_with_PRISMA_reasons!B2:B2113""))&lt;2),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$A243=IMPORTRANGE(""https://docs.google.com/spreadsheets/d/1qpEmbGH0JjaJbUdp21-y2cPbobDbMjr09BbtdKRO"&amp;"ZWc/edit#gid=1444865654"",""articles_with_PRISMA_reasons!B2:B2113""))&lt;2,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$A243=IMPOR"&amp;"TRANGE(""https://docs.google.com/spreadsheets/d/1qpEmbGH0JjaJbUdp21-y2cPbobDbMjr09BbtdKROZWc/edit#gid=1444865654"",""articles_with_PRISMA_reasons!B2:B2113""))&gt;=2),
""Exclude""
)"),"Exclude")</f>
        <v>Exclude</v>
      </c>
      <c r="F243" s="5" t="str">
        <f>IFERROR(__xludf.DUMMYFUNCTION("IFS(
E243=""Exclude"",""Exclude"",
AND(
COUNTIF(
IMPORTRANGE(""https://docs.google.com/spreadsheets/d/1kGrh75X1cNR1D7_FcY9zMnHP8iPO4M5RCRjy6nZY0TY/edit#gid=0"",""Table 1: Study characteristics!B4:B171""),A243)&gt;0,
COUNTIF(Studies!$A$2:$A$85,FILTER(IMPORTRA"&amp;"NGE(""https://docs.google.com/spreadsheets/d/1kGrh75X1cNR1D7_FcY9zMnHP8iPO4M5RCRjy6nZY0TY/edit#gid=0"",""Table 1: Study characteristics!A4:A171""), $A243=IMPORTRANGE(""https://docs.google.com/spreadsheets/d/1kGrh75X1cNR1D7_FcY9zMnHP8iPO4M5RCRjy6nZY0TY/edi"&amp;"t#gid=0"",""Table 1: Study characteristics!B4:B171"")))&gt;0
),
""Include""
)"),"Exclude")</f>
        <v>Exclude</v>
      </c>
      <c r="G243" s="5" t="str">
        <f>IFERROR(__xludf.DUMMYFUNCTION("IFS(
D243=""Exclude"",
FILTER(IMPORTRANGE(""https://docs.google.com/spreadsheets/d/1BJSV3WBYJGRhQ6zExamkszQ5VutGIcaQqmbD9ZTVXMQ/edit#gid=1251630045"",""articles_with_PRISMA_reasons!AB2:AB2113""), $A243=IMPORTRANGE(""https://docs.google.com/spreadsheets/d/"&amp;"1BJSV3WBYJGRhQ6zExamkszQ5VutGIcaQqmbD9ZTVXMQ/edit#gid=1251630045"",""articles_with_PRISMA_reasons!B2:B2113"")),
E243=""Exclude"",
FILTER(IMPORTRANGE(""https://docs.google.com/spreadsheets/d/1qpEmbGH0JjaJbUdp21-y2cPbobDbMjr09BbtdKROZWc/edit#gid=1444865654"&amp;""",""articles_with_PRISMA_reasons!Z2:Z2113""), $A243=IMPORTRANGE(""https://docs.google.com/spreadsheets/d/1qpEmbGH0JjaJbUdp21-y2cPbobDbMjr09BbtdKROZWc/edit#gid=1444865654"",""articles_with_PRISMA_reasons!B2:B2113"")),F243
=""Include"",FILTER(IMPORTRANGE("&amp;"""https://docs.google.com/spreadsheets/d/1kGrh75X1cNR1D7_FcY9zMnHP8iPO4M5RCRjy6nZY0TY/edit#gid=0"",""Table 1: Study characteristics!A4:A171""), $A243=IMPORTRANGE(""https://docs.google.com/spreadsheets/d/1kGrh75X1cNR1D7_FcY9zMnHP8iPO4M5RCRjy6nZY0TY/edit#gi"&amp;"d=0"",""Table 1: Study characteristics!B4:B171""))
)"),"wrong outcome")</f>
        <v>wrong outcome</v>
      </c>
    </row>
    <row r="244">
      <c r="A244" s="4" t="str">
        <f>IFERROR(__xludf.DUMMYFUNCTION("""COMPUTED_VALUE"""),"Alternative approaches to outcomes assessment: Beyond psychometric tests")</f>
        <v>Alternative approaches to outcomes assessment: Beyond psychometric tests</v>
      </c>
      <c r="B244" s="5" t="str">
        <f>IFERROR(__xludf.DUMMYFUNCTION("LEFT(FILTER(IMPORTRANGE(""https://docs.google.com/spreadsheets/d/1BJSV3WBYJGRhQ6zExamkszQ5VutGIcaQqmbD9ZTVXMQ/edit#gid=1251630045"",""articles_with_PRISMA_reasons!K2:K2113""), $A244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$A244=IMPORTRANGE(""https://docs.google.com/spreadsheets/d/1BJSV3WBYJGRhQ6zExamkszQ5VutGIcaQqmbD9ZTVXMQ/edit#gid=1251630045"",""articles_with_PRISMA_reasons!B2:B2113"")))-1)"),"Fletcher")</f>
        <v>Fletcher</v>
      </c>
      <c r="C244" s="6">
        <f>IFERROR(__xludf.DUMMYFUNCTION("FILTER(IMPORTRANGE(""https://docs.google.com/spreadsheets/d/1BJSV3WBYJGRhQ6zExamkszQ5VutGIcaQqmbD9ZTVXMQ/edit#gid=1251630045"",""articles_with_PRISMA_reasons!C2:C2113""), $A244=IMPORTRANGE(""https://docs.google.com/spreadsheets/d/1BJSV3WBYJGRhQ6zExamkszQ5"&amp;"VutGIcaQqmbD9ZTVXMQ/edit#gid=1251630045"",""articles_with_PRISMA_reasons!B2:B2113""))"),2014.0)</f>
        <v>2014</v>
      </c>
      <c r="D244" s="5" t="str">
        <f>IFERROR(__xludf.DUMMYFUNCTION("IFS(AND(
FILTER(IMPORTRANGE(""https://docs.google.com/spreadsheets/d/1BJSV3WBYJGRhQ6zExamkszQ5VutGIcaQqmbD9ZTVXMQ/edit#gid=1251630045"",""articles_with_PRISMA_reasons!Y2:Y2113""), $A244=IMPORTRANGE(""https://docs.google.com/spreadsheets/d/1BJSV3WBYJGRhQ6z"&amp;"ExamkszQ5VutGIcaQqmbD9ZTVXMQ/edit#gid=1251630045"",""articles_with_PRISMA_reasons!B2:B2113""))&gt;=2,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$A244=IMPORTRANGE(""https://docs.google.com/spreadsheets/d/1BJSV3WBYJGRhQ6zExamkszQ5VutGIcaQqmbD9ZTVXMQ/edit#gid=1251630045"",""articles_with_PRISMA_reasons!B2:B2113""))&lt;2),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$A244=IMPORTRANGE(""https://docs.google.com/spreadsheets/d/1BJSV3WBYJGRhQ6zExamkszQ5VutGIcaQqmbD9ZTVXMQ/edit#gid=1251630045"",""arti"&amp;"cles_with_PRISMA_reasons!B2:B2113""))&lt;2,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$A244=IMPORTRANGE(""https://docs.google.com"&amp;"/spreadsheets/d/1BJSV3WBYJGRhQ6zExamkszQ5VutGIcaQqmbD9ZTVXMQ/edit#gid=1251630045"",""articles_with_PRISMA_reasons!B2:B2113""))&gt;=2),
""Exclude""
)"),"Exclude")</f>
        <v>Exclude</v>
      </c>
      <c r="E244" s="5" t="str">
        <f>IFERROR(__xludf.DUMMYFUNCTION("IFS(
D244=""Exclude"",""Exclude"",
AND(
FILTER(IMPORTRANGE(""https://docs.google.com/spreadsheets/d/1qpEmbGH0JjaJbUdp21-y2cPbobDbMjr09BbtdKROZWc/edit#gid=1444865654"",""articles_with_PRISMA_reasons!W2:W2113""), $A244=IMPORTRANGE(""https://docs.google.com/"&amp;"spreadsheets/d/1qpEmbGH0JjaJbUdp21-y2cPbobDbMjr09BbtdKROZWc/edit#gid=1444865654"",""articles_with_PRISMA_reasons!B2:B2113""))&gt;=2,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$A244=IMPORTRANGE(""https://docs.google.com/spreadsheets/d/1qpEmbGH0JjaJbUdp21-y2cPbobDbMjr09BbtdKROZWc/edit#gid=1444865654"",""articles_with_PRISMA_reasons!B2:B2113""))&lt;2),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$A244=IMPORTRANGE(""https://docs.google.com/spreadsheets/d/1qpEmbGH0JjaJbUdp21-y2cPbobDbMjr09BbtdKRO"&amp;"ZWc/edit#gid=1444865654"",""articles_with_PRISMA_reasons!B2:B2113""))&lt;2,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$A244=IMPOR"&amp;"TRANGE(""https://docs.google.com/spreadsheets/d/1qpEmbGH0JjaJbUdp21-y2cPbobDbMjr09BbtdKROZWc/edit#gid=1444865654"",""articles_with_PRISMA_reasons!B2:B2113""))&gt;=2),
""Exclude""
)"),"Exclude")</f>
        <v>Exclude</v>
      </c>
      <c r="F244" s="5" t="str">
        <f>IFERROR(__xludf.DUMMYFUNCTION("IFS(
E244=""Exclude"",""Exclude"",
AND(
COUNTIF(
IMPORTRANGE(""https://docs.google.com/spreadsheets/d/1kGrh75X1cNR1D7_FcY9zMnHP8iPO4M5RCRjy6nZY0TY/edit#gid=0"",""Table 1: Study characteristics!B4:B171""),A244)&gt;0,
COUNTIF(Studies!$A$2:$A$85,FILTER(IMPORTRA"&amp;"NGE(""https://docs.google.com/spreadsheets/d/1kGrh75X1cNR1D7_FcY9zMnHP8iPO4M5RCRjy6nZY0TY/edit#gid=0"",""Table 1: Study characteristics!A4:A171""), $A244=IMPORTRANGE(""https://docs.google.com/spreadsheets/d/1kGrh75X1cNR1D7_FcY9zMnHP8iPO4M5RCRjy6nZY0TY/edi"&amp;"t#gid=0"",""Table 1: Study characteristics!B4:B171"")))&gt;0
),
""Include""
)"),"Exclude")</f>
        <v>Exclude</v>
      </c>
      <c r="G244" s="5" t="str">
        <f>IFERROR(__xludf.DUMMYFUNCTION("IFS(
D244=""Exclude"",
FILTER(IMPORTRANGE(""https://docs.google.com/spreadsheets/d/1BJSV3WBYJGRhQ6zExamkszQ5VutGIcaQqmbD9ZTVXMQ/edit#gid=1251630045"",""articles_with_PRISMA_reasons!AB2:AB2113""), $A244=IMPORTRANGE(""https://docs.google.com/spreadsheets/d/"&amp;"1BJSV3WBYJGRhQ6zExamkszQ5VutGIcaQqmbD9ZTVXMQ/edit#gid=1251630045"",""articles_with_PRISMA_reasons!B2:B2113"")),
E244=""Exclude"",
FILTER(IMPORTRANGE(""https://docs.google.com/spreadsheets/d/1qpEmbGH0JjaJbUdp21-y2cPbobDbMjr09BbtdKROZWc/edit#gid=1444865654"&amp;""",""articles_with_PRISMA_reasons!Z2:Z2113""), $A244=IMPORTRANGE(""https://docs.google.com/spreadsheets/d/1qpEmbGH0JjaJbUdp21-y2cPbobDbMjr09BbtdKROZWc/edit#gid=1444865654"",""articles_with_PRISMA_reasons!B2:B2113"")),F244
=""Include"",FILTER(IMPORTRANGE("&amp;"""https://docs.google.com/spreadsheets/d/1kGrh75X1cNR1D7_FcY9zMnHP8iPO4M5RCRjy6nZY0TY/edit#gid=0"",""Table 1: Study characteristics!A4:A171""), $A244=IMPORTRANGE(""https://docs.google.com/spreadsheets/d/1kGrh75X1cNR1D7_FcY9zMnHP8iPO4M5RCRjy6nZY0TY/edit#gi"&amp;"d=0"",""Table 1: Study characteristics!B4:B171""))
)"),"wrong study design")</f>
        <v>wrong study design</v>
      </c>
    </row>
    <row r="245">
      <c r="A245" s="4" t="str">
        <f>IFERROR(__xludf.DUMMYFUNCTION("""COMPUTED_VALUE"""),"Alternatives to shunting")</f>
        <v>Alternatives to shunting</v>
      </c>
      <c r="B245" s="5" t="str">
        <f>IFERROR(__xludf.DUMMYFUNCTION("LEFT(FILTER(IMPORTRANGE(""https://docs.google.com/spreadsheets/d/1BJSV3WBYJGRhQ6zExamkszQ5VutGIcaQqmbD9ZTVXMQ/edit#gid=1251630045"",""articles_with_PRISMA_reasons!K2:K2113""), $A245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$A245=IMPORTRANGE(""https://docs.google.com/spreadsheets/d/1BJSV3WBYJGRhQ6zExamkszQ5VutGIcaQqmbD9ZTVXMQ/edit#gid=1251630045"",""articles_with_PRISMA_reasons!B2:B2113"")))-1)"),"Cinalli")</f>
        <v>Cinalli</v>
      </c>
      <c r="C245" s="6">
        <f>IFERROR(__xludf.DUMMYFUNCTION("FILTER(IMPORTRANGE(""https://docs.google.com/spreadsheets/d/1BJSV3WBYJGRhQ6zExamkszQ5VutGIcaQqmbD9ZTVXMQ/edit#gid=1251630045"",""articles_with_PRISMA_reasons!C2:C2113""), $A245=IMPORTRANGE(""https://docs.google.com/spreadsheets/d/1BJSV3WBYJGRhQ6zExamkszQ5"&amp;"VutGIcaQqmbD9ZTVXMQ/edit#gid=1251630045"",""articles_with_PRISMA_reasons!B2:B2113""))"),1999.0)</f>
        <v>1999</v>
      </c>
      <c r="D245" s="5" t="str">
        <f>IFERROR(__xludf.DUMMYFUNCTION("IFS(AND(
FILTER(IMPORTRANGE(""https://docs.google.com/spreadsheets/d/1BJSV3WBYJGRhQ6zExamkszQ5VutGIcaQqmbD9ZTVXMQ/edit#gid=1251630045"",""articles_with_PRISMA_reasons!Y2:Y2113""), $A245=IMPORTRANGE(""https://docs.google.com/spreadsheets/d/1BJSV3WBYJGRhQ6z"&amp;"ExamkszQ5VutGIcaQqmbD9ZTVXMQ/edit#gid=1251630045"",""articles_with_PRISMA_reasons!B2:B2113""))&gt;=2,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$A245=IMPORTRANGE(""https://docs.google.com/spreadsheets/d/1BJSV3WBYJGRhQ6zExamkszQ5VutGIcaQqmbD9ZTVXMQ/edit#gid=1251630045"",""articles_with_PRISMA_reasons!B2:B2113""))&lt;2),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$A245=IMPORTRANGE(""https://docs.google.com/spreadsheets/d/1BJSV3WBYJGRhQ6zExamkszQ5VutGIcaQqmbD9ZTVXMQ/edit#gid=1251630045"",""arti"&amp;"cles_with_PRISMA_reasons!B2:B2113""))&lt;2,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$A245=IMPORTRANGE(""https://docs.google.com"&amp;"/spreadsheets/d/1BJSV3WBYJGRhQ6zExamkszQ5VutGIcaQqmbD9ZTVXMQ/edit#gid=1251630045"",""articles_with_PRISMA_reasons!B2:B2113""))&gt;=2),
""Exclude""
)"),"Exclude")</f>
        <v>Exclude</v>
      </c>
      <c r="E245" s="5" t="str">
        <f>IFERROR(__xludf.DUMMYFUNCTION("IFS(
D245=""Exclude"",""Exclude"",
AND(
FILTER(IMPORTRANGE(""https://docs.google.com/spreadsheets/d/1qpEmbGH0JjaJbUdp21-y2cPbobDbMjr09BbtdKROZWc/edit#gid=1444865654"",""articles_with_PRISMA_reasons!W2:W2113""), $A245=IMPORTRANGE(""https://docs.google.com/"&amp;"spreadsheets/d/1qpEmbGH0JjaJbUdp21-y2cPbobDbMjr09BbtdKROZWc/edit#gid=1444865654"",""articles_with_PRISMA_reasons!B2:B2113""))&gt;=2,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$A245=IMPORTRANGE(""https://docs.google.com/spreadsheets/d/1qpEmbGH0JjaJbUdp21-y2cPbobDbMjr09BbtdKROZWc/edit#gid=1444865654"",""articles_with_PRISMA_reasons!B2:B2113""))&lt;2),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$A245=IMPORTRANGE(""https://docs.google.com/spreadsheets/d/1qpEmbGH0JjaJbUdp21-y2cPbobDbMjr09BbtdKRO"&amp;"ZWc/edit#gid=1444865654"",""articles_with_PRISMA_reasons!B2:B2113""))&lt;2,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$A245=IMPOR"&amp;"TRANGE(""https://docs.google.com/spreadsheets/d/1qpEmbGH0JjaJbUdp21-y2cPbobDbMjr09BbtdKROZWc/edit#gid=1444865654"",""articles_with_PRISMA_reasons!B2:B2113""))&gt;=2),
""Exclude""
)"),"Exclude")</f>
        <v>Exclude</v>
      </c>
      <c r="F245" s="5" t="str">
        <f>IFERROR(__xludf.DUMMYFUNCTION("IFS(
E245=""Exclude"",""Exclude"",
AND(
COUNTIF(
IMPORTRANGE(""https://docs.google.com/spreadsheets/d/1kGrh75X1cNR1D7_FcY9zMnHP8iPO4M5RCRjy6nZY0TY/edit#gid=0"",""Table 1: Study characteristics!B4:B171""),A245)&gt;0,
COUNTIF(Studies!$A$2:$A$85,FILTER(IMPORTRA"&amp;"NGE(""https://docs.google.com/spreadsheets/d/1kGrh75X1cNR1D7_FcY9zMnHP8iPO4M5RCRjy6nZY0TY/edit#gid=0"",""Table 1: Study characteristics!A4:A171""), $A245=IMPORTRANGE(""https://docs.google.com/spreadsheets/d/1kGrh75X1cNR1D7_FcY9zMnHP8iPO4M5RCRjy6nZY0TY/edi"&amp;"t#gid=0"",""Table 1: Study characteristics!B4:B171"")))&gt;0
),
""Include""
)"),"Exclude")</f>
        <v>Exclude</v>
      </c>
      <c r="G245" s="5" t="str">
        <f>IFERROR(__xludf.DUMMYFUNCTION("IFS(
D245=""Exclude"",
FILTER(IMPORTRANGE(""https://docs.google.com/spreadsheets/d/1BJSV3WBYJGRhQ6zExamkszQ5VutGIcaQqmbD9ZTVXMQ/edit#gid=1251630045"",""articles_with_PRISMA_reasons!AB2:AB2113""), $A245=IMPORTRANGE(""https://docs.google.com/spreadsheets/d/"&amp;"1BJSV3WBYJGRhQ6zExamkszQ5VutGIcaQqmbD9ZTVXMQ/edit#gid=1251630045"",""articles_with_PRISMA_reasons!B2:B2113"")),
E245=""Exclude"",
FILTER(IMPORTRANGE(""https://docs.google.com/spreadsheets/d/1qpEmbGH0JjaJbUdp21-y2cPbobDbMjr09BbtdKROZWc/edit#gid=1444865654"&amp;""",""articles_with_PRISMA_reasons!Z2:Z2113""), $A245=IMPORTRANGE(""https://docs.google.com/spreadsheets/d/1qpEmbGH0JjaJbUdp21-y2cPbobDbMjr09BbtdKROZWc/edit#gid=1444865654"",""articles_with_PRISMA_reasons!B2:B2113"")),F245
=""Include"",FILTER(IMPORTRANGE("&amp;"""https://docs.google.com/spreadsheets/d/1kGrh75X1cNR1D7_FcY9zMnHP8iPO4M5RCRjy6nZY0TY/edit#gid=0"",""Table 1: Study characteristics!A4:A171""), $A245=IMPORTRANGE(""https://docs.google.com/spreadsheets/d/1kGrh75X1cNR1D7_FcY9zMnHP8iPO4M5RCRjy6nZY0TY/edit#gi"&amp;"d=0"",""Table 1: Study characteristics!B4:B171""))
)"),"background article")</f>
        <v>background article</v>
      </c>
    </row>
    <row r="246">
      <c r="A246" s="4" t="str">
        <f>IFERROR(__xludf.DUMMYFUNCTION("""COMPUTED_VALUE"""),"Ambulation in adults with myelomeningocele. Is it possible to predict the level of ambulation in early life?")</f>
        <v>Ambulation in adults with myelomeningocele. Is it possible to predict the level of ambulation in early life?</v>
      </c>
      <c r="B246" s="5" t="str">
        <f>IFERROR(__xludf.DUMMYFUNCTION("LEFT(FILTER(IMPORTRANGE(""https://docs.google.com/spreadsheets/d/1BJSV3WBYJGRhQ6zExamkszQ5VutGIcaQqmbD9ZTVXMQ/edit#gid=1251630045"",""articles_with_PRISMA_reasons!K2:K2113""), $A246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$A246=IMPORTRANGE(""https://docs.google.com/spreadsheets/d/1BJSV3WBYJGRhQ6zExamkszQ5VutGIcaQqmbD9ZTVXMQ/edit#gid=1251630045"",""articles_with_PRISMA_reasons!B2:B2113"")))-1)"),"Seitzberg")</f>
        <v>Seitzberg</v>
      </c>
      <c r="C246" s="6">
        <f>IFERROR(__xludf.DUMMYFUNCTION("FILTER(IMPORTRANGE(""https://docs.google.com/spreadsheets/d/1BJSV3WBYJGRhQ6zExamkszQ5VutGIcaQqmbD9ZTVXMQ/edit#gid=1251630045"",""articles_with_PRISMA_reasons!C2:C2113""), $A246=IMPORTRANGE(""https://docs.google.com/spreadsheets/d/1BJSV3WBYJGRhQ6zExamkszQ5"&amp;"VutGIcaQqmbD9ZTVXMQ/edit#gid=1251630045"",""articles_with_PRISMA_reasons!B2:B2113""))"),2008.0)</f>
        <v>2008</v>
      </c>
      <c r="D246" s="5" t="str">
        <f>IFERROR(__xludf.DUMMYFUNCTION("IFS(AND(
FILTER(IMPORTRANGE(""https://docs.google.com/spreadsheets/d/1BJSV3WBYJGRhQ6zExamkszQ5VutGIcaQqmbD9ZTVXMQ/edit#gid=1251630045"",""articles_with_PRISMA_reasons!Y2:Y2113""), $A246=IMPORTRANGE(""https://docs.google.com/spreadsheets/d/1BJSV3WBYJGRhQ6z"&amp;"ExamkszQ5VutGIcaQqmbD9ZTVXMQ/edit#gid=1251630045"",""articles_with_PRISMA_reasons!B2:B2113""))&gt;=2,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$A246=IMPORTRANGE(""https://docs.google.com/spreadsheets/d/1BJSV3WBYJGRhQ6zExamkszQ5VutGIcaQqmbD9ZTVXMQ/edit#gid=1251630045"",""articles_with_PRISMA_reasons!B2:B2113""))&lt;2),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$A246=IMPORTRANGE(""https://docs.google.com/spreadsheets/d/1BJSV3WBYJGRhQ6zExamkszQ5VutGIcaQqmbD9ZTVXMQ/edit#gid=1251630045"",""arti"&amp;"cles_with_PRISMA_reasons!B2:B2113""))&lt;2,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$A246=IMPORTRANGE(""https://docs.google.com"&amp;"/spreadsheets/d/1BJSV3WBYJGRhQ6zExamkszQ5VutGIcaQqmbD9ZTVXMQ/edit#gid=1251630045"",""articles_with_PRISMA_reasons!B2:B2113""))&gt;=2),
""Exclude""
)"),"Exclude")</f>
        <v>Exclude</v>
      </c>
      <c r="E246" s="5" t="str">
        <f>IFERROR(__xludf.DUMMYFUNCTION("IFS(
D246=""Exclude"",""Exclude"",
AND(
FILTER(IMPORTRANGE(""https://docs.google.com/spreadsheets/d/1qpEmbGH0JjaJbUdp21-y2cPbobDbMjr09BbtdKROZWc/edit#gid=1444865654"",""articles_with_PRISMA_reasons!W2:W2113""), $A246=IMPORTRANGE(""https://docs.google.com/"&amp;"spreadsheets/d/1qpEmbGH0JjaJbUdp21-y2cPbobDbMjr09BbtdKROZWc/edit#gid=1444865654"",""articles_with_PRISMA_reasons!B2:B2113""))&gt;=2,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$A246=IMPORTRANGE(""https://docs.google.com/spreadsheets/d/1qpEmbGH0JjaJbUdp21-y2cPbobDbMjr09BbtdKROZWc/edit#gid=1444865654"",""articles_with_PRISMA_reasons!B2:B2113""))&lt;2),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$A246=IMPORTRANGE(""https://docs.google.com/spreadsheets/d/1qpEmbGH0JjaJbUdp21-y2cPbobDbMjr09BbtdKRO"&amp;"ZWc/edit#gid=1444865654"",""articles_with_PRISMA_reasons!B2:B2113""))&lt;2,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$A246=IMPOR"&amp;"TRANGE(""https://docs.google.com/spreadsheets/d/1qpEmbGH0JjaJbUdp21-y2cPbobDbMjr09BbtdKROZWc/edit#gid=1444865654"",""articles_with_PRISMA_reasons!B2:B2113""))&gt;=2),
""Exclude""
)"),"Exclude")</f>
        <v>Exclude</v>
      </c>
      <c r="F246" s="5" t="str">
        <f>IFERROR(__xludf.DUMMYFUNCTION("IFS(
E246=""Exclude"",""Exclude"",
AND(
COUNTIF(
IMPORTRANGE(""https://docs.google.com/spreadsheets/d/1kGrh75X1cNR1D7_FcY9zMnHP8iPO4M5RCRjy6nZY0TY/edit#gid=0"",""Table 1: Study characteristics!B4:B171""),A246)&gt;0,
COUNTIF(Studies!$A$2:$A$85,FILTER(IMPORTRA"&amp;"NGE(""https://docs.google.com/spreadsheets/d/1kGrh75X1cNR1D7_FcY9zMnHP8iPO4M5RCRjy6nZY0TY/edit#gid=0"",""Table 1: Study characteristics!A4:A171""), $A246=IMPORTRANGE(""https://docs.google.com/spreadsheets/d/1kGrh75X1cNR1D7_FcY9zMnHP8iPO4M5RCRjy6nZY0TY/edi"&amp;"t#gid=0"",""Table 1: Study characteristics!B4:B171"")))&gt;0
),
""Include""
)"),"Exclude")</f>
        <v>Exclude</v>
      </c>
      <c r="G246" s="5" t="str">
        <f>IFERROR(__xludf.DUMMYFUNCTION("IFS(
D246=""Exclude"",
FILTER(IMPORTRANGE(""https://docs.google.com/spreadsheets/d/1BJSV3WBYJGRhQ6zExamkszQ5VutGIcaQqmbD9ZTVXMQ/edit#gid=1251630045"",""articles_with_PRISMA_reasons!AB2:AB2113""), $A246=IMPORTRANGE(""https://docs.google.com/spreadsheets/d/"&amp;"1BJSV3WBYJGRhQ6zExamkszQ5VutGIcaQqmbD9ZTVXMQ/edit#gid=1251630045"",""articles_with_PRISMA_reasons!B2:B2113"")),
E246=""Exclude"",
FILTER(IMPORTRANGE(""https://docs.google.com/spreadsheets/d/1qpEmbGH0JjaJbUdp21-y2cPbobDbMjr09BbtdKROZWc/edit#gid=1444865654"&amp;""",""articles_with_PRISMA_reasons!Z2:Z2113""), $A246=IMPORTRANGE(""https://docs.google.com/spreadsheets/d/1qpEmbGH0JjaJbUdp21-y2cPbobDbMjr09BbtdKROZWc/edit#gid=1444865654"",""articles_with_PRISMA_reasons!B2:B2113"")),F246
=""Include"",FILTER(IMPORTRANGE("&amp;"""https://docs.google.com/spreadsheets/d/1kGrh75X1cNR1D7_FcY9zMnHP8iPO4M5RCRjy6nZY0TY/edit#gid=0"",""Table 1: Study characteristics!A4:A171""), $A246=IMPORTRANGE(""https://docs.google.com/spreadsheets/d/1kGrh75X1cNR1D7_FcY9zMnHP8iPO4M5RCRjy6nZY0TY/edit#gi"&amp;"d=0"",""Table 1: Study characteristics!B4:B171""))
)"),"duplicate")</f>
        <v>duplicate</v>
      </c>
    </row>
    <row r="247">
      <c r="A247" s="4" t="str">
        <f>IFERROR(__xludf.DUMMYFUNCTION("""COMPUTED_VALUE"""),"Ambulation in patients with myelomeningocele: A study of 1500 patients")</f>
        <v>Ambulation in patients with myelomeningocele: A study of 1500 patients</v>
      </c>
      <c r="B247" s="5" t="str">
        <f>IFERROR(__xludf.DUMMYFUNCTION("LEFT(FILTER(IMPORTRANGE(""https://docs.google.com/spreadsheets/d/1BJSV3WBYJGRhQ6zExamkszQ5VutGIcaQqmbD9ZTVXMQ/edit#gid=1251630045"",""articles_with_PRISMA_reasons!K2:K2113""), $A247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$A247=IMPORTRANGE(""https://docs.google.com/spreadsheets/d/1BJSV3WBYJGRhQ6zExamkszQ5VutGIcaQqmbD9ZTVXMQ/edit#gid=1251630045"",""articles_with_PRISMA_reasons!B2:B2113"")))-1)"),"Diaz Llopis")</f>
        <v>Diaz Llopis</v>
      </c>
      <c r="C247" s="6">
        <f>IFERROR(__xludf.DUMMYFUNCTION("FILTER(IMPORTRANGE(""https://docs.google.com/spreadsheets/d/1BJSV3WBYJGRhQ6zExamkszQ5VutGIcaQqmbD9ZTVXMQ/edit#gid=1251630045"",""articles_with_PRISMA_reasons!C2:C2113""), $A247=IMPORTRANGE(""https://docs.google.com/spreadsheets/d/1BJSV3WBYJGRhQ6zExamkszQ5"&amp;"VutGIcaQqmbD9ZTVXMQ/edit#gid=1251630045"",""articles_with_PRISMA_reasons!B2:B2113""))"),1993.0)</f>
        <v>1993</v>
      </c>
      <c r="D247" s="5" t="str">
        <f>IFERROR(__xludf.DUMMYFUNCTION("IFS(AND(
FILTER(IMPORTRANGE(""https://docs.google.com/spreadsheets/d/1BJSV3WBYJGRhQ6zExamkszQ5VutGIcaQqmbD9ZTVXMQ/edit#gid=1251630045"",""articles_with_PRISMA_reasons!Y2:Y2113""), $A247=IMPORTRANGE(""https://docs.google.com/spreadsheets/d/1BJSV3WBYJGRhQ6z"&amp;"ExamkszQ5VutGIcaQqmbD9ZTVXMQ/edit#gid=1251630045"",""articles_with_PRISMA_reasons!B2:B2113""))&gt;=2,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$A247=IMPORTRANGE(""https://docs.google.com/spreadsheets/d/1BJSV3WBYJGRhQ6zExamkszQ5VutGIcaQqmbD9ZTVXMQ/edit#gid=1251630045"",""articles_with_PRISMA_reasons!B2:B2113""))&lt;2),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$A247=IMPORTRANGE(""https://docs.google.com/spreadsheets/d/1BJSV3WBYJGRhQ6zExamkszQ5VutGIcaQqmbD9ZTVXMQ/edit#gid=1251630045"",""arti"&amp;"cles_with_PRISMA_reasons!B2:B2113""))&lt;2,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$A247=IMPORTRANGE(""https://docs.google.com"&amp;"/spreadsheets/d/1BJSV3WBYJGRhQ6zExamkszQ5VutGIcaQqmbD9ZTVXMQ/edit#gid=1251630045"",""articles_with_PRISMA_reasons!B2:B2113""))&gt;=2),
""Exclude""
)"),"Include")</f>
        <v>Include</v>
      </c>
      <c r="E247" s="5" t="str">
        <f>IFERROR(__xludf.DUMMYFUNCTION("IFS(
D247=""Exclude"",""Exclude"",
AND(
FILTER(IMPORTRANGE(""https://docs.google.com/spreadsheets/d/1qpEmbGH0JjaJbUdp21-y2cPbobDbMjr09BbtdKROZWc/edit#gid=1444865654"",""articles_with_PRISMA_reasons!W2:W2113""), $A247=IMPORTRANGE(""https://docs.google.com/"&amp;"spreadsheets/d/1qpEmbGH0JjaJbUdp21-y2cPbobDbMjr09BbtdKROZWc/edit#gid=1444865654"",""articles_with_PRISMA_reasons!B2:B2113""))&gt;=2,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$A247=IMPORTRANGE(""https://docs.google.com/spreadsheets/d/1qpEmbGH0JjaJbUdp21-y2cPbobDbMjr09BbtdKROZWc/edit#gid=1444865654"",""articles_with_PRISMA_reasons!B2:B2113""))&lt;2),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$A247=IMPORTRANGE(""https://docs.google.com/spreadsheets/d/1qpEmbGH0JjaJbUdp21-y2cPbobDbMjr09BbtdKRO"&amp;"ZWc/edit#gid=1444865654"",""articles_with_PRISMA_reasons!B2:B2113""))&lt;2,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$A247=IMPOR"&amp;"TRANGE(""https://docs.google.com/spreadsheets/d/1qpEmbGH0JjaJbUdp21-y2cPbobDbMjr09BbtdKROZWc/edit#gid=1444865654"",""articles_with_PRISMA_reasons!B2:B2113""))&gt;=2),
""Exclude""
)"),"Include")</f>
        <v>Include</v>
      </c>
      <c r="F247" s="5" t="str">
        <f>IFERROR(__xludf.DUMMYFUNCTION("IFS(
E247=""Exclude"",""Exclude"",
AND(
COUNTIF(
IMPORTRANGE(""https://docs.google.com/spreadsheets/d/1kGrh75X1cNR1D7_FcY9zMnHP8iPO4M5RCRjy6nZY0TY/edit#gid=0"",""Table 1: Study characteristics!B4:B171""),A247)&gt;0,
COUNTIF(Studies!$A$2:$A$85,FILTER(IMPORTRA"&amp;"NGE(""https://docs.google.com/spreadsheets/d/1kGrh75X1cNR1D7_FcY9zMnHP8iPO4M5RCRjy6nZY0TY/edit#gid=0"",""Table 1: Study characteristics!A4:A171""), $A247=IMPORTRANGE(""https://docs.google.com/spreadsheets/d/1kGrh75X1cNR1D7_FcY9zMnHP8iPO4M5RCRjy6nZY0TY/edi"&amp;"t#gid=0"",""Table 1: Study characteristics!B4:B171"")))&gt;0
),
""Include""
)"),"Include")</f>
        <v>Include</v>
      </c>
      <c r="G247" s="5" t="str">
        <f>IFERROR(__xludf.DUMMYFUNCTION("IFS(
D247=""Exclude"",
FILTER(IMPORTRANGE(""https://docs.google.com/spreadsheets/d/1BJSV3WBYJGRhQ6zExamkszQ5VutGIcaQqmbD9ZTVXMQ/edit#gid=1251630045"",""articles_with_PRISMA_reasons!AB2:AB2113""), $A247=IMPORTRANGE(""https://docs.google.com/spreadsheets/d/"&amp;"1BJSV3WBYJGRhQ6zExamkszQ5VutGIcaQqmbD9ZTVXMQ/edit#gid=1251630045"",""articles_with_PRISMA_reasons!B2:B2113"")),
E247=""Exclude"",
FILTER(IMPORTRANGE(""https://docs.google.com/spreadsheets/d/1qpEmbGH0JjaJbUdp21-y2cPbobDbMjr09BbtdKROZWc/edit#gid=1444865654"&amp;""",""articles_with_PRISMA_reasons!Z2:Z2113""), $A247=IMPORTRANGE(""https://docs.google.com/spreadsheets/d/1qpEmbGH0JjaJbUdp21-y2cPbobDbMjr09BbtdKROZWc/edit#gid=1444865654"",""articles_with_PRISMA_reasons!B2:B2113"")),F247
=""Include"",FILTER(IMPORTRANGE("&amp;"""https://docs.google.com/spreadsheets/d/1kGrh75X1cNR1D7_FcY9zMnHP8iPO4M5RCRjy6nZY0TY/edit#gid=0"",""Table 1: Study characteristics!A4:A171""), $A247=IMPORTRANGE(""https://docs.google.com/spreadsheets/d/1kGrh75X1cNR1D7_FcY9zMnHP8iPO4M5RCRjy6nZY0TY/edit#gi"&amp;"d=0"",""Table 1: Study characteristics!B4:B171""))
)"),"ID 9")</f>
        <v>ID 9</v>
      </c>
    </row>
    <row r="248">
      <c r="A248" s="4" t="str">
        <f>IFERROR(__xludf.DUMMYFUNCTION("""COMPUTED_VALUE"""),"Ambulation of Spina Bifida Patients")</f>
        <v>Ambulation of Spina Bifida Patients</v>
      </c>
      <c r="B248" s="5" t="str">
        <f>IFERROR(__xludf.DUMMYFUNCTION("LEFT(FILTER(IMPORTRANGE(""https://docs.google.com/spreadsheets/d/1BJSV3WBYJGRhQ6zExamkszQ5VutGIcaQqmbD9ZTVXMQ/edit#gid=1251630045"",""articles_with_PRISMA_reasons!K2:K2113""), $A248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$A248=IMPORTRANGE(""https://docs.google.com/spreadsheets/d/1BJSV3WBYJGRhQ6zExamkszQ5VutGIcaQqmbD9ZTVXMQ/edit#gid=1251630045"",""articles_with_PRISMA_reasons!B2:B2113"")))-1)"),"Moon-Suk")</f>
        <v>Moon-Suk</v>
      </c>
      <c r="C248" s="6">
        <f>IFERROR(__xludf.DUMMYFUNCTION("FILTER(IMPORTRANGE(""https://docs.google.com/spreadsheets/d/1BJSV3WBYJGRhQ6zExamkszQ5VutGIcaQqmbD9ZTVXMQ/edit#gid=1251630045"",""articles_with_PRISMA_reasons!C2:C2113""), $A248=IMPORTRANGE(""https://docs.google.com/spreadsheets/d/1BJSV3WBYJGRhQ6zExamkszQ5"&amp;"VutGIcaQqmbD9ZTVXMQ/edit#gid=1251630045"",""articles_with_PRISMA_reasons!B2:B2113""))"),1998.0)</f>
        <v>1998</v>
      </c>
      <c r="D248" s="5" t="str">
        <f>IFERROR(__xludf.DUMMYFUNCTION("IFS(AND(
FILTER(IMPORTRANGE(""https://docs.google.com/spreadsheets/d/1BJSV3WBYJGRhQ6zExamkszQ5VutGIcaQqmbD9ZTVXMQ/edit#gid=1251630045"",""articles_with_PRISMA_reasons!Y2:Y2113""), $A248=IMPORTRANGE(""https://docs.google.com/spreadsheets/d/1BJSV3WBYJGRhQ6z"&amp;"ExamkszQ5VutGIcaQqmbD9ZTVXMQ/edit#gid=1251630045"",""articles_with_PRISMA_reasons!B2:B2113""))&gt;=2,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$A248=IMPORTRANGE(""https://docs.google.com/spreadsheets/d/1BJSV3WBYJGRhQ6zExamkszQ5VutGIcaQqmbD9ZTVXMQ/edit#gid=1251630045"",""articles_with_PRISMA_reasons!B2:B2113""))&lt;2),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$A248=IMPORTRANGE(""https://docs.google.com/spreadsheets/d/1BJSV3WBYJGRhQ6zExamkszQ5VutGIcaQqmbD9ZTVXMQ/edit#gid=1251630045"",""arti"&amp;"cles_with_PRISMA_reasons!B2:B2113""))&lt;2,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$A248=IMPORTRANGE(""https://docs.google.com"&amp;"/spreadsheets/d/1BJSV3WBYJGRhQ6zExamkszQ5VutGIcaQqmbD9ZTVXMQ/edit#gid=1251630045"",""articles_with_PRISMA_reasons!B2:B2113""))&gt;=2),
""Exclude""
)"),"Exclude")</f>
        <v>Exclude</v>
      </c>
      <c r="E248" s="5" t="str">
        <f>IFERROR(__xludf.DUMMYFUNCTION("IFS(
D248=""Exclude"",""Exclude"",
AND(
FILTER(IMPORTRANGE(""https://docs.google.com/spreadsheets/d/1qpEmbGH0JjaJbUdp21-y2cPbobDbMjr09BbtdKROZWc/edit#gid=1444865654"",""articles_with_PRISMA_reasons!W2:W2113""), $A248=IMPORTRANGE(""https://docs.google.com/"&amp;"spreadsheets/d/1qpEmbGH0JjaJbUdp21-y2cPbobDbMjr09BbtdKROZWc/edit#gid=1444865654"",""articles_with_PRISMA_reasons!B2:B2113""))&gt;=2,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$A248=IMPORTRANGE(""https://docs.google.com/spreadsheets/d/1qpEmbGH0JjaJbUdp21-y2cPbobDbMjr09BbtdKROZWc/edit#gid=1444865654"",""articles_with_PRISMA_reasons!B2:B2113""))&lt;2),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$A248=IMPORTRANGE(""https://docs.google.com/spreadsheets/d/1qpEmbGH0JjaJbUdp21-y2cPbobDbMjr09BbtdKRO"&amp;"ZWc/edit#gid=1444865654"",""articles_with_PRISMA_reasons!B2:B2113""))&lt;2,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$A248=IMPOR"&amp;"TRANGE(""https://docs.google.com/spreadsheets/d/1qpEmbGH0JjaJbUdp21-y2cPbobDbMjr09BbtdKROZWc/edit#gid=1444865654"",""articles_with_PRISMA_reasons!B2:B2113""))&gt;=2),
""Exclude""
)"),"Exclude")</f>
        <v>Exclude</v>
      </c>
      <c r="F248" s="5" t="str">
        <f>IFERROR(__xludf.DUMMYFUNCTION("IFS(
E248=""Exclude"",""Exclude"",
AND(
COUNTIF(
IMPORTRANGE(""https://docs.google.com/spreadsheets/d/1kGrh75X1cNR1D7_FcY9zMnHP8iPO4M5RCRjy6nZY0TY/edit#gid=0"",""Table 1: Study characteristics!B4:B171""),A248)&gt;0,
COUNTIF(Studies!$A$2:$A$85,FILTER(IMPORTRA"&amp;"NGE(""https://docs.google.com/spreadsheets/d/1kGrh75X1cNR1D7_FcY9zMnHP8iPO4M5RCRjy6nZY0TY/edit#gid=0"",""Table 1: Study characteristics!A4:A171""), $A248=IMPORTRANGE(""https://docs.google.com/spreadsheets/d/1kGrh75X1cNR1D7_FcY9zMnHP8iPO4M5RCRjy6nZY0TY/edi"&amp;"t#gid=0"",""Table 1: Study characteristics!B4:B171"")))&gt;0
),
""Include""
)"),"Exclude")</f>
        <v>Exclude</v>
      </c>
      <c r="G248" s="5" t="str">
        <f>IFERROR(__xludf.DUMMYFUNCTION("IFS(
D248=""Exclude"",
FILTER(IMPORTRANGE(""https://docs.google.com/spreadsheets/d/1BJSV3WBYJGRhQ6zExamkszQ5VutGIcaQqmbD9ZTVXMQ/edit#gid=1251630045"",""articles_with_PRISMA_reasons!AB2:AB2113""), $A248=IMPORTRANGE(""https://docs.google.com/spreadsheets/d/"&amp;"1BJSV3WBYJGRhQ6zExamkszQ5VutGIcaQqmbD9ZTVXMQ/edit#gid=1251630045"",""articles_with_PRISMA_reasons!B2:B2113"")),
E248=""Exclude"",
FILTER(IMPORTRANGE(""https://docs.google.com/spreadsheets/d/1qpEmbGH0JjaJbUdp21-y2cPbobDbMjr09BbtdKROZWc/edit#gid=1444865654"&amp;""",""articles_with_PRISMA_reasons!Z2:Z2113""), $A248=IMPORTRANGE(""https://docs.google.com/spreadsheets/d/1qpEmbGH0JjaJbUdp21-y2cPbobDbMjr09BbtdKROZWc/edit#gid=1444865654"",""articles_with_PRISMA_reasons!B2:B2113"")),F248
=""Include"",FILTER(IMPORTRANGE("&amp;"""https://docs.google.com/spreadsheets/d/1kGrh75X1cNR1D7_FcY9zMnHP8iPO4M5RCRjy6nZY0TY/edit#gid=0"",""Table 1: Study characteristics!A4:A171""), $A248=IMPORTRANGE(""https://docs.google.com/spreadsheets/d/1kGrh75X1cNR1D7_FcY9zMnHP8iPO4M5RCRjy6nZY0TY/edit#gi"&amp;"d=0"",""Table 1: Study characteristics!B4:B171""))
)"),"wrong population")</f>
        <v>wrong population</v>
      </c>
    </row>
    <row r="249">
      <c r="A249" s="4" t="str">
        <f>IFERROR(__xludf.DUMMYFUNCTION("""COMPUTED_VALUE"""),"Amenorrhea after Endoscopic Third Ventriculostomy for a Failed Shunt in Spina Bifida: Case Report and Review of the Literature")</f>
        <v>Amenorrhea after Endoscopic Third Ventriculostomy for a Failed Shunt in Spina Bifida: Case Report and Review of the Literature</v>
      </c>
      <c r="B249" s="5" t="str">
        <f>IFERROR(__xludf.DUMMYFUNCTION("LEFT(FILTER(IMPORTRANGE(""https://docs.google.com/spreadsheets/d/1BJSV3WBYJGRhQ6zExamkszQ5VutGIcaQqmbD9ZTVXMQ/edit#gid=1251630045"",""articles_with_PRISMA_reasons!K2:K2113""), $A249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$A249=IMPORTRANGE(""https://docs.google.com/spreadsheets/d/1BJSV3WBYJGRhQ6zExamkszQ5VutGIcaQqmbD9ZTVXMQ/edit#gid=1251630045"",""articles_with_PRISMA_reasons!B2:B2113"")))-1)"),"Giordano")</f>
        <v>Giordano</v>
      </c>
      <c r="C249" s="6">
        <f>IFERROR(__xludf.DUMMYFUNCTION("FILTER(IMPORTRANGE(""https://docs.google.com/spreadsheets/d/1BJSV3WBYJGRhQ6zExamkszQ5VutGIcaQqmbD9ZTVXMQ/edit#gid=1251630045"",""articles_with_PRISMA_reasons!C2:C2113""), $A249=IMPORTRANGE(""https://docs.google.com/spreadsheets/d/1BJSV3WBYJGRhQ6zExamkszQ5"&amp;"VutGIcaQqmbD9ZTVXMQ/edit#gid=1251630045"",""articles_with_PRISMA_reasons!B2:B2113""))"),2016.0)</f>
        <v>2016</v>
      </c>
      <c r="D249" s="5" t="str">
        <f>IFERROR(__xludf.DUMMYFUNCTION("IFS(AND(
FILTER(IMPORTRANGE(""https://docs.google.com/spreadsheets/d/1BJSV3WBYJGRhQ6zExamkszQ5VutGIcaQqmbD9ZTVXMQ/edit#gid=1251630045"",""articles_with_PRISMA_reasons!Y2:Y2113""), $A249=IMPORTRANGE(""https://docs.google.com/spreadsheets/d/1BJSV3WBYJGRhQ6z"&amp;"ExamkszQ5VutGIcaQqmbD9ZTVXMQ/edit#gid=1251630045"",""articles_with_PRISMA_reasons!B2:B2113""))&gt;=2,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$A249=IMPORTRANGE(""https://docs.google.com/spreadsheets/d/1BJSV3WBYJGRhQ6zExamkszQ5VutGIcaQqmbD9ZTVXMQ/edit#gid=1251630045"",""articles_with_PRISMA_reasons!B2:B2113""))&lt;2),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$A249=IMPORTRANGE(""https://docs.google.com/spreadsheets/d/1BJSV3WBYJGRhQ6zExamkszQ5VutGIcaQqmbD9ZTVXMQ/edit#gid=1251630045"",""arti"&amp;"cles_with_PRISMA_reasons!B2:B2113""))&lt;2,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$A249=IMPORTRANGE(""https://docs.google.com"&amp;"/spreadsheets/d/1BJSV3WBYJGRhQ6zExamkszQ5VutGIcaQqmbD9ZTVXMQ/edit#gid=1251630045"",""articles_with_PRISMA_reasons!B2:B2113""))&gt;=2),
""Exclude""
)"),"Exclude")</f>
        <v>Exclude</v>
      </c>
      <c r="E249" s="5" t="str">
        <f>IFERROR(__xludf.DUMMYFUNCTION("IFS(
D249=""Exclude"",""Exclude"",
AND(
FILTER(IMPORTRANGE(""https://docs.google.com/spreadsheets/d/1qpEmbGH0JjaJbUdp21-y2cPbobDbMjr09BbtdKROZWc/edit#gid=1444865654"",""articles_with_PRISMA_reasons!W2:W2113""), $A249=IMPORTRANGE(""https://docs.google.com/"&amp;"spreadsheets/d/1qpEmbGH0JjaJbUdp21-y2cPbobDbMjr09BbtdKROZWc/edit#gid=1444865654"",""articles_with_PRISMA_reasons!B2:B2113""))&gt;=2,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$A249=IMPORTRANGE(""https://docs.google.com/spreadsheets/d/1qpEmbGH0JjaJbUdp21-y2cPbobDbMjr09BbtdKROZWc/edit#gid=1444865654"",""articles_with_PRISMA_reasons!B2:B2113""))&lt;2),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$A249=IMPORTRANGE(""https://docs.google.com/spreadsheets/d/1qpEmbGH0JjaJbUdp21-y2cPbobDbMjr09BbtdKRO"&amp;"ZWc/edit#gid=1444865654"",""articles_with_PRISMA_reasons!B2:B2113""))&lt;2,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$A249=IMPOR"&amp;"TRANGE(""https://docs.google.com/spreadsheets/d/1qpEmbGH0JjaJbUdp21-y2cPbobDbMjr09BbtdKROZWc/edit#gid=1444865654"",""articles_with_PRISMA_reasons!B2:B2113""))&gt;=2),
""Exclude""
)"),"Exclude")</f>
        <v>Exclude</v>
      </c>
      <c r="F249" s="5" t="str">
        <f>IFERROR(__xludf.DUMMYFUNCTION("IFS(
E249=""Exclude"",""Exclude"",
AND(
COUNTIF(
IMPORTRANGE(""https://docs.google.com/spreadsheets/d/1kGrh75X1cNR1D7_FcY9zMnHP8iPO4M5RCRjy6nZY0TY/edit#gid=0"",""Table 1: Study characteristics!B4:B171""),A249)&gt;0,
COUNTIF(Studies!$A$2:$A$85,FILTER(IMPORTRA"&amp;"NGE(""https://docs.google.com/spreadsheets/d/1kGrh75X1cNR1D7_FcY9zMnHP8iPO4M5RCRjy6nZY0TY/edit#gid=0"",""Table 1: Study characteristics!A4:A171""), $A249=IMPORTRANGE(""https://docs.google.com/spreadsheets/d/1kGrh75X1cNR1D7_FcY9zMnHP8iPO4M5RCRjy6nZY0TY/edi"&amp;"t#gid=0"",""Table 1: Study characteristics!B4:B171"")))&gt;0
),
""Include""
)"),"Exclude")</f>
        <v>Exclude</v>
      </c>
      <c r="G249" s="5" t="str">
        <f>IFERROR(__xludf.DUMMYFUNCTION("IFS(
D249=""Exclude"",
FILTER(IMPORTRANGE(""https://docs.google.com/spreadsheets/d/1BJSV3WBYJGRhQ6zExamkszQ5VutGIcaQqmbD9ZTVXMQ/edit#gid=1251630045"",""articles_with_PRISMA_reasons!AB2:AB2113""), $A249=IMPORTRANGE(""https://docs.google.com/spreadsheets/d/"&amp;"1BJSV3WBYJGRhQ6zExamkszQ5VutGIcaQqmbD9ZTVXMQ/edit#gid=1251630045"",""articles_with_PRISMA_reasons!B2:B2113"")),
E249=""Exclude"",
FILTER(IMPORTRANGE(""https://docs.google.com/spreadsheets/d/1qpEmbGH0JjaJbUdp21-y2cPbobDbMjr09BbtdKROZWc/edit#gid=1444865654"&amp;""",""articles_with_PRISMA_reasons!Z2:Z2113""), $A249=IMPORTRANGE(""https://docs.google.com/spreadsheets/d/1qpEmbGH0JjaJbUdp21-y2cPbobDbMjr09BbtdKROZWc/edit#gid=1444865654"",""articles_with_PRISMA_reasons!B2:B2113"")),F249
=""Include"",FILTER(IMPORTRANGE("&amp;"""https://docs.google.com/spreadsheets/d/1kGrh75X1cNR1D7_FcY9zMnHP8iPO4M5RCRjy6nZY0TY/edit#gid=0"",""Table 1: Study characteristics!A4:A171""), $A249=IMPORTRANGE(""https://docs.google.com/spreadsheets/d/1kGrh75X1cNR1D7_FcY9zMnHP8iPO4M5RCRjy6nZY0TY/edit#gi"&amp;"d=0"",""Table 1: Study characteristics!B4:B171""))
)"),"wrong study design")</f>
        <v>wrong study design</v>
      </c>
    </row>
    <row r="250">
      <c r="A250" s="4" t="str">
        <f>IFERROR(__xludf.DUMMYFUNCTION("""COMPUTED_VALUE"""),"An Acute Complication of Ventriculoperitoneal Shunt with Bladder Perforation and Extrusion Through the Urethra in A Newborn: Case Report and Review of the Literature")</f>
        <v>An Acute Complication of Ventriculoperitoneal Shunt with Bladder Perforation and Extrusion Through the Urethra in A Newborn: Case Report and Review of the Literature</v>
      </c>
      <c r="B250" s="5" t="str">
        <f>IFERROR(__xludf.DUMMYFUNCTION("LEFT(FILTER(IMPORTRANGE(""https://docs.google.com/spreadsheets/d/1BJSV3WBYJGRhQ6zExamkszQ5VutGIcaQqmbD9ZTVXMQ/edit#gid=1251630045"",""articles_with_PRISMA_reasons!K2:K2113""), $A250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$A250=IMPORTRANGE(""https://docs.google.com/spreadsheets/d/1BJSV3WBYJGRhQ6zExamkszQ5VutGIcaQqmbD9ZTVXMQ/edit#gid=1251630045"",""articles_with_PRISMA_reasons!B2:B2113"")))-1)"),"Mutlu")</f>
        <v>Mutlu</v>
      </c>
      <c r="C250" s="6">
        <f>IFERROR(__xludf.DUMMYFUNCTION("FILTER(IMPORTRANGE(""https://docs.google.com/spreadsheets/d/1BJSV3WBYJGRhQ6zExamkszQ5VutGIcaQqmbD9ZTVXMQ/edit#gid=1251630045"",""articles_with_PRISMA_reasons!C2:C2113""), $A250=IMPORTRANGE(""https://docs.google.com/spreadsheets/d/1BJSV3WBYJGRhQ6zExamkszQ5"&amp;"VutGIcaQqmbD9ZTVXMQ/edit#gid=1251630045"",""articles_with_PRISMA_reasons!B2:B2113""))"),2015.0)</f>
        <v>2015</v>
      </c>
      <c r="D250" s="5" t="str">
        <f>IFERROR(__xludf.DUMMYFUNCTION("IFS(AND(
FILTER(IMPORTRANGE(""https://docs.google.com/spreadsheets/d/1BJSV3WBYJGRhQ6zExamkszQ5VutGIcaQqmbD9ZTVXMQ/edit#gid=1251630045"",""articles_with_PRISMA_reasons!Y2:Y2113""), $A250=IMPORTRANGE(""https://docs.google.com/spreadsheets/d/1BJSV3WBYJGRhQ6z"&amp;"ExamkszQ5VutGIcaQqmbD9ZTVXMQ/edit#gid=1251630045"",""articles_with_PRISMA_reasons!B2:B2113""))&gt;=2,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$A250=IMPORTRANGE(""https://docs.google.com/spreadsheets/d/1BJSV3WBYJGRhQ6zExamkszQ5VutGIcaQqmbD9ZTVXMQ/edit#gid=1251630045"",""articles_with_PRISMA_reasons!B2:B2113""))&lt;2),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$A250=IMPORTRANGE(""https://docs.google.com/spreadsheets/d/1BJSV3WBYJGRhQ6zExamkszQ5VutGIcaQqmbD9ZTVXMQ/edit#gid=1251630045"",""arti"&amp;"cles_with_PRISMA_reasons!B2:B2113""))&lt;2,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$A250=IMPORTRANGE(""https://docs.google.com"&amp;"/spreadsheets/d/1BJSV3WBYJGRhQ6zExamkszQ5VutGIcaQqmbD9ZTVXMQ/edit#gid=1251630045"",""articles_with_PRISMA_reasons!B2:B2113""))&gt;=2),
""Exclude""
)"),"Exclude")</f>
        <v>Exclude</v>
      </c>
      <c r="E250" s="5" t="str">
        <f>IFERROR(__xludf.DUMMYFUNCTION("IFS(
D250=""Exclude"",""Exclude"",
AND(
FILTER(IMPORTRANGE(""https://docs.google.com/spreadsheets/d/1qpEmbGH0JjaJbUdp21-y2cPbobDbMjr09BbtdKROZWc/edit#gid=1444865654"",""articles_with_PRISMA_reasons!W2:W2113""), $A250=IMPORTRANGE(""https://docs.google.com/"&amp;"spreadsheets/d/1qpEmbGH0JjaJbUdp21-y2cPbobDbMjr09BbtdKROZWc/edit#gid=1444865654"",""articles_with_PRISMA_reasons!B2:B2113""))&gt;=2,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$A250=IMPORTRANGE(""https://docs.google.com/spreadsheets/d/1qpEmbGH0JjaJbUdp21-y2cPbobDbMjr09BbtdKROZWc/edit#gid=1444865654"",""articles_with_PRISMA_reasons!B2:B2113""))&lt;2),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$A250=IMPORTRANGE(""https://docs.google.com/spreadsheets/d/1qpEmbGH0JjaJbUdp21-y2cPbobDbMjr09BbtdKRO"&amp;"ZWc/edit#gid=1444865654"",""articles_with_PRISMA_reasons!B2:B2113""))&lt;2,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$A250=IMPOR"&amp;"TRANGE(""https://docs.google.com/spreadsheets/d/1qpEmbGH0JjaJbUdp21-y2cPbobDbMjr09BbtdKROZWc/edit#gid=1444865654"",""articles_with_PRISMA_reasons!B2:B2113""))&gt;=2),
""Exclude""
)"),"Exclude")</f>
        <v>Exclude</v>
      </c>
      <c r="F250" s="5" t="str">
        <f>IFERROR(__xludf.DUMMYFUNCTION("IFS(
E250=""Exclude"",""Exclude"",
AND(
COUNTIF(
IMPORTRANGE(""https://docs.google.com/spreadsheets/d/1kGrh75X1cNR1D7_FcY9zMnHP8iPO4M5RCRjy6nZY0TY/edit#gid=0"",""Table 1: Study characteristics!B4:B171""),A250)&gt;0,
COUNTIF(Studies!$A$2:$A$85,FILTER(IMPORTRA"&amp;"NGE(""https://docs.google.com/spreadsheets/d/1kGrh75X1cNR1D7_FcY9zMnHP8iPO4M5RCRjy6nZY0TY/edit#gid=0"",""Table 1: Study characteristics!A4:A171""), $A250=IMPORTRANGE(""https://docs.google.com/spreadsheets/d/1kGrh75X1cNR1D7_FcY9zMnHP8iPO4M5RCRjy6nZY0TY/edi"&amp;"t#gid=0"",""Table 1: Study characteristics!B4:B171"")))&gt;0
),
""Include""
)"),"Exclude")</f>
        <v>Exclude</v>
      </c>
      <c r="G250" s="5" t="str">
        <f>IFERROR(__xludf.DUMMYFUNCTION("IFS(
D250=""Exclude"",
FILTER(IMPORTRANGE(""https://docs.google.com/spreadsheets/d/1BJSV3WBYJGRhQ6zExamkszQ5VutGIcaQqmbD9ZTVXMQ/edit#gid=1251630045"",""articles_with_PRISMA_reasons!AB2:AB2113""), $A250=IMPORTRANGE(""https://docs.google.com/spreadsheets/d/"&amp;"1BJSV3WBYJGRhQ6zExamkszQ5VutGIcaQqmbD9ZTVXMQ/edit#gid=1251630045"",""articles_with_PRISMA_reasons!B2:B2113"")),
E250=""Exclude"",
FILTER(IMPORTRANGE(""https://docs.google.com/spreadsheets/d/1qpEmbGH0JjaJbUdp21-y2cPbobDbMjr09BbtdKROZWc/edit#gid=1444865654"&amp;""",""articles_with_PRISMA_reasons!Z2:Z2113""), $A250=IMPORTRANGE(""https://docs.google.com/spreadsheets/d/1qpEmbGH0JjaJbUdp21-y2cPbobDbMjr09BbtdKROZWc/edit#gid=1444865654"",""articles_with_PRISMA_reasons!B2:B2113"")),F250
=""Include"",FILTER(IMPORTRANGE("&amp;"""https://docs.google.com/spreadsheets/d/1kGrh75X1cNR1D7_FcY9zMnHP8iPO4M5RCRjy6nZY0TY/edit#gid=0"",""Table 1: Study characteristics!A4:A171""), $A250=IMPORTRANGE(""https://docs.google.com/spreadsheets/d/1kGrh75X1cNR1D7_FcY9zMnHP8iPO4M5RCRjy6nZY0TY/edit#gi"&amp;"d=0"",""Table 1: Study characteristics!B4:B171""))
)"),"wrong study design")</f>
        <v>wrong study design</v>
      </c>
    </row>
    <row r="251">
      <c r="A251" s="4" t="str">
        <f>IFERROR(__xludf.DUMMYFUNCTION("""COMPUTED_VALUE"""),"An approach to the developmental and cognitive profile of the child with spina bifida")</f>
        <v>An approach to the developmental and cognitive profile of the child with spina bifida</v>
      </c>
      <c r="B251" s="5" t="str">
        <f>IFERROR(__xludf.DUMMYFUNCTION("LEFT(FILTER(IMPORTRANGE(""https://docs.google.com/spreadsheets/d/1BJSV3WBYJGRhQ6zExamkszQ5VutGIcaQqmbD9ZTVXMQ/edit#gid=1251630045"",""articles_with_PRISMA_reasons!K2:K2113""), $A251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$A251=IMPORTRANGE(""https://docs.google.com/spreadsheets/d/1BJSV3WBYJGRhQ6zExamkszQ5VutGIcaQqmbD9ZTVXMQ/edit#gid=1251630045"",""articles_with_PRISMA_reasons!B2:B2113"")))-1)"),"Ramsundhar")</f>
        <v>Ramsundhar</v>
      </c>
      <c r="C251" s="6">
        <f>IFERROR(__xludf.DUMMYFUNCTION("FILTER(IMPORTRANGE(""https://docs.google.com/spreadsheets/d/1BJSV3WBYJGRhQ6zExamkszQ5VutGIcaQqmbD9ZTVXMQ/edit#gid=1251630045"",""articles_with_PRISMA_reasons!C2:C2113""), $A251=IMPORTRANGE(""https://docs.google.com/spreadsheets/d/1BJSV3WBYJGRhQ6zExamkszQ5"&amp;"VutGIcaQqmbD9ZTVXMQ/edit#gid=1251630045"",""articles_with_PRISMA_reasons!B2:B2113""))"),2014.0)</f>
        <v>2014</v>
      </c>
      <c r="D251" s="5" t="str">
        <f>IFERROR(__xludf.DUMMYFUNCTION("IFS(AND(
FILTER(IMPORTRANGE(""https://docs.google.com/spreadsheets/d/1BJSV3WBYJGRhQ6zExamkszQ5VutGIcaQqmbD9ZTVXMQ/edit#gid=1251630045"",""articles_with_PRISMA_reasons!Y2:Y2113""), $A251=IMPORTRANGE(""https://docs.google.com/spreadsheets/d/1BJSV3WBYJGRhQ6z"&amp;"ExamkszQ5VutGIcaQqmbD9ZTVXMQ/edit#gid=1251630045"",""articles_with_PRISMA_reasons!B2:B2113""))&gt;=2,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$A251=IMPORTRANGE(""https://docs.google.com/spreadsheets/d/1BJSV3WBYJGRhQ6zExamkszQ5VutGIcaQqmbD9ZTVXMQ/edit#gid=1251630045"",""articles_with_PRISMA_reasons!B2:B2113""))&lt;2),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$A251=IMPORTRANGE(""https://docs.google.com/spreadsheets/d/1BJSV3WBYJGRhQ6zExamkszQ5VutGIcaQqmbD9ZTVXMQ/edit#gid=1251630045"",""arti"&amp;"cles_with_PRISMA_reasons!B2:B2113""))&lt;2,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$A251=IMPORTRANGE(""https://docs.google.com"&amp;"/spreadsheets/d/1BJSV3WBYJGRhQ6zExamkszQ5VutGIcaQqmbD9ZTVXMQ/edit#gid=1251630045"",""articles_with_PRISMA_reasons!B2:B2113""))&gt;=2),
""Exclude""
)"),"Exclude")</f>
        <v>Exclude</v>
      </c>
      <c r="E251" s="5" t="str">
        <f>IFERROR(__xludf.DUMMYFUNCTION("IFS(
D251=""Exclude"",""Exclude"",
AND(
FILTER(IMPORTRANGE(""https://docs.google.com/spreadsheets/d/1qpEmbGH0JjaJbUdp21-y2cPbobDbMjr09BbtdKROZWc/edit#gid=1444865654"",""articles_with_PRISMA_reasons!W2:W2113""), $A251=IMPORTRANGE(""https://docs.google.com/"&amp;"spreadsheets/d/1qpEmbGH0JjaJbUdp21-y2cPbobDbMjr09BbtdKROZWc/edit#gid=1444865654"",""articles_with_PRISMA_reasons!B2:B2113""))&gt;=2,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$A251=IMPORTRANGE(""https://docs.google.com/spreadsheets/d/1qpEmbGH0JjaJbUdp21-y2cPbobDbMjr09BbtdKROZWc/edit#gid=1444865654"",""articles_with_PRISMA_reasons!B2:B2113""))&lt;2),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$A251=IMPORTRANGE(""https://docs.google.com/spreadsheets/d/1qpEmbGH0JjaJbUdp21-y2cPbobDbMjr09BbtdKRO"&amp;"ZWc/edit#gid=1444865654"",""articles_with_PRISMA_reasons!B2:B2113""))&lt;2,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$A251=IMPOR"&amp;"TRANGE(""https://docs.google.com/spreadsheets/d/1qpEmbGH0JjaJbUdp21-y2cPbobDbMjr09BbtdKROZWc/edit#gid=1444865654"",""articles_with_PRISMA_reasons!B2:B2113""))&gt;=2),
""Exclude""
)"),"Exclude")</f>
        <v>Exclude</v>
      </c>
      <c r="F251" s="5" t="str">
        <f>IFERROR(__xludf.DUMMYFUNCTION("IFS(
E251=""Exclude"",""Exclude"",
AND(
COUNTIF(
IMPORTRANGE(""https://docs.google.com/spreadsheets/d/1kGrh75X1cNR1D7_FcY9zMnHP8iPO4M5RCRjy6nZY0TY/edit#gid=0"",""Table 1: Study characteristics!B4:B171""),A251)&gt;0,
COUNTIF(Studies!$A$2:$A$85,FILTER(IMPORTRA"&amp;"NGE(""https://docs.google.com/spreadsheets/d/1kGrh75X1cNR1D7_FcY9zMnHP8iPO4M5RCRjy6nZY0TY/edit#gid=0"",""Table 1: Study characteristics!A4:A171""), $A251=IMPORTRANGE(""https://docs.google.com/spreadsheets/d/1kGrh75X1cNR1D7_FcY9zMnHP8iPO4M5RCRjy6nZY0TY/edi"&amp;"t#gid=0"",""Table 1: Study characteristics!B4:B171"")))&gt;0
),
""Include""
)"),"Exclude")</f>
        <v>Exclude</v>
      </c>
      <c r="G251" s="5" t="str">
        <f>IFERROR(__xludf.DUMMYFUNCTION("IFS(
D251=""Exclude"",
FILTER(IMPORTRANGE(""https://docs.google.com/spreadsheets/d/1BJSV3WBYJGRhQ6zExamkszQ5VutGIcaQqmbD9ZTVXMQ/edit#gid=1251630045"",""articles_with_PRISMA_reasons!AB2:AB2113""), $A251=IMPORTRANGE(""https://docs.google.com/spreadsheets/d/"&amp;"1BJSV3WBYJGRhQ6zExamkszQ5VutGIcaQqmbD9ZTVXMQ/edit#gid=1251630045"",""articles_with_PRISMA_reasons!B2:B2113"")),
E251=""Exclude"",
FILTER(IMPORTRANGE(""https://docs.google.com/spreadsheets/d/1qpEmbGH0JjaJbUdp21-y2cPbobDbMjr09BbtdKROZWc/edit#gid=1444865654"&amp;""",""articles_with_PRISMA_reasons!Z2:Z2113""), $A251=IMPORTRANGE(""https://docs.google.com/spreadsheets/d/1qpEmbGH0JjaJbUdp21-y2cPbobDbMjr09BbtdKROZWc/edit#gid=1444865654"",""articles_with_PRISMA_reasons!B2:B2113"")),F251
=""Include"",FILTER(IMPORTRANGE("&amp;"""https://docs.google.com/spreadsheets/d/1kGrh75X1cNR1D7_FcY9zMnHP8iPO4M5RCRjy6nZY0TY/edit#gid=0"",""Table 1: Study characteristics!A4:A171""), $A251=IMPORTRANGE(""https://docs.google.com/spreadsheets/d/1kGrh75X1cNR1D7_FcY9zMnHP8iPO4M5RCRjy6nZY0TY/edit#gi"&amp;"d=0"",""Table 1: Study characteristics!B4:B171""))
)"),"wrong study design")</f>
        <v>wrong study design</v>
      </c>
    </row>
    <row r="252">
      <c r="A252" s="4" t="str">
        <f>IFERROR(__xludf.DUMMYFUNCTION("""COMPUTED_VALUE"""),"An atypical case of Chiari II malformation mimicking partial rhombencephalosynapsis")</f>
        <v>An atypical case of Chiari II malformation mimicking partial rhombencephalosynapsis</v>
      </c>
      <c r="B252" s="5" t="str">
        <f>IFERROR(__xludf.DUMMYFUNCTION("LEFT(FILTER(IMPORTRANGE(""https://docs.google.com/spreadsheets/d/1BJSV3WBYJGRhQ6zExamkszQ5VutGIcaQqmbD9ZTVXMQ/edit#gid=1251630045"",""articles_with_PRISMA_reasons!K2:K2113""), $A252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$A252=IMPORTRANGE(""https://docs.google.com/spreadsheets/d/1BJSV3WBYJGRhQ6zExamkszQ5VutGIcaQqmbD9ZTVXMQ/edit#gid=1251630045"",""articles_with_PRISMA_reasons!B2:B2113"")))-1)"),"Guleria")</f>
        <v>Guleria</v>
      </c>
      <c r="C252" s="6">
        <f>IFERROR(__xludf.DUMMYFUNCTION("FILTER(IMPORTRANGE(""https://docs.google.com/spreadsheets/d/1BJSV3WBYJGRhQ6zExamkszQ5VutGIcaQqmbD9ZTVXMQ/edit#gid=1251630045"",""articles_with_PRISMA_reasons!C2:C2113""), $A252=IMPORTRANGE(""https://docs.google.com/spreadsheets/d/1BJSV3WBYJGRhQ6zExamkszQ5"&amp;"VutGIcaQqmbD9ZTVXMQ/edit#gid=1251630045"",""articles_with_PRISMA_reasons!B2:B2113""))"),2012.0)</f>
        <v>2012</v>
      </c>
      <c r="D252" s="5" t="str">
        <f>IFERROR(__xludf.DUMMYFUNCTION("IFS(AND(
FILTER(IMPORTRANGE(""https://docs.google.com/spreadsheets/d/1BJSV3WBYJGRhQ6zExamkszQ5VutGIcaQqmbD9ZTVXMQ/edit#gid=1251630045"",""articles_with_PRISMA_reasons!Y2:Y2113""), $A252=IMPORTRANGE(""https://docs.google.com/spreadsheets/d/1BJSV3WBYJGRhQ6z"&amp;"ExamkszQ5VutGIcaQqmbD9ZTVXMQ/edit#gid=1251630045"",""articles_with_PRISMA_reasons!B2:B2113""))&gt;=2,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$A252=IMPORTRANGE(""https://docs.google.com/spreadsheets/d/1BJSV3WBYJGRhQ6zExamkszQ5VutGIcaQqmbD9ZTVXMQ/edit#gid=1251630045"",""articles_with_PRISMA_reasons!B2:B2113""))&lt;2),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$A252=IMPORTRANGE(""https://docs.google.com/spreadsheets/d/1BJSV3WBYJGRhQ6zExamkszQ5VutGIcaQqmbD9ZTVXMQ/edit#gid=1251630045"",""arti"&amp;"cles_with_PRISMA_reasons!B2:B2113""))&lt;2,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$A252=IMPORTRANGE(""https://docs.google.com"&amp;"/spreadsheets/d/1BJSV3WBYJGRhQ6zExamkszQ5VutGIcaQqmbD9ZTVXMQ/edit#gid=1251630045"",""articles_with_PRISMA_reasons!B2:B2113""))&gt;=2),
""Exclude""
)"),"Exclude")</f>
        <v>Exclude</v>
      </c>
      <c r="E252" s="5" t="str">
        <f>IFERROR(__xludf.DUMMYFUNCTION("IFS(
D252=""Exclude"",""Exclude"",
AND(
FILTER(IMPORTRANGE(""https://docs.google.com/spreadsheets/d/1qpEmbGH0JjaJbUdp21-y2cPbobDbMjr09BbtdKROZWc/edit#gid=1444865654"",""articles_with_PRISMA_reasons!W2:W2113""), $A252=IMPORTRANGE(""https://docs.google.com/"&amp;"spreadsheets/d/1qpEmbGH0JjaJbUdp21-y2cPbobDbMjr09BbtdKROZWc/edit#gid=1444865654"",""articles_with_PRISMA_reasons!B2:B2113""))&gt;=2,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$A252=IMPORTRANGE(""https://docs.google.com/spreadsheets/d/1qpEmbGH0JjaJbUdp21-y2cPbobDbMjr09BbtdKROZWc/edit#gid=1444865654"",""articles_with_PRISMA_reasons!B2:B2113""))&lt;2),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$A252=IMPORTRANGE(""https://docs.google.com/spreadsheets/d/1qpEmbGH0JjaJbUdp21-y2cPbobDbMjr09BbtdKRO"&amp;"ZWc/edit#gid=1444865654"",""articles_with_PRISMA_reasons!B2:B2113""))&lt;2,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$A252=IMPOR"&amp;"TRANGE(""https://docs.google.com/spreadsheets/d/1qpEmbGH0JjaJbUdp21-y2cPbobDbMjr09BbtdKROZWc/edit#gid=1444865654"",""articles_with_PRISMA_reasons!B2:B2113""))&gt;=2),
""Exclude""
)"),"Exclude")</f>
        <v>Exclude</v>
      </c>
      <c r="F252" s="5" t="str">
        <f>IFERROR(__xludf.DUMMYFUNCTION("IFS(
E252=""Exclude"",""Exclude"",
AND(
COUNTIF(
IMPORTRANGE(""https://docs.google.com/spreadsheets/d/1kGrh75X1cNR1D7_FcY9zMnHP8iPO4M5RCRjy6nZY0TY/edit#gid=0"",""Table 1: Study characteristics!B4:B171""),A252)&gt;0,
COUNTIF(Studies!$A$2:$A$85,FILTER(IMPORTRA"&amp;"NGE(""https://docs.google.com/spreadsheets/d/1kGrh75X1cNR1D7_FcY9zMnHP8iPO4M5RCRjy6nZY0TY/edit#gid=0"",""Table 1: Study characteristics!A4:A171""), $A252=IMPORTRANGE(""https://docs.google.com/spreadsheets/d/1kGrh75X1cNR1D7_FcY9zMnHP8iPO4M5RCRjy6nZY0TY/edi"&amp;"t#gid=0"",""Table 1: Study characteristics!B4:B171"")))&gt;0
),
""Include""
)"),"Exclude")</f>
        <v>Exclude</v>
      </c>
      <c r="G252" s="5" t="str">
        <f>IFERROR(__xludf.DUMMYFUNCTION("IFS(
D252=""Exclude"",
FILTER(IMPORTRANGE(""https://docs.google.com/spreadsheets/d/1BJSV3WBYJGRhQ6zExamkszQ5VutGIcaQqmbD9ZTVXMQ/edit#gid=1251630045"",""articles_with_PRISMA_reasons!AB2:AB2113""), $A252=IMPORTRANGE(""https://docs.google.com/spreadsheets/d/"&amp;"1BJSV3WBYJGRhQ6zExamkszQ5VutGIcaQqmbD9ZTVXMQ/edit#gid=1251630045"",""articles_with_PRISMA_reasons!B2:B2113"")),
E252=""Exclude"",
FILTER(IMPORTRANGE(""https://docs.google.com/spreadsheets/d/1qpEmbGH0JjaJbUdp21-y2cPbobDbMjr09BbtdKROZWc/edit#gid=1444865654"&amp;""",""articles_with_PRISMA_reasons!Z2:Z2113""), $A252=IMPORTRANGE(""https://docs.google.com/spreadsheets/d/1qpEmbGH0JjaJbUdp21-y2cPbobDbMjr09BbtdKROZWc/edit#gid=1444865654"",""articles_with_PRISMA_reasons!B2:B2113"")),F252
=""Include"",FILTER(IMPORTRANGE("&amp;"""https://docs.google.com/spreadsheets/d/1kGrh75X1cNR1D7_FcY9zMnHP8iPO4M5RCRjy6nZY0TY/edit#gid=0"",""Table 1: Study characteristics!A4:A171""), $A252=IMPORTRANGE(""https://docs.google.com/spreadsheets/d/1kGrh75X1cNR1D7_FcY9zMnHP8iPO4M5RCRjy6nZY0TY/edit#gi"&amp;"d=0"",""Table 1: Study characteristics!B4:B171""))
)"),"wrong publication type")</f>
        <v>wrong publication type</v>
      </c>
    </row>
    <row r="253">
      <c r="A253" s="4" t="str">
        <f>IFERROR(__xludf.DUMMYFUNCTION("""COMPUTED_VALUE"""),"An epidemiological study of disability in 4-year-old children from a birth cohort in Frederiksborg County, Denmark")</f>
        <v>An epidemiological study of disability in 4-year-old children from a birth cohort in Frederiksborg County, Denmark</v>
      </c>
      <c r="B253" s="5" t="str">
        <f>IFERROR(__xludf.DUMMYFUNCTION("LEFT(FILTER(IMPORTRANGE(""https://docs.google.com/spreadsheets/d/1BJSV3WBYJGRhQ6zExamkszQ5VutGIcaQqmbD9ZTVXMQ/edit#gid=1251630045"",""articles_with_PRISMA_reasons!K2:K2113""), $A253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$A253=IMPORTRANGE(""https://docs.google.com/spreadsheets/d/1BJSV3WBYJGRhQ6zExamkszQ5VutGIcaQqmbD9ZTVXMQ/edit#gid=1251630045"",""articles_with_PRISMA_reasons!B2:B2113"")))-1)"),"Andersen")</f>
        <v>Andersen</v>
      </c>
      <c r="C253" s="6" t="str">
        <f>IFERROR(__xludf.DUMMYFUNCTION("FILTER(IMPORTRANGE(""https://docs.google.com/spreadsheets/d/1BJSV3WBYJGRhQ6zExamkszQ5VutGIcaQqmbD9ZTVXMQ/edit#gid=1251630045"",""articles_with_PRISMA_reasons!C2:C2113""), $A253=IMPORTRANGE(""https://docs.google.com/spreadsheets/d/1BJSV3WBYJGRhQ6zExamkszQ5"&amp;"VutGIcaQqmbD9ZTVXMQ/edit#gid=1251630045"",""articles_with_PRISMA_reasons!B2:B2113""))"),"Apr")</f>
        <v>Apr</v>
      </c>
      <c r="D253" s="5" t="str">
        <f>IFERROR(__xludf.DUMMYFUNCTION("IFS(AND(
FILTER(IMPORTRANGE(""https://docs.google.com/spreadsheets/d/1BJSV3WBYJGRhQ6zExamkszQ5VutGIcaQqmbD9ZTVXMQ/edit#gid=1251630045"",""articles_with_PRISMA_reasons!Y2:Y2113""), $A253=IMPORTRANGE(""https://docs.google.com/spreadsheets/d/1BJSV3WBYJGRhQ6z"&amp;"ExamkszQ5VutGIcaQqmbD9ZTVXMQ/edit#gid=1251630045"",""articles_with_PRISMA_reasons!B2:B2113""))&gt;=2,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$A253=IMPORTRANGE(""https://docs.google.com/spreadsheets/d/1BJSV3WBYJGRhQ6zExamkszQ5VutGIcaQqmbD9ZTVXMQ/edit#gid=1251630045"",""articles_with_PRISMA_reasons!B2:B2113""))&lt;2),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$A253=IMPORTRANGE(""https://docs.google.com/spreadsheets/d/1BJSV3WBYJGRhQ6zExamkszQ5VutGIcaQqmbD9ZTVXMQ/edit#gid=1251630045"",""arti"&amp;"cles_with_PRISMA_reasons!B2:B2113""))&lt;2,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$A253=IMPORTRANGE(""https://docs.google.com"&amp;"/spreadsheets/d/1BJSV3WBYJGRhQ6zExamkszQ5VutGIcaQqmbD9ZTVXMQ/edit#gid=1251630045"",""articles_with_PRISMA_reasons!B2:B2113""))&gt;=2),
""Exclude""
)"),"Exclude")</f>
        <v>Exclude</v>
      </c>
      <c r="E253" s="5" t="str">
        <f>IFERROR(__xludf.DUMMYFUNCTION("IFS(
D253=""Exclude"",""Exclude"",
AND(
FILTER(IMPORTRANGE(""https://docs.google.com/spreadsheets/d/1qpEmbGH0JjaJbUdp21-y2cPbobDbMjr09BbtdKROZWc/edit#gid=1444865654"",""articles_with_PRISMA_reasons!W2:W2113""), $A253=IMPORTRANGE(""https://docs.google.com/"&amp;"spreadsheets/d/1qpEmbGH0JjaJbUdp21-y2cPbobDbMjr09BbtdKROZWc/edit#gid=1444865654"",""articles_with_PRISMA_reasons!B2:B2113""))&gt;=2,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$A253=IMPORTRANGE(""https://docs.google.com/spreadsheets/d/1qpEmbGH0JjaJbUdp21-y2cPbobDbMjr09BbtdKROZWc/edit#gid=1444865654"",""articles_with_PRISMA_reasons!B2:B2113""))&lt;2),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$A253=IMPORTRANGE(""https://docs.google.com/spreadsheets/d/1qpEmbGH0JjaJbUdp21-y2cPbobDbMjr09BbtdKRO"&amp;"ZWc/edit#gid=1444865654"",""articles_with_PRISMA_reasons!B2:B2113""))&lt;2,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$A253=IMPOR"&amp;"TRANGE(""https://docs.google.com/spreadsheets/d/1qpEmbGH0JjaJbUdp21-y2cPbobDbMjr09BbtdKROZWc/edit#gid=1444865654"",""articles_with_PRISMA_reasons!B2:B2113""))&gt;=2),
""Exclude""
)"),"Exclude")</f>
        <v>Exclude</v>
      </c>
      <c r="F253" s="5" t="str">
        <f>IFERROR(__xludf.DUMMYFUNCTION("IFS(
E253=""Exclude"",""Exclude"",
AND(
COUNTIF(
IMPORTRANGE(""https://docs.google.com/spreadsheets/d/1kGrh75X1cNR1D7_FcY9zMnHP8iPO4M5RCRjy6nZY0TY/edit#gid=0"",""Table 1: Study characteristics!B4:B171""),A253)&gt;0,
COUNTIF(Studies!$A$2:$A$85,FILTER(IMPORTRA"&amp;"NGE(""https://docs.google.com/spreadsheets/d/1kGrh75X1cNR1D7_FcY9zMnHP8iPO4M5RCRjy6nZY0TY/edit#gid=0"",""Table 1: Study characteristics!A4:A171""), $A253=IMPORTRANGE(""https://docs.google.com/spreadsheets/d/1kGrh75X1cNR1D7_FcY9zMnHP8iPO4M5RCRjy6nZY0TY/edi"&amp;"t#gid=0"",""Table 1: Study characteristics!B4:B171"")))&gt;0
),
""Include""
)"),"Exclude")</f>
        <v>Exclude</v>
      </c>
      <c r="G253" s="5" t="str">
        <f>IFERROR(__xludf.DUMMYFUNCTION("IFS(
D253=""Exclude"",
FILTER(IMPORTRANGE(""https://docs.google.com/spreadsheets/d/1BJSV3WBYJGRhQ6zExamkszQ5VutGIcaQqmbD9ZTVXMQ/edit#gid=1251630045"",""articles_with_PRISMA_reasons!AB2:AB2113""), $A253=IMPORTRANGE(""https://docs.google.com/spreadsheets/d/"&amp;"1BJSV3WBYJGRhQ6zExamkszQ5VutGIcaQqmbD9ZTVXMQ/edit#gid=1251630045"",""articles_with_PRISMA_reasons!B2:B2113"")),
E253=""Exclude"",
FILTER(IMPORTRANGE(""https://docs.google.com/spreadsheets/d/1qpEmbGH0JjaJbUdp21-y2cPbobDbMjr09BbtdKROZWc/edit#gid=1444865654"&amp;""",""articles_with_PRISMA_reasons!Z2:Z2113""), $A253=IMPORTRANGE(""https://docs.google.com/spreadsheets/d/1qpEmbGH0JjaJbUdp21-y2cPbobDbMjr09BbtdKROZWc/edit#gid=1444865654"",""articles_with_PRISMA_reasons!B2:B2113"")),F253
=""Include"",FILTER(IMPORTRANGE("&amp;"""https://docs.google.com/spreadsheets/d/1kGrh75X1cNR1D7_FcY9zMnHP8iPO4M5RCRjy6nZY0TY/edit#gid=0"",""Table 1: Study characteristics!A4:A171""), $A253=IMPORTRANGE(""https://docs.google.com/spreadsheets/d/1kGrh75X1cNR1D7_FcY9zMnHP8iPO4M5RCRjy6nZY0TY/edit#gi"&amp;"d=0"",""Table 1: Study characteristics!B4:B171""))
)"),"wrong study design")</f>
        <v>wrong study design</v>
      </c>
    </row>
    <row r="254">
      <c r="A254" s="4" t="str">
        <f>IFERROR(__xludf.DUMMYFUNCTION("""COMPUTED_VALUE"""),"An exceptional case of complete lumbosacral spine duplication and open myelomeningocele in adulthood: Case report")</f>
        <v>An exceptional case of complete lumbosacral spine duplication and open myelomeningocele in adulthood: Case report</v>
      </c>
      <c r="B254" s="5" t="str">
        <f>IFERROR(__xludf.DUMMYFUNCTION("LEFT(FILTER(IMPORTRANGE(""https://docs.google.com/spreadsheets/d/1BJSV3WBYJGRhQ6zExamkszQ5VutGIcaQqmbD9ZTVXMQ/edit#gid=1251630045"",""articles_with_PRISMA_reasons!K2:K2113""), $A254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$A254=IMPORTRANGE(""https://docs.google.com/spreadsheets/d/1BJSV3WBYJGRhQ6zExamkszQ5VutGIcaQqmbD9ZTVXMQ/edit#gid=1251630045"",""articles_with_PRISMA_reasons!B2:B2113"")))-1)"),"Alberio")</f>
        <v>Alberio</v>
      </c>
      <c r="C254" s="6">
        <f>IFERROR(__xludf.DUMMYFUNCTION("FILTER(IMPORTRANGE(""https://docs.google.com/spreadsheets/d/1BJSV3WBYJGRhQ6zExamkszQ5VutGIcaQqmbD9ZTVXMQ/edit#gid=1251630045"",""articles_with_PRISMA_reasons!C2:C2113""), $A254=IMPORTRANGE(""https://docs.google.com/spreadsheets/d/1BJSV3WBYJGRhQ6zExamkszQ5"&amp;"VutGIcaQqmbD9ZTVXMQ/edit#gid=1251630045"",""articles_with_PRISMA_reasons!B2:B2113""))"),2010.0)</f>
        <v>2010</v>
      </c>
      <c r="D254" s="5" t="str">
        <f>IFERROR(__xludf.DUMMYFUNCTION("IFS(AND(
FILTER(IMPORTRANGE(""https://docs.google.com/spreadsheets/d/1BJSV3WBYJGRhQ6zExamkszQ5VutGIcaQqmbD9ZTVXMQ/edit#gid=1251630045"",""articles_with_PRISMA_reasons!Y2:Y2113""), $A254=IMPORTRANGE(""https://docs.google.com/spreadsheets/d/1BJSV3WBYJGRhQ6z"&amp;"ExamkszQ5VutGIcaQqmbD9ZTVXMQ/edit#gid=1251630045"",""articles_with_PRISMA_reasons!B2:B2113""))&gt;=2,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$A254=IMPORTRANGE(""https://docs.google.com/spreadsheets/d/1BJSV3WBYJGRhQ6zExamkszQ5VutGIcaQqmbD9ZTVXMQ/edit#gid=1251630045"",""articles_with_PRISMA_reasons!B2:B2113""))&lt;2),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$A254=IMPORTRANGE(""https://docs.google.com/spreadsheets/d/1BJSV3WBYJGRhQ6zExamkszQ5VutGIcaQqmbD9ZTVXMQ/edit#gid=1251630045"",""arti"&amp;"cles_with_PRISMA_reasons!B2:B2113""))&lt;2,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$A254=IMPORTRANGE(""https://docs.google.com"&amp;"/spreadsheets/d/1BJSV3WBYJGRhQ6zExamkszQ5VutGIcaQqmbD9ZTVXMQ/edit#gid=1251630045"",""articles_with_PRISMA_reasons!B2:B2113""))&gt;=2),
""Exclude""
)"),"Exclude")</f>
        <v>Exclude</v>
      </c>
      <c r="E254" s="5" t="str">
        <f>IFERROR(__xludf.DUMMYFUNCTION("IFS(
D254=""Exclude"",""Exclude"",
AND(
FILTER(IMPORTRANGE(""https://docs.google.com/spreadsheets/d/1qpEmbGH0JjaJbUdp21-y2cPbobDbMjr09BbtdKROZWc/edit#gid=1444865654"",""articles_with_PRISMA_reasons!W2:W2113""), $A254=IMPORTRANGE(""https://docs.google.com/"&amp;"spreadsheets/d/1qpEmbGH0JjaJbUdp21-y2cPbobDbMjr09BbtdKROZWc/edit#gid=1444865654"",""articles_with_PRISMA_reasons!B2:B2113""))&gt;=2,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$A254=IMPORTRANGE(""https://docs.google.com/spreadsheets/d/1qpEmbGH0JjaJbUdp21-y2cPbobDbMjr09BbtdKROZWc/edit#gid=1444865654"",""articles_with_PRISMA_reasons!B2:B2113""))&lt;2),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$A254=IMPORTRANGE(""https://docs.google.com/spreadsheets/d/1qpEmbGH0JjaJbUdp21-y2cPbobDbMjr09BbtdKRO"&amp;"ZWc/edit#gid=1444865654"",""articles_with_PRISMA_reasons!B2:B2113""))&lt;2,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$A254=IMPOR"&amp;"TRANGE(""https://docs.google.com/spreadsheets/d/1qpEmbGH0JjaJbUdp21-y2cPbobDbMjr09BbtdKROZWc/edit#gid=1444865654"",""articles_with_PRISMA_reasons!B2:B2113""))&gt;=2),
""Exclude""
)"),"Exclude")</f>
        <v>Exclude</v>
      </c>
      <c r="F254" s="5" t="str">
        <f>IFERROR(__xludf.DUMMYFUNCTION("IFS(
E254=""Exclude"",""Exclude"",
AND(
COUNTIF(
IMPORTRANGE(""https://docs.google.com/spreadsheets/d/1kGrh75X1cNR1D7_FcY9zMnHP8iPO4M5RCRjy6nZY0TY/edit#gid=0"",""Table 1: Study characteristics!B4:B171""),A254)&gt;0,
COUNTIF(Studies!$A$2:$A$85,FILTER(IMPORTRA"&amp;"NGE(""https://docs.google.com/spreadsheets/d/1kGrh75X1cNR1D7_FcY9zMnHP8iPO4M5RCRjy6nZY0TY/edit#gid=0"",""Table 1: Study characteristics!A4:A171""), $A254=IMPORTRANGE(""https://docs.google.com/spreadsheets/d/1kGrh75X1cNR1D7_FcY9zMnHP8iPO4M5RCRjy6nZY0TY/edi"&amp;"t#gid=0"",""Table 1: Study characteristics!B4:B171"")))&gt;0
),
""Include""
)"),"Exclude")</f>
        <v>Exclude</v>
      </c>
      <c r="G254" s="5" t="str">
        <f>IFERROR(__xludf.DUMMYFUNCTION("IFS(
D254=""Exclude"",
FILTER(IMPORTRANGE(""https://docs.google.com/spreadsheets/d/1BJSV3WBYJGRhQ6zExamkszQ5VutGIcaQqmbD9ZTVXMQ/edit#gid=1251630045"",""articles_with_PRISMA_reasons!AB2:AB2113""), $A254=IMPORTRANGE(""https://docs.google.com/spreadsheets/d/"&amp;"1BJSV3WBYJGRhQ6zExamkszQ5VutGIcaQqmbD9ZTVXMQ/edit#gid=1251630045"",""articles_with_PRISMA_reasons!B2:B2113"")),
E254=""Exclude"",
FILTER(IMPORTRANGE(""https://docs.google.com/spreadsheets/d/1qpEmbGH0JjaJbUdp21-y2cPbobDbMjr09BbtdKROZWc/edit#gid=1444865654"&amp;""",""articles_with_PRISMA_reasons!Z2:Z2113""), $A254=IMPORTRANGE(""https://docs.google.com/spreadsheets/d/1qpEmbGH0JjaJbUdp21-y2cPbobDbMjr09BbtdKROZWc/edit#gid=1444865654"",""articles_with_PRISMA_reasons!B2:B2113"")),F254
=""Include"",FILTER(IMPORTRANGE("&amp;"""https://docs.google.com/spreadsheets/d/1kGrh75X1cNR1D7_FcY9zMnHP8iPO4M5RCRjy6nZY0TY/edit#gid=0"",""Table 1: Study characteristics!A4:A171""), $A254=IMPORTRANGE(""https://docs.google.com/spreadsheets/d/1kGrh75X1cNR1D7_FcY9zMnHP8iPO4M5RCRjy6nZY0TY/edit#gi"&amp;"d=0"",""Table 1: Study characteristics!B4:B171""))
)"),"wrong publication type")</f>
        <v>wrong publication type</v>
      </c>
    </row>
    <row r="255">
      <c r="A255" s="4" t="str">
        <f>IFERROR(__xludf.DUMMYFUNCTION("""COMPUTED_VALUE"""),"An external validation of the ETVSS for both short-term and long-term predictive adequacy in 104 pediatric patients")</f>
        <v>An external validation of the ETVSS for both short-term and long-term predictive adequacy in 104 pediatric patients</v>
      </c>
      <c r="B255" s="5" t="str">
        <f>IFERROR(__xludf.DUMMYFUNCTION("LEFT(FILTER(IMPORTRANGE(""https://docs.google.com/spreadsheets/d/1BJSV3WBYJGRhQ6zExamkszQ5VutGIcaQqmbD9ZTVXMQ/edit#gid=1251630045"",""articles_with_PRISMA_reasons!K2:K2113""), $A255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$A255=IMPORTRANGE(""https://docs.google.com/spreadsheets/d/1BJSV3WBYJGRhQ6zExamkszQ5VutGIcaQqmbD9ZTVXMQ/edit#gid=1251630045"",""articles_with_PRISMA_reasons!B2:B2113"")))-1)"),"Breimer")</f>
        <v>Breimer</v>
      </c>
      <c r="C255" s="6">
        <f>IFERROR(__xludf.DUMMYFUNCTION("FILTER(IMPORTRANGE(""https://docs.google.com/spreadsheets/d/1BJSV3WBYJGRhQ6zExamkszQ5VutGIcaQqmbD9ZTVXMQ/edit#gid=1251630045"",""articles_with_PRISMA_reasons!C2:C2113""), $A255=IMPORTRANGE(""https://docs.google.com/spreadsheets/d/1BJSV3WBYJGRhQ6zExamkszQ5"&amp;"VutGIcaQqmbD9ZTVXMQ/edit#gid=1251630045"",""articles_with_PRISMA_reasons!B2:B2113""))"),2013.0)</f>
        <v>2013</v>
      </c>
      <c r="D255" s="5" t="str">
        <f>IFERROR(__xludf.DUMMYFUNCTION("IFS(AND(
FILTER(IMPORTRANGE(""https://docs.google.com/spreadsheets/d/1BJSV3WBYJGRhQ6zExamkszQ5VutGIcaQqmbD9ZTVXMQ/edit#gid=1251630045"",""articles_with_PRISMA_reasons!Y2:Y2113""), $A255=IMPORTRANGE(""https://docs.google.com/spreadsheets/d/1BJSV3WBYJGRhQ6z"&amp;"ExamkszQ5VutGIcaQqmbD9ZTVXMQ/edit#gid=1251630045"",""articles_with_PRISMA_reasons!B2:B2113""))&gt;=2,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$A255=IMPORTRANGE(""https://docs.google.com/spreadsheets/d/1BJSV3WBYJGRhQ6zExamkszQ5VutGIcaQqmbD9ZTVXMQ/edit#gid=1251630045"",""articles_with_PRISMA_reasons!B2:B2113""))&lt;2),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$A255=IMPORTRANGE(""https://docs.google.com/spreadsheets/d/1BJSV3WBYJGRhQ6zExamkszQ5VutGIcaQqmbD9ZTVXMQ/edit#gid=1251630045"",""arti"&amp;"cles_with_PRISMA_reasons!B2:B2113""))&lt;2,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$A255=IMPORTRANGE(""https://docs.google.com"&amp;"/spreadsheets/d/1BJSV3WBYJGRhQ6zExamkszQ5VutGIcaQqmbD9ZTVXMQ/edit#gid=1251630045"",""articles_with_PRISMA_reasons!B2:B2113""))&gt;=2),
""Exclude""
)"),"Exclude")</f>
        <v>Exclude</v>
      </c>
      <c r="E255" s="5" t="str">
        <f>IFERROR(__xludf.DUMMYFUNCTION("IFS(
D255=""Exclude"",""Exclude"",
AND(
FILTER(IMPORTRANGE(""https://docs.google.com/spreadsheets/d/1qpEmbGH0JjaJbUdp21-y2cPbobDbMjr09BbtdKROZWc/edit#gid=1444865654"",""articles_with_PRISMA_reasons!W2:W2113""), $A255=IMPORTRANGE(""https://docs.google.com/"&amp;"spreadsheets/d/1qpEmbGH0JjaJbUdp21-y2cPbobDbMjr09BbtdKROZWc/edit#gid=1444865654"",""articles_with_PRISMA_reasons!B2:B2113""))&gt;=2,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$A255=IMPORTRANGE(""https://docs.google.com/spreadsheets/d/1qpEmbGH0JjaJbUdp21-y2cPbobDbMjr09BbtdKROZWc/edit#gid=1444865654"",""articles_with_PRISMA_reasons!B2:B2113""))&lt;2),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$A255=IMPORTRANGE(""https://docs.google.com/spreadsheets/d/1qpEmbGH0JjaJbUdp21-y2cPbobDbMjr09BbtdKRO"&amp;"ZWc/edit#gid=1444865654"",""articles_with_PRISMA_reasons!B2:B2113""))&lt;2,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$A255=IMPOR"&amp;"TRANGE(""https://docs.google.com/spreadsheets/d/1qpEmbGH0JjaJbUdp21-y2cPbobDbMjr09BbtdKROZWc/edit#gid=1444865654"",""articles_with_PRISMA_reasons!B2:B2113""))&gt;=2),
""Exclude""
)"),"Exclude")</f>
        <v>Exclude</v>
      </c>
      <c r="F255" s="5" t="str">
        <f>IFERROR(__xludf.DUMMYFUNCTION("IFS(
E255=""Exclude"",""Exclude"",
AND(
COUNTIF(
IMPORTRANGE(""https://docs.google.com/spreadsheets/d/1kGrh75X1cNR1D7_FcY9zMnHP8iPO4M5RCRjy6nZY0TY/edit#gid=0"",""Table 1: Study characteristics!B4:B171""),A255)&gt;0,
COUNTIF(Studies!$A$2:$A$85,FILTER(IMPORTRA"&amp;"NGE(""https://docs.google.com/spreadsheets/d/1kGrh75X1cNR1D7_FcY9zMnHP8iPO4M5RCRjy6nZY0TY/edit#gid=0"",""Table 1: Study characteristics!A4:A171""), $A255=IMPORTRANGE(""https://docs.google.com/spreadsheets/d/1kGrh75X1cNR1D7_FcY9zMnHP8iPO4M5RCRjy6nZY0TY/edi"&amp;"t#gid=0"",""Table 1: Study characteristics!B4:B171"")))&gt;0
),
""Include""
)"),"Exclude")</f>
        <v>Exclude</v>
      </c>
      <c r="G255" s="5" t="str">
        <f>IFERROR(__xludf.DUMMYFUNCTION("IFS(
D255=""Exclude"",
FILTER(IMPORTRANGE(""https://docs.google.com/spreadsheets/d/1BJSV3WBYJGRhQ6zExamkszQ5VutGIcaQqmbD9ZTVXMQ/edit#gid=1251630045"",""articles_with_PRISMA_reasons!AB2:AB2113""), $A255=IMPORTRANGE(""https://docs.google.com/spreadsheets/d/"&amp;"1BJSV3WBYJGRhQ6zExamkszQ5VutGIcaQqmbD9ZTVXMQ/edit#gid=1251630045"",""articles_with_PRISMA_reasons!B2:B2113"")),
E255=""Exclude"",
FILTER(IMPORTRANGE(""https://docs.google.com/spreadsheets/d/1qpEmbGH0JjaJbUdp21-y2cPbobDbMjr09BbtdKROZWc/edit#gid=1444865654"&amp;""",""articles_with_PRISMA_reasons!Z2:Z2113""), $A255=IMPORTRANGE(""https://docs.google.com/spreadsheets/d/1qpEmbGH0JjaJbUdp21-y2cPbobDbMjr09BbtdKROZWc/edit#gid=1444865654"",""articles_with_PRISMA_reasons!B2:B2113"")),F255
=""Include"",FILTER(IMPORTRANGE("&amp;"""https://docs.google.com/spreadsheets/d/1kGrh75X1cNR1D7_FcY9zMnHP8iPO4M5RCRjy6nZY0TY/edit#gid=0"",""Table 1: Study characteristics!A4:A171""), $A255=IMPORTRANGE(""https://docs.google.com/spreadsheets/d/1kGrh75X1cNR1D7_FcY9zMnHP8iPO4M5RCRjy6nZY0TY/edit#gi"&amp;"d=0"",""Table 1: Study characteristics!B4:B171""))
)"),"wrong population")</f>
        <v>wrong population</v>
      </c>
    </row>
    <row r="256">
      <c r="A256" s="4" t="str">
        <f>IFERROR(__xludf.DUMMYFUNCTION("""COMPUTED_VALUE"""),"An Investigation into the Vancomycin Concentration in the Cerebrospinal Fluid Due to Vancomycin Intraventricular Administration in Newborns")</f>
        <v>An Investigation into the Vancomycin Concentration in the Cerebrospinal Fluid Due to Vancomycin Intraventricular Administration in Newborns</v>
      </c>
      <c r="B256" s="5" t="str">
        <f>IFERROR(__xludf.DUMMYFUNCTION("LEFT(FILTER(IMPORTRANGE(""https://docs.google.com/spreadsheets/d/1BJSV3WBYJGRhQ6zExamkszQ5VutGIcaQqmbD9ZTVXMQ/edit#gid=1251630045"",""articles_with_PRISMA_reasons!K2:K2113""), $A256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$A256=IMPORTRANGE(""https://docs.google.com/spreadsheets/d/1BJSV3WBYJGRhQ6zExamkszQ5VutGIcaQqmbD9ZTVXMQ/edit#gid=1251630045"",""articles_with_PRISMA_reasons!B2:B2113"")))-1)"),"Matsunaga")</f>
        <v>Matsunaga</v>
      </c>
      <c r="C256" s="6">
        <f>IFERROR(__xludf.DUMMYFUNCTION("FILTER(IMPORTRANGE(""https://docs.google.com/spreadsheets/d/1BJSV3WBYJGRhQ6zExamkszQ5VutGIcaQqmbD9ZTVXMQ/edit#gid=1251630045"",""articles_with_PRISMA_reasons!C2:C2113""), $A256=IMPORTRANGE(""https://docs.google.com/spreadsheets/d/1BJSV3WBYJGRhQ6zExamkszQ5"&amp;"VutGIcaQqmbD9ZTVXMQ/edit#gid=1251630045"",""articles_with_PRISMA_reasons!B2:B2113""))"),2015.0)</f>
        <v>2015</v>
      </c>
      <c r="D256" s="5" t="str">
        <f>IFERROR(__xludf.DUMMYFUNCTION("IFS(AND(
FILTER(IMPORTRANGE(""https://docs.google.com/spreadsheets/d/1BJSV3WBYJGRhQ6zExamkszQ5VutGIcaQqmbD9ZTVXMQ/edit#gid=1251630045"",""articles_with_PRISMA_reasons!Y2:Y2113""), $A256=IMPORTRANGE(""https://docs.google.com/spreadsheets/d/1BJSV3WBYJGRhQ6z"&amp;"ExamkszQ5VutGIcaQqmbD9ZTVXMQ/edit#gid=1251630045"",""articles_with_PRISMA_reasons!B2:B2113""))&gt;=2,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$A256=IMPORTRANGE(""https://docs.google.com/spreadsheets/d/1BJSV3WBYJGRhQ6zExamkszQ5VutGIcaQqmbD9ZTVXMQ/edit#gid=1251630045"",""articles_with_PRISMA_reasons!B2:B2113""))&lt;2),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$A256=IMPORTRANGE(""https://docs.google.com/spreadsheets/d/1BJSV3WBYJGRhQ6zExamkszQ5VutGIcaQqmbD9ZTVXMQ/edit#gid=1251630045"",""arti"&amp;"cles_with_PRISMA_reasons!B2:B2113""))&lt;2,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$A256=IMPORTRANGE(""https://docs.google.com"&amp;"/spreadsheets/d/1BJSV3WBYJGRhQ6zExamkszQ5VutGIcaQqmbD9ZTVXMQ/edit#gid=1251630045"",""articles_with_PRISMA_reasons!B2:B2113""))&gt;=2),
""Exclude""
)"),"Exclude")</f>
        <v>Exclude</v>
      </c>
      <c r="E256" s="5" t="str">
        <f>IFERROR(__xludf.DUMMYFUNCTION("IFS(
D256=""Exclude"",""Exclude"",
AND(
FILTER(IMPORTRANGE(""https://docs.google.com/spreadsheets/d/1qpEmbGH0JjaJbUdp21-y2cPbobDbMjr09BbtdKROZWc/edit#gid=1444865654"",""articles_with_PRISMA_reasons!W2:W2113""), $A256=IMPORTRANGE(""https://docs.google.com/"&amp;"spreadsheets/d/1qpEmbGH0JjaJbUdp21-y2cPbobDbMjr09BbtdKROZWc/edit#gid=1444865654"",""articles_with_PRISMA_reasons!B2:B2113""))&gt;=2,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$A256=IMPORTRANGE(""https://docs.google.com/spreadsheets/d/1qpEmbGH0JjaJbUdp21-y2cPbobDbMjr09BbtdKROZWc/edit#gid=1444865654"",""articles_with_PRISMA_reasons!B2:B2113""))&lt;2),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$A256=IMPORTRANGE(""https://docs.google.com/spreadsheets/d/1qpEmbGH0JjaJbUdp21-y2cPbobDbMjr09BbtdKRO"&amp;"ZWc/edit#gid=1444865654"",""articles_with_PRISMA_reasons!B2:B2113""))&lt;2,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$A256=IMPOR"&amp;"TRANGE(""https://docs.google.com/spreadsheets/d/1qpEmbGH0JjaJbUdp21-y2cPbobDbMjr09BbtdKROZWc/edit#gid=1444865654"",""articles_with_PRISMA_reasons!B2:B2113""))&gt;=2),
""Exclude""
)"),"Exclude")</f>
        <v>Exclude</v>
      </c>
      <c r="F256" s="5" t="str">
        <f>IFERROR(__xludf.DUMMYFUNCTION("IFS(
E256=""Exclude"",""Exclude"",
AND(
COUNTIF(
IMPORTRANGE(""https://docs.google.com/spreadsheets/d/1kGrh75X1cNR1D7_FcY9zMnHP8iPO4M5RCRjy6nZY0TY/edit#gid=0"",""Table 1: Study characteristics!B4:B171""),A256)&gt;0,
COUNTIF(Studies!$A$2:$A$85,FILTER(IMPORTRA"&amp;"NGE(""https://docs.google.com/spreadsheets/d/1kGrh75X1cNR1D7_FcY9zMnHP8iPO4M5RCRjy6nZY0TY/edit#gid=0"",""Table 1: Study characteristics!A4:A171""), $A256=IMPORTRANGE(""https://docs.google.com/spreadsheets/d/1kGrh75X1cNR1D7_FcY9zMnHP8iPO4M5RCRjy6nZY0TY/edi"&amp;"t#gid=0"",""Table 1: Study characteristics!B4:B171"")))&gt;0
),
""Include""
)"),"Exclude")</f>
        <v>Exclude</v>
      </c>
      <c r="G256" s="5" t="str">
        <f>IFERROR(__xludf.DUMMYFUNCTION("IFS(
D256=""Exclude"",
FILTER(IMPORTRANGE(""https://docs.google.com/spreadsheets/d/1BJSV3WBYJGRhQ6zExamkszQ5VutGIcaQqmbD9ZTVXMQ/edit#gid=1251630045"",""articles_with_PRISMA_reasons!AB2:AB2113""), $A256=IMPORTRANGE(""https://docs.google.com/spreadsheets/d/"&amp;"1BJSV3WBYJGRhQ6zExamkszQ5VutGIcaQqmbD9ZTVXMQ/edit#gid=1251630045"",""articles_with_PRISMA_reasons!B2:B2113"")),
E256=""Exclude"",
FILTER(IMPORTRANGE(""https://docs.google.com/spreadsheets/d/1qpEmbGH0JjaJbUdp21-y2cPbobDbMjr09BbtdKROZWc/edit#gid=1444865654"&amp;""",""articles_with_PRISMA_reasons!Z2:Z2113""), $A256=IMPORTRANGE(""https://docs.google.com/spreadsheets/d/1qpEmbGH0JjaJbUdp21-y2cPbobDbMjr09BbtdKROZWc/edit#gid=1444865654"",""articles_with_PRISMA_reasons!B2:B2113"")),F256
=""Include"",FILTER(IMPORTRANGE("&amp;"""https://docs.google.com/spreadsheets/d/1kGrh75X1cNR1D7_FcY9zMnHP8iPO4M5RCRjy6nZY0TY/edit#gid=0"",""Table 1: Study characteristics!A4:A171""), $A256=IMPORTRANGE(""https://docs.google.com/spreadsheets/d/1kGrh75X1cNR1D7_FcY9zMnHP8iPO4M5RCRjy6nZY0TY/edit#gi"&amp;"d=0"",""Table 1: Study characteristics!B4:B171""))
)"),"wrong population")</f>
        <v>wrong population</v>
      </c>
    </row>
    <row r="257">
      <c r="A257" s="4" t="str">
        <f>IFERROR(__xludf.DUMMYFUNCTION("""COMPUTED_VALUE"""),"An Open Fetal Myelomeningocele Repair With Incorporation of a Skin Allograft")</f>
        <v>An Open Fetal Myelomeningocele Repair With Incorporation of a Skin Allograft</v>
      </c>
      <c r="B257" s="5" t="str">
        <f>IFERROR(__xludf.DUMMYFUNCTION("LEFT(FILTER(IMPORTRANGE(""https://docs.google.com/spreadsheets/d/1BJSV3WBYJGRhQ6zExamkszQ5VutGIcaQqmbD9ZTVXMQ/edit#gid=1251630045"",""articles_with_PRISMA_reasons!K2:K2113""), $A257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$A257=IMPORTRANGE(""https://docs.google.com/spreadsheets/d/1BJSV3WBYJGRhQ6zExamkszQ5VutGIcaQqmbD9ZTVXMQ/edit#gid=1251630045"",""articles_with_PRISMA_reasons!B2:B2113"")))-1)"),"Snegovskikh")</f>
        <v>Snegovskikh</v>
      </c>
      <c r="C257" s="6">
        <f>IFERROR(__xludf.DUMMYFUNCTION("FILTER(IMPORTRANGE(""https://docs.google.com/spreadsheets/d/1BJSV3WBYJGRhQ6zExamkszQ5VutGIcaQqmbD9ZTVXMQ/edit#gid=1251630045"",""articles_with_PRISMA_reasons!C2:C2113""), $A257=IMPORTRANGE(""https://docs.google.com/spreadsheets/d/1BJSV3WBYJGRhQ6zExamkszQ5"&amp;"VutGIcaQqmbD9ZTVXMQ/edit#gid=1251630045"",""articles_with_PRISMA_reasons!B2:B2113""))"),2020.0)</f>
        <v>2020</v>
      </c>
      <c r="D257" s="5" t="str">
        <f>IFERROR(__xludf.DUMMYFUNCTION("IFS(AND(
FILTER(IMPORTRANGE(""https://docs.google.com/spreadsheets/d/1BJSV3WBYJGRhQ6zExamkszQ5VutGIcaQqmbD9ZTVXMQ/edit#gid=1251630045"",""articles_with_PRISMA_reasons!Y2:Y2113""), $A257=IMPORTRANGE(""https://docs.google.com/spreadsheets/d/1BJSV3WBYJGRhQ6z"&amp;"ExamkszQ5VutGIcaQqmbD9ZTVXMQ/edit#gid=1251630045"",""articles_with_PRISMA_reasons!B2:B2113""))&gt;=2,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$A257=IMPORTRANGE(""https://docs.google.com/spreadsheets/d/1BJSV3WBYJGRhQ6zExamkszQ5VutGIcaQqmbD9ZTVXMQ/edit#gid=1251630045"",""articles_with_PRISMA_reasons!B2:B2113""))&lt;2),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$A257=IMPORTRANGE(""https://docs.google.com/spreadsheets/d/1BJSV3WBYJGRhQ6zExamkszQ5VutGIcaQqmbD9ZTVXMQ/edit#gid=1251630045"",""arti"&amp;"cles_with_PRISMA_reasons!B2:B2113""))&lt;2,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$A257=IMPORTRANGE(""https://docs.google.com"&amp;"/spreadsheets/d/1BJSV3WBYJGRhQ6zExamkszQ5VutGIcaQqmbD9ZTVXMQ/edit#gid=1251630045"",""articles_with_PRISMA_reasons!B2:B2113""))&gt;=2),
""Exclude""
)"),"Exclude")</f>
        <v>Exclude</v>
      </c>
      <c r="E257" s="5" t="str">
        <f>IFERROR(__xludf.DUMMYFUNCTION("IFS(
D257=""Exclude"",""Exclude"",
AND(
FILTER(IMPORTRANGE(""https://docs.google.com/spreadsheets/d/1qpEmbGH0JjaJbUdp21-y2cPbobDbMjr09BbtdKROZWc/edit#gid=1444865654"",""articles_with_PRISMA_reasons!W2:W2113""), $A257=IMPORTRANGE(""https://docs.google.com/"&amp;"spreadsheets/d/1qpEmbGH0JjaJbUdp21-y2cPbobDbMjr09BbtdKROZWc/edit#gid=1444865654"",""articles_with_PRISMA_reasons!B2:B2113""))&gt;=2,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$A257=IMPORTRANGE(""https://docs.google.com/spreadsheets/d/1qpEmbGH0JjaJbUdp21-y2cPbobDbMjr09BbtdKROZWc/edit#gid=1444865654"",""articles_with_PRISMA_reasons!B2:B2113""))&lt;2),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$A257=IMPORTRANGE(""https://docs.google.com/spreadsheets/d/1qpEmbGH0JjaJbUdp21-y2cPbobDbMjr09BbtdKRO"&amp;"ZWc/edit#gid=1444865654"",""articles_with_PRISMA_reasons!B2:B2113""))&lt;2,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$A257=IMPOR"&amp;"TRANGE(""https://docs.google.com/spreadsheets/d/1qpEmbGH0JjaJbUdp21-y2cPbobDbMjr09BbtdKROZWc/edit#gid=1444865654"",""articles_with_PRISMA_reasons!B2:B2113""))&gt;=2),
""Exclude""
)"),"Exclude")</f>
        <v>Exclude</v>
      </c>
      <c r="F257" s="5" t="str">
        <f>IFERROR(__xludf.DUMMYFUNCTION("IFS(
E257=""Exclude"",""Exclude"",
AND(
COUNTIF(
IMPORTRANGE(""https://docs.google.com/spreadsheets/d/1kGrh75X1cNR1D7_FcY9zMnHP8iPO4M5RCRjy6nZY0TY/edit#gid=0"",""Table 1: Study characteristics!B4:B171""),A257)&gt;0,
COUNTIF(Studies!$A$2:$A$85,FILTER(IMPORTRA"&amp;"NGE(""https://docs.google.com/spreadsheets/d/1kGrh75X1cNR1D7_FcY9zMnHP8iPO4M5RCRjy6nZY0TY/edit#gid=0"",""Table 1: Study characteristics!A4:A171""), $A257=IMPORTRANGE(""https://docs.google.com/spreadsheets/d/1kGrh75X1cNR1D7_FcY9zMnHP8iPO4M5RCRjy6nZY0TY/edi"&amp;"t#gid=0"",""Table 1: Study characteristics!B4:B171"")))&gt;0
),
""Include""
)"),"Exclude")</f>
        <v>Exclude</v>
      </c>
      <c r="G257" s="5" t="str">
        <f>IFERROR(__xludf.DUMMYFUNCTION("IFS(
D257=""Exclude"",
FILTER(IMPORTRANGE(""https://docs.google.com/spreadsheets/d/1BJSV3WBYJGRhQ6zExamkszQ5VutGIcaQqmbD9ZTVXMQ/edit#gid=1251630045"",""articles_with_PRISMA_reasons!AB2:AB2113""), $A257=IMPORTRANGE(""https://docs.google.com/spreadsheets/d/"&amp;"1BJSV3WBYJGRhQ6zExamkszQ5VutGIcaQqmbD9ZTVXMQ/edit#gid=1251630045"",""articles_with_PRISMA_reasons!B2:B2113"")),
E257=""Exclude"",
FILTER(IMPORTRANGE(""https://docs.google.com/spreadsheets/d/1qpEmbGH0JjaJbUdp21-y2cPbobDbMjr09BbtdKROZWc/edit#gid=1444865654"&amp;""",""articles_with_PRISMA_reasons!Z2:Z2113""), $A257=IMPORTRANGE(""https://docs.google.com/spreadsheets/d/1qpEmbGH0JjaJbUdp21-y2cPbobDbMjr09BbtdKROZWc/edit#gid=1444865654"",""articles_with_PRISMA_reasons!B2:B2113"")),F257
=""Include"",FILTER(IMPORTRANGE("&amp;"""https://docs.google.com/spreadsheets/d/1kGrh75X1cNR1D7_FcY9zMnHP8iPO4M5RCRjy6nZY0TY/edit#gid=0"",""Table 1: Study characteristics!A4:A171""), $A257=IMPORTRANGE(""https://docs.google.com/spreadsheets/d/1kGrh75X1cNR1D7_FcY9zMnHP8iPO4M5RCRjy6nZY0TY/edit#gi"&amp;"d=0"",""Table 1: Study characteristics!B4:B171""))
)"),"wrong study design")</f>
        <v>wrong study design</v>
      </c>
    </row>
    <row r="258">
      <c r="A258" s="4" t="str">
        <f>IFERROR(__xludf.DUMMYFUNCTION("""COMPUTED_VALUE"""),"An unexpected finding in a child with myelomeningocele (case presentation)")</f>
        <v>An unexpected finding in a child with myelomeningocele (case presentation)</v>
      </c>
      <c r="B258" s="5" t="str">
        <f>IFERROR(__xludf.DUMMYFUNCTION("LEFT(FILTER(IMPORTRANGE(""https://docs.google.com/spreadsheets/d/1BJSV3WBYJGRhQ6zExamkszQ5VutGIcaQqmbD9ZTVXMQ/edit#gid=1251630045"",""articles_with_PRISMA_reasons!K2:K2113""), $A258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$A258=IMPORTRANGE(""https://docs.google.com/spreadsheets/d/1BJSV3WBYJGRhQ6zExamkszQ5VutGIcaQqmbD9ZTVXMQ/edit#gid=1251630045"",""articles_with_PRISMA_reasons!B2:B2113"")))-1)"),"Meyer")</f>
        <v>Meyer</v>
      </c>
      <c r="C258" s="6">
        <f>IFERROR(__xludf.DUMMYFUNCTION("FILTER(IMPORTRANGE(""https://docs.google.com/spreadsheets/d/1BJSV3WBYJGRhQ6zExamkszQ5VutGIcaQqmbD9ZTVXMQ/edit#gid=1251630045"",""articles_with_PRISMA_reasons!C2:C2113""), $A258=IMPORTRANGE(""https://docs.google.com/spreadsheets/d/1BJSV3WBYJGRhQ6zExamkszQ5"&amp;"VutGIcaQqmbD9ZTVXMQ/edit#gid=1251630045"",""articles_with_PRISMA_reasons!B2:B2113""))"),2011.0)</f>
        <v>2011</v>
      </c>
      <c r="D258" s="5" t="str">
        <f>IFERROR(__xludf.DUMMYFUNCTION("IFS(AND(
FILTER(IMPORTRANGE(""https://docs.google.com/spreadsheets/d/1BJSV3WBYJGRhQ6zExamkszQ5VutGIcaQqmbD9ZTVXMQ/edit#gid=1251630045"",""articles_with_PRISMA_reasons!Y2:Y2113""), $A258=IMPORTRANGE(""https://docs.google.com/spreadsheets/d/1BJSV3WBYJGRhQ6z"&amp;"ExamkszQ5VutGIcaQqmbD9ZTVXMQ/edit#gid=1251630045"",""articles_with_PRISMA_reasons!B2:B2113""))&gt;=2,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$A258=IMPORTRANGE(""https://docs.google.com/spreadsheets/d/1BJSV3WBYJGRhQ6zExamkszQ5VutGIcaQqmbD9ZTVXMQ/edit#gid=1251630045"",""articles_with_PRISMA_reasons!B2:B2113""))&lt;2),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$A258=IMPORTRANGE(""https://docs.google.com/spreadsheets/d/1BJSV3WBYJGRhQ6zExamkszQ5VutGIcaQqmbD9ZTVXMQ/edit#gid=1251630045"",""arti"&amp;"cles_with_PRISMA_reasons!B2:B2113""))&lt;2,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$A258=IMPORTRANGE(""https://docs.google.com"&amp;"/spreadsheets/d/1BJSV3WBYJGRhQ6zExamkszQ5VutGIcaQqmbD9ZTVXMQ/edit#gid=1251630045"",""articles_with_PRISMA_reasons!B2:B2113""))&gt;=2),
""Exclude""
)"),"Exclude")</f>
        <v>Exclude</v>
      </c>
      <c r="E258" s="5" t="str">
        <f>IFERROR(__xludf.DUMMYFUNCTION("IFS(
D258=""Exclude"",""Exclude"",
AND(
FILTER(IMPORTRANGE(""https://docs.google.com/spreadsheets/d/1qpEmbGH0JjaJbUdp21-y2cPbobDbMjr09BbtdKROZWc/edit#gid=1444865654"",""articles_with_PRISMA_reasons!W2:W2113""), $A258=IMPORTRANGE(""https://docs.google.com/"&amp;"spreadsheets/d/1qpEmbGH0JjaJbUdp21-y2cPbobDbMjr09BbtdKROZWc/edit#gid=1444865654"",""articles_with_PRISMA_reasons!B2:B2113""))&gt;=2,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$A258=IMPORTRANGE(""https://docs.google.com/spreadsheets/d/1qpEmbGH0JjaJbUdp21-y2cPbobDbMjr09BbtdKROZWc/edit#gid=1444865654"",""articles_with_PRISMA_reasons!B2:B2113""))&lt;2),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$A258=IMPORTRANGE(""https://docs.google.com/spreadsheets/d/1qpEmbGH0JjaJbUdp21-y2cPbobDbMjr09BbtdKRO"&amp;"ZWc/edit#gid=1444865654"",""articles_with_PRISMA_reasons!B2:B2113""))&lt;2,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$A258=IMPOR"&amp;"TRANGE(""https://docs.google.com/spreadsheets/d/1qpEmbGH0JjaJbUdp21-y2cPbobDbMjr09BbtdKROZWc/edit#gid=1444865654"",""articles_with_PRISMA_reasons!B2:B2113""))&gt;=2),
""Exclude""
)"),"Exclude")</f>
        <v>Exclude</v>
      </c>
      <c r="F258" s="5" t="str">
        <f>IFERROR(__xludf.DUMMYFUNCTION("IFS(
E258=""Exclude"",""Exclude"",
AND(
COUNTIF(
IMPORTRANGE(""https://docs.google.com/spreadsheets/d/1kGrh75X1cNR1D7_FcY9zMnHP8iPO4M5RCRjy6nZY0TY/edit#gid=0"",""Table 1: Study characteristics!B4:B171""),A258)&gt;0,
COUNTIF(Studies!$A$2:$A$85,FILTER(IMPORTRA"&amp;"NGE(""https://docs.google.com/spreadsheets/d/1kGrh75X1cNR1D7_FcY9zMnHP8iPO4M5RCRjy6nZY0TY/edit#gid=0"",""Table 1: Study characteristics!A4:A171""), $A258=IMPORTRANGE(""https://docs.google.com/spreadsheets/d/1kGrh75X1cNR1D7_FcY9zMnHP8iPO4M5RCRjy6nZY0TY/edi"&amp;"t#gid=0"",""Table 1: Study characteristics!B4:B171"")))&gt;0
),
""Include""
)"),"Exclude")</f>
        <v>Exclude</v>
      </c>
      <c r="G258" s="5" t="str">
        <f>IFERROR(__xludf.DUMMYFUNCTION("IFS(
D258=""Exclude"",
FILTER(IMPORTRANGE(""https://docs.google.com/spreadsheets/d/1BJSV3WBYJGRhQ6zExamkszQ5VutGIcaQqmbD9ZTVXMQ/edit#gid=1251630045"",""articles_with_PRISMA_reasons!AB2:AB2113""), $A258=IMPORTRANGE(""https://docs.google.com/spreadsheets/d/"&amp;"1BJSV3WBYJGRhQ6zExamkszQ5VutGIcaQqmbD9ZTVXMQ/edit#gid=1251630045"",""articles_with_PRISMA_reasons!B2:B2113"")),
E258=""Exclude"",
FILTER(IMPORTRANGE(""https://docs.google.com/spreadsheets/d/1qpEmbGH0JjaJbUdp21-y2cPbobDbMjr09BbtdKROZWc/edit#gid=1444865654"&amp;""",""articles_with_PRISMA_reasons!Z2:Z2113""), $A258=IMPORTRANGE(""https://docs.google.com/spreadsheets/d/1qpEmbGH0JjaJbUdp21-y2cPbobDbMjr09BbtdKROZWc/edit#gid=1444865654"",""articles_with_PRISMA_reasons!B2:B2113"")),F258
=""Include"",FILTER(IMPORTRANGE("&amp;"""https://docs.google.com/spreadsheets/d/1kGrh75X1cNR1D7_FcY9zMnHP8iPO4M5RCRjy6nZY0TY/edit#gid=0"",""Table 1: Study characteristics!A4:A171""), $A258=IMPORTRANGE(""https://docs.google.com/spreadsheets/d/1kGrh75X1cNR1D7_FcY9zMnHP8iPO4M5RCRjy6nZY0TY/edit#gi"&amp;"d=0"",""Table 1: Study characteristics!B4:B171""))
)"),"wrong study design")</f>
        <v>wrong study design</v>
      </c>
    </row>
    <row r="259">
      <c r="A259" s="4" t="str">
        <f>IFERROR(__xludf.DUMMYFUNCTION("""COMPUTED_VALUE"""),"An Unreported Complication After Fetoscopic Myelomeningocele Closure")</f>
        <v>An Unreported Complication After Fetoscopic Myelomeningocele Closure</v>
      </c>
      <c r="B259" s="5" t="str">
        <f>IFERROR(__xludf.DUMMYFUNCTION("LEFT(FILTER(IMPORTRANGE(""https://docs.google.com/spreadsheets/d/1BJSV3WBYJGRhQ6zExamkszQ5VutGIcaQqmbD9ZTVXMQ/edit#gid=1251630045"",""articles_with_PRISMA_reasons!K2:K2113""), $A259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$A259=IMPORTRANGE(""https://docs.google.com/spreadsheets/d/1BJSV3WBYJGRhQ6zExamkszQ5VutGIcaQqmbD9ZTVXMQ/edit#gid=1251630045"",""articles_with_PRISMA_reasons!B2:B2113"")))-1)"),"Ewing")</f>
        <v>Ewing</v>
      </c>
      <c r="C259" s="6">
        <f>IFERROR(__xludf.DUMMYFUNCTION("FILTER(IMPORTRANGE(""https://docs.google.com/spreadsheets/d/1BJSV3WBYJGRhQ6zExamkszQ5VutGIcaQqmbD9ZTVXMQ/edit#gid=1251630045"",""articles_with_PRISMA_reasons!C2:C2113""), $A259=IMPORTRANGE(""https://docs.google.com/spreadsheets/d/1BJSV3WBYJGRhQ6zExamkszQ5"&amp;"VutGIcaQqmbD9ZTVXMQ/edit#gid=1251630045"",""articles_with_PRISMA_reasons!B2:B2113""))"),2019.0)</f>
        <v>2019</v>
      </c>
      <c r="D259" s="5" t="str">
        <f>IFERROR(__xludf.DUMMYFUNCTION("IFS(AND(
FILTER(IMPORTRANGE(""https://docs.google.com/spreadsheets/d/1BJSV3WBYJGRhQ6zExamkszQ5VutGIcaQqmbD9ZTVXMQ/edit#gid=1251630045"",""articles_with_PRISMA_reasons!Y2:Y2113""), $A259=IMPORTRANGE(""https://docs.google.com/spreadsheets/d/1BJSV3WBYJGRhQ6z"&amp;"ExamkszQ5VutGIcaQqmbD9ZTVXMQ/edit#gid=1251630045"",""articles_with_PRISMA_reasons!B2:B2113""))&gt;=2,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$A259=IMPORTRANGE(""https://docs.google.com/spreadsheets/d/1BJSV3WBYJGRhQ6zExamkszQ5VutGIcaQqmbD9ZTVXMQ/edit#gid=1251630045"",""articles_with_PRISMA_reasons!B2:B2113""))&lt;2),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$A259=IMPORTRANGE(""https://docs.google.com/spreadsheets/d/1BJSV3WBYJGRhQ6zExamkszQ5VutGIcaQqmbD9ZTVXMQ/edit#gid=1251630045"",""arti"&amp;"cles_with_PRISMA_reasons!B2:B2113""))&lt;2,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$A259=IMPORTRANGE(""https://docs.google.com"&amp;"/spreadsheets/d/1BJSV3WBYJGRhQ6zExamkszQ5VutGIcaQqmbD9ZTVXMQ/edit#gid=1251630045"",""articles_with_PRISMA_reasons!B2:B2113""))&gt;=2),
""Exclude""
)"),"Exclude")</f>
        <v>Exclude</v>
      </c>
      <c r="E259" s="5" t="str">
        <f>IFERROR(__xludf.DUMMYFUNCTION("IFS(
D259=""Exclude"",""Exclude"",
AND(
FILTER(IMPORTRANGE(""https://docs.google.com/spreadsheets/d/1qpEmbGH0JjaJbUdp21-y2cPbobDbMjr09BbtdKROZWc/edit#gid=1444865654"",""articles_with_PRISMA_reasons!W2:W2113""), $A259=IMPORTRANGE(""https://docs.google.com/"&amp;"spreadsheets/d/1qpEmbGH0JjaJbUdp21-y2cPbobDbMjr09BbtdKROZWc/edit#gid=1444865654"",""articles_with_PRISMA_reasons!B2:B2113""))&gt;=2,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$A259=IMPORTRANGE(""https://docs.google.com/spreadsheets/d/1qpEmbGH0JjaJbUdp21-y2cPbobDbMjr09BbtdKROZWc/edit#gid=1444865654"",""articles_with_PRISMA_reasons!B2:B2113""))&lt;2),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$A259=IMPORTRANGE(""https://docs.google.com/spreadsheets/d/1qpEmbGH0JjaJbUdp21-y2cPbobDbMjr09BbtdKRO"&amp;"ZWc/edit#gid=1444865654"",""articles_with_PRISMA_reasons!B2:B2113""))&lt;2,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$A259=IMPOR"&amp;"TRANGE(""https://docs.google.com/spreadsheets/d/1qpEmbGH0JjaJbUdp21-y2cPbobDbMjr09BbtdKROZWc/edit#gid=1444865654"",""articles_with_PRISMA_reasons!B2:B2113""))&gt;=2),
""Exclude""
)"),"Exclude")</f>
        <v>Exclude</v>
      </c>
      <c r="F259" s="5" t="str">
        <f>IFERROR(__xludf.DUMMYFUNCTION("IFS(
E259=""Exclude"",""Exclude"",
AND(
COUNTIF(
IMPORTRANGE(""https://docs.google.com/spreadsheets/d/1kGrh75X1cNR1D7_FcY9zMnHP8iPO4M5RCRjy6nZY0TY/edit#gid=0"",""Table 1: Study characteristics!B4:B171""),A259)&gt;0,
COUNTIF(Studies!$A$2:$A$85,FILTER(IMPORTRA"&amp;"NGE(""https://docs.google.com/spreadsheets/d/1kGrh75X1cNR1D7_FcY9zMnHP8iPO4M5RCRjy6nZY0TY/edit#gid=0"",""Table 1: Study characteristics!A4:A171""), $A259=IMPORTRANGE(""https://docs.google.com/spreadsheets/d/1kGrh75X1cNR1D7_FcY9zMnHP8iPO4M5RCRjy6nZY0TY/edi"&amp;"t#gid=0"",""Table 1: Study characteristics!B4:B171"")))&gt;0
),
""Include""
)"),"Exclude")</f>
        <v>Exclude</v>
      </c>
      <c r="G259" s="5" t="str">
        <f>IFERROR(__xludf.DUMMYFUNCTION("IFS(
D259=""Exclude"",
FILTER(IMPORTRANGE(""https://docs.google.com/spreadsheets/d/1BJSV3WBYJGRhQ6zExamkszQ5VutGIcaQqmbD9ZTVXMQ/edit#gid=1251630045"",""articles_with_PRISMA_reasons!AB2:AB2113""), $A259=IMPORTRANGE(""https://docs.google.com/spreadsheets/d/"&amp;"1BJSV3WBYJGRhQ6zExamkszQ5VutGIcaQqmbD9ZTVXMQ/edit#gid=1251630045"",""articles_with_PRISMA_reasons!B2:B2113"")),
E259=""Exclude"",
FILTER(IMPORTRANGE(""https://docs.google.com/spreadsheets/d/1qpEmbGH0JjaJbUdp21-y2cPbobDbMjr09BbtdKROZWc/edit#gid=1444865654"&amp;""",""articles_with_PRISMA_reasons!Z2:Z2113""), $A259=IMPORTRANGE(""https://docs.google.com/spreadsheets/d/1qpEmbGH0JjaJbUdp21-y2cPbobDbMjr09BbtdKROZWc/edit#gid=1444865654"",""articles_with_PRISMA_reasons!B2:B2113"")),F259
=""Include"",FILTER(IMPORTRANGE("&amp;"""https://docs.google.com/spreadsheets/d/1kGrh75X1cNR1D7_FcY9zMnHP8iPO4M5RCRjy6nZY0TY/edit#gid=0"",""Table 1: Study characteristics!A4:A171""), $A259=IMPORTRANGE(""https://docs.google.com/spreadsheets/d/1kGrh75X1cNR1D7_FcY9zMnHP8iPO4M5RCRjy6nZY0TY/edit#gi"&amp;"d=0"",""Table 1: Study characteristics!B4:B171""))
)"),"wrong study design")</f>
        <v>wrong study design</v>
      </c>
    </row>
    <row r="260">
      <c r="A260" s="4" t="str">
        <f>IFERROR(__xludf.DUMMYFUNCTION("""COMPUTED_VALUE"""),"Anaesthesia for neurosurgical procedures in paediatric patients")</f>
        <v>Anaesthesia for neurosurgical procedures in paediatric patients</v>
      </c>
      <c r="B260" s="5" t="str">
        <f>IFERROR(__xludf.DUMMYFUNCTION("LEFT(FILTER(IMPORTRANGE(""https://docs.google.com/spreadsheets/d/1BJSV3WBYJGRhQ6zExamkszQ5VutGIcaQqmbD9ZTVXMQ/edit#gid=1251630045"",""articles_with_PRISMA_reasons!K2:K2113""), $A260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$A260=IMPORTRANGE(""https://docs.google.com/spreadsheets/d/1BJSV3WBYJGRhQ6zExamkszQ5VutGIcaQqmbD9ZTVXMQ/edit#gid=1251630045"",""articles_with_PRISMA_reasons!B2:B2113"")))-1)"),"Rath")</f>
        <v>Rath</v>
      </c>
      <c r="C260" s="6">
        <f>IFERROR(__xludf.DUMMYFUNCTION("FILTER(IMPORTRANGE(""https://docs.google.com/spreadsheets/d/1BJSV3WBYJGRhQ6zExamkszQ5VutGIcaQqmbD9ZTVXMQ/edit#gid=1251630045"",""articles_with_PRISMA_reasons!C2:C2113""), $A260=IMPORTRANGE(""https://docs.google.com/spreadsheets/d/1BJSV3WBYJGRhQ6zExamkszQ5"&amp;"VutGIcaQqmbD9ZTVXMQ/edit#gid=1251630045"",""articles_with_PRISMA_reasons!B2:B2113""))"),2012.0)</f>
        <v>2012</v>
      </c>
      <c r="D260" s="5" t="str">
        <f>IFERROR(__xludf.DUMMYFUNCTION("IFS(AND(
FILTER(IMPORTRANGE(""https://docs.google.com/spreadsheets/d/1BJSV3WBYJGRhQ6zExamkszQ5VutGIcaQqmbD9ZTVXMQ/edit#gid=1251630045"",""articles_with_PRISMA_reasons!Y2:Y2113""), $A260=IMPORTRANGE(""https://docs.google.com/spreadsheets/d/1BJSV3WBYJGRhQ6z"&amp;"ExamkszQ5VutGIcaQqmbD9ZTVXMQ/edit#gid=1251630045"",""articles_with_PRISMA_reasons!B2:B2113""))&gt;=2,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$A260=IMPORTRANGE(""https://docs.google.com/spreadsheets/d/1BJSV3WBYJGRhQ6zExamkszQ5VutGIcaQqmbD9ZTVXMQ/edit#gid=1251630045"",""articles_with_PRISMA_reasons!B2:B2113""))&lt;2),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$A260=IMPORTRANGE(""https://docs.google.com/spreadsheets/d/1BJSV3WBYJGRhQ6zExamkszQ5VutGIcaQqmbD9ZTVXMQ/edit#gid=1251630045"",""arti"&amp;"cles_with_PRISMA_reasons!B2:B2113""))&lt;2,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$A260=IMPORTRANGE(""https://docs.google.com"&amp;"/spreadsheets/d/1BJSV3WBYJGRhQ6zExamkszQ5VutGIcaQqmbD9ZTVXMQ/edit#gid=1251630045"",""articles_with_PRISMA_reasons!B2:B2113""))&gt;=2),
""Exclude""
)"),"Exclude")</f>
        <v>Exclude</v>
      </c>
      <c r="E260" s="5" t="str">
        <f>IFERROR(__xludf.DUMMYFUNCTION("IFS(
D260=""Exclude"",""Exclude"",
AND(
FILTER(IMPORTRANGE(""https://docs.google.com/spreadsheets/d/1qpEmbGH0JjaJbUdp21-y2cPbobDbMjr09BbtdKROZWc/edit#gid=1444865654"",""articles_with_PRISMA_reasons!W2:W2113""), $A260=IMPORTRANGE(""https://docs.google.com/"&amp;"spreadsheets/d/1qpEmbGH0JjaJbUdp21-y2cPbobDbMjr09BbtdKROZWc/edit#gid=1444865654"",""articles_with_PRISMA_reasons!B2:B2113""))&gt;=2,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$A260=IMPORTRANGE(""https://docs.google.com/spreadsheets/d/1qpEmbGH0JjaJbUdp21-y2cPbobDbMjr09BbtdKROZWc/edit#gid=1444865654"",""articles_with_PRISMA_reasons!B2:B2113""))&lt;2),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$A260=IMPORTRANGE(""https://docs.google.com/spreadsheets/d/1qpEmbGH0JjaJbUdp21-y2cPbobDbMjr09BbtdKRO"&amp;"ZWc/edit#gid=1444865654"",""articles_with_PRISMA_reasons!B2:B2113""))&lt;2,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$A260=IMPOR"&amp;"TRANGE(""https://docs.google.com/spreadsheets/d/1qpEmbGH0JjaJbUdp21-y2cPbobDbMjr09BbtdKROZWc/edit#gid=1444865654"",""articles_with_PRISMA_reasons!B2:B2113""))&gt;=2),
""Exclude""
)"),"Exclude")</f>
        <v>Exclude</v>
      </c>
      <c r="F260" s="5" t="str">
        <f>IFERROR(__xludf.DUMMYFUNCTION("IFS(
E260=""Exclude"",""Exclude"",
AND(
COUNTIF(
IMPORTRANGE(""https://docs.google.com/spreadsheets/d/1kGrh75X1cNR1D7_FcY9zMnHP8iPO4M5RCRjy6nZY0TY/edit#gid=0"",""Table 1: Study characteristics!B4:B171""),A260)&gt;0,
COUNTIF(Studies!$A$2:$A$85,FILTER(IMPORTRA"&amp;"NGE(""https://docs.google.com/spreadsheets/d/1kGrh75X1cNR1D7_FcY9zMnHP8iPO4M5RCRjy6nZY0TY/edit#gid=0"",""Table 1: Study characteristics!A4:A171""), $A260=IMPORTRANGE(""https://docs.google.com/spreadsheets/d/1kGrh75X1cNR1D7_FcY9zMnHP8iPO4M5RCRjy6nZY0TY/edi"&amp;"t#gid=0"",""Table 1: Study characteristics!B4:B171"")))&gt;0
),
""Include""
)"),"Exclude")</f>
        <v>Exclude</v>
      </c>
      <c r="G260" s="5" t="str">
        <f>IFERROR(__xludf.DUMMYFUNCTION("IFS(
D260=""Exclude"",
FILTER(IMPORTRANGE(""https://docs.google.com/spreadsheets/d/1BJSV3WBYJGRhQ6zExamkszQ5VutGIcaQqmbD9ZTVXMQ/edit#gid=1251630045"",""articles_with_PRISMA_reasons!AB2:AB2113""), $A260=IMPORTRANGE(""https://docs.google.com/spreadsheets/d/"&amp;"1BJSV3WBYJGRhQ6zExamkszQ5VutGIcaQqmbD9ZTVXMQ/edit#gid=1251630045"",""articles_with_PRISMA_reasons!B2:B2113"")),
E260=""Exclude"",
FILTER(IMPORTRANGE(""https://docs.google.com/spreadsheets/d/1qpEmbGH0JjaJbUdp21-y2cPbobDbMjr09BbtdKROZWc/edit#gid=1444865654"&amp;""",""articles_with_PRISMA_reasons!Z2:Z2113""), $A260=IMPORTRANGE(""https://docs.google.com/spreadsheets/d/1qpEmbGH0JjaJbUdp21-y2cPbobDbMjr09BbtdKROZWc/edit#gid=1444865654"",""articles_with_PRISMA_reasons!B2:B2113"")),F260
=""Include"",FILTER(IMPORTRANGE("&amp;"""https://docs.google.com/spreadsheets/d/1kGrh75X1cNR1D7_FcY9zMnHP8iPO4M5RCRjy6nZY0TY/edit#gid=0"",""Table 1: Study characteristics!A4:A171""), $A260=IMPORTRANGE(""https://docs.google.com/spreadsheets/d/1kGrh75X1cNR1D7_FcY9zMnHP8iPO4M5RCRjy6nZY0TY/edit#gi"&amp;"d=0"",""Table 1: Study characteristics!B4:B171""))
)"),"wrong study design")</f>
        <v>wrong study design</v>
      </c>
    </row>
    <row r="261">
      <c r="A261" s="4" t="str">
        <f>IFERROR(__xludf.DUMMYFUNCTION("""COMPUTED_VALUE"""),"Anal extrusion of a ventriculoperitoneal shunt")</f>
        <v>Anal extrusion of a ventriculoperitoneal shunt</v>
      </c>
      <c r="B261" s="5" t="str">
        <f>IFERROR(__xludf.DUMMYFUNCTION("LEFT(FILTER(IMPORTRANGE(""https://docs.google.com/spreadsheets/d/1BJSV3WBYJGRhQ6zExamkszQ5VutGIcaQqmbD9ZTVXMQ/edit#gid=1251630045"",""articles_with_PRISMA_reasons!K2:K2113""), $A261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$A261=IMPORTRANGE(""https://docs.google.com/spreadsheets/d/1BJSV3WBYJGRhQ6zExamkszQ5VutGIcaQqmbD9ZTVXMQ/edit#gid=1251630045"",""articles_with_PRISMA_reasons!B2:B2113"")))-1)"),"Turkis")</f>
        <v>Turkis</v>
      </c>
      <c r="C261" s="6">
        <f>IFERROR(__xludf.DUMMYFUNCTION("FILTER(IMPORTRANGE(""https://docs.google.com/spreadsheets/d/1BJSV3WBYJGRhQ6zExamkszQ5VutGIcaQqmbD9ZTVXMQ/edit#gid=1251630045"",""articles_with_PRISMA_reasons!C2:C2113""), $A261=IMPORTRANGE(""https://docs.google.com/spreadsheets/d/1BJSV3WBYJGRhQ6zExamkszQ5"&amp;"VutGIcaQqmbD9ZTVXMQ/edit#gid=1251630045"",""articles_with_PRISMA_reasons!B2:B2113""))"),2019.0)</f>
        <v>2019</v>
      </c>
      <c r="D261" s="5" t="str">
        <f>IFERROR(__xludf.DUMMYFUNCTION("IFS(AND(
FILTER(IMPORTRANGE(""https://docs.google.com/spreadsheets/d/1BJSV3WBYJGRhQ6zExamkszQ5VutGIcaQqmbD9ZTVXMQ/edit#gid=1251630045"",""articles_with_PRISMA_reasons!Y2:Y2113""), $A261=IMPORTRANGE(""https://docs.google.com/spreadsheets/d/1BJSV3WBYJGRhQ6z"&amp;"ExamkszQ5VutGIcaQqmbD9ZTVXMQ/edit#gid=1251630045"",""articles_with_PRISMA_reasons!B2:B2113""))&gt;=2,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$A261=IMPORTRANGE(""https://docs.google.com/spreadsheets/d/1BJSV3WBYJGRhQ6zExamkszQ5VutGIcaQqmbD9ZTVXMQ/edit#gid=1251630045"",""articles_with_PRISMA_reasons!B2:B2113""))&lt;2),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$A261=IMPORTRANGE(""https://docs.google.com/spreadsheets/d/1BJSV3WBYJGRhQ6zExamkszQ5VutGIcaQqmbD9ZTVXMQ/edit#gid=1251630045"",""arti"&amp;"cles_with_PRISMA_reasons!B2:B2113""))&lt;2,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$A261=IMPORTRANGE(""https://docs.google.com"&amp;"/spreadsheets/d/1BJSV3WBYJGRhQ6zExamkszQ5VutGIcaQqmbD9ZTVXMQ/edit#gid=1251630045"",""articles_with_PRISMA_reasons!B2:B2113""))&gt;=2),
""Exclude""
)"),"Exclude")</f>
        <v>Exclude</v>
      </c>
      <c r="E261" s="5" t="str">
        <f>IFERROR(__xludf.DUMMYFUNCTION("IFS(
D261=""Exclude"",""Exclude"",
AND(
FILTER(IMPORTRANGE(""https://docs.google.com/spreadsheets/d/1qpEmbGH0JjaJbUdp21-y2cPbobDbMjr09BbtdKROZWc/edit#gid=1444865654"",""articles_with_PRISMA_reasons!W2:W2113""), $A261=IMPORTRANGE(""https://docs.google.com/"&amp;"spreadsheets/d/1qpEmbGH0JjaJbUdp21-y2cPbobDbMjr09BbtdKROZWc/edit#gid=1444865654"",""articles_with_PRISMA_reasons!B2:B2113""))&gt;=2,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$A261=IMPORTRANGE(""https://docs.google.com/spreadsheets/d/1qpEmbGH0JjaJbUdp21-y2cPbobDbMjr09BbtdKROZWc/edit#gid=1444865654"",""articles_with_PRISMA_reasons!B2:B2113""))&lt;2),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$A261=IMPORTRANGE(""https://docs.google.com/spreadsheets/d/1qpEmbGH0JjaJbUdp21-y2cPbobDbMjr09BbtdKRO"&amp;"ZWc/edit#gid=1444865654"",""articles_with_PRISMA_reasons!B2:B2113""))&lt;2,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$A261=IMPOR"&amp;"TRANGE(""https://docs.google.com/spreadsheets/d/1qpEmbGH0JjaJbUdp21-y2cPbobDbMjr09BbtdKROZWc/edit#gid=1444865654"",""articles_with_PRISMA_reasons!B2:B2113""))&gt;=2),
""Exclude""
)"),"Exclude")</f>
        <v>Exclude</v>
      </c>
      <c r="F261" s="5" t="str">
        <f>IFERROR(__xludf.DUMMYFUNCTION("IFS(
E261=""Exclude"",""Exclude"",
AND(
COUNTIF(
IMPORTRANGE(""https://docs.google.com/spreadsheets/d/1kGrh75X1cNR1D7_FcY9zMnHP8iPO4M5RCRjy6nZY0TY/edit#gid=0"",""Table 1: Study characteristics!B4:B171""),A261)&gt;0,
COUNTIF(Studies!$A$2:$A$85,FILTER(IMPORTRA"&amp;"NGE(""https://docs.google.com/spreadsheets/d/1kGrh75X1cNR1D7_FcY9zMnHP8iPO4M5RCRjy6nZY0TY/edit#gid=0"",""Table 1: Study characteristics!A4:A171""), $A261=IMPORTRANGE(""https://docs.google.com/spreadsheets/d/1kGrh75X1cNR1D7_FcY9zMnHP8iPO4M5RCRjy6nZY0TY/edi"&amp;"t#gid=0"",""Table 1: Study characteristics!B4:B171"")))&gt;0
),
""Include""
)"),"Exclude")</f>
        <v>Exclude</v>
      </c>
      <c r="G261" s="5" t="str">
        <f>IFERROR(__xludf.DUMMYFUNCTION("IFS(
D261=""Exclude"",
FILTER(IMPORTRANGE(""https://docs.google.com/spreadsheets/d/1BJSV3WBYJGRhQ6zExamkszQ5VutGIcaQqmbD9ZTVXMQ/edit#gid=1251630045"",""articles_with_PRISMA_reasons!AB2:AB2113""), $A261=IMPORTRANGE(""https://docs.google.com/spreadsheets/d/"&amp;"1BJSV3WBYJGRhQ6zExamkszQ5VutGIcaQqmbD9ZTVXMQ/edit#gid=1251630045"",""articles_with_PRISMA_reasons!B2:B2113"")),
E261=""Exclude"",
FILTER(IMPORTRANGE(""https://docs.google.com/spreadsheets/d/1qpEmbGH0JjaJbUdp21-y2cPbobDbMjr09BbtdKROZWc/edit#gid=1444865654"&amp;""",""articles_with_PRISMA_reasons!Z2:Z2113""), $A261=IMPORTRANGE(""https://docs.google.com/spreadsheets/d/1qpEmbGH0JjaJbUdp21-y2cPbobDbMjr09BbtdKROZWc/edit#gid=1444865654"",""articles_with_PRISMA_reasons!B2:B2113"")),F261
=""Include"",FILTER(IMPORTRANGE("&amp;"""https://docs.google.com/spreadsheets/d/1kGrh75X1cNR1D7_FcY9zMnHP8iPO4M5RCRjy6nZY0TY/edit#gid=0"",""Table 1: Study characteristics!A4:A171""), $A261=IMPORTRANGE(""https://docs.google.com/spreadsheets/d/1kGrh75X1cNR1D7_FcY9zMnHP8iPO4M5RCRjy6nZY0TY/edit#gi"&amp;"d=0"",""Table 1: Study characteristics!B4:B171""))
)"),"wrong study design")</f>
        <v>wrong study design</v>
      </c>
    </row>
    <row r="262">
      <c r="A262" s="4" t="str">
        <f>IFERROR(__xludf.DUMMYFUNCTION("""COMPUTED_VALUE"""),"Analysis of Codman microcerebrospinal fluid shunt")</f>
        <v>Analysis of Codman microcerebrospinal fluid shunt</v>
      </c>
      <c r="B262" s="5" t="str">
        <f>IFERROR(__xludf.DUMMYFUNCTION("LEFT(FILTER(IMPORTRANGE(""https://docs.google.com/spreadsheets/d/1BJSV3WBYJGRhQ6zExamkszQ5VutGIcaQqmbD9ZTVXMQ/edit#gid=1251630045"",""articles_with_PRISMA_reasons!K2:K2113""), $A262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$A262=IMPORTRANGE(""https://docs.google.com/spreadsheets/d/1BJSV3WBYJGRhQ6zExamkszQ5VutGIcaQqmbD9ZTVXMQ/edit#gid=1251630045"",""articles_with_PRISMA_reasons!B2:B2113"")))-1)"),"Malm")</f>
        <v>Malm</v>
      </c>
      <c r="C262" s="6">
        <f>IFERROR(__xludf.DUMMYFUNCTION("FILTER(IMPORTRANGE(""https://docs.google.com/spreadsheets/d/1BJSV3WBYJGRhQ6zExamkszQ5VutGIcaQqmbD9ZTVXMQ/edit#gid=1251630045"",""articles_with_PRISMA_reasons!C2:C2113""), $A262=IMPORTRANGE(""https://docs.google.com/spreadsheets/d/1BJSV3WBYJGRhQ6zExamkszQ5"&amp;"VutGIcaQqmbD9ZTVXMQ/edit#gid=1251630045"",""articles_with_PRISMA_reasons!B2:B2113""))"),2018.0)</f>
        <v>2018</v>
      </c>
      <c r="D262" s="5" t="str">
        <f>IFERROR(__xludf.DUMMYFUNCTION("IFS(AND(
FILTER(IMPORTRANGE(""https://docs.google.com/spreadsheets/d/1BJSV3WBYJGRhQ6zExamkszQ5VutGIcaQqmbD9ZTVXMQ/edit#gid=1251630045"",""articles_with_PRISMA_reasons!Y2:Y2113""), $A262=IMPORTRANGE(""https://docs.google.com/spreadsheets/d/1BJSV3WBYJGRhQ6z"&amp;"ExamkszQ5VutGIcaQqmbD9ZTVXMQ/edit#gid=1251630045"",""articles_with_PRISMA_reasons!B2:B2113""))&gt;=2,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$A262=IMPORTRANGE(""https://docs.google.com/spreadsheets/d/1BJSV3WBYJGRhQ6zExamkszQ5VutGIcaQqmbD9ZTVXMQ/edit#gid=1251630045"",""articles_with_PRISMA_reasons!B2:B2113""))&lt;2),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$A262=IMPORTRANGE(""https://docs.google.com/spreadsheets/d/1BJSV3WBYJGRhQ6zExamkszQ5VutGIcaQqmbD9ZTVXMQ/edit#gid=1251630045"",""arti"&amp;"cles_with_PRISMA_reasons!B2:B2113""))&lt;2,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$A262=IMPORTRANGE(""https://docs.google.com"&amp;"/spreadsheets/d/1BJSV3WBYJGRhQ6zExamkszQ5VutGIcaQqmbD9ZTVXMQ/edit#gid=1251630045"",""articles_with_PRISMA_reasons!B2:B2113""))&gt;=2),
""Exclude""
)"),"Exclude")</f>
        <v>Exclude</v>
      </c>
      <c r="E262" s="5" t="str">
        <f>IFERROR(__xludf.DUMMYFUNCTION("IFS(
D262=""Exclude"",""Exclude"",
AND(
FILTER(IMPORTRANGE(""https://docs.google.com/spreadsheets/d/1qpEmbGH0JjaJbUdp21-y2cPbobDbMjr09BbtdKROZWc/edit#gid=1444865654"",""articles_with_PRISMA_reasons!W2:W2113""), $A262=IMPORTRANGE(""https://docs.google.com/"&amp;"spreadsheets/d/1qpEmbGH0JjaJbUdp21-y2cPbobDbMjr09BbtdKROZWc/edit#gid=1444865654"",""articles_with_PRISMA_reasons!B2:B2113""))&gt;=2,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$A262=IMPORTRANGE(""https://docs.google.com/spreadsheets/d/1qpEmbGH0JjaJbUdp21-y2cPbobDbMjr09BbtdKROZWc/edit#gid=1444865654"",""articles_with_PRISMA_reasons!B2:B2113""))&lt;2),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$A262=IMPORTRANGE(""https://docs.google.com/spreadsheets/d/1qpEmbGH0JjaJbUdp21-y2cPbobDbMjr09BbtdKRO"&amp;"ZWc/edit#gid=1444865654"",""articles_with_PRISMA_reasons!B2:B2113""))&lt;2,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$A262=IMPOR"&amp;"TRANGE(""https://docs.google.com/spreadsheets/d/1qpEmbGH0JjaJbUdp21-y2cPbobDbMjr09BbtdKROZWc/edit#gid=1444865654"",""articles_with_PRISMA_reasons!B2:B2113""))&gt;=2),
""Exclude""
)"),"Exclude")</f>
        <v>Exclude</v>
      </c>
      <c r="F262" s="5" t="str">
        <f>IFERROR(__xludf.DUMMYFUNCTION("IFS(
E262=""Exclude"",""Exclude"",
AND(
COUNTIF(
IMPORTRANGE(""https://docs.google.com/spreadsheets/d/1kGrh75X1cNR1D7_FcY9zMnHP8iPO4M5RCRjy6nZY0TY/edit#gid=0"",""Table 1: Study characteristics!B4:B171""),A262)&gt;0,
COUNTIF(Studies!$A$2:$A$85,FILTER(IMPORTRA"&amp;"NGE(""https://docs.google.com/spreadsheets/d/1kGrh75X1cNR1D7_FcY9zMnHP8iPO4M5RCRjy6nZY0TY/edit#gid=0"",""Table 1: Study characteristics!A4:A171""), $A262=IMPORTRANGE(""https://docs.google.com/spreadsheets/d/1kGrh75X1cNR1D7_FcY9zMnHP8iPO4M5RCRjy6nZY0TY/edi"&amp;"t#gid=0"",""Table 1: Study characteristics!B4:B171"")))&gt;0
),
""Include""
)"),"Exclude")</f>
        <v>Exclude</v>
      </c>
      <c r="G262" s="5" t="str">
        <f>IFERROR(__xludf.DUMMYFUNCTION("IFS(
D262=""Exclude"",
FILTER(IMPORTRANGE(""https://docs.google.com/spreadsheets/d/1BJSV3WBYJGRhQ6zExamkszQ5VutGIcaQqmbD9ZTVXMQ/edit#gid=1251630045"",""articles_with_PRISMA_reasons!AB2:AB2113""), $A262=IMPORTRANGE(""https://docs.google.com/spreadsheets/d/"&amp;"1BJSV3WBYJGRhQ6zExamkszQ5VutGIcaQqmbD9ZTVXMQ/edit#gid=1251630045"",""articles_with_PRISMA_reasons!B2:B2113"")),
E262=""Exclude"",
FILTER(IMPORTRANGE(""https://docs.google.com/spreadsheets/d/1qpEmbGH0JjaJbUdp21-y2cPbobDbMjr09BbtdKROZWc/edit#gid=1444865654"&amp;""",""articles_with_PRISMA_reasons!Z2:Z2113""), $A262=IMPORTRANGE(""https://docs.google.com/spreadsheets/d/1qpEmbGH0JjaJbUdp21-y2cPbobDbMjr09BbtdKROZWc/edit#gid=1444865654"",""articles_with_PRISMA_reasons!B2:B2113"")),F262
=""Include"",FILTER(IMPORTRANGE("&amp;"""https://docs.google.com/spreadsheets/d/1kGrh75X1cNR1D7_FcY9zMnHP8iPO4M5RCRjy6nZY0TY/edit#gid=0"",""Table 1: Study characteristics!A4:A171""), $A262=IMPORTRANGE(""https://docs.google.com/spreadsheets/d/1kGrh75X1cNR1D7_FcY9zMnHP8iPO4M5RCRjy6nZY0TY/edit#gi"&amp;"d=0"",""Table 1: Study characteristics!B4:B171""))
)"),"case report")</f>
        <v>case report</v>
      </c>
    </row>
    <row r="263">
      <c r="A263" s="4" t="str">
        <f>IFERROR(__xludf.DUMMYFUNCTION("""COMPUTED_VALUE"""),"Analysis of Denver Neurodevelopmental Screening Test results of myelomeningocele, hydrocephalus, and microcephaly patients")</f>
        <v>Analysis of Denver Neurodevelopmental Screening Test results of myelomeningocele, hydrocephalus, and microcephaly patients</v>
      </c>
      <c r="B263" s="5" t="str">
        <f>IFERROR(__xludf.DUMMYFUNCTION("LEFT(FILTER(IMPORTRANGE(""https://docs.google.com/spreadsheets/d/1BJSV3WBYJGRhQ6zExamkszQ5VutGIcaQqmbD9ZTVXMQ/edit#gid=1251630045"",""articles_with_PRISMA_reasons!K2:K2113""), $A263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$A263=IMPORTRANGE(""https://docs.google.com/spreadsheets/d/1BJSV3WBYJGRhQ6zExamkszQ5VutGIcaQqmbD9ZTVXMQ/edit#gid=1251630045"",""articles_with_PRISMA_reasons!B2:B2113"")))-1)"),"Alatas")</f>
        <v>Alatas</v>
      </c>
      <c r="C263" s="6">
        <f>IFERROR(__xludf.DUMMYFUNCTION("FILTER(IMPORTRANGE(""https://docs.google.com/spreadsheets/d/1BJSV3WBYJGRhQ6zExamkszQ5VutGIcaQqmbD9ZTVXMQ/edit#gid=1251630045"",""articles_with_PRISMA_reasons!C2:C2113""), $A263=IMPORTRANGE(""https://docs.google.com/spreadsheets/d/1BJSV3WBYJGRhQ6zExamkszQ5"&amp;"VutGIcaQqmbD9ZTVXMQ/edit#gid=1251630045"",""articles_with_PRISMA_reasons!B2:B2113""))"),2018.0)</f>
        <v>2018</v>
      </c>
      <c r="D263" s="5" t="str">
        <f>IFERROR(__xludf.DUMMYFUNCTION("IFS(AND(
FILTER(IMPORTRANGE(""https://docs.google.com/spreadsheets/d/1BJSV3WBYJGRhQ6zExamkszQ5VutGIcaQqmbD9ZTVXMQ/edit#gid=1251630045"",""articles_with_PRISMA_reasons!Y2:Y2113""), $A263=IMPORTRANGE(""https://docs.google.com/spreadsheets/d/1BJSV3WBYJGRhQ6z"&amp;"ExamkszQ5VutGIcaQqmbD9ZTVXMQ/edit#gid=1251630045"",""articles_with_PRISMA_reasons!B2:B2113""))&gt;=2,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$A263=IMPORTRANGE(""https://docs.google.com/spreadsheets/d/1BJSV3WBYJGRhQ6zExamkszQ5VutGIcaQqmbD9ZTVXMQ/edit#gid=1251630045"",""articles_with_PRISMA_reasons!B2:B2113""))&lt;2),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$A263=IMPORTRANGE(""https://docs.google.com/spreadsheets/d/1BJSV3WBYJGRhQ6zExamkszQ5VutGIcaQqmbD9ZTVXMQ/edit#gid=1251630045"",""arti"&amp;"cles_with_PRISMA_reasons!B2:B2113""))&lt;2,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$A263=IMPORTRANGE(""https://docs.google.com"&amp;"/spreadsheets/d/1BJSV3WBYJGRhQ6zExamkszQ5VutGIcaQqmbD9ZTVXMQ/edit#gid=1251630045"",""articles_with_PRISMA_reasons!B2:B2113""))&gt;=2),
""Exclude""
)"),"Include")</f>
        <v>Include</v>
      </c>
      <c r="E263" s="5" t="str">
        <f>IFERROR(__xludf.DUMMYFUNCTION("IFS(
D263=""Exclude"",""Exclude"",
AND(
FILTER(IMPORTRANGE(""https://docs.google.com/spreadsheets/d/1qpEmbGH0JjaJbUdp21-y2cPbobDbMjr09BbtdKROZWc/edit#gid=1444865654"",""articles_with_PRISMA_reasons!W2:W2113""), $A263=IMPORTRANGE(""https://docs.google.com/"&amp;"spreadsheets/d/1qpEmbGH0JjaJbUdp21-y2cPbobDbMjr09BbtdKROZWc/edit#gid=1444865654"",""articles_with_PRISMA_reasons!B2:B2113""))&gt;=2,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$A263=IMPORTRANGE(""https://docs.google.com/spreadsheets/d/1qpEmbGH0JjaJbUdp21-y2cPbobDbMjr09BbtdKROZWc/edit#gid=1444865654"",""articles_with_PRISMA_reasons!B2:B2113""))&lt;2),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$A263=IMPORTRANGE(""https://docs.google.com/spreadsheets/d/1qpEmbGH0JjaJbUdp21-y2cPbobDbMjr09BbtdKRO"&amp;"ZWc/edit#gid=1444865654"",""articles_with_PRISMA_reasons!B2:B2113""))&lt;2,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$A263=IMPOR"&amp;"TRANGE(""https://docs.google.com/spreadsheets/d/1qpEmbGH0JjaJbUdp21-y2cPbobDbMjr09BbtdKROZWc/edit#gid=1444865654"",""articles_with_PRISMA_reasons!B2:B2113""))&gt;=2),
""Exclude""
)"),"Exclude")</f>
        <v>Exclude</v>
      </c>
      <c r="F263" s="5" t="str">
        <f>IFERROR(__xludf.DUMMYFUNCTION("IFS(
E263=""Exclude"",""Exclude"",
AND(
COUNTIF(
IMPORTRANGE(""https://docs.google.com/spreadsheets/d/1kGrh75X1cNR1D7_FcY9zMnHP8iPO4M5RCRjy6nZY0TY/edit#gid=0"",""Table 1: Study characteristics!B4:B171""),A263)&gt;0,
COUNTIF(Studies!$A$2:$A$85,FILTER(IMPORTRA"&amp;"NGE(""https://docs.google.com/spreadsheets/d/1kGrh75X1cNR1D7_FcY9zMnHP8iPO4M5RCRjy6nZY0TY/edit#gid=0"",""Table 1: Study characteristics!A4:A171""), $A263=IMPORTRANGE(""https://docs.google.com/spreadsheets/d/1kGrh75X1cNR1D7_FcY9zMnHP8iPO4M5RCRjy6nZY0TY/edi"&amp;"t#gid=0"",""Table 1: Study characteristics!B4:B171"")))&gt;0
),
""Include""
)"),"Exclude")</f>
        <v>Exclude</v>
      </c>
      <c r="G263" s="5" t="str">
        <f>IFERROR(__xludf.DUMMYFUNCTION("IFS(
D263=""Exclude"",
FILTER(IMPORTRANGE(""https://docs.google.com/spreadsheets/d/1BJSV3WBYJGRhQ6zExamkszQ5VutGIcaQqmbD9ZTVXMQ/edit#gid=1251630045"",""articles_with_PRISMA_reasons!AB2:AB2113""), $A263=IMPORTRANGE(""https://docs.google.com/spreadsheets/d/"&amp;"1BJSV3WBYJGRhQ6zExamkszQ5VutGIcaQqmbD9ZTVXMQ/edit#gid=1251630045"",""articles_with_PRISMA_reasons!B2:B2113"")),
E263=""Exclude"",
FILTER(IMPORTRANGE(""https://docs.google.com/spreadsheets/d/1qpEmbGH0JjaJbUdp21-y2cPbobDbMjr09BbtdKROZWc/edit#gid=1444865654"&amp;""",""articles_with_PRISMA_reasons!Z2:Z2113""), $A263=IMPORTRANGE(""https://docs.google.com/spreadsheets/d/1qpEmbGH0JjaJbUdp21-y2cPbobDbMjr09BbtdKROZWc/edit#gid=1444865654"",""articles_with_PRISMA_reasons!B2:B2113"")),F263
=""Include"",FILTER(IMPORTRANGE("&amp;"""https://docs.google.com/spreadsheets/d/1kGrh75X1cNR1D7_FcY9zMnHP8iPO4M5RCRjy6nZY0TY/edit#gid=0"",""Table 1: Study characteristics!A4:A171""), $A263=IMPORTRANGE(""https://docs.google.com/spreadsheets/d/1kGrh75X1cNR1D7_FcY9zMnHP8iPO4M5RCRjy6nZY0TY/edit#gi"&amp;"d=0"",""Table 1: Study characteristics!B4:B171""))
)"),"wrong population")</f>
        <v>wrong population</v>
      </c>
    </row>
    <row r="264">
      <c r="A264" s="4" t="str">
        <f>IFERROR(__xludf.DUMMYFUNCTION("""COMPUTED_VALUE"""),"Analysis of shunted hydrocephalus follow-up: What do routine clinic visits yield? What factors affect revision surgery presentation and outcomes?")</f>
        <v>Analysis of shunted hydrocephalus follow-up: What do routine clinic visits yield? What factors affect revision surgery presentation and outcomes?</v>
      </c>
      <c r="B264" s="5" t="str">
        <f>IFERROR(__xludf.DUMMYFUNCTION("LEFT(FILTER(IMPORTRANGE(""https://docs.google.com/spreadsheets/d/1BJSV3WBYJGRhQ6zExamkszQ5VutGIcaQqmbD9ZTVXMQ/edit#gid=1251630045"",""articles_with_PRISMA_reasons!K2:K2113""), $A264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$A264=IMPORTRANGE(""https://docs.google.com/spreadsheets/d/1BJSV3WBYJGRhQ6zExamkszQ5VutGIcaQqmbD9ZTVXMQ/edit#gid=1251630045"",""articles_with_PRISMA_reasons!B2:B2113"")))-1)"),"Rubino")</f>
        <v>Rubino</v>
      </c>
      <c r="C264" s="6">
        <f>IFERROR(__xludf.DUMMYFUNCTION("FILTER(IMPORTRANGE(""https://docs.google.com/spreadsheets/d/1BJSV3WBYJGRhQ6zExamkszQ5VutGIcaQqmbD9ZTVXMQ/edit#gid=1251630045"",""articles_with_PRISMA_reasons!C2:C2113""), $A264=IMPORTRANGE(""https://docs.google.com/spreadsheets/d/1BJSV3WBYJGRhQ6zExamkszQ5"&amp;"VutGIcaQqmbD9ZTVXMQ/edit#gid=1251630045"",""articles_with_PRISMA_reasons!B2:B2113""))"),2020.0)</f>
        <v>2020</v>
      </c>
      <c r="D264" s="5" t="str">
        <f>IFERROR(__xludf.DUMMYFUNCTION("IFS(AND(
FILTER(IMPORTRANGE(""https://docs.google.com/spreadsheets/d/1BJSV3WBYJGRhQ6zExamkszQ5VutGIcaQqmbD9ZTVXMQ/edit#gid=1251630045"",""articles_with_PRISMA_reasons!Y2:Y2113""), $A264=IMPORTRANGE(""https://docs.google.com/spreadsheets/d/1BJSV3WBYJGRhQ6z"&amp;"ExamkszQ5VutGIcaQqmbD9ZTVXMQ/edit#gid=1251630045"",""articles_with_PRISMA_reasons!B2:B2113""))&gt;=2,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$A264=IMPORTRANGE(""https://docs.google.com/spreadsheets/d/1BJSV3WBYJGRhQ6zExamkszQ5VutGIcaQqmbD9ZTVXMQ/edit#gid=1251630045"",""articles_with_PRISMA_reasons!B2:B2113""))&lt;2),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$A264=IMPORTRANGE(""https://docs.google.com/spreadsheets/d/1BJSV3WBYJGRhQ6zExamkszQ5VutGIcaQqmbD9ZTVXMQ/edit#gid=1251630045"",""arti"&amp;"cles_with_PRISMA_reasons!B2:B2113""))&lt;2,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$A264=IMPORTRANGE(""https://docs.google.com"&amp;"/spreadsheets/d/1BJSV3WBYJGRhQ6zExamkszQ5VutGIcaQqmbD9ZTVXMQ/edit#gid=1251630045"",""articles_with_PRISMA_reasons!B2:B2113""))&gt;=2),
""Exclude""
)"),"Include")</f>
        <v>Include</v>
      </c>
      <c r="E264" s="5" t="str">
        <f>IFERROR(__xludf.DUMMYFUNCTION("IFS(
D264=""Exclude"",""Exclude"",
AND(
FILTER(IMPORTRANGE(""https://docs.google.com/spreadsheets/d/1qpEmbGH0JjaJbUdp21-y2cPbobDbMjr09BbtdKROZWc/edit#gid=1444865654"",""articles_with_PRISMA_reasons!W2:W2113""), $A264=IMPORTRANGE(""https://docs.google.com/"&amp;"spreadsheets/d/1qpEmbGH0JjaJbUdp21-y2cPbobDbMjr09BbtdKROZWc/edit#gid=1444865654"",""articles_with_PRISMA_reasons!B2:B2113""))&gt;=2,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$A264=IMPORTRANGE(""https://docs.google.com/spreadsheets/d/1qpEmbGH0JjaJbUdp21-y2cPbobDbMjr09BbtdKROZWc/edit#gid=1444865654"",""articles_with_PRISMA_reasons!B2:B2113""))&lt;2),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$A264=IMPORTRANGE(""https://docs.google.com/spreadsheets/d/1qpEmbGH0JjaJbUdp21-y2cPbobDbMjr09BbtdKRO"&amp;"ZWc/edit#gid=1444865654"",""articles_with_PRISMA_reasons!B2:B2113""))&lt;2,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$A264=IMPOR"&amp;"TRANGE(""https://docs.google.com/spreadsheets/d/1qpEmbGH0JjaJbUdp21-y2cPbobDbMjr09BbtdKROZWc/edit#gid=1444865654"",""articles_with_PRISMA_reasons!B2:B2113""))&gt;=2),
""Exclude""
)"),"Exclude")</f>
        <v>Exclude</v>
      </c>
      <c r="F264" s="5" t="str">
        <f>IFERROR(__xludf.DUMMYFUNCTION("IFS(
E264=""Exclude"",""Exclude"",
AND(
COUNTIF(
IMPORTRANGE(""https://docs.google.com/spreadsheets/d/1kGrh75X1cNR1D7_FcY9zMnHP8iPO4M5RCRjy6nZY0TY/edit#gid=0"",""Table 1: Study characteristics!B4:B171""),A264)&gt;0,
COUNTIF(Studies!$A$2:$A$85,FILTER(IMPORTRA"&amp;"NGE(""https://docs.google.com/spreadsheets/d/1kGrh75X1cNR1D7_FcY9zMnHP8iPO4M5RCRjy6nZY0TY/edit#gid=0"",""Table 1: Study characteristics!A4:A171""), $A264=IMPORTRANGE(""https://docs.google.com/spreadsheets/d/1kGrh75X1cNR1D7_FcY9zMnHP8iPO4M5RCRjy6nZY0TY/edi"&amp;"t#gid=0"",""Table 1: Study characteristics!B4:B171"")))&gt;0
),
""Include""
)"),"Exclude")</f>
        <v>Exclude</v>
      </c>
      <c r="G264" s="5" t="str">
        <f>IFERROR(__xludf.DUMMYFUNCTION("IFS(
D264=""Exclude"",
FILTER(IMPORTRANGE(""https://docs.google.com/spreadsheets/d/1BJSV3WBYJGRhQ6zExamkszQ5VutGIcaQqmbD9ZTVXMQ/edit#gid=1251630045"",""articles_with_PRISMA_reasons!AB2:AB2113""), $A264=IMPORTRANGE(""https://docs.google.com/spreadsheets/d/"&amp;"1BJSV3WBYJGRhQ6zExamkszQ5VutGIcaQqmbD9ZTVXMQ/edit#gid=1251630045"",""articles_with_PRISMA_reasons!B2:B2113"")),
E264=""Exclude"",
FILTER(IMPORTRANGE(""https://docs.google.com/spreadsheets/d/1qpEmbGH0JjaJbUdp21-y2cPbobDbMjr09BbtdKROZWc/edit#gid=1444865654"&amp;""",""articles_with_PRISMA_reasons!Z2:Z2113""), $A264=IMPORTRANGE(""https://docs.google.com/spreadsheets/d/1qpEmbGH0JjaJbUdp21-y2cPbobDbMjr09BbtdKROZWc/edit#gid=1444865654"",""articles_with_PRISMA_reasons!B2:B2113"")),F264
=""Include"",FILTER(IMPORTRANGE("&amp;"""https://docs.google.com/spreadsheets/d/1kGrh75X1cNR1D7_FcY9zMnHP8iPO4M5RCRjy6nZY0TY/edit#gid=0"",""Table 1: Study characteristics!A4:A171""), $A264=IMPORTRANGE(""https://docs.google.com/spreadsheets/d/1kGrh75X1cNR1D7_FcY9zMnHP8iPO4M5RCRjy6nZY0TY/edit#gi"&amp;"d=0"",""Table 1: Study characteristics!B4:B171""))
)"),"wrong population")</f>
        <v>wrong population</v>
      </c>
    </row>
    <row r="265">
      <c r="A265" s="4" t="str">
        <f>IFERROR(__xludf.DUMMYFUNCTION("""COMPUTED_VALUE"""),"Analysis on curative effect of simultaneous operation in treatment of huge myelomeningocoele complicated with hydrocephalus in infant and preschool children")</f>
        <v>Analysis on curative effect of simultaneous operation in treatment of huge myelomeningocoele complicated with hydrocephalus in infant and preschool children</v>
      </c>
      <c r="B265" s="5" t="str">
        <f>IFERROR(__xludf.DUMMYFUNCTION("LEFT(FILTER(IMPORTRANGE(""https://docs.google.com/spreadsheets/d/1BJSV3WBYJGRhQ6zExamkszQ5VutGIcaQqmbD9ZTVXMQ/edit#gid=1251630045"",""articles_with_PRISMA_reasons!K2:K2113""), $A265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$A265=IMPORTRANGE(""https://docs.google.com/spreadsheets/d/1BJSV3WBYJGRhQ6zExamkszQ5VutGIcaQqmbD9ZTVXMQ/edit#gid=1251630045"",""articles_with_PRISMA_reasons!B2:B2113"")))-1)"),"Han")</f>
        <v>Han</v>
      </c>
      <c r="C265" s="6">
        <f>IFERROR(__xludf.DUMMYFUNCTION("FILTER(IMPORTRANGE(""https://docs.google.com/spreadsheets/d/1BJSV3WBYJGRhQ6zExamkszQ5VutGIcaQqmbD9ZTVXMQ/edit#gid=1251630045"",""articles_with_PRISMA_reasons!C2:C2113""), $A265=IMPORTRANGE(""https://docs.google.com/spreadsheets/d/1BJSV3WBYJGRhQ6zExamkszQ5"&amp;"VutGIcaQqmbD9ZTVXMQ/edit#gid=1251630045"",""articles_with_PRISMA_reasons!B2:B2113""))"),2012.0)</f>
        <v>2012</v>
      </c>
      <c r="D265" s="5" t="str">
        <f>IFERROR(__xludf.DUMMYFUNCTION("IFS(AND(
FILTER(IMPORTRANGE(""https://docs.google.com/spreadsheets/d/1BJSV3WBYJGRhQ6zExamkszQ5VutGIcaQqmbD9ZTVXMQ/edit#gid=1251630045"",""articles_with_PRISMA_reasons!Y2:Y2113""), $A265=IMPORTRANGE(""https://docs.google.com/spreadsheets/d/1BJSV3WBYJGRhQ6z"&amp;"ExamkszQ5VutGIcaQqmbD9ZTVXMQ/edit#gid=1251630045"",""articles_with_PRISMA_reasons!B2:B2113""))&gt;=2,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$A265=IMPORTRANGE(""https://docs.google.com/spreadsheets/d/1BJSV3WBYJGRhQ6zExamkszQ5VutGIcaQqmbD9ZTVXMQ/edit#gid=1251630045"",""articles_with_PRISMA_reasons!B2:B2113""))&lt;2),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$A265=IMPORTRANGE(""https://docs.google.com/spreadsheets/d/1BJSV3WBYJGRhQ6zExamkszQ5VutGIcaQqmbD9ZTVXMQ/edit#gid=1251630045"",""arti"&amp;"cles_with_PRISMA_reasons!B2:B2113""))&lt;2,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$A265=IMPORTRANGE(""https://docs.google.com"&amp;"/spreadsheets/d/1BJSV3WBYJGRhQ6zExamkszQ5VutGIcaQqmbD9ZTVXMQ/edit#gid=1251630045"",""articles_with_PRISMA_reasons!B2:B2113""))&gt;=2),
""Exclude""
)"),"Include")</f>
        <v>Include</v>
      </c>
      <c r="E265" s="5" t="str">
        <f>IFERROR(__xludf.DUMMYFUNCTION("IFS(
D265=""Exclude"",""Exclude"",
AND(
FILTER(IMPORTRANGE(""https://docs.google.com/spreadsheets/d/1qpEmbGH0JjaJbUdp21-y2cPbobDbMjr09BbtdKROZWc/edit#gid=1444865654"",""articles_with_PRISMA_reasons!W2:W2113""), $A265=IMPORTRANGE(""https://docs.google.com/"&amp;"spreadsheets/d/1qpEmbGH0JjaJbUdp21-y2cPbobDbMjr09BbtdKROZWc/edit#gid=1444865654"",""articles_with_PRISMA_reasons!B2:B2113""))&gt;=2,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$A265=IMPORTRANGE(""https://docs.google.com/spreadsheets/d/1qpEmbGH0JjaJbUdp21-y2cPbobDbMjr09BbtdKROZWc/edit#gid=1444865654"",""articles_with_PRISMA_reasons!B2:B2113""))&lt;2),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$A265=IMPORTRANGE(""https://docs.google.com/spreadsheets/d/1qpEmbGH0JjaJbUdp21-y2cPbobDbMjr09BbtdKRO"&amp;"ZWc/edit#gid=1444865654"",""articles_with_PRISMA_reasons!B2:B2113""))&lt;2,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$A265=IMPOR"&amp;"TRANGE(""https://docs.google.com/spreadsheets/d/1qpEmbGH0JjaJbUdp21-y2cPbobDbMjr09BbtdKROZWc/edit#gid=1444865654"",""articles_with_PRISMA_reasons!B2:B2113""))&gt;=2),
""Exclude""
)"),"Exclude")</f>
        <v>Exclude</v>
      </c>
      <c r="F265" s="5" t="str">
        <f>IFERROR(__xludf.DUMMYFUNCTION("IFS(
E265=""Exclude"",""Exclude"",
AND(
COUNTIF(
IMPORTRANGE(""https://docs.google.com/spreadsheets/d/1kGrh75X1cNR1D7_FcY9zMnHP8iPO4M5RCRjy6nZY0TY/edit#gid=0"",""Table 1: Study characteristics!B4:B171""),A265)&gt;0,
COUNTIF(Studies!$A$2:$A$85,FILTER(IMPORTRA"&amp;"NGE(""https://docs.google.com/spreadsheets/d/1kGrh75X1cNR1D7_FcY9zMnHP8iPO4M5RCRjy6nZY0TY/edit#gid=0"",""Table 1: Study characteristics!A4:A171""), $A265=IMPORTRANGE(""https://docs.google.com/spreadsheets/d/1kGrh75X1cNR1D7_FcY9zMnHP8iPO4M5RCRjy6nZY0TY/edi"&amp;"t#gid=0"",""Table 1: Study characteristics!B4:B171"")))&gt;0
),
""Include""
)"),"Exclude")</f>
        <v>Exclude</v>
      </c>
      <c r="G265" s="5" t="str">
        <f>IFERROR(__xludf.DUMMYFUNCTION("IFS(
D265=""Exclude"",
FILTER(IMPORTRANGE(""https://docs.google.com/spreadsheets/d/1BJSV3WBYJGRhQ6zExamkszQ5VutGIcaQqmbD9ZTVXMQ/edit#gid=1251630045"",""articles_with_PRISMA_reasons!AB2:AB2113""), $A265=IMPORTRANGE(""https://docs.google.com/spreadsheets/d/"&amp;"1BJSV3WBYJGRhQ6zExamkszQ5VutGIcaQqmbD9ZTVXMQ/edit#gid=1251630045"",""articles_with_PRISMA_reasons!B2:B2113"")),
E265=""Exclude"",
FILTER(IMPORTRANGE(""https://docs.google.com/spreadsheets/d/1qpEmbGH0JjaJbUdp21-y2cPbobDbMjr09BbtdKROZWc/edit#gid=1444865654"&amp;""",""articles_with_PRISMA_reasons!Z2:Z2113""), $A265=IMPORTRANGE(""https://docs.google.com/spreadsheets/d/1qpEmbGH0JjaJbUdp21-y2cPbobDbMjr09BbtdKROZWc/edit#gid=1444865654"",""articles_with_PRISMA_reasons!B2:B2113"")),F265
=""Include"",FILTER(IMPORTRANGE("&amp;"""https://docs.google.com/spreadsheets/d/1kGrh75X1cNR1D7_FcY9zMnHP8iPO4M5RCRjy6nZY0TY/edit#gid=0"",""Table 1: Study characteristics!A4:A171""), $A265=IMPORTRANGE(""https://docs.google.com/spreadsheets/d/1kGrh75X1cNR1D7_FcY9zMnHP8iPO4M5RCRjy6nZY0TY/edit#gi"&amp;"d=0"",""Table 1: Study characteristics!B4:B171""))
)"),"wrong population")</f>
        <v>wrong population</v>
      </c>
    </row>
    <row r="266">
      <c r="A266" s="4" t="str">
        <f>IFERROR(__xludf.DUMMYFUNCTION("""COMPUTED_VALUE"""),"Anaphylaxis during insertion of a ventriculoperitoneal shunt")</f>
        <v>Anaphylaxis during insertion of a ventriculoperitoneal shunt</v>
      </c>
      <c r="B266" s="5" t="str">
        <f>IFERROR(__xludf.DUMMYFUNCTION("LEFT(FILTER(IMPORTRANGE(""https://docs.google.com/spreadsheets/d/1BJSV3WBYJGRhQ6zExamkszQ5VutGIcaQqmbD9ZTVXMQ/edit#gid=1251630045"",""articles_with_PRISMA_reasons!K2:K2113""), $A266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$A266=IMPORTRANGE(""https://docs.google.com/spreadsheets/d/1BJSV3WBYJGRhQ6zExamkszQ5VutGIcaQqmbD9ZTVXMQ/edit#gid=1251630045"",""articles_with_PRISMA_reasons!B2:B2113"")))-1)"),"Atkinson")</f>
        <v>Atkinson</v>
      </c>
      <c r="C266" s="6">
        <f>IFERROR(__xludf.DUMMYFUNCTION("FILTER(IMPORTRANGE(""https://docs.google.com/spreadsheets/d/1BJSV3WBYJGRhQ6zExamkszQ5VutGIcaQqmbD9ZTVXMQ/edit#gid=1251630045"",""articles_with_PRISMA_reasons!C2:C2113""), $A266=IMPORTRANGE(""https://docs.google.com/spreadsheets/d/1BJSV3WBYJGRhQ6zExamkszQ5"&amp;"VutGIcaQqmbD9ZTVXMQ/edit#gid=1251630045"",""articles_with_PRISMA_reasons!B2:B2113""))"),2000.0)</f>
        <v>2000</v>
      </c>
      <c r="D266" s="5" t="str">
        <f>IFERROR(__xludf.DUMMYFUNCTION("IFS(AND(
FILTER(IMPORTRANGE(""https://docs.google.com/spreadsheets/d/1BJSV3WBYJGRhQ6zExamkszQ5VutGIcaQqmbD9ZTVXMQ/edit#gid=1251630045"",""articles_with_PRISMA_reasons!Y2:Y2113""), $A266=IMPORTRANGE(""https://docs.google.com/spreadsheets/d/1BJSV3WBYJGRhQ6z"&amp;"ExamkszQ5VutGIcaQqmbD9ZTVXMQ/edit#gid=1251630045"",""articles_with_PRISMA_reasons!B2:B2113""))&gt;=2,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$A266=IMPORTRANGE(""https://docs.google.com/spreadsheets/d/1BJSV3WBYJGRhQ6zExamkszQ5VutGIcaQqmbD9ZTVXMQ/edit#gid=1251630045"",""articles_with_PRISMA_reasons!B2:B2113""))&lt;2),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$A266=IMPORTRANGE(""https://docs.google.com/spreadsheets/d/1BJSV3WBYJGRhQ6zExamkszQ5VutGIcaQqmbD9ZTVXMQ/edit#gid=1251630045"",""arti"&amp;"cles_with_PRISMA_reasons!B2:B2113""))&lt;2,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$A266=IMPORTRANGE(""https://docs.google.com"&amp;"/spreadsheets/d/1BJSV3WBYJGRhQ6zExamkszQ5VutGIcaQqmbD9ZTVXMQ/edit#gid=1251630045"",""articles_with_PRISMA_reasons!B2:B2113""))&gt;=2),
""Exclude""
)"),"Exclude")</f>
        <v>Exclude</v>
      </c>
      <c r="E266" s="5" t="str">
        <f>IFERROR(__xludf.DUMMYFUNCTION("IFS(
D266=""Exclude"",""Exclude"",
AND(
FILTER(IMPORTRANGE(""https://docs.google.com/spreadsheets/d/1qpEmbGH0JjaJbUdp21-y2cPbobDbMjr09BbtdKROZWc/edit#gid=1444865654"",""articles_with_PRISMA_reasons!W2:W2113""), $A266=IMPORTRANGE(""https://docs.google.com/"&amp;"spreadsheets/d/1qpEmbGH0JjaJbUdp21-y2cPbobDbMjr09BbtdKROZWc/edit#gid=1444865654"",""articles_with_PRISMA_reasons!B2:B2113""))&gt;=2,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$A266=IMPORTRANGE(""https://docs.google.com/spreadsheets/d/1qpEmbGH0JjaJbUdp21-y2cPbobDbMjr09BbtdKROZWc/edit#gid=1444865654"",""articles_with_PRISMA_reasons!B2:B2113""))&lt;2),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$A266=IMPORTRANGE(""https://docs.google.com/spreadsheets/d/1qpEmbGH0JjaJbUdp21-y2cPbobDbMjr09BbtdKRO"&amp;"ZWc/edit#gid=1444865654"",""articles_with_PRISMA_reasons!B2:B2113""))&lt;2,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$A266=IMPOR"&amp;"TRANGE(""https://docs.google.com/spreadsheets/d/1qpEmbGH0JjaJbUdp21-y2cPbobDbMjr09BbtdKROZWc/edit#gid=1444865654"",""articles_with_PRISMA_reasons!B2:B2113""))&gt;=2),
""Exclude""
)"),"Exclude")</f>
        <v>Exclude</v>
      </c>
      <c r="F266" s="5" t="str">
        <f>IFERROR(__xludf.DUMMYFUNCTION("IFS(
E266=""Exclude"",""Exclude"",
AND(
COUNTIF(
IMPORTRANGE(""https://docs.google.com/spreadsheets/d/1kGrh75X1cNR1D7_FcY9zMnHP8iPO4M5RCRjy6nZY0TY/edit#gid=0"",""Table 1: Study characteristics!B4:B171""),A266)&gt;0,
COUNTIF(Studies!$A$2:$A$85,FILTER(IMPORTRA"&amp;"NGE(""https://docs.google.com/spreadsheets/d/1kGrh75X1cNR1D7_FcY9zMnHP8iPO4M5RCRjy6nZY0TY/edit#gid=0"",""Table 1: Study characteristics!A4:A171""), $A266=IMPORTRANGE(""https://docs.google.com/spreadsheets/d/1kGrh75X1cNR1D7_FcY9zMnHP8iPO4M5RCRjy6nZY0TY/edi"&amp;"t#gid=0"",""Table 1: Study characteristics!B4:B171"")))&gt;0
),
""Include""
)"),"Exclude")</f>
        <v>Exclude</v>
      </c>
      <c r="G266" s="5" t="str">
        <f>IFERROR(__xludf.DUMMYFUNCTION("IFS(
D266=""Exclude"",
FILTER(IMPORTRANGE(""https://docs.google.com/spreadsheets/d/1BJSV3WBYJGRhQ6zExamkszQ5VutGIcaQqmbD9ZTVXMQ/edit#gid=1251630045"",""articles_with_PRISMA_reasons!AB2:AB2113""), $A266=IMPORTRANGE(""https://docs.google.com/spreadsheets/d/"&amp;"1BJSV3WBYJGRhQ6zExamkszQ5VutGIcaQqmbD9ZTVXMQ/edit#gid=1251630045"",""articles_with_PRISMA_reasons!B2:B2113"")),
E266=""Exclude"",
FILTER(IMPORTRANGE(""https://docs.google.com/spreadsheets/d/1qpEmbGH0JjaJbUdp21-y2cPbobDbMjr09BbtdKROZWc/edit#gid=1444865654"&amp;""",""articles_with_PRISMA_reasons!Z2:Z2113""), $A266=IMPORTRANGE(""https://docs.google.com/spreadsheets/d/1qpEmbGH0JjaJbUdp21-y2cPbobDbMjr09BbtdKROZWc/edit#gid=1444865654"",""articles_with_PRISMA_reasons!B2:B2113"")),F266
=""Include"",FILTER(IMPORTRANGE("&amp;"""https://docs.google.com/spreadsheets/d/1kGrh75X1cNR1D7_FcY9zMnHP8iPO4M5RCRjy6nZY0TY/edit#gid=0"",""Table 1: Study characteristics!A4:A171""), $A266=IMPORTRANGE(""https://docs.google.com/spreadsheets/d/1kGrh75X1cNR1D7_FcY9zMnHP8iPO4M5RCRjy6nZY0TY/edit#gi"&amp;"d=0"",""Table 1: Study characteristics!B4:B171""))
)"),"wrong study design")</f>
        <v>wrong study design</v>
      </c>
    </row>
    <row r="267">
      <c r="A267" s="4" t="str">
        <f>IFERROR(__xludf.DUMMYFUNCTION("""COMPUTED_VALUE"""),"Anaphylaxis to ethylene oxide - A rare and overlooked phenomenon?")</f>
        <v>Anaphylaxis to ethylene oxide - A rare and overlooked phenomenon?</v>
      </c>
      <c r="B267" s="5" t="str">
        <f>IFERROR(__xludf.DUMMYFUNCTION("LEFT(FILTER(IMPORTRANGE(""https://docs.google.com/spreadsheets/d/1BJSV3WBYJGRhQ6zExamkszQ5VutGIcaQqmbD9ZTVXMQ/edit#gid=1251630045"",""articles_with_PRISMA_reasons!K2:K2113""), $A267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$A267=IMPORTRANGE(""https://docs.google.com/spreadsheets/d/1BJSV3WBYJGRhQ6zExamkszQ5VutGIcaQqmbD9ZTVXMQ/edit#gid=1251630045"",""articles_with_PRISMA_reasons!B2:B2113"")))-1)"),"Bache")</f>
        <v>Bache</v>
      </c>
      <c r="C267" s="6">
        <f>IFERROR(__xludf.DUMMYFUNCTION("FILTER(IMPORTRANGE(""https://docs.google.com/spreadsheets/d/1BJSV3WBYJGRhQ6zExamkszQ5VutGIcaQqmbD9ZTVXMQ/edit#gid=1251630045"",""articles_with_PRISMA_reasons!C2:C2113""), $A267=IMPORTRANGE(""https://docs.google.com/spreadsheets/d/1BJSV3WBYJGRhQ6zExamkszQ5"&amp;"VutGIcaQqmbD9ZTVXMQ/edit#gid=1251630045"",""articles_with_PRISMA_reasons!B2:B2113""))"),2011.0)</f>
        <v>2011</v>
      </c>
      <c r="D267" s="5" t="str">
        <f>IFERROR(__xludf.DUMMYFUNCTION("IFS(AND(
FILTER(IMPORTRANGE(""https://docs.google.com/spreadsheets/d/1BJSV3WBYJGRhQ6zExamkszQ5VutGIcaQqmbD9ZTVXMQ/edit#gid=1251630045"",""articles_with_PRISMA_reasons!Y2:Y2113""), $A267=IMPORTRANGE(""https://docs.google.com/spreadsheets/d/1BJSV3WBYJGRhQ6z"&amp;"ExamkszQ5VutGIcaQqmbD9ZTVXMQ/edit#gid=1251630045"",""articles_with_PRISMA_reasons!B2:B2113""))&gt;=2,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$A267=IMPORTRANGE(""https://docs.google.com/spreadsheets/d/1BJSV3WBYJGRhQ6zExamkszQ5VutGIcaQqmbD9ZTVXMQ/edit#gid=1251630045"",""articles_with_PRISMA_reasons!B2:B2113""))&lt;2),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$A267=IMPORTRANGE(""https://docs.google.com/spreadsheets/d/1BJSV3WBYJGRhQ6zExamkszQ5VutGIcaQqmbD9ZTVXMQ/edit#gid=1251630045"",""arti"&amp;"cles_with_PRISMA_reasons!B2:B2113""))&lt;2,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$A267=IMPORTRANGE(""https://docs.google.com"&amp;"/spreadsheets/d/1BJSV3WBYJGRhQ6zExamkszQ5VutGIcaQqmbD9ZTVXMQ/edit#gid=1251630045"",""articles_with_PRISMA_reasons!B2:B2113""))&gt;=2),
""Exclude""
)"),"Exclude")</f>
        <v>Exclude</v>
      </c>
      <c r="E267" s="5" t="str">
        <f>IFERROR(__xludf.DUMMYFUNCTION("IFS(
D267=""Exclude"",""Exclude"",
AND(
FILTER(IMPORTRANGE(""https://docs.google.com/spreadsheets/d/1qpEmbGH0JjaJbUdp21-y2cPbobDbMjr09BbtdKROZWc/edit#gid=1444865654"",""articles_with_PRISMA_reasons!W2:W2113""), $A267=IMPORTRANGE(""https://docs.google.com/"&amp;"spreadsheets/d/1qpEmbGH0JjaJbUdp21-y2cPbobDbMjr09BbtdKROZWc/edit#gid=1444865654"",""articles_with_PRISMA_reasons!B2:B2113""))&gt;=2,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$A267=IMPORTRANGE(""https://docs.google.com/spreadsheets/d/1qpEmbGH0JjaJbUdp21-y2cPbobDbMjr09BbtdKROZWc/edit#gid=1444865654"",""articles_with_PRISMA_reasons!B2:B2113""))&lt;2),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$A267=IMPORTRANGE(""https://docs.google.com/spreadsheets/d/1qpEmbGH0JjaJbUdp21-y2cPbobDbMjr09BbtdKRO"&amp;"ZWc/edit#gid=1444865654"",""articles_with_PRISMA_reasons!B2:B2113""))&lt;2,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$A267=IMPOR"&amp;"TRANGE(""https://docs.google.com/spreadsheets/d/1qpEmbGH0JjaJbUdp21-y2cPbobDbMjr09BbtdKROZWc/edit#gid=1444865654"",""articles_with_PRISMA_reasons!B2:B2113""))&gt;=2),
""Exclude""
)"),"Exclude")</f>
        <v>Exclude</v>
      </c>
      <c r="F267" s="5" t="str">
        <f>IFERROR(__xludf.DUMMYFUNCTION("IFS(
E267=""Exclude"",""Exclude"",
AND(
COUNTIF(
IMPORTRANGE(""https://docs.google.com/spreadsheets/d/1kGrh75X1cNR1D7_FcY9zMnHP8iPO4M5RCRjy6nZY0TY/edit#gid=0"",""Table 1: Study characteristics!B4:B171""),A267)&gt;0,
COUNTIF(Studies!$A$2:$A$85,FILTER(IMPORTRA"&amp;"NGE(""https://docs.google.com/spreadsheets/d/1kGrh75X1cNR1D7_FcY9zMnHP8iPO4M5RCRjy6nZY0TY/edit#gid=0"",""Table 1: Study characteristics!A4:A171""), $A267=IMPORTRANGE(""https://docs.google.com/spreadsheets/d/1kGrh75X1cNR1D7_FcY9zMnHP8iPO4M5RCRjy6nZY0TY/edi"&amp;"t#gid=0"",""Table 1: Study characteristics!B4:B171"")))&gt;0
),
""Include""
)"),"Exclude")</f>
        <v>Exclude</v>
      </c>
      <c r="G267" s="5" t="str">
        <f>IFERROR(__xludf.DUMMYFUNCTION("IFS(
D267=""Exclude"",
FILTER(IMPORTRANGE(""https://docs.google.com/spreadsheets/d/1BJSV3WBYJGRhQ6zExamkszQ5VutGIcaQqmbD9ZTVXMQ/edit#gid=1251630045"",""articles_with_PRISMA_reasons!AB2:AB2113""), $A267=IMPORTRANGE(""https://docs.google.com/spreadsheets/d/"&amp;"1BJSV3WBYJGRhQ6zExamkszQ5VutGIcaQqmbD9ZTVXMQ/edit#gid=1251630045"",""articles_with_PRISMA_reasons!B2:B2113"")),
E267=""Exclude"",
FILTER(IMPORTRANGE(""https://docs.google.com/spreadsheets/d/1qpEmbGH0JjaJbUdp21-y2cPbobDbMjr09BbtdKROZWc/edit#gid=1444865654"&amp;""",""articles_with_PRISMA_reasons!Z2:Z2113""), $A267=IMPORTRANGE(""https://docs.google.com/spreadsheets/d/1qpEmbGH0JjaJbUdp21-y2cPbobDbMjr09BbtdKROZWc/edit#gid=1444865654"",""articles_with_PRISMA_reasons!B2:B2113"")),F267
=""Include"",FILTER(IMPORTRANGE("&amp;"""https://docs.google.com/spreadsheets/d/1kGrh75X1cNR1D7_FcY9zMnHP8iPO4M5RCRjy6nZY0TY/edit#gid=0"",""Table 1: Study characteristics!A4:A171""), $A267=IMPORTRANGE(""https://docs.google.com/spreadsheets/d/1kGrh75X1cNR1D7_FcY9zMnHP8iPO4M5RCRjy6nZY0TY/edit#gi"&amp;"d=0"",""Table 1: Study characteristics!B4:B171""))
)"),"wrong study design")</f>
        <v>wrong study design</v>
      </c>
    </row>
    <row r="268">
      <c r="A268" s="4" t="str">
        <f>IFERROR(__xludf.DUMMYFUNCTION("""COMPUTED_VALUE"""),"Anatomía ventricular endoscópica en pacientes con malformaciones congénitas cerebrales")</f>
        <v>Anatomía ventricular endoscópica en pacientes con malformaciones congénitas cerebrales</v>
      </c>
      <c r="B268" s="5" t="str">
        <f>IFERROR(__xludf.DUMMYFUNCTION("LEFT(FILTER(IMPORTRANGE(""https://docs.google.com/spreadsheets/d/1BJSV3WBYJGRhQ6zExamkszQ5VutGIcaQqmbD9ZTVXMQ/edit#gid=1251630045"",""articles_with_PRISMA_reasons!K2:K2113""), $A268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$A268=IMPORTRANGE(""https://docs.google.com/spreadsheets/d/1BJSV3WBYJGRhQ6zExamkszQ5VutGIcaQqmbD9ZTVXMQ/edit#gid=1251630045"",""articles_with_PRISMA_reasons!B2:B2113"")))-1)"),"Salazar Zencovich")</f>
        <v>Salazar Zencovich</v>
      </c>
      <c r="C268" s="6">
        <f>IFERROR(__xludf.DUMMYFUNCTION("FILTER(IMPORTRANGE(""https://docs.google.com/spreadsheets/d/1BJSV3WBYJGRhQ6zExamkszQ5VutGIcaQqmbD9ZTVXMQ/edit#gid=1251630045"",""articles_with_PRISMA_reasons!C2:C2113""), $A268=IMPORTRANGE(""https://docs.google.com/spreadsheets/d/1BJSV3WBYJGRhQ6zExamkszQ5"&amp;"VutGIcaQqmbD9ZTVXMQ/edit#gid=1251630045"",""articles_with_PRISMA_reasons!B2:B2113""))"),2000.0)</f>
        <v>2000</v>
      </c>
      <c r="D268" s="5" t="str">
        <f>IFERROR(__xludf.DUMMYFUNCTION("IFS(AND(
FILTER(IMPORTRANGE(""https://docs.google.com/spreadsheets/d/1BJSV3WBYJGRhQ6zExamkszQ5VutGIcaQqmbD9ZTVXMQ/edit#gid=1251630045"",""articles_with_PRISMA_reasons!Y2:Y2113""), $A268=IMPORTRANGE(""https://docs.google.com/spreadsheets/d/1BJSV3WBYJGRhQ6z"&amp;"ExamkszQ5VutGIcaQqmbD9ZTVXMQ/edit#gid=1251630045"",""articles_with_PRISMA_reasons!B2:B2113""))&gt;=2,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$A268=IMPORTRANGE(""https://docs.google.com/spreadsheets/d/1BJSV3WBYJGRhQ6zExamkszQ5VutGIcaQqmbD9ZTVXMQ/edit#gid=1251630045"",""articles_with_PRISMA_reasons!B2:B2113""))&lt;2),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$A268=IMPORTRANGE(""https://docs.google.com/spreadsheets/d/1BJSV3WBYJGRhQ6zExamkszQ5VutGIcaQqmbD9ZTVXMQ/edit#gid=1251630045"",""arti"&amp;"cles_with_PRISMA_reasons!B2:B2113""))&lt;2,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$A268=IMPORTRANGE(""https://docs.google.com"&amp;"/spreadsheets/d/1BJSV3WBYJGRhQ6zExamkszQ5VutGIcaQqmbD9ZTVXMQ/edit#gid=1251630045"",""articles_with_PRISMA_reasons!B2:B2113""))&gt;=2),
""Exclude""
)"),"Exclude")</f>
        <v>Exclude</v>
      </c>
      <c r="E268" s="5" t="str">
        <f>IFERROR(__xludf.DUMMYFUNCTION("IFS(
D268=""Exclude"",""Exclude"",
AND(
FILTER(IMPORTRANGE(""https://docs.google.com/spreadsheets/d/1qpEmbGH0JjaJbUdp21-y2cPbobDbMjr09BbtdKROZWc/edit#gid=1444865654"",""articles_with_PRISMA_reasons!W2:W2113""), $A268=IMPORTRANGE(""https://docs.google.com/"&amp;"spreadsheets/d/1qpEmbGH0JjaJbUdp21-y2cPbobDbMjr09BbtdKROZWc/edit#gid=1444865654"",""articles_with_PRISMA_reasons!B2:B2113""))&gt;=2,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$A268=IMPORTRANGE(""https://docs.google.com/spreadsheets/d/1qpEmbGH0JjaJbUdp21-y2cPbobDbMjr09BbtdKROZWc/edit#gid=1444865654"",""articles_with_PRISMA_reasons!B2:B2113""))&lt;2),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$A268=IMPORTRANGE(""https://docs.google.com/spreadsheets/d/1qpEmbGH0JjaJbUdp21-y2cPbobDbMjr09BbtdKRO"&amp;"ZWc/edit#gid=1444865654"",""articles_with_PRISMA_reasons!B2:B2113""))&lt;2,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$A268=IMPOR"&amp;"TRANGE(""https://docs.google.com/spreadsheets/d/1qpEmbGH0JjaJbUdp21-y2cPbobDbMjr09BbtdKROZWc/edit#gid=1444865654"",""articles_with_PRISMA_reasons!B2:B2113""))&gt;=2),
""Exclude""
)"),"Exclude")</f>
        <v>Exclude</v>
      </c>
      <c r="F268" s="5" t="str">
        <f>IFERROR(__xludf.DUMMYFUNCTION("IFS(
E268=""Exclude"",""Exclude"",
AND(
COUNTIF(
IMPORTRANGE(""https://docs.google.com/spreadsheets/d/1kGrh75X1cNR1D7_FcY9zMnHP8iPO4M5RCRjy6nZY0TY/edit#gid=0"",""Table 1: Study characteristics!B4:B171""),A268)&gt;0,
COUNTIF(Studies!$A$2:$A$85,FILTER(IMPORTRA"&amp;"NGE(""https://docs.google.com/spreadsheets/d/1kGrh75X1cNR1D7_FcY9zMnHP8iPO4M5RCRjy6nZY0TY/edit#gid=0"",""Table 1: Study characteristics!A4:A171""), $A268=IMPORTRANGE(""https://docs.google.com/spreadsheets/d/1kGrh75X1cNR1D7_FcY9zMnHP8iPO4M5RCRjy6nZY0TY/edi"&amp;"t#gid=0"",""Table 1: Study characteristics!B4:B171"")))&gt;0
),
""Include""
)"),"Exclude")</f>
        <v>Exclude</v>
      </c>
      <c r="G268" s="5" t="str">
        <f>IFERROR(__xludf.DUMMYFUNCTION("IFS(
D268=""Exclude"",
FILTER(IMPORTRANGE(""https://docs.google.com/spreadsheets/d/1BJSV3WBYJGRhQ6zExamkszQ5VutGIcaQqmbD9ZTVXMQ/edit#gid=1251630045"",""articles_with_PRISMA_reasons!AB2:AB2113""), $A268=IMPORTRANGE(""https://docs.google.com/spreadsheets/d/"&amp;"1BJSV3WBYJGRhQ6zExamkszQ5VutGIcaQqmbD9ZTVXMQ/edit#gid=1251630045"",""articles_with_PRISMA_reasons!B2:B2113"")),
E268=""Exclude"",
FILTER(IMPORTRANGE(""https://docs.google.com/spreadsheets/d/1qpEmbGH0JjaJbUdp21-y2cPbobDbMjr09BbtdKROZWc/edit#gid=1444865654"&amp;""",""articles_with_PRISMA_reasons!Z2:Z2113""), $A268=IMPORTRANGE(""https://docs.google.com/spreadsheets/d/1qpEmbGH0JjaJbUdp21-y2cPbobDbMjr09BbtdKROZWc/edit#gid=1444865654"",""articles_with_PRISMA_reasons!B2:B2113"")),F268
=""Include"",FILTER(IMPORTRANGE("&amp;"""https://docs.google.com/spreadsheets/d/1kGrh75X1cNR1D7_FcY9zMnHP8iPO4M5RCRjy6nZY0TY/edit#gid=0"",""Table 1: Study characteristics!A4:A171""), $A268=IMPORTRANGE(""https://docs.google.com/spreadsheets/d/1kGrh75X1cNR1D7_FcY9zMnHP8iPO4M5RCRjy6nZY0TY/edit#gi"&amp;"d=0"",""Table 1: Study characteristics!B4:B171""))
)"),"wrong study design")</f>
        <v>wrong study design</v>
      </c>
    </row>
    <row r="269">
      <c r="A269" s="4" t="str">
        <f>IFERROR(__xludf.DUMMYFUNCTION("""COMPUTED_VALUE"""),"Anatomical and diffusion MRI of deep gray matter in pediatric spina bifida")</f>
        <v>Anatomical and diffusion MRI of deep gray matter in pediatric spina bifida</v>
      </c>
      <c r="B269" s="5" t="str">
        <f>IFERROR(__xludf.DUMMYFUNCTION("LEFT(FILTER(IMPORTRANGE(""https://docs.google.com/spreadsheets/d/1BJSV3WBYJGRhQ6zExamkszQ5VutGIcaQqmbD9ZTVXMQ/edit#gid=1251630045"",""articles_with_PRISMA_reasons!K2:K2113""), $A269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$A269=IMPORTRANGE(""https://docs.google.com/spreadsheets/d/1BJSV3WBYJGRhQ6zExamkszQ5VutGIcaQqmbD9ZTVXMQ/edit#gid=1251630045"",""articles_with_PRISMA_reasons!B2:B2113"")))-1)"),"Ware")</f>
        <v>Ware</v>
      </c>
      <c r="C269" s="6">
        <f>IFERROR(__xludf.DUMMYFUNCTION("FILTER(IMPORTRANGE(""https://docs.google.com/spreadsheets/d/1BJSV3WBYJGRhQ6zExamkszQ5VutGIcaQqmbD9ZTVXMQ/edit#gid=1251630045"",""articles_with_PRISMA_reasons!C2:C2113""), $A269=IMPORTRANGE(""https://docs.google.com/spreadsheets/d/1BJSV3WBYJGRhQ6zExamkszQ5"&amp;"VutGIcaQqmbD9ZTVXMQ/edit#gid=1251630045"",""articles_with_PRISMA_reasons!B2:B2113""))"),2014.0)</f>
        <v>2014</v>
      </c>
      <c r="D269" s="5" t="str">
        <f>IFERROR(__xludf.DUMMYFUNCTION("IFS(AND(
FILTER(IMPORTRANGE(""https://docs.google.com/spreadsheets/d/1BJSV3WBYJGRhQ6zExamkszQ5VutGIcaQqmbD9ZTVXMQ/edit#gid=1251630045"",""articles_with_PRISMA_reasons!Y2:Y2113""), $A269=IMPORTRANGE(""https://docs.google.com/spreadsheets/d/1BJSV3WBYJGRhQ6z"&amp;"ExamkszQ5VutGIcaQqmbD9ZTVXMQ/edit#gid=1251630045"",""articles_with_PRISMA_reasons!B2:B2113""))&gt;=2,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$A269=IMPORTRANGE(""https://docs.google.com/spreadsheets/d/1BJSV3WBYJGRhQ6zExamkszQ5VutGIcaQqmbD9ZTVXMQ/edit#gid=1251630045"",""articles_with_PRISMA_reasons!B2:B2113""))&lt;2),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$A269=IMPORTRANGE(""https://docs.google.com/spreadsheets/d/1BJSV3WBYJGRhQ6zExamkszQ5VutGIcaQqmbD9ZTVXMQ/edit#gid=1251630045"",""arti"&amp;"cles_with_PRISMA_reasons!B2:B2113""))&lt;2,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$A269=IMPORTRANGE(""https://docs.google.com"&amp;"/spreadsheets/d/1BJSV3WBYJGRhQ6zExamkszQ5VutGIcaQqmbD9ZTVXMQ/edit#gid=1251630045"",""articles_with_PRISMA_reasons!B2:B2113""))&gt;=2),
""Exclude""
)"),"Exclude")</f>
        <v>Exclude</v>
      </c>
      <c r="E269" s="5" t="str">
        <f>IFERROR(__xludf.DUMMYFUNCTION("IFS(
D269=""Exclude"",""Exclude"",
AND(
FILTER(IMPORTRANGE(""https://docs.google.com/spreadsheets/d/1qpEmbGH0JjaJbUdp21-y2cPbobDbMjr09BbtdKROZWc/edit#gid=1444865654"",""articles_with_PRISMA_reasons!W2:W2113""), $A269=IMPORTRANGE(""https://docs.google.com/"&amp;"spreadsheets/d/1qpEmbGH0JjaJbUdp21-y2cPbobDbMjr09BbtdKROZWc/edit#gid=1444865654"",""articles_with_PRISMA_reasons!B2:B2113""))&gt;=2,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$A269=IMPORTRANGE(""https://docs.google.com/spreadsheets/d/1qpEmbGH0JjaJbUdp21-y2cPbobDbMjr09BbtdKROZWc/edit#gid=1444865654"",""articles_with_PRISMA_reasons!B2:B2113""))&lt;2),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$A269=IMPORTRANGE(""https://docs.google.com/spreadsheets/d/1qpEmbGH0JjaJbUdp21-y2cPbobDbMjr09BbtdKRO"&amp;"ZWc/edit#gid=1444865654"",""articles_with_PRISMA_reasons!B2:B2113""))&lt;2,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$A269=IMPOR"&amp;"TRANGE(""https://docs.google.com/spreadsheets/d/1qpEmbGH0JjaJbUdp21-y2cPbobDbMjr09BbtdKROZWc/edit#gid=1444865654"",""articles_with_PRISMA_reasons!B2:B2113""))&gt;=2),
""Exclude""
)"),"Exclude")</f>
        <v>Exclude</v>
      </c>
      <c r="F269" s="5" t="str">
        <f>IFERROR(__xludf.DUMMYFUNCTION("IFS(
E269=""Exclude"",""Exclude"",
AND(
COUNTIF(
IMPORTRANGE(""https://docs.google.com/spreadsheets/d/1kGrh75X1cNR1D7_FcY9zMnHP8iPO4M5RCRjy6nZY0TY/edit#gid=0"",""Table 1: Study characteristics!B4:B171""),A269)&gt;0,
COUNTIF(Studies!$A$2:$A$85,FILTER(IMPORTRA"&amp;"NGE(""https://docs.google.com/spreadsheets/d/1kGrh75X1cNR1D7_FcY9zMnHP8iPO4M5RCRjy6nZY0TY/edit#gid=0"",""Table 1: Study characteristics!A4:A171""), $A269=IMPORTRANGE(""https://docs.google.com/spreadsheets/d/1kGrh75X1cNR1D7_FcY9zMnHP8iPO4M5RCRjy6nZY0TY/edi"&amp;"t#gid=0"",""Table 1: Study characteristics!B4:B171"")))&gt;0
),
""Include""
)"),"Exclude")</f>
        <v>Exclude</v>
      </c>
      <c r="G269" s="5" t="str">
        <f>IFERROR(__xludf.DUMMYFUNCTION("IFS(
D269=""Exclude"",
FILTER(IMPORTRANGE(""https://docs.google.com/spreadsheets/d/1BJSV3WBYJGRhQ6zExamkszQ5VutGIcaQqmbD9ZTVXMQ/edit#gid=1251630045"",""articles_with_PRISMA_reasons!AB2:AB2113""), $A269=IMPORTRANGE(""https://docs.google.com/spreadsheets/d/"&amp;"1BJSV3WBYJGRhQ6zExamkszQ5VutGIcaQqmbD9ZTVXMQ/edit#gid=1251630045"",""articles_with_PRISMA_reasons!B2:B2113"")),
E269=""Exclude"",
FILTER(IMPORTRANGE(""https://docs.google.com/spreadsheets/d/1qpEmbGH0JjaJbUdp21-y2cPbobDbMjr09BbtdKROZWc/edit#gid=1444865654"&amp;""",""articles_with_PRISMA_reasons!Z2:Z2113""), $A269=IMPORTRANGE(""https://docs.google.com/spreadsheets/d/1qpEmbGH0JjaJbUdp21-y2cPbobDbMjr09BbtdKROZWc/edit#gid=1444865654"",""articles_with_PRISMA_reasons!B2:B2113"")),F269
=""Include"",FILTER(IMPORTRANGE("&amp;"""https://docs.google.com/spreadsheets/d/1kGrh75X1cNR1D7_FcY9zMnHP8iPO4M5RCRjy6nZY0TY/edit#gid=0"",""Table 1: Study characteristics!A4:A171""), $A269=IMPORTRANGE(""https://docs.google.com/spreadsheets/d/1kGrh75X1cNR1D7_FcY9zMnHP8iPO4M5RCRjy6nZY0TY/edit#gi"&amp;"d=0"",""Table 1: Study characteristics!B4:B171""))
)"),"wrong population")</f>
        <v>wrong population</v>
      </c>
    </row>
    <row r="270">
      <c r="A270" s="4" t="str">
        <f>IFERROR(__xludf.DUMMYFUNCTION("""COMPUTED_VALUE"""),"Anatomy of the spinal cord in patients with meningomyelocele with and without hypoplasia or hydromyelia")</f>
        <v>Anatomy of the spinal cord in patients with meningomyelocele with and without hypoplasia or hydromyelia</v>
      </c>
      <c r="B270" s="5" t="str">
        <f>IFERROR(__xludf.DUMMYFUNCTION("LEFT(FILTER(IMPORTRANGE(""https://docs.google.com/spreadsheets/d/1BJSV3WBYJGRhQ6zExamkszQ5VutGIcaQqmbD9ZTVXMQ/edit#gid=1251630045"",""articles_with_PRISMA_reasons!K2:K2113""), $A270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$A270=IMPORTRANGE(""https://docs.google.com/spreadsheets/d/1BJSV3WBYJGRhQ6zExamkszQ5VutGIcaQqmbD9ZTVXMQ/edit#gid=1251630045"",""articles_with_PRISMA_reasons!B2:B2113"")))-1)"),"Moskowitz")</f>
        <v>Moskowitz</v>
      </c>
      <c r="C270" s="6">
        <f>IFERROR(__xludf.DUMMYFUNCTION("FILTER(IMPORTRANGE(""https://docs.google.com/spreadsheets/d/1BJSV3WBYJGRhQ6zExamkszQ5VutGIcaQqmbD9ZTVXMQ/edit#gid=1251630045"",""articles_with_PRISMA_reasons!C2:C2113""), $A270=IMPORTRANGE(""https://docs.google.com/spreadsheets/d/1BJSV3WBYJGRhQ6zExamkszQ5"&amp;"VutGIcaQqmbD9ZTVXMQ/edit#gid=1251630045"",""articles_with_PRISMA_reasons!B2:B2113""))"),1998.0)</f>
        <v>1998</v>
      </c>
      <c r="D270" s="5" t="str">
        <f>IFERROR(__xludf.DUMMYFUNCTION("IFS(AND(
FILTER(IMPORTRANGE(""https://docs.google.com/spreadsheets/d/1BJSV3WBYJGRhQ6zExamkszQ5VutGIcaQqmbD9ZTVXMQ/edit#gid=1251630045"",""articles_with_PRISMA_reasons!Y2:Y2113""), $A270=IMPORTRANGE(""https://docs.google.com/spreadsheets/d/1BJSV3WBYJGRhQ6z"&amp;"ExamkszQ5VutGIcaQqmbD9ZTVXMQ/edit#gid=1251630045"",""articles_with_PRISMA_reasons!B2:B2113""))&gt;=2,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$A270=IMPORTRANGE(""https://docs.google.com/spreadsheets/d/1BJSV3WBYJGRhQ6zExamkszQ5VutGIcaQqmbD9ZTVXMQ/edit#gid=1251630045"",""articles_with_PRISMA_reasons!B2:B2113""))&lt;2),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$A270=IMPORTRANGE(""https://docs.google.com/spreadsheets/d/1BJSV3WBYJGRhQ6zExamkszQ5VutGIcaQqmbD9ZTVXMQ/edit#gid=1251630045"",""arti"&amp;"cles_with_PRISMA_reasons!B2:B2113""))&lt;2,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$A270=IMPORTRANGE(""https://docs.google.com"&amp;"/spreadsheets/d/1BJSV3WBYJGRhQ6zExamkszQ5VutGIcaQqmbD9ZTVXMQ/edit#gid=1251630045"",""articles_with_PRISMA_reasons!B2:B2113""))&gt;=2),
""Exclude""
)"),"Exclude")</f>
        <v>Exclude</v>
      </c>
      <c r="E270" s="5" t="str">
        <f>IFERROR(__xludf.DUMMYFUNCTION("IFS(
D270=""Exclude"",""Exclude"",
AND(
FILTER(IMPORTRANGE(""https://docs.google.com/spreadsheets/d/1qpEmbGH0JjaJbUdp21-y2cPbobDbMjr09BbtdKROZWc/edit#gid=1444865654"",""articles_with_PRISMA_reasons!W2:W2113""), $A270=IMPORTRANGE(""https://docs.google.com/"&amp;"spreadsheets/d/1qpEmbGH0JjaJbUdp21-y2cPbobDbMjr09BbtdKROZWc/edit#gid=1444865654"",""articles_with_PRISMA_reasons!B2:B2113""))&gt;=2,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$A270=IMPORTRANGE(""https://docs.google.com/spreadsheets/d/1qpEmbGH0JjaJbUdp21-y2cPbobDbMjr09BbtdKROZWc/edit#gid=1444865654"",""articles_with_PRISMA_reasons!B2:B2113""))&lt;2),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$A270=IMPORTRANGE(""https://docs.google.com/spreadsheets/d/1qpEmbGH0JjaJbUdp21-y2cPbobDbMjr09BbtdKRO"&amp;"ZWc/edit#gid=1444865654"",""articles_with_PRISMA_reasons!B2:B2113""))&lt;2,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$A270=IMPOR"&amp;"TRANGE(""https://docs.google.com/spreadsheets/d/1qpEmbGH0JjaJbUdp21-y2cPbobDbMjr09BbtdKROZWc/edit#gid=1444865654"",""articles_with_PRISMA_reasons!B2:B2113""))&gt;=2),
""Exclude""
)"),"Exclude")</f>
        <v>Exclude</v>
      </c>
      <c r="F270" s="5" t="str">
        <f>IFERROR(__xludf.DUMMYFUNCTION("IFS(
E270=""Exclude"",""Exclude"",
AND(
COUNTIF(
IMPORTRANGE(""https://docs.google.com/spreadsheets/d/1kGrh75X1cNR1D7_FcY9zMnHP8iPO4M5RCRjy6nZY0TY/edit#gid=0"",""Table 1: Study characteristics!B4:B171""),A270)&gt;0,
COUNTIF(Studies!$A$2:$A$85,FILTER(IMPORTRA"&amp;"NGE(""https://docs.google.com/spreadsheets/d/1kGrh75X1cNR1D7_FcY9zMnHP8iPO4M5RCRjy6nZY0TY/edit#gid=0"",""Table 1: Study characteristics!A4:A171""), $A270=IMPORTRANGE(""https://docs.google.com/spreadsheets/d/1kGrh75X1cNR1D7_FcY9zMnHP8iPO4M5RCRjy6nZY0TY/edi"&amp;"t#gid=0"",""Table 1: Study characteristics!B4:B171"")))&gt;0
),
""Include""
)"),"Exclude")</f>
        <v>Exclude</v>
      </c>
      <c r="G270" s="5" t="str">
        <f>IFERROR(__xludf.DUMMYFUNCTION("IFS(
D270=""Exclude"",
FILTER(IMPORTRANGE(""https://docs.google.com/spreadsheets/d/1BJSV3WBYJGRhQ6zExamkszQ5VutGIcaQqmbD9ZTVXMQ/edit#gid=1251630045"",""articles_with_PRISMA_reasons!AB2:AB2113""), $A270=IMPORTRANGE(""https://docs.google.com/spreadsheets/d/"&amp;"1BJSV3WBYJGRhQ6zExamkszQ5VutGIcaQqmbD9ZTVXMQ/edit#gid=1251630045"",""articles_with_PRISMA_reasons!B2:B2113"")),
E270=""Exclude"",
FILTER(IMPORTRANGE(""https://docs.google.com/spreadsheets/d/1qpEmbGH0JjaJbUdp21-y2cPbobDbMjr09BbtdKROZWc/edit#gid=1444865654"&amp;""",""articles_with_PRISMA_reasons!Z2:Z2113""), $A270=IMPORTRANGE(""https://docs.google.com/spreadsheets/d/1qpEmbGH0JjaJbUdp21-y2cPbobDbMjr09BbtdKROZWc/edit#gid=1444865654"",""articles_with_PRISMA_reasons!B2:B2113"")),F270
=""Include"",FILTER(IMPORTRANGE("&amp;"""https://docs.google.com/spreadsheets/d/1kGrh75X1cNR1D7_FcY9zMnHP8iPO4M5RCRjy6nZY0TY/edit#gid=0"",""Table 1: Study characteristics!A4:A171""), $A270=IMPORTRANGE(""https://docs.google.com/spreadsheets/d/1kGrh75X1cNR1D7_FcY9zMnHP8iPO4M5RCRjy6nZY0TY/edit#gi"&amp;"d=0"",""Table 1: Study characteristics!B4:B171""))
)"),"background article")</f>
        <v>background article</v>
      </c>
    </row>
    <row r="271">
      <c r="A271" s="4" t="str">
        <f>IFERROR(__xludf.DUMMYFUNCTION("""COMPUTED_VALUE"""),"And Who Shall Heal the Afflicted? Neurosurgical Care in Sub-Saharan Africa")</f>
        <v>And Who Shall Heal the Afflicted? Neurosurgical Care in Sub-Saharan Africa</v>
      </c>
      <c r="B271" s="5" t="str">
        <f>IFERROR(__xludf.DUMMYFUNCTION("LEFT(FILTER(IMPORTRANGE(""https://docs.google.com/spreadsheets/d/1BJSV3WBYJGRhQ6zExamkszQ5VutGIcaQqmbD9ZTVXMQ/edit#gid=1251630045"",""articles_with_PRISMA_reasons!K2:K2113""), $A271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$A271=IMPORTRANGE(""https://docs.google.com/spreadsheets/d/1BJSV3WBYJGRhQ6zExamkszQ5VutGIcaQqmbD9ZTVXMQ/edit#gid=1251630045"",""articles_with_PRISMA_reasons!B2:B2113"")))-1)"),"Bean")</f>
        <v>Bean</v>
      </c>
      <c r="C271" s="6">
        <f>IFERROR(__xludf.DUMMYFUNCTION("FILTER(IMPORTRANGE(""https://docs.google.com/spreadsheets/d/1BJSV3WBYJGRhQ6zExamkszQ5VutGIcaQqmbD9ZTVXMQ/edit#gid=1251630045"",""articles_with_PRISMA_reasons!C2:C2113""), $A271=IMPORTRANGE(""https://docs.google.com/spreadsheets/d/1BJSV3WBYJGRhQ6zExamkszQ5"&amp;"VutGIcaQqmbD9ZTVXMQ/edit#gid=1251630045"",""articles_with_PRISMA_reasons!B2:B2113""))"),2017.0)</f>
        <v>2017</v>
      </c>
      <c r="D271" s="5" t="str">
        <f>IFERROR(__xludf.DUMMYFUNCTION("IFS(AND(
FILTER(IMPORTRANGE(""https://docs.google.com/spreadsheets/d/1BJSV3WBYJGRhQ6zExamkszQ5VutGIcaQqmbD9ZTVXMQ/edit#gid=1251630045"",""articles_with_PRISMA_reasons!Y2:Y2113""), $A271=IMPORTRANGE(""https://docs.google.com/spreadsheets/d/1BJSV3WBYJGRhQ6z"&amp;"ExamkszQ5VutGIcaQqmbD9ZTVXMQ/edit#gid=1251630045"",""articles_with_PRISMA_reasons!B2:B2113""))&gt;=2,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$A271=IMPORTRANGE(""https://docs.google.com/spreadsheets/d/1BJSV3WBYJGRhQ6zExamkszQ5VutGIcaQqmbD9ZTVXMQ/edit#gid=1251630045"",""articles_with_PRISMA_reasons!B2:B2113""))&lt;2),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$A271=IMPORTRANGE(""https://docs.google.com/spreadsheets/d/1BJSV3WBYJGRhQ6zExamkszQ5VutGIcaQqmbD9ZTVXMQ/edit#gid=1251630045"",""arti"&amp;"cles_with_PRISMA_reasons!B2:B2113""))&lt;2,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$A271=IMPORTRANGE(""https://docs.google.com"&amp;"/spreadsheets/d/1BJSV3WBYJGRhQ6zExamkszQ5VutGIcaQqmbD9ZTVXMQ/edit#gid=1251630045"",""articles_with_PRISMA_reasons!B2:B2113""))&gt;=2),
""Exclude""
)"),"Exclude")</f>
        <v>Exclude</v>
      </c>
      <c r="E271" s="5" t="str">
        <f>IFERROR(__xludf.DUMMYFUNCTION("IFS(
D271=""Exclude"",""Exclude"",
AND(
FILTER(IMPORTRANGE(""https://docs.google.com/spreadsheets/d/1qpEmbGH0JjaJbUdp21-y2cPbobDbMjr09BbtdKROZWc/edit#gid=1444865654"",""articles_with_PRISMA_reasons!W2:W2113""), $A271=IMPORTRANGE(""https://docs.google.com/"&amp;"spreadsheets/d/1qpEmbGH0JjaJbUdp21-y2cPbobDbMjr09BbtdKROZWc/edit#gid=1444865654"",""articles_with_PRISMA_reasons!B2:B2113""))&gt;=2,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$A271=IMPORTRANGE(""https://docs.google.com/spreadsheets/d/1qpEmbGH0JjaJbUdp21-y2cPbobDbMjr09BbtdKROZWc/edit#gid=1444865654"",""articles_with_PRISMA_reasons!B2:B2113""))&lt;2),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$A271=IMPORTRANGE(""https://docs.google.com/spreadsheets/d/1qpEmbGH0JjaJbUdp21-y2cPbobDbMjr09BbtdKRO"&amp;"ZWc/edit#gid=1444865654"",""articles_with_PRISMA_reasons!B2:B2113""))&lt;2,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$A271=IMPOR"&amp;"TRANGE(""https://docs.google.com/spreadsheets/d/1qpEmbGH0JjaJbUdp21-y2cPbobDbMjr09BbtdKROZWc/edit#gid=1444865654"",""articles_with_PRISMA_reasons!B2:B2113""))&gt;=2),
""Exclude""
)"),"Exclude")</f>
        <v>Exclude</v>
      </c>
      <c r="F271" s="5" t="str">
        <f>IFERROR(__xludf.DUMMYFUNCTION("IFS(
E271=""Exclude"",""Exclude"",
AND(
COUNTIF(
IMPORTRANGE(""https://docs.google.com/spreadsheets/d/1kGrh75X1cNR1D7_FcY9zMnHP8iPO4M5RCRjy6nZY0TY/edit#gid=0"",""Table 1: Study characteristics!B4:B171""),A271)&gt;0,
COUNTIF(Studies!$A$2:$A$85,FILTER(IMPORTRA"&amp;"NGE(""https://docs.google.com/spreadsheets/d/1kGrh75X1cNR1D7_FcY9zMnHP8iPO4M5RCRjy6nZY0TY/edit#gid=0"",""Table 1: Study characteristics!A4:A171""), $A271=IMPORTRANGE(""https://docs.google.com/spreadsheets/d/1kGrh75X1cNR1D7_FcY9zMnHP8iPO4M5RCRjy6nZY0TY/edi"&amp;"t#gid=0"",""Table 1: Study characteristics!B4:B171"")))&gt;0
),
""Include""
)"),"Exclude")</f>
        <v>Exclude</v>
      </c>
      <c r="G271" s="5" t="str">
        <f>IFERROR(__xludf.DUMMYFUNCTION("IFS(
D271=""Exclude"",
FILTER(IMPORTRANGE(""https://docs.google.com/spreadsheets/d/1BJSV3WBYJGRhQ6zExamkszQ5VutGIcaQqmbD9ZTVXMQ/edit#gid=1251630045"",""articles_with_PRISMA_reasons!AB2:AB2113""), $A271=IMPORTRANGE(""https://docs.google.com/spreadsheets/d/"&amp;"1BJSV3WBYJGRhQ6zExamkszQ5VutGIcaQqmbD9ZTVXMQ/edit#gid=1251630045"",""articles_with_PRISMA_reasons!B2:B2113"")),
E271=""Exclude"",
FILTER(IMPORTRANGE(""https://docs.google.com/spreadsheets/d/1qpEmbGH0JjaJbUdp21-y2cPbobDbMjr09BbtdKROZWc/edit#gid=1444865654"&amp;""",""articles_with_PRISMA_reasons!Z2:Z2113""), $A271=IMPORTRANGE(""https://docs.google.com/spreadsheets/d/1qpEmbGH0JjaJbUdp21-y2cPbobDbMjr09BbtdKROZWc/edit#gid=1444865654"",""articles_with_PRISMA_reasons!B2:B2113"")),F271
=""Include"",FILTER(IMPORTRANGE("&amp;"""https://docs.google.com/spreadsheets/d/1kGrh75X1cNR1D7_FcY9zMnHP8iPO4M5RCRjy6nZY0TY/edit#gid=0"",""Table 1: Study characteristics!A4:A171""), $A271=IMPORTRANGE(""https://docs.google.com/spreadsheets/d/1kGrh75X1cNR1D7_FcY9zMnHP8iPO4M5RCRjy6nZY0TY/edit#gi"&amp;"d=0"",""Table 1: Study characteristics!B4:B171""))
)"),"background article")</f>
        <v>background article</v>
      </c>
    </row>
    <row r="272">
      <c r="A272" s="4" t="str">
        <f>IFERROR(__xludf.DUMMYFUNCTION("""COMPUTED_VALUE"""),"Anesthesia and perioperative management in infants with Chiari type II malformation")</f>
        <v>Anesthesia and perioperative management in infants with Chiari type II malformation</v>
      </c>
      <c r="B272" s="5" t="str">
        <f>IFERROR(__xludf.DUMMYFUNCTION("LEFT(FILTER(IMPORTRANGE(""https://docs.google.com/spreadsheets/d/1BJSV3WBYJGRhQ6zExamkszQ5VutGIcaQqmbD9ZTVXMQ/edit#gid=1251630045"",""articles_with_PRISMA_reasons!K2:K2113""), $A272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$A272=IMPORTRANGE(""https://docs.google.com/spreadsheets/d/1BJSV3WBYJGRhQ6zExamkszQ5VutGIcaQqmbD9ZTVXMQ/edit#gid=1251630045"",""articles_with_PRISMA_reasons!B2:B2113"")))-1)"),"Nishino")</f>
        <v>Nishino</v>
      </c>
      <c r="C272" s="6">
        <f>IFERROR(__xludf.DUMMYFUNCTION("FILTER(IMPORTRANGE(""https://docs.google.com/spreadsheets/d/1BJSV3WBYJGRhQ6zExamkszQ5VutGIcaQqmbD9ZTVXMQ/edit#gid=1251630045"",""articles_with_PRISMA_reasons!C2:C2113""), $A272=IMPORTRANGE(""https://docs.google.com/spreadsheets/d/1BJSV3WBYJGRhQ6zExamkszQ5"&amp;"VutGIcaQqmbD9ZTVXMQ/edit#gid=1251630045"",""articles_with_PRISMA_reasons!B2:B2113""))"),1998.0)</f>
        <v>1998</v>
      </c>
      <c r="D272" s="5" t="str">
        <f>IFERROR(__xludf.DUMMYFUNCTION("IFS(AND(
FILTER(IMPORTRANGE(""https://docs.google.com/spreadsheets/d/1BJSV3WBYJGRhQ6zExamkszQ5VutGIcaQqmbD9ZTVXMQ/edit#gid=1251630045"",""articles_with_PRISMA_reasons!Y2:Y2113""), $A272=IMPORTRANGE(""https://docs.google.com/spreadsheets/d/1BJSV3WBYJGRhQ6z"&amp;"ExamkszQ5VutGIcaQqmbD9ZTVXMQ/edit#gid=1251630045"",""articles_with_PRISMA_reasons!B2:B2113""))&gt;=2,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$A272=IMPORTRANGE(""https://docs.google.com/spreadsheets/d/1BJSV3WBYJGRhQ6zExamkszQ5VutGIcaQqmbD9ZTVXMQ/edit#gid=1251630045"",""articles_with_PRISMA_reasons!B2:B2113""))&lt;2),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$A272=IMPORTRANGE(""https://docs.google.com/spreadsheets/d/1BJSV3WBYJGRhQ6zExamkszQ5VutGIcaQqmbD9ZTVXMQ/edit#gid=1251630045"",""arti"&amp;"cles_with_PRISMA_reasons!B2:B2113""))&lt;2,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$A272=IMPORTRANGE(""https://docs.google.com"&amp;"/spreadsheets/d/1BJSV3WBYJGRhQ6zExamkszQ5VutGIcaQqmbD9ZTVXMQ/edit#gid=1251630045"",""articles_with_PRISMA_reasons!B2:B2113""))&gt;=2),
""Exclude""
)"),"Exclude")</f>
        <v>Exclude</v>
      </c>
      <c r="E272" s="5" t="str">
        <f>IFERROR(__xludf.DUMMYFUNCTION("IFS(
D272=""Exclude"",""Exclude"",
AND(
FILTER(IMPORTRANGE(""https://docs.google.com/spreadsheets/d/1qpEmbGH0JjaJbUdp21-y2cPbobDbMjr09BbtdKROZWc/edit#gid=1444865654"",""articles_with_PRISMA_reasons!W2:W2113""), $A272=IMPORTRANGE(""https://docs.google.com/"&amp;"spreadsheets/d/1qpEmbGH0JjaJbUdp21-y2cPbobDbMjr09BbtdKROZWc/edit#gid=1444865654"",""articles_with_PRISMA_reasons!B2:B2113""))&gt;=2,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$A272=IMPORTRANGE(""https://docs.google.com/spreadsheets/d/1qpEmbGH0JjaJbUdp21-y2cPbobDbMjr09BbtdKROZWc/edit#gid=1444865654"",""articles_with_PRISMA_reasons!B2:B2113""))&lt;2),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$A272=IMPORTRANGE(""https://docs.google.com/spreadsheets/d/1qpEmbGH0JjaJbUdp21-y2cPbobDbMjr09BbtdKRO"&amp;"ZWc/edit#gid=1444865654"",""articles_with_PRISMA_reasons!B2:B2113""))&lt;2,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$A272=IMPOR"&amp;"TRANGE(""https://docs.google.com/spreadsheets/d/1qpEmbGH0JjaJbUdp21-y2cPbobDbMjr09BbtdKROZWc/edit#gid=1444865654"",""articles_with_PRISMA_reasons!B2:B2113""))&gt;=2),
""Exclude""
)"),"Exclude")</f>
        <v>Exclude</v>
      </c>
      <c r="F272" s="5" t="str">
        <f>IFERROR(__xludf.DUMMYFUNCTION("IFS(
E272=""Exclude"",""Exclude"",
AND(
COUNTIF(
IMPORTRANGE(""https://docs.google.com/spreadsheets/d/1kGrh75X1cNR1D7_FcY9zMnHP8iPO4M5RCRjy6nZY0TY/edit#gid=0"",""Table 1: Study characteristics!B4:B171""),A272)&gt;0,
COUNTIF(Studies!$A$2:$A$85,FILTER(IMPORTRA"&amp;"NGE(""https://docs.google.com/spreadsheets/d/1kGrh75X1cNR1D7_FcY9zMnHP8iPO4M5RCRjy6nZY0TY/edit#gid=0"",""Table 1: Study characteristics!A4:A171""), $A272=IMPORTRANGE(""https://docs.google.com/spreadsheets/d/1kGrh75X1cNR1D7_FcY9zMnHP8iPO4M5RCRjy6nZY0TY/edi"&amp;"t#gid=0"",""Table 1: Study characteristics!B4:B171"")))&gt;0
),
""Include""
)"),"Exclude")</f>
        <v>Exclude</v>
      </c>
      <c r="G272" s="5" t="str">
        <f>IFERROR(__xludf.DUMMYFUNCTION("IFS(
D272=""Exclude"",
FILTER(IMPORTRANGE(""https://docs.google.com/spreadsheets/d/1BJSV3WBYJGRhQ6zExamkszQ5VutGIcaQqmbD9ZTVXMQ/edit#gid=1251630045"",""articles_with_PRISMA_reasons!AB2:AB2113""), $A272=IMPORTRANGE(""https://docs.google.com/spreadsheets/d/"&amp;"1BJSV3WBYJGRhQ6zExamkszQ5VutGIcaQqmbD9ZTVXMQ/edit#gid=1251630045"",""articles_with_PRISMA_reasons!B2:B2113"")),
E272=""Exclude"",
FILTER(IMPORTRANGE(""https://docs.google.com/spreadsheets/d/1qpEmbGH0JjaJbUdp21-y2cPbobDbMjr09BbtdKROZWc/edit#gid=1444865654"&amp;""",""articles_with_PRISMA_reasons!Z2:Z2113""), $A272=IMPORTRANGE(""https://docs.google.com/spreadsheets/d/1qpEmbGH0JjaJbUdp21-y2cPbobDbMjr09BbtdKROZWc/edit#gid=1444865654"",""articles_with_PRISMA_reasons!B2:B2113"")),F272
=""Include"",FILTER(IMPORTRANGE("&amp;"""https://docs.google.com/spreadsheets/d/1kGrh75X1cNR1D7_FcY9zMnHP8iPO4M5RCRjy6nZY0TY/edit#gid=0"",""Table 1: Study characteristics!A4:A171""), $A272=IMPORTRANGE(""https://docs.google.com/spreadsheets/d/1kGrh75X1cNR1D7_FcY9zMnHP8iPO4M5RCRjy6nZY0TY/edit#gi"&amp;"d=0"",""Table 1: Study characteristics!B4:B171""))
)"),"wrong population")</f>
        <v>wrong population</v>
      </c>
    </row>
    <row r="273">
      <c r="A273" s="4" t="str">
        <f>IFERROR(__xludf.DUMMYFUNCTION("""COMPUTED_VALUE"""),"Anesthetic Challenges and Management in a case of Jarcho-Levin Syndrome with a Neural Tube Defect in a Newborn")</f>
        <v>Anesthetic Challenges and Management in a case of Jarcho-Levin Syndrome with a Neural Tube Defect in a Newborn</v>
      </c>
      <c r="B273" s="5" t="str">
        <f>IFERROR(__xludf.DUMMYFUNCTION("LEFT(FILTER(IMPORTRANGE(""https://docs.google.com/spreadsheets/d/1BJSV3WBYJGRhQ6zExamkszQ5VutGIcaQqmbD9ZTVXMQ/edit#gid=1251630045"",""articles_with_PRISMA_reasons!K2:K2113""), $A273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$A273=IMPORTRANGE(""https://docs.google.com/spreadsheets/d/1BJSV3WBYJGRhQ6zExamkszQ5VutGIcaQqmbD9ZTVXMQ/edit#gid=1251630045"",""articles_with_PRISMA_reasons!B2:B2113"")))-1)"),"Kaya")</f>
        <v>Kaya</v>
      </c>
      <c r="C273" s="6">
        <f>IFERROR(__xludf.DUMMYFUNCTION("FILTER(IMPORTRANGE(""https://docs.google.com/spreadsheets/d/1BJSV3WBYJGRhQ6zExamkszQ5VutGIcaQqmbD9ZTVXMQ/edit#gid=1251630045"",""articles_with_PRISMA_reasons!C2:C2113""), $A273=IMPORTRANGE(""https://docs.google.com/spreadsheets/d/1BJSV3WBYJGRhQ6zExamkszQ5"&amp;"VutGIcaQqmbD9ZTVXMQ/edit#gid=1251630045"",""articles_with_PRISMA_reasons!B2:B2113""))"),2016.0)</f>
        <v>2016</v>
      </c>
      <c r="D273" s="5" t="str">
        <f>IFERROR(__xludf.DUMMYFUNCTION("IFS(AND(
FILTER(IMPORTRANGE(""https://docs.google.com/spreadsheets/d/1BJSV3WBYJGRhQ6zExamkszQ5VutGIcaQqmbD9ZTVXMQ/edit#gid=1251630045"",""articles_with_PRISMA_reasons!Y2:Y2113""), $A273=IMPORTRANGE(""https://docs.google.com/spreadsheets/d/1BJSV3WBYJGRhQ6z"&amp;"ExamkszQ5VutGIcaQqmbD9ZTVXMQ/edit#gid=1251630045"",""articles_with_PRISMA_reasons!B2:B2113""))&gt;=2,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$A273=IMPORTRANGE(""https://docs.google.com/spreadsheets/d/1BJSV3WBYJGRhQ6zExamkszQ5VutGIcaQqmbD9ZTVXMQ/edit#gid=1251630045"",""articles_with_PRISMA_reasons!B2:B2113""))&lt;2),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$A273=IMPORTRANGE(""https://docs.google.com/spreadsheets/d/1BJSV3WBYJGRhQ6zExamkszQ5VutGIcaQqmbD9ZTVXMQ/edit#gid=1251630045"",""arti"&amp;"cles_with_PRISMA_reasons!B2:B2113""))&lt;2,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$A273=IMPORTRANGE(""https://docs.google.com"&amp;"/spreadsheets/d/1BJSV3WBYJGRhQ6zExamkszQ5VutGIcaQqmbD9ZTVXMQ/edit#gid=1251630045"",""articles_with_PRISMA_reasons!B2:B2113""))&gt;=2),
""Exclude""
)"),"Exclude")</f>
        <v>Exclude</v>
      </c>
      <c r="E273" s="5" t="str">
        <f>IFERROR(__xludf.DUMMYFUNCTION("IFS(
D273=""Exclude"",""Exclude"",
AND(
FILTER(IMPORTRANGE(""https://docs.google.com/spreadsheets/d/1qpEmbGH0JjaJbUdp21-y2cPbobDbMjr09BbtdKROZWc/edit#gid=1444865654"",""articles_with_PRISMA_reasons!W2:W2113""), $A273=IMPORTRANGE(""https://docs.google.com/"&amp;"spreadsheets/d/1qpEmbGH0JjaJbUdp21-y2cPbobDbMjr09BbtdKROZWc/edit#gid=1444865654"",""articles_with_PRISMA_reasons!B2:B2113""))&gt;=2,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$A273=IMPORTRANGE(""https://docs.google.com/spreadsheets/d/1qpEmbGH0JjaJbUdp21-y2cPbobDbMjr09BbtdKROZWc/edit#gid=1444865654"",""articles_with_PRISMA_reasons!B2:B2113""))&lt;2),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$A273=IMPORTRANGE(""https://docs.google.com/spreadsheets/d/1qpEmbGH0JjaJbUdp21-y2cPbobDbMjr09BbtdKRO"&amp;"ZWc/edit#gid=1444865654"",""articles_with_PRISMA_reasons!B2:B2113""))&lt;2,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$A273=IMPOR"&amp;"TRANGE(""https://docs.google.com/spreadsheets/d/1qpEmbGH0JjaJbUdp21-y2cPbobDbMjr09BbtdKROZWc/edit#gid=1444865654"",""articles_with_PRISMA_reasons!B2:B2113""))&gt;=2),
""Exclude""
)"),"Exclude")</f>
        <v>Exclude</v>
      </c>
      <c r="F273" s="5" t="str">
        <f>IFERROR(__xludf.DUMMYFUNCTION("IFS(
E273=""Exclude"",""Exclude"",
AND(
COUNTIF(
IMPORTRANGE(""https://docs.google.com/spreadsheets/d/1kGrh75X1cNR1D7_FcY9zMnHP8iPO4M5RCRjy6nZY0TY/edit#gid=0"",""Table 1: Study characteristics!B4:B171""),A273)&gt;0,
COUNTIF(Studies!$A$2:$A$85,FILTER(IMPORTRA"&amp;"NGE(""https://docs.google.com/spreadsheets/d/1kGrh75X1cNR1D7_FcY9zMnHP8iPO4M5RCRjy6nZY0TY/edit#gid=0"",""Table 1: Study characteristics!A4:A171""), $A273=IMPORTRANGE(""https://docs.google.com/spreadsheets/d/1kGrh75X1cNR1D7_FcY9zMnHP8iPO4M5RCRjy6nZY0TY/edi"&amp;"t#gid=0"",""Table 1: Study characteristics!B4:B171"")))&gt;0
),
""Include""
)"),"Exclude")</f>
        <v>Exclude</v>
      </c>
      <c r="G273" s="5" t="str">
        <f>IFERROR(__xludf.DUMMYFUNCTION("IFS(
D273=""Exclude"",
FILTER(IMPORTRANGE(""https://docs.google.com/spreadsheets/d/1BJSV3WBYJGRhQ6zExamkszQ5VutGIcaQqmbD9ZTVXMQ/edit#gid=1251630045"",""articles_with_PRISMA_reasons!AB2:AB2113""), $A273=IMPORTRANGE(""https://docs.google.com/spreadsheets/d/"&amp;"1BJSV3WBYJGRhQ6zExamkszQ5VutGIcaQqmbD9ZTVXMQ/edit#gid=1251630045"",""articles_with_PRISMA_reasons!B2:B2113"")),
E273=""Exclude"",
FILTER(IMPORTRANGE(""https://docs.google.com/spreadsheets/d/1qpEmbGH0JjaJbUdp21-y2cPbobDbMjr09BbtdKROZWc/edit#gid=1444865654"&amp;""",""articles_with_PRISMA_reasons!Z2:Z2113""), $A273=IMPORTRANGE(""https://docs.google.com/spreadsheets/d/1qpEmbGH0JjaJbUdp21-y2cPbobDbMjr09BbtdKROZWc/edit#gid=1444865654"",""articles_with_PRISMA_reasons!B2:B2113"")),F273
=""Include"",FILTER(IMPORTRANGE("&amp;"""https://docs.google.com/spreadsheets/d/1kGrh75X1cNR1D7_FcY9zMnHP8iPO4M5RCRjy6nZY0TY/edit#gid=0"",""Table 1: Study characteristics!A4:A171""), $A273=IMPORTRANGE(""https://docs.google.com/spreadsheets/d/1kGrh75X1cNR1D7_FcY9zMnHP8iPO4M5RCRjy6nZY0TY/edit#gi"&amp;"d=0"",""Table 1: Study characteristics!B4:B171""))
)"),"wrong study design")</f>
        <v>wrong study design</v>
      </c>
    </row>
    <row r="274">
      <c r="A274" s="4" t="str">
        <f>IFERROR(__xludf.DUMMYFUNCTION("""COMPUTED_VALUE"""),"Anesthetic concerns and perioperative complications in repair of myelomeningocele: a retrospective review of 135 cases")</f>
        <v>Anesthetic concerns and perioperative complications in repair of myelomeningocele: a retrospective review of 135 cases</v>
      </c>
      <c r="B274" s="5" t="str">
        <f>IFERROR(__xludf.DUMMYFUNCTION("LEFT(FILTER(IMPORTRANGE(""https://docs.google.com/spreadsheets/d/1BJSV3WBYJGRhQ6zExamkszQ5VutGIcaQqmbD9ZTVXMQ/edit#gid=1251630045"",""articles_with_PRISMA_reasons!K2:K2113""), $A274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$A274=IMPORTRANGE(""https://docs.google.com/spreadsheets/d/1BJSV3WBYJGRhQ6zExamkszQ5VutGIcaQqmbD9ZTVXMQ/edit#gid=1251630045"",""articles_with_PRISMA_reasons!B2:B2113"")))-1)"),"Singh")</f>
        <v>Singh</v>
      </c>
      <c r="C274" s="6" t="str">
        <f>IFERROR(__xludf.DUMMYFUNCTION("FILTER(IMPORTRANGE(""https://docs.google.com/spreadsheets/d/1BJSV3WBYJGRhQ6zExamkszQ5VutGIcaQqmbD9ZTVXMQ/edit#gid=1251630045"",""articles_with_PRISMA_reasons!C2:C2113""), $A274=IMPORTRANGE(""https://docs.google.com/spreadsheets/d/1BJSV3WBYJGRhQ6zExamkszQ5"&amp;"VutGIcaQqmbD9ZTVXMQ/edit#gid=1251630045"",""articles_with_PRISMA_reasons!B2:B2113""))"),"Jan")</f>
        <v>Jan</v>
      </c>
      <c r="D274" s="5" t="str">
        <f>IFERROR(__xludf.DUMMYFUNCTION("IFS(AND(
FILTER(IMPORTRANGE(""https://docs.google.com/spreadsheets/d/1BJSV3WBYJGRhQ6zExamkszQ5VutGIcaQqmbD9ZTVXMQ/edit#gid=1251630045"",""articles_with_PRISMA_reasons!Y2:Y2113""), $A274=IMPORTRANGE(""https://docs.google.com/spreadsheets/d/1BJSV3WBYJGRhQ6z"&amp;"ExamkszQ5VutGIcaQqmbD9ZTVXMQ/edit#gid=1251630045"",""articles_with_PRISMA_reasons!B2:B2113""))&gt;=2,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$A274=IMPORTRANGE(""https://docs.google.com/spreadsheets/d/1BJSV3WBYJGRhQ6zExamkszQ5VutGIcaQqmbD9ZTVXMQ/edit#gid=1251630045"",""articles_with_PRISMA_reasons!B2:B2113""))&lt;2),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$A274=IMPORTRANGE(""https://docs.google.com/spreadsheets/d/1BJSV3WBYJGRhQ6zExamkszQ5VutGIcaQqmbD9ZTVXMQ/edit#gid=1251630045"",""arti"&amp;"cles_with_PRISMA_reasons!B2:B2113""))&lt;2,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$A274=IMPORTRANGE(""https://docs.google.com"&amp;"/spreadsheets/d/1BJSV3WBYJGRhQ6zExamkszQ5VutGIcaQqmbD9ZTVXMQ/edit#gid=1251630045"",""articles_with_PRISMA_reasons!B2:B2113""))&gt;=2),
""Exclude""
)"),"Exclude")</f>
        <v>Exclude</v>
      </c>
      <c r="E274" s="5" t="str">
        <f>IFERROR(__xludf.DUMMYFUNCTION("IFS(
D274=""Exclude"",""Exclude"",
AND(
FILTER(IMPORTRANGE(""https://docs.google.com/spreadsheets/d/1qpEmbGH0JjaJbUdp21-y2cPbobDbMjr09BbtdKROZWc/edit#gid=1444865654"",""articles_with_PRISMA_reasons!W2:W2113""), $A274=IMPORTRANGE(""https://docs.google.com/"&amp;"spreadsheets/d/1qpEmbGH0JjaJbUdp21-y2cPbobDbMjr09BbtdKROZWc/edit#gid=1444865654"",""articles_with_PRISMA_reasons!B2:B2113""))&gt;=2,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$A274=IMPORTRANGE(""https://docs.google.com/spreadsheets/d/1qpEmbGH0JjaJbUdp21-y2cPbobDbMjr09BbtdKROZWc/edit#gid=1444865654"",""articles_with_PRISMA_reasons!B2:B2113""))&lt;2),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$A274=IMPORTRANGE(""https://docs.google.com/spreadsheets/d/1qpEmbGH0JjaJbUdp21-y2cPbobDbMjr09BbtdKRO"&amp;"ZWc/edit#gid=1444865654"",""articles_with_PRISMA_reasons!B2:B2113""))&lt;2,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$A274=IMPOR"&amp;"TRANGE(""https://docs.google.com/spreadsheets/d/1qpEmbGH0JjaJbUdp21-y2cPbobDbMjr09BbtdKROZWc/edit#gid=1444865654"",""articles_with_PRISMA_reasons!B2:B2113""))&gt;=2),
""Exclude""
)"),"Exclude")</f>
        <v>Exclude</v>
      </c>
      <c r="F274" s="5" t="str">
        <f>IFERROR(__xludf.DUMMYFUNCTION("IFS(
E274=""Exclude"",""Exclude"",
AND(
COUNTIF(
IMPORTRANGE(""https://docs.google.com/spreadsheets/d/1kGrh75X1cNR1D7_FcY9zMnHP8iPO4M5RCRjy6nZY0TY/edit#gid=0"",""Table 1: Study characteristics!B4:B171""),A274)&gt;0,
COUNTIF(Studies!$A$2:$A$85,FILTER(IMPORTRA"&amp;"NGE(""https://docs.google.com/spreadsheets/d/1kGrh75X1cNR1D7_FcY9zMnHP8iPO4M5RCRjy6nZY0TY/edit#gid=0"",""Table 1: Study characteristics!A4:A171""), $A274=IMPORTRANGE(""https://docs.google.com/spreadsheets/d/1kGrh75X1cNR1D7_FcY9zMnHP8iPO4M5RCRjy6nZY0TY/edi"&amp;"t#gid=0"",""Table 1: Study characteristics!B4:B171"")))&gt;0
),
""Include""
)"),"Exclude")</f>
        <v>Exclude</v>
      </c>
      <c r="G274" s="5" t="str">
        <f>IFERROR(__xludf.DUMMYFUNCTION("IFS(
D274=""Exclude"",
FILTER(IMPORTRANGE(""https://docs.google.com/spreadsheets/d/1BJSV3WBYJGRhQ6zExamkszQ5VutGIcaQqmbD9ZTVXMQ/edit#gid=1251630045"",""articles_with_PRISMA_reasons!AB2:AB2113""), $A274=IMPORTRANGE(""https://docs.google.com/spreadsheets/d/"&amp;"1BJSV3WBYJGRhQ6zExamkszQ5VutGIcaQqmbD9ZTVXMQ/edit#gid=1251630045"",""articles_with_PRISMA_reasons!B2:B2113"")),
E274=""Exclude"",
FILTER(IMPORTRANGE(""https://docs.google.com/spreadsheets/d/1qpEmbGH0JjaJbUdp21-y2cPbobDbMjr09BbtdKROZWc/edit#gid=1444865654"&amp;""",""articles_with_PRISMA_reasons!Z2:Z2113""), $A274=IMPORTRANGE(""https://docs.google.com/spreadsheets/d/1qpEmbGH0JjaJbUdp21-y2cPbobDbMjr09BbtdKROZWc/edit#gid=1444865654"",""articles_with_PRISMA_reasons!B2:B2113"")),F274
=""Include"",FILTER(IMPORTRANGE("&amp;"""https://docs.google.com/spreadsheets/d/1kGrh75X1cNR1D7_FcY9zMnHP8iPO4M5RCRjy6nZY0TY/edit#gid=0"",""Table 1: Study characteristics!A4:A171""), $A274=IMPORTRANGE(""https://docs.google.com/spreadsheets/d/1kGrh75X1cNR1D7_FcY9zMnHP8iPO4M5RCRjy6nZY0TY/edit#gi"&amp;"d=0"",""Table 1: Study characteristics!B4:B171""))
)"),"wrong outcome")</f>
        <v>wrong outcome</v>
      </c>
    </row>
    <row r="275">
      <c r="A275" s="4" t="str">
        <f>IFERROR(__xludf.DUMMYFUNCTION("""COMPUTED_VALUE"""),"Anesthetic management of a patient with Jarcho-Levin syndrome")</f>
        <v>Anesthetic management of a patient with Jarcho-Levin syndrome</v>
      </c>
      <c r="B275" s="5" t="str">
        <f>IFERROR(__xludf.DUMMYFUNCTION("LEFT(FILTER(IMPORTRANGE(""https://docs.google.com/spreadsheets/d/1BJSV3WBYJGRhQ6zExamkszQ5VutGIcaQqmbD9ZTVXMQ/edit#gid=1251630045"",""articles_with_PRISMA_reasons!K2:K2113""), $A275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$A275=IMPORTRANGE(""https://docs.google.com/spreadsheets/d/1BJSV3WBYJGRhQ6zExamkszQ5VutGIcaQqmbD9ZTVXMQ/edit#gid=1251630045"",""articles_with_PRISMA_reasons!B2:B2113"")))-1)"),"Kucukosman")</f>
        <v>Kucukosman</v>
      </c>
      <c r="C275" s="6">
        <f>IFERROR(__xludf.DUMMYFUNCTION("FILTER(IMPORTRANGE(""https://docs.google.com/spreadsheets/d/1BJSV3WBYJGRhQ6zExamkszQ5VutGIcaQqmbD9ZTVXMQ/edit#gid=1251630045"",""articles_with_PRISMA_reasons!C2:C2113""), $A275=IMPORTRANGE(""https://docs.google.com/spreadsheets/d/1BJSV3WBYJGRhQ6zExamkszQ5"&amp;"VutGIcaQqmbD9ZTVXMQ/edit#gid=1251630045"",""articles_with_PRISMA_reasons!B2:B2113""))"),2016.0)</f>
        <v>2016</v>
      </c>
      <c r="D275" s="5" t="str">
        <f>IFERROR(__xludf.DUMMYFUNCTION("IFS(AND(
FILTER(IMPORTRANGE(""https://docs.google.com/spreadsheets/d/1BJSV3WBYJGRhQ6zExamkszQ5VutGIcaQqmbD9ZTVXMQ/edit#gid=1251630045"",""articles_with_PRISMA_reasons!Y2:Y2113""), $A275=IMPORTRANGE(""https://docs.google.com/spreadsheets/d/1BJSV3WBYJGRhQ6z"&amp;"ExamkszQ5VutGIcaQqmbD9ZTVXMQ/edit#gid=1251630045"",""articles_with_PRISMA_reasons!B2:B2113""))&gt;=2,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$A275=IMPORTRANGE(""https://docs.google.com/spreadsheets/d/1BJSV3WBYJGRhQ6zExamkszQ5VutGIcaQqmbD9ZTVXMQ/edit#gid=1251630045"",""articles_with_PRISMA_reasons!B2:B2113""))&lt;2),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$A275=IMPORTRANGE(""https://docs.google.com/spreadsheets/d/1BJSV3WBYJGRhQ6zExamkszQ5VutGIcaQqmbD9ZTVXMQ/edit#gid=1251630045"",""arti"&amp;"cles_with_PRISMA_reasons!B2:B2113""))&lt;2,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$A275=IMPORTRANGE(""https://docs.google.com"&amp;"/spreadsheets/d/1BJSV3WBYJGRhQ6zExamkszQ5VutGIcaQqmbD9ZTVXMQ/edit#gid=1251630045"",""articles_with_PRISMA_reasons!B2:B2113""))&gt;=2),
""Exclude""
)"),"Exclude")</f>
        <v>Exclude</v>
      </c>
      <c r="E275" s="5" t="str">
        <f>IFERROR(__xludf.DUMMYFUNCTION("IFS(
D275=""Exclude"",""Exclude"",
AND(
FILTER(IMPORTRANGE(""https://docs.google.com/spreadsheets/d/1qpEmbGH0JjaJbUdp21-y2cPbobDbMjr09BbtdKROZWc/edit#gid=1444865654"",""articles_with_PRISMA_reasons!W2:W2113""), $A275=IMPORTRANGE(""https://docs.google.com/"&amp;"spreadsheets/d/1qpEmbGH0JjaJbUdp21-y2cPbobDbMjr09BbtdKROZWc/edit#gid=1444865654"",""articles_with_PRISMA_reasons!B2:B2113""))&gt;=2,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$A275=IMPORTRANGE(""https://docs.google.com/spreadsheets/d/1qpEmbGH0JjaJbUdp21-y2cPbobDbMjr09BbtdKROZWc/edit#gid=1444865654"",""articles_with_PRISMA_reasons!B2:B2113""))&lt;2),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$A275=IMPORTRANGE(""https://docs.google.com/spreadsheets/d/1qpEmbGH0JjaJbUdp21-y2cPbobDbMjr09BbtdKRO"&amp;"ZWc/edit#gid=1444865654"",""articles_with_PRISMA_reasons!B2:B2113""))&lt;2,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$A275=IMPOR"&amp;"TRANGE(""https://docs.google.com/spreadsheets/d/1qpEmbGH0JjaJbUdp21-y2cPbobDbMjr09BbtdKROZWc/edit#gid=1444865654"",""articles_with_PRISMA_reasons!B2:B2113""))&gt;=2),
""Exclude""
)"),"Exclude")</f>
        <v>Exclude</v>
      </c>
      <c r="F275" s="5" t="str">
        <f>IFERROR(__xludf.DUMMYFUNCTION("IFS(
E275=""Exclude"",""Exclude"",
AND(
COUNTIF(
IMPORTRANGE(""https://docs.google.com/spreadsheets/d/1kGrh75X1cNR1D7_FcY9zMnHP8iPO4M5RCRjy6nZY0TY/edit#gid=0"",""Table 1: Study characteristics!B4:B171""),A275)&gt;0,
COUNTIF(Studies!$A$2:$A$85,FILTER(IMPORTRA"&amp;"NGE(""https://docs.google.com/spreadsheets/d/1kGrh75X1cNR1D7_FcY9zMnHP8iPO4M5RCRjy6nZY0TY/edit#gid=0"",""Table 1: Study characteristics!A4:A171""), $A275=IMPORTRANGE(""https://docs.google.com/spreadsheets/d/1kGrh75X1cNR1D7_FcY9zMnHP8iPO4M5RCRjy6nZY0TY/edi"&amp;"t#gid=0"",""Table 1: Study characteristics!B4:B171"")))&gt;0
),
""Include""
)"),"Exclude")</f>
        <v>Exclude</v>
      </c>
      <c r="G275" s="5" t="str">
        <f>IFERROR(__xludf.DUMMYFUNCTION("IFS(
D275=""Exclude"",
FILTER(IMPORTRANGE(""https://docs.google.com/spreadsheets/d/1BJSV3WBYJGRhQ6zExamkszQ5VutGIcaQqmbD9ZTVXMQ/edit#gid=1251630045"",""articles_with_PRISMA_reasons!AB2:AB2113""), $A275=IMPORTRANGE(""https://docs.google.com/spreadsheets/d/"&amp;"1BJSV3WBYJGRhQ6zExamkszQ5VutGIcaQqmbD9ZTVXMQ/edit#gid=1251630045"",""articles_with_PRISMA_reasons!B2:B2113"")),
E275=""Exclude"",
FILTER(IMPORTRANGE(""https://docs.google.com/spreadsheets/d/1qpEmbGH0JjaJbUdp21-y2cPbobDbMjr09BbtdKROZWc/edit#gid=1444865654"&amp;""",""articles_with_PRISMA_reasons!Z2:Z2113""), $A275=IMPORTRANGE(""https://docs.google.com/spreadsheets/d/1qpEmbGH0JjaJbUdp21-y2cPbobDbMjr09BbtdKROZWc/edit#gid=1444865654"",""articles_with_PRISMA_reasons!B2:B2113"")),F275
=""Include"",FILTER(IMPORTRANGE("&amp;"""https://docs.google.com/spreadsheets/d/1kGrh75X1cNR1D7_FcY9zMnHP8iPO4M5RCRjy6nZY0TY/edit#gid=0"",""Table 1: Study characteristics!A4:A171""), $A275=IMPORTRANGE(""https://docs.google.com/spreadsheets/d/1kGrh75X1cNR1D7_FcY9zMnHP8iPO4M5RCRjy6nZY0TY/edit#gi"&amp;"d=0"",""Table 1: Study characteristics!B4:B171""))
)"),"wrong study design")</f>
        <v>wrong study design</v>
      </c>
    </row>
    <row r="276">
      <c r="A276" s="4" t="str">
        <f>IFERROR(__xludf.DUMMYFUNCTION("""COMPUTED_VALUE"""),"Anesthetic management of cesarean section of a wheelchair bound parturient with myelomeningocele")</f>
        <v>Anesthetic management of cesarean section of a wheelchair bound parturient with myelomeningocele</v>
      </c>
      <c r="B276" s="5" t="str">
        <f>IFERROR(__xludf.DUMMYFUNCTION("LEFT(FILTER(IMPORTRANGE(""https://docs.google.com/spreadsheets/d/1BJSV3WBYJGRhQ6zExamkszQ5VutGIcaQqmbD9ZTVXMQ/edit#gid=1251630045"",""articles_with_PRISMA_reasons!K2:K2113""), $A276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$A276=IMPORTRANGE(""https://docs.google.com/spreadsheets/d/1BJSV3WBYJGRhQ6zExamkszQ5VutGIcaQqmbD9ZTVXMQ/edit#gid=1251630045"",""articles_with_PRISMA_reasons!B2:B2113"")))-1)"),"Lal")</f>
        <v>Lal</v>
      </c>
      <c r="C276" s="6">
        <f>IFERROR(__xludf.DUMMYFUNCTION("FILTER(IMPORTRANGE(""https://docs.google.com/spreadsheets/d/1BJSV3WBYJGRhQ6zExamkszQ5VutGIcaQqmbD9ZTVXMQ/edit#gid=1251630045"",""articles_with_PRISMA_reasons!C2:C2113""), $A276=IMPORTRANGE(""https://docs.google.com/spreadsheets/d/1BJSV3WBYJGRhQ6zExamkszQ5"&amp;"VutGIcaQqmbD9ZTVXMQ/edit#gid=1251630045"",""articles_with_PRISMA_reasons!B2:B2113""))"),2020.0)</f>
        <v>2020</v>
      </c>
      <c r="D276" s="5" t="str">
        <f>IFERROR(__xludf.DUMMYFUNCTION("IFS(AND(
FILTER(IMPORTRANGE(""https://docs.google.com/spreadsheets/d/1BJSV3WBYJGRhQ6zExamkszQ5VutGIcaQqmbD9ZTVXMQ/edit#gid=1251630045"",""articles_with_PRISMA_reasons!Y2:Y2113""), $A276=IMPORTRANGE(""https://docs.google.com/spreadsheets/d/1BJSV3WBYJGRhQ6z"&amp;"ExamkszQ5VutGIcaQqmbD9ZTVXMQ/edit#gid=1251630045"",""articles_with_PRISMA_reasons!B2:B2113""))&gt;=2,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$A276=IMPORTRANGE(""https://docs.google.com/spreadsheets/d/1BJSV3WBYJGRhQ6zExamkszQ5VutGIcaQqmbD9ZTVXMQ/edit#gid=1251630045"",""articles_with_PRISMA_reasons!B2:B2113""))&lt;2),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$A276=IMPORTRANGE(""https://docs.google.com/spreadsheets/d/1BJSV3WBYJGRhQ6zExamkszQ5VutGIcaQqmbD9ZTVXMQ/edit#gid=1251630045"",""arti"&amp;"cles_with_PRISMA_reasons!B2:B2113""))&lt;2,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$A276=IMPORTRANGE(""https://docs.google.com"&amp;"/spreadsheets/d/1BJSV3WBYJGRhQ6zExamkszQ5VutGIcaQqmbD9ZTVXMQ/edit#gid=1251630045"",""articles_with_PRISMA_reasons!B2:B2113""))&gt;=2),
""Exclude""
)"),"Exclude")</f>
        <v>Exclude</v>
      </c>
      <c r="E276" s="5" t="str">
        <f>IFERROR(__xludf.DUMMYFUNCTION("IFS(
D276=""Exclude"",""Exclude"",
AND(
FILTER(IMPORTRANGE(""https://docs.google.com/spreadsheets/d/1qpEmbGH0JjaJbUdp21-y2cPbobDbMjr09BbtdKROZWc/edit#gid=1444865654"",""articles_with_PRISMA_reasons!W2:W2113""), $A276=IMPORTRANGE(""https://docs.google.com/"&amp;"spreadsheets/d/1qpEmbGH0JjaJbUdp21-y2cPbobDbMjr09BbtdKROZWc/edit#gid=1444865654"",""articles_with_PRISMA_reasons!B2:B2113""))&gt;=2,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$A276=IMPORTRANGE(""https://docs.google.com/spreadsheets/d/1qpEmbGH0JjaJbUdp21-y2cPbobDbMjr09BbtdKROZWc/edit#gid=1444865654"",""articles_with_PRISMA_reasons!B2:B2113""))&lt;2),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$A276=IMPORTRANGE(""https://docs.google.com/spreadsheets/d/1qpEmbGH0JjaJbUdp21-y2cPbobDbMjr09BbtdKRO"&amp;"ZWc/edit#gid=1444865654"",""articles_with_PRISMA_reasons!B2:B2113""))&lt;2,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$A276=IMPOR"&amp;"TRANGE(""https://docs.google.com/spreadsheets/d/1qpEmbGH0JjaJbUdp21-y2cPbobDbMjr09BbtdKROZWc/edit#gid=1444865654"",""articles_with_PRISMA_reasons!B2:B2113""))&gt;=2),
""Exclude""
)"),"Exclude")</f>
        <v>Exclude</v>
      </c>
      <c r="F276" s="5" t="str">
        <f>IFERROR(__xludf.DUMMYFUNCTION("IFS(
E276=""Exclude"",""Exclude"",
AND(
COUNTIF(
IMPORTRANGE(""https://docs.google.com/spreadsheets/d/1kGrh75X1cNR1D7_FcY9zMnHP8iPO4M5RCRjy6nZY0TY/edit#gid=0"",""Table 1: Study characteristics!B4:B171""),A276)&gt;0,
COUNTIF(Studies!$A$2:$A$85,FILTER(IMPORTRA"&amp;"NGE(""https://docs.google.com/spreadsheets/d/1kGrh75X1cNR1D7_FcY9zMnHP8iPO4M5RCRjy6nZY0TY/edit#gid=0"",""Table 1: Study characteristics!A4:A171""), $A276=IMPORTRANGE(""https://docs.google.com/spreadsheets/d/1kGrh75X1cNR1D7_FcY9zMnHP8iPO4M5RCRjy6nZY0TY/edi"&amp;"t#gid=0"",""Table 1: Study characteristics!B4:B171"")))&gt;0
),
""Include""
)"),"Exclude")</f>
        <v>Exclude</v>
      </c>
      <c r="G276" s="5" t="str">
        <f>IFERROR(__xludf.DUMMYFUNCTION("IFS(
D276=""Exclude"",
FILTER(IMPORTRANGE(""https://docs.google.com/spreadsheets/d/1BJSV3WBYJGRhQ6zExamkszQ5VutGIcaQqmbD9ZTVXMQ/edit#gid=1251630045"",""articles_with_PRISMA_reasons!AB2:AB2113""), $A276=IMPORTRANGE(""https://docs.google.com/spreadsheets/d/"&amp;"1BJSV3WBYJGRhQ6zExamkszQ5VutGIcaQqmbD9ZTVXMQ/edit#gid=1251630045"",""articles_with_PRISMA_reasons!B2:B2113"")),
E276=""Exclude"",
FILTER(IMPORTRANGE(""https://docs.google.com/spreadsheets/d/1qpEmbGH0JjaJbUdp21-y2cPbobDbMjr09BbtdKROZWc/edit#gid=1444865654"&amp;""",""articles_with_PRISMA_reasons!Z2:Z2113""), $A276=IMPORTRANGE(""https://docs.google.com/spreadsheets/d/1qpEmbGH0JjaJbUdp21-y2cPbobDbMjr09BbtdKROZWc/edit#gid=1444865654"",""articles_with_PRISMA_reasons!B2:B2113"")),F276
=""Include"",FILTER(IMPORTRANGE("&amp;"""https://docs.google.com/spreadsheets/d/1kGrh75X1cNR1D7_FcY9zMnHP8iPO4M5RCRjy6nZY0TY/edit#gid=0"",""Table 1: Study characteristics!A4:A171""), $A276=IMPORTRANGE(""https://docs.google.com/spreadsheets/d/1kGrh75X1cNR1D7_FcY9zMnHP8iPO4M5RCRjy6nZY0TY/edit#gi"&amp;"d=0"",""Table 1: Study characteristics!B4:B171""))
)"),"wrong study design")</f>
        <v>wrong study design</v>
      </c>
    </row>
    <row r="277">
      <c r="A277" s="4" t="str">
        <f>IFERROR(__xludf.DUMMYFUNCTION("""COMPUTED_VALUE"""),"Angular analysis of corpus callosum in 18 patients with frontonasal dysplasia")</f>
        <v>Angular analysis of corpus callosum in 18 patients with frontonasal dysplasia</v>
      </c>
      <c r="B277" s="5" t="str">
        <f>IFERROR(__xludf.DUMMYFUNCTION("LEFT(FILTER(IMPORTRANGE(""https://docs.google.com/spreadsheets/d/1BJSV3WBYJGRhQ6zExamkszQ5VutGIcaQqmbD9ZTVXMQ/edit#gid=1251630045"",""articles_with_PRISMA_reasons!K2:K2113""), $A277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$A277=IMPORTRANGE(""https://docs.google.com/spreadsheets/d/1BJSV3WBYJGRhQ6zExamkszQ5VutGIcaQqmbD9ZTVXMQ/edit#gid=1251630045"",""articles_with_PRISMA_reasons!B2:B2113"")))-1)"),"Araujo Giffoni")</f>
        <v>Araujo Giffoni</v>
      </c>
      <c r="C277" s="6">
        <f>IFERROR(__xludf.DUMMYFUNCTION("FILTER(IMPORTRANGE(""https://docs.google.com/spreadsheets/d/1BJSV3WBYJGRhQ6zExamkszQ5VutGIcaQqmbD9ZTVXMQ/edit#gid=1251630045"",""articles_with_PRISMA_reasons!C2:C2113""), $A277=IMPORTRANGE(""https://docs.google.com/spreadsheets/d/1BJSV3WBYJGRhQ6zExamkszQ5"&amp;"VutGIcaQqmbD9ZTVXMQ/edit#gid=1251630045"",""articles_with_PRISMA_reasons!B2:B2113""))"),2004.0)</f>
        <v>2004</v>
      </c>
      <c r="D277" s="5" t="str">
        <f>IFERROR(__xludf.DUMMYFUNCTION("IFS(AND(
FILTER(IMPORTRANGE(""https://docs.google.com/spreadsheets/d/1BJSV3WBYJGRhQ6zExamkszQ5VutGIcaQqmbD9ZTVXMQ/edit#gid=1251630045"",""articles_with_PRISMA_reasons!Y2:Y2113""), $A277=IMPORTRANGE(""https://docs.google.com/spreadsheets/d/1BJSV3WBYJGRhQ6z"&amp;"ExamkszQ5VutGIcaQqmbD9ZTVXMQ/edit#gid=1251630045"",""articles_with_PRISMA_reasons!B2:B2113""))&gt;=2,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$A277=IMPORTRANGE(""https://docs.google.com/spreadsheets/d/1BJSV3WBYJGRhQ6zExamkszQ5VutGIcaQqmbD9ZTVXMQ/edit#gid=1251630045"",""articles_with_PRISMA_reasons!B2:B2113""))&lt;2),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$A277=IMPORTRANGE(""https://docs.google.com/spreadsheets/d/1BJSV3WBYJGRhQ6zExamkszQ5VutGIcaQqmbD9ZTVXMQ/edit#gid=1251630045"",""arti"&amp;"cles_with_PRISMA_reasons!B2:B2113""))&lt;2,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$A277=IMPORTRANGE(""https://docs.google.com"&amp;"/spreadsheets/d/1BJSV3WBYJGRhQ6zExamkszQ5VutGIcaQqmbD9ZTVXMQ/edit#gid=1251630045"",""articles_with_PRISMA_reasons!B2:B2113""))&gt;=2),
""Exclude""
)"),"Exclude")</f>
        <v>Exclude</v>
      </c>
      <c r="E277" s="5" t="str">
        <f>IFERROR(__xludf.DUMMYFUNCTION("IFS(
D277=""Exclude"",""Exclude"",
AND(
FILTER(IMPORTRANGE(""https://docs.google.com/spreadsheets/d/1qpEmbGH0JjaJbUdp21-y2cPbobDbMjr09BbtdKROZWc/edit#gid=1444865654"",""articles_with_PRISMA_reasons!W2:W2113""), $A277=IMPORTRANGE(""https://docs.google.com/"&amp;"spreadsheets/d/1qpEmbGH0JjaJbUdp21-y2cPbobDbMjr09BbtdKROZWc/edit#gid=1444865654"",""articles_with_PRISMA_reasons!B2:B2113""))&gt;=2,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$A277=IMPORTRANGE(""https://docs.google.com/spreadsheets/d/1qpEmbGH0JjaJbUdp21-y2cPbobDbMjr09BbtdKROZWc/edit#gid=1444865654"",""articles_with_PRISMA_reasons!B2:B2113""))&lt;2),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$A277=IMPORTRANGE(""https://docs.google.com/spreadsheets/d/1qpEmbGH0JjaJbUdp21-y2cPbobDbMjr09BbtdKRO"&amp;"ZWc/edit#gid=1444865654"",""articles_with_PRISMA_reasons!B2:B2113""))&lt;2,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$A277=IMPOR"&amp;"TRANGE(""https://docs.google.com/spreadsheets/d/1qpEmbGH0JjaJbUdp21-y2cPbobDbMjr09BbtdKROZWc/edit#gid=1444865654"",""articles_with_PRISMA_reasons!B2:B2113""))&gt;=2),
""Exclude""
)"),"Exclude")</f>
        <v>Exclude</v>
      </c>
      <c r="F277" s="5" t="str">
        <f>IFERROR(__xludf.DUMMYFUNCTION("IFS(
E277=""Exclude"",""Exclude"",
AND(
COUNTIF(
IMPORTRANGE(""https://docs.google.com/spreadsheets/d/1kGrh75X1cNR1D7_FcY9zMnHP8iPO4M5RCRjy6nZY0TY/edit#gid=0"",""Table 1: Study characteristics!B4:B171""),A277)&gt;0,
COUNTIF(Studies!$A$2:$A$85,FILTER(IMPORTRA"&amp;"NGE(""https://docs.google.com/spreadsheets/d/1kGrh75X1cNR1D7_FcY9zMnHP8iPO4M5RCRjy6nZY0TY/edit#gid=0"",""Table 1: Study characteristics!A4:A171""), $A277=IMPORTRANGE(""https://docs.google.com/spreadsheets/d/1kGrh75X1cNR1D7_FcY9zMnHP8iPO4M5RCRjy6nZY0TY/edi"&amp;"t#gid=0"",""Table 1: Study characteristics!B4:B171"")))&gt;0
),
""Include""
)"),"Exclude")</f>
        <v>Exclude</v>
      </c>
      <c r="G277" s="5" t="str">
        <f>IFERROR(__xludf.DUMMYFUNCTION("IFS(
D277=""Exclude"",
FILTER(IMPORTRANGE(""https://docs.google.com/spreadsheets/d/1BJSV3WBYJGRhQ6zExamkszQ5VutGIcaQqmbD9ZTVXMQ/edit#gid=1251630045"",""articles_with_PRISMA_reasons!AB2:AB2113""), $A277=IMPORTRANGE(""https://docs.google.com/spreadsheets/d/"&amp;"1BJSV3WBYJGRhQ6zExamkszQ5VutGIcaQqmbD9ZTVXMQ/edit#gid=1251630045"",""articles_with_PRISMA_reasons!B2:B2113"")),
E277=""Exclude"",
FILTER(IMPORTRANGE(""https://docs.google.com/spreadsheets/d/1qpEmbGH0JjaJbUdp21-y2cPbobDbMjr09BbtdKROZWc/edit#gid=1444865654"&amp;""",""articles_with_PRISMA_reasons!Z2:Z2113""), $A277=IMPORTRANGE(""https://docs.google.com/spreadsheets/d/1qpEmbGH0JjaJbUdp21-y2cPbobDbMjr09BbtdKROZWc/edit#gid=1444865654"",""articles_with_PRISMA_reasons!B2:B2113"")),F277
=""Include"",FILTER(IMPORTRANGE("&amp;"""https://docs.google.com/spreadsheets/d/1kGrh75X1cNR1D7_FcY9zMnHP8iPO4M5RCRjy6nZY0TY/edit#gid=0"",""Table 1: Study characteristics!A4:A171""), $A277=IMPORTRANGE(""https://docs.google.com/spreadsheets/d/1kGrh75X1cNR1D7_FcY9zMnHP8iPO4M5RCRjy6nZY0TY/edit#gi"&amp;"d=0"",""Table 1: Study characteristics!B4:B171""))
)"),"background article")</f>
        <v>background article</v>
      </c>
    </row>
    <row r="278">
      <c r="A278" s="4" t="str">
        <f>IFERROR(__xludf.DUMMYFUNCTION("""COMPUTED_VALUE"""),"Ankyloblepharon filiforme adnatum with hydrocephalus and myelomeningocele")</f>
        <v>Ankyloblepharon filiforme adnatum with hydrocephalus and myelomeningocele</v>
      </c>
      <c r="B278" s="5" t="str">
        <f>IFERROR(__xludf.DUMMYFUNCTION("LEFT(FILTER(IMPORTRANGE(""https://docs.google.com/spreadsheets/d/1BJSV3WBYJGRhQ6zExamkszQ5VutGIcaQqmbD9ZTVXMQ/edit#gid=1251630045"",""articles_with_PRISMA_reasons!K2:K2113""), $A278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$A278=IMPORTRANGE(""https://docs.google.com/spreadsheets/d/1BJSV3WBYJGRhQ6zExamkszQ5VutGIcaQqmbD9ZTVXMQ/edit#gid=1251630045"",""articles_with_PRISMA_reasons!B2:B2113"")))-1)"),"Ohmi")</f>
        <v>Ohmi</v>
      </c>
      <c r="C278" s="6">
        <f>IFERROR(__xludf.DUMMYFUNCTION("FILTER(IMPORTRANGE(""https://docs.google.com/spreadsheets/d/1BJSV3WBYJGRhQ6zExamkszQ5VutGIcaQqmbD9ZTVXMQ/edit#gid=1251630045"",""articles_with_PRISMA_reasons!C2:C2113""), $A278=IMPORTRANGE(""https://docs.google.com/spreadsheets/d/1BJSV3WBYJGRhQ6zExamkszQ5"&amp;"VutGIcaQqmbD9ZTVXMQ/edit#gid=1251630045"",""articles_with_PRISMA_reasons!B2:B2113""))"),1998.0)</f>
        <v>1998</v>
      </c>
      <c r="D278" s="5" t="str">
        <f>IFERROR(__xludf.DUMMYFUNCTION("IFS(AND(
FILTER(IMPORTRANGE(""https://docs.google.com/spreadsheets/d/1BJSV3WBYJGRhQ6zExamkszQ5VutGIcaQqmbD9ZTVXMQ/edit#gid=1251630045"",""articles_with_PRISMA_reasons!Y2:Y2113""), $A278=IMPORTRANGE(""https://docs.google.com/spreadsheets/d/1BJSV3WBYJGRhQ6z"&amp;"ExamkszQ5VutGIcaQqmbD9ZTVXMQ/edit#gid=1251630045"",""articles_with_PRISMA_reasons!B2:B2113""))&gt;=2,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$A278=IMPORTRANGE(""https://docs.google.com/spreadsheets/d/1BJSV3WBYJGRhQ6zExamkszQ5VutGIcaQqmbD9ZTVXMQ/edit#gid=1251630045"",""articles_with_PRISMA_reasons!B2:B2113""))&lt;2),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$A278=IMPORTRANGE(""https://docs.google.com/spreadsheets/d/1BJSV3WBYJGRhQ6zExamkszQ5VutGIcaQqmbD9ZTVXMQ/edit#gid=1251630045"",""arti"&amp;"cles_with_PRISMA_reasons!B2:B2113""))&lt;2,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$A278=IMPORTRANGE(""https://docs.google.com"&amp;"/spreadsheets/d/1BJSV3WBYJGRhQ6zExamkszQ5VutGIcaQqmbD9ZTVXMQ/edit#gid=1251630045"",""articles_with_PRISMA_reasons!B2:B2113""))&gt;=2),
""Exclude""
)"),"Exclude")</f>
        <v>Exclude</v>
      </c>
      <c r="E278" s="5" t="str">
        <f>IFERROR(__xludf.DUMMYFUNCTION("IFS(
D278=""Exclude"",""Exclude"",
AND(
FILTER(IMPORTRANGE(""https://docs.google.com/spreadsheets/d/1qpEmbGH0JjaJbUdp21-y2cPbobDbMjr09BbtdKROZWc/edit#gid=1444865654"",""articles_with_PRISMA_reasons!W2:W2113""), $A278=IMPORTRANGE(""https://docs.google.com/"&amp;"spreadsheets/d/1qpEmbGH0JjaJbUdp21-y2cPbobDbMjr09BbtdKROZWc/edit#gid=1444865654"",""articles_with_PRISMA_reasons!B2:B2113""))&gt;=2,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$A278=IMPORTRANGE(""https://docs.google.com/spreadsheets/d/1qpEmbGH0JjaJbUdp21-y2cPbobDbMjr09BbtdKROZWc/edit#gid=1444865654"",""articles_with_PRISMA_reasons!B2:B2113""))&lt;2),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$A278=IMPORTRANGE(""https://docs.google.com/spreadsheets/d/1qpEmbGH0JjaJbUdp21-y2cPbobDbMjr09BbtdKRO"&amp;"ZWc/edit#gid=1444865654"",""articles_with_PRISMA_reasons!B2:B2113""))&lt;2,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$A278=IMPOR"&amp;"TRANGE(""https://docs.google.com/spreadsheets/d/1qpEmbGH0JjaJbUdp21-y2cPbobDbMjr09BbtdKROZWc/edit#gid=1444865654"",""articles_with_PRISMA_reasons!B2:B2113""))&gt;=2),
""Exclude""
)"),"Exclude")</f>
        <v>Exclude</v>
      </c>
      <c r="F278" s="5" t="str">
        <f>IFERROR(__xludf.DUMMYFUNCTION("IFS(
E278=""Exclude"",""Exclude"",
AND(
COUNTIF(
IMPORTRANGE(""https://docs.google.com/spreadsheets/d/1kGrh75X1cNR1D7_FcY9zMnHP8iPO4M5RCRjy6nZY0TY/edit#gid=0"",""Table 1: Study characteristics!B4:B171""),A278)&gt;0,
COUNTIF(Studies!$A$2:$A$85,FILTER(IMPORTRA"&amp;"NGE(""https://docs.google.com/spreadsheets/d/1kGrh75X1cNR1D7_FcY9zMnHP8iPO4M5RCRjy6nZY0TY/edit#gid=0"",""Table 1: Study characteristics!A4:A171""), $A278=IMPORTRANGE(""https://docs.google.com/spreadsheets/d/1kGrh75X1cNR1D7_FcY9zMnHP8iPO4M5RCRjy6nZY0TY/edi"&amp;"t#gid=0"",""Table 1: Study characteristics!B4:B171"")))&gt;0
),
""Include""
)"),"Exclude")</f>
        <v>Exclude</v>
      </c>
      <c r="G278" s="5" t="str">
        <f>IFERROR(__xludf.DUMMYFUNCTION("IFS(
D278=""Exclude"",
FILTER(IMPORTRANGE(""https://docs.google.com/spreadsheets/d/1BJSV3WBYJGRhQ6zExamkszQ5VutGIcaQqmbD9ZTVXMQ/edit#gid=1251630045"",""articles_with_PRISMA_reasons!AB2:AB2113""), $A278=IMPORTRANGE(""https://docs.google.com/spreadsheets/d/"&amp;"1BJSV3WBYJGRhQ6zExamkszQ5VutGIcaQqmbD9ZTVXMQ/edit#gid=1251630045"",""articles_with_PRISMA_reasons!B2:B2113"")),
E278=""Exclude"",
FILTER(IMPORTRANGE(""https://docs.google.com/spreadsheets/d/1qpEmbGH0JjaJbUdp21-y2cPbobDbMjr09BbtdKROZWc/edit#gid=1444865654"&amp;""",""articles_with_PRISMA_reasons!Z2:Z2113""), $A278=IMPORTRANGE(""https://docs.google.com/spreadsheets/d/1qpEmbGH0JjaJbUdp21-y2cPbobDbMjr09BbtdKROZWc/edit#gid=1444865654"",""articles_with_PRISMA_reasons!B2:B2113"")),F278
=""Include"",FILTER(IMPORTRANGE("&amp;"""https://docs.google.com/spreadsheets/d/1kGrh75X1cNR1D7_FcY9zMnHP8iPO4M5RCRjy6nZY0TY/edit#gid=0"",""Table 1: Study characteristics!A4:A171""), $A278=IMPORTRANGE(""https://docs.google.com/spreadsheets/d/1kGrh75X1cNR1D7_FcY9zMnHP8iPO4M5RCRjy6nZY0TY/edit#gi"&amp;"d=0"",""Table 1: Study characteristics!B4:B171""))
)"),"wrong publication type")</f>
        <v>wrong publication type</v>
      </c>
    </row>
    <row r="279">
      <c r="A279" s="4" t="str">
        <f>IFERROR(__xludf.DUMMYFUNCTION("""COMPUTED_VALUE"""),"Ankyloblepharon filiforme adnatum with hydrocephalus, meningomyelocele, and imperforate anus")</f>
        <v>Ankyloblepharon filiforme adnatum with hydrocephalus, meningomyelocele, and imperforate anus</v>
      </c>
      <c r="B279" s="5" t="str">
        <f>IFERROR(__xludf.DUMMYFUNCTION("LEFT(FILTER(IMPORTRANGE(""https://docs.google.com/spreadsheets/d/1BJSV3WBYJGRhQ6zExamkszQ5VutGIcaQqmbD9ZTVXMQ/edit#gid=1251630045"",""articles_with_PRISMA_reasons!K2:K2113""), $A279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$A279=IMPORTRANGE(""https://docs.google.com/spreadsheets/d/1BJSV3WBYJGRhQ6zExamkszQ5VutGIcaQqmbD9ZTVXMQ/edit#gid=1251630045"",""articles_with_PRISMA_reasons!B2:B2113"")))-1)"),"Kazarian")</f>
        <v>Kazarian</v>
      </c>
      <c r="C279" s="6">
        <f>IFERROR(__xludf.DUMMYFUNCTION("FILTER(IMPORTRANGE(""https://docs.google.com/spreadsheets/d/1BJSV3WBYJGRhQ6zExamkszQ5VutGIcaQqmbD9ZTVXMQ/edit#gid=1251630045"",""articles_with_PRISMA_reasons!C2:C2113""), $A279=IMPORTRANGE(""https://docs.google.com/spreadsheets/d/1BJSV3WBYJGRhQ6zExamkszQ5"&amp;"VutGIcaQqmbD9ZTVXMQ/edit#gid=1251630045"",""articles_with_PRISMA_reasons!B2:B2113""))"),1977.0)</f>
        <v>1977</v>
      </c>
      <c r="D279" s="5" t="str">
        <f>IFERROR(__xludf.DUMMYFUNCTION("IFS(AND(
FILTER(IMPORTRANGE(""https://docs.google.com/spreadsheets/d/1BJSV3WBYJGRhQ6zExamkszQ5VutGIcaQqmbD9ZTVXMQ/edit#gid=1251630045"",""articles_with_PRISMA_reasons!Y2:Y2113""), $A279=IMPORTRANGE(""https://docs.google.com/spreadsheets/d/1BJSV3WBYJGRhQ6z"&amp;"ExamkszQ5VutGIcaQqmbD9ZTVXMQ/edit#gid=1251630045"",""articles_with_PRISMA_reasons!B2:B2113""))&gt;=2,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$A279=IMPORTRANGE(""https://docs.google.com/spreadsheets/d/1BJSV3WBYJGRhQ6zExamkszQ5VutGIcaQqmbD9ZTVXMQ/edit#gid=1251630045"",""articles_with_PRISMA_reasons!B2:B2113""))&lt;2),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$A279=IMPORTRANGE(""https://docs.google.com/spreadsheets/d/1BJSV3WBYJGRhQ6zExamkszQ5VutGIcaQqmbD9ZTVXMQ/edit#gid=1251630045"",""arti"&amp;"cles_with_PRISMA_reasons!B2:B2113""))&lt;2,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$A279=IMPORTRANGE(""https://docs.google.com"&amp;"/spreadsheets/d/1BJSV3WBYJGRhQ6zExamkszQ5VutGIcaQqmbD9ZTVXMQ/edit#gid=1251630045"",""articles_with_PRISMA_reasons!B2:B2113""))&gt;=2),
""Exclude""
)"),"Exclude")</f>
        <v>Exclude</v>
      </c>
      <c r="E279" s="5" t="str">
        <f>IFERROR(__xludf.DUMMYFUNCTION("IFS(
D279=""Exclude"",""Exclude"",
AND(
FILTER(IMPORTRANGE(""https://docs.google.com/spreadsheets/d/1qpEmbGH0JjaJbUdp21-y2cPbobDbMjr09BbtdKROZWc/edit#gid=1444865654"",""articles_with_PRISMA_reasons!W2:W2113""), $A279=IMPORTRANGE(""https://docs.google.com/"&amp;"spreadsheets/d/1qpEmbGH0JjaJbUdp21-y2cPbobDbMjr09BbtdKROZWc/edit#gid=1444865654"",""articles_with_PRISMA_reasons!B2:B2113""))&gt;=2,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$A279=IMPORTRANGE(""https://docs.google.com/spreadsheets/d/1qpEmbGH0JjaJbUdp21-y2cPbobDbMjr09BbtdKROZWc/edit#gid=1444865654"",""articles_with_PRISMA_reasons!B2:B2113""))&lt;2),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$A279=IMPORTRANGE(""https://docs.google.com/spreadsheets/d/1qpEmbGH0JjaJbUdp21-y2cPbobDbMjr09BbtdKRO"&amp;"ZWc/edit#gid=1444865654"",""articles_with_PRISMA_reasons!B2:B2113""))&lt;2,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$A279=IMPOR"&amp;"TRANGE(""https://docs.google.com/spreadsheets/d/1qpEmbGH0JjaJbUdp21-y2cPbobDbMjr09BbtdKROZWc/edit#gid=1444865654"",""articles_with_PRISMA_reasons!B2:B2113""))&gt;=2),
""Exclude""
)"),"Exclude")</f>
        <v>Exclude</v>
      </c>
      <c r="F279" s="5" t="str">
        <f>IFERROR(__xludf.DUMMYFUNCTION("IFS(
E279=""Exclude"",""Exclude"",
AND(
COUNTIF(
IMPORTRANGE(""https://docs.google.com/spreadsheets/d/1kGrh75X1cNR1D7_FcY9zMnHP8iPO4M5RCRjy6nZY0TY/edit#gid=0"",""Table 1: Study characteristics!B4:B171""),A279)&gt;0,
COUNTIF(Studies!$A$2:$A$85,FILTER(IMPORTRA"&amp;"NGE(""https://docs.google.com/spreadsheets/d/1kGrh75X1cNR1D7_FcY9zMnHP8iPO4M5RCRjy6nZY0TY/edit#gid=0"",""Table 1: Study characteristics!A4:A171""), $A279=IMPORTRANGE(""https://docs.google.com/spreadsheets/d/1kGrh75X1cNR1D7_FcY9zMnHP8iPO4M5RCRjy6nZY0TY/edi"&amp;"t#gid=0"",""Table 1: Study characteristics!B4:B171"")))&gt;0
),
""Include""
)"),"Exclude")</f>
        <v>Exclude</v>
      </c>
      <c r="G279" s="5" t="str">
        <f>IFERROR(__xludf.DUMMYFUNCTION("IFS(
D279=""Exclude"",
FILTER(IMPORTRANGE(""https://docs.google.com/spreadsheets/d/1BJSV3WBYJGRhQ6zExamkszQ5VutGIcaQqmbD9ZTVXMQ/edit#gid=1251630045"",""articles_with_PRISMA_reasons!AB2:AB2113""), $A279=IMPORTRANGE(""https://docs.google.com/spreadsheets/d/"&amp;"1BJSV3WBYJGRhQ6zExamkszQ5VutGIcaQqmbD9ZTVXMQ/edit#gid=1251630045"",""articles_with_PRISMA_reasons!B2:B2113"")),
E279=""Exclude"",
FILTER(IMPORTRANGE(""https://docs.google.com/spreadsheets/d/1qpEmbGH0JjaJbUdp21-y2cPbobDbMjr09BbtdKROZWc/edit#gid=1444865654"&amp;""",""articles_with_PRISMA_reasons!Z2:Z2113""), $A279=IMPORTRANGE(""https://docs.google.com/spreadsheets/d/1qpEmbGH0JjaJbUdp21-y2cPbobDbMjr09BbtdKROZWc/edit#gid=1444865654"",""articles_with_PRISMA_reasons!B2:B2113"")),F279
=""Include"",FILTER(IMPORTRANGE("&amp;"""https://docs.google.com/spreadsheets/d/1kGrh75X1cNR1D7_FcY9zMnHP8iPO4M5RCRjy6nZY0TY/edit#gid=0"",""Table 1: Study characteristics!A4:A171""), $A279=IMPORTRANGE(""https://docs.google.com/spreadsheets/d/1kGrh75X1cNR1D7_FcY9zMnHP8iPO4M5RCRjy6nZY0TY/edit#gi"&amp;"d=0"",""Table 1: Study characteristics!B4:B171""))
)"),"wrong study design")</f>
        <v>wrong study design</v>
      </c>
    </row>
    <row r="280">
      <c r="A280" s="4" t="str">
        <f>IFERROR(__xludf.DUMMYFUNCTION("""COMPUTED_VALUE"""),"Anorectal malformations, associated congenital anomalies and their investigation in a South African setting")</f>
        <v>Anorectal malformations, associated congenital anomalies and their investigation in a South African setting</v>
      </c>
      <c r="B280" s="5" t="str">
        <f>IFERROR(__xludf.DUMMYFUNCTION("LEFT(FILTER(IMPORTRANGE(""https://docs.google.com/spreadsheets/d/1BJSV3WBYJGRhQ6zExamkszQ5VutGIcaQqmbD9ZTVXMQ/edit#gid=1251630045"",""articles_with_PRISMA_reasons!K2:K2113""), $A280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$A280=IMPORTRANGE(""https://docs.google.com/spreadsheets/d/1BJSV3WBYJGRhQ6zExamkszQ5VutGIcaQqmbD9ZTVXMQ/edit#gid=1251630045"",""articles_with_PRISMA_reasons!B2:B2113"")))-1)"),"vd Merwe")</f>
        <v>vd Merwe</v>
      </c>
      <c r="C280" s="6">
        <f>IFERROR(__xludf.DUMMYFUNCTION("FILTER(IMPORTRANGE(""https://docs.google.com/spreadsheets/d/1BJSV3WBYJGRhQ6zExamkszQ5VutGIcaQqmbD9ZTVXMQ/edit#gid=1251630045"",""articles_with_PRISMA_reasons!C2:C2113""), $A280=IMPORTRANGE(""https://docs.google.com/spreadsheets/d/1BJSV3WBYJGRhQ6zExamkszQ5"&amp;"VutGIcaQqmbD9ZTVXMQ/edit#gid=1251630045"",""articles_with_PRISMA_reasons!B2:B2113""))"),2017.0)</f>
        <v>2017</v>
      </c>
      <c r="D280" s="5" t="str">
        <f>IFERROR(__xludf.DUMMYFUNCTION("IFS(AND(
FILTER(IMPORTRANGE(""https://docs.google.com/spreadsheets/d/1BJSV3WBYJGRhQ6zExamkszQ5VutGIcaQqmbD9ZTVXMQ/edit#gid=1251630045"",""articles_with_PRISMA_reasons!Y2:Y2113""), $A280=IMPORTRANGE(""https://docs.google.com/spreadsheets/d/1BJSV3WBYJGRhQ6z"&amp;"ExamkszQ5VutGIcaQqmbD9ZTVXMQ/edit#gid=1251630045"",""articles_with_PRISMA_reasons!B2:B2113""))&gt;=2,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$A280=IMPORTRANGE(""https://docs.google.com/spreadsheets/d/1BJSV3WBYJGRhQ6zExamkszQ5VutGIcaQqmbD9ZTVXMQ/edit#gid=1251630045"",""articles_with_PRISMA_reasons!B2:B2113""))&lt;2),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$A280=IMPORTRANGE(""https://docs.google.com/spreadsheets/d/1BJSV3WBYJGRhQ6zExamkszQ5VutGIcaQqmbD9ZTVXMQ/edit#gid=1251630045"",""arti"&amp;"cles_with_PRISMA_reasons!B2:B2113""))&lt;2,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$A280=IMPORTRANGE(""https://docs.google.com"&amp;"/spreadsheets/d/1BJSV3WBYJGRhQ6zExamkszQ5VutGIcaQqmbD9ZTVXMQ/edit#gid=1251630045"",""articles_with_PRISMA_reasons!B2:B2113""))&gt;=2),
""Exclude""
)"),"Exclude")</f>
        <v>Exclude</v>
      </c>
      <c r="E280" s="5" t="str">
        <f>IFERROR(__xludf.DUMMYFUNCTION("IFS(
D280=""Exclude"",""Exclude"",
AND(
FILTER(IMPORTRANGE(""https://docs.google.com/spreadsheets/d/1qpEmbGH0JjaJbUdp21-y2cPbobDbMjr09BbtdKROZWc/edit#gid=1444865654"",""articles_with_PRISMA_reasons!W2:W2113""), $A280=IMPORTRANGE(""https://docs.google.com/"&amp;"spreadsheets/d/1qpEmbGH0JjaJbUdp21-y2cPbobDbMjr09BbtdKROZWc/edit#gid=1444865654"",""articles_with_PRISMA_reasons!B2:B2113""))&gt;=2,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$A280=IMPORTRANGE(""https://docs.google.com/spreadsheets/d/1qpEmbGH0JjaJbUdp21-y2cPbobDbMjr09BbtdKROZWc/edit#gid=1444865654"",""articles_with_PRISMA_reasons!B2:B2113""))&lt;2),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$A280=IMPORTRANGE(""https://docs.google.com/spreadsheets/d/1qpEmbGH0JjaJbUdp21-y2cPbobDbMjr09BbtdKRO"&amp;"ZWc/edit#gid=1444865654"",""articles_with_PRISMA_reasons!B2:B2113""))&lt;2,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$A280=IMPOR"&amp;"TRANGE(""https://docs.google.com/spreadsheets/d/1qpEmbGH0JjaJbUdp21-y2cPbobDbMjr09BbtdKROZWc/edit#gid=1444865654"",""articles_with_PRISMA_reasons!B2:B2113""))&gt;=2),
""Exclude""
)"),"Exclude")</f>
        <v>Exclude</v>
      </c>
      <c r="F280" s="5" t="str">
        <f>IFERROR(__xludf.DUMMYFUNCTION("IFS(
E280=""Exclude"",""Exclude"",
AND(
COUNTIF(
IMPORTRANGE(""https://docs.google.com/spreadsheets/d/1kGrh75X1cNR1D7_FcY9zMnHP8iPO4M5RCRjy6nZY0TY/edit#gid=0"",""Table 1: Study characteristics!B4:B171""),A280)&gt;0,
COUNTIF(Studies!$A$2:$A$85,FILTER(IMPORTRA"&amp;"NGE(""https://docs.google.com/spreadsheets/d/1kGrh75X1cNR1D7_FcY9zMnHP8iPO4M5RCRjy6nZY0TY/edit#gid=0"",""Table 1: Study characteristics!A4:A171""), $A280=IMPORTRANGE(""https://docs.google.com/spreadsheets/d/1kGrh75X1cNR1D7_FcY9zMnHP8iPO4M5RCRjy6nZY0TY/edi"&amp;"t#gid=0"",""Table 1: Study characteristics!B4:B171"")))&gt;0
),
""Include""
)"),"Exclude")</f>
        <v>Exclude</v>
      </c>
      <c r="G280" s="5" t="str">
        <f>IFERROR(__xludf.DUMMYFUNCTION("IFS(
D280=""Exclude"",
FILTER(IMPORTRANGE(""https://docs.google.com/spreadsheets/d/1BJSV3WBYJGRhQ6zExamkszQ5VutGIcaQqmbD9ZTVXMQ/edit#gid=1251630045"",""articles_with_PRISMA_reasons!AB2:AB2113""), $A280=IMPORTRANGE(""https://docs.google.com/spreadsheets/d/"&amp;"1BJSV3WBYJGRhQ6zExamkszQ5VutGIcaQqmbD9ZTVXMQ/edit#gid=1251630045"",""articles_with_PRISMA_reasons!B2:B2113"")),
E280=""Exclude"",
FILTER(IMPORTRANGE(""https://docs.google.com/spreadsheets/d/1qpEmbGH0JjaJbUdp21-y2cPbobDbMjr09BbtdKROZWc/edit#gid=1444865654"&amp;""",""articles_with_PRISMA_reasons!Z2:Z2113""), $A280=IMPORTRANGE(""https://docs.google.com/spreadsheets/d/1qpEmbGH0JjaJbUdp21-y2cPbobDbMjr09BbtdKROZWc/edit#gid=1444865654"",""articles_with_PRISMA_reasons!B2:B2113"")),F280
=""Include"",FILTER(IMPORTRANGE("&amp;"""https://docs.google.com/spreadsheets/d/1kGrh75X1cNR1D7_FcY9zMnHP8iPO4M5RCRjy6nZY0TY/edit#gid=0"",""Table 1: Study characteristics!A4:A171""), $A280=IMPORTRANGE(""https://docs.google.com/spreadsheets/d/1kGrh75X1cNR1D7_FcY9zMnHP8iPO4M5RCRjy6nZY0TY/edit#gi"&amp;"d=0"",""Table 1: Study characteristics!B4:B171""))
)"),"background article")</f>
        <v>background article</v>
      </c>
    </row>
    <row r="281">
      <c r="A281" s="4" t="str">
        <f>IFERROR(__xludf.DUMMYFUNCTION("""COMPUTED_VALUE"""),"Antenatal diagnosis of central nervous system anomalies: Can we predict prognosis?")</f>
        <v>Antenatal diagnosis of central nervous system anomalies: Can we predict prognosis?</v>
      </c>
      <c r="B281" s="5" t="str">
        <f>IFERROR(__xludf.DUMMYFUNCTION("LEFT(FILTER(IMPORTRANGE(""https://docs.google.com/spreadsheets/d/1BJSV3WBYJGRhQ6zExamkszQ5VutGIcaQqmbD9ZTVXMQ/edit#gid=1251630045"",""articles_with_PRISMA_reasons!K2:K2113""), $A281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$A281=IMPORTRANGE(""https://docs.google.com/spreadsheets/d/1BJSV3WBYJGRhQ6zExamkszQ5VutGIcaQqmbD9ZTVXMQ/edit#gid=1251630045"",""articles_with_PRISMA_reasons!B2:B2113"")))-1)"),"Leitner")</f>
        <v>Leitner</v>
      </c>
      <c r="C281" s="6">
        <f>IFERROR(__xludf.DUMMYFUNCTION("FILTER(IMPORTRANGE(""https://docs.google.com/spreadsheets/d/1BJSV3WBYJGRhQ6zExamkszQ5VutGIcaQqmbD9ZTVXMQ/edit#gid=1251630045"",""articles_with_PRISMA_reasons!C2:C2113""), $A281=IMPORTRANGE(""https://docs.google.com/spreadsheets/d/1BJSV3WBYJGRhQ6zExamkszQ5"&amp;"VutGIcaQqmbD9ZTVXMQ/edit#gid=1251630045"",""articles_with_PRISMA_reasons!B2:B2113""))"),2004.0)</f>
        <v>2004</v>
      </c>
      <c r="D281" s="5" t="str">
        <f>IFERROR(__xludf.DUMMYFUNCTION("IFS(AND(
FILTER(IMPORTRANGE(""https://docs.google.com/spreadsheets/d/1BJSV3WBYJGRhQ6zExamkszQ5VutGIcaQqmbD9ZTVXMQ/edit#gid=1251630045"",""articles_with_PRISMA_reasons!Y2:Y2113""), $A281=IMPORTRANGE(""https://docs.google.com/spreadsheets/d/1BJSV3WBYJGRhQ6z"&amp;"ExamkszQ5VutGIcaQqmbD9ZTVXMQ/edit#gid=1251630045"",""articles_with_PRISMA_reasons!B2:B2113""))&gt;=2,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$A281=IMPORTRANGE(""https://docs.google.com/spreadsheets/d/1BJSV3WBYJGRhQ6zExamkszQ5VutGIcaQqmbD9ZTVXMQ/edit#gid=1251630045"",""articles_with_PRISMA_reasons!B2:B2113""))&lt;2),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$A281=IMPORTRANGE(""https://docs.google.com/spreadsheets/d/1BJSV3WBYJGRhQ6zExamkszQ5VutGIcaQqmbD9ZTVXMQ/edit#gid=1251630045"",""arti"&amp;"cles_with_PRISMA_reasons!B2:B2113""))&lt;2,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$A281=IMPORTRANGE(""https://docs.google.com"&amp;"/spreadsheets/d/1BJSV3WBYJGRhQ6zExamkszQ5VutGIcaQqmbD9ZTVXMQ/edit#gid=1251630045"",""articles_with_PRISMA_reasons!B2:B2113""))&gt;=2),
""Exclude""
)"),"Exclude")</f>
        <v>Exclude</v>
      </c>
      <c r="E281" s="5" t="str">
        <f>IFERROR(__xludf.DUMMYFUNCTION("IFS(
D281=""Exclude"",""Exclude"",
AND(
FILTER(IMPORTRANGE(""https://docs.google.com/spreadsheets/d/1qpEmbGH0JjaJbUdp21-y2cPbobDbMjr09BbtdKROZWc/edit#gid=1444865654"",""articles_with_PRISMA_reasons!W2:W2113""), $A281=IMPORTRANGE(""https://docs.google.com/"&amp;"spreadsheets/d/1qpEmbGH0JjaJbUdp21-y2cPbobDbMjr09BbtdKROZWc/edit#gid=1444865654"",""articles_with_PRISMA_reasons!B2:B2113""))&gt;=2,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$A281=IMPORTRANGE(""https://docs.google.com/spreadsheets/d/1qpEmbGH0JjaJbUdp21-y2cPbobDbMjr09BbtdKROZWc/edit#gid=1444865654"",""articles_with_PRISMA_reasons!B2:B2113""))&lt;2),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$A281=IMPORTRANGE(""https://docs.google.com/spreadsheets/d/1qpEmbGH0JjaJbUdp21-y2cPbobDbMjr09BbtdKRO"&amp;"ZWc/edit#gid=1444865654"",""articles_with_PRISMA_reasons!B2:B2113""))&lt;2,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$A281=IMPOR"&amp;"TRANGE(""https://docs.google.com/spreadsheets/d/1qpEmbGH0JjaJbUdp21-y2cPbobDbMjr09BbtdKROZWc/edit#gid=1444865654"",""articles_with_PRISMA_reasons!B2:B2113""))&gt;=2),
""Exclude""
)"),"Exclude")</f>
        <v>Exclude</v>
      </c>
      <c r="F281" s="5" t="str">
        <f>IFERROR(__xludf.DUMMYFUNCTION("IFS(
E281=""Exclude"",""Exclude"",
AND(
COUNTIF(
IMPORTRANGE(""https://docs.google.com/spreadsheets/d/1kGrh75X1cNR1D7_FcY9zMnHP8iPO4M5RCRjy6nZY0TY/edit#gid=0"",""Table 1: Study characteristics!B4:B171""),A281)&gt;0,
COUNTIF(Studies!$A$2:$A$85,FILTER(IMPORTRA"&amp;"NGE(""https://docs.google.com/spreadsheets/d/1kGrh75X1cNR1D7_FcY9zMnHP8iPO4M5RCRjy6nZY0TY/edit#gid=0"",""Table 1: Study characteristics!A4:A171""), $A281=IMPORTRANGE(""https://docs.google.com/spreadsheets/d/1kGrh75X1cNR1D7_FcY9zMnHP8iPO4M5RCRjy6nZY0TY/edi"&amp;"t#gid=0"",""Table 1: Study characteristics!B4:B171"")))&gt;0
),
""Include""
)"),"Exclude")</f>
        <v>Exclude</v>
      </c>
      <c r="G281" s="5" t="str">
        <f>IFERROR(__xludf.DUMMYFUNCTION("IFS(
D281=""Exclude"",
FILTER(IMPORTRANGE(""https://docs.google.com/spreadsheets/d/1BJSV3WBYJGRhQ6zExamkszQ5VutGIcaQqmbD9ZTVXMQ/edit#gid=1251630045"",""articles_with_PRISMA_reasons!AB2:AB2113""), $A281=IMPORTRANGE(""https://docs.google.com/spreadsheets/d/"&amp;"1BJSV3WBYJGRhQ6zExamkszQ5VutGIcaQqmbD9ZTVXMQ/edit#gid=1251630045"",""articles_with_PRISMA_reasons!B2:B2113"")),
E281=""Exclude"",
FILTER(IMPORTRANGE(""https://docs.google.com/spreadsheets/d/1qpEmbGH0JjaJbUdp21-y2cPbobDbMjr09BbtdKROZWc/edit#gid=1444865654"&amp;""",""articles_with_PRISMA_reasons!Z2:Z2113""), $A281=IMPORTRANGE(""https://docs.google.com/spreadsheets/d/1qpEmbGH0JjaJbUdp21-y2cPbobDbMjr09BbtdKROZWc/edit#gid=1444865654"",""articles_with_PRISMA_reasons!B2:B2113"")),F281
=""Include"",FILTER(IMPORTRANGE("&amp;"""https://docs.google.com/spreadsheets/d/1kGrh75X1cNR1D7_FcY9zMnHP8iPO4M5RCRjy6nZY0TY/edit#gid=0"",""Table 1: Study characteristics!A4:A171""), $A281=IMPORTRANGE(""https://docs.google.com/spreadsheets/d/1kGrh75X1cNR1D7_FcY9zMnHP8iPO4M5RCRjy6nZY0TY/edit#gi"&amp;"d=0"",""Table 1: Study characteristics!B4:B171""))
)"),"background article")</f>
        <v>background article</v>
      </c>
    </row>
    <row r="282">
      <c r="A282" s="4" t="str">
        <f>IFERROR(__xludf.DUMMYFUNCTION("""COMPUTED_VALUE"""),"Antenatal diagnosis of fetal intracranial anomalies")</f>
        <v>Antenatal diagnosis of fetal intracranial anomalies</v>
      </c>
      <c r="B282" s="5" t="str">
        <f>IFERROR(__xludf.DUMMYFUNCTION("LEFT(FILTER(IMPORTRANGE(""https://docs.google.com/spreadsheets/d/1BJSV3WBYJGRhQ6zExamkszQ5VutGIcaQqmbD9ZTVXMQ/edit#gid=1251630045"",""articles_with_PRISMA_reasons!K2:K2113""), $A282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$A282=IMPORTRANGE(""https://docs.google.com/spreadsheets/d/1BJSV3WBYJGRhQ6zExamkszQ5VutGIcaQqmbD9ZTVXMQ/edit#gid=1251630045"",""articles_with_PRISMA_reasons!B2:B2113"")))-1)"),"Fadel")</f>
        <v>Fadel</v>
      </c>
      <c r="C282" s="6">
        <f>IFERROR(__xludf.DUMMYFUNCTION("FILTER(IMPORTRANGE(""https://docs.google.com/spreadsheets/d/1BJSV3WBYJGRhQ6zExamkszQ5VutGIcaQqmbD9ZTVXMQ/edit#gid=1251630045"",""articles_with_PRISMA_reasons!C2:C2113""), $A282=IMPORTRANGE(""https://docs.google.com/spreadsheets/d/1BJSV3WBYJGRhQ6zExamkszQ5"&amp;"VutGIcaQqmbD9ZTVXMQ/edit#gid=1251630045"",""articles_with_PRISMA_reasons!B2:B2113""))"),1989.0)</f>
        <v>1989</v>
      </c>
      <c r="D282" s="5" t="str">
        <f>IFERROR(__xludf.DUMMYFUNCTION("IFS(AND(
FILTER(IMPORTRANGE(""https://docs.google.com/spreadsheets/d/1BJSV3WBYJGRhQ6zExamkszQ5VutGIcaQqmbD9ZTVXMQ/edit#gid=1251630045"",""articles_with_PRISMA_reasons!Y2:Y2113""), $A282=IMPORTRANGE(""https://docs.google.com/spreadsheets/d/1BJSV3WBYJGRhQ6z"&amp;"ExamkszQ5VutGIcaQqmbD9ZTVXMQ/edit#gid=1251630045"",""articles_with_PRISMA_reasons!B2:B2113""))&gt;=2,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$A282=IMPORTRANGE(""https://docs.google.com/spreadsheets/d/1BJSV3WBYJGRhQ6zExamkszQ5VutGIcaQqmbD9ZTVXMQ/edit#gid=1251630045"",""articles_with_PRISMA_reasons!B2:B2113""))&lt;2),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$A282=IMPORTRANGE(""https://docs.google.com/spreadsheets/d/1BJSV3WBYJGRhQ6zExamkszQ5VutGIcaQqmbD9ZTVXMQ/edit#gid=1251630045"",""arti"&amp;"cles_with_PRISMA_reasons!B2:B2113""))&lt;2,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$A282=IMPORTRANGE(""https://docs.google.com"&amp;"/spreadsheets/d/1BJSV3WBYJGRhQ6zExamkszQ5VutGIcaQqmbD9ZTVXMQ/edit#gid=1251630045"",""articles_with_PRISMA_reasons!B2:B2113""))&gt;=2),
""Exclude""
)"),"Exclude")</f>
        <v>Exclude</v>
      </c>
      <c r="E282" s="5" t="str">
        <f>IFERROR(__xludf.DUMMYFUNCTION("IFS(
D282=""Exclude"",""Exclude"",
AND(
FILTER(IMPORTRANGE(""https://docs.google.com/spreadsheets/d/1qpEmbGH0JjaJbUdp21-y2cPbobDbMjr09BbtdKROZWc/edit#gid=1444865654"",""articles_with_PRISMA_reasons!W2:W2113""), $A282=IMPORTRANGE(""https://docs.google.com/"&amp;"spreadsheets/d/1qpEmbGH0JjaJbUdp21-y2cPbobDbMjr09BbtdKROZWc/edit#gid=1444865654"",""articles_with_PRISMA_reasons!B2:B2113""))&gt;=2,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$A282=IMPORTRANGE(""https://docs.google.com/spreadsheets/d/1qpEmbGH0JjaJbUdp21-y2cPbobDbMjr09BbtdKROZWc/edit#gid=1444865654"",""articles_with_PRISMA_reasons!B2:B2113""))&lt;2),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$A282=IMPORTRANGE(""https://docs.google.com/spreadsheets/d/1qpEmbGH0JjaJbUdp21-y2cPbobDbMjr09BbtdKRO"&amp;"ZWc/edit#gid=1444865654"",""articles_with_PRISMA_reasons!B2:B2113""))&lt;2,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$A282=IMPOR"&amp;"TRANGE(""https://docs.google.com/spreadsheets/d/1qpEmbGH0JjaJbUdp21-y2cPbobDbMjr09BbtdKROZWc/edit#gid=1444865654"",""articles_with_PRISMA_reasons!B2:B2113""))&gt;=2),
""Exclude""
)"),"Exclude")</f>
        <v>Exclude</v>
      </c>
      <c r="F282" s="5" t="str">
        <f>IFERROR(__xludf.DUMMYFUNCTION("IFS(
E282=""Exclude"",""Exclude"",
AND(
COUNTIF(
IMPORTRANGE(""https://docs.google.com/spreadsheets/d/1kGrh75X1cNR1D7_FcY9zMnHP8iPO4M5RCRjy6nZY0TY/edit#gid=0"",""Table 1: Study characteristics!B4:B171""),A282)&gt;0,
COUNTIF(Studies!$A$2:$A$85,FILTER(IMPORTRA"&amp;"NGE(""https://docs.google.com/spreadsheets/d/1kGrh75X1cNR1D7_FcY9zMnHP8iPO4M5RCRjy6nZY0TY/edit#gid=0"",""Table 1: Study characteristics!A4:A171""), $A282=IMPORTRANGE(""https://docs.google.com/spreadsheets/d/1kGrh75X1cNR1D7_FcY9zMnHP8iPO4M5RCRjy6nZY0TY/edi"&amp;"t#gid=0"",""Table 1: Study characteristics!B4:B171"")))&gt;0
),
""Include""
)"),"Exclude")</f>
        <v>Exclude</v>
      </c>
      <c r="G282" s="5" t="str">
        <f>IFERROR(__xludf.DUMMYFUNCTION("IFS(
D282=""Exclude"",
FILTER(IMPORTRANGE(""https://docs.google.com/spreadsheets/d/1BJSV3WBYJGRhQ6zExamkszQ5VutGIcaQqmbD9ZTVXMQ/edit#gid=1251630045"",""articles_with_PRISMA_reasons!AB2:AB2113""), $A282=IMPORTRANGE(""https://docs.google.com/spreadsheets/d/"&amp;"1BJSV3WBYJGRhQ6zExamkszQ5VutGIcaQqmbD9ZTVXMQ/edit#gid=1251630045"",""articles_with_PRISMA_reasons!B2:B2113"")),
E282=""Exclude"",
FILTER(IMPORTRANGE(""https://docs.google.com/spreadsheets/d/1qpEmbGH0JjaJbUdp21-y2cPbobDbMjr09BbtdKROZWc/edit#gid=1444865654"&amp;""",""articles_with_PRISMA_reasons!Z2:Z2113""), $A282=IMPORTRANGE(""https://docs.google.com/spreadsheets/d/1qpEmbGH0JjaJbUdp21-y2cPbobDbMjr09BbtdKROZWc/edit#gid=1444865654"",""articles_with_PRISMA_reasons!B2:B2113"")),F282
=""Include"",FILTER(IMPORTRANGE("&amp;"""https://docs.google.com/spreadsheets/d/1kGrh75X1cNR1D7_FcY9zMnHP8iPO4M5RCRjy6nZY0TY/edit#gid=0"",""Table 1: Study characteristics!A4:A171""), $A282=IMPORTRANGE(""https://docs.google.com/spreadsheets/d/1kGrh75X1cNR1D7_FcY9zMnHP8iPO4M5RCRjy6nZY0TY/edit#gi"&amp;"d=0"",""Table 1: Study characteristics!B4:B171""))
)"),"background article")</f>
        <v>background article</v>
      </c>
    </row>
    <row r="283">
      <c r="A283" s="4" t="str">
        <f>IFERROR(__xludf.DUMMYFUNCTION("""COMPUTED_VALUE"""),"Antenatal management of fetal neurosurgical diseases")</f>
        <v>Antenatal management of fetal neurosurgical diseases</v>
      </c>
      <c r="B283" s="5" t="str">
        <f>IFERROR(__xludf.DUMMYFUNCTION("LEFT(FILTER(IMPORTRANGE(""https://docs.google.com/spreadsheets/d/1BJSV3WBYJGRhQ6zExamkszQ5VutGIcaQqmbD9ZTVXMQ/edit#gid=1251630045"",""articles_with_PRISMA_reasons!K2:K2113""), $A283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$A283=IMPORTRANGE(""https://docs.google.com/spreadsheets/d/1BJSV3WBYJGRhQ6zExamkszQ5VutGIcaQqmbD9ZTVXMQ/edit#gid=1251630045"",""articles_with_PRISMA_reasons!B2:B2113"")))-1)"),"Cavalheiro")</f>
        <v>Cavalheiro</v>
      </c>
      <c r="C283" s="6">
        <f>IFERROR(__xludf.DUMMYFUNCTION("FILTER(IMPORTRANGE(""https://docs.google.com/spreadsheets/d/1BJSV3WBYJGRhQ6zExamkszQ5VutGIcaQqmbD9ZTVXMQ/edit#gid=1251630045"",""articles_with_PRISMA_reasons!C2:C2113""), $A283=IMPORTRANGE(""https://docs.google.com/spreadsheets/d/1BJSV3WBYJGRhQ6zExamkszQ5"&amp;"VutGIcaQqmbD9ZTVXMQ/edit#gid=1251630045"",""articles_with_PRISMA_reasons!B2:B2113""))"),2017.0)</f>
        <v>2017</v>
      </c>
      <c r="D283" s="5" t="str">
        <f>IFERROR(__xludf.DUMMYFUNCTION("IFS(AND(
FILTER(IMPORTRANGE(""https://docs.google.com/spreadsheets/d/1BJSV3WBYJGRhQ6zExamkszQ5VutGIcaQqmbD9ZTVXMQ/edit#gid=1251630045"",""articles_with_PRISMA_reasons!Y2:Y2113""), $A283=IMPORTRANGE(""https://docs.google.com/spreadsheets/d/1BJSV3WBYJGRhQ6z"&amp;"ExamkszQ5VutGIcaQqmbD9ZTVXMQ/edit#gid=1251630045"",""articles_with_PRISMA_reasons!B2:B2113""))&gt;=2,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$A283=IMPORTRANGE(""https://docs.google.com/spreadsheets/d/1BJSV3WBYJGRhQ6zExamkszQ5VutGIcaQqmbD9ZTVXMQ/edit#gid=1251630045"",""articles_with_PRISMA_reasons!B2:B2113""))&lt;2),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$A283=IMPORTRANGE(""https://docs.google.com/spreadsheets/d/1BJSV3WBYJGRhQ6zExamkszQ5VutGIcaQqmbD9ZTVXMQ/edit#gid=1251630045"",""arti"&amp;"cles_with_PRISMA_reasons!B2:B2113""))&lt;2,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$A283=IMPORTRANGE(""https://docs.google.com"&amp;"/spreadsheets/d/1BJSV3WBYJGRhQ6zExamkszQ5VutGIcaQqmbD9ZTVXMQ/edit#gid=1251630045"",""articles_with_PRISMA_reasons!B2:B2113""))&gt;=2),
""Exclude""
)"),"Exclude")</f>
        <v>Exclude</v>
      </c>
      <c r="E283" s="5" t="str">
        <f>IFERROR(__xludf.DUMMYFUNCTION("IFS(
D283=""Exclude"",""Exclude"",
AND(
FILTER(IMPORTRANGE(""https://docs.google.com/spreadsheets/d/1qpEmbGH0JjaJbUdp21-y2cPbobDbMjr09BbtdKROZWc/edit#gid=1444865654"",""articles_with_PRISMA_reasons!W2:W2113""), $A283=IMPORTRANGE(""https://docs.google.com/"&amp;"spreadsheets/d/1qpEmbGH0JjaJbUdp21-y2cPbobDbMjr09BbtdKROZWc/edit#gid=1444865654"",""articles_with_PRISMA_reasons!B2:B2113""))&gt;=2,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$A283=IMPORTRANGE(""https://docs.google.com/spreadsheets/d/1qpEmbGH0JjaJbUdp21-y2cPbobDbMjr09BbtdKROZWc/edit#gid=1444865654"",""articles_with_PRISMA_reasons!B2:B2113""))&lt;2),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$A283=IMPORTRANGE(""https://docs.google.com/spreadsheets/d/1qpEmbGH0JjaJbUdp21-y2cPbobDbMjr09BbtdKRO"&amp;"ZWc/edit#gid=1444865654"",""articles_with_PRISMA_reasons!B2:B2113""))&lt;2,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$A283=IMPOR"&amp;"TRANGE(""https://docs.google.com/spreadsheets/d/1qpEmbGH0JjaJbUdp21-y2cPbobDbMjr09BbtdKROZWc/edit#gid=1444865654"",""articles_with_PRISMA_reasons!B2:B2113""))&gt;=2),
""Exclude""
)"),"Exclude")</f>
        <v>Exclude</v>
      </c>
      <c r="F283" s="5" t="str">
        <f>IFERROR(__xludf.DUMMYFUNCTION("IFS(
E283=""Exclude"",""Exclude"",
AND(
COUNTIF(
IMPORTRANGE(""https://docs.google.com/spreadsheets/d/1kGrh75X1cNR1D7_FcY9zMnHP8iPO4M5RCRjy6nZY0TY/edit#gid=0"",""Table 1: Study characteristics!B4:B171""),A283)&gt;0,
COUNTIF(Studies!$A$2:$A$85,FILTER(IMPORTRA"&amp;"NGE(""https://docs.google.com/spreadsheets/d/1kGrh75X1cNR1D7_FcY9zMnHP8iPO4M5RCRjy6nZY0TY/edit#gid=0"",""Table 1: Study characteristics!A4:A171""), $A283=IMPORTRANGE(""https://docs.google.com/spreadsheets/d/1kGrh75X1cNR1D7_FcY9zMnHP8iPO4M5RCRjy6nZY0TY/edi"&amp;"t#gid=0"",""Table 1: Study characteristics!B4:B171"")))&gt;0
),
""Include""
)"),"Exclude")</f>
        <v>Exclude</v>
      </c>
      <c r="G283" s="5" t="str">
        <f>IFERROR(__xludf.DUMMYFUNCTION("IFS(
D283=""Exclude"",
FILTER(IMPORTRANGE(""https://docs.google.com/spreadsheets/d/1BJSV3WBYJGRhQ6zExamkszQ5VutGIcaQqmbD9ZTVXMQ/edit#gid=1251630045"",""articles_with_PRISMA_reasons!AB2:AB2113""), $A283=IMPORTRANGE(""https://docs.google.com/spreadsheets/d/"&amp;"1BJSV3WBYJGRhQ6zExamkszQ5VutGIcaQqmbD9ZTVXMQ/edit#gid=1251630045"",""articles_with_PRISMA_reasons!B2:B2113"")),
E283=""Exclude"",
FILTER(IMPORTRANGE(""https://docs.google.com/spreadsheets/d/1qpEmbGH0JjaJbUdp21-y2cPbobDbMjr09BbtdKROZWc/edit#gid=1444865654"&amp;""",""articles_with_PRISMA_reasons!Z2:Z2113""), $A283=IMPORTRANGE(""https://docs.google.com/spreadsheets/d/1qpEmbGH0JjaJbUdp21-y2cPbobDbMjr09BbtdKROZWc/edit#gid=1444865654"",""articles_with_PRISMA_reasons!B2:B2113"")),F283
=""Include"",FILTER(IMPORTRANGE("&amp;"""https://docs.google.com/spreadsheets/d/1kGrh75X1cNR1D7_FcY9zMnHP8iPO4M5RCRjy6nZY0TY/edit#gid=0"",""Table 1: Study characteristics!A4:A171""), $A283=IMPORTRANGE(""https://docs.google.com/spreadsheets/d/1kGrh75X1cNR1D7_FcY9zMnHP8iPO4M5RCRjy6nZY0TY/edit#gi"&amp;"d=0"",""Table 1: Study characteristics!B4:B171""))
)"),"wrong study design")</f>
        <v>wrong study design</v>
      </c>
    </row>
    <row r="284">
      <c r="A284" s="4" t="str">
        <f>IFERROR(__xludf.DUMMYFUNCTION("""COMPUTED_VALUE"""),"Antenatal neurosurgical counseling: Approach to the unborn patient")</f>
        <v>Antenatal neurosurgical counseling: Approach to the unborn patient</v>
      </c>
      <c r="B284" s="5" t="str">
        <f>IFERROR(__xludf.DUMMYFUNCTION("LEFT(FILTER(IMPORTRANGE(""https://docs.google.com/spreadsheets/d/1BJSV3WBYJGRhQ6zExamkszQ5VutGIcaQqmbD9ZTVXMQ/edit#gid=1251630045"",""articles_with_PRISMA_reasons!K2:K2113""), $A284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$A284=IMPORTRANGE(""https://docs.google.com/spreadsheets/d/1BJSV3WBYJGRhQ6zExamkszQ5VutGIcaQqmbD9ZTVXMQ/edit#gid=1251630045"",""articles_with_PRISMA_reasons!B2:B2113"")))-1)"),"Hansen")</f>
        <v>Hansen</v>
      </c>
      <c r="C284" s="6">
        <f>IFERROR(__xludf.DUMMYFUNCTION("FILTER(IMPORTRANGE(""https://docs.google.com/spreadsheets/d/1BJSV3WBYJGRhQ6zExamkszQ5VutGIcaQqmbD9ZTVXMQ/edit#gid=1251630045"",""articles_with_PRISMA_reasons!C2:C2113""), $A284=IMPORTRANGE(""https://docs.google.com/spreadsheets/d/1BJSV3WBYJGRhQ6zExamkszQ5"&amp;"VutGIcaQqmbD9ZTVXMQ/edit#gid=1251630045"",""articles_with_PRISMA_reasons!B2:B2113""))"),2004.0)</f>
        <v>2004</v>
      </c>
      <c r="D284" s="5" t="str">
        <f>IFERROR(__xludf.DUMMYFUNCTION("IFS(AND(
FILTER(IMPORTRANGE(""https://docs.google.com/spreadsheets/d/1BJSV3WBYJGRhQ6zExamkszQ5VutGIcaQqmbD9ZTVXMQ/edit#gid=1251630045"",""articles_with_PRISMA_reasons!Y2:Y2113""), $A284=IMPORTRANGE(""https://docs.google.com/spreadsheets/d/1BJSV3WBYJGRhQ6z"&amp;"ExamkszQ5VutGIcaQqmbD9ZTVXMQ/edit#gid=1251630045"",""articles_with_PRISMA_reasons!B2:B2113""))&gt;=2,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$A284=IMPORTRANGE(""https://docs.google.com/spreadsheets/d/1BJSV3WBYJGRhQ6zExamkszQ5VutGIcaQqmbD9ZTVXMQ/edit#gid=1251630045"",""articles_with_PRISMA_reasons!B2:B2113""))&lt;2),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$A284=IMPORTRANGE(""https://docs.google.com/spreadsheets/d/1BJSV3WBYJGRhQ6zExamkszQ5VutGIcaQqmbD9ZTVXMQ/edit#gid=1251630045"",""arti"&amp;"cles_with_PRISMA_reasons!B2:B2113""))&lt;2,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$A284=IMPORTRANGE(""https://docs.google.com"&amp;"/spreadsheets/d/1BJSV3WBYJGRhQ6zExamkszQ5VutGIcaQqmbD9ZTVXMQ/edit#gid=1251630045"",""articles_with_PRISMA_reasons!B2:B2113""))&gt;=2),
""Exclude""
)"),"Exclude")</f>
        <v>Exclude</v>
      </c>
      <c r="E284" s="5" t="str">
        <f>IFERROR(__xludf.DUMMYFUNCTION("IFS(
D284=""Exclude"",""Exclude"",
AND(
FILTER(IMPORTRANGE(""https://docs.google.com/spreadsheets/d/1qpEmbGH0JjaJbUdp21-y2cPbobDbMjr09BbtdKROZWc/edit#gid=1444865654"",""articles_with_PRISMA_reasons!W2:W2113""), $A284=IMPORTRANGE(""https://docs.google.com/"&amp;"spreadsheets/d/1qpEmbGH0JjaJbUdp21-y2cPbobDbMjr09BbtdKROZWc/edit#gid=1444865654"",""articles_with_PRISMA_reasons!B2:B2113""))&gt;=2,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$A284=IMPORTRANGE(""https://docs.google.com/spreadsheets/d/1qpEmbGH0JjaJbUdp21-y2cPbobDbMjr09BbtdKROZWc/edit#gid=1444865654"",""articles_with_PRISMA_reasons!B2:B2113""))&lt;2),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$A284=IMPORTRANGE(""https://docs.google.com/spreadsheets/d/1qpEmbGH0JjaJbUdp21-y2cPbobDbMjr09BbtdKRO"&amp;"ZWc/edit#gid=1444865654"",""articles_with_PRISMA_reasons!B2:B2113""))&lt;2,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$A284=IMPOR"&amp;"TRANGE(""https://docs.google.com/spreadsheets/d/1qpEmbGH0JjaJbUdp21-y2cPbobDbMjr09BbtdKROZWc/edit#gid=1444865654"",""articles_with_PRISMA_reasons!B2:B2113""))&gt;=2),
""Exclude""
)"),"Exclude")</f>
        <v>Exclude</v>
      </c>
      <c r="F284" s="5" t="str">
        <f>IFERROR(__xludf.DUMMYFUNCTION("IFS(
E284=""Exclude"",""Exclude"",
AND(
COUNTIF(
IMPORTRANGE(""https://docs.google.com/spreadsheets/d/1kGrh75X1cNR1D7_FcY9zMnHP8iPO4M5RCRjy6nZY0TY/edit#gid=0"",""Table 1: Study characteristics!B4:B171""),A284)&gt;0,
COUNTIF(Studies!$A$2:$A$85,FILTER(IMPORTRA"&amp;"NGE(""https://docs.google.com/spreadsheets/d/1kGrh75X1cNR1D7_FcY9zMnHP8iPO4M5RCRjy6nZY0TY/edit#gid=0"",""Table 1: Study characteristics!A4:A171""), $A284=IMPORTRANGE(""https://docs.google.com/spreadsheets/d/1kGrh75X1cNR1D7_FcY9zMnHP8iPO4M5RCRjy6nZY0TY/edi"&amp;"t#gid=0"",""Table 1: Study characteristics!B4:B171"")))&gt;0
),
""Include""
)"),"Exclude")</f>
        <v>Exclude</v>
      </c>
      <c r="G284" s="5" t="str">
        <f>IFERROR(__xludf.DUMMYFUNCTION("IFS(
D284=""Exclude"",
FILTER(IMPORTRANGE(""https://docs.google.com/spreadsheets/d/1BJSV3WBYJGRhQ6zExamkszQ5VutGIcaQqmbD9ZTVXMQ/edit#gid=1251630045"",""articles_with_PRISMA_reasons!AB2:AB2113""), $A284=IMPORTRANGE(""https://docs.google.com/spreadsheets/d/"&amp;"1BJSV3WBYJGRhQ6zExamkszQ5VutGIcaQqmbD9ZTVXMQ/edit#gid=1251630045"",""articles_with_PRISMA_reasons!B2:B2113"")),
E284=""Exclude"",
FILTER(IMPORTRANGE(""https://docs.google.com/spreadsheets/d/1qpEmbGH0JjaJbUdp21-y2cPbobDbMjr09BbtdKROZWc/edit#gid=1444865654"&amp;""",""articles_with_PRISMA_reasons!Z2:Z2113""), $A284=IMPORTRANGE(""https://docs.google.com/spreadsheets/d/1qpEmbGH0JjaJbUdp21-y2cPbobDbMjr09BbtdKROZWc/edit#gid=1444865654"",""articles_with_PRISMA_reasons!B2:B2113"")),F284
=""Include"",FILTER(IMPORTRANGE("&amp;"""https://docs.google.com/spreadsheets/d/1kGrh75X1cNR1D7_FcY9zMnHP8iPO4M5RCRjy6nZY0TY/edit#gid=0"",""Table 1: Study characteristics!A4:A171""), $A284=IMPORTRANGE(""https://docs.google.com/spreadsheets/d/1kGrh75X1cNR1D7_FcY9zMnHP8iPO4M5RCRjy6nZY0TY/edit#gi"&amp;"d=0"",""Table 1: Study characteristics!B4:B171""))
)"),"wrong study design")</f>
        <v>wrong study design</v>
      </c>
    </row>
    <row r="285">
      <c r="A285" s="4" t="str">
        <f>IFERROR(__xludf.DUMMYFUNCTION("""COMPUTED_VALUE"""),"Antenatal ultrasound finding of a cystic back mass in a fetus with terminal myelocystocele")</f>
        <v>Antenatal ultrasound finding of a cystic back mass in a fetus with terminal myelocystocele</v>
      </c>
      <c r="B285" s="5" t="str">
        <f>IFERROR(__xludf.DUMMYFUNCTION("LEFT(FILTER(IMPORTRANGE(""https://docs.google.com/spreadsheets/d/1BJSV3WBYJGRhQ6zExamkszQ5VutGIcaQqmbD9ZTVXMQ/edit#gid=1251630045"",""articles_with_PRISMA_reasons!K2:K2113""), $A285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$A285=IMPORTRANGE(""https://docs.google.com/spreadsheets/d/1BJSV3WBYJGRhQ6zExamkszQ5VutGIcaQqmbD9ZTVXMQ/edit#gid=1251630045"",""articles_with_PRISMA_reasons!B2:B2113"")))-1)"),"AlSaffar")</f>
        <v>AlSaffar</v>
      </c>
      <c r="C285" s="6">
        <f>IFERROR(__xludf.DUMMYFUNCTION("FILTER(IMPORTRANGE(""https://docs.google.com/spreadsheets/d/1BJSV3WBYJGRhQ6zExamkszQ5VutGIcaQqmbD9ZTVXMQ/edit#gid=1251630045"",""articles_with_PRISMA_reasons!C2:C2113""), $A285=IMPORTRANGE(""https://docs.google.com/spreadsheets/d/1BJSV3WBYJGRhQ6zExamkszQ5"&amp;"VutGIcaQqmbD9ZTVXMQ/edit#gid=1251630045"",""articles_with_PRISMA_reasons!B2:B2113""))"),2013.0)</f>
        <v>2013</v>
      </c>
      <c r="D285" s="5" t="str">
        <f>IFERROR(__xludf.DUMMYFUNCTION("IFS(AND(
FILTER(IMPORTRANGE(""https://docs.google.com/spreadsheets/d/1BJSV3WBYJGRhQ6zExamkszQ5VutGIcaQqmbD9ZTVXMQ/edit#gid=1251630045"",""articles_with_PRISMA_reasons!Y2:Y2113""), $A285=IMPORTRANGE(""https://docs.google.com/spreadsheets/d/1BJSV3WBYJGRhQ6z"&amp;"ExamkszQ5VutGIcaQqmbD9ZTVXMQ/edit#gid=1251630045"",""articles_with_PRISMA_reasons!B2:B2113""))&gt;=2,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$A285=IMPORTRANGE(""https://docs.google.com/spreadsheets/d/1BJSV3WBYJGRhQ6zExamkszQ5VutGIcaQqmbD9ZTVXMQ/edit#gid=1251630045"",""articles_with_PRISMA_reasons!B2:B2113""))&lt;2),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$A285=IMPORTRANGE(""https://docs.google.com/spreadsheets/d/1BJSV3WBYJGRhQ6zExamkszQ5VutGIcaQqmbD9ZTVXMQ/edit#gid=1251630045"",""arti"&amp;"cles_with_PRISMA_reasons!B2:B2113""))&lt;2,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$A285=IMPORTRANGE(""https://docs.google.com"&amp;"/spreadsheets/d/1BJSV3WBYJGRhQ6zExamkszQ5VutGIcaQqmbD9ZTVXMQ/edit#gid=1251630045"",""articles_with_PRISMA_reasons!B2:B2113""))&gt;=2),
""Exclude""
)"),"Exclude")</f>
        <v>Exclude</v>
      </c>
      <c r="E285" s="5" t="str">
        <f>IFERROR(__xludf.DUMMYFUNCTION("IFS(
D285=""Exclude"",""Exclude"",
AND(
FILTER(IMPORTRANGE(""https://docs.google.com/spreadsheets/d/1qpEmbGH0JjaJbUdp21-y2cPbobDbMjr09BbtdKROZWc/edit#gid=1444865654"",""articles_with_PRISMA_reasons!W2:W2113""), $A285=IMPORTRANGE(""https://docs.google.com/"&amp;"spreadsheets/d/1qpEmbGH0JjaJbUdp21-y2cPbobDbMjr09BbtdKROZWc/edit#gid=1444865654"",""articles_with_PRISMA_reasons!B2:B2113""))&gt;=2,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$A285=IMPORTRANGE(""https://docs.google.com/spreadsheets/d/1qpEmbGH0JjaJbUdp21-y2cPbobDbMjr09BbtdKROZWc/edit#gid=1444865654"",""articles_with_PRISMA_reasons!B2:B2113""))&lt;2),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$A285=IMPORTRANGE(""https://docs.google.com/spreadsheets/d/1qpEmbGH0JjaJbUdp21-y2cPbobDbMjr09BbtdKRO"&amp;"ZWc/edit#gid=1444865654"",""articles_with_PRISMA_reasons!B2:B2113""))&lt;2,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$A285=IMPOR"&amp;"TRANGE(""https://docs.google.com/spreadsheets/d/1qpEmbGH0JjaJbUdp21-y2cPbobDbMjr09BbtdKROZWc/edit#gid=1444865654"",""articles_with_PRISMA_reasons!B2:B2113""))&gt;=2),
""Exclude""
)"),"Exclude")</f>
        <v>Exclude</v>
      </c>
      <c r="F285" s="5" t="str">
        <f>IFERROR(__xludf.DUMMYFUNCTION("IFS(
E285=""Exclude"",""Exclude"",
AND(
COUNTIF(
IMPORTRANGE(""https://docs.google.com/spreadsheets/d/1kGrh75X1cNR1D7_FcY9zMnHP8iPO4M5RCRjy6nZY0TY/edit#gid=0"",""Table 1: Study characteristics!B4:B171""),A285)&gt;0,
COUNTIF(Studies!$A$2:$A$85,FILTER(IMPORTRA"&amp;"NGE(""https://docs.google.com/spreadsheets/d/1kGrh75X1cNR1D7_FcY9zMnHP8iPO4M5RCRjy6nZY0TY/edit#gid=0"",""Table 1: Study characteristics!A4:A171""), $A285=IMPORTRANGE(""https://docs.google.com/spreadsheets/d/1kGrh75X1cNR1D7_FcY9zMnHP8iPO4M5RCRjy6nZY0TY/edi"&amp;"t#gid=0"",""Table 1: Study characteristics!B4:B171"")))&gt;0
),
""Include""
)"),"Exclude")</f>
        <v>Exclude</v>
      </c>
      <c r="G285" s="5" t="str">
        <f>IFERROR(__xludf.DUMMYFUNCTION("IFS(
D285=""Exclude"",
FILTER(IMPORTRANGE(""https://docs.google.com/spreadsheets/d/1BJSV3WBYJGRhQ6zExamkszQ5VutGIcaQqmbD9ZTVXMQ/edit#gid=1251630045"",""articles_with_PRISMA_reasons!AB2:AB2113""), $A285=IMPORTRANGE(""https://docs.google.com/spreadsheets/d/"&amp;"1BJSV3WBYJGRhQ6zExamkszQ5VutGIcaQqmbD9ZTVXMQ/edit#gid=1251630045"",""articles_with_PRISMA_reasons!B2:B2113"")),
E285=""Exclude"",
FILTER(IMPORTRANGE(""https://docs.google.com/spreadsheets/d/1qpEmbGH0JjaJbUdp21-y2cPbobDbMjr09BbtdKROZWc/edit#gid=1444865654"&amp;""",""articles_with_PRISMA_reasons!Z2:Z2113""), $A285=IMPORTRANGE(""https://docs.google.com/spreadsheets/d/1qpEmbGH0JjaJbUdp21-y2cPbobDbMjr09BbtdKROZWc/edit#gid=1444865654"",""articles_with_PRISMA_reasons!B2:B2113"")),F285
=""Include"",FILTER(IMPORTRANGE("&amp;"""https://docs.google.com/spreadsheets/d/1kGrh75X1cNR1D7_FcY9zMnHP8iPO4M5RCRjy6nZY0TY/edit#gid=0"",""Table 1: Study characteristics!A4:A171""), $A285=IMPORTRANGE(""https://docs.google.com/spreadsheets/d/1kGrh75X1cNR1D7_FcY9zMnHP8iPO4M5RCRjy6nZY0TY/edit#gi"&amp;"d=0"",""Table 1: Study characteristics!B4:B171""))
)"),"wrong study design")</f>
        <v>wrong study design</v>
      </c>
    </row>
    <row r="286">
      <c r="A286" s="4" t="str">
        <f>IFERROR(__xludf.DUMMYFUNCTION("""COMPUTED_VALUE"""),"Antenatally diagnosed moderate to severe ventriculomegaly")</f>
        <v>Antenatally diagnosed moderate to severe ventriculomegaly</v>
      </c>
      <c r="B286" s="5" t="str">
        <f>IFERROR(__xludf.DUMMYFUNCTION("LEFT(FILTER(IMPORTRANGE(""https://docs.google.com/spreadsheets/d/1BJSV3WBYJGRhQ6zExamkszQ5VutGIcaQqmbD9ZTVXMQ/edit#gid=1251630045"",""articles_with_PRISMA_reasons!K2:K2113""), $A286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$A286=IMPORTRANGE(""https://docs.google.com/spreadsheets/d/1BJSV3WBYJGRhQ6zExamkszQ5VutGIcaQqmbD9ZTVXMQ/edit#gid=1251630045"",""articles_with_PRISMA_reasons!B2:B2113"")))-1)"),"Raut")</f>
        <v>Raut</v>
      </c>
      <c r="C286" s="6">
        <f>IFERROR(__xludf.DUMMYFUNCTION("FILTER(IMPORTRANGE(""https://docs.google.com/spreadsheets/d/1BJSV3WBYJGRhQ6zExamkszQ5VutGIcaQqmbD9ZTVXMQ/edit#gid=1251630045"",""articles_with_PRISMA_reasons!C2:C2113""), $A286=IMPORTRANGE(""https://docs.google.com/spreadsheets/d/1BJSV3WBYJGRhQ6zExamkszQ5"&amp;"VutGIcaQqmbD9ZTVXMQ/edit#gid=1251630045"",""articles_with_PRISMA_reasons!B2:B2113""))"),2015.0)</f>
        <v>2015</v>
      </c>
      <c r="D286" s="5" t="str">
        <f>IFERROR(__xludf.DUMMYFUNCTION("IFS(AND(
FILTER(IMPORTRANGE(""https://docs.google.com/spreadsheets/d/1BJSV3WBYJGRhQ6zExamkszQ5VutGIcaQqmbD9ZTVXMQ/edit#gid=1251630045"",""articles_with_PRISMA_reasons!Y2:Y2113""), $A286=IMPORTRANGE(""https://docs.google.com/spreadsheets/d/1BJSV3WBYJGRhQ6z"&amp;"ExamkszQ5VutGIcaQqmbD9ZTVXMQ/edit#gid=1251630045"",""articles_with_PRISMA_reasons!B2:B2113""))&gt;=2,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$A286=IMPORTRANGE(""https://docs.google.com/spreadsheets/d/1BJSV3WBYJGRhQ6zExamkszQ5VutGIcaQqmbD9ZTVXMQ/edit#gid=1251630045"",""articles_with_PRISMA_reasons!B2:B2113""))&lt;2),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$A286=IMPORTRANGE(""https://docs.google.com/spreadsheets/d/1BJSV3WBYJGRhQ6zExamkszQ5VutGIcaQqmbD9ZTVXMQ/edit#gid=1251630045"",""arti"&amp;"cles_with_PRISMA_reasons!B2:B2113""))&lt;2,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$A286=IMPORTRANGE(""https://docs.google.com"&amp;"/spreadsheets/d/1BJSV3WBYJGRhQ6zExamkszQ5VutGIcaQqmbD9ZTVXMQ/edit#gid=1251630045"",""articles_with_PRISMA_reasons!B2:B2113""))&gt;=2),
""Exclude""
)"),"Exclude")</f>
        <v>Exclude</v>
      </c>
      <c r="E286" s="5" t="str">
        <f>IFERROR(__xludf.DUMMYFUNCTION("IFS(
D286=""Exclude"",""Exclude"",
AND(
FILTER(IMPORTRANGE(""https://docs.google.com/spreadsheets/d/1qpEmbGH0JjaJbUdp21-y2cPbobDbMjr09BbtdKROZWc/edit#gid=1444865654"",""articles_with_PRISMA_reasons!W2:W2113""), $A286=IMPORTRANGE(""https://docs.google.com/"&amp;"spreadsheets/d/1qpEmbGH0JjaJbUdp21-y2cPbobDbMjr09BbtdKROZWc/edit#gid=1444865654"",""articles_with_PRISMA_reasons!B2:B2113""))&gt;=2,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$A286=IMPORTRANGE(""https://docs.google.com/spreadsheets/d/1qpEmbGH0JjaJbUdp21-y2cPbobDbMjr09BbtdKROZWc/edit#gid=1444865654"",""articles_with_PRISMA_reasons!B2:B2113""))&lt;2),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$A286=IMPORTRANGE(""https://docs.google.com/spreadsheets/d/1qpEmbGH0JjaJbUdp21-y2cPbobDbMjr09BbtdKRO"&amp;"ZWc/edit#gid=1444865654"",""articles_with_PRISMA_reasons!B2:B2113""))&lt;2,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$A286=IMPOR"&amp;"TRANGE(""https://docs.google.com/spreadsheets/d/1qpEmbGH0JjaJbUdp21-y2cPbobDbMjr09BbtdKROZWc/edit#gid=1444865654"",""articles_with_PRISMA_reasons!B2:B2113""))&gt;=2),
""Exclude""
)"),"Exclude")</f>
        <v>Exclude</v>
      </c>
      <c r="F286" s="5" t="str">
        <f>IFERROR(__xludf.DUMMYFUNCTION("IFS(
E286=""Exclude"",""Exclude"",
AND(
COUNTIF(
IMPORTRANGE(""https://docs.google.com/spreadsheets/d/1kGrh75X1cNR1D7_FcY9zMnHP8iPO4M5RCRjy6nZY0TY/edit#gid=0"",""Table 1: Study characteristics!B4:B171""),A286)&gt;0,
COUNTIF(Studies!$A$2:$A$85,FILTER(IMPORTRA"&amp;"NGE(""https://docs.google.com/spreadsheets/d/1kGrh75X1cNR1D7_FcY9zMnHP8iPO4M5RCRjy6nZY0TY/edit#gid=0"",""Table 1: Study characteristics!A4:A171""), $A286=IMPORTRANGE(""https://docs.google.com/spreadsheets/d/1kGrh75X1cNR1D7_FcY9zMnHP8iPO4M5RCRjy6nZY0TY/edi"&amp;"t#gid=0"",""Table 1: Study characteristics!B4:B171"")))&gt;0
),
""Include""
)"),"Exclude")</f>
        <v>Exclude</v>
      </c>
      <c r="G286" s="5" t="str">
        <f>IFERROR(__xludf.DUMMYFUNCTION("IFS(
D286=""Exclude"",
FILTER(IMPORTRANGE(""https://docs.google.com/spreadsheets/d/1BJSV3WBYJGRhQ6zExamkszQ5VutGIcaQqmbD9ZTVXMQ/edit#gid=1251630045"",""articles_with_PRISMA_reasons!AB2:AB2113""), $A286=IMPORTRANGE(""https://docs.google.com/spreadsheets/d/"&amp;"1BJSV3WBYJGRhQ6zExamkszQ5VutGIcaQqmbD9ZTVXMQ/edit#gid=1251630045"",""articles_with_PRISMA_reasons!B2:B2113"")),
E286=""Exclude"",
FILTER(IMPORTRANGE(""https://docs.google.com/spreadsheets/d/1qpEmbGH0JjaJbUdp21-y2cPbobDbMjr09BbtdKROZWc/edit#gid=1444865654"&amp;""",""articles_with_PRISMA_reasons!Z2:Z2113""), $A286=IMPORTRANGE(""https://docs.google.com/spreadsheets/d/1qpEmbGH0JjaJbUdp21-y2cPbobDbMjr09BbtdKROZWc/edit#gid=1444865654"",""articles_with_PRISMA_reasons!B2:B2113"")),F286
=""Include"",FILTER(IMPORTRANGE("&amp;"""https://docs.google.com/spreadsheets/d/1kGrh75X1cNR1D7_FcY9zMnHP8iPO4M5RCRjy6nZY0TY/edit#gid=0"",""Table 1: Study characteristics!A4:A171""), $A286=IMPORTRANGE(""https://docs.google.com/spreadsheets/d/1kGrh75X1cNR1D7_FcY9zMnHP8iPO4M5RCRjy6nZY0TY/edit#gi"&amp;"d=0"",""Table 1: Study characteristics!B4:B171""))
)"),"wrong population")</f>
        <v>wrong population</v>
      </c>
    </row>
    <row r="287">
      <c r="A287" s="4" t="str">
        <f>IFERROR(__xludf.DUMMYFUNCTION("""COMPUTED_VALUE"""),"Anterolateral lumbar lipomyelomeningocele: Case report and review of the literature")</f>
        <v>Anterolateral lumbar lipomyelomeningocele: Case report and review of the literature</v>
      </c>
      <c r="B287" s="5" t="str">
        <f>IFERROR(__xludf.DUMMYFUNCTION("LEFT(FILTER(IMPORTRANGE(""https://docs.google.com/spreadsheets/d/1BJSV3WBYJGRhQ6zExamkszQ5VutGIcaQqmbD9ZTVXMQ/edit#gid=1251630045"",""articles_with_PRISMA_reasons!K2:K2113""), $A287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$A287=IMPORTRANGE(""https://docs.google.com/spreadsheets/d/1BJSV3WBYJGRhQ6zExamkszQ5VutGIcaQqmbD9ZTVXMQ/edit#gid=1251630045"",""articles_with_PRISMA_reasons!B2:B2113"")))-1)"),"Barami")</f>
        <v>Barami</v>
      </c>
      <c r="C287" s="6">
        <f>IFERROR(__xludf.DUMMYFUNCTION("FILTER(IMPORTRANGE(""https://docs.google.com/spreadsheets/d/1BJSV3WBYJGRhQ6zExamkszQ5VutGIcaQqmbD9ZTVXMQ/edit#gid=1251630045"",""articles_with_PRISMA_reasons!C2:C2113""), $A287=IMPORTRANGE(""https://docs.google.com/spreadsheets/d/1BJSV3WBYJGRhQ6zExamkszQ5"&amp;"VutGIcaQqmbD9ZTVXMQ/edit#gid=1251630045"",""articles_with_PRISMA_reasons!B2:B2113""))"),1997.0)</f>
        <v>1997</v>
      </c>
      <c r="D287" s="5" t="str">
        <f>IFERROR(__xludf.DUMMYFUNCTION("IFS(AND(
FILTER(IMPORTRANGE(""https://docs.google.com/spreadsheets/d/1BJSV3WBYJGRhQ6zExamkszQ5VutGIcaQqmbD9ZTVXMQ/edit#gid=1251630045"",""articles_with_PRISMA_reasons!Y2:Y2113""), $A287=IMPORTRANGE(""https://docs.google.com/spreadsheets/d/1BJSV3WBYJGRhQ6z"&amp;"ExamkszQ5VutGIcaQqmbD9ZTVXMQ/edit#gid=1251630045"",""articles_with_PRISMA_reasons!B2:B2113""))&gt;=2,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$A287=IMPORTRANGE(""https://docs.google.com/spreadsheets/d/1BJSV3WBYJGRhQ6zExamkszQ5VutGIcaQqmbD9ZTVXMQ/edit#gid=1251630045"",""articles_with_PRISMA_reasons!B2:B2113""))&lt;2),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$A287=IMPORTRANGE(""https://docs.google.com/spreadsheets/d/1BJSV3WBYJGRhQ6zExamkszQ5VutGIcaQqmbD9ZTVXMQ/edit#gid=1251630045"",""arti"&amp;"cles_with_PRISMA_reasons!B2:B2113""))&lt;2,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$A287=IMPORTRANGE(""https://docs.google.com"&amp;"/spreadsheets/d/1BJSV3WBYJGRhQ6zExamkszQ5VutGIcaQqmbD9ZTVXMQ/edit#gid=1251630045"",""articles_with_PRISMA_reasons!B2:B2113""))&gt;=2),
""Exclude""
)"),"Exclude")</f>
        <v>Exclude</v>
      </c>
      <c r="E287" s="5" t="str">
        <f>IFERROR(__xludf.DUMMYFUNCTION("IFS(
D287=""Exclude"",""Exclude"",
AND(
FILTER(IMPORTRANGE(""https://docs.google.com/spreadsheets/d/1qpEmbGH0JjaJbUdp21-y2cPbobDbMjr09BbtdKROZWc/edit#gid=1444865654"",""articles_with_PRISMA_reasons!W2:W2113""), $A287=IMPORTRANGE(""https://docs.google.com/"&amp;"spreadsheets/d/1qpEmbGH0JjaJbUdp21-y2cPbobDbMjr09BbtdKROZWc/edit#gid=1444865654"",""articles_with_PRISMA_reasons!B2:B2113""))&gt;=2,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$A287=IMPORTRANGE(""https://docs.google.com/spreadsheets/d/1qpEmbGH0JjaJbUdp21-y2cPbobDbMjr09BbtdKROZWc/edit#gid=1444865654"",""articles_with_PRISMA_reasons!B2:B2113""))&lt;2),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$A287=IMPORTRANGE(""https://docs.google.com/spreadsheets/d/1qpEmbGH0JjaJbUdp21-y2cPbobDbMjr09BbtdKRO"&amp;"ZWc/edit#gid=1444865654"",""articles_with_PRISMA_reasons!B2:B2113""))&lt;2,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$A287=IMPOR"&amp;"TRANGE(""https://docs.google.com/spreadsheets/d/1qpEmbGH0JjaJbUdp21-y2cPbobDbMjr09BbtdKROZWc/edit#gid=1444865654"",""articles_with_PRISMA_reasons!B2:B2113""))&gt;=2),
""Exclude""
)"),"Exclude")</f>
        <v>Exclude</v>
      </c>
      <c r="F287" s="5" t="str">
        <f>IFERROR(__xludf.DUMMYFUNCTION("IFS(
E287=""Exclude"",""Exclude"",
AND(
COUNTIF(
IMPORTRANGE(""https://docs.google.com/spreadsheets/d/1kGrh75X1cNR1D7_FcY9zMnHP8iPO4M5RCRjy6nZY0TY/edit#gid=0"",""Table 1: Study characteristics!B4:B171""),A287)&gt;0,
COUNTIF(Studies!$A$2:$A$85,FILTER(IMPORTRA"&amp;"NGE(""https://docs.google.com/spreadsheets/d/1kGrh75X1cNR1D7_FcY9zMnHP8iPO4M5RCRjy6nZY0TY/edit#gid=0"",""Table 1: Study characteristics!A4:A171""), $A287=IMPORTRANGE(""https://docs.google.com/spreadsheets/d/1kGrh75X1cNR1D7_FcY9zMnHP8iPO4M5RCRjy6nZY0TY/edi"&amp;"t#gid=0"",""Table 1: Study characteristics!B4:B171"")))&gt;0
),
""Include""
)"),"Exclude")</f>
        <v>Exclude</v>
      </c>
      <c r="G287" s="5" t="str">
        <f>IFERROR(__xludf.DUMMYFUNCTION("IFS(
D287=""Exclude"",
FILTER(IMPORTRANGE(""https://docs.google.com/spreadsheets/d/1BJSV3WBYJGRhQ6zExamkszQ5VutGIcaQqmbD9ZTVXMQ/edit#gid=1251630045"",""articles_with_PRISMA_reasons!AB2:AB2113""), $A287=IMPORTRANGE(""https://docs.google.com/spreadsheets/d/"&amp;"1BJSV3WBYJGRhQ6zExamkszQ5VutGIcaQqmbD9ZTVXMQ/edit#gid=1251630045"",""articles_with_PRISMA_reasons!B2:B2113"")),
E287=""Exclude"",
FILTER(IMPORTRANGE(""https://docs.google.com/spreadsheets/d/1qpEmbGH0JjaJbUdp21-y2cPbobDbMjr09BbtdKROZWc/edit#gid=1444865654"&amp;""",""articles_with_PRISMA_reasons!Z2:Z2113""), $A287=IMPORTRANGE(""https://docs.google.com/spreadsheets/d/1qpEmbGH0JjaJbUdp21-y2cPbobDbMjr09BbtdKROZWc/edit#gid=1444865654"",""articles_with_PRISMA_reasons!B2:B2113"")),F287
=""Include"",FILTER(IMPORTRANGE("&amp;"""https://docs.google.com/spreadsheets/d/1kGrh75X1cNR1D7_FcY9zMnHP8iPO4M5RCRjy6nZY0TY/edit#gid=0"",""Table 1: Study characteristics!A4:A171""), $A287=IMPORTRANGE(""https://docs.google.com/spreadsheets/d/1kGrh75X1cNR1D7_FcY9zMnHP8iPO4M5RCRjy6nZY0TY/edit#gi"&amp;"d=0"",""Table 1: Study characteristics!B4:B171""))
)"),"wrong publication type")</f>
        <v>wrong publication type</v>
      </c>
    </row>
    <row r="288">
      <c r="A288" s="4" t="str">
        <f>IFERROR(__xludf.DUMMYFUNCTION("""COMPUTED_VALUE"""),"Antipsychotic therapy during early and late pregnancy. a systematic review")</f>
        <v>Antipsychotic therapy during early and late pregnancy. a systematic review</v>
      </c>
      <c r="B288" s="5" t="str">
        <f>IFERROR(__xludf.DUMMYFUNCTION("LEFT(FILTER(IMPORTRANGE(""https://docs.google.com/spreadsheets/d/1BJSV3WBYJGRhQ6zExamkszQ5VutGIcaQqmbD9ZTVXMQ/edit#gid=1251630045"",""articles_with_PRISMA_reasons!K2:K2113""), $A288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$A288=IMPORTRANGE(""https://docs.google.com/spreadsheets/d/1BJSV3WBYJGRhQ6zExamkszQ5VutGIcaQqmbD9ZTVXMQ/edit#gid=1251630045"",""articles_with_PRISMA_reasons!B2:B2113"")))-1)"),"Gentile")</f>
        <v>Gentile</v>
      </c>
      <c r="C288" s="6">
        <f>IFERROR(__xludf.DUMMYFUNCTION("FILTER(IMPORTRANGE(""https://docs.google.com/spreadsheets/d/1BJSV3WBYJGRhQ6zExamkszQ5VutGIcaQqmbD9ZTVXMQ/edit#gid=1251630045"",""articles_with_PRISMA_reasons!C2:C2113""), $A288=IMPORTRANGE(""https://docs.google.com/spreadsheets/d/1BJSV3WBYJGRhQ6zExamkszQ5"&amp;"VutGIcaQqmbD9ZTVXMQ/edit#gid=1251630045"",""articles_with_PRISMA_reasons!B2:B2113""))"),2010.0)</f>
        <v>2010</v>
      </c>
      <c r="D288" s="5" t="str">
        <f>IFERROR(__xludf.DUMMYFUNCTION("IFS(AND(
FILTER(IMPORTRANGE(""https://docs.google.com/spreadsheets/d/1BJSV3WBYJGRhQ6zExamkszQ5VutGIcaQqmbD9ZTVXMQ/edit#gid=1251630045"",""articles_with_PRISMA_reasons!Y2:Y2113""), $A288=IMPORTRANGE(""https://docs.google.com/spreadsheets/d/1BJSV3WBYJGRhQ6z"&amp;"ExamkszQ5VutGIcaQqmbD9ZTVXMQ/edit#gid=1251630045"",""articles_with_PRISMA_reasons!B2:B2113""))&gt;=2,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$A288=IMPORTRANGE(""https://docs.google.com/spreadsheets/d/1BJSV3WBYJGRhQ6zExamkszQ5VutGIcaQqmbD9ZTVXMQ/edit#gid=1251630045"",""articles_with_PRISMA_reasons!B2:B2113""))&lt;2),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$A288=IMPORTRANGE(""https://docs.google.com/spreadsheets/d/1BJSV3WBYJGRhQ6zExamkszQ5VutGIcaQqmbD9ZTVXMQ/edit#gid=1251630045"",""arti"&amp;"cles_with_PRISMA_reasons!B2:B2113""))&lt;2,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$A288=IMPORTRANGE(""https://docs.google.com"&amp;"/spreadsheets/d/1BJSV3WBYJGRhQ6zExamkszQ5VutGIcaQqmbD9ZTVXMQ/edit#gid=1251630045"",""articles_with_PRISMA_reasons!B2:B2113""))&gt;=2),
""Exclude""
)"),"Exclude")</f>
        <v>Exclude</v>
      </c>
      <c r="E288" s="5" t="str">
        <f>IFERROR(__xludf.DUMMYFUNCTION("IFS(
D288=""Exclude"",""Exclude"",
AND(
FILTER(IMPORTRANGE(""https://docs.google.com/spreadsheets/d/1qpEmbGH0JjaJbUdp21-y2cPbobDbMjr09BbtdKROZWc/edit#gid=1444865654"",""articles_with_PRISMA_reasons!W2:W2113""), $A288=IMPORTRANGE(""https://docs.google.com/"&amp;"spreadsheets/d/1qpEmbGH0JjaJbUdp21-y2cPbobDbMjr09BbtdKROZWc/edit#gid=1444865654"",""articles_with_PRISMA_reasons!B2:B2113""))&gt;=2,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$A288=IMPORTRANGE(""https://docs.google.com/spreadsheets/d/1qpEmbGH0JjaJbUdp21-y2cPbobDbMjr09BbtdKROZWc/edit#gid=1444865654"",""articles_with_PRISMA_reasons!B2:B2113""))&lt;2),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$A288=IMPORTRANGE(""https://docs.google.com/spreadsheets/d/1qpEmbGH0JjaJbUdp21-y2cPbobDbMjr09BbtdKRO"&amp;"ZWc/edit#gid=1444865654"",""articles_with_PRISMA_reasons!B2:B2113""))&lt;2,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$A288=IMPOR"&amp;"TRANGE(""https://docs.google.com/spreadsheets/d/1qpEmbGH0JjaJbUdp21-y2cPbobDbMjr09BbtdKROZWc/edit#gid=1444865654"",""articles_with_PRISMA_reasons!B2:B2113""))&gt;=2),
""Exclude""
)"),"Exclude")</f>
        <v>Exclude</v>
      </c>
      <c r="F288" s="5" t="str">
        <f>IFERROR(__xludf.DUMMYFUNCTION("IFS(
E288=""Exclude"",""Exclude"",
AND(
COUNTIF(
IMPORTRANGE(""https://docs.google.com/spreadsheets/d/1kGrh75X1cNR1D7_FcY9zMnHP8iPO4M5RCRjy6nZY0TY/edit#gid=0"",""Table 1: Study characteristics!B4:B171""),A288)&gt;0,
COUNTIF(Studies!$A$2:$A$85,FILTER(IMPORTRA"&amp;"NGE(""https://docs.google.com/spreadsheets/d/1kGrh75X1cNR1D7_FcY9zMnHP8iPO4M5RCRjy6nZY0TY/edit#gid=0"",""Table 1: Study characteristics!A4:A171""), $A288=IMPORTRANGE(""https://docs.google.com/spreadsheets/d/1kGrh75X1cNR1D7_FcY9zMnHP8iPO4M5RCRjy6nZY0TY/edi"&amp;"t#gid=0"",""Table 1: Study characteristics!B4:B171"")))&gt;0
),
""Include""
)"),"Exclude")</f>
        <v>Exclude</v>
      </c>
      <c r="G288" s="5" t="str">
        <f>IFERROR(__xludf.DUMMYFUNCTION("IFS(
D288=""Exclude"",
FILTER(IMPORTRANGE(""https://docs.google.com/spreadsheets/d/1BJSV3WBYJGRhQ6zExamkszQ5VutGIcaQqmbD9ZTVXMQ/edit#gid=1251630045"",""articles_with_PRISMA_reasons!AB2:AB2113""), $A288=IMPORTRANGE(""https://docs.google.com/spreadsheets/d/"&amp;"1BJSV3WBYJGRhQ6zExamkszQ5VutGIcaQqmbD9ZTVXMQ/edit#gid=1251630045"",""articles_with_PRISMA_reasons!B2:B2113"")),
E288=""Exclude"",
FILTER(IMPORTRANGE(""https://docs.google.com/spreadsheets/d/1qpEmbGH0JjaJbUdp21-y2cPbobDbMjr09BbtdKROZWc/edit#gid=1444865654"&amp;""",""articles_with_PRISMA_reasons!Z2:Z2113""), $A288=IMPORTRANGE(""https://docs.google.com/spreadsheets/d/1qpEmbGH0JjaJbUdp21-y2cPbobDbMjr09BbtdKROZWc/edit#gid=1444865654"",""articles_with_PRISMA_reasons!B2:B2113"")),F288
=""Include"",FILTER(IMPORTRANGE("&amp;"""https://docs.google.com/spreadsheets/d/1kGrh75X1cNR1D7_FcY9zMnHP8iPO4M5RCRjy6nZY0TY/edit#gid=0"",""Table 1: Study characteristics!A4:A171""), $A288=IMPORTRANGE(""https://docs.google.com/spreadsheets/d/1kGrh75X1cNR1D7_FcY9zMnHP8iPO4M5RCRjy6nZY0TY/edit#gi"&amp;"d=0"",""Table 1: Study characteristics!B4:B171""))
)"),"wrong study design")</f>
        <v>wrong study design</v>
      </c>
    </row>
    <row r="289">
      <c r="A289" s="4" t="str">
        <f>IFERROR(__xludf.DUMMYFUNCTION("""COMPUTED_VALUE"""),"Antithyroid Drug Use in Pregnancy and Birth Defects: Why Some Studies Find Clear Associations, and Some Studies Report None")</f>
        <v>Antithyroid Drug Use in Pregnancy and Birth Defects: Why Some Studies Find Clear Associations, and Some Studies Report None</v>
      </c>
      <c r="B289" s="5" t="str">
        <f>IFERROR(__xludf.DUMMYFUNCTION("LEFT(FILTER(IMPORTRANGE(""https://docs.google.com/spreadsheets/d/1BJSV3WBYJGRhQ6zExamkszQ5VutGIcaQqmbD9ZTVXMQ/edit#gid=1251630045"",""articles_with_PRISMA_reasons!K2:K2113""), $A289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$A289=IMPORTRANGE(""https://docs.google.com/spreadsheets/d/1BJSV3WBYJGRhQ6zExamkszQ5VutGIcaQqmbD9ZTVXMQ/edit#gid=1251630045"",""articles_with_PRISMA_reasons!B2:B2113"")))-1)"),"Laurberg")</f>
        <v>Laurberg</v>
      </c>
      <c r="C289" s="6">
        <f>IFERROR(__xludf.DUMMYFUNCTION("FILTER(IMPORTRANGE(""https://docs.google.com/spreadsheets/d/1BJSV3WBYJGRhQ6zExamkszQ5VutGIcaQqmbD9ZTVXMQ/edit#gid=1251630045"",""articles_with_PRISMA_reasons!C2:C2113""), $A289=IMPORTRANGE(""https://docs.google.com/spreadsheets/d/1BJSV3WBYJGRhQ6zExamkszQ5"&amp;"VutGIcaQqmbD9ZTVXMQ/edit#gid=1251630045"",""articles_with_PRISMA_reasons!B2:B2113""))"),2015.0)</f>
        <v>2015</v>
      </c>
      <c r="D289" s="5" t="str">
        <f>IFERROR(__xludf.DUMMYFUNCTION("IFS(AND(
FILTER(IMPORTRANGE(""https://docs.google.com/spreadsheets/d/1BJSV3WBYJGRhQ6zExamkszQ5VutGIcaQqmbD9ZTVXMQ/edit#gid=1251630045"",""articles_with_PRISMA_reasons!Y2:Y2113""), $A289=IMPORTRANGE(""https://docs.google.com/spreadsheets/d/1BJSV3WBYJGRhQ6z"&amp;"ExamkszQ5VutGIcaQqmbD9ZTVXMQ/edit#gid=1251630045"",""articles_with_PRISMA_reasons!B2:B2113""))&gt;=2,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$A289=IMPORTRANGE(""https://docs.google.com/spreadsheets/d/1BJSV3WBYJGRhQ6zExamkszQ5VutGIcaQqmbD9ZTVXMQ/edit#gid=1251630045"",""articles_with_PRISMA_reasons!B2:B2113""))&lt;2),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$A289=IMPORTRANGE(""https://docs.google.com/spreadsheets/d/1BJSV3WBYJGRhQ6zExamkszQ5VutGIcaQqmbD9ZTVXMQ/edit#gid=1251630045"",""arti"&amp;"cles_with_PRISMA_reasons!B2:B2113""))&lt;2,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$A289=IMPORTRANGE(""https://docs.google.com"&amp;"/spreadsheets/d/1BJSV3WBYJGRhQ6zExamkszQ5VutGIcaQqmbD9ZTVXMQ/edit#gid=1251630045"",""articles_with_PRISMA_reasons!B2:B2113""))&gt;=2),
""Exclude""
)"),"Exclude")</f>
        <v>Exclude</v>
      </c>
      <c r="E289" s="5" t="str">
        <f>IFERROR(__xludf.DUMMYFUNCTION("IFS(
D289=""Exclude"",""Exclude"",
AND(
FILTER(IMPORTRANGE(""https://docs.google.com/spreadsheets/d/1qpEmbGH0JjaJbUdp21-y2cPbobDbMjr09BbtdKROZWc/edit#gid=1444865654"",""articles_with_PRISMA_reasons!W2:W2113""), $A289=IMPORTRANGE(""https://docs.google.com/"&amp;"spreadsheets/d/1qpEmbGH0JjaJbUdp21-y2cPbobDbMjr09BbtdKROZWc/edit#gid=1444865654"",""articles_with_PRISMA_reasons!B2:B2113""))&gt;=2,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$A289=IMPORTRANGE(""https://docs.google.com/spreadsheets/d/1qpEmbGH0JjaJbUdp21-y2cPbobDbMjr09BbtdKROZWc/edit#gid=1444865654"",""articles_with_PRISMA_reasons!B2:B2113""))&lt;2),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$A289=IMPORTRANGE(""https://docs.google.com/spreadsheets/d/1qpEmbGH0JjaJbUdp21-y2cPbobDbMjr09BbtdKRO"&amp;"ZWc/edit#gid=1444865654"",""articles_with_PRISMA_reasons!B2:B2113""))&lt;2,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$A289=IMPOR"&amp;"TRANGE(""https://docs.google.com/spreadsheets/d/1qpEmbGH0JjaJbUdp21-y2cPbobDbMjr09BbtdKROZWc/edit#gid=1444865654"",""articles_with_PRISMA_reasons!B2:B2113""))&gt;=2),
""Exclude""
)"),"Exclude")</f>
        <v>Exclude</v>
      </c>
      <c r="F289" s="5" t="str">
        <f>IFERROR(__xludf.DUMMYFUNCTION("IFS(
E289=""Exclude"",""Exclude"",
AND(
COUNTIF(
IMPORTRANGE(""https://docs.google.com/spreadsheets/d/1kGrh75X1cNR1D7_FcY9zMnHP8iPO4M5RCRjy6nZY0TY/edit#gid=0"",""Table 1: Study characteristics!B4:B171""),A289)&gt;0,
COUNTIF(Studies!$A$2:$A$85,FILTER(IMPORTRA"&amp;"NGE(""https://docs.google.com/spreadsheets/d/1kGrh75X1cNR1D7_FcY9zMnHP8iPO4M5RCRjy6nZY0TY/edit#gid=0"",""Table 1: Study characteristics!A4:A171""), $A289=IMPORTRANGE(""https://docs.google.com/spreadsheets/d/1kGrh75X1cNR1D7_FcY9zMnHP8iPO4M5RCRjy6nZY0TY/edi"&amp;"t#gid=0"",""Table 1: Study characteristics!B4:B171"")))&gt;0
),
""Include""
)"),"Exclude")</f>
        <v>Exclude</v>
      </c>
      <c r="G289" s="5" t="str">
        <f>IFERROR(__xludf.DUMMYFUNCTION("IFS(
D289=""Exclude"",
FILTER(IMPORTRANGE(""https://docs.google.com/spreadsheets/d/1BJSV3WBYJGRhQ6zExamkszQ5VutGIcaQqmbD9ZTVXMQ/edit#gid=1251630045"",""articles_with_PRISMA_reasons!AB2:AB2113""), $A289=IMPORTRANGE(""https://docs.google.com/spreadsheets/d/"&amp;"1BJSV3WBYJGRhQ6zExamkszQ5VutGIcaQqmbD9ZTVXMQ/edit#gid=1251630045"",""articles_with_PRISMA_reasons!B2:B2113"")),
E289=""Exclude"",
FILTER(IMPORTRANGE(""https://docs.google.com/spreadsheets/d/1qpEmbGH0JjaJbUdp21-y2cPbobDbMjr09BbtdKROZWc/edit#gid=1444865654"&amp;""",""articles_with_PRISMA_reasons!Z2:Z2113""), $A289=IMPORTRANGE(""https://docs.google.com/spreadsheets/d/1qpEmbGH0JjaJbUdp21-y2cPbobDbMjr09BbtdKROZWc/edit#gid=1444865654"",""articles_with_PRISMA_reasons!B2:B2113"")),F289
=""Include"",FILTER(IMPORTRANGE("&amp;"""https://docs.google.com/spreadsheets/d/1kGrh75X1cNR1D7_FcY9zMnHP8iPO4M5RCRjy6nZY0TY/edit#gid=0"",""Table 1: Study characteristics!A4:A171""), $A289=IMPORTRANGE(""https://docs.google.com/spreadsheets/d/1kGrh75X1cNR1D7_FcY9zMnHP8iPO4M5RCRjy6nZY0TY/edit#gi"&amp;"d=0"",""Table 1: Study characteristics!B4:B171""))
)"),"wrong population")</f>
        <v>wrong population</v>
      </c>
    </row>
    <row r="290">
      <c r="A290" s="4" t="str">
        <f>IFERROR(__xludf.DUMMYFUNCTION("""COMPUTED_VALUE"""),"Apnea associated with Chiari malformation: medullary hemorrhage revealed by MRI")</f>
        <v>Apnea associated with Chiari malformation: medullary hemorrhage revealed by MRI</v>
      </c>
      <c r="B290" s="5" t="str">
        <f>IFERROR(__xludf.DUMMYFUNCTION("LEFT(FILTER(IMPORTRANGE(""https://docs.google.com/spreadsheets/d/1BJSV3WBYJGRhQ6zExamkszQ5VutGIcaQqmbD9ZTVXMQ/edit#gid=1251630045"",""articles_with_PRISMA_reasons!K2:K2113""), $A290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$A290=IMPORTRANGE(""https://docs.google.com/spreadsheets/d/1BJSV3WBYJGRhQ6zExamkszQ5VutGIcaQqmbD9ZTVXMQ/edit#gid=1251630045"",""articles_with_PRISMA_reasons!B2:B2113"")))-1)"),"Nomura")</f>
        <v>Nomura</v>
      </c>
      <c r="C290" s="6">
        <f>IFERROR(__xludf.DUMMYFUNCTION("FILTER(IMPORTRANGE(""https://docs.google.com/spreadsheets/d/1BJSV3WBYJGRhQ6zExamkszQ5VutGIcaQqmbD9ZTVXMQ/edit#gid=1251630045"",""articles_with_PRISMA_reasons!C2:C2113""), $A290=IMPORTRANGE(""https://docs.google.com/spreadsheets/d/1BJSV3WBYJGRhQ6zExamkszQ5"&amp;"VutGIcaQqmbD9ZTVXMQ/edit#gid=1251630045"",""articles_with_PRISMA_reasons!B2:B2113""))"),1993.0)</f>
        <v>1993</v>
      </c>
      <c r="D290" s="5" t="str">
        <f>IFERROR(__xludf.DUMMYFUNCTION("IFS(AND(
FILTER(IMPORTRANGE(""https://docs.google.com/spreadsheets/d/1BJSV3WBYJGRhQ6zExamkszQ5VutGIcaQqmbD9ZTVXMQ/edit#gid=1251630045"",""articles_with_PRISMA_reasons!Y2:Y2113""), $A290=IMPORTRANGE(""https://docs.google.com/spreadsheets/d/1BJSV3WBYJGRhQ6z"&amp;"ExamkszQ5VutGIcaQqmbD9ZTVXMQ/edit#gid=1251630045"",""articles_with_PRISMA_reasons!B2:B2113""))&gt;=2,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$A290=IMPORTRANGE(""https://docs.google.com/spreadsheets/d/1BJSV3WBYJGRhQ6zExamkszQ5VutGIcaQqmbD9ZTVXMQ/edit#gid=1251630045"",""articles_with_PRISMA_reasons!B2:B2113""))&lt;2),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$A290=IMPORTRANGE(""https://docs.google.com/spreadsheets/d/1BJSV3WBYJGRhQ6zExamkszQ5VutGIcaQqmbD9ZTVXMQ/edit#gid=1251630045"",""arti"&amp;"cles_with_PRISMA_reasons!B2:B2113""))&lt;2,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$A290=IMPORTRANGE(""https://docs.google.com"&amp;"/spreadsheets/d/1BJSV3WBYJGRhQ6zExamkszQ5VutGIcaQqmbD9ZTVXMQ/edit#gid=1251630045"",""articles_with_PRISMA_reasons!B2:B2113""))&gt;=2),
""Exclude""
)"),"Exclude")</f>
        <v>Exclude</v>
      </c>
      <c r="E290" s="5" t="str">
        <f>IFERROR(__xludf.DUMMYFUNCTION("IFS(
D290=""Exclude"",""Exclude"",
AND(
FILTER(IMPORTRANGE(""https://docs.google.com/spreadsheets/d/1qpEmbGH0JjaJbUdp21-y2cPbobDbMjr09BbtdKROZWc/edit#gid=1444865654"",""articles_with_PRISMA_reasons!W2:W2113""), $A290=IMPORTRANGE(""https://docs.google.com/"&amp;"spreadsheets/d/1qpEmbGH0JjaJbUdp21-y2cPbobDbMjr09BbtdKROZWc/edit#gid=1444865654"",""articles_with_PRISMA_reasons!B2:B2113""))&gt;=2,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$A290=IMPORTRANGE(""https://docs.google.com/spreadsheets/d/1qpEmbGH0JjaJbUdp21-y2cPbobDbMjr09BbtdKROZWc/edit#gid=1444865654"",""articles_with_PRISMA_reasons!B2:B2113""))&lt;2),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$A290=IMPORTRANGE(""https://docs.google.com/spreadsheets/d/1qpEmbGH0JjaJbUdp21-y2cPbobDbMjr09BbtdKRO"&amp;"ZWc/edit#gid=1444865654"",""articles_with_PRISMA_reasons!B2:B2113""))&lt;2,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$A290=IMPOR"&amp;"TRANGE(""https://docs.google.com/spreadsheets/d/1qpEmbGH0JjaJbUdp21-y2cPbobDbMjr09BbtdKROZWc/edit#gid=1444865654"",""articles_with_PRISMA_reasons!B2:B2113""))&gt;=2),
""Exclude""
)"),"Exclude")</f>
        <v>Exclude</v>
      </c>
      <c r="F290" s="5" t="str">
        <f>IFERROR(__xludf.DUMMYFUNCTION("IFS(
E290=""Exclude"",""Exclude"",
AND(
COUNTIF(
IMPORTRANGE(""https://docs.google.com/spreadsheets/d/1kGrh75X1cNR1D7_FcY9zMnHP8iPO4M5RCRjy6nZY0TY/edit#gid=0"",""Table 1: Study characteristics!B4:B171""),A290)&gt;0,
COUNTIF(Studies!$A$2:$A$85,FILTER(IMPORTRA"&amp;"NGE(""https://docs.google.com/spreadsheets/d/1kGrh75X1cNR1D7_FcY9zMnHP8iPO4M5RCRjy6nZY0TY/edit#gid=0"",""Table 1: Study characteristics!A4:A171""), $A290=IMPORTRANGE(""https://docs.google.com/spreadsheets/d/1kGrh75X1cNR1D7_FcY9zMnHP8iPO4M5RCRjy6nZY0TY/edi"&amp;"t#gid=0"",""Table 1: Study characteristics!B4:B171"")))&gt;0
),
""Include""
)"),"Exclude")</f>
        <v>Exclude</v>
      </c>
      <c r="G290" s="5" t="str">
        <f>IFERROR(__xludf.DUMMYFUNCTION("IFS(
D290=""Exclude"",
FILTER(IMPORTRANGE(""https://docs.google.com/spreadsheets/d/1BJSV3WBYJGRhQ6zExamkszQ5VutGIcaQqmbD9ZTVXMQ/edit#gid=1251630045"",""articles_with_PRISMA_reasons!AB2:AB2113""), $A290=IMPORTRANGE(""https://docs.google.com/spreadsheets/d/"&amp;"1BJSV3WBYJGRhQ6zExamkszQ5VutGIcaQqmbD9ZTVXMQ/edit#gid=1251630045"",""articles_with_PRISMA_reasons!B2:B2113"")),
E290=""Exclude"",
FILTER(IMPORTRANGE(""https://docs.google.com/spreadsheets/d/1qpEmbGH0JjaJbUdp21-y2cPbobDbMjr09BbtdKROZWc/edit#gid=1444865654"&amp;""",""articles_with_PRISMA_reasons!Z2:Z2113""), $A290=IMPORTRANGE(""https://docs.google.com/spreadsheets/d/1qpEmbGH0JjaJbUdp21-y2cPbobDbMjr09BbtdKROZWc/edit#gid=1444865654"",""articles_with_PRISMA_reasons!B2:B2113"")),F290
=""Include"",FILTER(IMPORTRANGE("&amp;"""https://docs.google.com/spreadsheets/d/1kGrh75X1cNR1D7_FcY9zMnHP8iPO4M5RCRjy6nZY0TY/edit#gid=0"",""Table 1: Study characteristics!A4:A171""), $A290=IMPORTRANGE(""https://docs.google.com/spreadsheets/d/1kGrh75X1cNR1D7_FcY9zMnHP8iPO4M5RCRjy6nZY0TY/edit#gi"&amp;"d=0"",""Table 1: Study characteristics!B4:B171""))
)"),"background article")</f>
        <v>background article</v>
      </c>
    </row>
    <row r="291">
      <c r="A291" s="4" t="str">
        <f>IFERROR(__xludf.DUMMYFUNCTION("""COMPUTED_VALUE"""),"Apnea in patients with myelomeningocele")</f>
        <v>Apnea in patients with myelomeningocele</v>
      </c>
      <c r="B291" s="5" t="str">
        <f>IFERROR(__xludf.DUMMYFUNCTION("LEFT(FILTER(IMPORTRANGE(""https://docs.google.com/spreadsheets/d/1BJSV3WBYJGRhQ6zExamkszQ5VutGIcaQqmbD9ZTVXMQ/edit#gid=1251630045"",""articles_with_PRISMA_reasons!K2:K2113""), $A291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$A291=IMPORTRANGE(""https://docs.google.com/spreadsheets/d/1BJSV3WBYJGRhQ6zExamkszQ5VutGIcaQqmbD9ZTVXMQ/edit#gid=1251630045"",""articles_with_PRISMA_reasons!B2:B2113"")))-1)"),"Cochrane")</f>
        <v>Cochrane</v>
      </c>
      <c r="C291" s="6">
        <f>IFERROR(__xludf.DUMMYFUNCTION("FILTER(IMPORTRANGE(""https://docs.google.com/spreadsheets/d/1BJSV3WBYJGRhQ6zExamkszQ5VutGIcaQqmbD9ZTVXMQ/edit#gid=1251630045"",""articles_with_PRISMA_reasons!C2:C2113""), $A291=IMPORTRANGE(""https://docs.google.com/spreadsheets/d/1BJSV3WBYJGRhQ6zExamkszQ5"&amp;"VutGIcaQqmbD9ZTVXMQ/edit#gid=1251630045"",""articles_with_PRISMA_reasons!B2:B2113""))"),1990.0)</f>
        <v>1990</v>
      </c>
      <c r="D291" s="5" t="str">
        <f>IFERROR(__xludf.DUMMYFUNCTION("IFS(AND(
FILTER(IMPORTRANGE(""https://docs.google.com/spreadsheets/d/1BJSV3WBYJGRhQ6zExamkszQ5VutGIcaQqmbD9ZTVXMQ/edit#gid=1251630045"",""articles_with_PRISMA_reasons!Y2:Y2113""), $A291=IMPORTRANGE(""https://docs.google.com/spreadsheets/d/1BJSV3WBYJGRhQ6z"&amp;"ExamkszQ5VutGIcaQqmbD9ZTVXMQ/edit#gid=1251630045"",""articles_with_PRISMA_reasons!B2:B2113""))&gt;=2,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$A291=IMPORTRANGE(""https://docs.google.com/spreadsheets/d/1BJSV3WBYJGRhQ6zExamkszQ5VutGIcaQqmbD9ZTVXMQ/edit#gid=1251630045"",""articles_with_PRISMA_reasons!B2:B2113""))&lt;2),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$A291=IMPORTRANGE(""https://docs.google.com/spreadsheets/d/1BJSV3WBYJGRhQ6zExamkszQ5VutGIcaQqmbD9ZTVXMQ/edit#gid=1251630045"",""arti"&amp;"cles_with_PRISMA_reasons!B2:B2113""))&lt;2,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$A291=IMPORTRANGE(""https://docs.google.com"&amp;"/spreadsheets/d/1BJSV3WBYJGRhQ6zExamkszQ5VutGIcaQqmbD9ZTVXMQ/edit#gid=1251630045"",""articles_with_PRISMA_reasons!B2:B2113""))&gt;=2),
""Exclude""
)"),"Exclude")</f>
        <v>Exclude</v>
      </c>
      <c r="E291" s="5" t="str">
        <f>IFERROR(__xludf.DUMMYFUNCTION("IFS(
D291=""Exclude"",""Exclude"",
AND(
FILTER(IMPORTRANGE(""https://docs.google.com/spreadsheets/d/1qpEmbGH0JjaJbUdp21-y2cPbobDbMjr09BbtdKROZWc/edit#gid=1444865654"",""articles_with_PRISMA_reasons!W2:W2113""), $A291=IMPORTRANGE(""https://docs.google.com/"&amp;"spreadsheets/d/1qpEmbGH0JjaJbUdp21-y2cPbobDbMjr09BbtdKROZWc/edit#gid=1444865654"",""articles_with_PRISMA_reasons!B2:B2113""))&gt;=2,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$A291=IMPORTRANGE(""https://docs.google.com/spreadsheets/d/1qpEmbGH0JjaJbUdp21-y2cPbobDbMjr09BbtdKROZWc/edit#gid=1444865654"",""articles_with_PRISMA_reasons!B2:B2113""))&lt;2),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$A291=IMPORTRANGE(""https://docs.google.com/spreadsheets/d/1qpEmbGH0JjaJbUdp21-y2cPbobDbMjr09BbtdKRO"&amp;"ZWc/edit#gid=1444865654"",""articles_with_PRISMA_reasons!B2:B2113""))&lt;2,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$A291=IMPOR"&amp;"TRANGE(""https://docs.google.com/spreadsheets/d/1qpEmbGH0JjaJbUdp21-y2cPbobDbMjr09BbtdKROZWc/edit#gid=1444865654"",""articles_with_PRISMA_reasons!B2:B2113""))&gt;=2),
""Exclude""
)"),"Exclude")</f>
        <v>Exclude</v>
      </c>
      <c r="F291" s="5" t="str">
        <f>IFERROR(__xludf.DUMMYFUNCTION("IFS(
E291=""Exclude"",""Exclude"",
AND(
COUNTIF(
IMPORTRANGE(""https://docs.google.com/spreadsheets/d/1kGrh75X1cNR1D7_FcY9zMnHP8iPO4M5RCRjy6nZY0TY/edit#gid=0"",""Table 1: Study characteristics!B4:B171""),A291)&gt;0,
COUNTIF(Studies!$A$2:$A$85,FILTER(IMPORTRA"&amp;"NGE(""https://docs.google.com/spreadsheets/d/1kGrh75X1cNR1D7_FcY9zMnHP8iPO4M5RCRjy6nZY0TY/edit#gid=0"",""Table 1: Study characteristics!A4:A171""), $A291=IMPORTRANGE(""https://docs.google.com/spreadsheets/d/1kGrh75X1cNR1D7_FcY9zMnHP8iPO4M5RCRjy6nZY0TY/edi"&amp;"t#gid=0"",""Table 1: Study characteristics!B4:B171"")))&gt;0
),
""Include""
)"),"Exclude")</f>
        <v>Exclude</v>
      </c>
      <c r="G291" s="5" t="str">
        <f>IFERROR(__xludf.DUMMYFUNCTION("IFS(
D291=""Exclude"",
FILTER(IMPORTRANGE(""https://docs.google.com/spreadsheets/d/1BJSV3WBYJGRhQ6zExamkszQ5VutGIcaQqmbD9ZTVXMQ/edit#gid=1251630045"",""articles_with_PRISMA_reasons!AB2:AB2113""), $A291=IMPORTRANGE(""https://docs.google.com/spreadsheets/d/"&amp;"1BJSV3WBYJGRhQ6zExamkszQ5VutGIcaQqmbD9ZTVXMQ/edit#gid=1251630045"",""articles_with_PRISMA_reasons!B2:B2113"")),
E291=""Exclude"",
FILTER(IMPORTRANGE(""https://docs.google.com/spreadsheets/d/1qpEmbGH0JjaJbUdp21-y2cPbobDbMjr09BbtdKROZWc/edit#gid=1444865654"&amp;""",""articles_with_PRISMA_reasons!Z2:Z2113""), $A291=IMPORTRANGE(""https://docs.google.com/spreadsheets/d/1qpEmbGH0JjaJbUdp21-y2cPbobDbMjr09BbtdKROZWc/edit#gid=1444865654"",""articles_with_PRISMA_reasons!B2:B2113"")),F291
=""Include"",FILTER(IMPORTRANGE("&amp;"""https://docs.google.com/spreadsheets/d/1kGrh75X1cNR1D7_FcY9zMnHP8iPO4M5RCRjy6nZY0TY/edit#gid=0"",""Table 1: Study characteristics!A4:A171""), $A291=IMPORTRANGE(""https://docs.google.com/spreadsheets/d/1kGrh75X1cNR1D7_FcY9zMnHP8iPO4M5RCRjy6nZY0TY/edit#gi"&amp;"d=0"",""Table 1: Study characteristics!B4:B171""))
)"),"background article")</f>
        <v>background article</v>
      </c>
    </row>
    <row r="292">
      <c r="A292" s="4" t="str">
        <f>IFERROR(__xludf.DUMMYFUNCTION("""COMPUTED_VALUE"""),"Apoptosis in the developing human brain: A preliminary study of the frontal region")</f>
        <v>Apoptosis in the developing human brain: A preliminary study of the frontal region</v>
      </c>
      <c r="B292" s="5" t="str">
        <f>IFERROR(__xludf.DUMMYFUNCTION("LEFT(FILTER(IMPORTRANGE(""https://docs.google.com/spreadsheets/d/1BJSV3WBYJGRhQ6zExamkszQ5VutGIcaQqmbD9ZTVXMQ/edit#gid=1251630045"",""articles_with_PRISMA_reasons!K2:K2113""), $A292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$A292=IMPORTRANGE(""https://docs.google.com/spreadsheets/d/1BJSV3WBYJGRhQ6zExamkszQ5VutGIcaQqmbD9ZTVXMQ/edit#gid=1251630045"",""articles_with_PRISMA_reasons!B2:B2113"")))-1)"),"Anlar")</f>
        <v>Anlar</v>
      </c>
      <c r="C292" s="6">
        <f>IFERROR(__xludf.DUMMYFUNCTION("FILTER(IMPORTRANGE(""https://docs.google.com/spreadsheets/d/1BJSV3WBYJGRhQ6zExamkszQ5VutGIcaQqmbD9ZTVXMQ/edit#gid=1251630045"",""articles_with_PRISMA_reasons!C2:C2113""), $A292=IMPORTRANGE(""https://docs.google.com/spreadsheets/d/1BJSV3WBYJGRhQ6zExamkszQ5"&amp;"VutGIcaQqmbD9ZTVXMQ/edit#gid=1251630045"",""articles_with_PRISMA_reasons!B2:B2113""))"),2003.0)</f>
        <v>2003</v>
      </c>
      <c r="D292" s="5" t="str">
        <f>IFERROR(__xludf.DUMMYFUNCTION("IFS(AND(
FILTER(IMPORTRANGE(""https://docs.google.com/spreadsheets/d/1BJSV3WBYJGRhQ6zExamkszQ5VutGIcaQqmbD9ZTVXMQ/edit#gid=1251630045"",""articles_with_PRISMA_reasons!Y2:Y2113""), $A292=IMPORTRANGE(""https://docs.google.com/spreadsheets/d/1BJSV3WBYJGRhQ6z"&amp;"ExamkszQ5VutGIcaQqmbD9ZTVXMQ/edit#gid=1251630045"",""articles_with_PRISMA_reasons!B2:B2113""))&gt;=2,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$A292=IMPORTRANGE(""https://docs.google.com/spreadsheets/d/1BJSV3WBYJGRhQ6zExamkszQ5VutGIcaQqmbD9ZTVXMQ/edit#gid=1251630045"",""articles_with_PRISMA_reasons!B2:B2113""))&lt;2),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$A292=IMPORTRANGE(""https://docs.google.com/spreadsheets/d/1BJSV3WBYJGRhQ6zExamkszQ5VutGIcaQqmbD9ZTVXMQ/edit#gid=1251630045"",""arti"&amp;"cles_with_PRISMA_reasons!B2:B2113""))&lt;2,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$A292=IMPORTRANGE(""https://docs.google.com"&amp;"/spreadsheets/d/1BJSV3WBYJGRhQ6zExamkszQ5VutGIcaQqmbD9ZTVXMQ/edit#gid=1251630045"",""articles_with_PRISMA_reasons!B2:B2113""))&gt;=2),
""Exclude""
)"),"Exclude")</f>
        <v>Exclude</v>
      </c>
      <c r="E292" s="5" t="str">
        <f>IFERROR(__xludf.DUMMYFUNCTION("IFS(
D292=""Exclude"",""Exclude"",
AND(
FILTER(IMPORTRANGE(""https://docs.google.com/spreadsheets/d/1qpEmbGH0JjaJbUdp21-y2cPbobDbMjr09BbtdKROZWc/edit#gid=1444865654"",""articles_with_PRISMA_reasons!W2:W2113""), $A292=IMPORTRANGE(""https://docs.google.com/"&amp;"spreadsheets/d/1qpEmbGH0JjaJbUdp21-y2cPbobDbMjr09BbtdKROZWc/edit#gid=1444865654"",""articles_with_PRISMA_reasons!B2:B2113""))&gt;=2,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$A292=IMPORTRANGE(""https://docs.google.com/spreadsheets/d/1qpEmbGH0JjaJbUdp21-y2cPbobDbMjr09BbtdKROZWc/edit#gid=1444865654"",""articles_with_PRISMA_reasons!B2:B2113""))&lt;2),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$A292=IMPORTRANGE(""https://docs.google.com/spreadsheets/d/1qpEmbGH0JjaJbUdp21-y2cPbobDbMjr09BbtdKRO"&amp;"ZWc/edit#gid=1444865654"",""articles_with_PRISMA_reasons!B2:B2113""))&lt;2,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$A292=IMPOR"&amp;"TRANGE(""https://docs.google.com/spreadsheets/d/1qpEmbGH0JjaJbUdp21-y2cPbobDbMjr09BbtdKROZWc/edit#gid=1444865654"",""articles_with_PRISMA_reasons!B2:B2113""))&gt;=2),
""Exclude""
)"),"Exclude")</f>
        <v>Exclude</v>
      </c>
      <c r="F292" s="5" t="str">
        <f>IFERROR(__xludf.DUMMYFUNCTION("IFS(
E292=""Exclude"",""Exclude"",
AND(
COUNTIF(
IMPORTRANGE(""https://docs.google.com/spreadsheets/d/1kGrh75X1cNR1D7_FcY9zMnHP8iPO4M5RCRjy6nZY0TY/edit#gid=0"",""Table 1: Study characteristics!B4:B171""),A292)&gt;0,
COUNTIF(Studies!$A$2:$A$85,FILTER(IMPORTRA"&amp;"NGE(""https://docs.google.com/spreadsheets/d/1kGrh75X1cNR1D7_FcY9zMnHP8iPO4M5RCRjy6nZY0TY/edit#gid=0"",""Table 1: Study characteristics!A4:A171""), $A292=IMPORTRANGE(""https://docs.google.com/spreadsheets/d/1kGrh75X1cNR1D7_FcY9zMnHP8iPO4M5RCRjy6nZY0TY/edi"&amp;"t#gid=0"",""Table 1: Study characteristics!B4:B171"")))&gt;0
),
""Include""
)"),"Exclude")</f>
        <v>Exclude</v>
      </c>
      <c r="G292" s="5" t="str">
        <f>IFERROR(__xludf.DUMMYFUNCTION("IFS(
D292=""Exclude"",
FILTER(IMPORTRANGE(""https://docs.google.com/spreadsheets/d/1BJSV3WBYJGRhQ6zExamkszQ5VutGIcaQqmbD9ZTVXMQ/edit#gid=1251630045"",""articles_with_PRISMA_reasons!AB2:AB2113""), $A292=IMPORTRANGE(""https://docs.google.com/spreadsheets/d/"&amp;"1BJSV3WBYJGRhQ6zExamkszQ5VutGIcaQqmbD9ZTVXMQ/edit#gid=1251630045"",""articles_with_PRISMA_reasons!B2:B2113"")),
E292=""Exclude"",
FILTER(IMPORTRANGE(""https://docs.google.com/spreadsheets/d/1qpEmbGH0JjaJbUdp21-y2cPbobDbMjr09BbtdKROZWc/edit#gid=1444865654"&amp;""",""articles_with_PRISMA_reasons!Z2:Z2113""), $A292=IMPORTRANGE(""https://docs.google.com/spreadsheets/d/1qpEmbGH0JjaJbUdp21-y2cPbobDbMjr09BbtdKROZWc/edit#gid=1444865654"",""articles_with_PRISMA_reasons!B2:B2113"")),F292
=""Include"",FILTER(IMPORTRANGE("&amp;"""https://docs.google.com/spreadsheets/d/1kGrh75X1cNR1D7_FcY9zMnHP8iPO4M5RCRjy6nZY0TY/edit#gid=0"",""Table 1: Study characteristics!A4:A171""), $A292=IMPORTRANGE(""https://docs.google.com/spreadsheets/d/1kGrh75X1cNR1D7_FcY9zMnHP8iPO4M5RCRjy6nZY0TY/edit#gi"&amp;"d=0"",""Table 1: Study characteristics!B4:B171""))
)"),"wrong study design")</f>
        <v>wrong study design</v>
      </c>
    </row>
    <row r="293">
      <c r="A293" s="4" t="str">
        <f>IFERROR(__xludf.DUMMYFUNCTION("""COMPUTED_VALUE"""),"Application of Chromosome Microarray Analysis in the Investigation of Developmental Disabilities and Congenital Anomalies: Single Center Experience and Review of NRXN3 and NEDD4L Deletions")</f>
        <v>Application of Chromosome Microarray Analysis in the Investigation of Developmental Disabilities and Congenital Anomalies: Single Center Experience and Review of NRXN3 and NEDD4L Deletions</v>
      </c>
      <c r="B293" s="5" t="str">
        <f>IFERROR(__xludf.DUMMYFUNCTION("LEFT(FILTER(IMPORTRANGE(""https://docs.google.com/spreadsheets/d/1BJSV3WBYJGRhQ6zExamkszQ5VutGIcaQqmbD9ZTVXMQ/edit#gid=1251630045"",""articles_with_PRISMA_reasons!K2:K2113""), $A293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$A293=IMPORTRANGE(""https://docs.google.com/spreadsheets/d/1BJSV3WBYJGRhQ6zExamkszQ5VutGIcaQqmbD9ZTVXMQ/edit#gid=1251630045"",""articles_with_PRISMA_reasons!B2:B2113"")))-1)"),"Cebi")</f>
        <v>Cebi</v>
      </c>
      <c r="C293" s="6">
        <f>IFERROR(__xludf.DUMMYFUNCTION("FILTER(IMPORTRANGE(""https://docs.google.com/spreadsheets/d/1BJSV3WBYJGRhQ6zExamkszQ5VutGIcaQqmbD9ZTVXMQ/edit#gid=1251630045"",""articles_with_PRISMA_reasons!C2:C2113""), $A293=IMPORTRANGE(""https://docs.google.com/spreadsheets/d/1BJSV3WBYJGRhQ6zExamkszQ5"&amp;"VutGIcaQqmbD9ZTVXMQ/edit#gid=1251630045"",""articles_with_PRISMA_reasons!B2:B2113""))"),2020.0)</f>
        <v>2020</v>
      </c>
      <c r="D293" s="5" t="str">
        <f>IFERROR(__xludf.DUMMYFUNCTION("IFS(AND(
FILTER(IMPORTRANGE(""https://docs.google.com/spreadsheets/d/1BJSV3WBYJGRhQ6zExamkszQ5VutGIcaQqmbD9ZTVXMQ/edit#gid=1251630045"",""articles_with_PRISMA_reasons!Y2:Y2113""), $A293=IMPORTRANGE(""https://docs.google.com/spreadsheets/d/1BJSV3WBYJGRhQ6z"&amp;"ExamkszQ5VutGIcaQqmbD9ZTVXMQ/edit#gid=1251630045"",""articles_with_PRISMA_reasons!B2:B2113""))&gt;=2,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$A293=IMPORTRANGE(""https://docs.google.com/spreadsheets/d/1BJSV3WBYJGRhQ6zExamkszQ5VutGIcaQqmbD9ZTVXMQ/edit#gid=1251630045"",""articles_with_PRISMA_reasons!B2:B2113""))&lt;2),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$A293=IMPORTRANGE(""https://docs.google.com/spreadsheets/d/1BJSV3WBYJGRhQ6zExamkszQ5VutGIcaQqmbD9ZTVXMQ/edit#gid=1251630045"",""arti"&amp;"cles_with_PRISMA_reasons!B2:B2113""))&lt;2,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$A293=IMPORTRANGE(""https://docs.google.com"&amp;"/spreadsheets/d/1BJSV3WBYJGRhQ6zExamkszQ5VutGIcaQqmbD9ZTVXMQ/edit#gid=1251630045"",""articles_with_PRISMA_reasons!B2:B2113""))&gt;=2),
""Exclude""
)"),"Exclude")</f>
        <v>Exclude</v>
      </c>
      <c r="E293" s="5" t="str">
        <f>IFERROR(__xludf.DUMMYFUNCTION("IFS(
D293=""Exclude"",""Exclude"",
AND(
FILTER(IMPORTRANGE(""https://docs.google.com/spreadsheets/d/1qpEmbGH0JjaJbUdp21-y2cPbobDbMjr09BbtdKROZWc/edit#gid=1444865654"",""articles_with_PRISMA_reasons!W2:W2113""), $A293=IMPORTRANGE(""https://docs.google.com/"&amp;"spreadsheets/d/1qpEmbGH0JjaJbUdp21-y2cPbobDbMjr09BbtdKROZWc/edit#gid=1444865654"",""articles_with_PRISMA_reasons!B2:B2113""))&gt;=2,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$A293=IMPORTRANGE(""https://docs.google.com/spreadsheets/d/1qpEmbGH0JjaJbUdp21-y2cPbobDbMjr09BbtdKROZWc/edit#gid=1444865654"",""articles_with_PRISMA_reasons!B2:B2113""))&lt;2),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$A293=IMPORTRANGE(""https://docs.google.com/spreadsheets/d/1qpEmbGH0JjaJbUdp21-y2cPbobDbMjr09BbtdKRO"&amp;"ZWc/edit#gid=1444865654"",""articles_with_PRISMA_reasons!B2:B2113""))&lt;2,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$A293=IMPOR"&amp;"TRANGE(""https://docs.google.com/spreadsheets/d/1qpEmbGH0JjaJbUdp21-y2cPbobDbMjr09BbtdKROZWc/edit#gid=1444865654"",""articles_with_PRISMA_reasons!B2:B2113""))&gt;=2),
""Exclude""
)"),"Exclude")</f>
        <v>Exclude</v>
      </c>
      <c r="F293" s="5" t="str">
        <f>IFERROR(__xludf.DUMMYFUNCTION("IFS(
E293=""Exclude"",""Exclude"",
AND(
COUNTIF(
IMPORTRANGE(""https://docs.google.com/spreadsheets/d/1kGrh75X1cNR1D7_FcY9zMnHP8iPO4M5RCRjy6nZY0TY/edit#gid=0"",""Table 1: Study characteristics!B4:B171""),A293)&gt;0,
COUNTIF(Studies!$A$2:$A$85,FILTER(IMPORTRA"&amp;"NGE(""https://docs.google.com/spreadsheets/d/1kGrh75X1cNR1D7_FcY9zMnHP8iPO4M5RCRjy6nZY0TY/edit#gid=0"",""Table 1: Study characteristics!A4:A171""), $A293=IMPORTRANGE(""https://docs.google.com/spreadsheets/d/1kGrh75X1cNR1D7_FcY9zMnHP8iPO4M5RCRjy6nZY0TY/edi"&amp;"t#gid=0"",""Table 1: Study characteristics!B4:B171"")))&gt;0
),
""Include""
)"),"Exclude")</f>
        <v>Exclude</v>
      </c>
      <c r="G293" s="5" t="str">
        <f>IFERROR(__xludf.DUMMYFUNCTION("IFS(
D293=""Exclude"",
FILTER(IMPORTRANGE(""https://docs.google.com/spreadsheets/d/1BJSV3WBYJGRhQ6zExamkszQ5VutGIcaQqmbD9ZTVXMQ/edit#gid=1251630045"",""articles_with_PRISMA_reasons!AB2:AB2113""), $A293=IMPORTRANGE(""https://docs.google.com/spreadsheets/d/"&amp;"1BJSV3WBYJGRhQ6zExamkszQ5VutGIcaQqmbD9ZTVXMQ/edit#gid=1251630045"",""articles_with_PRISMA_reasons!B2:B2113"")),
E293=""Exclude"",
FILTER(IMPORTRANGE(""https://docs.google.com/spreadsheets/d/1qpEmbGH0JjaJbUdp21-y2cPbobDbMjr09BbtdKROZWc/edit#gid=1444865654"&amp;""",""articles_with_PRISMA_reasons!Z2:Z2113""), $A293=IMPORTRANGE(""https://docs.google.com/spreadsheets/d/1qpEmbGH0JjaJbUdp21-y2cPbobDbMjr09BbtdKROZWc/edit#gid=1444865654"",""articles_with_PRISMA_reasons!B2:B2113"")),F293
=""Include"",FILTER(IMPORTRANGE("&amp;"""https://docs.google.com/spreadsheets/d/1kGrh75X1cNR1D7_FcY9zMnHP8iPO4M5RCRjy6nZY0TY/edit#gid=0"",""Table 1: Study characteristics!A4:A171""), $A293=IMPORTRANGE(""https://docs.google.com/spreadsheets/d/1kGrh75X1cNR1D7_FcY9zMnHP8iPO4M5RCRjy6nZY0TY/edit#gi"&amp;"d=0"",""Table 1: Study characteristics!B4:B171""))
)"),"wrong study design")</f>
        <v>wrong study design</v>
      </c>
    </row>
    <row r="294">
      <c r="A294" s="4" t="str">
        <f>IFERROR(__xludf.DUMMYFUNCTION("""COMPUTED_VALUE"""),"Application of the Token Test with myelomeningocele and shunted hydrocephalus")</f>
        <v>Application of the Token Test with myelomeningocele and shunted hydrocephalus</v>
      </c>
      <c r="B294" s="5" t="str">
        <f>IFERROR(__xludf.DUMMYFUNCTION("LEFT(FILTER(IMPORTRANGE(""https://docs.google.com/spreadsheets/d/1BJSV3WBYJGRhQ6zExamkszQ5VutGIcaQqmbD9ZTVXMQ/edit#gid=1251630045"",""articles_with_PRISMA_reasons!K2:K2113""), $A294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$A294=IMPORTRANGE(""https://docs.google.com/spreadsheets/d/1BJSV3WBYJGRhQ6zExamkszQ5VutGIcaQqmbD9ZTVXMQ/edit#gid=1251630045"",""articles_with_PRISMA_reasons!B2:B2113"")))-1)"),"Vachha")</f>
        <v>Vachha</v>
      </c>
      <c r="C294" s="6">
        <f>IFERROR(__xludf.DUMMYFUNCTION("FILTER(IMPORTRANGE(""https://docs.google.com/spreadsheets/d/1BJSV3WBYJGRhQ6zExamkszQ5VutGIcaQqmbD9ZTVXMQ/edit#gid=1251630045"",""articles_with_PRISMA_reasons!C2:C2113""), $A294=IMPORTRANGE(""https://docs.google.com/spreadsheets/d/1BJSV3WBYJGRhQ6zExamkszQ5"&amp;"VutGIcaQqmbD9ZTVXMQ/edit#gid=1251630045"",""articles_with_PRISMA_reasons!B2:B2113""))"),2002.0)</f>
        <v>2002</v>
      </c>
      <c r="D294" s="5" t="str">
        <f>IFERROR(__xludf.DUMMYFUNCTION("IFS(AND(
FILTER(IMPORTRANGE(""https://docs.google.com/spreadsheets/d/1BJSV3WBYJGRhQ6zExamkszQ5VutGIcaQqmbD9ZTVXMQ/edit#gid=1251630045"",""articles_with_PRISMA_reasons!Y2:Y2113""), $A294=IMPORTRANGE(""https://docs.google.com/spreadsheets/d/1BJSV3WBYJGRhQ6z"&amp;"ExamkszQ5VutGIcaQqmbD9ZTVXMQ/edit#gid=1251630045"",""articles_with_PRISMA_reasons!B2:B2113""))&gt;=2,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$A294=IMPORTRANGE(""https://docs.google.com/spreadsheets/d/1BJSV3WBYJGRhQ6zExamkszQ5VutGIcaQqmbD9ZTVXMQ/edit#gid=1251630045"",""articles_with_PRISMA_reasons!B2:B2113""))&lt;2),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$A294=IMPORTRANGE(""https://docs.google.com/spreadsheets/d/1BJSV3WBYJGRhQ6zExamkszQ5VutGIcaQqmbD9ZTVXMQ/edit#gid=1251630045"",""arti"&amp;"cles_with_PRISMA_reasons!B2:B2113""))&lt;2,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$A294=IMPORTRANGE(""https://docs.google.com"&amp;"/spreadsheets/d/1BJSV3WBYJGRhQ6zExamkszQ5VutGIcaQqmbD9ZTVXMQ/edit#gid=1251630045"",""articles_with_PRISMA_reasons!B2:B2113""))&gt;=2),
""Exclude""
)"),"Exclude")</f>
        <v>Exclude</v>
      </c>
      <c r="E294" s="5" t="str">
        <f>IFERROR(__xludf.DUMMYFUNCTION("IFS(
D294=""Exclude"",""Exclude"",
AND(
FILTER(IMPORTRANGE(""https://docs.google.com/spreadsheets/d/1qpEmbGH0JjaJbUdp21-y2cPbobDbMjr09BbtdKROZWc/edit#gid=1444865654"",""articles_with_PRISMA_reasons!W2:W2113""), $A294=IMPORTRANGE(""https://docs.google.com/"&amp;"spreadsheets/d/1qpEmbGH0JjaJbUdp21-y2cPbobDbMjr09BbtdKROZWc/edit#gid=1444865654"",""articles_with_PRISMA_reasons!B2:B2113""))&gt;=2,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$A294=IMPORTRANGE(""https://docs.google.com/spreadsheets/d/1qpEmbGH0JjaJbUdp21-y2cPbobDbMjr09BbtdKROZWc/edit#gid=1444865654"",""articles_with_PRISMA_reasons!B2:B2113""))&lt;2),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$A294=IMPORTRANGE(""https://docs.google.com/spreadsheets/d/1qpEmbGH0JjaJbUdp21-y2cPbobDbMjr09BbtdKRO"&amp;"ZWc/edit#gid=1444865654"",""articles_with_PRISMA_reasons!B2:B2113""))&lt;2,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$A294=IMPOR"&amp;"TRANGE(""https://docs.google.com/spreadsheets/d/1qpEmbGH0JjaJbUdp21-y2cPbobDbMjr09BbtdKROZWc/edit#gid=1444865654"",""articles_with_PRISMA_reasons!B2:B2113""))&gt;=2),
""Exclude""
)"),"Exclude")</f>
        <v>Exclude</v>
      </c>
      <c r="F294" s="5" t="str">
        <f>IFERROR(__xludf.DUMMYFUNCTION("IFS(
E294=""Exclude"",""Exclude"",
AND(
COUNTIF(
IMPORTRANGE(""https://docs.google.com/spreadsheets/d/1kGrh75X1cNR1D7_FcY9zMnHP8iPO4M5RCRjy6nZY0TY/edit#gid=0"",""Table 1: Study characteristics!B4:B171""),A294)&gt;0,
COUNTIF(Studies!$A$2:$A$85,FILTER(IMPORTRA"&amp;"NGE(""https://docs.google.com/spreadsheets/d/1kGrh75X1cNR1D7_FcY9zMnHP8iPO4M5RCRjy6nZY0TY/edit#gid=0"",""Table 1: Study characteristics!A4:A171""), $A294=IMPORTRANGE(""https://docs.google.com/spreadsheets/d/1kGrh75X1cNR1D7_FcY9zMnHP8iPO4M5RCRjy6nZY0TY/edi"&amp;"t#gid=0"",""Table 1: Study characteristics!B4:B171"")))&gt;0
),
""Include""
)"),"Exclude")</f>
        <v>Exclude</v>
      </c>
      <c r="G294" s="5" t="str">
        <f>IFERROR(__xludf.DUMMYFUNCTION("IFS(
D294=""Exclude"",
FILTER(IMPORTRANGE(""https://docs.google.com/spreadsheets/d/1BJSV3WBYJGRhQ6zExamkszQ5VutGIcaQqmbD9ZTVXMQ/edit#gid=1251630045"",""articles_with_PRISMA_reasons!AB2:AB2113""), $A294=IMPORTRANGE(""https://docs.google.com/spreadsheets/d/"&amp;"1BJSV3WBYJGRhQ6zExamkszQ5VutGIcaQqmbD9ZTVXMQ/edit#gid=1251630045"",""articles_with_PRISMA_reasons!B2:B2113"")),
E294=""Exclude"",
FILTER(IMPORTRANGE(""https://docs.google.com/spreadsheets/d/1qpEmbGH0JjaJbUdp21-y2cPbobDbMjr09BbtdKROZWc/edit#gid=1444865654"&amp;""",""articles_with_PRISMA_reasons!Z2:Z2113""), $A294=IMPORTRANGE(""https://docs.google.com/spreadsheets/d/1qpEmbGH0JjaJbUdp21-y2cPbobDbMjr09BbtdKROZWc/edit#gid=1444865654"",""articles_with_PRISMA_reasons!B2:B2113"")),F294
=""Include"",FILTER(IMPORTRANGE("&amp;"""https://docs.google.com/spreadsheets/d/1kGrh75X1cNR1D7_FcY9zMnHP8iPO4M5RCRjy6nZY0TY/edit#gid=0"",""Table 1: Study characteristics!A4:A171""), $A294=IMPORTRANGE(""https://docs.google.com/spreadsheets/d/1kGrh75X1cNR1D7_FcY9zMnHP8iPO4M5RCRjy6nZY0TY/edit#gi"&amp;"d=0"",""Table 1: Study characteristics!B4:B171""))
)"),"wrong study design")</f>
        <v>wrong study design</v>
      </c>
    </row>
    <row r="295">
      <c r="A295" s="4" t="str">
        <f>IFERROR(__xludf.DUMMYFUNCTION("""COMPUTED_VALUE"""),"Aqueductal Atresia with Forking Anomaly: Report of 3 cases")</f>
        <v>Aqueductal Atresia with Forking Anomaly: Report of 3 cases</v>
      </c>
      <c r="B295" s="5" t="str">
        <f>IFERROR(__xludf.DUMMYFUNCTION("LEFT(FILTER(IMPORTRANGE(""https://docs.google.com/spreadsheets/d/1BJSV3WBYJGRhQ6zExamkszQ5VutGIcaQqmbD9ZTVXMQ/edit#gid=1251630045"",""articles_with_PRISMA_reasons!K2:K2113""), $A295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$A295=IMPORTRANGE(""https://docs.google.com/spreadsheets/d/1BJSV3WBYJGRhQ6zExamkszQ5VutGIcaQqmbD9ZTVXMQ/edit#gid=1251630045"",""articles_with_PRISMA_reasons!B2:B2113"")))-1)"),"Na-Hye")</f>
        <v>Na-Hye</v>
      </c>
      <c r="C295" s="6">
        <f>IFERROR(__xludf.DUMMYFUNCTION("FILTER(IMPORTRANGE(""https://docs.google.com/spreadsheets/d/1BJSV3WBYJGRhQ6zExamkszQ5VutGIcaQqmbD9ZTVXMQ/edit#gid=1251630045"",""articles_with_PRISMA_reasons!C2:C2113""), $A295=IMPORTRANGE(""https://docs.google.com/spreadsheets/d/1BJSV3WBYJGRhQ6zExamkszQ5"&amp;"VutGIcaQqmbD9ZTVXMQ/edit#gid=1251630045"",""articles_with_PRISMA_reasons!B2:B2113""))"),1994.0)</f>
        <v>1994</v>
      </c>
      <c r="D295" s="5" t="str">
        <f>IFERROR(__xludf.DUMMYFUNCTION("IFS(AND(
FILTER(IMPORTRANGE(""https://docs.google.com/spreadsheets/d/1BJSV3WBYJGRhQ6zExamkszQ5VutGIcaQqmbD9ZTVXMQ/edit#gid=1251630045"",""articles_with_PRISMA_reasons!Y2:Y2113""), $A295=IMPORTRANGE(""https://docs.google.com/spreadsheets/d/1BJSV3WBYJGRhQ6z"&amp;"ExamkszQ5VutGIcaQqmbD9ZTVXMQ/edit#gid=1251630045"",""articles_with_PRISMA_reasons!B2:B2113""))&gt;=2,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$A295=IMPORTRANGE(""https://docs.google.com/spreadsheets/d/1BJSV3WBYJGRhQ6zExamkszQ5VutGIcaQqmbD9ZTVXMQ/edit#gid=1251630045"",""articles_with_PRISMA_reasons!B2:B2113""))&lt;2),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$A295=IMPORTRANGE(""https://docs.google.com/spreadsheets/d/1BJSV3WBYJGRhQ6zExamkszQ5VutGIcaQqmbD9ZTVXMQ/edit#gid=1251630045"",""arti"&amp;"cles_with_PRISMA_reasons!B2:B2113""))&lt;2,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$A295=IMPORTRANGE(""https://docs.google.com"&amp;"/spreadsheets/d/1BJSV3WBYJGRhQ6zExamkszQ5VutGIcaQqmbD9ZTVXMQ/edit#gid=1251630045"",""articles_with_PRISMA_reasons!B2:B2113""))&gt;=2),
""Exclude""
)"),"Exclude")</f>
        <v>Exclude</v>
      </c>
      <c r="E295" s="5" t="str">
        <f>IFERROR(__xludf.DUMMYFUNCTION("IFS(
D295=""Exclude"",""Exclude"",
AND(
FILTER(IMPORTRANGE(""https://docs.google.com/spreadsheets/d/1qpEmbGH0JjaJbUdp21-y2cPbobDbMjr09BbtdKROZWc/edit#gid=1444865654"",""articles_with_PRISMA_reasons!W2:W2113""), $A295=IMPORTRANGE(""https://docs.google.com/"&amp;"spreadsheets/d/1qpEmbGH0JjaJbUdp21-y2cPbobDbMjr09BbtdKROZWc/edit#gid=1444865654"",""articles_with_PRISMA_reasons!B2:B2113""))&gt;=2,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$A295=IMPORTRANGE(""https://docs.google.com/spreadsheets/d/1qpEmbGH0JjaJbUdp21-y2cPbobDbMjr09BbtdKROZWc/edit#gid=1444865654"",""articles_with_PRISMA_reasons!B2:B2113""))&lt;2),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$A295=IMPORTRANGE(""https://docs.google.com/spreadsheets/d/1qpEmbGH0JjaJbUdp21-y2cPbobDbMjr09BbtdKRO"&amp;"ZWc/edit#gid=1444865654"",""articles_with_PRISMA_reasons!B2:B2113""))&lt;2,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$A295=IMPOR"&amp;"TRANGE(""https://docs.google.com/spreadsheets/d/1qpEmbGH0JjaJbUdp21-y2cPbobDbMjr09BbtdKROZWc/edit#gid=1444865654"",""articles_with_PRISMA_reasons!B2:B2113""))&gt;=2),
""Exclude""
)"),"Exclude")</f>
        <v>Exclude</v>
      </c>
      <c r="F295" s="5" t="str">
        <f>IFERROR(__xludf.DUMMYFUNCTION("IFS(
E295=""Exclude"",""Exclude"",
AND(
COUNTIF(
IMPORTRANGE(""https://docs.google.com/spreadsheets/d/1kGrh75X1cNR1D7_FcY9zMnHP8iPO4M5RCRjy6nZY0TY/edit#gid=0"",""Table 1: Study characteristics!B4:B171""),A295)&gt;0,
COUNTIF(Studies!$A$2:$A$85,FILTER(IMPORTRA"&amp;"NGE(""https://docs.google.com/spreadsheets/d/1kGrh75X1cNR1D7_FcY9zMnHP8iPO4M5RCRjy6nZY0TY/edit#gid=0"",""Table 1: Study characteristics!A4:A171""), $A295=IMPORTRANGE(""https://docs.google.com/spreadsheets/d/1kGrh75X1cNR1D7_FcY9zMnHP8iPO4M5RCRjy6nZY0TY/edi"&amp;"t#gid=0"",""Table 1: Study characteristics!B4:B171"")))&gt;0
),
""Include""
)"),"Exclude")</f>
        <v>Exclude</v>
      </c>
      <c r="G295" s="5" t="str">
        <f>IFERROR(__xludf.DUMMYFUNCTION("IFS(
D295=""Exclude"",
FILTER(IMPORTRANGE(""https://docs.google.com/spreadsheets/d/1BJSV3WBYJGRhQ6zExamkszQ5VutGIcaQqmbD9ZTVXMQ/edit#gid=1251630045"",""articles_with_PRISMA_reasons!AB2:AB2113""), $A295=IMPORTRANGE(""https://docs.google.com/spreadsheets/d/"&amp;"1BJSV3WBYJGRhQ6zExamkszQ5VutGIcaQqmbD9ZTVXMQ/edit#gid=1251630045"",""articles_with_PRISMA_reasons!B2:B2113"")),
E295=""Exclude"",
FILTER(IMPORTRANGE(""https://docs.google.com/spreadsheets/d/1qpEmbGH0JjaJbUdp21-y2cPbobDbMjr09BbtdKROZWc/edit#gid=1444865654"&amp;""",""articles_with_PRISMA_reasons!Z2:Z2113""), $A295=IMPORTRANGE(""https://docs.google.com/spreadsheets/d/1qpEmbGH0JjaJbUdp21-y2cPbobDbMjr09BbtdKROZWc/edit#gid=1444865654"",""articles_with_PRISMA_reasons!B2:B2113"")),F295
=""Include"",FILTER(IMPORTRANGE("&amp;"""https://docs.google.com/spreadsheets/d/1kGrh75X1cNR1D7_FcY9zMnHP8iPO4M5RCRjy6nZY0TY/edit#gid=0"",""Table 1: Study characteristics!A4:A171""), $A295=IMPORTRANGE(""https://docs.google.com/spreadsheets/d/1kGrh75X1cNR1D7_FcY9zMnHP8iPO4M5RCRjy6nZY0TY/edit#gi"&amp;"d=0"",""Table 1: Study characteristics!B4:B171""))
)"),"wrong publication type")</f>
        <v>wrong publication type</v>
      </c>
    </row>
    <row r="296">
      <c r="A296" s="4" t="str">
        <f>IFERROR(__xludf.DUMMYFUNCTION("""COMPUTED_VALUE"""),"Are Primary and Secondary Types of Brain Anomalies Exclusive Factors Affecting the Attention Networks in Individuals With Spina Bifida?")</f>
        <v>Are Primary and Secondary Types of Brain Anomalies Exclusive Factors Affecting the Attention Networks in Individuals With Spina Bifida?</v>
      </c>
      <c r="B296" s="5" t="str">
        <f>IFERROR(__xludf.DUMMYFUNCTION("LEFT(FILTER(IMPORTRANGE(""https://docs.google.com/spreadsheets/d/1BJSV3WBYJGRhQ6zExamkszQ5VutGIcaQqmbD9ZTVXMQ/edit#gid=1251630045"",""articles_with_PRISMA_reasons!K2:K2113""), $A296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$A296=IMPORTRANGE(""https://docs.google.com/spreadsheets/d/1BJSV3WBYJGRhQ6zExamkszQ5VutGIcaQqmbD9ZTVXMQ/edit#gid=1251630045"",""articles_with_PRISMA_reasons!B2:B2113"")))-1)"),"Kulesz")</f>
        <v>Kulesz</v>
      </c>
      <c r="C296" s="6">
        <f>IFERROR(__xludf.DUMMYFUNCTION("FILTER(IMPORTRANGE(""https://docs.google.com/spreadsheets/d/1BJSV3WBYJGRhQ6zExamkszQ5VutGIcaQqmbD9ZTVXMQ/edit#gid=1251630045"",""articles_with_PRISMA_reasons!C2:C2113""), $A296=IMPORTRANGE(""https://docs.google.com/spreadsheets/d/1BJSV3WBYJGRhQ6zExamkszQ5"&amp;"VutGIcaQqmbD9ZTVXMQ/edit#gid=1251630045"",""articles_with_PRISMA_reasons!B2:B2113""))"),2019.0)</f>
        <v>2019</v>
      </c>
      <c r="D296" s="5" t="str">
        <f>IFERROR(__xludf.DUMMYFUNCTION("IFS(AND(
FILTER(IMPORTRANGE(""https://docs.google.com/spreadsheets/d/1BJSV3WBYJGRhQ6zExamkszQ5VutGIcaQqmbD9ZTVXMQ/edit#gid=1251630045"",""articles_with_PRISMA_reasons!Y2:Y2113""), $A296=IMPORTRANGE(""https://docs.google.com/spreadsheets/d/1BJSV3WBYJGRhQ6z"&amp;"ExamkszQ5VutGIcaQqmbD9ZTVXMQ/edit#gid=1251630045"",""articles_with_PRISMA_reasons!B2:B2113""))&gt;=2,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$A296=IMPORTRANGE(""https://docs.google.com/spreadsheets/d/1BJSV3WBYJGRhQ6zExamkszQ5VutGIcaQqmbD9ZTVXMQ/edit#gid=1251630045"",""articles_with_PRISMA_reasons!B2:B2113""))&lt;2),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$A296=IMPORTRANGE(""https://docs.google.com/spreadsheets/d/1BJSV3WBYJGRhQ6zExamkszQ5VutGIcaQqmbD9ZTVXMQ/edit#gid=1251630045"",""arti"&amp;"cles_with_PRISMA_reasons!B2:B2113""))&lt;2,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$A296=IMPORTRANGE(""https://docs.google.com"&amp;"/spreadsheets/d/1BJSV3WBYJGRhQ6zExamkszQ5VutGIcaQqmbD9ZTVXMQ/edit#gid=1251630045"",""articles_with_PRISMA_reasons!B2:B2113""))&gt;=2),
""Exclude""
)"),"Exclude")</f>
        <v>Exclude</v>
      </c>
      <c r="E296" s="5" t="str">
        <f>IFERROR(__xludf.DUMMYFUNCTION("IFS(
D296=""Exclude"",""Exclude"",
AND(
FILTER(IMPORTRANGE(""https://docs.google.com/spreadsheets/d/1qpEmbGH0JjaJbUdp21-y2cPbobDbMjr09BbtdKROZWc/edit#gid=1444865654"",""articles_with_PRISMA_reasons!W2:W2113""), $A296=IMPORTRANGE(""https://docs.google.com/"&amp;"spreadsheets/d/1qpEmbGH0JjaJbUdp21-y2cPbobDbMjr09BbtdKROZWc/edit#gid=1444865654"",""articles_with_PRISMA_reasons!B2:B2113""))&gt;=2,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$A296=IMPORTRANGE(""https://docs.google.com/spreadsheets/d/1qpEmbGH0JjaJbUdp21-y2cPbobDbMjr09BbtdKROZWc/edit#gid=1444865654"",""articles_with_PRISMA_reasons!B2:B2113""))&lt;2),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$A296=IMPORTRANGE(""https://docs.google.com/spreadsheets/d/1qpEmbGH0JjaJbUdp21-y2cPbobDbMjr09BbtdKRO"&amp;"ZWc/edit#gid=1444865654"",""articles_with_PRISMA_reasons!B2:B2113""))&lt;2,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$A296=IMPOR"&amp;"TRANGE(""https://docs.google.com/spreadsheets/d/1qpEmbGH0JjaJbUdp21-y2cPbobDbMjr09BbtdKROZWc/edit#gid=1444865654"",""articles_with_PRISMA_reasons!B2:B2113""))&gt;=2),
""Exclude""
)"),"Exclude")</f>
        <v>Exclude</v>
      </c>
      <c r="F296" s="5" t="str">
        <f>IFERROR(__xludf.DUMMYFUNCTION("IFS(
E296=""Exclude"",""Exclude"",
AND(
COUNTIF(
IMPORTRANGE(""https://docs.google.com/spreadsheets/d/1kGrh75X1cNR1D7_FcY9zMnHP8iPO4M5RCRjy6nZY0TY/edit#gid=0"",""Table 1: Study characteristics!B4:B171""),A296)&gt;0,
COUNTIF(Studies!$A$2:$A$85,FILTER(IMPORTRA"&amp;"NGE(""https://docs.google.com/spreadsheets/d/1kGrh75X1cNR1D7_FcY9zMnHP8iPO4M5RCRjy6nZY0TY/edit#gid=0"",""Table 1: Study characteristics!A4:A171""), $A296=IMPORTRANGE(""https://docs.google.com/spreadsheets/d/1kGrh75X1cNR1D7_FcY9zMnHP8iPO4M5RCRjy6nZY0TY/edi"&amp;"t#gid=0"",""Table 1: Study characteristics!B4:B171"")))&gt;0
),
""Include""
)"),"Exclude")</f>
        <v>Exclude</v>
      </c>
      <c r="G296" s="5" t="str">
        <f>IFERROR(__xludf.DUMMYFUNCTION("IFS(
D296=""Exclude"",
FILTER(IMPORTRANGE(""https://docs.google.com/spreadsheets/d/1BJSV3WBYJGRhQ6zExamkszQ5VutGIcaQqmbD9ZTVXMQ/edit#gid=1251630045"",""articles_with_PRISMA_reasons!AB2:AB2113""), $A296=IMPORTRANGE(""https://docs.google.com/spreadsheets/d/"&amp;"1BJSV3WBYJGRhQ6zExamkszQ5VutGIcaQqmbD9ZTVXMQ/edit#gid=1251630045"",""articles_with_PRISMA_reasons!B2:B2113"")),
E296=""Exclude"",
FILTER(IMPORTRANGE(""https://docs.google.com/spreadsheets/d/1qpEmbGH0JjaJbUdp21-y2cPbobDbMjr09BbtdKROZWc/edit#gid=1444865654"&amp;""",""articles_with_PRISMA_reasons!Z2:Z2113""), $A296=IMPORTRANGE(""https://docs.google.com/spreadsheets/d/1qpEmbGH0JjaJbUdp21-y2cPbobDbMjr09BbtdKROZWc/edit#gid=1444865654"",""articles_with_PRISMA_reasons!B2:B2113"")),F296
=""Include"",FILTER(IMPORTRANGE("&amp;"""https://docs.google.com/spreadsheets/d/1kGrh75X1cNR1D7_FcY9zMnHP8iPO4M5RCRjy6nZY0TY/edit#gid=0"",""Table 1: Study characteristics!A4:A171""), $A296=IMPORTRANGE(""https://docs.google.com/spreadsheets/d/1kGrh75X1cNR1D7_FcY9zMnHP8iPO4M5RCRjy6nZY0TY/edit#gi"&amp;"d=0"",""Table 1: Study characteristics!B4:B171""))
)"),"wrong population")</f>
        <v>wrong population</v>
      </c>
    </row>
    <row r="297">
      <c r="A297" s="4" t="str">
        <f>IFERROR(__xludf.DUMMYFUNCTION("""COMPUTED_VALUE"""),"Are some cases of spina bifida combined with cerebral palsy? A study of 28 cases")</f>
        <v>Are some cases of spina bifida combined with cerebral palsy? A study of 28 cases</v>
      </c>
      <c r="B297" s="5" t="str">
        <f>IFERROR(__xludf.DUMMYFUNCTION("LEFT(FILTER(IMPORTRANGE(""https://docs.google.com/spreadsheets/d/1BJSV3WBYJGRhQ6zExamkszQ5VutGIcaQqmbD9ZTVXMQ/edit#gid=1251630045"",""articles_with_PRISMA_reasons!K2:K2113""), $A297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$A297=IMPORTRANGE(""https://docs.google.com/spreadsheets/d/1BJSV3WBYJGRhQ6zExamkszQ5VutGIcaQqmbD9ZTVXMQ/edit#gid=1251630045"",""articles_with_PRISMA_reasons!B2:B2113"")))-1)"),"Ozaras")</f>
        <v>Ozaras</v>
      </c>
      <c r="C297" s="6">
        <f>IFERROR(__xludf.DUMMYFUNCTION("FILTER(IMPORTRANGE(""https://docs.google.com/spreadsheets/d/1BJSV3WBYJGRhQ6zExamkszQ5VutGIcaQqmbD9ZTVXMQ/edit#gid=1251630045"",""articles_with_PRISMA_reasons!C2:C2113""), $A297=IMPORTRANGE(""https://docs.google.com/spreadsheets/d/1BJSV3WBYJGRhQ6zExamkszQ5"&amp;"VutGIcaQqmbD9ZTVXMQ/edit#gid=1251630045"",""articles_with_PRISMA_reasons!B2:B2113""))"),2005.0)</f>
        <v>2005</v>
      </c>
      <c r="D297" s="5" t="str">
        <f>IFERROR(__xludf.DUMMYFUNCTION("IFS(AND(
FILTER(IMPORTRANGE(""https://docs.google.com/spreadsheets/d/1BJSV3WBYJGRhQ6zExamkszQ5VutGIcaQqmbD9ZTVXMQ/edit#gid=1251630045"",""articles_with_PRISMA_reasons!Y2:Y2113""), $A297=IMPORTRANGE(""https://docs.google.com/spreadsheets/d/1BJSV3WBYJGRhQ6z"&amp;"ExamkszQ5VutGIcaQqmbD9ZTVXMQ/edit#gid=1251630045"",""articles_with_PRISMA_reasons!B2:B2113""))&gt;=2,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$A297=IMPORTRANGE(""https://docs.google.com/spreadsheets/d/1BJSV3WBYJGRhQ6zExamkszQ5VutGIcaQqmbD9ZTVXMQ/edit#gid=1251630045"",""articles_with_PRISMA_reasons!B2:B2113""))&lt;2),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$A297=IMPORTRANGE(""https://docs.google.com/spreadsheets/d/1BJSV3WBYJGRhQ6zExamkszQ5VutGIcaQqmbD9ZTVXMQ/edit#gid=1251630045"",""arti"&amp;"cles_with_PRISMA_reasons!B2:B2113""))&lt;2,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$A297=IMPORTRANGE(""https://docs.google.com"&amp;"/spreadsheets/d/1BJSV3WBYJGRhQ6zExamkszQ5VutGIcaQqmbD9ZTVXMQ/edit#gid=1251630045"",""articles_with_PRISMA_reasons!B2:B2113""))&gt;=2),
""Exclude""
)"),"Exclude")</f>
        <v>Exclude</v>
      </c>
      <c r="E297" s="5" t="str">
        <f>IFERROR(__xludf.DUMMYFUNCTION("IFS(
D297=""Exclude"",""Exclude"",
AND(
FILTER(IMPORTRANGE(""https://docs.google.com/spreadsheets/d/1qpEmbGH0JjaJbUdp21-y2cPbobDbMjr09BbtdKROZWc/edit#gid=1444865654"",""articles_with_PRISMA_reasons!W2:W2113""), $A297=IMPORTRANGE(""https://docs.google.com/"&amp;"spreadsheets/d/1qpEmbGH0JjaJbUdp21-y2cPbobDbMjr09BbtdKROZWc/edit#gid=1444865654"",""articles_with_PRISMA_reasons!B2:B2113""))&gt;=2,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$A297=IMPORTRANGE(""https://docs.google.com/spreadsheets/d/1qpEmbGH0JjaJbUdp21-y2cPbobDbMjr09BbtdKROZWc/edit#gid=1444865654"",""articles_with_PRISMA_reasons!B2:B2113""))&lt;2),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$A297=IMPORTRANGE(""https://docs.google.com/spreadsheets/d/1qpEmbGH0JjaJbUdp21-y2cPbobDbMjr09BbtdKRO"&amp;"ZWc/edit#gid=1444865654"",""articles_with_PRISMA_reasons!B2:B2113""))&lt;2,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$A297=IMPOR"&amp;"TRANGE(""https://docs.google.com/spreadsheets/d/1qpEmbGH0JjaJbUdp21-y2cPbobDbMjr09BbtdKROZWc/edit#gid=1444865654"",""articles_with_PRISMA_reasons!B2:B2113""))&gt;=2),
""Exclude""
)"),"Exclude")</f>
        <v>Exclude</v>
      </c>
      <c r="F297" s="5" t="str">
        <f>IFERROR(__xludf.DUMMYFUNCTION("IFS(
E297=""Exclude"",""Exclude"",
AND(
COUNTIF(
IMPORTRANGE(""https://docs.google.com/spreadsheets/d/1kGrh75X1cNR1D7_FcY9zMnHP8iPO4M5RCRjy6nZY0TY/edit#gid=0"",""Table 1: Study characteristics!B4:B171""),A297)&gt;0,
COUNTIF(Studies!$A$2:$A$85,FILTER(IMPORTRA"&amp;"NGE(""https://docs.google.com/spreadsheets/d/1kGrh75X1cNR1D7_FcY9zMnHP8iPO4M5RCRjy6nZY0TY/edit#gid=0"",""Table 1: Study characteristics!A4:A171""), $A297=IMPORTRANGE(""https://docs.google.com/spreadsheets/d/1kGrh75X1cNR1D7_FcY9zMnHP8iPO4M5RCRjy6nZY0TY/edi"&amp;"t#gid=0"",""Table 1: Study characteristics!B4:B171"")))&gt;0
),
""Include""
)"),"Exclude")</f>
        <v>Exclude</v>
      </c>
      <c r="G297" s="5" t="str">
        <f>IFERROR(__xludf.DUMMYFUNCTION("IFS(
D297=""Exclude"",
FILTER(IMPORTRANGE(""https://docs.google.com/spreadsheets/d/1BJSV3WBYJGRhQ6zExamkszQ5VutGIcaQqmbD9ZTVXMQ/edit#gid=1251630045"",""articles_with_PRISMA_reasons!AB2:AB2113""), $A297=IMPORTRANGE(""https://docs.google.com/spreadsheets/d/"&amp;"1BJSV3WBYJGRhQ6zExamkszQ5VutGIcaQqmbD9ZTVXMQ/edit#gid=1251630045"",""articles_with_PRISMA_reasons!B2:B2113"")),
E297=""Exclude"",
FILTER(IMPORTRANGE(""https://docs.google.com/spreadsheets/d/1qpEmbGH0JjaJbUdp21-y2cPbobDbMjr09BbtdKROZWc/edit#gid=1444865654"&amp;""",""articles_with_PRISMA_reasons!Z2:Z2113""), $A297=IMPORTRANGE(""https://docs.google.com/spreadsheets/d/1qpEmbGH0JjaJbUdp21-y2cPbobDbMjr09BbtdKROZWc/edit#gid=1444865654"",""articles_with_PRISMA_reasons!B2:B2113"")),F297
=""Include"",FILTER(IMPORTRANGE("&amp;"""https://docs.google.com/spreadsheets/d/1kGrh75X1cNR1D7_FcY9zMnHP8iPO4M5RCRjy6nZY0TY/edit#gid=0"",""Table 1: Study characteristics!A4:A171""), $A297=IMPORTRANGE(""https://docs.google.com/spreadsheets/d/1kGrh75X1cNR1D7_FcY9zMnHP8iPO4M5RCRjy6nZY0TY/edit#gi"&amp;"d=0"",""Table 1: Study characteristics!B4:B171""))
)"),"wrong population")</f>
        <v>wrong population</v>
      </c>
    </row>
    <row r="298">
      <c r="A298" s="4" t="str">
        <f>IFERROR(__xludf.DUMMYFUNCTION("""COMPUTED_VALUE"""),"Arithmetic skills and their cognitive correlates in children with acquired and congenital brain disorder")</f>
        <v>Arithmetic skills and their cognitive correlates in children with acquired and congenital brain disorder</v>
      </c>
      <c r="B298" s="5" t="str">
        <f>IFERROR(__xludf.DUMMYFUNCTION("LEFT(FILTER(IMPORTRANGE(""https://docs.google.com/spreadsheets/d/1BJSV3WBYJGRhQ6zExamkszQ5VutGIcaQqmbD9ZTVXMQ/edit#gid=1251630045"",""articles_with_PRISMA_reasons!K2:K2113""), $A298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$A298=IMPORTRANGE(""https://docs.google.com/spreadsheets/d/1BJSV3WBYJGRhQ6zExamkszQ5VutGIcaQqmbD9ZTVXMQ/edit#gid=1251630045"",""articles_with_PRISMA_reasons!B2:B2113"")))-1)"),"Ayr")</f>
        <v>Ayr</v>
      </c>
      <c r="C298" s="6">
        <f>IFERROR(__xludf.DUMMYFUNCTION("FILTER(IMPORTRANGE(""https://docs.google.com/spreadsheets/d/1BJSV3WBYJGRhQ6zExamkszQ5VutGIcaQqmbD9ZTVXMQ/edit#gid=1251630045"",""articles_with_PRISMA_reasons!C2:C2113""), $A298=IMPORTRANGE(""https://docs.google.com/spreadsheets/d/1BJSV3WBYJGRhQ6zExamkszQ5"&amp;"VutGIcaQqmbD9ZTVXMQ/edit#gid=1251630045"",""articles_with_PRISMA_reasons!B2:B2113""))"),2005.0)</f>
        <v>2005</v>
      </c>
      <c r="D298" s="5" t="str">
        <f>IFERROR(__xludf.DUMMYFUNCTION("IFS(AND(
FILTER(IMPORTRANGE(""https://docs.google.com/spreadsheets/d/1BJSV3WBYJGRhQ6zExamkszQ5VutGIcaQqmbD9ZTVXMQ/edit#gid=1251630045"",""articles_with_PRISMA_reasons!Y2:Y2113""), $A298=IMPORTRANGE(""https://docs.google.com/spreadsheets/d/1BJSV3WBYJGRhQ6z"&amp;"ExamkszQ5VutGIcaQqmbD9ZTVXMQ/edit#gid=1251630045"",""articles_with_PRISMA_reasons!B2:B2113""))&gt;=2,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$A298=IMPORTRANGE(""https://docs.google.com/spreadsheets/d/1BJSV3WBYJGRhQ6zExamkszQ5VutGIcaQqmbD9ZTVXMQ/edit#gid=1251630045"",""articles_with_PRISMA_reasons!B2:B2113""))&lt;2),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$A298=IMPORTRANGE(""https://docs.google.com/spreadsheets/d/1BJSV3WBYJGRhQ6zExamkszQ5VutGIcaQqmbD9ZTVXMQ/edit#gid=1251630045"",""arti"&amp;"cles_with_PRISMA_reasons!B2:B2113""))&lt;2,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$A298=IMPORTRANGE(""https://docs.google.com"&amp;"/spreadsheets/d/1BJSV3WBYJGRhQ6zExamkszQ5VutGIcaQqmbD9ZTVXMQ/edit#gid=1251630045"",""articles_with_PRISMA_reasons!B2:B2113""))&gt;=2),
""Exclude""
)"),"Include")</f>
        <v>Include</v>
      </c>
      <c r="E298" s="5" t="str">
        <f>IFERROR(__xludf.DUMMYFUNCTION("IFS(
D298=""Exclude"",""Exclude"",
AND(
FILTER(IMPORTRANGE(""https://docs.google.com/spreadsheets/d/1qpEmbGH0JjaJbUdp21-y2cPbobDbMjr09BbtdKROZWc/edit#gid=1444865654"",""articles_with_PRISMA_reasons!W2:W2113""), $A298=IMPORTRANGE(""https://docs.google.com/"&amp;"spreadsheets/d/1qpEmbGH0JjaJbUdp21-y2cPbobDbMjr09BbtdKROZWc/edit#gid=1444865654"",""articles_with_PRISMA_reasons!B2:B2113""))&gt;=2,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$A298=IMPORTRANGE(""https://docs.google.com/spreadsheets/d/1qpEmbGH0JjaJbUdp21-y2cPbobDbMjr09BbtdKROZWc/edit#gid=1444865654"",""articles_with_PRISMA_reasons!B2:B2113""))&lt;2),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$A298=IMPORTRANGE(""https://docs.google.com/spreadsheets/d/1qpEmbGH0JjaJbUdp21-y2cPbobDbMjr09BbtdKRO"&amp;"ZWc/edit#gid=1444865654"",""articles_with_PRISMA_reasons!B2:B2113""))&lt;2,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$A298=IMPOR"&amp;"TRANGE(""https://docs.google.com/spreadsheets/d/1qpEmbGH0JjaJbUdp21-y2cPbobDbMjr09BbtdKROZWc/edit#gid=1444865654"",""articles_with_PRISMA_reasons!B2:B2113""))&gt;=2),
""Exclude""
)"),"Exclude")</f>
        <v>Exclude</v>
      </c>
      <c r="F298" s="5" t="str">
        <f>IFERROR(__xludf.DUMMYFUNCTION("IFS(
E298=""Exclude"",""Exclude"",
AND(
COUNTIF(
IMPORTRANGE(""https://docs.google.com/spreadsheets/d/1kGrh75X1cNR1D7_FcY9zMnHP8iPO4M5RCRjy6nZY0TY/edit#gid=0"",""Table 1: Study characteristics!B4:B171""),A298)&gt;0,
COUNTIF(Studies!$A$2:$A$85,FILTER(IMPORTRA"&amp;"NGE(""https://docs.google.com/spreadsheets/d/1kGrh75X1cNR1D7_FcY9zMnHP8iPO4M5RCRjy6nZY0TY/edit#gid=0"",""Table 1: Study characteristics!A4:A171""), $A298=IMPORTRANGE(""https://docs.google.com/spreadsheets/d/1kGrh75X1cNR1D7_FcY9zMnHP8iPO4M5RCRjy6nZY0TY/edi"&amp;"t#gid=0"",""Table 1: Study characteristics!B4:B171"")))&gt;0
),
""Include""
)"),"Exclude")</f>
        <v>Exclude</v>
      </c>
      <c r="G298" s="5" t="str">
        <f>IFERROR(__xludf.DUMMYFUNCTION("IFS(
D298=""Exclude"",
FILTER(IMPORTRANGE(""https://docs.google.com/spreadsheets/d/1BJSV3WBYJGRhQ6zExamkszQ5VutGIcaQqmbD9ZTVXMQ/edit#gid=1251630045"",""articles_with_PRISMA_reasons!AB2:AB2113""), $A298=IMPORTRANGE(""https://docs.google.com/spreadsheets/d/"&amp;"1BJSV3WBYJGRhQ6zExamkszQ5VutGIcaQqmbD9ZTVXMQ/edit#gid=1251630045"",""articles_with_PRISMA_reasons!B2:B2113"")),
E298=""Exclude"",
FILTER(IMPORTRANGE(""https://docs.google.com/spreadsheets/d/1qpEmbGH0JjaJbUdp21-y2cPbobDbMjr09BbtdKROZWc/edit#gid=1444865654"&amp;""",""articles_with_PRISMA_reasons!Z2:Z2113""), $A298=IMPORTRANGE(""https://docs.google.com/spreadsheets/d/1qpEmbGH0JjaJbUdp21-y2cPbobDbMjr09BbtdKROZWc/edit#gid=1444865654"",""articles_with_PRISMA_reasons!B2:B2113"")),F298
=""Include"",FILTER(IMPORTRANGE("&amp;"""https://docs.google.com/spreadsheets/d/1kGrh75X1cNR1D7_FcY9zMnHP8iPO4M5RCRjy6nZY0TY/edit#gid=0"",""Table 1: Study characteristics!A4:A171""), $A298=IMPORTRANGE(""https://docs.google.com/spreadsheets/d/1kGrh75X1cNR1D7_FcY9zMnHP8iPO4M5RCRjy6nZY0TY/edit#gi"&amp;"d=0"",""Table 1: Study characteristics!B4:B171""))
)"),"wrong population")</f>
        <v>wrong population</v>
      </c>
    </row>
    <row r="299">
      <c r="A299" s="4" t="str">
        <f>IFERROR(__xludf.DUMMYFUNCTION("""COMPUTED_VALUE"""),"Arm span, serum IGF-1 and IGFBP-3 levels as screening parameters for the diagnosis of growth hormone deficiency in patients with myelomeningocele--preliminary data")</f>
        <v>Arm span, serum IGF-1 and IGFBP-3 levels as screening parameters for the diagnosis of growth hormone deficiency in patients with myelomeningocele--preliminary data</v>
      </c>
      <c r="B299" s="5" t="str">
        <f>IFERROR(__xludf.DUMMYFUNCTION("LEFT(FILTER(IMPORTRANGE(""https://docs.google.com/spreadsheets/d/1BJSV3WBYJGRhQ6zExamkszQ5VutGIcaQqmbD9ZTVXMQ/edit#gid=1251630045"",""articles_with_PRISMA_reasons!K2:K2113""), $A299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$A299=IMPORTRANGE(""https://docs.google.com/spreadsheets/d/1BJSV3WBYJGRhQ6zExamkszQ5VutGIcaQqmbD9ZTVXMQ/edit#gid=1251630045"",""articles_with_PRISMA_reasons!B2:B2113"")))-1)"),"Trollmann")</f>
        <v>Trollmann</v>
      </c>
      <c r="C299" s="6">
        <f>IFERROR(__xludf.DUMMYFUNCTION("FILTER(IMPORTRANGE(""https://docs.google.com/spreadsheets/d/1BJSV3WBYJGRhQ6zExamkszQ5VutGIcaQqmbD9ZTVXMQ/edit#gid=1251630045"",""articles_with_PRISMA_reasons!C2:C2113""), $A299=IMPORTRANGE(""https://docs.google.com/spreadsheets/d/1BJSV3WBYJGRhQ6zExamkszQ5"&amp;"VutGIcaQqmbD9ZTVXMQ/edit#gid=1251630045"",""articles_with_PRISMA_reasons!B2:B2113""))"),1998.0)</f>
        <v>1998</v>
      </c>
      <c r="D299" s="5" t="str">
        <f>IFERROR(__xludf.DUMMYFUNCTION("IFS(AND(
FILTER(IMPORTRANGE(""https://docs.google.com/spreadsheets/d/1BJSV3WBYJGRhQ6zExamkszQ5VutGIcaQqmbD9ZTVXMQ/edit#gid=1251630045"",""articles_with_PRISMA_reasons!Y2:Y2113""), $A299=IMPORTRANGE(""https://docs.google.com/spreadsheets/d/1BJSV3WBYJGRhQ6z"&amp;"ExamkszQ5VutGIcaQqmbD9ZTVXMQ/edit#gid=1251630045"",""articles_with_PRISMA_reasons!B2:B2113""))&gt;=2,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$A299=IMPORTRANGE(""https://docs.google.com/spreadsheets/d/1BJSV3WBYJGRhQ6zExamkszQ5VutGIcaQqmbD9ZTVXMQ/edit#gid=1251630045"",""articles_with_PRISMA_reasons!B2:B2113""))&lt;2),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$A299=IMPORTRANGE(""https://docs.google.com/spreadsheets/d/1BJSV3WBYJGRhQ6zExamkszQ5VutGIcaQqmbD9ZTVXMQ/edit#gid=1251630045"",""arti"&amp;"cles_with_PRISMA_reasons!B2:B2113""))&lt;2,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$A299=IMPORTRANGE(""https://docs.google.com"&amp;"/spreadsheets/d/1BJSV3WBYJGRhQ6zExamkszQ5VutGIcaQqmbD9ZTVXMQ/edit#gid=1251630045"",""articles_with_PRISMA_reasons!B2:B2113""))&gt;=2),
""Exclude""
)"),"Exclude")</f>
        <v>Exclude</v>
      </c>
      <c r="E299" s="5" t="str">
        <f>IFERROR(__xludf.DUMMYFUNCTION("IFS(
D299=""Exclude"",""Exclude"",
AND(
FILTER(IMPORTRANGE(""https://docs.google.com/spreadsheets/d/1qpEmbGH0JjaJbUdp21-y2cPbobDbMjr09BbtdKROZWc/edit#gid=1444865654"",""articles_with_PRISMA_reasons!W2:W2113""), $A299=IMPORTRANGE(""https://docs.google.com/"&amp;"spreadsheets/d/1qpEmbGH0JjaJbUdp21-y2cPbobDbMjr09BbtdKROZWc/edit#gid=1444865654"",""articles_with_PRISMA_reasons!B2:B2113""))&gt;=2,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$A299=IMPORTRANGE(""https://docs.google.com/spreadsheets/d/1qpEmbGH0JjaJbUdp21-y2cPbobDbMjr09BbtdKROZWc/edit#gid=1444865654"",""articles_with_PRISMA_reasons!B2:B2113""))&lt;2),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$A299=IMPORTRANGE(""https://docs.google.com/spreadsheets/d/1qpEmbGH0JjaJbUdp21-y2cPbobDbMjr09BbtdKRO"&amp;"ZWc/edit#gid=1444865654"",""articles_with_PRISMA_reasons!B2:B2113""))&lt;2,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$A299=IMPOR"&amp;"TRANGE(""https://docs.google.com/spreadsheets/d/1qpEmbGH0JjaJbUdp21-y2cPbobDbMjr09BbtdKROZWc/edit#gid=1444865654"",""articles_with_PRISMA_reasons!B2:B2113""))&gt;=2),
""Exclude""
)"),"Exclude")</f>
        <v>Exclude</v>
      </c>
      <c r="F299" s="5" t="str">
        <f>IFERROR(__xludf.DUMMYFUNCTION("IFS(
E299=""Exclude"",""Exclude"",
AND(
COUNTIF(
IMPORTRANGE(""https://docs.google.com/spreadsheets/d/1kGrh75X1cNR1D7_FcY9zMnHP8iPO4M5RCRjy6nZY0TY/edit#gid=0"",""Table 1: Study characteristics!B4:B171""),A299)&gt;0,
COUNTIF(Studies!$A$2:$A$85,FILTER(IMPORTRA"&amp;"NGE(""https://docs.google.com/spreadsheets/d/1kGrh75X1cNR1D7_FcY9zMnHP8iPO4M5RCRjy6nZY0TY/edit#gid=0"",""Table 1: Study characteristics!A4:A171""), $A299=IMPORTRANGE(""https://docs.google.com/spreadsheets/d/1kGrh75X1cNR1D7_FcY9zMnHP8iPO4M5RCRjy6nZY0TY/edi"&amp;"t#gid=0"",""Table 1: Study characteristics!B4:B171"")))&gt;0
),
""Include""
)"),"Exclude")</f>
        <v>Exclude</v>
      </c>
      <c r="G299" s="5" t="str">
        <f>IFERROR(__xludf.DUMMYFUNCTION("IFS(
D299=""Exclude"",
FILTER(IMPORTRANGE(""https://docs.google.com/spreadsheets/d/1BJSV3WBYJGRhQ6zExamkszQ5VutGIcaQqmbD9ZTVXMQ/edit#gid=1251630045"",""articles_with_PRISMA_reasons!AB2:AB2113""), $A299=IMPORTRANGE(""https://docs.google.com/spreadsheets/d/"&amp;"1BJSV3WBYJGRhQ6zExamkszQ5VutGIcaQqmbD9ZTVXMQ/edit#gid=1251630045"",""articles_with_PRISMA_reasons!B2:B2113"")),
E299=""Exclude"",
FILTER(IMPORTRANGE(""https://docs.google.com/spreadsheets/d/1qpEmbGH0JjaJbUdp21-y2cPbobDbMjr09BbtdKROZWc/edit#gid=1444865654"&amp;""",""articles_with_PRISMA_reasons!Z2:Z2113""), $A299=IMPORTRANGE(""https://docs.google.com/spreadsheets/d/1qpEmbGH0JjaJbUdp21-y2cPbobDbMjr09BbtdKROZWc/edit#gid=1444865654"",""articles_with_PRISMA_reasons!B2:B2113"")),F299
=""Include"",FILTER(IMPORTRANGE("&amp;"""https://docs.google.com/spreadsheets/d/1kGrh75X1cNR1D7_FcY9zMnHP8iPO4M5RCRjy6nZY0TY/edit#gid=0"",""Table 1: Study characteristics!A4:A171""), $A299=IMPORTRANGE(""https://docs.google.com/spreadsheets/d/1kGrh75X1cNR1D7_FcY9zMnHP8iPO4M5RCRjy6nZY0TY/edit#gi"&amp;"d=0"",""Table 1: Study characteristics!B4:B171""))
)"),"wrong population")</f>
        <v>wrong population</v>
      </c>
    </row>
    <row r="300">
      <c r="A300" s="4" t="str">
        <f>IFERROR(__xludf.DUMMYFUNCTION("""COMPUTED_VALUE"""),"Arnold chiari malformation with spina bifida: A lost opportunity of folic acid supplementation")</f>
        <v>Arnold chiari malformation with spina bifida: A lost opportunity of folic acid supplementation</v>
      </c>
      <c r="B300" s="5" t="str">
        <f>IFERROR(__xludf.DUMMYFUNCTION("LEFT(FILTER(IMPORTRANGE(""https://docs.google.com/spreadsheets/d/1BJSV3WBYJGRhQ6zExamkszQ5VutGIcaQqmbD9ZTVXMQ/edit#gid=1251630045"",""articles_with_PRISMA_reasons!K2:K2113""), $A300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$A300=IMPORTRANGE(""https://docs.google.com/spreadsheets/d/1BJSV3WBYJGRhQ6zExamkszQ5VutGIcaQqmbD9ZTVXMQ/edit#gid=1251630045"",""articles_with_PRISMA_reasons!B2:B2113"")))-1)"),"Ganesh")</f>
        <v>Ganesh</v>
      </c>
      <c r="C300" s="6">
        <f>IFERROR(__xludf.DUMMYFUNCTION("FILTER(IMPORTRANGE(""https://docs.google.com/spreadsheets/d/1BJSV3WBYJGRhQ6zExamkszQ5VutGIcaQqmbD9ZTVXMQ/edit#gid=1251630045"",""articles_with_PRISMA_reasons!C2:C2113""), $A300=IMPORTRANGE(""https://docs.google.com/spreadsheets/d/1BJSV3WBYJGRhQ6zExamkszQ5"&amp;"VutGIcaQqmbD9ZTVXMQ/edit#gid=1251630045"",""articles_with_PRISMA_reasons!B2:B2113""))"),2014.0)</f>
        <v>2014</v>
      </c>
      <c r="D300" s="5" t="str">
        <f>IFERROR(__xludf.DUMMYFUNCTION("IFS(AND(
FILTER(IMPORTRANGE(""https://docs.google.com/spreadsheets/d/1BJSV3WBYJGRhQ6zExamkszQ5VutGIcaQqmbD9ZTVXMQ/edit#gid=1251630045"",""articles_with_PRISMA_reasons!Y2:Y2113""), $A300=IMPORTRANGE(""https://docs.google.com/spreadsheets/d/1BJSV3WBYJGRhQ6z"&amp;"ExamkszQ5VutGIcaQqmbD9ZTVXMQ/edit#gid=1251630045"",""articles_with_PRISMA_reasons!B2:B2113""))&gt;=2,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$A300=IMPORTRANGE(""https://docs.google.com/spreadsheets/d/1BJSV3WBYJGRhQ6zExamkszQ5VutGIcaQqmbD9ZTVXMQ/edit#gid=1251630045"",""articles_with_PRISMA_reasons!B2:B2113""))&lt;2),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$A300=IMPORTRANGE(""https://docs.google.com/spreadsheets/d/1BJSV3WBYJGRhQ6zExamkszQ5VutGIcaQqmbD9ZTVXMQ/edit#gid=1251630045"",""arti"&amp;"cles_with_PRISMA_reasons!B2:B2113""))&lt;2,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$A300=IMPORTRANGE(""https://docs.google.com"&amp;"/spreadsheets/d/1BJSV3WBYJGRhQ6zExamkszQ5VutGIcaQqmbD9ZTVXMQ/edit#gid=1251630045"",""articles_with_PRISMA_reasons!B2:B2113""))&gt;=2),
""Exclude""
)"),"Exclude")</f>
        <v>Exclude</v>
      </c>
      <c r="E300" s="5" t="str">
        <f>IFERROR(__xludf.DUMMYFUNCTION("IFS(
D300=""Exclude"",""Exclude"",
AND(
FILTER(IMPORTRANGE(""https://docs.google.com/spreadsheets/d/1qpEmbGH0JjaJbUdp21-y2cPbobDbMjr09BbtdKROZWc/edit#gid=1444865654"",""articles_with_PRISMA_reasons!W2:W2113""), $A300=IMPORTRANGE(""https://docs.google.com/"&amp;"spreadsheets/d/1qpEmbGH0JjaJbUdp21-y2cPbobDbMjr09BbtdKROZWc/edit#gid=1444865654"",""articles_with_PRISMA_reasons!B2:B2113""))&gt;=2,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$A300=IMPORTRANGE(""https://docs.google.com/spreadsheets/d/1qpEmbGH0JjaJbUdp21-y2cPbobDbMjr09BbtdKROZWc/edit#gid=1444865654"",""articles_with_PRISMA_reasons!B2:B2113""))&lt;2),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$A300=IMPORTRANGE(""https://docs.google.com/spreadsheets/d/1qpEmbGH0JjaJbUdp21-y2cPbobDbMjr09BbtdKRO"&amp;"ZWc/edit#gid=1444865654"",""articles_with_PRISMA_reasons!B2:B2113""))&lt;2,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$A300=IMPOR"&amp;"TRANGE(""https://docs.google.com/spreadsheets/d/1qpEmbGH0JjaJbUdp21-y2cPbobDbMjr09BbtdKROZWc/edit#gid=1444865654"",""articles_with_PRISMA_reasons!B2:B2113""))&gt;=2),
""Exclude""
)"),"Exclude")</f>
        <v>Exclude</v>
      </c>
      <c r="F300" s="5" t="str">
        <f>IFERROR(__xludf.DUMMYFUNCTION("IFS(
E300=""Exclude"",""Exclude"",
AND(
COUNTIF(
IMPORTRANGE(""https://docs.google.com/spreadsheets/d/1kGrh75X1cNR1D7_FcY9zMnHP8iPO4M5RCRjy6nZY0TY/edit#gid=0"",""Table 1: Study characteristics!B4:B171""),A300)&gt;0,
COUNTIF(Studies!$A$2:$A$85,FILTER(IMPORTRA"&amp;"NGE(""https://docs.google.com/spreadsheets/d/1kGrh75X1cNR1D7_FcY9zMnHP8iPO4M5RCRjy6nZY0TY/edit#gid=0"",""Table 1: Study characteristics!A4:A171""), $A300=IMPORTRANGE(""https://docs.google.com/spreadsheets/d/1kGrh75X1cNR1D7_FcY9zMnHP8iPO4M5RCRjy6nZY0TY/edi"&amp;"t#gid=0"",""Table 1: Study characteristics!B4:B171"")))&gt;0
),
""Include""
)"),"Exclude")</f>
        <v>Exclude</v>
      </c>
      <c r="G300" s="5" t="str">
        <f>IFERROR(__xludf.DUMMYFUNCTION("IFS(
D300=""Exclude"",
FILTER(IMPORTRANGE(""https://docs.google.com/spreadsheets/d/1BJSV3WBYJGRhQ6zExamkszQ5VutGIcaQqmbD9ZTVXMQ/edit#gid=1251630045"",""articles_with_PRISMA_reasons!AB2:AB2113""), $A300=IMPORTRANGE(""https://docs.google.com/spreadsheets/d/"&amp;"1BJSV3WBYJGRhQ6zExamkszQ5VutGIcaQqmbD9ZTVXMQ/edit#gid=1251630045"",""articles_with_PRISMA_reasons!B2:B2113"")),
E300=""Exclude"",
FILTER(IMPORTRANGE(""https://docs.google.com/spreadsheets/d/1qpEmbGH0JjaJbUdp21-y2cPbobDbMjr09BbtdKROZWc/edit#gid=1444865654"&amp;""",""articles_with_PRISMA_reasons!Z2:Z2113""), $A300=IMPORTRANGE(""https://docs.google.com/spreadsheets/d/1qpEmbGH0JjaJbUdp21-y2cPbobDbMjr09BbtdKROZWc/edit#gid=1444865654"",""articles_with_PRISMA_reasons!B2:B2113"")),F300
=""Include"",FILTER(IMPORTRANGE("&amp;"""https://docs.google.com/spreadsheets/d/1kGrh75X1cNR1D7_FcY9zMnHP8iPO4M5RCRjy6nZY0TY/edit#gid=0"",""Table 1: Study characteristics!A4:A171""), $A300=IMPORTRANGE(""https://docs.google.com/spreadsheets/d/1kGrh75X1cNR1D7_FcY9zMnHP8iPO4M5RCRjy6nZY0TY/edit#gi"&amp;"d=0"",""Table 1: Study characteristics!B4:B171""))
)"),"wrong study design")</f>
        <v>wrong study design</v>
      </c>
    </row>
    <row r="301">
      <c r="A301" s="4" t="str">
        <f>IFERROR(__xludf.DUMMYFUNCTION("""COMPUTED_VALUE"""),"Arnold-Chiari malformation: a diagnostic challenge")</f>
        <v>Arnold-Chiari malformation: a diagnostic challenge</v>
      </c>
      <c r="B301" s="5" t="str">
        <f>IFERROR(__xludf.DUMMYFUNCTION("LEFT(FILTER(IMPORTRANGE(""https://docs.google.com/spreadsheets/d/1BJSV3WBYJGRhQ6zExamkszQ5VutGIcaQqmbD9ZTVXMQ/edit#gid=1251630045"",""articles_with_PRISMA_reasons!K2:K2113""), $A301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$A301=IMPORTRANGE(""https://docs.google.com/spreadsheets/d/1BJSV3WBYJGRhQ6zExamkszQ5VutGIcaQqmbD9ZTVXMQ/edit#gid=1251630045"",""articles_with_PRISMA_reasons!B2:B2113"")))-1)"),"Susman")</f>
        <v>Susman</v>
      </c>
      <c r="C301" s="6">
        <f>IFERROR(__xludf.DUMMYFUNCTION("FILTER(IMPORTRANGE(""https://docs.google.com/spreadsheets/d/1BJSV3WBYJGRhQ6zExamkszQ5VutGIcaQqmbD9ZTVXMQ/edit#gid=1251630045"",""articles_with_PRISMA_reasons!C2:C2113""), $A301=IMPORTRANGE(""https://docs.google.com/spreadsheets/d/1BJSV3WBYJGRhQ6zExamkszQ5"&amp;"VutGIcaQqmbD9ZTVXMQ/edit#gid=1251630045"",""articles_with_PRISMA_reasons!B2:B2113""))"),1989.0)</f>
        <v>1989</v>
      </c>
      <c r="D301" s="5" t="str">
        <f>IFERROR(__xludf.DUMMYFUNCTION("IFS(AND(
FILTER(IMPORTRANGE(""https://docs.google.com/spreadsheets/d/1BJSV3WBYJGRhQ6zExamkszQ5VutGIcaQqmbD9ZTVXMQ/edit#gid=1251630045"",""articles_with_PRISMA_reasons!Y2:Y2113""), $A301=IMPORTRANGE(""https://docs.google.com/spreadsheets/d/1BJSV3WBYJGRhQ6z"&amp;"ExamkszQ5VutGIcaQqmbD9ZTVXMQ/edit#gid=1251630045"",""articles_with_PRISMA_reasons!B2:B2113""))&gt;=2,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$A301=IMPORTRANGE(""https://docs.google.com/spreadsheets/d/1BJSV3WBYJGRhQ6zExamkszQ5VutGIcaQqmbD9ZTVXMQ/edit#gid=1251630045"",""articles_with_PRISMA_reasons!B2:B2113""))&lt;2),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$A301=IMPORTRANGE(""https://docs.google.com/spreadsheets/d/1BJSV3WBYJGRhQ6zExamkszQ5VutGIcaQqmbD9ZTVXMQ/edit#gid=1251630045"",""arti"&amp;"cles_with_PRISMA_reasons!B2:B2113""))&lt;2,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$A301=IMPORTRANGE(""https://docs.google.com"&amp;"/spreadsheets/d/1BJSV3WBYJGRhQ6zExamkszQ5VutGIcaQqmbD9ZTVXMQ/edit#gid=1251630045"",""articles_with_PRISMA_reasons!B2:B2113""))&gt;=2),
""Exclude""
)"),"Exclude")</f>
        <v>Exclude</v>
      </c>
      <c r="E301" s="5" t="str">
        <f>IFERROR(__xludf.DUMMYFUNCTION("IFS(
D301=""Exclude"",""Exclude"",
AND(
FILTER(IMPORTRANGE(""https://docs.google.com/spreadsheets/d/1qpEmbGH0JjaJbUdp21-y2cPbobDbMjr09BbtdKROZWc/edit#gid=1444865654"",""articles_with_PRISMA_reasons!W2:W2113""), $A301=IMPORTRANGE(""https://docs.google.com/"&amp;"spreadsheets/d/1qpEmbGH0JjaJbUdp21-y2cPbobDbMjr09BbtdKROZWc/edit#gid=1444865654"",""articles_with_PRISMA_reasons!B2:B2113""))&gt;=2,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$A301=IMPORTRANGE(""https://docs.google.com/spreadsheets/d/1qpEmbGH0JjaJbUdp21-y2cPbobDbMjr09BbtdKROZWc/edit#gid=1444865654"",""articles_with_PRISMA_reasons!B2:B2113""))&lt;2),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$A301=IMPORTRANGE(""https://docs.google.com/spreadsheets/d/1qpEmbGH0JjaJbUdp21-y2cPbobDbMjr09BbtdKRO"&amp;"ZWc/edit#gid=1444865654"",""articles_with_PRISMA_reasons!B2:B2113""))&lt;2,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$A301=IMPOR"&amp;"TRANGE(""https://docs.google.com/spreadsheets/d/1qpEmbGH0JjaJbUdp21-y2cPbobDbMjr09BbtdKROZWc/edit#gid=1444865654"",""articles_with_PRISMA_reasons!B2:B2113""))&gt;=2),
""Exclude""
)"),"Exclude")</f>
        <v>Exclude</v>
      </c>
      <c r="F301" s="5" t="str">
        <f>IFERROR(__xludf.DUMMYFUNCTION("IFS(
E301=""Exclude"",""Exclude"",
AND(
COUNTIF(
IMPORTRANGE(""https://docs.google.com/spreadsheets/d/1kGrh75X1cNR1D7_FcY9zMnHP8iPO4M5RCRjy6nZY0TY/edit#gid=0"",""Table 1: Study characteristics!B4:B171""),A301)&gt;0,
COUNTIF(Studies!$A$2:$A$85,FILTER(IMPORTRA"&amp;"NGE(""https://docs.google.com/spreadsheets/d/1kGrh75X1cNR1D7_FcY9zMnHP8iPO4M5RCRjy6nZY0TY/edit#gid=0"",""Table 1: Study characteristics!A4:A171""), $A301=IMPORTRANGE(""https://docs.google.com/spreadsheets/d/1kGrh75X1cNR1D7_FcY9zMnHP8iPO4M5RCRjy6nZY0TY/edi"&amp;"t#gid=0"",""Table 1: Study characteristics!B4:B171"")))&gt;0
),
""Include""
)"),"Exclude")</f>
        <v>Exclude</v>
      </c>
      <c r="G301" s="5" t="str">
        <f>IFERROR(__xludf.DUMMYFUNCTION("IFS(
D301=""Exclude"",
FILTER(IMPORTRANGE(""https://docs.google.com/spreadsheets/d/1BJSV3WBYJGRhQ6zExamkszQ5VutGIcaQqmbD9ZTVXMQ/edit#gid=1251630045"",""articles_with_PRISMA_reasons!AB2:AB2113""), $A301=IMPORTRANGE(""https://docs.google.com/spreadsheets/d/"&amp;"1BJSV3WBYJGRhQ6zExamkszQ5VutGIcaQqmbD9ZTVXMQ/edit#gid=1251630045"",""articles_with_PRISMA_reasons!B2:B2113"")),
E301=""Exclude"",
FILTER(IMPORTRANGE(""https://docs.google.com/spreadsheets/d/1qpEmbGH0JjaJbUdp21-y2cPbobDbMjr09BbtdKROZWc/edit#gid=1444865654"&amp;""",""articles_with_PRISMA_reasons!Z2:Z2113""), $A301=IMPORTRANGE(""https://docs.google.com/spreadsheets/d/1qpEmbGH0JjaJbUdp21-y2cPbobDbMjr09BbtdKROZWc/edit#gid=1444865654"",""articles_with_PRISMA_reasons!B2:B2113"")),F301
=""Include"",FILTER(IMPORTRANGE("&amp;"""https://docs.google.com/spreadsheets/d/1kGrh75X1cNR1D7_FcY9zMnHP8iPO4M5RCRjy6nZY0TY/edit#gid=0"",""Table 1: Study characteristics!A4:A171""), $A301=IMPORTRANGE(""https://docs.google.com/spreadsheets/d/1kGrh75X1cNR1D7_FcY9zMnHP8iPO4M5RCRjy6nZY0TY/edit#gi"&amp;"d=0"",""Table 1: Study characteristics!B4:B171""))
)"),"wrong study design")</f>
        <v>wrong study design</v>
      </c>
    </row>
    <row r="302">
      <c r="A302" s="4" t="str">
        <f>IFERROR(__xludf.DUMMYFUNCTION("""COMPUTED_VALUE"""),"Arnold-Chiari malformation: Report of a case with contamination of ventricular and subarachnoid spaces by amniotic sac contents")</f>
        <v>Arnold-Chiari malformation: Report of a case with contamination of ventricular and subarachnoid spaces by amniotic sac contents</v>
      </c>
      <c r="B302" s="5" t="str">
        <f>IFERROR(__xludf.DUMMYFUNCTION("LEFT(FILTER(IMPORTRANGE(""https://docs.google.com/spreadsheets/d/1BJSV3WBYJGRhQ6zExamkszQ5VutGIcaQqmbD9ZTVXMQ/edit#gid=1251630045"",""articles_with_PRISMA_reasons!K2:K2113""), $A302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$A302=IMPORTRANGE(""https://docs.google.com/spreadsheets/d/1BJSV3WBYJGRhQ6zExamkszQ5VutGIcaQqmbD9ZTVXMQ/edit#gid=1251630045"",""articles_with_PRISMA_reasons!B2:B2113"")))-1)"),"Agamanolis")</f>
        <v>Agamanolis</v>
      </c>
      <c r="C302" s="6">
        <f>IFERROR(__xludf.DUMMYFUNCTION("FILTER(IMPORTRANGE(""https://docs.google.com/spreadsheets/d/1BJSV3WBYJGRhQ6zExamkszQ5VutGIcaQqmbD9ZTVXMQ/edit#gid=1251630045"",""articles_with_PRISMA_reasons!C2:C2113""), $A302=IMPORTRANGE(""https://docs.google.com/spreadsheets/d/1BJSV3WBYJGRhQ6zExamkszQ5"&amp;"VutGIcaQqmbD9ZTVXMQ/edit#gid=1251630045"",""articles_with_PRISMA_reasons!B2:B2113""))"),1984.0)</f>
        <v>1984</v>
      </c>
      <c r="D302" s="5" t="str">
        <f>IFERROR(__xludf.DUMMYFUNCTION("IFS(AND(
FILTER(IMPORTRANGE(""https://docs.google.com/spreadsheets/d/1BJSV3WBYJGRhQ6zExamkszQ5VutGIcaQqmbD9ZTVXMQ/edit#gid=1251630045"",""articles_with_PRISMA_reasons!Y2:Y2113""), $A302=IMPORTRANGE(""https://docs.google.com/spreadsheets/d/1BJSV3WBYJGRhQ6z"&amp;"ExamkszQ5VutGIcaQqmbD9ZTVXMQ/edit#gid=1251630045"",""articles_with_PRISMA_reasons!B2:B2113""))&gt;=2,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$A302=IMPORTRANGE(""https://docs.google.com/spreadsheets/d/1BJSV3WBYJGRhQ6zExamkszQ5VutGIcaQqmbD9ZTVXMQ/edit#gid=1251630045"",""articles_with_PRISMA_reasons!B2:B2113""))&lt;2),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$A302=IMPORTRANGE(""https://docs.google.com/spreadsheets/d/1BJSV3WBYJGRhQ6zExamkszQ5VutGIcaQqmbD9ZTVXMQ/edit#gid=1251630045"",""arti"&amp;"cles_with_PRISMA_reasons!B2:B2113""))&lt;2,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$A302=IMPORTRANGE(""https://docs.google.com"&amp;"/spreadsheets/d/1BJSV3WBYJGRhQ6zExamkszQ5VutGIcaQqmbD9ZTVXMQ/edit#gid=1251630045"",""articles_with_PRISMA_reasons!B2:B2113""))&gt;=2),
""Exclude""
)"),"Exclude")</f>
        <v>Exclude</v>
      </c>
      <c r="E302" s="5" t="str">
        <f>IFERROR(__xludf.DUMMYFUNCTION("IFS(
D302=""Exclude"",""Exclude"",
AND(
FILTER(IMPORTRANGE(""https://docs.google.com/spreadsheets/d/1qpEmbGH0JjaJbUdp21-y2cPbobDbMjr09BbtdKROZWc/edit#gid=1444865654"",""articles_with_PRISMA_reasons!W2:W2113""), $A302=IMPORTRANGE(""https://docs.google.com/"&amp;"spreadsheets/d/1qpEmbGH0JjaJbUdp21-y2cPbobDbMjr09BbtdKROZWc/edit#gid=1444865654"",""articles_with_PRISMA_reasons!B2:B2113""))&gt;=2,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$A302=IMPORTRANGE(""https://docs.google.com/spreadsheets/d/1qpEmbGH0JjaJbUdp21-y2cPbobDbMjr09BbtdKROZWc/edit#gid=1444865654"",""articles_with_PRISMA_reasons!B2:B2113""))&lt;2),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$A302=IMPORTRANGE(""https://docs.google.com/spreadsheets/d/1qpEmbGH0JjaJbUdp21-y2cPbobDbMjr09BbtdKRO"&amp;"ZWc/edit#gid=1444865654"",""articles_with_PRISMA_reasons!B2:B2113""))&lt;2,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$A302=IMPOR"&amp;"TRANGE(""https://docs.google.com/spreadsheets/d/1qpEmbGH0JjaJbUdp21-y2cPbobDbMjr09BbtdKROZWc/edit#gid=1444865654"",""articles_with_PRISMA_reasons!B2:B2113""))&gt;=2),
""Exclude""
)"),"Exclude")</f>
        <v>Exclude</v>
      </c>
      <c r="F302" s="5" t="str">
        <f>IFERROR(__xludf.DUMMYFUNCTION("IFS(
E302=""Exclude"",""Exclude"",
AND(
COUNTIF(
IMPORTRANGE(""https://docs.google.com/spreadsheets/d/1kGrh75X1cNR1D7_FcY9zMnHP8iPO4M5RCRjy6nZY0TY/edit#gid=0"",""Table 1: Study characteristics!B4:B171""),A302)&gt;0,
COUNTIF(Studies!$A$2:$A$85,FILTER(IMPORTRA"&amp;"NGE(""https://docs.google.com/spreadsheets/d/1kGrh75X1cNR1D7_FcY9zMnHP8iPO4M5RCRjy6nZY0TY/edit#gid=0"",""Table 1: Study characteristics!A4:A171""), $A302=IMPORTRANGE(""https://docs.google.com/spreadsheets/d/1kGrh75X1cNR1D7_FcY9zMnHP8iPO4M5RCRjy6nZY0TY/edi"&amp;"t#gid=0"",""Table 1: Study characteristics!B4:B171"")))&gt;0
),
""Include""
)"),"Exclude")</f>
        <v>Exclude</v>
      </c>
      <c r="G302" s="5" t="str">
        <f>IFERROR(__xludf.DUMMYFUNCTION("IFS(
D302=""Exclude"",
FILTER(IMPORTRANGE(""https://docs.google.com/spreadsheets/d/1BJSV3WBYJGRhQ6zExamkszQ5VutGIcaQqmbD9ZTVXMQ/edit#gid=1251630045"",""articles_with_PRISMA_reasons!AB2:AB2113""), $A302=IMPORTRANGE(""https://docs.google.com/spreadsheets/d/"&amp;"1BJSV3WBYJGRhQ6zExamkszQ5VutGIcaQqmbD9ZTVXMQ/edit#gid=1251630045"",""articles_with_PRISMA_reasons!B2:B2113"")),
E302=""Exclude"",
FILTER(IMPORTRANGE(""https://docs.google.com/spreadsheets/d/1qpEmbGH0JjaJbUdp21-y2cPbobDbMjr09BbtdKROZWc/edit#gid=1444865654"&amp;""",""articles_with_PRISMA_reasons!Z2:Z2113""), $A302=IMPORTRANGE(""https://docs.google.com/spreadsheets/d/1qpEmbGH0JjaJbUdp21-y2cPbobDbMjr09BbtdKROZWc/edit#gid=1444865654"",""articles_with_PRISMA_reasons!B2:B2113"")),F302
=""Include"",FILTER(IMPORTRANGE("&amp;"""https://docs.google.com/spreadsheets/d/1kGrh75X1cNR1D7_FcY9zMnHP8iPO4M5RCRjy6nZY0TY/edit#gid=0"",""Table 1: Study characteristics!A4:A171""), $A302=IMPORTRANGE(""https://docs.google.com/spreadsheets/d/1kGrh75X1cNR1D7_FcY9zMnHP8iPO4M5RCRjy6nZY0TY/edit#gi"&amp;"d=0"",""Table 1: Study characteristics!B4:B171""))
)"),"wrong study design")</f>
        <v>wrong study design</v>
      </c>
    </row>
    <row r="303">
      <c r="A303" s="4" t="str">
        <f>IFERROR(__xludf.DUMMYFUNCTION("""COMPUTED_VALUE"""),"Arnold-Chiari syndrome (type I)")</f>
        <v>Arnold-Chiari syndrome (type I)</v>
      </c>
      <c r="B303" s="5" t="str">
        <f>IFERROR(__xludf.DUMMYFUNCTION("LEFT(FILTER(IMPORTRANGE(""https://docs.google.com/spreadsheets/d/1BJSV3WBYJGRhQ6zExamkszQ5VutGIcaQqmbD9ZTVXMQ/edit#gid=1251630045"",""articles_with_PRISMA_reasons!K2:K2113""), $A303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$A303=IMPORTRANGE(""https://docs.google.com/spreadsheets/d/1BJSV3WBYJGRhQ6zExamkszQ5VutGIcaQqmbD9ZTVXMQ/edit#gid=1251630045"",""articles_with_PRISMA_reasons!B2:B2113"")))-1)"),"Tasdemir")</f>
        <v>Tasdemir</v>
      </c>
      <c r="C303" s="6">
        <f>IFERROR(__xludf.DUMMYFUNCTION("FILTER(IMPORTRANGE(""https://docs.google.com/spreadsheets/d/1BJSV3WBYJGRhQ6zExamkszQ5VutGIcaQqmbD9ZTVXMQ/edit#gid=1251630045"",""articles_with_PRISMA_reasons!C2:C2113""), $A303=IMPORTRANGE(""https://docs.google.com/spreadsheets/d/1BJSV3WBYJGRhQ6zExamkszQ5"&amp;"VutGIcaQqmbD9ZTVXMQ/edit#gid=1251630045"",""articles_with_PRISMA_reasons!B2:B2113""))"),2006.0)</f>
        <v>2006</v>
      </c>
      <c r="D303" s="5" t="str">
        <f>IFERROR(__xludf.DUMMYFUNCTION("IFS(AND(
FILTER(IMPORTRANGE(""https://docs.google.com/spreadsheets/d/1BJSV3WBYJGRhQ6zExamkszQ5VutGIcaQqmbD9ZTVXMQ/edit#gid=1251630045"",""articles_with_PRISMA_reasons!Y2:Y2113""), $A303=IMPORTRANGE(""https://docs.google.com/spreadsheets/d/1BJSV3WBYJGRhQ6z"&amp;"ExamkszQ5VutGIcaQqmbD9ZTVXMQ/edit#gid=1251630045"",""articles_with_PRISMA_reasons!B2:B2113""))&gt;=2,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$A303=IMPORTRANGE(""https://docs.google.com/spreadsheets/d/1BJSV3WBYJGRhQ6zExamkszQ5VutGIcaQqmbD9ZTVXMQ/edit#gid=1251630045"",""articles_with_PRISMA_reasons!B2:B2113""))&lt;2),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$A303=IMPORTRANGE(""https://docs.google.com/spreadsheets/d/1BJSV3WBYJGRhQ6zExamkszQ5VutGIcaQqmbD9ZTVXMQ/edit#gid=1251630045"",""arti"&amp;"cles_with_PRISMA_reasons!B2:B2113""))&lt;2,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$A303=IMPORTRANGE(""https://docs.google.com"&amp;"/spreadsheets/d/1BJSV3WBYJGRhQ6zExamkszQ5VutGIcaQqmbD9ZTVXMQ/edit#gid=1251630045"",""articles_with_PRISMA_reasons!B2:B2113""))&gt;=2),
""Exclude""
)"),"Exclude")</f>
        <v>Exclude</v>
      </c>
      <c r="E303" s="5" t="str">
        <f>IFERROR(__xludf.DUMMYFUNCTION("IFS(
D303=""Exclude"",""Exclude"",
AND(
FILTER(IMPORTRANGE(""https://docs.google.com/spreadsheets/d/1qpEmbGH0JjaJbUdp21-y2cPbobDbMjr09BbtdKROZWc/edit#gid=1444865654"",""articles_with_PRISMA_reasons!W2:W2113""), $A303=IMPORTRANGE(""https://docs.google.com/"&amp;"spreadsheets/d/1qpEmbGH0JjaJbUdp21-y2cPbobDbMjr09BbtdKROZWc/edit#gid=1444865654"",""articles_with_PRISMA_reasons!B2:B2113""))&gt;=2,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$A303=IMPORTRANGE(""https://docs.google.com/spreadsheets/d/1qpEmbGH0JjaJbUdp21-y2cPbobDbMjr09BbtdKROZWc/edit#gid=1444865654"",""articles_with_PRISMA_reasons!B2:B2113""))&lt;2),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$A303=IMPORTRANGE(""https://docs.google.com/spreadsheets/d/1qpEmbGH0JjaJbUdp21-y2cPbobDbMjr09BbtdKRO"&amp;"ZWc/edit#gid=1444865654"",""articles_with_PRISMA_reasons!B2:B2113""))&lt;2,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$A303=IMPOR"&amp;"TRANGE(""https://docs.google.com/spreadsheets/d/1qpEmbGH0JjaJbUdp21-y2cPbobDbMjr09BbtdKROZWc/edit#gid=1444865654"",""articles_with_PRISMA_reasons!B2:B2113""))&gt;=2),
""Exclude""
)"),"Exclude")</f>
        <v>Exclude</v>
      </c>
      <c r="F303" s="5" t="str">
        <f>IFERROR(__xludf.DUMMYFUNCTION("IFS(
E303=""Exclude"",""Exclude"",
AND(
COUNTIF(
IMPORTRANGE(""https://docs.google.com/spreadsheets/d/1kGrh75X1cNR1D7_FcY9zMnHP8iPO4M5RCRjy6nZY0TY/edit#gid=0"",""Table 1: Study characteristics!B4:B171""),A303)&gt;0,
COUNTIF(Studies!$A$2:$A$85,FILTER(IMPORTRA"&amp;"NGE(""https://docs.google.com/spreadsheets/d/1kGrh75X1cNR1D7_FcY9zMnHP8iPO4M5RCRjy6nZY0TY/edit#gid=0"",""Table 1: Study characteristics!A4:A171""), $A303=IMPORTRANGE(""https://docs.google.com/spreadsheets/d/1kGrh75X1cNR1D7_FcY9zMnHP8iPO4M5RCRjy6nZY0TY/edi"&amp;"t#gid=0"",""Table 1: Study characteristics!B4:B171"")))&gt;0
),
""Include""
)"),"Exclude")</f>
        <v>Exclude</v>
      </c>
      <c r="G303" s="5" t="str">
        <f>IFERROR(__xludf.DUMMYFUNCTION("IFS(
D303=""Exclude"",
FILTER(IMPORTRANGE(""https://docs.google.com/spreadsheets/d/1BJSV3WBYJGRhQ6zExamkszQ5VutGIcaQqmbD9ZTVXMQ/edit#gid=1251630045"",""articles_with_PRISMA_reasons!AB2:AB2113""), $A303=IMPORTRANGE(""https://docs.google.com/spreadsheets/d/"&amp;"1BJSV3WBYJGRhQ6zExamkszQ5VutGIcaQqmbD9ZTVXMQ/edit#gid=1251630045"",""articles_with_PRISMA_reasons!B2:B2113"")),
E303=""Exclude"",
FILTER(IMPORTRANGE(""https://docs.google.com/spreadsheets/d/1qpEmbGH0JjaJbUdp21-y2cPbobDbMjr09BbtdKROZWc/edit#gid=1444865654"&amp;""",""articles_with_PRISMA_reasons!Z2:Z2113""), $A303=IMPORTRANGE(""https://docs.google.com/spreadsheets/d/1qpEmbGH0JjaJbUdp21-y2cPbobDbMjr09BbtdKROZWc/edit#gid=1444865654"",""articles_with_PRISMA_reasons!B2:B2113"")),F303
=""Include"",FILTER(IMPORTRANGE("&amp;"""https://docs.google.com/spreadsheets/d/1kGrh75X1cNR1D7_FcY9zMnHP8iPO4M5RCRjy6nZY0TY/edit#gid=0"",""Table 1: Study characteristics!A4:A171""), $A303=IMPORTRANGE(""https://docs.google.com/spreadsheets/d/1kGrh75X1cNR1D7_FcY9zMnHP8iPO4M5RCRjy6nZY0TY/edit#gi"&amp;"d=0"",""Table 1: Study characteristics!B4:B171""))
)"),"wrong study design")</f>
        <v>wrong study design</v>
      </c>
    </row>
    <row r="304">
      <c r="A304" s="4" t="str">
        <f>IFERROR(__xludf.DUMMYFUNCTION("""COMPUTED_VALUE"""),"Arthrogryposis in a case of chiari malformation II: First case report in a mediterranean population")</f>
        <v>Arthrogryposis in a case of chiari malformation II: First case report in a mediterranean population</v>
      </c>
      <c r="B304" s="5" t="str">
        <f>IFERROR(__xludf.DUMMYFUNCTION("LEFT(FILTER(IMPORTRANGE(""https://docs.google.com/spreadsheets/d/1BJSV3WBYJGRhQ6zExamkszQ5VutGIcaQqmbD9ZTVXMQ/edit#gid=1251630045"",""articles_with_PRISMA_reasons!K2:K2113""), $A304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$A304=IMPORTRANGE(""https://docs.google.com/spreadsheets/d/1BJSV3WBYJGRhQ6zExamkszQ5VutGIcaQqmbD9ZTVXMQ/edit#gid=1251630045"",""articles_with_PRISMA_reasons!B2:B2113"")))-1)"),"Naja")</f>
        <v>Naja</v>
      </c>
      <c r="C304" s="6">
        <f>IFERROR(__xludf.DUMMYFUNCTION("FILTER(IMPORTRANGE(""https://docs.google.com/spreadsheets/d/1BJSV3WBYJGRhQ6zExamkszQ5VutGIcaQqmbD9ZTVXMQ/edit#gid=1251630045"",""articles_with_PRISMA_reasons!C2:C2113""), $A304=IMPORTRANGE(""https://docs.google.com/spreadsheets/d/1BJSV3WBYJGRhQ6zExamkszQ5"&amp;"VutGIcaQqmbD9ZTVXMQ/edit#gid=1251630045"",""articles_with_PRISMA_reasons!B2:B2113""))"),2019.0)</f>
        <v>2019</v>
      </c>
      <c r="D304" s="5" t="str">
        <f>IFERROR(__xludf.DUMMYFUNCTION("IFS(AND(
FILTER(IMPORTRANGE(""https://docs.google.com/spreadsheets/d/1BJSV3WBYJGRhQ6zExamkszQ5VutGIcaQqmbD9ZTVXMQ/edit#gid=1251630045"",""articles_with_PRISMA_reasons!Y2:Y2113""), $A304=IMPORTRANGE(""https://docs.google.com/spreadsheets/d/1BJSV3WBYJGRhQ6z"&amp;"ExamkszQ5VutGIcaQqmbD9ZTVXMQ/edit#gid=1251630045"",""articles_with_PRISMA_reasons!B2:B2113""))&gt;=2,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$A304=IMPORTRANGE(""https://docs.google.com/spreadsheets/d/1BJSV3WBYJGRhQ6zExamkszQ5VutGIcaQqmbD9ZTVXMQ/edit#gid=1251630045"",""articles_with_PRISMA_reasons!B2:B2113""))&lt;2),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$A304=IMPORTRANGE(""https://docs.google.com/spreadsheets/d/1BJSV3WBYJGRhQ6zExamkszQ5VutGIcaQqmbD9ZTVXMQ/edit#gid=1251630045"",""arti"&amp;"cles_with_PRISMA_reasons!B2:B2113""))&lt;2,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$A304=IMPORTRANGE(""https://docs.google.com"&amp;"/spreadsheets/d/1BJSV3WBYJGRhQ6zExamkszQ5VutGIcaQqmbD9ZTVXMQ/edit#gid=1251630045"",""articles_with_PRISMA_reasons!B2:B2113""))&gt;=2),
""Exclude""
)"),"Exclude")</f>
        <v>Exclude</v>
      </c>
      <c r="E304" s="5" t="str">
        <f>IFERROR(__xludf.DUMMYFUNCTION("IFS(
D304=""Exclude"",""Exclude"",
AND(
FILTER(IMPORTRANGE(""https://docs.google.com/spreadsheets/d/1qpEmbGH0JjaJbUdp21-y2cPbobDbMjr09BbtdKROZWc/edit#gid=1444865654"",""articles_with_PRISMA_reasons!W2:W2113""), $A304=IMPORTRANGE(""https://docs.google.com/"&amp;"spreadsheets/d/1qpEmbGH0JjaJbUdp21-y2cPbobDbMjr09BbtdKROZWc/edit#gid=1444865654"",""articles_with_PRISMA_reasons!B2:B2113""))&gt;=2,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$A304=IMPORTRANGE(""https://docs.google.com/spreadsheets/d/1qpEmbGH0JjaJbUdp21-y2cPbobDbMjr09BbtdKROZWc/edit#gid=1444865654"",""articles_with_PRISMA_reasons!B2:B2113""))&lt;2),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$A304=IMPORTRANGE(""https://docs.google.com/spreadsheets/d/1qpEmbGH0JjaJbUdp21-y2cPbobDbMjr09BbtdKRO"&amp;"ZWc/edit#gid=1444865654"",""articles_with_PRISMA_reasons!B2:B2113""))&lt;2,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$A304=IMPOR"&amp;"TRANGE(""https://docs.google.com/spreadsheets/d/1qpEmbGH0JjaJbUdp21-y2cPbobDbMjr09BbtdKROZWc/edit#gid=1444865654"",""articles_with_PRISMA_reasons!B2:B2113""))&gt;=2),
""Exclude""
)"),"Exclude")</f>
        <v>Exclude</v>
      </c>
      <c r="F304" s="5" t="str">
        <f>IFERROR(__xludf.DUMMYFUNCTION("IFS(
E304=""Exclude"",""Exclude"",
AND(
COUNTIF(
IMPORTRANGE(""https://docs.google.com/spreadsheets/d/1kGrh75X1cNR1D7_FcY9zMnHP8iPO4M5RCRjy6nZY0TY/edit#gid=0"",""Table 1: Study characteristics!B4:B171""),A304)&gt;0,
COUNTIF(Studies!$A$2:$A$85,FILTER(IMPORTRA"&amp;"NGE(""https://docs.google.com/spreadsheets/d/1kGrh75X1cNR1D7_FcY9zMnHP8iPO4M5RCRjy6nZY0TY/edit#gid=0"",""Table 1: Study characteristics!A4:A171""), $A304=IMPORTRANGE(""https://docs.google.com/spreadsheets/d/1kGrh75X1cNR1D7_FcY9zMnHP8iPO4M5RCRjy6nZY0TY/edi"&amp;"t#gid=0"",""Table 1: Study characteristics!B4:B171"")))&gt;0
),
""Include""
)"),"Exclude")</f>
        <v>Exclude</v>
      </c>
      <c r="G304" s="5" t="str">
        <f>IFERROR(__xludf.DUMMYFUNCTION("IFS(
D304=""Exclude"",
FILTER(IMPORTRANGE(""https://docs.google.com/spreadsheets/d/1BJSV3WBYJGRhQ6zExamkszQ5VutGIcaQqmbD9ZTVXMQ/edit#gid=1251630045"",""articles_with_PRISMA_reasons!AB2:AB2113""), $A304=IMPORTRANGE(""https://docs.google.com/spreadsheets/d/"&amp;"1BJSV3WBYJGRhQ6zExamkszQ5VutGIcaQqmbD9ZTVXMQ/edit#gid=1251630045"",""articles_with_PRISMA_reasons!B2:B2113"")),
E304=""Exclude"",
FILTER(IMPORTRANGE(""https://docs.google.com/spreadsheets/d/1qpEmbGH0JjaJbUdp21-y2cPbobDbMjr09BbtdKROZWc/edit#gid=1444865654"&amp;""",""articles_with_PRISMA_reasons!Z2:Z2113""), $A304=IMPORTRANGE(""https://docs.google.com/spreadsheets/d/1qpEmbGH0JjaJbUdp21-y2cPbobDbMjr09BbtdKROZWc/edit#gid=1444865654"",""articles_with_PRISMA_reasons!B2:B2113"")),F304
=""Include"",FILTER(IMPORTRANGE("&amp;"""https://docs.google.com/spreadsheets/d/1kGrh75X1cNR1D7_FcY9zMnHP8iPO4M5RCRjy6nZY0TY/edit#gid=0"",""Table 1: Study characteristics!A4:A171""), $A304=IMPORTRANGE(""https://docs.google.com/spreadsheets/d/1kGrh75X1cNR1D7_FcY9zMnHP8iPO4M5RCRjy6nZY0TY/edit#gi"&amp;"d=0"",""Table 1: Study characteristics!B4:B171""))
)"),"wrong study design")</f>
        <v>wrong study design</v>
      </c>
    </row>
    <row r="305">
      <c r="A305" s="4" t="str">
        <f>IFERROR(__xludf.DUMMYFUNCTION("""COMPUTED_VALUE"""),"Ascites and abdominal pseudocyst: Two uncommon ventriculoperitoneal shunt complications in two cases")</f>
        <v>Ascites and abdominal pseudocyst: Two uncommon ventriculoperitoneal shunt complications in two cases</v>
      </c>
      <c r="B305" s="5" t="str">
        <f>IFERROR(__xludf.DUMMYFUNCTION("LEFT(FILTER(IMPORTRANGE(""https://docs.google.com/spreadsheets/d/1BJSV3WBYJGRhQ6zExamkszQ5VutGIcaQqmbD9ZTVXMQ/edit#gid=1251630045"",""articles_with_PRISMA_reasons!K2:K2113""), $A305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$A305=IMPORTRANGE(""https://docs.google.com/spreadsheets/d/1BJSV3WBYJGRhQ6zExamkszQ5VutGIcaQqmbD9ZTVXMQ/edit#gid=1251630045"",""articles_with_PRISMA_reasons!B2:B2113"")))-1)"),"Comba")</f>
        <v>Comba</v>
      </c>
      <c r="C305" s="6">
        <f>IFERROR(__xludf.DUMMYFUNCTION("FILTER(IMPORTRANGE(""https://docs.google.com/spreadsheets/d/1BJSV3WBYJGRhQ6zExamkszQ5VutGIcaQqmbD9ZTVXMQ/edit#gid=1251630045"",""articles_with_PRISMA_reasons!C2:C2113""), $A305=IMPORTRANGE(""https://docs.google.com/spreadsheets/d/1BJSV3WBYJGRhQ6zExamkszQ5"&amp;"VutGIcaQqmbD9ZTVXMQ/edit#gid=1251630045"",""articles_with_PRISMA_reasons!B2:B2113""))"),2013.0)</f>
        <v>2013</v>
      </c>
      <c r="D305" s="5" t="str">
        <f>IFERROR(__xludf.DUMMYFUNCTION("IFS(AND(
FILTER(IMPORTRANGE(""https://docs.google.com/spreadsheets/d/1BJSV3WBYJGRhQ6zExamkszQ5VutGIcaQqmbD9ZTVXMQ/edit#gid=1251630045"",""articles_with_PRISMA_reasons!Y2:Y2113""), $A305=IMPORTRANGE(""https://docs.google.com/spreadsheets/d/1BJSV3WBYJGRhQ6z"&amp;"ExamkszQ5VutGIcaQqmbD9ZTVXMQ/edit#gid=1251630045"",""articles_with_PRISMA_reasons!B2:B2113""))&gt;=2,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$A305=IMPORTRANGE(""https://docs.google.com/spreadsheets/d/1BJSV3WBYJGRhQ6zExamkszQ5VutGIcaQqmbD9ZTVXMQ/edit#gid=1251630045"",""articles_with_PRISMA_reasons!B2:B2113""))&lt;2),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$A305=IMPORTRANGE(""https://docs.google.com/spreadsheets/d/1BJSV3WBYJGRhQ6zExamkszQ5VutGIcaQqmbD9ZTVXMQ/edit#gid=1251630045"",""arti"&amp;"cles_with_PRISMA_reasons!B2:B2113""))&lt;2,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$A305=IMPORTRANGE(""https://docs.google.com"&amp;"/spreadsheets/d/1BJSV3WBYJGRhQ6zExamkszQ5VutGIcaQqmbD9ZTVXMQ/edit#gid=1251630045"",""articles_with_PRISMA_reasons!B2:B2113""))&gt;=2),
""Exclude""
)"),"Exclude")</f>
        <v>Exclude</v>
      </c>
      <c r="E305" s="5" t="str">
        <f>IFERROR(__xludf.DUMMYFUNCTION("IFS(
D305=""Exclude"",""Exclude"",
AND(
FILTER(IMPORTRANGE(""https://docs.google.com/spreadsheets/d/1qpEmbGH0JjaJbUdp21-y2cPbobDbMjr09BbtdKROZWc/edit#gid=1444865654"",""articles_with_PRISMA_reasons!W2:W2113""), $A305=IMPORTRANGE(""https://docs.google.com/"&amp;"spreadsheets/d/1qpEmbGH0JjaJbUdp21-y2cPbobDbMjr09BbtdKROZWc/edit#gid=1444865654"",""articles_with_PRISMA_reasons!B2:B2113""))&gt;=2,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$A305=IMPORTRANGE(""https://docs.google.com/spreadsheets/d/1qpEmbGH0JjaJbUdp21-y2cPbobDbMjr09BbtdKROZWc/edit#gid=1444865654"",""articles_with_PRISMA_reasons!B2:B2113""))&lt;2),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$A305=IMPORTRANGE(""https://docs.google.com/spreadsheets/d/1qpEmbGH0JjaJbUdp21-y2cPbobDbMjr09BbtdKRO"&amp;"ZWc/edit#gid=1444865654"",""articles_with_PRISMA_reasons!B2:B2113""))&lt;2,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$A305=IMPOR"&amp;"TRANGE(""https://docs.google.com/spreadsheets/d/1qpEmbGH0JjaJbUdp21-y2cPbobDbMjr09BbtdKROZWc/edit#gid=1444865654"",""articles_with_PRISMA_reasons!B2:B2113""))&gt;=2),
""Exclude""
)"),"Exclude")</f>
        <v>Exclude</v>
      </c>
      <c r="F305" s="5" t="str">
        <f>IFERROR(__xludf.DUMMYFUNCTION("IFS(
E305=""Exclude"",""Exclude"",
AND(
COUNTIF(
IMPORTRANGE(""https://docs.google.com/spreadsheets/d/1kGrh75X1cNR1D7_FcY9zMnHP8iPO4M5RCRjy6nZY0TY/edit#gid=0"",""Table 1: Study characteristics!B4:B171""),A305)&gt;0,
COUNTIF(Studies!$A$2:$A$85,FILTER(IMPORTRA"&amp;"NGE(""https://docs.google.com/spreadsheets/d/1kGrh75X1cNR1D7_FcY9zMnHP8iPO4M5RCRjy6nZY0TY/edit#gid=0"",""Table 1: Study characteristics!A4:A171""), $A305=IMPORTRANGE(""https://docs.google.com/spreadsheets/d/1kGrh75X1cNR1D7_FcY9zMnHP8iPO4M5RCRjy6nZY0TY/edi"&amp;"t#gid=0"",""Table 1: Study characteristics!B4:B171"")))&gt;0
),
""Include""
)"),"Exclude")</f>
        <v>Exclude</v>
      </c>
      <c r="G305" s="5" t="str">
        <f>IFERROR(__xludf.DUMMYFUNCTION("IFS(
D305=""Exclude"",
FILTER(IMPORTRANGE(""https://docs.google.com/spreadsheets/d/1BJSV3WBYJGRhQ6zExamkszQ5VutGIcaQqmbD9ZTVXMQ/edit#gid=1251630045"",""articles_with_PRISMA_reasons!AB2:AB2113""), $A305=IMPORTRANGE(""https://docs.google.com/spreadsheets/d/"&amp;"1BJSV3WBYJGRhQ6zExamkszQ5VutGIcaQqmbD9ZTVXMQ/edit#gid=1251630045"",""articles_with_PRISMA_reasons!B2:B2113"")),
E305=""Exclude"",
FILTER(IMPORTRANGE(""https://docs.google.com/spreadsheets/d/1qpEmbGH0JjaJbUdp21-y2cPbobDbMjr09BbtdKROZWc/edit#gid=1444865654"&amp;""",""articles_with_PRISMA_reasons!Z2:Z2113""), $A305=IMPORTRANGE(""https://docs.google.com/spreadsheets/d/1qpEmbGH0JjaJbUdp21-y2cPbobDbMjr09BbtdKROZWc/edit#gid=1444865654"",""articles_with_PRISMA_reasons!B2:B2113"")),F305
=""Include"",FILTER(IMPORTRANGE("&amp;"""https://docs.google.com/spreadsheets/d/1kGrh75X1cNR1D7_FcY9zMnHP8iPO4M5RCRjy6nZY0TY/edit#gid=0"",""Table 1: Study characteristics!A4:A171""), $A305=IMPORTRANGE(""https://docs.google.com/spreadsheets/d/1kGrh75X1cNR1D7_FcY9zMnHP8iPO4M5RCRjy6nZY0TY/edit#gi"&amp;"d=0"",""Table 1: Study characteristics!B4:B171""))
)"),"wrong study design")</f>
        <v>wrong study design</v>
      </c>
    </row>
    <row r="306">
      <c r="A306" s="4" t="str">
        <f>IFERROR(__xludf.DUMMYFUNCTION("""COMPUTED_VALUE"""),"Assessing health-related quality of life in children with spina bifida")</f>
        <v>Assessing health-related quality of life in children with spina bifida</v>
      </c>
      <c r="B306" s="5" t="str">
        <f>IFERROR(__xludf.DUMMYFUNCTION("LEFT(FILTER(IMPORTRANGE(""https://docs.google.com/spreadsheets/d/1BJSV3WBYJGRhQ6zExamkszQ5VutGIcaQqmbD9ZTVXMQ/edit#gid=1251630045"",""articles_with_PRISMA_reasons!K2:K2113""), $A306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$A306=IMPORTRANGE(""https://docs.google.com/spreadsheets/d/1BJSV3WBYJGRhQ6zExamkszQ5VutGIcaQqmbD9ZTVXMQ/edit#gid=1251630045"",""articles_with_PRISMA_reasons!B2:B2113"")))-1)"),"Rocque")</f>
        <v>Rocque</v>
      </c>
      <c r="C306" s="6" t="str">
        <f>IFERROR(__xludf.DUMMYFUNCTION("FILTER(IMPORTRANGE(""https://docs.google.com/spreadsheets/d/1BJSV3WBYJGRhQ6zExamkszQ5VutGIcaQqmbD9ZTVXMQ/edit#gid=1251630045"",""articles_with_PRISMA_reasons!C2:C2113""), $A306=IMPORTRANGE(""https://docs.google.com/spreadsheets/d/1BJSV3WBYJGRhQ6zExamkszQ5"&amp;"VutGIcaQqmbD9ZTVXMQ/edit#gid=1251630045"",""articles_with_PRISMA_reasons!B2:B2113""))"),"Feb")</f>
        <v>Feb</v>
      </c>
      <c r="D306" s="5" t="str">
        <f>IFERROR(__xludf.DUMMYFUNCTION("IFS(AND(
FILTER(IMPORTRANGE(""https://docs.google.com/spreadsheets/d/1BJSV3WBYJGRhQ6zExamkszQ5VutGIcaQqmbD9ZTVXMQ/edit#gid=1251630045"",""articles_with_PRISMA_reasons!Y2:Y2113""), $A306=IMPORTRANGE(""https://docs.google.com/spreadsheets/d/1BJSV3WBYJGRhQ6z"&amp;"ExamkszQ5VutGIcaQqmbD9ZTVXMQ/edit#gid=1251630045"",""articles_with_PRISMA_reasons!B2:B2113""))&gt;=2,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$A306=IMPORTRANGE(""https://docs.google.com/spreadsheets/d/1BJSV3WBYJGRhQ6zExamkszQ5VutGIcaQqmbD9ZTVXMQ/edit#gid=1251630045"",""articles_with_PRISMA_reasons!B2:B2113""))&lt;2),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$A306=IMPORTRANGE(""https://docs.google.com/spreadsheets/d/1BJSV3WBYJGRhQ6zExamkszQ5VutGIcaQqmbD9ZTVXMQ/edit#gid=1251630045"",""arti"&amp;"cles_with_PRISMA_reasons!B2:B2113""))&lt;2,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$A306=IMPORTRANGE(""https://docs.google.com"&amp;"/spreadsheets/d/1BJSV3WBYJGRhQ6zExamkszQ5VutGIcaQqmbD9ZTVXMQ/edit#gid=1251630045"",""articles_with_PRISMA_reasons!B2:B2113""))&gt;=2),
""Exclude""
)"),"Exclude")</f>
        <v>Exclude</v>
      </c>
      <c r="E306" s="5" t="str">
        <f>IFERROR(__xludf.DUMMYFUNCTION("IFS(
D306=""Exclude"",""Exclude"",
AND(
FILTER(IMPORTRANGE(""https://docs.google.com/spreadsheets/d/1qpEmbGH0JjaJbUdp21-y2cPbobDbMjr09BbtdKROZWc/edit#gid=1444865654"",""articles_with_PRISMA_reasons!W2:W2113""), $A306=IMPORTRANGE(""https://docs.google.com/"&amp;"spreadsheets/d/1qpEmbGH0JjaJbUdp21-y2cPbobDbMjr09BbtdKROZWc/edit#gid=1444865654"",""articles_with_PRISMA_reasons!B2:B2113""))&gt;=2,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$A306=IMPORTRANGE(""https://docs.google.com/spreadsheets/d/1qpEmbGH0JjaJbUdp21-y2cPbobDbMjr09BbtdKROZWc/edit#gid=1444865654"",""articles_with_PRISMA_reasons!B2:B2113""))&lt;2),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$A306=IMPORTRANGE(""https://docs.google.com/spreadsheets/d/1qpEmbGH0JjaJbUdp21-y2cPbobDbMjr09BbtdKRO"&amp;"ZWc/edit#gid=1444865654"",""articles_with_PRISMA_reasons!B2:B2113""))&lt;2,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$A306=IMPOR"&amp;"TRANGE(""https://docs.google.com/spreadsheets/d/1qpEmbGH0JjaJbUdp21-y2cPbobDbMjr09BbtdKROZWc/edit#gid=1444865654"",""articles_with_PRISMA_reasons!B2:B2113""))&gt;=2),
""Exclude""
)"),"Exclude")</f>
        <v>Exclude</v>
      </c>
      <c r="F306" s="5" t="str">
        <f>IFERROR(__xludf.DUMMYFUNCTION("IFS(
E306=""Exclude"",""Exclude"",
AND(
COUNTIF(
IMPORTRANGE(""https://docs.google.com/spreadsheets/d/1kGrh75X1cNR1D7_FcY9zMnHP8iPO4M5RCRjy6nZY0TY/edit#gid=0"",""Table 1: Study characteristics!B4:B171""),A306)&gt;0,
COUNTIF(Studies!$A$2:$A$85,FILTER(IMPORTRA"&amp;"NGE(""https://docs.google.com/spreadsheets/d/1kGrh75X1cNR1D7_FcY9zMnHP8iPO4M5RCRjy6nZY0TY/edit#gid=0"",""Table 1: Study characteristics!A4:A171""), $A306=IMPORTRANGE(""https://docs.google.com/spreadsheets/d/1kGrh75X1cNR1D7_FcY9zMnHP8iPO4M5RCRjy6nZY0TY/edi"&amp;"t#gid=0"",""Table 1: Study characteristics!B4:B171"")))&gt;0
),
""Include""
)"),"Exclude")</f>
        <v>Exclude</v>
      </c>
      <c r="G306" s="5" t="str">
        <f>IFERROR(__xludf.DUMMYFUNCTION("IFS(
D306=""Exclude"",
FILTER(IMPORTRANGE(""https://docs.google.com/spreadsheets/d/1BJSV3WBYJGRhQ6zExamkszQ5VutGIcaQqmbD9ZTVXMQ/edit#gid=1251630045"",""articles_with_PRISMA_reasons!AB2:AB2113""), $A306=IMPORTRANGE(""https://docs.google.com/spreadsheets/d/"&amp;"1BJSV3WBYJGRhQ6zExamkszQ5VutGIcaQqmbD9ZTVXMQ/edit#gid=1251630045"",""articles_with_PRISMA_reasons!B2:B2113"")),
E306=""Exclude"",
FILTER(IMPORTRANGE(""https://docs.google.com/spreadsheets/d/1qpEmbGH0JjaJbUdp21-y2cPbobDbMjr09BbtdKROZWc/edit#gid=1444865654"&amp;""",""articles_with_PRISMA_reasons!Z2:Z2113""), $A306=IMPORTRANGE(""https://docs.google.com/spreadsheets/d/1qpEmbGH0JjaJbUdp21-y2cPbobDbMjr09BbtdKROZWc/edit#gid=1444865654"",""articles_with_PRISMA_reasons!B2:B2113"")),F306
=""Include"",FILTER(IMPORTRANGE("&amp;"""https://docs.google.com/spreadsheets/d/1kGrh75X1cNR1D7_FcY9zMnHP8iPO4M5RCRjy6nZY0TY/edit#gid=0"",""Table 1: Study characteristics!A4:A171""), $A306=IMPORTRANGE(""https://docs.google.com/spreadsheets/d/1kGrh75X1cNR1D7_FcY9zMnHP8iPO4M5RCRjy6nZY0TY/edit#gi"&amp;"d=0"",""Table 1: Study characteristics!B4:B171""))
)"),"wrong population")</f>
        <v>wrong population</v>
      </c>
    </row>
    <row r="307">
      <c r="A307" s="4" t="str">
        <f>IFERROR(__xludf.DUMMYFUNCTION("""COMPUTED_VALUE"""),"Assessing the validity of the endoscopic shunt insertion trial: did surgical experience affect the results?")</f>
        <v>Assessing the validity of the endoscopic shunt insertion trial: did surgical experience affect the results?</v>
      </c>
      <c r="B307" s="5" t="str">
        <f>IFERROR(__xludf.DUMMYFUNCTION("LEFT(FILTER(IMPORTRANGE(""https://docs.google.com/spreadsheets/d/1BJSV3WBYJGRhQ6zExamkszQ5VutGIcaQqmbD9ZTVXMQ/edit#gid=1251630045"",""articles_with_PRISMA_reasons!K2:K2113""), $A307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$A307=IMPORTRANGE(""https://docs.google.com/spreadsheets/d/1BJSV3WBYJGRhQ6zExamkszQ5VutGIcaQqmbD9ZTVXMQ/edit#gid=1251630045"",""articles_with_PRISMA_reasons!B2:B2113"")))-1)"),"Klimo")</f>
        <v>Klimo</v>
      </c>
      <c r="C307" s="6">
        <f>IFERROR(__xludf.DUMMYFUNCTION("FILTER(IMPORTRANGE(""https://docs.google.com/spreadsheets/d/1BJSV3WBYJGRhQ6zExamkszQ5VutGIcaQqmbD9ZTVXMQ/edit#gid=1251630045"",""articles_with_PRISMA_reasons!C2:C2113""), $A307=IMPORTRANGE(""https://docs.google.com/spreadsheets/d/1BJSV3WBYJGRhQ6zExamkszQ5"&amp;"VutGIcaQqmbD9ZTVXMQ/edit#gid=1251630045"",""articles_with_PRISMA_reasons!B2:B2113""))"),2004.0)</f>
        <v>2004</v>
      </c>
      <c r="D307" s="5" t="str">
        <f>IFERROR(__xludf.DUMMYFUNCTION("IFS(AND(
FILTER(IMPORTRANGE(""https://docs.google.com/spreadsheets/d/1BJSV3WBYJGRhQ6zExamkszQ5VutGIcaQqmbD9ZTVXMQ/edit#gid=1251630045"",""articles_with_PRISMA_reasons!Y2:Y2113""), $A307=IMPORTRANGE(""https://docs.google.com/spreadsheets/d/1BJSV3WBYJGRhQ6z"&amp;"ExamkszQ5VutGIcaQqmbD9ZTVXMQ/edit#gid=1251630045"",""articles_with_PRISMA_reasons!B2:B2113""))&gt;=2,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$A307=IMPORTRANGE(""https://docs.google.com/spreadsheets/d/1BJSV3WBYJGRhQ6zExamkszQ5VutGIcaQqmbD9ZTVXMQ/edit#gid=1251630045"",""articles_with_PRISMA_reasons!B2:B2113""))&lt;2),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$A307=IMPORTRANGE(""https://docs.google.com/spreadsheets/d/1BJSV3WBYJGRhQ6zExamkszQ5VutGIcaQqmbD9ZTVXMQ/edit#gid=1251630045"",""arti"&amp;"cles_with_PRISMA_reasons!B2:B2113""))&lt;2,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$A307=IMPORTRANGE(""https://docs.google.com"&amp;"/spreadsheets/d/1BJSV3WBYJGRhQ6zExamkszQ5VutGIcaQqmbD9ZTVXMQ/edit#gid=1251630045"",""articles_with_PRISMA_reasons!B2:B2113""))&gt;=2),
""Exclude""
)"),"Include")</f>
        <v>Include</v>
      </c>
      <c r="E307" s="5" t="str">
        <f>IFERROR(__xludf.DUMMYFUNCTION("IFS(
D307=""Exclude"",""Exclude"",
AND(
FILTER(IMPORTRANGE(""https://docs.google.com/spreadsheets/d/1qpEmbGH0JjaJbUdp21-y2cPbobDbMjr09BbtdKROZWc/edit#gid=1444865654"",""articles_with_PRISMA_reasons!W2:W2113""), $A307=IMPORTRANGE(""https://docs.google.com/"&amp;"spreadsheets/d/1qpEmbGH0JjaJbUdp21-y2cPbobDbMjr09BbtdKROZWc/edit#gid=1444865654"",""articles_with_PRISMA_reasons!B2:B2113""))&gt;=2,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$A307=IMPORTRANGE(""https://docs.google.com/spreadsheets/d/1qpEmbGH0JjaJbUdp21-y2cPbobDbMjr09BbtdKROZWc/edit#gid=1444865654"",""articles_with_PRISMA_reasons!B2:B2113""))&lt;2),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$A307=IMPORTRANGE(""https://docs.google.com/spreadsheets/d/1qpEmbGH0JjaJbUdp21-y2cPbobDbMjr09BbtdKRO"&amp;"ZWc/edit#gid=1444865654"",""articles_with_PRISMA_reasons!B2:B2113""))&lt;2,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$A307=IMPOR"&amp;"TRANGE(""https://docs.google.com/spreadsheets/d/1qpEmbGH0JjaJbUdp21-y2cPbobDbMjr09BbtdKROZWc/edit#gid=1444865654"",""articles_with_PRISMA_reasons!B2:B2113""))&gt;=2),
""Exclude""
)"),"Exclude")</f>
        <v>Exclude</v>
      </c>
      <c r="F307" s="5" t="str">
        <f>IFERROR(__xludf.DUMMYFUNCTION("IFS(
E307=""Exclude"",""Exclude"",
AND(
COUNTIF(
IMPORTRANGE(""https://docs.google.com/spreadsheets/d/1kGrh75X1cNR1D7_FcY9zMnHP8iPO4M5RCRjy6nZY0TY/edit#gid=0"",""Table 1: Study characteristics!B4:B171""),A307)&gt;0,
COUNTIF(Studies!$A$2:$A$85,FILTER(IMPORTRA"&amp;"NGE(""https://docs.google.com/spreadsheets/d/1kGrh75X1cNR1D7_FcY9zMnHP8iPO4M5RCRjy6nZY0TY/edit#gid=0"",""Table 1: Study characteristics!A4:A171""), $A307=IMPORTRANGE(""https://docs.google.com/spreadsheets/d/1kGrh75X1cNR1D7_FcY9zMnHP8iPO4M5RCRjy6nZY0TY/edi"&amp;"t#gid=0"",""Table 1: Study characteristics!B4:B171"")))&gt;0
),
""Include""
)"),"Exclude")</f>
        <v>Exclude</v>
      </c>
      <c r="G307" s="5" t="str">
        <f>IFERROR(__xludf.DUMMYFUNCTION("IFS(
D307=""Exclude"",
FILTER(IMPORTRANGE(""https://docs.google.com/spreadsheets/d/1BJSV3WBYJGRhQ6zExamkszQ5VutGIcaQqmbD9ZTVXMQ/edit#gid=1251630045"",""articles_with_PRISMA_reasons!AB2:AB2113""), $A307=IMPORTRANGE(""https://docs.google.com/spreadsheets/d/"&amp;"1BJSV3WBYJGRhQ6zExamkszQ5VutGIcaQqmbD9ZTVXMQ/edit#gid=1251630045"",""articles_with_PRISMA_reasons!B2:B2113"")),
E307=""Exclude"",
FILTER(IMPORTRANGE(""https://docs.google.com/spreadsheets/d/1qpEmbGH0JjaJbUdp21-y2cPbobDbMjr09BbtdKROZWc/edit#gid=1444865654"&amp;""",""articles_with_PRISMA_reasons!Z2:Z2113""), $A307=IMPORTRANGE(""https://docs.google.com/spreadsheets/d/1qpEmbGH0JjaJbUdp21-y2cPbobDbMjr09BbtdKROZWc/edit#gid=1444865654"",""articles_with_PRISMA_reasons!B2:B2113"")),F307
=""Include"",FILTER(IMPORTRANGE("&amp;"""https://docs.google.com/spreadsheets/d/1kGrh75X1cNR1D7_FcY9zMnHP8iPO4M5RCRjy6nZY0TY/edit#gid=0"",""Table 1: Study characteristics!A4:A171""), $A307=IMPORTRANGE(""https://docs.google.com/spreadsheets/d/1kGrh75X1cNR1D7_FcY9zMnHP8iPO4M5RCRjy6nZY0TY/edit#gi"&amp;"d=0"",""Table 1: Study characteristics!B4:B171""))
)"),"wrong population")</f>
        <v>wrong population</v>
      </c>
    </row>
    <row r="308">
      <c r="A308" s="4" t="str">
        <f>IFERROR(__xludf.DUMMYFUNCTION("""COMPUTED_VALUE"""),"Assessment of brainstem function in Chiari II malformation utilizing brainstem auditory evoked potentials (BAEP), blink reflex and masseter reflex")</f>
        <v>Assessment of brainstem function in Chiari II malformation utilizing brainstem auditory evoked potentials (BAEP), blink reflex and masseter reflex</v>
      </c>
      <c r="B308" s="5" t="str">
        <f>IFERROR(__xludf.DUMMYFUNCTION("LEFT(FILTER(IMPORTRANGE(""https://docs.google.com/spreadsheets/d/1BJSV3WBYJGRhQ6zExamkszQ5VutGIcaQqmbD9ZTVXMQ/edit#gid=1251630045"",""articles_with_PRISMA_reasons!K2:K2113""), $A308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$A308=IMPORTRANGE(""https://docs.google.com/spreadsheets/d/1BJSV3WBYJGRhQ6zExamkszQ5VutGIcaQqmbD9ZTVXMQ/edit#gid=1251630045"",""articles_with_PRISMA_reasons!B2:B2113"")))-1)"),"Koehler")</f>
        <v>Koehler</v>
      </c>
      <c r="C308" s="6">
        <f>IFERROR(__xludf.DUMMYFUNCTION("FILTER(IMPORTRANGE(""https://docs.google.com/spreadsheets/d/1BJSV3WBYJGRhQ6zExamkszQ5VutGIcaQqmbD9ZTVXMQ/edit#gid=1251630045"",""articles_with_PRISMA_reasons!C2:C2113""), $A308=IMPORTRANGE(""https://docs.google.com/spreadsheets/d/1BJSV3WBYJGRhQ6zExamkszQ5"&amp;"VutGIcaQqmbD9ZTVXMQ/edit#gid=1251630045"",""articles_with_PRISMA_reasons!B2:B2113""))"),2000.0)</f>
        <v>2000</v>
      </c>
      <c r="D308" s="5" t="str">
        <f>IFERROR(__xludf.DUMMYFUNCTION("IFS(AND(
FILTER(IMPORTRANGE(""https://docs.google.com/spreadsheets/d/1BJSV3WBYJGRhQ6zExamkszQ5VutGIcaQqmbD9ZTVXMQ/edit#gid=1251630045"",""articles_with_PRISMA_reasons!Y2:Y2113""), $A308=IMPORTRANGE(""https://docs.google.com/spreadsheets/d/1BJSV3WBYJGRhQ6z"&amp;"ExamkszQ5VutGIcaQqmbD9ZTVXMQ/edit#gid=1251630045"",""articles_with_PRISMA_reasons!B2:B2113""))&gt;=2,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$A308=IMPORTRANGE(""https://docs.google.com/spreadsheets/d/1BJSV3WBYJGRhQ6zExamkszQ5VutGIcaQqmbD9ZTVXMQ/edit#gid=1251630045"",""articles_with_PRISMA_reasons!B2:B2113""))&lt;2),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$A308=IMPORTRANGE(""https://docs.google.com/spreadsheets/d/1BJSV3WBYJGRhQ6zExamkszQ5VutGIcaQqmbD9ZTVXMQ/edit#gid=1251630045"",""arti"&amp;"cles_with_PRISMA_reasons!B2:B2113""))&lt;2,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$A308=IMPORTRANGE(""https://docs.google.com"&amp;"/spreadsheets/d/1BJSV3WBYJGRhQ6zExamkszQ5VutGIcaQqmbD9ZTVXMQ/edit#gid=1251630045"",""articles_with_PRISMA_reasons!B2:B2113""))&gt;=2),
""Exclude""
)"),"Exclude")</f>
        <v>Exclude</v>
      </c>
      <c r="E308" s="5" t="str">
        <f>IFERROR(__xludf.DUMMYFUNCTION("IFS(
D308=""Exclude"",""Exclude"",
AND(
FILTER(IMPORTRANGE(""https://docs.google.com/spreadsheets/d/1qpEmbGH0JjaJbUdp21-y2cPbobDbMjr09BbtdKROZWc/edit#gid=1444865654"",""articles_with_PRISMA_reasons!W2:W2113""), $A308=IMPORTRANGE(""https://docs.google.com/"&amp;"spreadsheets/d/1qpEmbGH0JjaJbUdp21-y2cPbobDbMjr09BbtdKROZWc/edit#gid=1444865654"",""articles_with_PRISMA_reasons!B2:B2113""))&gt;=2,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$A308=IMPORTRANGE(""https://docs.google.com/spreadsheets/d/1qpEmbGH0JjaJbUdp21-y2cPbobDbMjr09BbtdKROZWc/edit#gid=1444865654"",""articles_with_PRISMA_reasons!B2:B2113""))&lt;2),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$A308=IMPORTRANGE(""https://docs.google.com/spreadsheets/d/1qpEmbGH0JjaJbUdp21-y2cPbobDbMjr09BbtdKRO"&amp;"ZWc/edit#gid=1444865654"",""articles_with_PRISMA_reasons!B2:B2113""))&lt;2,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$A308=IMPOR"&amp;"TRANGE(""https://docs.google.com/spreadsheets/d/1qpEmbGH0JjaJbUdp21-y2cPbobDbMjr09BbtdKROZWc/edit#gid=1444865654"",""articles_with_PRISMA_reasons!B2:B2113""))&gt;=2),
""Exclude""
)"),"Exclude")</f>
        <v>Exclude</v>
      </c>
      <c r="F308" s="5" t="str">
        <f>IFERROR(__xludf.DUMMYFUNCTION("IFS(
E308=""Exclude"",""Exclude"",
AND(
COUNTIF(
IMPORTRANGE(""https://docs.google.com/spreadsheets/d/1kGrh75X1cNR1D7_FcY9zMnHP8iPO4M5RCRjy6nZY0TY/edit#gid=0"",""Table 1: Study characteristics!B4:B171""),A308)&gt;0,
COUNTIF(Studies!$A$2:$A$85,FILTER(IMPORTRA"&amp;"NGE(""https://docs.google.com/spreadsheets/d/1kGrh75X1cNR1D7_FcY9zMnHP8iPO4M5RCRjy6nZY0TY/edit#gid=0"",""Table 1: Study characteristics!A4:A171""), $A308=IMPORTRANGE(""https://docs.google.com/spreadsheets/d/1kGrh75X1cNR1D7_FcY9zMnHP8iPO4M5RCRjy6nZY0TY/edi"&amp;"t#gid=0"",""Table 1: Study characteristics!B4:B171"")))&gt;0
),
""Include""
)"),"Exclude")</f>
        <v>Exclude</v>
      </c>
      <c r="G308" s="5" t="str">
        <f>IFERROR(__xludf.DUMMYFUNCTION("IFS(
D308=""Exclude"",
FILTER(IMPORTRANGE(""https://docs.google.com/spreadsheets/d/1BJSV3WBYJGRhQ6zExamkszQ5VutGIcaQqmbD9ZTVXMQ/edit#gid=1251630045"",""articles_with_PRISMA_reasons!AB2:AB2113""), $A308=IMPORTRANGE(""https://docs.google.com/spreadsheets/d/"&amp;"1BJSV3WBYJGRhQ6zExamkszQ5VutGIcaQqmbD9ZTVXMQ/edit#gid=1251630045"",""articles_with_PRISMA_reasons!B2:B2113"")),
E308=""Exclude"",
FILTER(IMPORTRANGE(""https://docs.google.com/spreadsheets/d/1qpEmbGH0JjaJbUdp21-y2cPbobDbMjr09BbtdKROZWc/edit#gid=1444865654"&amp;""",""articles_with_PRISMA_reasons!Z2:Z2113""), $A308=IMPORTRANGE(""https://docs.google.com/spreadsheets/d/1qpEmbGH0JjaJbUdp21-y2cPbobDbMjr09BbtdKROZWc/edit#gid=1444865654"",""articles_with_PRISMA_reasons!B2:B2113"")),F308
=""Include"",FILTER(IMPORTRANGE("&amp;"""https://docs.google.com/spreadsheets/d/1kGrh75X1cNR1D7_FcY9zMnHP8iPO4M5RCRjy6nZY0TY/edit#gid=0"",""Table 1: Study characteristics!A4:A171""), $A308=IMPORTRANGE(""https://docs.google.com/spreadsheets/d/1kGrh75X1cNR1D7_FcY9zMnHP8iPO4M5RCRjy6nZY0TY/edit#gi"&amp;"d=0"",""Table 1: Study characteristics!B4:B171""))
)"),"wrong population")</f>
        <v>wrong population</v>
      </c>
    </row>
    <row r="309">
      <c r="A309" s="4" t="str">
        <f>IFERROR(__xludf.DUMMYFUNCTION("""COMPUTED_VALUE"""),"Assessment of fetal central nervous system")</f>
        <v>Assessment of fetal central nervous system</v>
      </c>
      <c r="B309" s="5" t="str">
        <f>IFERROR(__xludf.DUMMYFUNCTION("LEFT(FILTER(IMPORTRANGE(""https://docs.google.com/spreadsheets/d/1BJSV3WBYJGRhQ6zExamkszQ5VutGIcaQqmbD9ZTVXMQ/edit#gid=1251630045"",""articles_with_PRISMA_reasons!K2:K2113""), $A309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$A309=IMPORTRANGE(""https://docs.google.com/spreadsheets/d/1BJSV3WBYJGRhQ6zExamkszQ5VutGIcaQqmbD9ZTVXMQ/edit#gid=1251630045"",""articles_with_PRISMA_reasons!B2:B2113"")))-1)"),"Pooh")</f>
        <v>Pooh</v>
      </c>
      <c r="C309" s="6">
        <f>IFERROR(__xludf.DUMMYFUNCTION("FILTER(IMPORTRANGE(""https://docs.google.com/spreadsheets/d/1BJSV3WBYJGRhQ6zExamkszQ5VutGIcaQqmbD9ZTVXMQ/edit#gid=1251630045"",""articles_with_PRISMA_reasons!C2:C2113""), $A309=IMPORTRANGE(""https://docs.google.com/spreadsheets/d/1BJSV3WBYJGRhQ6zExamkszQ5"&amp;"VutGIcaQqmbD9ZTVXMQ/edit#gid=1251630045"",""articles_with_PRISMA_reasons!B2:B2113""))"),2013.0)</f>
        <v>2013</v>
      </c>
      <c r="D309" s="5" t="str">
        <f>IFERROR(__xludf.DUMMYFUNCTION("IFS(AND(
FILTER(IMPORTRANGE(""https://docs.google.com/spreadsheets/d/1BJSV3WBYJGRhQ6zExamkszQ5VutGIcaQqmbD9ZTVXMQ/edit#gid=1251630045"",""articles_with_PRISMA_reasons!Y2:Y2113""), $A309=IMPORTRANGE(""https://docs.google.com/spreadsheets/d/1BJSV3WBYJGRhQ6z"&amp;"ExamkszQ5VutGIcaQqmbD9ZTVXMQ/edit#gid=1251630045"",""articles_with_PRISMA_reasons!B2:B2113""))&gt;=2,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$A309=IMPORTRANGE(""https://docs.google.com/spreadsheets/d/1BJSV3WBYJGRhQ6zExamkszQ5VutGIcaQqmbD9ZTVXMQ/edit#gid=1251630045"",""articles_with_PRISMA_reasons!B2:B2113""))&lt;2),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$A309=IMPORTRANGE(""https://docs.google.com/spreadsheets/d/1BJSV3WBYJGRhQ6zExamkszQ5VutGIcaQqmbD9ZTVXMQ/edit#gid=1251630045"",""arti"&amp;"cles_with_PRISMA_reasons!B2:B2113""))&lt;2,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$A309=IMPORTRANGE(""https://docs.google.com"&amp;"/spreadsheets/d/1BJSV3WBYJGRhQ6zExamkszQ5VutGIcaQqmbD9ZTVXMQ/edit#gid=1251630045"",""articles_with_PRISMA_reasons!B2:B2113""))&gt;=2),
""Exclude""
)"),"Exclude")</f>
        <v>Exclude</v>
      </c>
      <c r="E309" s="5" t="str">
        <f>IFERROR(__xludf.DUMMYFUNCTION("IFS(
D309=""Exclude"",""Exclude"",
AND(
FILTER(IMPORTRANGE(""https://docs.google.com/spreadsheets/d/1qpEmbGH0JjaJbUdp21-y2cPbobDbMjr09BbtdKROZWc/edit#gid=1444865654"",""articles_with_PRISMA_reasons!W2:W2113""), $A309=IMPORTRANGE(""https://docs.google.com/"&amp;"spreadsheets/d/1qpEmbGH0JjaJbUdp21-y2cPbobDbMjr09BbtdKROZWc/edit#gid=1444865654"",""articles_with_PRISMA_reasons!B2:B2113""))&gt;=2,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$A309=IMPORTRANGE(""https://docs.google.com/spreadsheets/d/1qpEmbGH0JjaJbUdp21-y2cPbobDbMjr09BbtdKROZWc/edit#gid=1444865654"",""articles_with_PRISMA_reasons!B2:B2113""))&lt;2),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$A309=IMPORTRANGE(""https://docs.google.com/spreadsheets/d/1qpEmbGH0JjaJbUdp21-y2cPbobDbMjr09BbtdKRO"&amp;"ZWc/edit#gid=1444865654"",""articles_with_PRISMA_reasons!B2:B2113""))&lt;2,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$A309=IMPOR"&amp;"TRANGE(""https://docs.google.com/spreadsheets/d/1qpEmbGH0JjaJbUdp21-y2cPbobDbMjr09BbtdKROZWc/edit#gid=1444865654"",""articles_with_PRISMA_reasons!B2:B2113""))&gt;=2),
""Exclude""
)"),"Exclude")</f>
        <v>Exclude</v>
      </c>
      <c r="F309" s="5" t="str">
        <f>IFERROR(__xludf.DUMMYFUNCTION("IFS(
E309=""Exclude"",""Exclude"",
AND(
COUNTIF(
IMPORTRANGE(""https://docs.google.com/spreadsheets/d/1kGrh75X1cNR1D7_FcY9zMnHP8iPO4M5RCRjy6nZY0TY/edit#gid=0"",""Table 1: Study characteristics!B4:B171""),A309)&gt;0,
COUNTIF(Studies!$A$2:$A$85,FILTER(IMPORTRA"&amp;"NGE(""https://docs.google.com/spreadsheets/d/1kGrh75X1cNR1D7_FcY9zMnHP8iPO4M5RCRjy6nZY0TY/edit#gid=0"",""Table 1: Study characteristics!A4:A171""), $A309=IMPORTRANGE(""https://docs.google.com/spreadsheets/d/1kGrh75X1cNR1D7_FcY9zMnHP8iPO4M5RCRjy6nZY0TY/edi"&amp;"t#gid=0"",""Table 1: Study characteristics!B4:B171"")))&gt;0
),
""Include""
)"),"Exclude")</f>
        <v>Exclude</v>
      </c>
      <c r="G309" s="5" t="str">
        <f>IFERROR(__xludf.DUMMYFUNCTION("IFS(
D309=""Exclude"",
FILTER(IMPORTRANGE(""https://docs.google.com/spreadsheets/d/1BJSV3WBYJGRhQ6zExamkszQ5VutGIcaQqmbD9ZTVXMQ/edit#gid=1251630045"",""articles_with_PRISMA_reasons!AB2:AB2113""), $A309=IMPORTRANGE(""https://docs.google.com/spreadsheets/d/"&amp;"1BJSV3WBYJGRhQ6zExamkszQ5VutGIcaQqmbD9ZTVXMQ/edit#gid=1251630045"",""articles_with_PRISMA_reasons!B2:B2113"")),
E309=""Exclude"",
FILTER(IMPORTRANGE(""https://docs.google.com/spreadsheets/d/1qpEmbGH0JjaJbUdp21-y2cPbobDbMjr09BbtdKROZWc/edit#gid=1444865654"&amp;""",""articles_with_PRISMA_reasons!Z2:Z2113""), $A309=IMPORTRANGE(""https://docs.google.com/spreadsheets/d/1qpEmbGH0JjaJbUdp21-y2cPbobDbMjr09BbtdKROZWc/edit#gid=1444865654"",""articles_with_PRISMA_reasons!B2:B2113"")),F309
=""Include"",FILTER(IMPORTRANGE("&amp;"""https://docs.google.com/spreadsheets/d/1kGrh75X1cNR1D7_FcY9zMnHP8iPO4M5RCRjy6nZY0TY/edit#gid=0"",""Table 1: Study characteristics!A4:A171""), $A309=IMPORTRANGE(""https://docs.google.com/spreadsheets/d/1kGrh75X1cNR1D7_FcY9zMnHP8iPO4M5RCRjy6nZY0TY/edit#gi"&amp;"d=0"",""Table 1: Study characteristics!B4:B171""))
)"),"wrong publication type")</f>
        <v>wrong publication type</v>
      </c>
    </row>
    <row r="310">
      <c r="A310" s="4" t="str">
        <f>IFERROR(__xludf.DUMMYFUNCTION("""COMPUTED_VALUE"""),"Assessment of long-term donor-site morbidity after harvesting the latissimus dorsi flap for neonatal myelomeningocele repair")</f>
        <v>Assessment of long-term donor-site morbidity after harvesting the latissimus dorsi flap for neonatal myelomeningocele repair</v>
      </c>
      <c r="B310" s="5" t="str">
        <f>IFERROR(__xludf.DUMMYFUNCTION("LEFT(FILTER(IMPORTRANGE(""https://docs.google.com/spreadsheets/d/1BJSV3WBYJGRhQ6zExamkszQ5VutGIcaQqmbD9ZTVXMQ/edit#gid=1251630045"",""articles_with_PRISMA_reasons!K2:K2113""), $A310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$A310=IMPORTRANGE(""https://docs.google.com/spreadsheets/d/1BJSV3WBYJGRhQ6zExamkszQ5VutGIcaQqmbD9ZTVXMQ/edit#gid=1251630045"",""articles_with_PRISMA_reasons!B2:B2113"")))-1)"),"Osinga")</f>
        <v>Osinga</v>
      </c>
      <c r="C310" s="6">
        <f>IFERROR(__xludf.DUMMYFUNCTION("FILTER(IMPORTRANGE(""https://docs.google.com/spreadsheets/d/1BJSV3WBYJGRhQ6zExamkszQ5VutGIcaQqmbD9ZTVXMQ/edit#gid=1251630045"",""articles_with_PRISMA_reasons!C2:C2113""), $A310=IMPORTRANGE(""https://docs.google.com/spreadsheets/d/1BJSV3WBYJGRhQ6zExamkszQ5"&amp;"VutGIcaQqmbD9ZTVXMQ/edit#gid=1251630045"",""articles_with_PRISMA_reasons!B2:B2113""))"),2014.0)</f>
        <v>2014</v>
      </c>
      <c r="D310" s="5" t="str">
        <f>IFERROR(__xludf.DUMMYFUNCTION("IFS(AND(
FILTER(IMPORTRANGE(""https://docs.google.com/spreadsheets/d/1BJSV3WBYJGRhQ6zExamkszQ5VutGIcaQqmbD9ZTVXMQ/edit#gid=1251630045"",""articles_with_PRISMA_reasons!Y2:Y2113""), $A310=IMPORTRANGE(""https://docs.google.com/spreadsheets/d/1BJSV3WBYJGRhQ6z"&amp;"ExamkszQ5VutGIcaQqmbD9ZTVXMQ/edit#gid=1251630045"",""articles_with_PRISMA_reasons!B2:B2113""))&gt;=2,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$A310=IMPORTRANGE(""https://docs.google.com/spreadsheets/d/1BJSV3WBYJGRhQ6zExamkszQ5VutGIcaQqmbD9ZTVXMQ/edit#gid=1251630045"",""articles_with_PRISMA_reasons!B2:B2113""))&lt;2),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$A310=IMPORTRANGE(""https://docs.google.com/spreadsheets/d/1BJSV3WBYJGRhQ6zExamkszQ5VutGIcaQqmbD9ZTVXMQ/edit#gid=1251630045"",""arti"&amp;"cles_with_PRISMA_reasons!B2:B2113""))&lt;2,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$A310=IMPORTRANGE(""https://docs.google.com"&amp;"/spreadsheets/d/1BJSV3WBYJGRhQ6zExamkszQ5VutGIcaQqmbD9ZTVXMQ/edit#gid=1251630045"",""articles_with_PRISMA_reasons!B2:B2113""))&gt;=2),
""Exclude""
)"),"Exclude")</f>
        <v>Exclude</v>
      </c>
      <c r="E310" s="5" t="str">
        <f>IFERROR(__xludf.DUMMYFUNCTION("IFS(
D310=""Exclude"",""Exclude"",
AND(
FILTER(IMPORTRANGE(""https://docs.google.com/spreadsheets/d/1qpEmbGH0JjaJbUdp21-y2cPbobDbMjr09BbtdKROZWc/edit#gid=1444865654"",""articles_with_PRISMA_reasons!W2:W2113""), $A310=IMPORTRANGE(""https://docs.google.com/"&amp;"spreadsheets/d/1qpEmbGH0JjaJbUdp21-y2cPbobDbMjr09BbtdKROZWc/edit#gid=1444865654"",""articles_with_PRISMA_reasons!B2:B2113""))&gt;=2,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$A310=IMPORTRANGE(""https://docs.google.com/spreadsheets/d/1qpEmbGH0JjaJbUdp21-y2cPbobDbMjr09BbtdKROZWc/edit#gid=1444865654"",""articles_with_PRISMA_reasons!B2:B2113""))&lt;2),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$A310=IMPORTRANGE(""https://docs.google.com/spreadsheets/d/1qpEmbGH0JjaJbUdp21-y2cPbobDbMjr09BbtdKRO"&amp;"ZWc/edit#gid=1444865654"",""articles_with_PRISMA_reasons!B2:B2113""))&lt;2,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$A310=IMPOR"&amp;"TRANGE(""https://docs.google.com/spreadsheets/d/1qpEmbGH0JjaJbUdp21-y2cPbobDbMjr09BbtdKROZWc/edit#gid=1444865654"",""articles_with_PRISMA_reasons!B2:B2113""))&gt;=2),
""Exclude""
)"),"Exclude")</f>
        <v>Exclude</v>
      </c>
      <c r="F310" s="5" t="str">
        <f>IFERROR(__xludf.DUMMYFUNCTION("IFS(
E310=""Exclude"",""Exclude"",
AND(
COUNTIF(
IMPORTRANGE(""https://docs.google.com/spreadsheets/d/1kGrh75X1cNR1D7_FcY9zMnHP8iPO4M5RCRjy6nZY0TY/edit#gid=0"",""Table 1: Study characteristics!B4:B171""),A310)&gt;0,
COUNTIF(Studies!$A$2:$A$85,FILTER(IMPORTRA"&amp;"NGE(""https://docs.google.com/spreadsheets/d/1kGrh75X1cNR1D7_FcY9zMnHP8iPO4M5RCRjy6nZY0TY/edit#gid=0"",""Table 1: Study characteristics!A4:A171""), $A310=IMPORTRANGE(""https://docs.google.com/spreadsheets/d/1kGrh75X1cNR1D7_FcY9zMnHP8iPO4M5RCRjy6nZY0TY/edi"&amp;"t#gid=0"",""Table 1: Study characteristics!B4:B171"")))&gt;0
),
""Include""
)"),"Exclude")</f>
        <v>Exclude</v>
      </c>
      <c r="G310" s="5" t="str">
        <f>IFERROR(__xludf.DUMMYFUNCTION("IFS(
D310=""Exclude"",
FILTER(IMPORTRANGE(""https://docs.google.com/spreadsheets/d/1BJSV3WBYJGRhQ6zExamkszQ5VutGIcaQqmbD9ZTVXMQ/edit#gid=1251630045"",""articles_with_PRISMA_reasons!AB2:AB2113""), $A310=IMPORTRANGE(""https://docs.google.com/spreadsheets/d/"&amp;"1BJSV3WBYJGRhQ6zExamkszQ5VutGIcaQqmbD9ZTVXMQ/edit#gid=1251630045"",""articles_with_PRISMA_reasons!B2:B2113"")),
E310=""Exclude"",
FILTER(IMPORTRANGE(""https://docs.google.com/spreadsheets/d/1qpEmbGH0JjaJbUdp21-y2cPbobDbMjr09BbtdKROZWc/edit#gid=1444865654"&amp;""",""articles_with_PRISMA_reasons!Z2:Z2113""), $A310=IMPORTRANGE(""https://docs.google.com/spreadsheets/d/1qpEmbGH0JjaJbUdp21-y2cPbobDbMjr09BbtdKROZWc/edit#gid=1444865654"",""articles_with_PRISMA_reasons!B2:B2113"")),F310
=""Include"",FILTER(IMPORTRANGE("&amp;"""https://docs.google.com/spreadsheets/d/1kGrh75X1cNR1D7_FcY9zMnHP8iPO4M5RCRjy6nZY0TY/edit#gid=0"",""Table 1: Study characteristics!A4:A171""), $A310=IMPORTRANGE(""https://docs.google.com/spreadsheets/d/1kGrh75X1cNR1D7_FcY9zMnHP8iPO4M5RCRjy6nZY0TY/edit#gi"&amp;"d=0"",""Table 1: Study characteristics!B4:B171""))
)"),"background article")</f>
        <v>background article</v>
      </c>
    </row>
    <row r="311">
      <c r="A311" s="4" t="str">
        <f>IFERROR(__xludf.DUMMYFUNCTION("""COMPUTED_VALUE"""),"Assessment of neurosurgical outcome in children prenatally diagnosed with myelomeningocele and development of a protocol for fetal surgery to prevent hydrocephalus")</f>
        <v>Assessment of neurosurgical outcome in children prenatally diagnosed with myelomeningocele and development of a protocol for fetal surgery to prevent hydrocephalus</v>
      </c>
      <c r="B311" s="5" t="str">
        <f>IFERROR(__xludf.DUMMYFUNCTION("LEFT(FILTER(IMPORTRANGE(""https://docs.google.com/spreadsheets/d/1BJSV3WBYJGRhQ6zExamkszQ5VutGIcaQqmbD9ZTVXMQ/edit#gid=1251630045"",""articles_with_PRISMA_reasons!K2:K2113""), $A311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$A311=IMPORTRANGE(""https://docs.google.com/spreadsheets/d/1BJSV3WBYJGRhQ6zExamkszQ5VutGIcaQqmbD9ZTVXMQ/edit#gid=1251630045"",""articles_with_PRISMA_reasons!B2:B2113"")))-1)"),"Zambelli")</f>
        <v>Zambelli</v>
      </c>
      <c r="C311" s="6">
        <f>IFERROR(__xludf.DUMMYFUNCTION("FILTER(IMPORTRANGE(""https://docs.google.com/spreadsheets/d/1BJSV3WBYJGRhQ6zExamkszQ5VutGIcaQqmbD9ZTVXMQ/edit#gid=1251630045"",""articles_with_PRISMA_reasons!C2:C2113""), $A311=IMPORTRANGE(""https://docs.google.com/spreadsheets/d/1BJSV3WBYJGRhQ6zExamkszQ5"&amp;"VutGIcaQqmbD9ZTVXMQ/edit#gid=1251630045"",""articles_with_PRISMA_reasons!B2:B2113""))"),2007.0)</f>
        <v>2007</v>
      </c>
      <c r="D311" s="5" t="str">
        <f>IFERROR(__xludf.DUMMYFUNCTION("IFS(AND(
FILTER(IMPORTRANGE(""https://docs.google.com/spreadsheets/d/1BJSV3WBYJGRhQ6zExamkszQ5VutGIcaQqmbD9ZTVXMQ/edit#gid=1251630045"",""articles_with_PRISMA_reasons!Y2:Y2113""), $A311=IMPORTRANGE(""https://docs.google.com/spreadsheets/d/1BJSV3WBYJGRhQ6z"&amp;"ExamkszQ5VutGIcaQqmbD9ZTVXMQ/edit#gid=1251630045"",""articles_with_PRISMA_reasons!B2:B2113""))&gt;=2,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$A311=IMPORTRANGE(""https://docs.google.com/spreadsheets/d/1BJSV3WBYJGRhQ6zExamkszQ5VutGIcaQqmbD9ZTVXMQ/edit#gid=1251630045"",""articles_with_PRISMA_reasons!B2:B2113""))&lt;2),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$A311=IMPORTRANGE(""https://docs.google.com/spreadsheets/d/1BJSV3WBYJGRhQ6zExamkszQ5VutGIcaQqmbD9ZTVXMQ/edit#gid=1251630045"",""arti"&amp;"cles_with_PRISMA_reasons!B2:B2113""))&lt;2,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$A311=IMPORTRANGE(""https://docs.google.com"&amp;"/spreadsheets/d/1BJSV3WBYJGRhQ6zExamkszQ5VutGIcaQqmbD9ZTVXMQ/edit#gid=1251630045"",""articles_with_PRISMA_reasons!B2:B2113""))&gt;=2),
""Exclude""
)"),"Include")</f>
        <v>Include</v>
      </c>
      <c r="E311" s="5" t="str">
        <f>IFERROR(__xludf.DUMMYFUNCTION("IFS(
D311=""Exclude"",""Exclude"",
AND(
FILTER(IMPORTRANGE(""https://docs.google.com/spreadsheets/d/1qpEmbGH0JjaJbUdp21-y2cPbobDbMjr09BbtdKROZWc/edit#gid=1444865654"",""articles_with_PRISMA_reasons!W2:W2113""), $A311=IMPORTRANGE(""https://docs.google.com/"&amp;"spreadsheets/d/1qpEmbGH0JjaJbUdp21-y2cPbobDbMjr09BbtdKROZWc/edit#gid=1444865654"",""articles_with_PRISMA_reasons!B2:B2113""))&gt;=2,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$A311=IMPORTRANGE(""https://docs.google.com/spreadsheets/d/1qpEmbGH0JjaJbUdp21-y2cPbobDbMjr09BbtdKROZWc/edit#gid=1444865654"",""articles_with_PRISMA_reasons!B2:B2113""))&lt;2),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$A311=IMPORTRANGE(""https://docs.google.com/spreadsheets/d/1qpEmbGH0JjaJbUdp21-y2cPbobDbMjr09BbtdKRO"&amp;"ZWc/edit#gid=1444865654"",""articles_with_PRISMA_reasons!B2:B2113""))&lt;2,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$A311=IMPOR"&amp;"TRANGE(""https://docs.google.com/spreadsheets/d/1qpEmbGH0JjaJbUdp21-y2cPbobDbMjr09BbtdKROZWc/edit#gid=1444865654"",""articles_with_PRISMA_reasons!B2:B2113""))&gt;=2),
""Exclude""
)"),"Include")</f>
        <v>Include</v>
      </c>
      <c r="F311" s="5" t="str">
        <f>IFERROR(__xludf.DUMMYFUNCTION("IFS(
E311=""Exclude"",""Exclude"",
AND(
COUNTIF(
IMPORTRANGE(""https://docs.google.com/spreadsheets/d/1kGrh75X1cNR1D7_FcY9zMnHP8iPO4M5RCRjy6nZY0TY/edit#gid=0"",""Table 1: Study characteristics!B4:B171""),A311)&gt;0,
COUNTIF(Studies!$A$2:$A$85,FILTER(IMPORTRA"&amp;"NGE(""https://docs.google.com/spreadsheets/d/1kGrh75X1cNR1D7_FcY9zMnHP8iPO4M5RCRjy6nZY0TY/edit#gid=0"",""Table 1: Study characteristics!A4:A171""), $A311=IMPORTRANGE(""https://docs.google.com/spreadsheets/d/1kGrh75X1cNR1D7_FcY9zMnHP8iPO4M5RCRjy6nZY0TY/edi"&amp;"t#gid=0"",""Table 1: Study characteristics!B4:B171"")))&gt;0
),
""Include""
)"),"Include")</f>
        <v>Include</v>
      </c>
      <c r="G311" s="5" t="str">
        <f>IFERROR(__xludf.DUMMYFUNCTION("IFS(
D311=""Exclude"",
FILTER(IMPORTRANGE(""https://docs.google.com/spreadsheets/d/1BJSV3WBYJGRhQ6zExamkszQ5VutGIcaQqmbD9ZTVXMQ/edit#gid=1251630045"",""articles_with_PRISMA_reasons!AB2:AB2113""), $A311=IMPORTRANGE(""https://docs.google.com/spreadsheets/d/"&amp;"1BJSV3WBYJGRhQ6zExamkszQ5VutGIcaQqmbD9ZTVXMQ/edit#gid=1251630045"",""articles_with_PRISMA_reasons!B2:B2113"")),
E311=""Exclude"",
FILTER(IMPORTRANGE(""https://docs.google.com/spreadsheets/d/1qpEmbGH0JjaJbUdp21-y2cPbobDbMjr09BbtdKROZWc/edit#gid=1444865654"&amp;""",""articles_with_PRISMA_reasons!Z2:Z2113""), $A311=IMPORTRANGE(""https://docs.google.com/spreadsheets/d/1qpEmbGH0JjaJbUdp21-y2cPbobDbMjr09BbtdKROZWc/edit#gid=1444865654"",""articles_with_PRISMA_reasons!B2:B2113"")),F311
=""Include"",FILTER(IMPORTRANGE("&amp;"""https://docs.google.com/spreadsheets/d/1kGrh75X1cNR1D7_FcY9zMnHP8iPO4M5RCRjy6nZY0TY/edit#gid=0"",""Table 1: Study characteristics!A4:A171""), $A311=IMPORTRANGE(""https://docs.google.com/spreadsheets/d/1kGrh75X1cNR1D7_FcY9zMnHP8iPO4M5RCRjy6nZY0TY/edit#gi"&amp;"d=0"",""Table 1: Study characteristics!B4:B171""))
)"),"ID 10")</f>
        <v>ID 10</v>
      </c>
    </row>
    <row r="312">
      <c r="A312" s="4" t="str">
        <f>IFERROR(__xludf.DUMMYFUNCTION("""COMPUTED_VALUE"""),"Associated congenital anomalies in infants with isolated gastroschisis: A single-institutional experience")</f>
        <v>Associated congenital anomalies in infants with isolated gastroschisis: A single-institutional experience</v>
      </c>
      <c r="B312" s="5" t="str">
        <f>IFERROR(__xludf.DUMMYFUNCTION("LEFT(FILTER(IMPORTRANGE(""https://docs.google.com/spreadsheets/d/1BJSV3WBYJGRhQ6zExamkszQ5VutGIcaQqmbD9ZTVXMQ/edit#gid=1251630045"",""articles_with_PRISMA_reasons!K2:K2113""), $A312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$A312=IMPORTRANGE(""https://docs.google.com/spreadsheets/d/1BJSV3WBYJGRhQ6zExamkszQ5VutGIcaQqmbD9ZTVXMQ/edit#gid=1251630045"",""articles_with_PRISMA_reasons!B2:B2113"")))-1)"),"Mellin-Sanchez")</f>
        <v>Mellin-Sanchez</v>
      </c>
      <c r="C312" s="6">
        <f>IFERROR(__xludf.DUMMYFUNCTION("FILTER(IMPORTRANGE(""https://docs.google.com/spreadsheets/d/1BJSV3WBYJGRhQ6zExamkszQ5VutGIcaQqmbD9ZTVXMQ/edit#gid=1251630045"",""articles_with_PRISMA_reasons!C2:C2113""), $A312=IMPORTRANGE(""https://docs.google.com/spreadsheets/d/1BJSV3WBYJGRhQ6zExamkszQ5"&amp;"VutGIcaQqmbD9ZTVXMQ/edit#gid=1251630045"",""articles_with_PRISMA_reasons!B2:B2113""))"),2016.0)</f>
        <v>2016</v>
      </c>
      <c r="D312" s="5" t="str">
        <f>IFERROR(__xludf.DUMMYFUNCTION("IFS(AND(
FILTER(IMPORTRANGE(""https://docs.google.com/spreadsheets/d/1BJSV3WBYJGRhQ6zExamkszQ5VutGIcaQqmbD9ZTVXMQ/edit#gid=1251630045"",""articles_with_PRISMA_reasons!Y2:Y2113""), $A312=IMPORTRANGE(""https://docs.google.com/spreadsheets/d/1BJSV3WBYJGRhQ6z"&amp;"ExamkszQ5VutGIcaQqmbD9ZTVXMQ/edit#gid=1251630045"",""articles_with_PRISMA_reasons!B2:B2113""))&gt;=2,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$A312=IMPORTRANGE(""https://docs.google.com/spreadsheets/d/1BJSV3WBYJGRhQ6zExamkszQ5VutGIcaQqmbD9ZTVXMQ/edit#gid=1251630045"",""articles_with_PRISMA_reasons!B2:B2113""))&lt;2),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$A312=IMPORTRANGE(""https://docs.google.com/spreadsheets/d/1BJSV3WBYJGRhQ6zExamkszQ5VutGIcaQqmbD9ZTVXMQ/edit#gid=1251630045"",""arti"&amp;"cles_with_PRISMA_reasons!B2:B2113""))&lt;2,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$A312=IMPORTRANGE(""https://docs.google.com"&amp;"/spreadsheets/d/1BJSV3WBYJGRhQ6zExamkszQ5VutGIcaQqmbD9ZTVXMQ/edit#gid=1251630045"",""articles_with_PRISMA_reasons!B2:B2113""))&gt;=2),
""Exclude""
)"),"Exclude")</f>
        <v>Exclude</v>
      </c>
      <c r="E312" s="5" t="str">
        <f>IFERROR(__xludf.DUMMYFUNCTION("IFS(
D312=""Exclude"",""Exclude"",
AND(
FILTER(IMPORTRANGE(""https://docs.google.com/spreadsheets/d/1qpEmbGH0JjaJbUdp21-y2cPbobDbMjr09BbtdKROZWc/edit#gid=1444865654"",""articles_with_PRISMA_reasons!W2:W2113""), $A312=IMPORTRANGE(""https://docs.google.com/"&amp;"spreadsheets/d/1qpEmbGH0JjaJbUdp21-y2cPbobDbMjr09BbtdKROZWc/edit#gid=1444865654"",""articles_with_PRISMA_reasons!B2:B2113""))&gt;=2,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$A312=IMPORTRANGE(""https://docs.google.com/spreadsheets/d/1qpEmbGH0JjaJbUdp21-y2cPbobDbMjr09BbtdKROZWc/edit#gid=1444865654"",""articles_with_PRISMA_reasons!B2:B2113""))&lt;2),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$A312=IMPORTRANGE(""https://docs.google.com/spreadsheets/d/1qpEmbGH0JjaJbUdp21-y2cPbobDbMjr09BbtdKRO"&amp;"ZWc/edit#gid=1444865654"",""articles_with_PRISMA_reasons!B2:B2113""))&lt;2,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$A312=IMPOR"&amp;"TRANGE(""https://docs.google.com/spreadsheets/d/1qpEmbGH0JjaJbUdp21-y2cPbobDbMjr09BbtdKROZWc/edit#gid=1444865654"",""articles_with_PRISMA_reasons!B2:B2113""))&gt;=2),
""Exclude""
)"),"Exclude")</f>
        <v>Exclude</v>
      </c>
      <c r="F312" s="5" t="str">
        <f>IFERROR(__xludf.DUMMYFUNCTION("IFS(
E312=""Exclude"",""Exclude"",
AND(
COUNTIF(
IMPORTRANGE(""https://docs.google.com/spreadsheets/d/1kGrh75X1cNR1D7_FcY9zMnHP8iPO4M5RCRjy6nZY0TY/edit#gid=0"",""Table 1: Study characteristics!B4:B171""),A312)&gt;0,
COUNTIF(Studies!$A$2:$A$85,FILTER(IMPORTRA"&amp;"NGE(""https://docs.google.com/spreadsheets/d/1kGrh75X1cNR1D7_FcY9zMnHP8iPO4M5RCRjy6nZY0TY/edit#gid=0"",""Table 1: Study characteristics!A4:A171""), $A312=IMPORTRANGE(""https://docs.google.com/spreadsheets/d/1kGrh75X1cNR1D7_FcY9zMnHP8iPO4M5RCRjy6nZY0TY/edi"&amp;"t#gid=0"",""Table 1: Study characteristics!B4:B171"")))&gt;0
),
""Include""
)"),"Exclude")</f>
        <v>Exclude</v>
      </c>
      <c r="G312" s="5" t="str">
        <f>IFERROR(__xludf.DUMMYFUNCTION("IFS(
D312=""Exclude"",
FILTER(IMPORTRANGE(""https://docs.google.com/spreadsheets/d/1BJSV3WBYJGRhQ6zExamkszQ5VutGIcaQqmbD9ZTVXMQ/edit#gid=1251630045"",""articles_with_PRISMA_reasons!AB2:AB2113""), $A312=IMPORTRANGE(""https://docs.google.com/spreadsheets/d/"&amp;"1BJSV3WBYJGRhQ6zExamkszQ5VutGIcaQqmbD9ZTVXMQ/edit#gid=1251630045"",""articles_with_PRISMA_reasons!B2:B2113"")),
E312=""Exclude"",
FILTER(IMPORTRANGE(""https://docs.google.com/spreadsheets/d/1qpEmbGH0JjaJbUdp21-y2cPbobDbMjr09BbtdKROZWc/edit#gid=1444865654"&amp;""",""articles_with_PRISMA_reasons!Z2:Z2113""), $A312=IMPORTRANGE(""https://docs.google.com/spreadsheets/d/1qpEmbGH0JjaJbUdp21-y2cPbobDbMjr09BbtdKROZWc/edit#gid=1444865654"",""articles_with_PRISMA_reasons!B2:B2113"")),F312
=""Include"",FILTER(IMPORTRANGE("&amp;"""https://docs.google.com/spreadsheets/d/1kGrh75X1cNR1D7_FcY9zMnHP8iPO4M5RCRjy6nZY0TY/edit#gid=0"",""Table 1: Study characteristics!A4:A171""), $A312=IMPORTRANGE(""https://docs.google.com/spreadsheets/d/1kGrh75X1cNR1D7_FcY9zMnHP8iPO4M5RCRjy6nZY0TY/edit#gi"&amp;"d=0"",""Table 1: Study characteristics!B4:B171""))
)"),"wrong population")</f>
        <v>wrong population</v>
      </c>
    </row>
    <row r="313">
      <c r="A313" s="4" t="str">
        <f>IFERROR(__xludf.DUMMYFUNCTION("""COMPUTED_VALUE"""),"Association of bilateral internuclear ophthalmoplegia and myelomeningocele with Arnold-Chiari malformation, type II")</f>
        <v>Association of bilateral internuclear ophthalmoplegia and myelomeningocele with Arnold-Chiari malformation, type II</v>
      </c>
      <c r="B313" s="5" t="str">
        <f>IFERROR(__xludf.DUMMYFUNCTION("LEFT(FILTER(IMPORTRANGE(""https://docs.google.com/spreadsheets/d/1BJSV3WBYJGRhQ6zExamkszQ5VutGIcaQqmbD9ZTVXMQ/edit#gid=1251630045"",""articles_with_PRISMA_reasons!K2:K2113""), $A313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$A313=IMPORTRANGE(""https://docs.google.com/spreadsheets/d/1BJSV3WBYJGRhQ6zExamkszQ5VutGIcaQqmbD9ZTVXMQ/edit#gid=1251630045"",""articles_with_PRISMA_reasons!B2:B2113"")))-1)"),"Woody")</f>
        <v>Woody</v>
      </c>
      <c r="C313" s="6" t="str">
        <f>IFERROR(__xludf.DUMMYFUNCTION("FILTER(IMPORTRANGE(""https://docs.google.com/spreadsheets/d/1BJSV3WBYJGRhQ6zExamkszQ5VutGIcaQqmbD9ZTVXMQ/edit#gid=1251630045"",""articles_with_PRISMA_reasons!C2:C2113""), $A313=IMPORTRANGE(""https://docs.google.com/spreadsheets/d/1BJSV3WBYJGRhQ6zExamkszQ5"&amp;"VutGIcaQqmbD9ZTVXMQ/edit#gid=1251630045"",""articles_with_PRISMA_reasons!B2:B2113""))"),"Jun")</f>
        <v>Jun</v>
      </c>
      <c r="D313" s="5" t="str">
        <f>IFERROR(__xludf.DUMMYFUNCTION("IFS(AND(
FILTER(IMPORTRANGE(""https://docs.google.com/spreadsheets/d/1BJSV3WBYJGRhQ6zExamkszQ5VutGIcaQqmbD9ZTVXMQ/edit#gid=1251630045"",""articles_with_PRISMA_reasons!Y2:Y2113""), $A313=IMPORTRANGE(""https://docs.google.com/spreadsheets/d/1BJSV3WBYJGRhQ6z"&amp;"ExamkszQ5VutGIcaQqmbD9ZTVXMQ/edit#gid=1251630045"",""articles_with_PRISMA_reasons!B2:B2113""))&gt;=2,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$A313=IMPORTRANGE(""https://docs.google.com/spreadsheets/d/1BJSV3WBYJGRhQ6zExamkszQ5VutGIcaQqmbD9ZTVXMQ/edit#gid=1251630045"",""articles_with_PRISMA_reasons!B2:B2113""))&lt;2),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$A313=IMPORTRANGE(""https://docs.google.com/spreadsheets/d/1BJSV3WBYJGRhQ6zExamkszQ5VutGIcaQqmbD9ZTVXMQ/edit#gid=1251630045"",""arti"&amp;"cles_with_PRISMA_reasons!B2:B2113""))&lt;2,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$A313=IMPORTRANGE(""https://docs.google.com"&amp;"/spreadsheets/d/1BJSV3WBYJGRhQ6zExamkszQ5VutGIcaQqmbD9ZTVXMQ/edit#gid=1251630045"",""articles_with_PRISMA_reasons!B2:B2113""))&gt;=2),
""Exclude""
)"),"Exclude")</f>
        <v>Exclude</v>
      </c>
      <c r="E313" s="5" t="str">
        <f>IFERROR(__xludf.DUMMYFUNCTION("IFS(
D313=""Exclude"",""Exclude"",
AND(
FILTER(IMPORTRANGE(""https://docs.google.com/spreadsheets/d/1qpEmbGH0JjaJbUdp21-y2cPbobDbMjr09BbtdKROZWc/edit#gid=1444865654"",""articles_with_PRISMA_reasons!W2:W2113""), $A313=IMPORTRANGE(""https://docs.google.com/"&amp;"spreadsheets/d/1qpEmbGH0JjaJbUdp21-y2cPbobDbMjr09BbtdKROZWc/edit#gid=1444865654"",""articles_with_PRISMA_reasons!B2:B2113""))&gt;=2,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$A313=IMPORTRANGE(""https://docs.google.com/spreadsheets/d/1qpEmbGH0JjaJbUdp21-y2cPbobDbMjr09BbtdKROZWc/edit#gid=1444865654"",""articles_with_PRISMA_reasons!B2:B2113""))&lt;2),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$A313=IMPORTRANGE(""https://docs.google.com/spreadsheets/d/1qpEmbGH0JjaJbUdp21-y2cPbobDbMjr09BbtdKRO"&amp;"ZWc/edit#gid=1444865654"",""articles_with_PRISMA_reasons!B2:B2113""))&lt;2,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$A313=IMPOR"&amp;"TRANGE(""https://docs.google.com/spreadsheets/d/1qpEmbGH0JjaJbUdp21-y2cPbobDbMjr09BbtdKROZWc/edit#gid=1444865654"",""articles_with_PRISMA_reasons!B2:B2113""))&gt;=2),
""Exclude""
)"),"Exclude")</f>
        <v>Exclude</v>
      </c>
      <c r="F313" s="5" t="str">
        <f>IFERROR(__xludf.DUMMYFUNCTION("IFS(
E313=""Exclude"",""Exclude"",
AND(
COUNTIF(
IMPORTRANGE(""https://docs.google.com/spreadsheets/d/1kGrh75X1cNR1D7_FcY9zMnHP8iPO4M5RCRjy6nZY0TY/edit#gid=0"",""Table 1: Study characteristics!B4:B171""),A313)&gt;0,
COUNTIF(Studies!$A$2:$A$85,FILTER(IMPORTRA"&amp;"NGE(""https://docs.google.com/spreadsheets/d/1kGrh75X1cNR1D7_FcY9zMnHP8iPO4M5RCRjy6nZY0TY/edit#gid=0"",""Table 1: Study characteristics!A4:A171""), $A313=IMPORTRANGE(""https://docs.google.com/spreadsheets/d/1kGrh75X1cNR1D7_FcY9zMnHP8iPO4M5RCRjy6nZY0TY/edi"&amp;"t#gid=0"",""Table 1: Study characteristics!B4:B171"")))&gt;0
),
""Include""
)"),"Exclude")</f>
        <v>Exclude</v>
      </c>
      <c r="G313" s="5" t="str">
        <f>IFERROR(__xludf.DUMMYFUNCTION("IFS(
D313=""Exclude"",
FILTER(IMPORTRANGE(""https://docs.google.com/spreadsheets/d/1BJSV3WBYJGRhQ6zExamkszQ5VutGIcaQqmbD9ZTVXMQ/edit#gid=1251630045"",""articles_with_PRISMA_reasons!AB2:AB2113""), $A313=IMPORTRANGE(""https://docs.google.com/spreadsheets/d/"&amp;"1BJSV3WBYJGRhQ6zExamkszQ5VutGIcaQqmbD9ZTVXMQ/edit#gid=1251630045"",""articles_with_PRISMA_reasons!B2:B2113"")),
E313=""Exclude"",
FILTER(IMPORTRANGE(""https://docs.google.com/spreadsheets/d/1qpEmbGH0JjaJbUdp21-y2cPbobDbMjr09BbtdKROZWc/edit#gid=1444865654"&amp;""",""articles_with_PRISMA_reasons!Z2:Z2113""), $A313=IMPORTRANGE(""https://docs.google.com/spreadsheets/d/1qpEmbGH0JjaJbUdp21-y2cPbobDbMjr09BbtdKROZWc/edit#gid=1444865654"",""articles_with_PRISMA_reasons!B2:B2113"")),F313
=""Include"",FILTER(IMPORTRANGE("&amp;"""https://docs.google.com/spreadsheets/d/1kGrh75X1cNR1D7_FcY9zMnHP8iPO4M5RCRjy6nZY0TY/edit#gid=0"",""Table 1: Study characteristics!A4:A171""), $A313=IMPORTRANGE(""https://docs.google.com/spreadsheets/d/1kGrh75X1cNR1D7_FcY9zMnHP8iPO4M5RCRjy6nZY0TY/edit#gi"&amp;"d=0"",""Table 1: Study characteristics!B4:B171""))
)"),"Duplicate")</f>
        <v>Duplicate</v>
      </c>
    </row>
    <row r="314">
      <c r="A314" s="4" t="str">
        <f>IFERROR(__xludf.DUMMYFUNCTION("""COMPUTED_VALUE"""),"Atretic cephalocele: The tip of the iceberg")</f>
        <v>Atretic cephalocele: The tip of the iceberg</v>
      </c>
      <c r="B314" s="5" t="str">
        <f>IFERROR(__xludf.DUMMYFUNCTION("LEFT(FILTER(IMPORTRANGE(""https://docs.google.com/spreadsheets/d/1BJSV3WBYJGRhQ6zExamkszQ5VutGIcaQqmbD9ZTVXMQ/edit#gid=1251630045"",""articles_with_PRISMA_reasons!K2:K2113""), $A314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$A314=IMPORTRANGE(""https://docs.google.com/spreadsheets/d/1BJSV3WBYJGRhQ6zExamkszQ5VutGIcaQqmbD9ZTVXMQ/edit#gid=1251630045"",""articles_with_PRISMA_reasons!B2:B2113"")))-1)"),"Martinez-Lage")</f>
        <v>Martinez-Lage</v>
      </c>
      <c r="C314" s="6">
        <f>IFERROR(__xludf.DUMMYFUNCTION("FILTER(IMPORTRANGE(""https://docs.google.com/spreadsheets/d/1BJSV3WBYJGRhQ6zExamkszQ5VutGIcaQqmbD9ZTVXMQ/edit#gid=1251630045"",""articles_with_PRISMA_reasons!C2:C2113""), $A314=IMPORTRANGE(""https://docs.google.com/spreadsheets/d/1BJSV3WBYJGRhQ6zExamkszQ5"&amp;"VutGIcaQqmbD9ZTVXMQ/edit#gid=1251630045"",""articles_with_PRISMA_reasons!B2:B2113""))"),1992.0)</f>
        <v>1992</v>
      </c>
      <c r="D314" s="5" t="str">
        <f>IFERROR(__xludf.DUMMYFUNCTION("IFS(AND(
FILTER(IMPORTRANGE(""https://docs.google.com/spreadsheets/d/1BJSV3WBYJGRhQ6zExamkszQ5VutGIcaQqmbD9ZTVXMQ/edit#gid=1251630045"",""articles_with_PRISMA_reasons!Y2:Y2113""), $A314=IMPORTRANGE(""https://docs.google.com/spreadsheets/d/1BJSV3WBYJGRhQ6z"&amp;"ExamkszQ5VutGIcaQqmbD9ZTVXMQ/edit#gid=1251630045"",""articles_with_PRISMA_reasons!B2:B2113""))&gt;=2,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$A314=IMPORTRANGE(""https://docs.google.com/spreadsheets/d/1BJSV3WBYJGRhQ6zExamkszQ5VutGIcaQqmbD9ZTVXMQ/edit#gid=1251630045"",""articles_with_PRISMA_reasons!B2:B2113""))&lt;2),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$A314=IMPORTRANGE(""https://docs.google.com/spreadsheets/d/1BJSV3WBYJGRhQ6zExamkszQ5VutGIcaQqmbD9ZTVXMQ/edit#gid=1251630045"",""arti"&amp;"cles_with_PRISMA_reasons!B2:B2113""))&lt;2,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$A314=IMPORTRANGE(""https://docs.google.com"&amp;"/spreadsheets/d/1BJSV3WBYJGRhQ6zExamkszQ5VutGIcaQqmbD9ZTVXMQ/edit#gid=1251630045"",""articles_with_PRISMA_reasons!B2:B2113""))&gt;=2),
""Exclude""
)"),"Exclude")</f>
        <v>Exclude</v>
      </c>
      <c r="E314" s="5" t="str">
        <f>IFERROR(__xludf.DUMMYFUNCTION("IFS(
D314=""Exclude"",""Exclude"",
AND(
FILTER(IMPORTRANGE(""https://docs.google.com/spreadsheets/d/1qpEmbGH0JjaJbUdp21-y2cPbobDbMjr09BbtdKROZWc/edit#gid=1444865654"",""articles_with_PRISMA_reasons!W2:W2113""), $A314=IMPORTRANGE(""https://docs.google.com/"&amp;"spreadsheets/d/1qpEmbGH0JjaJbUdp21-y2cPbobDbMjr09BbtdKROZWc/edit#gid=1444865654"",""articles_with_PRISMA_reasons!B2:B2113""))&gt;=2,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$A314=IMPORTRANGE(""https://docs.google.com/spreadsheets/d/1qpEmbGH0JjaJbUdp21-y2cPbobDbMjr09BbtdKROZWc/edit#gid=1444865654"",""articles_with_PRISMA_reasons!B2:B2113""))&lt;2),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$A314=IMPORTRANGE(""https://docs.google.com/spreadsheets/d/1qpEmbGH0JjaJbUdp21-y2cPbobDbMjr09BbtdKRO"&amp;"ZWc/edit#gid=1444865654"",""articles_with_PRISMA_reasons!B2:B2113""))&lt;2,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$A314=IMPOR"&amp;"TRANGE(""https://docs.google.com/spreadsheets/d/1qpEmbGH0JjaJbUdp21-y2cPbobDbMjr09BbtdKROZWc/edit#gid=1444865654"",""articles_with_PRISMA_reasons!B2:B2113""))&gt;=2),
""Exclude""
)"),"Exclude")</f>
        <v>Exclude</v>
      </c>
      <c r="F314" s="5" t="str">
        <f>IFERROR(__xludf.DUMMYFUNCTION("IFS(
E314=""Exclude"",""Exclude"",
AND(
COUNTIF(
IMPORTRANGE(""https://docs.google.com/spreadsheets/d/1kGrh75X1cNR1D7_FcY9zMnHP8iPO4M5RCRjy6nZY0TY/edit#gid=0"",""Table 1: Study characteristics!B4:B171""),A314)&gt;0,
COUNTIF(Studies!$A$2:$A$85,FILTER(IMPORTRA"&amp;"NGE(""https://docs.google.com/spreadsheets/d/1kGrh75X1cNR1D7_FcY9zMnHP8iPO4M5RCRjy6nZY0TY/edit#gid=0"",""Table 1: Study characteristics!A4:A171""), $A314=IMPORTRANGE(""https://docs.google.com/spreadsheets/d/1kGrh75X1cNR1D7_FcY9zMnHP8iPO4M5RCRjy6nZY0TY/edi"&amp;"t#gid=0"",""Table 1: Study characteristics!B4:B171"")))&gt;0
),
""Include""
)"),"Exclude")</f>
        <v>Exclude</v>
      </c>
      <c r="G314" s="5" t="str">
        <f>IFERROR(__xludf.DUMMYFUNCTION("IFS(
D314=""Exclude"",
FILTER(IMPORTRANGE(""https://docs.google.com/spreadsheets/d/1BJSV3WBYJGRhQ6zExamkszQ5VutGIcaQqmbD9ZTVXMQ/edit#gid=1251630045"",""articles_with_PRISMA_reasons!AB2:AB2113""), $A314=IMPORTRANGE(""https://docs.google.com/spreadsheets/d/"&amp;"1BJSV3WBYJGRhQ6zExamkszQ5VutGIcaQqmbD9ZTVXMQ/edit#gid=1251630045"",""articles_with_PRISMA_reasons!B2:B2113"")),
E314=""Exclude"",
FILTER(IMPORTRANGE(""https://docs.google.com/spreadsheets/d/1qpEmbGH0JjaJbUdp21-y2cPbobDbMjr09BbtdKROZWc/edit#gid=1444865654"&amp;""",""articles_with_PRISMA_reasons!Z2:Z2113""), $A314=IMPORTRANGE(""https://docs.google.com/spreadsheets/d/1qpEmbGH0JjaJbUdp21-y2cPbobDbMjr09BbtdKROZWc/edit#gid=1444865654"",""articles_with_PRISMA_reasons!B2:B2113"")),F314
=""Include"",FILTER(IMPORTRANGE("&amp;"""https://docs.google.com/spreadsheets/d/1kGrh75X1cNR1D7_FcY9zMnHP8iPO4M5RCRjy6nZY0TY/edit#gid=0"",""Table 1: Study characteristics!A4:A171""), $A314=IMPORTRANGE(""https://docs.google.com/spreadsheets/d/1kGrh75X1cNR1D7_FcY9zMnHP8iPO4M5RCRjy6nZY0TY/edit#gi"&amp;"d=0"",""Table 1: Study characteristics!B4:B171""))
)"),"wrong population")</f>
        <v>wrong population</v>
      </c>
    </row>
    <row r="315">
      <c r="A315" s="4" t="str">
        <f>IFERROR(__xludf.DUMMYFUNCTION("""COMPUTED_VALUE"""),"Attention in spina bifida myelomeningocele: Relations with brain volume and integrity")</f>
        <v>Attention in spina bifida myelomeningocele: Relations with brain volume and integrity</v>
      </c>
      <c r="B315" s="5" t="str">
        <f>IFERROR(__xludf.DUMMYFUNCTION("LEFT(FILTER(IMPORTRANGE(""https://docs.google.com/spreadsheets/d/1BJSV3WBYJGRhQ6zExamkszQ5VutGIcaQqmbD9ZTVXMQ/edit#gid=1251630045"",""articles_with_PRISMA_reasons!K2:K2113""), $A315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$A315=IMPORTRANGE(""https://docs.google.com/spreadsheets/d/1BJSV3WBYJGRhQ6zExamkszQ5VutGIcaQqmbD9ZTVXMQ/edit#gid=1251630045"",""articles_with_PRISMA_reasons!B2:B2113"")))-1)"),"Kulesz")</f>
        <v>Kulesz</v>
      </c>
      <c r="C315" s="6">
        <f>IFERROR(__xludf.DUMMYFUNCTION("FILTER(IMPORTRANGE(""https://docs.google.com/spreadsheets/d/1BJSV3WBYJGRhQ6zExamkszQ5VutGIcaQqmbD9ZTVXMQ/edit#gid=1251630045"",""articles_with_PRISMA_reasons!C2:C2113""), $A315=IMPORTRANGE(""https://docs.google.com/spreadsheets/d/1BJSV3WBYJGRhQ6zExamkszQ5"&amp;"VutGIcaQqmbD9ZTVXMQ/edit#gid=1251630045"",""articles_with_PRISMA_reasons!B2:B2113""))"),2015.0)</f>
        <v>2015</v>
      </c>
      <c r="D315" s="5" t="str">
        <f>IFERROR(__xludf.DUMMYFUNCTION("IFS(AND(
FILTER(IMPORTRANGE(""https://docs.google.com/spreadsheets/d/1BJSV3WBYJGRhQ6zExamkszQ5VutGIcaQqmbD9ZTVXMQ/edit#gid=1251630045"",""articles_with_PRISMA_reasons!Y2:Y2113""), $A315=IMPORTRANGE(""https://docs.google.com/spreadsheets/d/1BJSV3WBYJGRhQ6z"&amp;"ExamkszQ5VutGIcaQqmbD9ZTVXMQ/edit#gid=1251630045"",""articles_with_PRISMA_reasons!B2:B2113""))&gt;=2,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$A315=IMPORTRANGE(""https://docs.google.com/spreadsheets/d/1BJSV3WBYJGRhQ6zExamkszQ5VutGIcaQqmbD9ZTVXMQ/edit#gid=1251630045"",""articles_with_PRISMA_reasons!B2:B2113""))&lt;2),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$A315=IMPORTRANGE(""https://docs.google.com/spreadsheets/d/1BJSV3WBYJGRhQ6zExamkszQ5VutGIcaQqmbD9ZTVXMQ/edit#gid=1251630045"",""arti"&amp;"cles_with_PRISMA_reasons!B2:B2113""))&lt;2,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$A315=IMPORTRANGE(""https://docs.google.com"&amp;"/spreadsheets/d/1BJSV3WBYJGRhQ6zExamkszQ5VutGIcaQqmbD9ZTVXMQ/edit#gid=1251630045"",""articles_with_PRISMA_reasons!B2:B2113""))&gt;=2),
""Exclude""
)"),"Exclude")</f>
        <v>Exclude</v>
      </c>
      <c r="E315" s="5" t="str">
        <f>IFERROR(__xludf.DUMMYFUNCTION("IFS(
D315=""Exclude"",""Exclude"",
AND(
FILTER(IMPORTRANGE(""https://docs.google.com/spreadsheets/d/1qpEmbGH0JjaJbUdp21-y2cPbobDbMjr09BbtdKROZWc/edit#gid=1444865654"",""articles_with_PRISMA_reasons!W2:W2113""), $A315=IMPORTRANGE(""https://docs.google.com/"&amp;"spreadsheets/d/1qpEmbGH0JjaJbUdp21-y2cPbobDbMjr09BbtdKROZWc/edit#gid=1444865654"",""articles_with_PRISMA_reasons!B2:B2113""))&gt;=2,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$A315=IMPORTRANGE(""https://docs.google.com/spreadsheets/d/1qpEmbGH0JjaJbUdp21-y2cPbobDbMjr09BbtdKROZWc/edit#gid=1444865654"",""articles_with_PRISMA_reasons!B2:B2113""))&lt;2),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$A315=IMPORTRANGE(""https://docs.google.com/spreadsheets/d/1qpEmbGH0JjaJbUdp21-y2cPbobDbMjr09BbtdKRO"&amp;"ZWc/edit#gid=1444865654"",""articles_with_PRISMA_reasons!B2:B2113""))&lt;2,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$A315=IMPOR"&amp;"TRANGE(""https://docs.google.com/spreadsheets/d/1qpEmbGH0JjaJbUdp21-y2cPbobDbMjr09BbtdKROZWc/edit#gid=1444865654"",""articles_with_PRISMA_reasons!B2:B2113""))&gt;=2),
""Exclude""
)"),"Exclude")</f>
        <v>Exclude</v>
      </c>
      <c r="F315" s="5" t="str">
        <f>IFERROR(__xludf.DUMMYFUNCTION("IFS(
E315=""Exclude"",""Exclude"",
AND(
COUNTIF(
IMPORTRANGE(""https://docs.google.com/spreadsheets/d/1kGrh75X1cNR1D7_FcY9zMnHP8iPO4M5RCRjy6nZY0TY/edit#gid=0"",""Table 1: Study characteristics!B4:B171""),A315)&gt;0,
COUNTIF(Studies!$A$2:$A$85,FILTER(IMPORTRA"&amp;"NGE(""https://docs.google.com/spreadsheets/d/1kGrh75X1cNR1D7_FcY9zMnHP8iPO4M5RCRjy6nZY0TY/edit#gid=0"",""Table 1: Study characteristics!A4:A171""), $A315=IMPORTRANGE(""https://docs.google.com/spreadsheets/d/1kGrh75X1cNR1D7_FcY9zMnHP8iPO4M5RCRjy6nZY0TY/edi"&amp;"t#gid=0"",""Table 1: Study characteristics!B4:B171"")))&gt;0
),
""Include""
)"),"Exclude")</f>
        <v>Exclude</v>
      </c>
      <c r="G315" s="5" t="str">
        <f>IFERROR(__xludf.DUMMYFUNCTION("IFS(
D315=""Exclude"",
FILTER(IMPORTRANGE(""https://docs.google.com/spreadsheets/d/1BJSV3WBYJGRhQ6zExamkszQ5VutGIcaQqmbD9ZTVXMQ/edit#gid=1251630045"",""articles_with_PRISMA_reasons!AB2:AB2113""), $A315=IMPORTRANGE(""https://docs.google.com/spreadsheets/d/"&amp;"1BJSV3WBYJGRhQ6zExamkszQ5VutGIcaQqmbD9ZTVXMQ/edit#gid=1251630045"",""articles_with_PRISMA_reasons!B2:B2113"")),
E315=""Exclude"",
FILTER(IMPORTRANGE(""https://docs.google.com/spreadsheets/d/1qpEmbGH0JjaJbUdp21-y2cPbobDbMjr09BbtdKROZWc/edit#gid=1444865654"&amp;""",""articles_with_PRISMA_reasons!Z2:Z2113""), $A315=IMPORTRANGE(""https://docs.google.com/spreadsheets/d/1qpEmbGH0JjaJbUdp21-y2cPbobDbMjr09BbtdKROZWc/edit#gid=1444865654"",""articles_with_PRISMA_reasons!B2:B2113"")),F315
=""Include"",FILTER(IMPORTRANGE("&amp;"""https://docs.google.com/spreadsheets/d/1kGrh75X1cNR1D7_FcY9zMnHP8iPO4M5RCRjy6nZY0TY/edit#gid=0"",""Table 1: Study characteristics!A4:A171""), $A315=IMPORTRANGE(""https://docs.google.com/spreadsheets/d/1kGrh75X1cNR1D7_FcY9zMnHP8iPO4M5RCRjy6nZY0TY/edit#gi"&amp;"d=0"",""Table 1: Study characteristics!B4:B171""))
)"),"background article")</f>
        <v>background article</v>
      </c>
    </row>
    <row r="316">
      <c r="A316" s="4" t="str">
        <f>IFERROR(__xludf.DUMMYFUNCTION("""COMPUTED_VALUE"""),"Attention lapses in children with spina bifida and hydrocephalus and children with attention-deficit/hyperactivity disorder")</f>
        <v>Attention lapses in children with spina bifida and hydrocephalus and children with attention-deficit/hyperactivity disorder</v>
      </c>
      <c r="B316" s="5" t="str">
        <f>IFERROR(__xludf.DUMMYFUNCTION("LEFT(FILTER(IMPORTRANGE(""https://docs.google.com/spreadsheets/d/1BJSV3WBYJGRhQ6zExamkszQ5VutGIcaQqmbD9ZTVXMQ/edit#gid=1251630045"",""articles_with_PRISMA_reasons!K2:K2113""), $A316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$A316=IMPORTRANGE(""https://docs.google.com/spreadsheets/d/1BJSV3WBYJGRhQ6zExamkszQ5VutGIcaQqmbD9ZTVXMQ/edit#gid=1251630045"",""articles_with_PRISMA_reasons!B2:B2113"")))-1)"),"De la Torre")</f>
        <v>De la Torre</v>
      </c>
      <c r="C316" s="6">
        <f>IFERROR(__xludf.DUMMYFUNCTION("FILTER(IMPORTRANGE(""https://docs.google.com/spreadsheets/d/1BJSV3WBYJGRhQ6zExamkszQ5VutGIcaQqmbD9ZTVXMQ/edit#gid=1251630045"",""articles_with_PRISMA_reasons!C2:C2113""), $A316=IMPORTRANGE(""https://docs.google.com/spreadsheets/d/1BJSV3WBYJGRhQ6zExamkszQ5"&amp;"VutGIcaQqmbD9ZTVXMQ/edit#gid=1251630045"",""articles_with_PRISMA_reasons!B2:B2113""))"),2017.0)</f>
        <v>2017</v>
      </c>
      <c r="D316" s="5" t="str">
        <f>IFERROR(__xludf.DUMMYFUNCTION("IFS(AND(
FILTER(IMPORTRANGE(""https://docs.google.com/spreadsheets/d/1BJSV3WBYJGRhQ6zExamkszQ5VutGIcaQqmbD9ZTVXMQ/edit#gid=1251630045"",""articles_with_PRISMA_reasons!Y2:Y2113""), $A316=IMPORTRANGE(""https://docs.google.com/spreadsheets/d/1BJSV3WBYJGRhQ6z"&amp;"ExamkszQ5VutGIcaQqmbD9ZTVXMQ/edit#gid=1251630045"",""articles_with_PRISMA_reasons!B2:B2113""))&gt;=2,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$A316=IMPORTRANGE(""https://docs.google.com/spreadsheets/d/1BJSV3WBYJGRhQ6zExamkszQ5VutGIcaQqmbD9ZTVXMQ/edit#gid=1251630045"",""articles_with_PRISMA_reasons!B2:B2113""))&lt;2),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$A316=IMPORTRANGE(""https://docs.google.com/spreadsheets/d/1BJSV3WBYJGRhQ6zExamkszQ5VutGIcaQqmbD9ZTVXMQ/edit#gid=1251630045"",""arti"&amp;"cles_with_PRISMA_reasons!B2:B2113""))&lt;2,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$A316=IMPORTRANGE(""https://docs.google.com"&amp;"/spreadsheets/d/1BJSV3WBYJGRhQ6zExamkszQ5VutGIcaQqmbD9ZTVXMQ/edit#gid=1251630045"",""articles_with_PRISMA_reasons!B2:B2113""))&gt;=2),
""Exclude""
)"),"Exclude")</f>
        <v>Exclude</v>
      </c>
      <c r="E316" s="5" t="str">
        <f>IFERROR(__xludf.DUMMYFUNCTION("IFS(
D316=""Exclude"",""Exclude"",
AND(
FILTER(IMPORTRANGE(""https://docs.google.com/spreadsheets/d/1qpEmbGH0JjaJbUdp21-y2cPbobDbMjr09BbtdKROZWc/edit#gid=1444865654"",""articles_with_PRISMA_reasons!W2:W2113""), $A316=IMPORTRANGE(""https://docs.google.com/"&amp;"spreadsheets/d/1qpEmbGH0JjaJbUdp21-y2cPbobDbMjr09BbtdKROZWc/edit#gid=1444865654"",""articles_with_PRISMA_reasons!B2:B2113""))&gt;=2,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$A316=IMPORTRANGE(""https://docs.google.com/spreadsheets/d/1qpEmbGH0JjaJbUdp21-y2cPbobDbMjr09BbtdKROZWc/edit#gid=1444865654"",""articles_with_PRISMA_reasons!B2:B2113""))&lt;2),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$A316=IMPORTRANGE(""https://docs.google.com/spreadsheets/d/1qpEmbGH0JjaJbUdp21-y2cPbobDbMjr09BbtdKRO"&amp;"ZWc/edit#gid=1444865654"",""articles_with_PRISMA_reasons!B2:B2113""))&lt;2,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$A316=IMPOR"&amp;"TRANGE(""https://docs.google.com/spreadsheets/d/1qpEmbGH0JjaJbUdp21-y2cPbobDbMjr09BbtdKROZWc/edit#gid=1444865654"",""articles_with_PRISMA_reasons!B2:B2113""))&gt;=2),
""Exclude""
)"),"Exclude")</f>
        <v>Exclude</v>
      </c>
      <c r="F316" s="5" t="str">
        <f>IFERROR(__xludf.DUMMYFUNCTION("IFS(
E316=""Exclude"",""Exclude"",
AND(
COUNTIF(
IMPORTRANGE(""https://docs.google.com/spreadsheets/d/1kGrh75X1cNR1D7_FcY9zMnHP8iPO4M5RCRjy6nZY0TY/edit#gid=0"",""Table 1: Study characteristics!B4:B171""),A316)&gt;0,
COUNTIF(Studies!$A$2:$A$85,FILTER(IMPORTRA"&amp;"NGE(""https://docs.google.com/spreadsheets/d/1kGrh75X1cNR1D7_FcY9zMnHP8iPO4M5RCRjy6nZY0TY/edit#gid=0"",""Table 1: Study characteristics!A4:A171""), $A316=IMPORTRANGE(""https://docs.google.com/spreadsheets/d/1kGrh75X1cNR1D7_FcY9zMnHP8iPO4M5RCRjy6nZY0TY/edi"&amp;"t#gid=0"",""Table 1: Study characteristics!B4:B171"")))&gt;0
),
""Include""
)"),"Exclude")</f>
        <v>Exclude</v>
      </c>
      <c r="G316" s="5" t="str">
        <f>IFERROR(__xludf.DUMMYFUNCTION("IFS(
D316=""Exclude"",
FILTER(IMPORTRANGE(""https://docs.google.com/spreadsheets/d/1BJSV3WBYJGRhQ6zExamkszQ5VutGIcaQqmbD9ZTVXMQ/edit#gid=1251630045"",""articles_with_PRISMA_reasons!AB2:AB2113""), $A316=IMPORTRANGE(""https://docs.google.com/spreadsheets/d/"&amp;"1BJSV3WBYJGRhQ6zExamkszQ5VutGIcaQqmbD9ZTVXMQ/edit#gid=1251630045"",""articles_with_PRISMA_reasons!B2:B2113"")),
E316=""Exclude"",
FILTER(IMPORTRANGE(""https://docs.google.com/spreadsheets/d/1qpEmbGH0JjaJbUdp21-y2cPbobDbMjr09BbtdKROZWc/edit#gid=1444865654"&amp;""",""articles_with_PRISMA_reasons!Z2:Z2113""), $A316=IMPORTRANGE(""https://docs.google.com/spreadsheets/d/1qpEmbGH0JjaJbUdp21-y2cPbobDbMjr09BbtdKROZWc/edit#gid=1444865654"",""articles_with_PRISMA_reasons!B2:B2113"")),F316
=""Include"",FILTER(IMPORTRANGE("&amp;"""https://docs.google.com/spreadsheets/d/1kGrh75X1cNR1D7_FcY9zMnHP8iPO4M5RCRjy6nZY0TY/edit#gid=0"",""Table 1: Study characteristics!A4:A171""), $A316=IMPORTRANGE(""https://docs.google.com/spreadsheets/d/1kGrh75X1cNR1D7_FcY9zMnHP8iPO4M5RCRjy6nZY0TY/edit#gi"&amp;"d=0"",""Table 1: Study characteristics!B4:B171""))
)"),"wrong population")</f>
        <v>wrong population</v>
      </c>
    </row>
    <row r="317">
      <c r="A317" s="4" t="str">
        <f>IFERROR(__xludf.DUMMYFUNCTION("""COMPUTED_VALUE"""),"Attention problems and executive functions in children with spina bifida and hydrocephalus")</f>
        <v>Attention problems and executive functions in children with spina bifida and hydrocephalus</v>
      </c>
      <c r="B317" s="5" t="str">
        <f>IFERROR(__xludf.DUMMYFUNCTION("LEFT(FILTER(IMPORTRANGE(""https://docs.google.com/spreadsheets/d/1BJSV3WBYJGRhQ6zExamkszQ5VutGIcaQqmbD9ZTVXMQ/edit#gid=1251630045"",""articles_with_PRISMA_reasons!K2:K2113""), $A317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$A317=IMPORTRANGE(""https://docs.google.com/spreadsheets/d/1BJSV3WBYJGRhQ6zExamkszQ5VutGIcaQqmbD9ZTVXMQ/edit#gid=1251630045"",""articles_with_PRISMA_reasons!B2:B2113"")))-1)"),"Burmeister")</f>
        <v>Burmeister</v>
      </c>
      <c r="C317" s="6">
        <f>IFERROR(__xludf.DUMMYFUNCTION("FILTER(IMPORTRANGE(""https://docs.google.com/spreadsheets/d/1BJSV3WBYJGRhQ6zExamkszQ5VutGIcaQqmbD9ZTVXMQ/edit#gid=1251630045"",""articles_with_PRISMA_reasons!C2:C2113""), $A317=IMPORTRANGE(""https://docs.google.com/spreadsheets/d/1BJSV3WBYJGRhQ6zExamkszQ5"&amp;"VutGIcaQqmbD9ZTVXMQ/edit#gid=1251630045"",""articles_with_PRISMA_reasons!B2:B2113""))"),2005.0)</f>
        <v>2005</v>
      </c>
      <c r="D317" s="5" t="str">
        <f>IFERROR(__xludf.DUMMYFUNCTION("IFS(AND(
FILTER(IMPORTRANGE(""https://docs.google.com/spreadsheets/d/1BJSV3WBYJGRhQ6zExamkszQ5VutGIcaQqmbD9ZTVXMQ/edit#gid=1251630045"",""articles_with_PRISMA_reasons!Y2:Y2113""), $A317=IMPORTRANGE(""https://docs.google.com/spreadsheets/d/1BJSV3WBYJGRhQ6z"&amp;"ExamkszQ5VutGIcaQqmbD9ZTVXMQ/edit#gid=1251630045"",""articles_with_PRISMA_reasons!B2:B2113""))&gt;=2,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$A317=IMPORTRANGE(""https://docs.google.com/spreadsheets/d/1BJSV3WBYJGRhQ6zExamkszQ5VutGIcaQqmbD9ZTVXMQ/edit#gid=1251630045"",""articles_with_PRISMA_reasons!B2:B2113""))&lt;2),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$A317=IMPORTRANGE(""https://docs.google.com/spreadsheets/d/1BJSV3WBYJGRhQ6zExamkszQ5VutGIcaQqmbD9ZTVXMQ/edit#gid=1251630045"",""arti"&amp;"cles_with_PRISMA_reasons!B2:B2113""))&lt;2,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$A317=IMPORTRANGE(""https://docs.google.com"&amp;"/spreadsheets/d/1BJSV3WBYJGRhQ6zExamkszQ5VutGIcaQqmbD9ZTVXMQ/edit#gid=1251630045"",""articles_with_PRISMA_reasons!B2:B2113""))&gt;=2),
""Exclude""
)"),"Exclude")</f>
        <v>Exclude</v>
      </c>
      <c r="E317" s="5" t="str">
        <f>IFERROR(__xludf.DUMMYFUNCTION("IFS(
D317=""Exclude"",""Exclude"",
AND(
FILTER(IMPORTRANGE(""https://docs.google.com/spreadsheets/d/1qpEmbGH0JjaJbUdp21-y2cPbobDbMjr09BbtdKROZWc/edit#gid=1444865654"",""articles_with_PRISMA_reasons!W2:W2113""), $A317=IMPORTRANGE(""https://docs.google.com/"&amp;"spreadsheets/d/1qpEmbGH0JjaJbUdp21-y2cPbobDbMjr09BbtdKROZWc/edit#gid=1444865654"",""articles_with_PRISMA_reasons!B2:B2113""))&gt;=2,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$A317=IMPORTRANGE(""https://docs.google.com/spreadsheets/d/1qpEmbGH0JjaJbUdp21-y2cPbobDbMjr09BbtdKROZWc/edit#gid=1444865654"",""articles_with_PRISMA_reasons!B2:B2113""))&lt;2),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$A317=IMPORTRANGE(""https://docs.google.com/spreadsheets/d/1qpEmbGH0JjaJbUdp21-y2cPbobDbMjr09BbtdKRO"&amp;"ZWc/edit#gid=1444865654"",""articles_with_PRISMA_reasons!B2:B2113""))&lt;2,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$A317=IMPOR"&amp;"TRANGE(""https://docs.google.com/spreadsheets/d/1qpEmbGH0JjaJbUdp21-y2cPbobDbMjr09BbtdKROZWc/edit#gid=1444865654"",""articles_with_PRISMA_reasons!B2:B2113""))&gt;=2),
""Exclude""
)"),"Exclude")</f>
        <v>Exclude</v>
      </c>
      <c r="F317" s="5" t="str">
        <f>IFERROR(__xludf.DUMMYFUNCTION("IFS(
E317=""Exclude"",""Exclude"",
AND(
COUNTIF(
IMPORTRANGE(""https://docs.google.com/spreadsheets/d/1kGrh75X1cNR1D7_FcY9zMnHP8iPO4M5RCRjy6nZY0TY/edit#gid=0"",""Table 1: Study characteristics!B4:B171""),A317)&gt;0,
COUNTIF(Studies!$A$2:$A$85,FILTER(IMPORTRA"&amp;"NGE(""https://docs.google.com/spreadsheets/d/1kGrh75X1cNR1D7_FcY9zMnHP8iPO4M5RCRjy6nZY0TY/edit#gid=0"",""Table 1: Study characteristics!A4:A171""), $A317=IMPORTRANGE(""https://docs.google.com/spreadsheets/d/1kGrh75X1cNR1D7_FcY9zMnHP8iPO4M5RCRjy6nZY0TY/edi"&amp;"t#gid=0"",""Table 1: Study characteristics!B4:B171"")))&gt;0
),
""Include""
)"),"Exclude")</f>
        <v>Exclude</v>
      </c>
      <c r="G317" s="5" t="str">
        <f>IFERROR(__xludf.DUMMYFUNCTION("IFS(
D317=""Exclude"",
FILTER(IMPORTRANGE(""https://docs.google.com/spreadsheets/d/1BJSV3WBYJGRhQ6zExamkszQ5VutGIcaQqmbD9ZTVXMQ/edit#gid=1251630045"",""articles_with_PRISMA_reasons!AB2:AB2113""), $A317=IMPORTRANGE(""https://docs.google.com/spreadsheets/d/"&amp;"1BJSV3WBYJGRhQ6zExamkszQ5VutGIcaQqmbD9ZTVXMQ/edit#gid=1251630045"",""articles_with_PRISMA_reasons!B2:B2113"")),
E317=""Exclude"",
FILTER(IMPORTRANGE(""https://docs.google.com/spreadsheets/d/1qpEmbGH0JjaJbUdp21-y2cPbobDbMjr09BbtdKROZWc/edit#gid=1444865654"&amp;""",""articles_with_PRISMA_reasons!Z2:Z2113""), $A317=IMPORTRANGE(""https://docs.google.com/spreadsheets/d/1qpEmbGH0JjaJbUdp21-y2cPbobDbMjr09BbtdKROZWc/edit#gid=1444865654"",""articles_with_PRISMA_reasons!B2:B2113"")),F317
=""Include"",FILTER(IMPORTRANGE("&amp;"""https://docs.google.com/spreadsheets/d/1kGrh75X1cNR1D7_FcY9zMnHP8iPO4M5RCRjy6nZY0TY/edit#gid=0"",""Table 1: Study characteristics!A4:A171""), $A317=IMPORTRANGE(""https://docs.google.com/spreadsheets/d/1kGrh75X1cNR1D7_FcY9zMnHP8iPO4M5RCRjy6nZY0TY/edit#gi"&amp;"d=0"",""Table 1: Study characteristics!B4:B171""))
)"),"wrong population")</f>
        <v>wrong population</v>
      </c>
    </row>
    <row r="318">
      <c r="A318" s="4" t="str">
        <f>IFERROR(__xludf.DUMMYFUNCTION("""COMPUTED_VALUE"""),"Atypical presentations in Chiari II malformation")</f>
        <v>Atypical presentations in Chiari II malformation</v>
      </c>
      <c r="B318" s="5" t="str">
        <f>IFERROR(__xludf.DUMMYFUNCTION("LEFT(FILTER(IMPORTRANGE(""https://docs.google.com/spreadsheets/d/1BJSV3WBYJGRhQ6zExamkszQ5VutGIcaQqmbD9ZTVXMQ/edit#gid=1251630045"",""articles_with_PRISMA_reasons!K2:K2113""), $A318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$A318=IMPORTRANGE(""https://docs.google.com/spreadsheets/d/1BJSV3WBYJGRhQ6zExamkszQ5VutGIcaQqmbD9ZTVXMQ/edit#gid=1251630045"",""articles_with_PRISMA_reasons!B2:B2113"")))-1)"),"Rath")</f>
        <v>Rath</v>
      </c>
      <c r="C318" s="3">
        <v>2006.0</v>
      </c>
      <c r="D318" s="5" t="str">
        <f>IFERROR(__xludf.DUMMYFUNCTION("IFS(AND(
FILTER(IMPORTRANGE(""https://docs.google.com/spreadsheets/d/1BJSV3WBYJGRhQ6zExamkszQ5VutGIcaQqmbD9ZTVXMQ/edit#gid=1251630045"",""articles_with_PRISMA_reasons!Y2:Y2113""), $A318=IMPORTRANGE(""https://docs.google.com/spreadsheets/d/1BJSV3WBYJGRhQ6z"&amp;"ExamkszQ5VutGIcaQqmbD9ZTVXMQ/edit#gid=1251630045"",""articles_with_PRISMA_reasons!B2:B2113""))&gt;=2,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$A318=IMPORTRANGE(""https://docs.google.com/spreadsheets/d/1BJSV3WBYJGRhQ6zExamkszQ5VutGIcaQqmbD9ZTVXMQ/edit#gid=1251630045"",""articles_with_PRISMA_reasons!B2:B2113""))&lt;2),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$A318=IMPORTRANGE(""https://docs.google.com/spreadsheets/d/1BJSV3WBYJGRhQ6zExamkszQ5VutGIcaQqmbD9ZTVXMQ/edit#gid=1251630045"",""arti"&amp;"cles_with_PRISMA_reasons!B2:B2113""))&lt;2,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$A318=IMPORTRANGE(""https://docs.google.com"&amp;"/spreadsheets/d/1BJSV3WBYJGRhQ6zExamkszQ5VutGIcaQqmbD9ZTVXMQ/edit#gid=1251630045"",""articles_with_PRISMA_reasons!B2:B2113""))&gt;=2),
""Exclude""
)"),"Exclude")</f>
        <v>Exclude</v>
      </c>
      <c r="E318" s="5" t="str">
        <f>IFERROR(__xludf.DUMMYFUNCTION("IFS(
D318=""Exclude"",""Exclude"",
AND(
FILTER(IMPORTRANGE(""https://docs.google.com/spreadsheets/d/1qpEmbGH0JjaJbUdp21-y2cPbobDbMjr09BbtdKROZWc/edit#gid=1444865654"",""articles_with_PRISMA_reasons!W2:W2113""), $A318=IMPORTRANGE(""https://docs.google.com/"&amp;"spreadsheets/d/1qpEmbGH0JjaJbUdp21-y2cPbobDbMjr09BbtdKROZWc/edit#gid=1444865654"",""articles_with_PRISMA_reasons!B2:B2113""))&gt;=2,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$A318=IMPORTRANGE(""https://docs.google.com/spreadsheets/d/1qpEmbGH0JjaJbUdp21-y2cPbobDbMjr09BbtdKROZWc/edit#gid=1444865654"",""articles_with_PRISMA_reasons!B2:B2113""))&lt;2),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$A318=IMPORTRANGE(""https://docs.google.com/spreadsheets/d/1qpEmbGH0JjaJbUdp21-y2cPbobDbMjr09BbtdKRO"&amp;"ZWc/edit#gid=1444865654"",""articles_with_PRISMA_reasons!B2:B2113""))&lt;2,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$A318=IMPOR"&amp;"TRANGE(""https://docs.google.com/spreadsheets/d/1qpEmbGH0JjaJbUdp21-y2cPbobDbMjr09BbtdKROZWc/edit#gid=1444865654"",""articles_with_PRISMA_reasons!B2:B2113""))&gt;=2),
""Exclude""
)"),"Exclude")</f>
        <v>Exclude</v>
      </c>
      <c r="F318" s="5" t="str">
        <f>IFERROR(__xludf.DUMMYFUNCTION("IFS(
E318=""Exclude"",""Exclude"",
AND(
COUNTIF(
IMPORTRANGE(""https://docs.google.com/spreadsheets/d/1kGrh75X1cNR1D7_FcY9zMnHP8iPO4M5RCRjy6nZY0TY/edit#gid=0"",""Table 1: Study characteristics!B4:B171""),A318)&gt;0,
COUNTIF(Studies!$A$2:$A$85,FILTER(IMPORTRA"&amp;"NGE(""https://docs.google.com/spreadsheets/d/1kGrh75X1cNR1D7_FcY9zMnHP8iPO4M5RCRjy6nZY0TY/edit#gid=0"",""Table 1: Study characteristics!A4:A171""), $A318=IMPORTRANGE(""https://docs.google.com/spreadsheets/d/1kGrh75X1cNR1D7_FcY9zMnHP8iPO4M5RCRjy6nZY0TY/edi"&amp;"t#gid=0"",""Table 1: Study characteristics!B4:B171"")))&gt;0
),
""Include""
)"),"Exclude")</f>
        <v>Exclude</v>
      </c>
      <c r="G318" s="2" t="s">
        <v>13</v>
      </c>
    </row>
    <row r="319">
      <c r="A319" s="4" t="str">
        <f>IFERROR(__xludf.DUMMYFUNCTION("""COMPUTED_VALUE"""),"Atypical presentations in Chiari II malformation")</f>
        <v>Atypical presentations in Chiari II malformation</v>
      </c>
      <c r="B319" s="5" t="str">
        <f>IFERROR(__xludf.DUMMYFUNCTION("LEFT(FILTER(IMPORTRANGE(""https://docs.google.com/spreadsheets/d/1BJSV3WBYJGRhQ6zExamkszQ5VutGIcaQqmbD9ZTVXMQ/edit#gid=1251630045"",""articles_with_PRISMA_reasons!K2:K2113""), $A319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$A319=IMPORTRANGE(""https://docs.google.com/spreadsheets/d/1BJSV3WBYJGRhQ6zExamkszQ5VutGIcaQqmbD9ZTVXMQ/edit#gid=1251630045"",""articles_with_PRISMA_reasons!B2:B2113"")))-1)"),"Rath")</f>
        <v>Rath</v>
      </c>
      <c r="C319" s="3">
        <v>2006.0</v>
      </c>
      <c r="D319" s="2" t="s">
        <v>14</v>
      </c>
      <c r="E319" s="5" t="str">
        <f>IFERROR(__xludf.DUMMYFUNCTION("IFS(
D319=""Exclude"",""Exclude"",
AND(
FILTER(IMPORTRANGE(""https://docs.google.com/spreadsheets/d/1qpEmbGH0JjaJbUdp21-y2cPbobDbMjr09BbtdKROZWc/edit#gid=1444865654"",""articles_with_PRISMA_reasons!W2:W2113""), $A319=IMPORTRANGE(""https://docs.google.com/"&amp;"spreadsheets/d/1qpEmbGH0JjaJbUdp21-y2cPbobDbMjr09BbtdKROZWc/edit#gid=1444865654"",""articles_with_PRISMA_reasons!B2:B2113""))&gt;=2,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$A319=IMPORTRANGE(""https://docs.google.com/spreadsheets/d/1qpEmbGH0JjaJbUdp21-y2cPbobDbMjr09BbtdKROZWc/edit#gid=1444865654"",""articles_with_PRISMA_reasons!B2:B2113""))&lt;2),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$A319=IMPORTRANGE(""https://docs.google.com/spreadsheets/d/1qpEmbGH0JjaJbUdp21-y2cPbobDbMjr09BbtdKRO"&amp;"ZWc/edit#gid=1444865654"",""articles_with_PRISMA_reasons!B2:B2113""))&lt;2,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$A319=IMPOR"&amp;"TRANGE(""https://docs.google.com/spreadsheets/d/1qpEmbGH0JjaJbUdp21-y2cPbobDbMjr09BbtdKROZWc/edit#gid=1444865654"",""articles_with_PRISMA_reasons!B2:B2113""))&gt;=2),
""Exclude""
)"),"Include")</f>
        <v>Include</v>
      </c>
      <c r="F319" s="5" t="str">
        <f>IFERROR(__xludf.DUMMYFUNCTION("IFS(
E319=""Exclude"",""Exclude"",
AND(
COUNTIF(
IMPORTRANGE(""https://docs.google.com/spreadsheets/d/1kGrh75X1cNR1D7_FcY9zMnHP8iPO4M5RCRjy6nZY0TY/edit#gid=0"",""Table 1: Study characteristics!B4:B171""),A319)&gt;0,
COUNTIF(Studies!$A$2:$A$85,FILTER(IMPORTRA"&amp;"NGE(""https://docs.google.com/spreadsheets/d/1kGrh75X1cNR1D7_FcY9zMnHP8iPO4M5RCRjy6nZY0TY/edit#gid=0"",""Table 1: Study characteristics!A4:A171""), $A319=IMPORTRANGE(""https://docs.google.com/spreadsheets/d/1kGrh75X1cNR1D7_FcY9zMnHP8iPO4M5RCRjy6nZY0TY/edi"&amp;"t#gid=0"",""Table 1: Study characteristics!B4:B171"")))&gt;0
),
""Include""
)"),"Include")</f>
        <v>Include</v>
      </c>
      <c r="G319" s="5" t="str">
        <f>IFERROR(__xludf.DUMMYFUNCTION("IFS(
D319=""Exclude"",
FILTER(IMPORTRANGE(""https://docs.google.com/spreadsheets/d/1BJSV3WBYJGRhQ6zExamkszQ5VutGIcaQqmbD9ZTVXMQ/edit#gid=1251630045"",""articles_with_PRISMA_reasons!AB2:AB2113""), $A319=IMPORTRANGE(""https://docs.google.com/spreadsheets/d/"&amp;"1BJSV3WBYJGRhQ6zExamkszQ5VutGIcaQqmbD9ZTVXMQ/edit#gid=1251630045"",""articles_with_PRISMA_reasons!B2:B2113"")),
E319=""Exclude"",
FILTER(IMPORTRANGE(""https://docs.google.com/spreadsheets/d/1qpEmbGH0JjaJbUdp21-y2cPbobDbMjr09BbtdKROZWc/edit#gid=1444865654"&amp;""",""articles_with_PRISMA_reasons!Z2:Z2113""), $A319=IMPORTRANGE(""https://docs.google.com/spreadsheets/d/1qpEmbGH0JjaJbUdp21-y2cPbobDbMjr09BbtdKROZWc/edit#gid=1444865654"",""articles_with_PRISMA_reasons!B2:B2113"")),F319
=""Include"",FILTER(IMPORTRANGE("&amp;"""https://docs.google.com/spreadsheets/d/1kGrh75X1cNR1D7_FcY9zMnHP8iPO4M5RCRjy6nZY0TY/edit#gid=0"",""Table 1: Study characteristics!A4:A171""), $A319=IMPORTRANGE(""https://docs.google.com/spreadsheets/d/1kGrh75X1cNR1D7_FcY9zMnHP8iPO4M5RCRjy6nZY0TY/edit#gi"&amp;"d=0"",""Table 1: Study characteristics!B4:B171""))
)"),"ID 11")</f>
        <v>ID 11</v>
      </c>
    </row>
    <row r="320">
      <c r="A320" s="4" t="str">
        <f>IFERROR(__xludf.DUMMYFUNCTION("""COMPUTED_VALUE"""),"Audiological evaluation in children affected by myelomeningocele")</f>
        <v>Audiological evaluation in children affected by myelomeningocele</v>
      </c>
      <c r="B320" s="5" t="str">
        <f>IFERROR(__xludf.DUMMYFUNCTION("LEFT(FILTER(IMPORTRANGE(""https://docs.google.com/spreadsheets/d/1BJSV3WBYJGRhQ6zExamkszQ5VutGIcaQqmbD9ZTVXMQ/edit#gid=1251630045"",""articles_with_PRISMA_reasons!K2:K2113""), $A320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$A320=IMPORTRANGE(""https://docs.google.com/spreadsheets/d/1BJSV3WBYJGRhQ6zExamkszQ5VutGIcaQqmbD9ZTVXMQ/edit#gid=1251630045"",""articles_with_PRISMA_reasons!B2:B2113"")))-1)"),"Battista")</f>
        <v>Battista</v>
      </c>
      <c r="C320" s="3">
        <v>2005.0</v>
      </c>
      <c r="D320" s="5" t="str">
        <f>IFERROR(__xludf.DUMMYFUNCTION("IFS(AND(
FILTER(IMPORTRANGE(""https://docs.google.com/spreadsheets/d/1BJSV3WBYJGRhQ6zExamkszQ5VutGIcaQqmbD9ZTVXMQ/edit#gid=1251630045"",""articles_with_PRISMA_reasons!Y2:Y2113""), $A320=IMPORTRANGE(""https://docs.google.com/spreadsheets/d/1BJSV3WBYJGRhQ6z"&amp;"ExamkszQ5VutGIcaQqmbD9ZTVXMQ/edit#gid=1251630045"",""articles_with_PRISMA_reasons!B2:B2113""))&gt;=2,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$A320=IMPORTRANGE(""https://docs.google.com/spreadsheets/d/1BJSV3WBYJGRhQ6zExamkszQ5VutGIcaQqmbD9ZTVXMQ/edit#gid=1251630045"",""articles_with_PRISMA_reasons!B2:B2113""))&lt;2),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$A320=IMPORTRANGE(""https://docs.google.com/spreadsheets/d/1BJSV3WBYJGRhQ6zExamkszQ5VutGIcaQqmbD9ZTVXMQ/edit#gid=1251630045"",""arti"&amp;"cles_with_PRISMA_reasons!B2:B2113""))&lt;2,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$A320=IMPORTRANGE(""https://docs.google.com"&amp;"/spreadsheets/d/1BJSV3WBYJGRhQ6zExamkszQ5VutGIcaQqmbD9ZTVXMQ/edit#gid=1251630045"",""articles_with_PRISMA_reasons!B2:B2113""))&gt;=2),
""Exclude""
)"),"Exclude")</f>
        <v>Exclude</v>
      </c>
      <c r="E320" s="5" t="str">
        <f>IFERROR(__xludf.DUMMYFUNCTION("IFS(
D320=""Exclude"",""Exclude"",
AND(
FILTER(IMPORTRANGE(""https://docs.google.com/spreadsheets/d/1qpEmbGH0JjaJbUdp21-y2cPbobDbMjr09BbtdKROZWc/edit#gid=1444865654"",""articles_with_PRISMA_reasons!W2:W2113""), $A320=IMPORTRANGE(""https://docs.google.com/"&amp;"spreadsheets/d/1qpEmbGH0JjaJbUdp21-y2cPbobDbMjr09BbtdKROZWc/edit#gid=1444865654"",""articles_with_PRISMA_reasons!B2:B2113""))&gt;=2,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$A320=IMPORTRANGE(""https://docs.google.com/spreadsheets/d/1qpEmbGH0JjaJbUdp21-y2cPbobDbMjr09BbtdKROZWc/edit#gid=1444865654"",""articles_with_PRISMA_reasons!B2:B2113""))&lt;2),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$A320=IMPORTRANGE(""https://docs.google.com/spreadsheets/d/1qpEmbGH0JjaJbUdp21-y2cPbobDbMjr09BbtdKRO"&amp;"ZWc/edit#gid=1444865654"",""articles_with_PRISMA_reasons!B2:B2113""))&lt;2,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$A320=IMPOR"&amp;"TRANGE(""https://docs.google.com/spreadsheets/d/1qpEmbGH0JjaJbUdp21-y2cPbobDbMjr09BbtdKROZWc/edit#gid=1444865654"",""articles_with_PRISMA_reasons!B2:B2113""))&gt;=2),
""Exclude""
)"),"Exclude")</f>
        <v>Exclude</v>
      </c>
      <c r="F320" s="5" t="str">
        <f>IFERROR(__xludf.DUMMYFUNCTION("IFS(
E320=""Exclude"",""Exclude"",
AND(
COUNTIF(
IMPORTRANGE(""https://docs.google.com/spreadsheets/d/1kGrh75X1cNR1D7_FcY9zMnHP8iPO4M5RCRjy6nZY0TY/edit#gid=0"",""Table 1: Study characteristics!B4:B171""),A320)&gt;0,
COUNTIF(Studies!$A$2:$A$85,FILTER(IMPORTRA"&amp;"NGE(""https://docs.google.com/spreadsheets/d/1kGrh75X1cNR1D7_FcY9zMnHP8iPO4M5RCRjy6nZY0TY/edit#gid=0"",""Table 1: Study characteristics!A4:A171""), $A320=IMPORTRANGE(""https://docs.google.com/spreadsheets/d/1kGrh75X1cNR1D7_FcY9zMnHP8iPO4M5RCRjy6nZY0TY/edi"&amp;"t#gid=0"",""Table 1: Study characteristics!B4:B171"")))&gt;0
),
""Include""
)"),"Exclude")</f>
        <v>Exclude</v>
      </c>
      <c r="G320" s="5" t="s">
        <v>15</v>
      </c>
    </row>
    <row r="321">
      <c r="A321" s="4" t="str">
        <f>IFERROR(__xludf.DUMMYFUNCTION("""COMPUTED_VALUE"""),"Audiological evaluation in children affected by myelomeningocele")</f>
        <v>Audiological evaluation in children affected by myelomeningocele</v>
      </c>
      <c r="B321" s="5" t="str">
        <f>IFERROR(__xludf.DUMMYFUNCTION("LEFT(FILTER(IMPORTRANGE(""https://docs.google.com/spreadsheets/d/1BJSV3WBYJGRhQ6zExamkszQ5VutGIcaQqmbD9ZTVXMQ/edit#gid=1251630045"",""articles_with_PRISMA_reasons!K2:K2113""), $A321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$A321=IMPORTRANGE(""https://docs.google.com/spreadsheets/d/1BJSV3WBYJGRhQ6zExamkszQ5VutGIcaQqmbD9ZTVXMQ/edit#gid=1251630045"",""articles_with_PRISMA_reasons!B2:B2113"")))-1)"),"Battista")</f>
        <v>Battista</v>
      </c>
      <c r="C321" s="3">
        <v>2005.0</v>
      </c>
      <c r="D321" s="5" t="str">
        <f>IFERROR(__xludf.DUMMYFUNCTION("IFS(AND(
FILTER(IMPORTRANGE(""https://docs.google.com/spreadsheets/d/1BJSV3WBYJGRhQ6zExamkszQ5VutGIcaQqmbD9ZTVXMQ/edit#gid=1251630045"",""articles_with_PRISMA_reasons!Y2:Y2113""), $A321=IMPORTRANGE(""https://docs.google.com/spreadsheets/d/1BJSV3WBYJGRhQ6z"&amp;"ExamkszQ5VutGIcaQqmbD9ZTVXMQ/edit#gid=1251630045"",""articles_with_PRISMA_reasons!B2:B2113""))&gt;=2,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$A321=IMPORTRANGE(""https://docs.google.com/spreadsheets/d/1BJSV3WBYJGRhQ6zExamkszQ5VutGIcaQqmbD9ZTVXMQ/edit#gid=1251630045"",""articles_with_PRISMA_reasons!B2:B2113""))&lt;2),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$A321=IMPORTRANGE(""https://docs.google.com/spreadsheets/d/1BJSV3WBYJGRhQ6zExamkszQ5VutGIcaQqmbD9ZTVXMQ/edit#gid=1251630045"",""arti"&amp;"cles_with_PRISMA_reasons!B2:B2113""))&lt;2,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$A321=IMPORTRANGE(""https://docs.google.com"&amp;"/spreadsheets/d/1BJSV3WBYJGRhQ6zExamkszQ5VutGIcaQqmbD9ZTVXMQ/edit#gid=1251630045"",""articles_with_PRISMA_reasons!B2:B2113""))&gt;=2),
""Exclude""
)"),"Exclude")</f>
        <v>Exclude</v>
      </c>
      <c r="E321" s="5" t="str">
        <f>IFERROR(__xludf.DUMMYFUNCTION("IFS(
D321=""Exclude"",""Exclude"",
AND(
FILTER(IMPORTRANGE(""https://docs.google.com/spreadsheets/d/1qpEmbGH0JjaJbUdp21-y2cPbobDbMjr09BbtdKROZWc/edit#gid=1444865654"",""articles_with_PRISMA_reasons!W2:W2113""), $A321=IMPORTRANGE(""https://docs.google.com/"&amp;"spreadsheets/d/1qpEmbGH0JjaJbUdp21-y2cPbobDbMjr09BbtdKROZWc/edit#gid=1444865654"",""articles_with_PRISMA_reasons!B2:B2113""))&gt;=2,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$A321=IMPORTRANGE(""https://docs.google.com/spreadsheets/d/1qpEmbGH0JjaJbUdp21-y2cPbobDbMjr09BbtdKROZWc/edit#gid=1444865654"",""articles_with_PRISMA_reasons!B2:B2113""))&lt;2),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$A321=IMPORTRANGE(""https://docs.google.com/spreadsheets/d/1qpEmbGH0JjaJbUdp21-y2cPbobDbMjr09BbtdKRO"&amp;"ZWc/edit#gid=1444865654"",""articles_with_PRISMA_reasons!B2:B2113""))&lt;2,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$A321=IMPOR"&amp;"TRANGE(""https://docs.google.com/spreadsheets/d/1qpEmbGH0JjaJbUdp21-y2cPbobDbMjr09BbtdKROZWc/edit#gid=1444865654"",""articles_with_PRISMA_reasons!B2:B2113""))&gt;=2),
""Exclude""
)"),"Exclude")</f>
        <v>Exclude</v>
      </c>
      <c r="F321" s="5" t="str">
        <f>IFERROR(__xludf.DUMMYFUNCTION("IFS(
E321=""Exclude"",""Exclude"",
AND(
COUNTIF(
IMPORTRANGE(""https://docs.google.com/spreadsheets/d/1kGrh75X1cNR1D7_FcY9zMnHP8iPO4M5RCRjy6nZY0TY/edit#gid=0"",""Table 1: Study characteristics!B4:B171""),A321)&gt;0,
COUNTIF(Studies!$A$2:$A$85,FILTER(IMPORTRA"&amp;"NGE(""https://docs.google.com/spreadsheets/d/1kGrh75X1cNR1D7_FcY9zMnHP8iPO4M5RCRjy6nZY0TY/edit#gid=0"",""Table 1: Study characteristics!A4:A171""), $A321=IMPORTRANGE(""https://docs.google.com/spreadsheets/d/1kGrh75X1cNR1D7_FcY9zMnHP8iPO4M5RCRjy6nZY0TY/edi"&amp;"t#gid=0"",""Table 1: Study characteristics!B4:B171"")))&gt;0
),
""Include""
)"),"Exclude")</f>
        <v>Exclude</v>
      </c>
      <c r="G321" s="2" t="s">
        <v>13</v>
      </c>
    </row>
    <row r="322">
      <c r="A322" s="4" t="str">
        <f>IFERROR(__xludf.DUMMYFUNCTION("""COMPUTED_VALUE"""),"Auditory brainstem response in infant hydrocephalus")</f>
        <v>Auditory brainstem response in infant hydrocephalus</v>
      </c>
      <c r="B322" s="5" t="str">
        <f>IFERROR(__xludf.DUMMYFUNCTION("LEFT(FILTER(IMPORTRANGE(""https://docs.google.com/spreadsheets/d/1BJSV3WBYJGRhQ6zExamkszQ5VutGIcaQqmbD9ZTVXMQ/edit#gid=1251630045"",""articles_with_PRISMA_reasons!K2:K2113""), $A322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$A322=IMPORTRANGE(""https://docs.google.com/spreadsheets/d/1BJSV3WBYJGRhQ6zExamkszQ5VutGIcaQqmbD9ZTVXMQ/edit#gid=1251630045"",""articles_with_PRISMA_reasons!B2:B2113"")))-1)"),"McPherson")</f>
        <v>McPherson</v>
      </c>
      <c r="C322" s="6">
        <f>IFERROR(__xludf.DUMMYFUNCTION("FILTER(IMPORTRANGE(""https://docs.google.com/spreadsheets/d/1BJSV3WBYJGRhQ6zExamkszQ5VutGIcaQqmbD9ZTVXMQ/edit#gid=1251630045"",""articles_with_PRISMA_reasons!C2:C2113""), $A322=IMPORTRANGE(""https://docs.google.com/spreadsheets/d/1BJSV3WBYJGRhQ6zExamkszQ5"&amp;"VutGIcaQqmbD9ZTVXMQ/edit#gid=1251630045"",""articles_with_PRISMA_reasons!B2:B2113""))"),1985.0)</f>
        <v>1985</v>
      </c>
      <c r="D322" s="5" t="str">
        <f>IFERROR(__xludf.DUMMYFUNCTION("IFS(AND(
FILTER(IMPORTRANGE(""https://docs.google.com/spreadsheets/d/1BJSV3WBYJGRhQ6zExamkszQ5VutGIcaQqmbD9ZTVXMQ/edit#gid=1251630045"",""articles_with_PRISMA_reasons!Y2:Y2113""), $A322=IMPORTRANGE(""https://docs.google.com/spreadsheets/d/1BJSV3WBYJGRhQ6z"&amp;"ExamkszQ5VutGIcaQqmbD9ZTVXMQ/edit#gid=1251630045"",""articles_with_PRISMA_reasons!B2:B2113""))&gt;=2,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$A322=IMPORTRANGE(""https://docs.google.com/spreadsheets/d/1BJSV3WBYJGRhQ6zExamkszQ5VutGIcaQqmbD9ZTVXMQ/edit#gid=1251630045"",""articles_with_PRISMA_reasons!B2:B2113""))&lt;2),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$A322=IMPORTRANGE(""https://docs.google.com/spreadsheets/d/1BJSV3WBYJGRhQ6zExamkszQ5VutGIcaQqmbD9ZTVXMQ/edit#gid=1251630045"",""arti"&amp;"cles_with_PRISMA_reasons!B2:B2113""))&lt;2,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$A322=IMPORTRANGE(""https://docs.google.com"&amp;"/spreadsheets/d/1BJSV3WBYJGRhQ6zExamkszQ5VutGIcaQqmbD9ZTVXMQ/edit#gid=1251630045"",""articles_with_PRISMA_reasons!B2:B2113""))&gt;=2),
""Exclude""
)"),"Include")</f>
        <v>Include</v>
      </c>
      <c r="E322" s="5" t="str">
        <f>IFERROR(__xludf.DUMMYFUNCTION("IFS(
D322=""Exclude"",""Exclude"",
AND(
FILTER(IMPORTRANGE(""https://docs.google.com/spreadsheets/d/1qpEmbGH0JjaJbUdp21-y2cPbobDbMjr09BbtdKROZWc/edit#gid=1444865654"",""articles_with_PRISMA_reasons!W2:W2113""), $A322=IMPORTRANGE(""https://docs.google.com/"&amp;"spreadsheets/d/1qpEmbGH0JjaJbUdp21-y2cPbobDbMjr09BbtdKROZWc/edit#gid=1444865654"",""articles_with_PRISMA_reasons!B2:B2113""))&gt;=2,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$A322=IMPORTRANGE(""https://docs.google.com/spreadsheets/d/1qpEmbGH0JjaJbUdp21-y2cPbobDbMjr09BbtdKROZWc/edit#gid=1444865654"",""articles_with_PRISMA_reasons!B2:B2113""))&lt;2),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$A322=IMPORTRANGE(""https://docs.google.com/spreadsheets/d/1qpEmbGH0JjaJbUdp21-y2cPbobDbMjr09BbtdKRO"&amp;"ZWc/edit#gid=1444865654"",""articles_with_PRISMA_reasons!B2:B2113""))&lt;2,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$A322=IMPOR"&amp;"TRANGE(""https://docs.google.com/spreadsheets/d/1qpEmbGH0JjaJbUdp21-y2cPbobDbMjr09BbtdKROZWc/edit#gid=1444865654"",""articles_with_PRISMA_reasons!B2:B2113""))&gt;=2),
""Exclude""
)"),"Exclude")</f>
        <v>Exclude</v>
      </c>
      <c r="F322" s="5" t="str">
        <f>IFERROR(__xludf.DUMMYFUNCTION("IFS(
E322=""Exclude"",""Exclude"",
AND(
COUNTIF(
IMPORTRANGE(""https://docs.google.com/spreadsheets/d/1kGrh75X1cNR1D7_FcY9zMnHP8iPO4M5RCRjy6nZY0TY/edit#gid=0"",""Table 1: Study characteristics!B4:B171""),A322)&gt;0,
COUNTIF(Studies!$A$2:$A$85,FILTER(IMPORTRA"&amp;"NGE(""https://docs.google.com/spreadsheets/d/1kGrh75X1cNR1D7_FcY9zMnHP8iPO4M5RCRjy6nZY0TY/edit#gid=0"",""Table 1: Study characteristics!A4:A171""), $A322=IMPORTRANGE(""https://docs.google.com/spreadsheets/d/1kGrh75X1cNR1D7_FcY9zMnHP8iPO4M5RCRjy6nZY0TY/edi"&amp;"t#gid=0"",""Table 1: Study characteristics!B4:B171"")))&gt;0
),
""Include""
)"),"Exclude")</f>
        <v>Exclude</v>
      </c>
      <c r="G322" s="5" t="str">
        <f>IFERROR(__xludf.DUMMYFUNCTION("IFS(
D322=""Exclude"",
FILTER(IMPORTRANGE(""https://docs.google.com/spreadsheets/d/1BJSV3WBYJGRhQ6zExamkszQ5VutGIcaQqmbD9ZTVXMQ/edit#gid=1251630045"",""articles_with_PRISMA_reasons!AB2:AB2113""), $A322=IMPORTRANGE(""https://docs.google.com/spreadsheets/d/"&amp;"1BJSV3WBYJGRhQ6zExamkszQ5VutGIcaQqmbD9ZTVXMQ/edit#gid=1251630045"",""articles_with_PRISMA_reasons!B2:B2113"")),
E322=""Exclude"",
FILTER(IMPORTRANGE(""https://docs.google.com/spreadsheets/d/1qpEmbGH0JjaJbUdp21-y2cPbobDbMjr09BbtdKROZWc/edit#gid=1444865654"&amp;""",""articles_with_PRISMA_reasons!Z2:Z2113""), $A322=IMPORTRANGE(""https://docs.google.com/spreadsheets/d/1qpEmbGH0JjaJbUdp21-y2cPbobDbMjr09BbtdKROZWc/edit#gid=1444865654"",""articles_with_PRISMA_reasons!B2:B2113"")),F322
=""Include"",FILTER(IMPORTRANGE("&amp;"""https://docs.google.com/spreadsheets/d/1kGrh75X1cNR1D7_FcY9zMnHP8iPO4M5RCRjy6nZY0TY/edit#gid=0"",""Table 1: Study characteristics!A4:A171""), $A322=IMPORTRANGE(""https://docs.google.com/spreadsheets/d/1kGrh75X1cNR1D7_FcY9zMnHP8iPO4M5RCRjy6nZY0TY/edit#gi"&amp;"d=0"",""Table 1: Study characteristics!B4:B171""))
)"),"wrong population")</f>
        <v>wrong population</v>
      </c>
    </row>
    <row r="323">
      <c r="A323" s="4" t="str">
        <f>IFERROR(__xludf.DUMMYFUNCTION("""COMPUTED_VALUE"""),"Auditory interhemispheric transfer in relation to patterns of partial agenesis and hypoplasia of the corpus callosum in spina bifida meningomyelocele")</f>
        <v>Auditory interhemispheric transfer in relation to patterns of partial agenesis and hypoplasia of the corpus callosum in spina bifida meningomyelocele</v>
      </c>
      <c r="B323" s="5" t="str">
        <f>IFERROR(__xludf.DUMMYFUNCTION("LEFT(FILTER(IMPORTRANGE(""https://docs.google.com/spreadsheets/d/1BJSV3WBYJGRhQ6zExamkszQ5VutGIcaQqmbD9ZTVXMQ/edit#gid=1251630045"",""articles_with_PRISMA_reasons!K2:K2113""), $A323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$A323=IMPORTRANGE(""https://docs.google.com/spreadsheets/d/1BJSV3WBYJGRhQ6zExamkszQ5VutGIcaQqmbD9ZTVXMQ/edit#gid=1251630045"",""articles_with_PRISMA_reasons!B2:B2113"")))-1)"),"Hannay")</f>
        <v>Hannay</v>
      </c>
      <c r="C323" s="6">
        <f>IFERROR(__xludf.DUMMYFUNCTION("FILTER(IMPORTRANGE(""https://docs.google.com/spreadsheets/d/1BJSV3WBYJGRhQ6zExamkszQ5VutGIcaQqmbD9ZTVXMQ/edit#gid=1251630045"",""articles_with_PRISMA_reasons!C2:C2113""), $A323=IMPORTRANGE(""https://docs.google.com/spreadsheets/d/1BJSV3WBYJGRhQ6zExamkszQ5"&amp;"VutGIcaQqmbD9ZTVXMQ/edit#gid=1251630045"",""articles_with_PRISMA_reasons!B2:B2113""))"),2008.0)</f>
        <v>2008</v>
      </c>
      <c r="D323" s="5" t="str">
        <f>IFERROR(__xludf.DUMMYFUNCTION("IFS(AND(
FILTER(IMPORTRANGE(""https://docs.google.com/spreadsheets/d/1BJSV3WBYJGRhQ6zExamkszQ5VutGIcaQqmbD9ZTVXMQ/edit#gid=1251630045"",""articles_with_PRISMA_reasons!Y2:Y2113""), $A323=IMPORTRANGE(""https://docs.google.com/spreadsheets/d/1BJSV3WBYJGRhQ6z"&amp;"ExamkszQ5VutGIcaQqmbD9ZTVXMQ/edit#gid=1251630045"",""articles_with_PRISMA_reasons!B2:B2113""))&gt;=2,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$A323=IMPORTRANGE(""https://docs.google.com/spreadsheets/d/1BJSV3WBYJGRhQ6zExamkszQ5VutGIcaQqmbD9ZTVXMQ/edit#gid=1251630045"",""articles_with_PRISMA_reasons!B2:B2113""))&lt;2),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$A323=IMPORTRANGE(""https://docs.google.com/spreadsheets/d/1BJSV3WBYJGRhQ6zExamkszQ5VutGIcaQqmbD9ZTVXMQ/edit#gid=1251630045"",""arti"&amp;"cles_with_PRISMA_reasons!B2:B2113""))&lt;2,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$A323=IMPORTRANGE(""https://docs.google.com"&amp;"/spreadsheets/d/1BJSV3WBYJGRhQ6zExamkszQ5VutGIcaQqmbD9ZTVXMQ/edit#gid=1251630045"",""articles_with_PRISMA_reasons!B2:B2113""))&gt;=2),
""Exclude""
)"),"Exclude")</f>
        <v>Exclude</v>
      </c>
      <c r="E323" s="5" t="str">
        <f>IFERROR(__xludf.DUMMYFUNCTION("IFS(
D323=""Exclude"",""Exclude"",
AND(
FILTER(IMPORTRANGE(""https://docs.google.com/spreadsheets/d/1qpEmbGH0JjaJbUdp21-y2cPbobDbMjr09BbtdKROZWc/edit#gid=1444865654"",""articles_with_PRISMA_reasons!W2:W2113""), $A323=IMPORTRANGE(""https://docs.google.com/"&amp;"spreadsheets/d/1qpEmbGH0JjaJbUdp21-y2cPbobDbMjr09BbtdKROZWc/edit#gid=1444865654"",""articles_with_PRISMA_reasons!B2:B2113""))&gt;=2,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$A323=IMPORTRANGE(""https://docs.google.com/spreadsheets/d/1qpEmbGH0JjaJbUdp21-y2cPbobDbMjr09BbtdKROZWc/edit#gid=1444865654"",""articles_with_PRISMA_reasons!B2:B2113""))&lt;2),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$A323=IMPORTRANGE(""https://docs.google.com/spreadsheets/d/1qpEmbGH0JjaJbUdp21-y2cPbobDbMjr09BbtdKRO"&amp;"ZWc/edit#gid=1444865654"",""articles_with_PRISMA_reasons!B2:B2113""))&lt;2,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$A323=IMPOR"&amp;"TRANGE(""https://docs.google.com/spreadsheets/d/1qpEmbGH0JjaJbUdp21-y2cPbobDbMjr09BbtdKROZWc/edit#gid=1444865654"",""articles_with_PRISMA_reasons!B2:B2113""))&gt;=2),
""Exclude""
)"),"Exclude")</f>
        <v>Exclude</v>
      </c>
      <c r="F323" s="5" t="str">
        <f>IFERROR(__xludf.DUMMYFUNCTION("IFS(
E323=""Exclude"",""Exclude"",
AND(
COUNTIF(
IMPORTRANGE(""https://docs.google.com/spreadsheets/d/1kGrh75X1cNR1D7_FcY9zMnHP8iPO4M5RCRjy6nZY0TY/edit#gid=0"",""Table 1: Study characteristics!B4:B171""),A323)&gt;0,
COUNTIF(Studies!$A$2:$A$85,FILTER(IMPORTRA"&amp;"NGE(""https://docs.google.com/spreadsheets/d/1kGrh75X1cNR1D7_FcY9zMnHP8iPO4M5RCRjy6nZY0TY/edit#gid=0"",""Table 1: Study characteristics!A4:A171""), $A323=IMPORTRANGE(""https://docs.google.com/spreadsheets/d/1kGrh75X1cNR1D7_FcY9zMnHP8iPO4M5RCRjy6nZY0TY/edi"&amp;"t#gid=0"",""Table 1: Study characteristics!B4:B171"")))&gt;0
),
""Include""
)"),"Exclude")</f>
        <v>Exclude</v>
      </c>
      <c r="G323" s="5" t="str">
        <f>IFERROR(__xludf.DUMMYFUNCTION("IFS(
D323=""Exclude"",
FILTER(IMPORTRANGE(""https://docs.google.com/spreadsheets/d/1BJSV3WBYJGRhQ6zExamkszQ5VutGIcaQqmbD9ZTVXMQ/edit#gid=1251630045"",""articles_with_PRISMA_reasons!AB2:AB2113""), $A323=IMPORTRANGE(""https://docs.google.com/spreadsheets/d/"&amp;"1BJSV3WBYJGRhQ6zExamkszQ5VutGIcaQqmbD9ZTVXMQ/edit#gid=1251630045"",""articles_with_PRISMA_reasons!B2:B2113"")),
E323=""Exclude"",
FILTER(IMPORTRANGE(""https://docs.google.com/spreadsheets/d/1qpEmbGH0JjaJbUdp21-y2cPbobDbMjr09BbtdKROZWc/edit#gid=1444865654"&amp;""",""articles_with_PRISMA_reasons!Z2:Z2113""), $A323=IMPORTRANGE(""https://docs.google.com/spreadsheets/d/1qpEmbGH0JjaJbUdp21-y2cPbobDbMjr09BbtdKROZWc/edit#gid=1444865654"",""articles_with_PRISMA_reasons!B2:B2113"")),F323
=""Include"",FILTER(IMPORTRANGE("&amp;"""https://docs.google.com/spreadsheets/d/1kGrh75X1cNR1D7_FcY9zMnHP8iPO4M5RCRjy6nZY0TY/edit#gid=0"",""Table 1: Study characteristics!A4:A171""), $A323=IMPORTRANGE(""https://docs.google.com/spreadsheets/d/1kGrh75X1cNR1D7_FcY9zMnHP8iPO4M5RCRjy6nZY0TY/edit#gi"&amp;"d=0"",""Table 1: Study characteristics!B4:B171""))
)"),"wrong intervention")</f>
        <v>wrong intervention</v>
      </c>
    </row>
    <row r="324">
      <c r="A324" s="4" t="str">
        <f>IFERROR(__xludf.DUMMYFUNCTION("""COMPUTED_VALUE"""),"Auxological and endocrinological evaluation of children with hydrocephalus and/or meningomyelocele")</f>
        <v>Auxological and endocrinological evaluation of children with hydrocephalus and/or meningomyelocele</v>
      </c>
      <c r="B324" s="5" t="str">
        <f>IFERROR(__xludf.DUMMYFUNCTION("LEFT(FILTER(IMPORTRANGE(""https://docs.google.com/spreadsheets/d/1BJSV3WBYJGRhQ6zExamkszQ5VutGIcaQqmbD9ZTVXMQ/edit#gid=1251630045"",""articles_with_PRISMA_reasons!K2:K2113""), $A324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$A324=IMPORTRANGE(""https://docs.google.com/spreadsheets/d/1BJSV3WBYJGRhQ6zExamkszQ5VutGIcaQqmbD9ZTVXMQ/edit#gid=1251630045"",""articles_with_PRISMA_reasons!B2:B2113"")))-1)"),"Hochhaus")</f>
        <v>Hochhaus</v>
      </c>
      <c r="C324" s="6">
        <f>IFERROR(__xludf.DUMMYFUNCTION("FILTER(IMPORTRANGE(""https://docs.google.com/spreadsheets/d/1BJSV3WBYJGRhQ6zExamkszQ5VutGIcaQqmbD9ZTVXMQ/edit#gid=1251630045"",""articles_with_PRISMA_reasons!C2:C2113""), $A324=IMPORTRANGE(""https://docs.google.com/spreadsheets/d/1BJSV3WBYJGRhQ6zExamkszQ5"&amp;"VutGIcaQqmbD9ZTVXMQ/edit#gid=1251630045"",""articles_with_PRISMA_reasons!B2:B2113""))"),1997.0)</f>
        <v>1997</v>
      </c>
      <c r="D324" s="5" t="str">
        <f>IFERROR(__xludf.DUMMYFUNCTION("IFS(AND(
FILTER(IMPORTRANGE(""https://docs.google.com/spreadsheets/d/1BJSV3WBYJGRhQ6zExamkszQ5VutGIcaQqmbD9ZTVXMQ/edit#gid=1251630045"",""articles_with_PRISMA_reasons!Y2:Y2113""), $A324=IMPORTRANGE(""https://docs.google.com/spreadsheets/d/1BJSV3WBYJGRhQ6z"&amp;"ExamkszQ5VutGIcaQqmbD9ZTVXMQ/edit#gid=1251630045"",""articles_with_PRISMA_reasons!B2:B2113""))&gt;=2,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$A324=IMPORTRANGE(""https://docs.google.com/spreadsheets/d/1BJSV3WBYJGRhQ6zExamkszQ5VutGIcaQqmbD9ZTVXMQ/edit#gid=1251630045"",""articles_with_PRISMA_reasons!B2:B2113""))&lt;2),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$A324=IMPORTRANGE(""https://docs.google.com/spreadsheets/d/1BJSV3WBYJGRhQ6zExamkszQ5VutGIcaQqmbD9ZTVXMQ/edit#gid=1251630045"",""arti"&amp;"cles_with_PRISMA_reasons!B2:B2113""))&lt;2,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$A324=IMPORTRANGE(""https://docs.google.com"&amp;"/spreadsheets/d/1BJSV3WBYJGRhQ6zExamkszQ5VutGIcaQqmbD9ZTVXMQ/edit#gid=1251630045"",""articles_with_PRISMA_reasons!B2:B2113""))&gt;=2),
""Exclude""
)"),"Exclude")</f>
        <v>Exclude</v>
      </c>
      <c r="E324" s="5" t="str">
        <f>IFERROR(__xludf.DUMMYFUNCTION("IFS(
D324=""Exclude"",""Exclude"",
AND(
FILTER(IMPORTRANGE(""https://docs.google.com/spreadsheets/d/1qpEmbGH0JjaJbUdp21-y2cPbobDbMjr09BbtdKROZWc/edit#gid=1444865654"",""articles_with_PRISMA_reasons!W2:W2113""), $A324=IMPORTRANGE(""https://docs.google.com/"&amp;"spreadsheets/d/1qpEmbGH0JjaJbUdp21-y2cPbobDbMjr09BbtdKROZWc/edit#gid=1444865654"",""articles_with_PRISMA_reasons!B2:B2113""))&gt;=2,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$A324=IMPORTRANGE(""https://docs.google.com/spreadsheets/d/1qpEmbGH0JjaJbUdp21-y2cPbobDbMjr09BbtdKROZWc/edit#gid=1444865654"",""articles_with_PRISMA_reasons!B2:B2113""))&lt;2),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$A324=IMPORTRANGE(""https://docs.google.com/spreadsheets/d/1qpEmbGH0JjaJbUdp21-y2cPbobDbMjr09BbtdKRO"&amp;"ZWc/edit#gid=1444865654"",""articles_with_PRISMA_reasons!B2:B2113""))&lt;2,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$A324=IMPOR"&amp;"TRANGE(""https://docs.google.com/spreadsheets/d/1qpEmbGH0JjaJbUdp21-y2cPbobDbMjr09BbtdKROZWc/edit#gid=1444865654"",""articles_with_PRISMA_reasons!B2:B2113""))&gt;=2),
""Exclude""
)"),"Exclude")</f>
        <v>Exclude</v>
      </c>
      <c r="F324" s="5" t="str">
        <f>IFERROR(__xludf.DUMMYFUNCTION("IFS(
E324=""Exclude"",""Exclude"",
AND(
COUNTIF(
IMPORTRANGE(""https://docs.google.com/spreadsheets/d/1kGrh75X1cNR1D7_FcY9zMnHP8iPO4M5RCRjy6nZY0TY/edit#gid=0"",""Table 1: Study characteristics!B4:B171""),A324)&gt;0,
COUNTIF(Studies!$A$2:$A$85,FILTER(IMPORTRA"&amp;"NGE(""https://docs.google.com/spreadsheets/d/1kGrh75X1cNR1D7_FcY9zMnHP8iPO4M5RCRjy6nZY0TY/edit#gid=0"",""Table 1: Study characteristics!A4:A171""), $A324=IMPORTRANGE(""https://docs.google.com/spreadsheets/d/1kGrh75X1cNR1D7_FcY9zMnHP8iPO4M5RCRjy6nZY0TY/edi"&amp;"t#gid=0"",""Table 1: Study characteristics!B4:B171"")))&gt;0
),
""Include""
)"),"Exclude")</f>
        <v>Exclude</v>
      </c>
      <c r="G324" s="5" t="str">
        <f>IFERROR(__xludf.DUMMYFUNCTION("IFS(
D324=""Exclude"",
FILTER(IMPORTRANGE(""https://docs.google.com/spreadsheets/d/1BJSV3WBYJGRhQ6zExamkszQ5VutGIcaQqmbD9ZTVXMQ/edit#gid=1251630045"",""articles_with_PRISMA_reasons!AB2:AB2113""), $A324=IMPORTRANGE(""https://docs.google.com/spreadsheets/d/"&amp;"1BJSV3WBYJGRhQ6zExamkszQ5VutGIcaQqmbD9ZTVXMQ/edit#gid=1251630045"",""articles_with_PRISMA_reasons!B2:B2113"")),
E324=""Exclude"",
FILTER(IMPORTRANGE(""https://docs.google.com/spreadsheets/d/1qpEmbGH0JjaJbUdp21-y2cPbobDbMjr09BbtdKROZWc/edit#gid=1444865654"&amp;""",""articles_with_PRISMA_reasons!Z2:Z2113""), $A324=IMPORTRANGE(""https://docs.google.com/spreadsheets/d/1qpEmbGH0JjaJbUdp21-y2cPbobDbMjr09BbtdKROZWc/edit#gid=1444865654"",""articles_with_PRISMA_reasons!B2:B2113"")),F324
=""Include"",FILTER(IMPORTRANGE("&amp;"""https://docs.google.com/spreadsheets/d/1kGrh75X1cNR1D7_FcY9zMnHP8iPO4M5RCRjy6nZY0TY/edit#gid=0"",""Table 1: Study characteristics!A4:A171""), $A324=IMPORTRANGE(""https://docs.google.com/spreadsheets/d/1kGrh75X1cNR1D7_FcY9zMnHP8iPO4M5RCRjy6nZY0TY/edit#gi"&amp;"d=0"",""Table 1: Study characteristics!B4:B171""))
)"),"wrong population")</f>
        <v>wrong population</v>
      </c>
    </row>
    <row r="325">
      <c r="A325" s="4" t="str">
        <f>IFERROR(__xludf.DUMMYFUNCTION("""COMPUTED_VALUE"""),"Avoidable factors that contribute to the complications of ventriculoperitoneal shunt in childhood hydrocephalus")</f>
        <v>Avoidable factors that contribute to the complications of ventriculoperitoneal shunt in childhood hydrocephalus</v>
      </c>
      <c r="B325" s="5" t="str">
        <f>IFERROR(__xludf.DUMMYFUNCTION("LEFT(FILTER(IMPORTRANGE(""https://docs.google.com/spreadsheets/d/1BJSV3WBYJGRhQ6zExamkszQ5VutGIcaQqmbD9ZTVXMQ/edit#gid=1251630045"",""articles_with_PRISMA_reasons!K2:K2113""), $A325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$A325=IMPORTRANGE(""https://docs.google.com/spreadsheets/d/1BJSV3WBYJGRhQ6zExamkszQ5VutGIcaQqmbD9ZTVXMQ/edit#gid=1251630045"",""articles_with_PRISMA_reasons!B2:B2113"")))-1)"),"Choudhury")</f>
        <v>Choudhury</v>
      </c>
      <c r="C325" s="6">
        <f>IFERROR(__xludf.DUMMYFUNCTION("FILTER(IMPORTRANGE(""https://docs.google.com/spreadsheets/d/1BJSV3WBYJGRhQ6zExamkszQ5VutGIcaQqmbD9ZTVXMQ/edit#gid=1251630045"",""articles_with_PRISMA_reasons!C2:C2113""), $A325=IMPORTRANGE(""https://docs.google.com/spreadsheets/d/1BJSV3WBYJGRhQ6zExamkszQ5"&amp;"VutGIcaQqmbD9ZTVXMQ/edit#gid=1251630045"",""articles_with_PRISMA_reasons!B2:B2113""))"),1990.0)</f>
        <v>1990</v>
      </c>
      <c r="D325" s="5" t="str">
        <f>IFERROR(__xludf.DUMMYFUNCTION("IFS(AND(
FILTER(IMPORTRANGE(""https://docs.google.com/spreadsheets/d/1BJSV3WBYJGRhQ6zExamkszQ5VutGIcaQqmbD9ZTVXMQ/edit#gid=1251630045"",""articles_with_PRISMA_reasons!Y2:Y2113""), $A325=IMPORTRANGE(""https://docs.google.com/spreadsheets/d/1BJSV3WBYJGRhQ6z"&amp;"ExamkszQ5VutGIcaQqmbD9ZTVXMQ/edit#gid=1251630045"",""articles_with_PRISMA_reasons!B2:B2113""))&gt;=2,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$A325=IMPORTRANGE(""https://docs.google.com/spreadsheets/d/1BJSV3WBYJGRhQ6zExamkszQ5VutGIcaQqmbD9ZTVXMQ/edit#gid=1251630045"",""articles_with_PRISMA_reasons!B2:B2113""))&lt;2),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$A325=IMPORTRANGE(""https://docs.google.com/spreadsheets/d/1BJSV3WBYJGRhQ6zExamkszQ5VutGIcaQqmbD9ZTVXMQ/edit#gid=1251630045"",""arti"&amp;"cles_with_PRISMA_reasons!B2:B2113""))&lt;2,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$A325=IMPORTRANGE(""https://docs.google.com"&amp;"/spreadsheets/d/1BJSV3WBYJGRhQ6zExamkszQ5VutGIcaQqmbD9ZTVXMQ/edit#gid=1251630045"",""articles_with_PRISMA_reasons!B2:B2113""))&gt;=2),
""Exclude""
)"),"Include")</f>
        <v>Include</v>
      </c>
      <c r="E325" s="5" t="str">
        <f>IFERROR(__xludf.DUMMYFUNCTION("IFS(
D325=""Exclude"",""Exclude"",
AND(
FILTER(IMPORTRANGE(""https://docs.google.com/spreadsheets/d/1qpEmbGH0JjaJbUdp21-y2cPbobDbMjr09BbtdKROZWc/edit#gid=1444865654"",""articles_with_PRISMA_reasons!W2:W2113""), $A325=IMPORTRANGE(""https://docs.google.com/"&amp;"spreadsheets/d/1qpEmbGH0JjaJbUdp21-y2cPbobDbMjr09BbtdKROZWc/edit#gid=1444865654"",""articles_with_PRISMA_reasons!B2:B2113""))&gt;=2,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$A325=IMPORTRANGE(""https://docs.google.com/spreadsheets/d/1qpEmbGH0JjaJbUdp21-y2cPbobDbMjr09BbtdKROZWc/edit#gid=1444865654"",""articles_with_PRISMA_reasons!B2:B2113""))&lt;2),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$A325=IMPORTRANGE(""https://docs.google.com/spreadsheets/d/1qpEmbGH0JjaJbUdp21-y2cPbobDbMjr09BbtdKRO"&amp;"ZWc/edit#gid=1444865654"",""articles_with_PRISMA_reasons!B2:B2113""))&lt;2,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$A325=IMPOR"&amp;"TRANGE(""https://docs.google.com/spreadsheets/d/1qpEmbGH0JjaJbUdp21-y2cPbobDbMjr09BbtdKROZWc/edit#gid=1444865654"",""articles_with_PRISMA_reasons!B2:B2113""))&gt;=2),
""Exclude""
)"),"Exclude")</f>
        <v>Exclude</v>
      </c>
      <c r="F325" s="5" t="str">
        <f>IFERROR(__xludf.DUMMYFUNCTION("IFS(
E325=""Exclude"",""Exclude"",
AND(
COUNTIF(
IMPORTRANGE(""https://docs.google.com/spreadsheets/d/1kGrh75X1cNR1D7_FcY9zMnHP8iPO4M5RCRjy6nZY0TY/edit#gid=0"",""Table 1: Study characteristics!B4:B171""),A325)&gt;0,
COUNTIF(Studies!$A$2:$A$85,FILTER(IMPORTRA"&amp;"NGE(""https://docs.google.com/spreadsheets/d/1kGrh75X1cNR1D7_FcY9zMnHP8iPO4M5RCRjy6nZY0TY/edit#gid=0"",""Table 1: Study characteristics!A4:A171""), $A325=IMPORTRANGE(""https://docs.google.com/spreadsheets/d/1kGrh75X1cNR1D7_FcY9zMnHP8iPO4M5RCRjy6nZY0TY/edi"&amp;"t#gid=0"",""Table 1: Study characteristics!B4:B171"")))&gt;0
),
""Include""
)"),"Exclude")</f>
        <v>Exclude</v>
      </c>
      <c r="G325" s="5" t="str">
        <f>IFERROR(__xludf.DUMMYFUNCTION("IFS(
D325=""Exclude"",
FILTER(IMPORTRANGE(""https://docs.google.com/spreadsheets/d/1BJSV3WBYJGRhQ6zExamkszQ5VutGIcaQqmbD9ZTVXMQ/edit#gid=1251630045"",""articles_with_PRISMA_reasons!AB2:AB2113""), $A325=IMPORTRANGE(""https://docs.google.com/spreadsheets/d/"&amp;"1BJSV3WBYJGRhQ6zExamkszQ5VutGIcaQqmbD9ZTVXMQ/edit#gid=1251630045"",""articles_with_PRISMA_reasons!B2:B2113"")),
E325=""Exclude"",
FILTER(IMPORTRANGE(""https://docs.google.com/spreadsheets/d/1qpEmbGH0JjaJbUdp21-y2cPbobDbMjr09BbtdKROZWc/edit#gid=1444865654"&amp;""",""articles_with_PRISMA_reasons!Z2:Z2113""), $A325=IMPORTRANGE(""https://docs.google.com/spreadsheets/d/1qpEmbGH0JjaJbUdp21-y2cPbobDbMjr09BbtdKROZWc/edit#gid=1444865654"",""articles_with_PRISMA_reasons!B2:B2113"")),F325
=""Include"",FILTER(IMPORTRANGE("&amp;"""https://docs.google.com/spreadsheets/d/1kGrh75X1cNR1D7_FcY9zMnHP8iPO4M5RCRjy6nZY0TY/edit#gid=0"",""Table 1: Study characteristics!A4:A171""), $A325=IMPORTRANGE(""https://docs.google.com/spreadsheets/d/1kGrh75X1cNR1D7_FcY9zMnHP8iPO4M5RCRjy6nZY0TY/edit#gi"&amp;"d=0"",""Table 1: Study characteristics!B4:B171""))
)"),"wrong population")</f>
        <v>wrong population</v>
      </c>
    </row>
    <row r="326">
      <c r="A326" s="4" t="str">
        <f>IFERROR(__xludf.DUMMYFUNCTION("""COMPUTED_VALUE"""),"Awareness of spina bifida among family of affected child. A cross sectional questionnaire")</f>
        <v>Awareness of spina bifida among family of affected child. A cross sectional questionnaire</v>
      </c>
      <c r="B326" s="5" t="str">
        <f>IFERROR(__xludf.DUMMYFUNCTION("LEFT(FILTER(IMPORTRANGE(""https://docs.google.com/spreadsheets/d/1BJSV3WBYJGRhQ6zExamkszQ5VutGIcaQqmbD9ZTVXMQ/edit#gid=1251630045"",""articles_with_PRISMA_reasons!K2:K2113""), $A326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$A326=IMPORTRANGE(""https://docs.google.com/spreadsheets/d/1BJSV3WBYJGRhQ6zExamkszQ5VutGIcaQqmbD9ZTVXMQ/edit#gid=1251630045"",""articles_with_PRISMA_reasons!B2:B2113"")))-1)"),"Othman")</f>
        <v>Othman</v>
      </c>
      <c r="C326" s="6">
        <f>IFERROR(__xludf.DUMMYFUNCTION("FILTER(IMPORTRANGE(""https://docs.google.com/spreadsheets/d/1BJSV3WBYJGRhQ6zExamkszQ5VutGIcaQqmbD9ZTVXMQ/edit#gid=1251630045"",""articles_with_PRISMA_reasons!C2:C2113""), $A326=IMPORTRANGE(""https://docs.google.com/spreadsheets/d/1BJSV3WBYJGRhQ6zExamkszQ5"&amp;"VutGIcaQqmbD9ZTVXMQ/edit#gid=1251630045"",""articles_with_PRISMA_reasons!B2:B2113""))"),2019.0)</f>
        <v>2019</v>
      </c>
      <c r="D326" s="5" t="str">
        <f>IFERROR(__xludf.DUMMYFUNCTION("IFS(AND(
FILTER(IMPORTRANGE(""https://docs.google.com/spreadsheets/d/1BJSV3WBYJGRhQ6zExamkszQ5VutGIcaQqmbD9ZTVXMQ/edit#gid=1251630045"",""articles_with_PRISMA_reasons!Y2:Y2113""), $A326=IMPORTRANGE(""https://docs.google.com/spreadsheets/d/1BJSV3WBYJGRhQ6z"&amp;"ExamkszQ5VutGIcaQqmbD9ZTVXMQ/edit#gid=1251630045"",""articles_with_PRISMA_reasons!B2:B2113""))&gt;=2,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$A326=IMPORTRANGE(""https://docs.google.com/spreadsheets/d/1BJSV3WBYJGRhQ6zExamkszQ5VutGIcaQqmbD9ZTVXMQ/edit#gid=1251630045"",""articles_with_PRISMA_reasons!B2:B2113""))&lt;2),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$A326=IMPORTRANGE(""https://docs.google.com/spreadsheets/d/1BJSV3WBYJGRhQ6zExamkszQ5VutGIcaQqmbD9ZTVXMQ/edit#gid=1251630045"",""arti"&amp;"cles_with_PRISMA_reasons!B2:B2113""))&lt;2,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$A326=IMPORTRANGE(""https://docs.google.com"&amp;"/spreadsheets/d/1BJSV3WBYJGRhQ6zExamkszQ5VutGIcaQqmbD9ZTVXMQ/edit#gid=1251630045"",""articles_with_PRISMA_reasons!B2:B2113""))&gt;=2),
""Exclude""
)"),"Exclude")</f>
        <v>Exclude</v>
      </c>
      <c r="E326" s="5" t="str">
        <f>IFERROR(__xludf.DUMMYFUNCTION("IFS(
D326=""Exclude"",""Exclude"",
AND(
FILTER(IMPORTRANGE(""https://docs.google.com/spreadsheets/d/1qpEmbGH0JjaJbUdp21-y2cPbobDbMjr09BbtdKROZWc/edit#gid=1444865654"",""articles_with_PRISMA_reasons!W2:W2113""), $A326=IMPORTRANGE(""https://docs.google.com/"&amp;"spreadsheets/d/1qpEmbGH0JjaJbUdp21-y2cPbobDbMjr09BbtdKROZWc/edit#gid=1444865654"",""articles_with_PRISMA_reasons!B2:B2113""))&gt;=2,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$A326=IMPORTRANGE(""https://docs.google.com/spreadsheets/d/1qpEmbGH0JjaJbUdp21-y2cPbobDbMjr09BbtdKROZWc/edit#gid=1444865654"",""articles_with_PRISMA_reasons!B2:B2113""))&lt;2),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$A326=IMPORTRANGE(""https://docs.google.com/spreadsheets/d/1qpEmbGH0JjaJbUdp21-y2cPbobDbMjr09BbtdKRO"&amp;"ZWc/edit#gid=1444865654"",""articles_with_PRISMA_reasons!B2:B2113""))&lt;2,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$A326=IMPOR"&amp;"TRANGE(""https://docs.google.com/spreadsheets/d/1qpEmbGH0JjaJbUdp21-y2cPbobDbMjr09BbtdKROZWc/edit#gid=1444865654"",""articles_with_PRISMA_reasons!B2:B2113""))&gt;=2),
""Exclude""
)"),"Exclude")</f>
        <v>Exclude</v>
      </c>
      <c r="F326" s="5" t="str">
        <f>IFERROR(__xludf.DUMMYFUNCTION("IFS(
E326=""Exclude"",""Exclude"",
AND(
COUNTIF(
IMPORTRANGE(""https://docs.google.com/spreadsheets/d/1kGrh75X1cNR1D7_FcY9zMnHP8iPO4M5RCRjy6nZY0TY/edit#gid=0"",""Table 1: Study characteristics!B4:B171""),A326)&gt;0,
COUNTIF(Studies!$A$2:$A$85,FILTER(IMPORTRA"&amp;"NGE(""https://docs.google.com/spreadsheets/d/1kGrh75X1cNR1D7_FcY9zMnHP8iPO4M5RCRjy6nZY0TY/edit#gid=0"",""Table 1: Study characteristics!A4:A171""), $A326=IMPORTRANGE(""https://docs.google.com/spreadsheets/d/1kGrh75X1cNR1D7_FcY9zMnHP8iPO4M5RCRjy6nZY0TY/edi"&amp;"t#gid=0"",""Table 1: Study characteristics!B4:B171"")))&gt;0
),
""Include""
)"),"Exclude")</f>
        <v>Exclude</v>
      </c>
      <c r="G326" s="5" t="str">
        <f>IFERROR(__xludf.DUMMYFUNCTION("IFS(
D326=""Exclude"",
FILTER(IMPORTRANGE(""https://docs.google.com/spreadsheets/d/1BJSV3WBYJGRhQ6zExamkszQ5VutGIcaQqmbD9ZTVXMQ/edit#gid=1251630045"",""articles_with_PRISMA_reasons!AB2:AB2113""), $A326=IMPORTRANGE(""https://docs.google.com/spreadsheets/d/"&amp;"1BJSV3WBYJGRhQ6zExamkszQ5VutGIcaQqmbD9ZTVXMQ/edit#gid=1251630045"",""articles_with_PRISMA_reasons!B2:B2113"")),
E326=""Exclude"",
FILTER(IMPORTRANGE(""https://docs.google.com/spreadsheets/d/1qpEmbGH0JjaJbUdp21-y2cPbobDbMjr09BbtdKROZWc/edit#gid=1444865654"&amp;""",""articles_with_PRISMA_reasons!Z2:Z2113""), $A326=IMPORTRANGE(""https://docs.google.com/spreadsheets/d/1qpEmbGH0JjaJbUdp21-y2cPbobDbMjr09BbtdKROZWc/edit#gid=1444865654"",""articles_with_PRISMA_reasons!B2:B2113"")),F326
=""Include"",FILTER(IMPORTRANGE("&amp;"""https://docs.google.com/spreadsheets/d/1kGrh75X1cNR1D7_FcY9zMnHP8iPO4M5RCRjy6nZY0TY/edit#gid=0"",""Table 1: Study characteristics!A4:A171""), $A326=IMPORTRANGE(""https://docs.google.com/spreadsheets/d/1kGrh75X1cNR1D7_FcY9zMnHP8iPO4M5RCRjy6nZY0TY/edit#gi"&amp;"d=0"",""Table 1: Study characteristics!B4:B171""))
)"),"wrong population")</f>
        <v>wrong population</v>
      </c>
    </row>
    <row r="327">
      <c r="A327" s="4" t="str">
        <f>IFERROR(__xludf.DUMMYFUNCTION("""COMPUTED_VALUE"""),"Babies with brain damage who can not swallow: Surgical management")</f>
        <v>Babies with brain damage who can not swallow: Surgical management</v>
      </c>
      <c r="B327" s="5" t="str">
        <f>IFERROR(__xludf.DUMMYFUNCTION("LEFT(FILTER(IMPORTRANGE(""https://docs.google.com/spreadsheets/d/1BJSV3WBYJGRhQ6zExamkszQ5VutGIcaQqmbD9ZTVXMQ/edit#gid=1251630045"",""articles_with_PRISMA_reasons!K2:K2113""), $A327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$A327=IMPORTRANGE(""https://docs.google.com/spreadsheets/d/1BJSV3WBYJGRhQ6zExamkszQ5VutGIcaQqmbD9ZTVXMQ/edit#gid=1251630045"",""articles_with_PRISMA_reasons!B2:B2113"")))-1)"),"Schmidt")</f>
        <v>Schmidt</v>
      </c>
      <c r="C327" s="6">
        <f>IFERROR(__xludf.DUMMYFUNCTION("FILTER(IMPORTRANGE(""https://docs.google.com/spreadsheets/d/1BJSV3WBYJGRhQ6zExamkszQ5VutGIcaQqmbD9ZTVXMQ/edit#gid=1251630045"",""articles_with_PRISMA_reasons!C2:C2113""), $A327=IMPORTRANGE(""https://docs.google.com/spreadsheets/d/1BJSV3WBYJGRhQ6zExamkszQ5"&amp;"VutGIcaQqmbD9ZTVXMQ/edit#gid=1251630045"",""articles_with_PRISMA_reasons!B2:B2113""))"),2008.0)</f>
        <v>2008</v>
      </c>
      <c r="D327" s="5" t="str">
        <f>IFERROR(__xludf.DUMMYFUNCTION("IFS(AND(
FILTER(IMPORTRANGE(""https://docs.google.com/spreadsheets/d/1BJSV3WBYJGRhQ6zExamkszQ5VutGIcaQqmbD9ZTVXMQ/edit#gid=1251630045"",""articles_with_PRISMA_reasons!Y2:Y2113""), $A327=IMPORTRANGE(""https://docs.google.com/spreadsheets/d/1BJSV3WBYJGRhQ6z"&amp;"ExamkszQ5VutGIcaQqmbD9ZTVXMQ/edit#gid=1251630045"",""articles_with_PRISMA_reasons!B2:B2113""))&gt;=2,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$A327=IMPORTRANGE(""https://docs.google.com/spreadsheets/d/1BJSV3WBYJGRhQ6zExamkszQ5VutGIcaQqmbD9ZTVXMQ/edit#gid=1251630045"",""articles_with_PRISMA_reasons!B2:B2113""))&lt;2),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$A327=IMPORTRANGE(""https://docs.google.com/spreadsheets/d/1BJSV3WBYJGRhQ6zExamkszQ5VutGIcaQqmbD9ZTVXMQ/edit#gid=1251630045"",""arti"&amp;"cles_with_PRISMA_reasons!B2:B2113""))&lt;2,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$A327=IMPORTRANGE(""https://docs.google.com"&amp;"/spreadsheets/d/1BJSV3WBYJGRhQ6zExamkszQ5VutGIcaQqmbD9ZTVXMQ/edit#gid=1251630045"",""articles_with_PRISMA_reasons!B2:B2113""))&gt;=2),
""Exclude""
)"),"Exclude")</f>
        <v>Exclude</v>
      </c>
      <c r="E327" s="5" t="str">
        <f>IFERROR(__xludf.DUMMYFUNCTION("IFS(
D327=""Exclude"",""Exclude"",
AND(
FILTER(IMPORTRANGE(""https://docs.google.com/spreadsheets/d/1qpEmbGH0JjaJbUdp21-y2cPbobDbMjr09BbtdKROZWc/edit#gid=1444865654"",""articles_with_PRISMA_reasons!W2:W2113""), $A327=IMPORTRANGE(""https://docs.google.com/"&amp;"spreadsheets/d/1qpEmbGH0JjaJbUdp21-y2cPbobDbMjr09BbtdKROZWc/edit#gid=1444865654"",""articles_with_PRISMA_reasons!B2:B2113""))&gt;=2,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$A327=IMPORTRANGE(""https://docs.google.com/spreadsheets/d/1qpEmbGH0JjaJbUdp21-y2cPbobDbMjr09BbtdKROZWc/edit#gid=1444865654"",""articles_with_PRISMA_reasons!B2:B2113""))&lt;2),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$A327=IMPORTRANGE(""https://docs.google.com/spreadsheets/d/1qpEmbGH0JjaJbUdp21-y2cPbobDbMjr09BbtdKRO"&amp;"ZWc/edit#gid=1444865654"",""articles_with_PRISMA_reasons!B2:B2113""))&lt;2,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$A327=IMPOR"&amp;"TRANGE(""https://docs.google.com/spreadsheets/d/1qpEmbGH0JjaJbUdp21-y2cPbobDbMjr09BbtdKROZWc/edit#gid=1444865654"",""articles_with_PRISMA_reasons!B2:B2113""))&gt;=2),
""Exclude""
)"),"Exclude")</f>
        <v>Exclude</v>
      </c>
      <c r="F327" s="5" t="str">
        <f>IFERROR(__xludf.DUMMYFUNCTION("IFS(
E327=""Exclude"",""Exclude"",
AND(
COUNTIF(
IMPORTRANGE(""https://docs.google.com/spreadsheets/d/1kGrh75X1cNR1D7_FcY9zMnHP8iPO4M5RCRjy6nZY0TY/edit#gid=0"",""Table 1: Study characteristics!B4:B171""),A327)&gt;0,
COUNTIF(Studies!$A$2:$A$85,FILTER(IMPORTRA"&amp;"NGE(""https://docs.google.com/spreadsheets/d/1kGrh75X1cNR1D7_FcY9zMnHP8iPO4M5RCRjy6nZY0TY/edit#gid=0"",""Table 1: Study characteristics!A4:A171""), $A327=IMPORTRANGE(""https://docs.google.com/spreadsheets/d/1kGrh75X1cNR1D7_FcY9zMnHP8iPO4M5RCRjy6nZY0TY/edi"&amp;"t#gid=0"",""Table 1: Study characteristics!B4:B171"")))&gt;0
),
""Include""
)"),"Exclude")</f>
        <v>Exclude</v>
      </c>
      <c r="G327" s="5" t="str">
        <f>IFERROR(__xludf.DUMMYFUNCTION("IFS(
D327=""Exclude"",
FILTER(IMPORTRANGE(""https://docs.google.com/spreadsheets/d/1BJSV3WBYJGRhQ6zExamkszQ5VutGIcaQqmbD9ZTVXMQ/edit#gid=1251630045"",""articles_with_PRISMA_reasons!AB2:AB2113""), $A327=IMPORTRANGE(""https://docs.google.com/spreadsheets/d/"&amp;"1BJSV3WBYJGRhQ6zExamkszQ5VutGIcaQqmbD9ZTVXMQ/edit#gid=1251630045"",""articles_with_PRISMA_reasons!B2:B2113"")),
E327=""Exclude"",
FILTER(IMPORTRANGE(""https://docs.google.com/spreadsheets/d/1qpEmbGH0JjaJbUdp21-y2cPbobDbMjr09BbtdKROZWc/edit#gid=1444865654"&amp;""",""articles_with_PRISMA_reasons!Z2:Z2113""), $A327=IMPORTRANGE(""https://docs.google.com/spreadsheets/d/1qpEmbGH0JjaJbUdp21-y2cPbobDbMjr09BbtdKROZWc/edit#gid=1444865654"",""articles_with_PRISMA_reasons!B2:B2113"")),F327
=""Include"",FILTER(IMPORTRANGE("&amp;"""https://docs.google.com/spreadsheets/d/1kGrh75X1cNR1D7_FcY9zMnHP8iPO4M5RCRjy6nZY0TY/edit#gid=0"",""Table 1: Study characteristics!A4:A171""), $A327=IMPORTRANGE(""https://docs.google.com/spreadsheets/d/1kGrh75X1cNR1D7_FcY9zMnHP8iPO4M5RCRjy6nZY0TY/edit#gi"&amp;"d=0"",""Table 1: Study characteristics!B4:B171""))
)"),"wrong population")</f>
        <v>wrong population</v>
      </c>
    </row>
    <row r="328">
      <c r="A328" s="4" t="str">
        <f>IFERROR(__xludf.DUMMYFUNCTION("""COMPUTED_VALUE"""),"Babies with spina bifida treated without surgery: parents' views on home versus hospital care")</f>
        <v>Babies with spina bifida treated without surgery: parents' views on home versus hospital care</v>
      </c>
      <c r="B328" s="5" t="str">
        <f>IFERROR(__xludf.DUMMYFUNCTION("LEFT(FILTER(IMPORTRANGE(""https://docs.google.com/spreadsheets/d/1BJSV3WBYJGRhQ6zExamkszQ5VutGIcaQqmbD9ZTVXMQ/edit#gid=1251630045"",""articles_with_PRISMA_reasons!K2:K2113""), $A328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$A328=IMPORTRANGE(""https://docs.google.com/spreadsheets/d/1BJSV3WBYJGRhQ6zExamkszQ5VutGIcaQqmbD9ZTVXMQ/edit#gid=1251630045"",""articles_with_PRISMA_reasons!B2:B2113"")))-1)"),"Delight")</f>
        <v>Delight</v>
      </c>
      <c r="C328" s="6" t="str">
        <f>IFERROR(__xludf.DUMMYFUNCTION("FILTER(IMPORTRANGE(""https://docs.google.com/spreadsheets/d/1BJSV3WBYJGRhQ6zExamkszQ5VutGIcaQqmbD9ZTVXMQ/edit#gid=1251630045"",""articles_with_PRISMA_reasons!C2:C2113""), $A328=IMPORTRANGE(""https://docs.google.com/spreadsheets/d/1BJSV3WBYJGRhQ6zExamkszQ5"&amp;"VutGIcaQqmbD9ZTVXMQ/edit#gid=1251630045"",""articles_with_PRISMA_reasons!B2:B2113""))"),"Nov")</f>
        <v>Nov</v>
      </c>
      <c r="D328" s="5" t="str">
        <f>IFERROR(__xludf.DUMMYFUNCTION("IFS(AND(
FILTER(IMPORTRANGE(""https://docs.google.com/spreadsheets/d/1BJSV3WBYJGRhQ6zExamkszQ5VutGIcaQqmbD9ZTVXMQ/edit#gid=1251630045"",""articles_with_PRISMA_reasons!Y2:Y2113""), $A328=IMPORTRANGE(""https://docs.google.com/spreadsheets/d/1BJSV3WBYJGRhQ6z"&amp;"ExamkszQ5VutGIcaQqmbD9ZTVXMQ/edit#gid=1251630045"",""articles_with_PRISMA_reasons!B2:B2113""))&gt;=2,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$A328=IMPORTRANGE(""https://docs.google.com/spreadsheets/d/1BJSV3WBYJGRhQ6zExamkszQ5VutGIcaQqmbD9ZTVXMQ/edit#gid=1251630045"",""articles_with_PRISMA_reasons!B2:B2113""))&lt;2),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$A328=IMPORTRANGE(""https://docs.google.com/spreadsheets/d/1BJSV3WBYJGRhQ6zExamkszQ5VutGIcaQqmbD9ZTVXMQ/edit#gid=1251630045"",""arti"&amp;"cles_with_PRISMA_reasons!B2:B2113""))&lt;2,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$A328=IMPORTRANGE(""https://docs.google.com"&amp;"/spreadsheets/d/1BJSV3WBYJGRhQ6zExamkszQ5VutGIcaQqmbD9ZTVXMQ/edit#gid=1251630045"",""articles_with_PRISMA_reasons!B2:B2113""))&gt;=2),
""Exclude""
)"),"Exclude")</f>
        <v>Exclude</v>
      </c>
      <c r="E328" s="5" t="str">
        <f>IFERROR(__xludf.DUMMYFUNCTION("IFS(
D328=""Exclude"",""Exclude"",
AND(
FILTER(IMPORTRANGE(""https://docs.google.com/spreadsheets/d/1qpEmbGH0JjaJbUdp21-y2cPbobDbMjr09BbtdKROZWc/edit#gid=1444865654"",""articles_with_PRISMA_reasons!W2:W2113""), $A328=IMPORTRANGE(""https://docs.google.com/"&amp;"spreadsheets/d/1qpEmbGH0JjaJbUdp21-y2cPbobDbMjr09BbtdKROZWc/edit#gid=1444865654"",""articles_with_PRISMA_reasons!B2:B2113""))&gt;=2,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$A328=IMPORTRANGE(""https://docs.google.com/spreadsheets/d/1qpEmbGH0JjaJbUdp21-y2cPbobDbMjr09BbtdKROZWc/edit#gid=1444865654"",""articles_with_PRISMA_reasons!B2:B2113""))&lt;2),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$A328=IMPORTRANGE(""https://docs.google.com/spreadsheets/d/1qpEmbGH0JjaJbUdp21-y2cPbobDbMjr09BbtdKRO"&amp;"ZWc/edit#gid=1444865654"",""articles_with_PRISMA_reasons!B2:B2113""))&lt;2,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$A328=IMPOR"&amp;"TRANGE(""https://docs.google.com/spreadsheets/d/1qpEmbGH0JjaJbUdp21-y2cPbobDbMjr09BbtdKROZWc/edit#gid=1444865654"",""articles_with_PRISMA_reasons!B2:B2113""))&gt;=2),
""Exclude""
)"),"Exclude")</f>
        <v>Exclude</v>
      </c>
      <c r="F328" s="5" t="str">
        <f>IFERROR(__xludf.DUMMYFUNCTION("IFS(
E328=""Exclude"",""Exclude"",
AND(
COUNTIF(
IMPORTRANGE(""https://docs.google.com/spreadsheets/d/1kGrh75X1cNR1D7_FcY9zMnHP8iPO4M5RCRjy6nZY0TY/edit#gid=0"",""Table 1: Study characteristics!B4:B171""),A328)&gt;0,
COUNTIF(Studies!$A$2:$A$85,FILTER(IMPORTRA"&amp;"NGE(""https://docs.google.com/spreadsheets/d/1kGrh75X1cNR1D7_FcY9zMnHP8iPO4M5RCRjy6nZY0TY/edit#gid=0"",""Table 1: Study characteristics!A4:A171""), $A328=IMPORTRANGE(""https://docs.google.com/spreadsheets/d/1kGrh75X1cNR1D7_FcY9zMnHP8iPO4M5RCRjy6nZY0TY/edi"&amp;"t#gid=0"",""Table 1: Study characteristics!B4:B171"")))&gt;0
),
""Include""
)"),"Exclude")</f>
        <v>Exclude</v>
      </c>
      <c r="G328" s="5" t="str">
        <f>IFERROR(__xludf.DUMMYFUNCTION("IFS(
D328=""Exclude"",
FILTER(IMPORTRANGE(""https://docs.google.com/spreadsheets/d/1BJSV3WBYJGRhQ6zExamkszQ5VutGIcaQqmbD9ZTVXMQ/edit#gid=1251630045"",""articles_with_PRISMA_reasons!AB2:AB2113""), $A328=IMPORTRANGE(""https://docs.google.com/spreadsheets/d/"&amp;"1BJSV3WBYJGRhQ6zExamkszQ5VutGIcaQqmbD9ZTVXMQ/edit#gid=1251630045"",""articles_with_PRISMA_reasons!B2:B2113"")),
E328=""Exclude"",
FILTER(IMPORTRANGE(""https://docs.google.com/spreadsheets/d/1qpEmbGH0JjaJbUdp21-y2cPbobDbMjr09BbtdKROZWc/edit#gid=1444865654"&amp;""",""articles_with_PRISMA_reasons!Z2:Z2113""), $A328=IMPORTRANGE(""https://docs.google.com/spreadsheets/d/1qpEmbGH0JjaJbUdp21-y2cPbobDbMjr09BbtdKROZWc/edit#gid=1444865654"",""articles_with_PRISMA_reasons!B2:B2113"")),F328
=""Include"",FILTER(IMPORTRANGE("&amp;"""https://docs.google.com/spreadsheets/d/1kGrh75X1cNR1D7_FcY9zMnHP8iPO4M5RCRjy6nZY0TY/edit#gid=0"",""Table 1: Study characteristics!A4:A171""), $A328=IMPORTRANGE(""https://docs.google.com/spreadsheets/d/1kGrh75X1cNR1D7_FcY9zMnHP8iPO4M5RCRjy6nZY0TY/edit#gi"&amp;"d=0"",""Table 1: Study characteristics!B4:B171""))
)"),"wrong population")</f>
        <v>wrong population</v>
      </c>
    </row>
    <row r="329">
      <c r="A329" s="4" t="str">
        <f>IFERROR(__xludf.DUMMYFUNCTION("""COMPUTED_VALUE"""),"Bacterial colonisation of Holter valves: a ten-year survey")</f>
        <v>Bacterial colonisation of Holter valves: a ten-year survey</v>
      </c>
      <c r="B329" s="5" t="str">
        <f>IFERROR(__xludf.DUMMYFUNCTION("LEFT(FILTER(IMPORTRANGE(""https://docs.google.com/spreadsheets/d/1BJSV3WBYJGRhQ6zExamkszQ5VutGIcaQqmbD9ZTVXMQ/edit#gid=1251630045"",""articles_with_PRISMA_reasons!K2:K2113""), $A329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$A329=IMPORTRANGE(""https://docs.google.com/spreadsheets/d/1BJSV3WBYJGRhQ6zExamkszQ5VutGIcaQqmbD9ZTVXMQ/edit#gid=1251630045"",""articles_with_PRISMA_reasons!B2:B2113"")))-1)"),"Morrice")</f>
        <v>Morrice</v>
      </c>
      <c r="C329" s="6">
        <f>IFERROR(__xludf.DUMMYFUNCTION("FILTER(IMPORTRANGE(""https://docs.google.com/spreadsheets/d/1BJSV3WBYJGRhQ6zExamkszQ5VutGIcaQqmbD9ZTVXMQ/edit#gid=1251630045"",""articles_with_PRISMA_reasons!C2:C2113""), $A329=IMPORTRANGE(""https://docs.google.com/spreadsheets/d/1BJSV3WBYJGRhQ6zExamkszQ5"&amp;"VutGIcaQqmbD9ZTVXMQ/edit#gid=1251630045"",""articles_with_PRISMA_reasons!B2:B2113""))"),1974.0)</f>
        <v>1974</v>
      </c>
      <c r="D329" s="5" t="str">
        <f>IFERROR(__xludf.DUMMYFUNCTION("IFS(AND(
FILTER(IMPORTRANGE(""https://docs.google.com/spreadsheets/d/1BJSV3WBYJGRhQ6zExamkszQ5VutGIcaQqmbD9ZTVXMQ/edit#gid=1251630045"",""articles_with_PRISMA_reasons!Y2:Y2113""), $A329=IMPORTRANGE(""https://docs.google.com/spreadsheets/d/1BJSV3WBYJGRhQ6z"&amp;"ExamkszQ5VutGIcaQqmbD9ZTVXMQ/edit#gid=1251630045"",""articles_with_PRISMA_reasons!B2:B2113""))&gt;=2,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$A329=IMPORTRANGE(""https://docs.google.com/spreadsheets/d/1BJSV3WBYJGRhQ6zExamkszQ5VutGIcaQqmbD9ZTVXMQ/edit#gid=1251630045"",""articles_with_PRISMA_reasons!B2:B2113""))&lt;2),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$A329=IMPORTRANGE(""https://docs.google.com/spreadsheets/d/1BJSV3WBYJGRhQ6zExamkszQ5VutGIcaQqmbD9ZTVXMQ/edit#gid=1251630045"",""arti"&amp;"cles_with_PRISMA_reasons!B2:B2113""))&lt;2,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$A329=IMPORTRANGE(""https://docs.google.com"&amp;"/spreadsheets/d/1BJSV3WBYJGRhQ6zExamkszQ5VutGIcaQqmbD9ZTVXMQ/edit#gid=1251630045"",""articles_with_PRISMA_reasons!B2:B2113""))&gt;=2),
""Exclude""
)"),"Exclude")</f>
        <v>Exclude</v>
      </c>
      <c r="E329" s="5" t="str">
        <f>IFERROR(__xludf.DUMMYFUNCTION("IFS(
D329=""Exclude"",""Exclude"",
AND(
FILTER(IMPORTRANGE(""https://docs.google.com/spreadsheets/d/1qpEmbGH0JjaJbUdp21-y2cPbobDbMjr09BbtdKROZWc/edit#gid=1444865654"",""articles_with_PRISMA_reasons!W2:W2113""), $A329=IMPORTRANGE(""https://docs.google.com/"&amp;"spreadsheets/d/1qpEmbGH0JjaJbUdp21-y2cPbobDbMjr09BbtdKROZWc/edit#gid=1444865654"",""articles_with_PRISMA_reasons!B2:B2113""))&gt;=2,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$A329=IMPORTRANGE(""https://docs.google.com/spreadsheets/d/1qpEmbGH0JjaJbUdp21-y2cPbobDbMjr09BbtdKROZWc/edit#gid=1444865654"",""articles_with_PRISMA_reasons!B2:B2113""))&lt;2),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$A329=IMPORTRANGE(""https://docs.google.com/spreadsheets/d/1qpEmbGH0JjaJbUdp21-y2cPbobDbMjr09BbtdKRO"&amp;"ZWc/edit#gid=1444865654"",""articles_with_PRISMA_reasons!B2:B2113""))&lt;2,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$A329=IMPOR"&amp;"TRANGE(""https://docs.google.com/spreadsheets/d/1qpEmbGH0JjaJbUdp21-y2cPbobDbMjr09BbtdKROZWc/edit#gid=1444865654"",""articles_with_PRISMA_reasons!B2:B2113""))&gt;=2),
""Exclude""
)"),"Exclude")</f>
        <v>Exclude</v>
      </c>
      <c r="F329" s="5" t="str">
        <f>IFERROR(__xludf.DUMMYFUNCTION("IFS(
E329=""Exclude"",""Exclude"",
AND(
COUNTIF(
IMPORTRANGE(""https://docs.google.com/spreadsheets/d/1kGrh75X1cNR1D7_FcY9zMnHP8iPO4M5RCRjy6nZY0TY/edit#gid=0"",""Table 1: Study characteristics!B4:B171""),A329)&gt;0,
COUNTIF(Studies!$A$2:$A$85,FILTER(IMPORTRA"&amp;"NGE(""https://docs.google.com/spreadsheets/d/1kGrh75X1cNR1D7_FcY9zMnHP8iPO4M5RCRjy6nZY0TY/edit#gid=0"",""Table 1: Study characteristics!A4:A171""), $A329=IMPORTRANGE(""https://docs.google.com/spreadsheets/d/1kGrh75X1cNR1D7_FcY9zMnHP8iPO4M5RCRjy6nZY0TY/edi"&amp;"t#gid=0"",""Table 1: Study characteristics!B4:B171"")))&gt;0
),
""Include""
)"),"Exclude")</f>
        <v>Exclude</v>
      </c>
      <c r="G329" s="5" t="str">
        <f>IFERROR(__xludf.DUMMYFUNCTION("IFS(
D329=""Exclude"",
FILTER(IMPORTRANGE(""https://docs.google.com/spreadsheets/d/1BJSV3WBYJGRhQ6zExamkszQ5VutGIcaQqmbD9ZTVXMQ/edit#gid=1251630045"",""articles_with_PRISMA_reasons!AB2:AB2113""), $A329=IMPORTRANGE(""https://docs.google.com/spreadsheets/d/"&amp;"1BJSV3WBYJGRhQ6zExamkszQ5VutGIcaQqmbD9ZTVXMQ/edit#gid=1251630045"",""articles_with_PRISMA_reasons!B2:B2113"")),
E329=""Exclude"",
FILTER(IMPORTRANGE(""https://docs.google.com/spreadsheets/d/1qpEmbGH0JjaJbUdp21-y2cPbobDbMjr09BbtdKROZWc/edit#gid=1444865654"&amp;""",""articles_with_PRISMA_reasons!Z2:Z2113""), $A329=IMPORTRANGE(""https://docs.google.com/spreadsheets/d/1qpEmbGH0JjaJbUdp21-y2cPbobDbMjr09BbtdKROZWc/edit#gid=1444865654"",""articles_with_PRISMA_reasons!B2:B2113"")),F329
=""Include"",FILTER(IMPORTRANGE("&amp;"""https://docs.google.com/spreadsheets/d/1kGrh75X1cNR1D7_FcY9zMnHP8iPO4M5RCRjy6nZY0TY/edit#gid=0"",""Table 1: Study characteristics!A4:A171""), $A329=IMPORTRANGE(""https://docs.google.com/spreadsheets/d/1kGrh75X1cNR1D7_FcY9zMnHP8iPO4M5RCRjy6nZY0TY/edit#gi"&amp;"d=0"",""Table 1: Study characteristics!B4:B171""))
)"),"wrong study design")</f>
        <v>wrong study design</v>
      </c>
    </row>
    <row r="330">
      <c r="A330" s="4" t="str">
        <f>IFERROR(__xludf.DUMMYFUNCTION("""COMPUTED_VALUE"""),"Behavioral and emotional problems in children with myelomeningocele (MMC)")</f>
        <v>Behavioral and emotional problems in children with myelomeningocele (MMC)</v>
      </c>
      <c r="B330" s="5" t="str">
        <f>IFERROR(__xludf.DUMMYFUNCTION("LEFT(FILTER(IMPORTRANGE(""https://docs.google.com/spreadsheets/d/1BJSV3WBYJGRhQ6zExamkszQ5VutGIcaQqmbD9ZTVXMQ/edit#gid=1251630045"",""articles_with_PRISMA_reasons!K2:K2113""), $A330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$A330=IMPORTRANGE(""https://docs.google.com/spreadsheets/d/1BJSV3WBYJGRhQ6zExamkszQ5VutGIcaQqmbD9ZTVXMQ/edit#gid=1251630045"",""articles_with_PRISMA_reasons!B2:B2113"")))-1)"),"Bilenberg")</f>
        <v>Bilenberg</v>
      </c>
      <c r="C330" s="6">
        <f>IFERROR(__xludf.DUMMYFUNCTION("FILTER(IMPORTRANGE(""https://docs.google.com/spreadsheets/d/1BJSV3WBYJGRhQ6zExamkszQ5VutGIcaQqmbD9ZTVXMQ/edit#gid=1251630045"",""articles_with_PRISMA_reasons!C2:C2113""), $A330=IMPORTRANGE(""https://docs.google.com/spreadsheets/d/1BJSV3WBYJGRhQ6zExamkszQ5"&amp;"VutGIcaQqmbD9ZTVXMQ/edit#gid=1251630045"",""articles_with_PRISMA_reasons!B2:B2113""))"),2001.0)</f>
        <v>2001</v>
      </c>
      <c r="D330" s="5" t="str">
        <f>IFERROR(__xludf.DUMMYFUNCTION("IFS(AND(
FILTER(IMPORTRANGE(""https://docs.google.com/spreadsheets/d/1BJSV3WBYJGRhQ6zExamkszQ5VutGIcaQqmbD9ZTVXMQ/edit#gid=1251630045"",""articles_with_PRISMA_reasons!Y2:Y2113""), $A330=IMPORTRANGE(""https://docs.google.com/spreadsheets/d/1BJSV3WBYJGRhQ6z"&amp;"ExamkszQ5VutGIcaQqmbD9ZTVXMQ/edit#gid=1251630045"",""articles_with_PRISMA_reasons!B2:B2113""))&gt;=2,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$A330=IMPORTRANGE(""https://docs.google.com/spreadsheets/d/1BJSV3WBYJGRhQ6zExamkszQ5VutGIcaQqmbD9ZTVXMQ/edit#gid=1251630045"",""articles_with_PRISMA_reasons!B2:B2113""))&lt;2),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$A330=IMPORTRANGE(""https://docs.google.com/spreadsheets/d/1BJSV3WBYJGRhQ6zExamkszQ5VutGIcaQqmbD9ZTVXMQ/edit#gid=1251630045"",""arti"&amp;"cles_with_PRISMA_reasons!B2:B2113""))&lt;2,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$A330=IMPORTRANGE(""https://docs.google.com"&amp;"/spreadsheets/d/1BJSV3WBYJGRhQ6zExamkszQ5VutGIcaQqmbD9ZTVXMQ/edit#gid=1251630045"",""articles_with_PRISMA_reasons!B2:B2113""))&gt;=2),
""Exclude""
)"),"Exclude")</f>
        <v>Exclude</v>
      </c>
      <c r="E330" s="5" t="str">
        <f>IFERROR(__xludf.DUMMYFUNCTION("IFS(
D330=""Exclude"",""Exclude"",
AND(
FILTER(IMPORTRANGE(""https://docs.google.com/spreadsheets/d/1qpEmbGH0JjaJbUdp21-y2cPbobDbMjr09BbtdKROZWc/edit#gid=1444865654"",""articles_with_PRISMA_reasons!W2:W2113""), $A330=IMPORTRANGE(""https://docs.google.com/"&amp;"spreadsheets/d/1qpEmbGH0JjaJbUdp21-y2cPbobDbMjr09BbtdKROZWc/edit#gid=1444865654"",""articles_with_PRISMA_reasons!B2:B2113""))&gt;=2,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$A330=IMPORTRANGE(""https://docs.google.com/spreadsheets/d/1qpEmbGH0JjaJbUdp21-y2cPbobDbMjr09BbtdKROZWc/edit#gid=1444865654"",""articles_with_PRISMA_reasons!B2:B2113""))&lt;2),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$A330=IMPORTRANGE(""https://docs.google.com/spreadsheets/d/1qpEmbGH0JjaJbUdp21-y2cPbobDbMjr09BbtdKRO"&amp;"ZWc/edit#gid=1444865654"",""articles_with_PRISMA_reasons!B2:B2113""))&lt;2,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$A330=IMPOR"&amp;"TRANGE(""https://docs.google.com/spreadsheets/d/1qpEmbGH0JjaJbUdp21-y2cPbobDbMjr09BbtdKROZWc/edit#gid=1444865654"",""articles_with_PRISMA_reasons!B2:B2113""))&gt;=2),
""Exclude""
)"),"Exclude")</f>
        <v>Exclude</v>
      </c>
      <c r="F330" s="5" t="str">
        <f>IFERROR(__xludf.DUMMYFUNCTION("IFS(
E330=""Exclude"",""Exclude"",
AND(
COUNTIF(
IMPORTRANGE(""https://docs.google.com/spreadsheets/d/1kGrh75X1cNR1D7_FcY9zMnHP8iPO4M5RCRjy6nZY0TY/edit#gid=0"",""Table 1: Study characteristics!B4:B171""),A330)&gt;0,
COUNTIF(Studies!$A$2:$A$85,FILTER(IMPORTRA"&amp;"NGE(""https://docs.google.com/spreadsheets/d/1kGrh75X1cNR1D7_FcY9zMnHP8iPO4M5RCRjy6nZY0TY/edit#gid=0"",""Table 1: Study characteristics!A4:A171""), $A330=IMPORTRANGE(""https://docs.google.com/spreadsheets/d/1kGrh75X1cNR1D7_FcY9zMnHP8iPO4M5RCRjy6nZY0TY/edi"&amp;"t#gid=0"",""Table 1: Study characteristics!B4:B171"")))&gt;0
),
""Include""
)"),"Exclude")</f>
        <v>Exclude</v>
      </c>
      <c r="G330" s="5" t="str">
        <f>IFERROR(__xludf.DUMMYFUNCTION("IFS(
D330=""Exclude"",
FILTER(IMPORTRANGE(""https://docs.google.com/spreadsheets/d/1BJSV3WBYJGRhQ6zExamkszQ5VutGIcaQqmbD9ZTVXMQ/edit#gid=1251630045"",""articles_with_PRISMA_reasons!AB2:AB2113""), $A330=IMPORTRANGE(""https://docs.google.com/spreadsheets/d/"&amp;"1BJSV3WBYJGRhQ6zExamkszQ5VutGIcaQqmbD9ZTVXMQ/edit#gid=1251630045"",""articles_with_PRISMA_reasons!B2:B2113"")),
E330=""Exclude"",
FILTER(IMPORTRANGE(""https://docs.google.com/spreadsheets/d/1qpEmbGH0JjaJbUdp21-y2cPbobDbMjr09BbtdKROZWc/edit#gid=1444865654"&amp;""",""articles_with_PRISMA_reasons!Z2:Z2113""), $A330=IMPORTRANGE(""https://docs.google.com/spreadsheets/d/1qpEmbGH0JjaJbUdp21-y2cPbobDbMjr09BbtdKROZWc/edit#gid=1444865654"",""articles_with_PRISMA_reasons!B2:B2113"")),F330
=""Include"",FILTER(IMPORTRANGE("&amp;"""https://docs.google.com/spreadsheets/d/1kGrh75X1cNR1D7_FcY9zMnHP8iPO4M5RCRjy6nZY0TY/edit#gid=0"",""Table 1: Study characteristics!A4:A171""), $A330=IMPORTRANGE(""https://docs.google.com/spreadsheets/d/1kGrh75X1cNR1D7_FcY9zMnHP8iPO4M5RCRjy6nZY0TY/edit#gi"&amp;"d=0"",""Table 1: Study characteristics!B4:B171""))
)"),"wrong study design")</f>
        <v>wrong study design</v>
      </c>
    </row>
    <row r="331">
      <c r="A331" s="4" t="str">
        <f>IFERROR(__xludf.DUMMYFUNCTION("""COMPUTED_VALUE"""),"Behavioral effects of long-term antimuscarinic use in patients with spinal dysraphism: A case control study")</f>
        <v>Behavioral effects of long-term antimuscarinic use in patients with spinal dysraphism: A case control study</v>
      </c>
      <c r="B331" s="5" t="str">
        <f>IFERROR(__xludf.DUMMYFUNCTION("LEFT(FILTER(IMPORTRANGE(""https://docs.google.com/spreadsheets/d/1BJSV3WBYJGRhQ6zExamkszQ5VutGIcaQqmbD9ZTVXMQ/edit#gid=1251630045"",""articles_with_PRISMA_reasons!K2:K2113""), $A331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$A331=IMPORTRANGE(""https://docs.google.com/spreadsheets/d/1BJSV3WBYJGRhQ6zExamkszQ5VutGIcaQqmbD9ZTVXMQ/edit#gid=1251630045"",""articles_with_PRISMA_reasons!B2:B2113"")))-1)"),"Veenboer")</f>
        <v>Veenboer</v>
      </c>
      <c r="C331" s="6">
        <f>IFERROR(__xludf.DUMMYFUNCTION("FILTER(IMPORTRANGE(""https://docs.google.com/spreadsheets/d/1BJSV3WBYJGRhQ6zExamkszQ5VutGIcaQqmbD9ZTVXMQ/edit#gid=1251630045"",""articles_with_PRISMA_reasons!C2:C2113""), $A331=IMPORTRANGE(""https://docs.google.com/spreadsheets/d/1BJSV3WBYJGRhQ6zExamkszQ5"&amp;"VutGIcaQqmbD9ZTVXMQ/edit#gid=1251630045"",""articles_with_PRISMA_reasons!B2:B2113""))"),2013.0)</f>
        <v>2013</v>
      </c>
      <c r="D331" s="5" t="str">
        <f>IFERROR(__xludf.DUMMYFUNCTION("IFS(AND(
FILTER(IMPORTRANGE(""https://docs.google.com/spreadsheets/d/1BJSV3WBYJGRhQ6zExamkszQ5VutGIcaQqmbD9ZTVXMQ/edit#gid=1251630045"",""articles_with_PRISMA_reasons!Y2:Y2113""), $A331=IMPORTRANGE(""https://docs.google.com/spreadsheets/d/1BJSV3WBYJGRhQ6z"&amp;"ExamkszQ5VutGIcaQqmbD9ZTVXMQ/edit#gid=1251630045"",""articles_with_PRISMA_reasons!B2:B2113""))&gt;=2,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$A331=IMPORTRANGE(""https://docs.google.com/spreadsheets/d/1BJSV3WBYJGRhQ6zExamkszQ5VutGIcaQqmbD9ZTVXMQ/edit#gid=1251630045"",""articles_with_PRISMA_reasons!B2:B2113""))&lt;2),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$A331=IMPORTRANGE(""https://docs.google.com/spreadsheets/d/1BJSV3WBYJGRhQ6zExamkszQ5VutGIcaQqmbD9ZTVXMQ/edit#gid=1251630045"",""arti"&amp;"cles_with_PRISMA_reasons!B2:B2113""))&lt;2,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$A331=IMPORTRANGE(""https://docs.google.com"&amp;"/spreadsheets/d/1BJSV3WBYJGRhQ6zExamkszQ5VutGIcaQqmbD9ZTVXMQ/edit#gid=1251630045"",""articles_with_PRISMA_reasons!B2:B2113""))&gt;=2),
""Exclude""
)"),"Exclude")</f>
        <v>Exclude</v>
      </c>
      <c r="E331" s="5" t="str">
        <f>IFERROR(__xludf.DUMMYFUNCTION("IFS(
D331=""Exclude"",""Exclude"",
AND(
FILTER(IMPORTRANGE(""https://docs.google.com/spreadsheets/d/1qpEmbGH0JjaJbUdp21-y2cPbobDbMjr09BbtdKROZWc/edit#gid=1444865654"",""articles_with_PRISMA_reasons!W2:W2113""), $A331=IMPORTRANGE(""https://docs.google.com/"&amp;"spreadsheets/d/1qpEmbGH0JjaJbUdp21-y2cPbobDbMjr09BbtdKROZWc/edit#gid=1444865654"",""articles_with_PRISMA_reasons!B2:B2113""))&gt;=2,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$A331=IMPORTRANGE(""https://docs.google.com/spreadsheets/d/1qpEmbGH0JjaJbUdp21-y2cPbobDbMjr09BbtdKROZWc/edit#gid=1444865654"",""articles_with_PRISMA_reasons!B2:B2113""))&lt;2),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$A331=IMPORTRANGE(""https://docs.google.com/spreadsheets/d/1qpEmbGH0JjaJbUdp21-y2cPbobDbMjr09BbtdKRO"&amp;"ZWc/edit#gid=1444865654"",""articles_with_PRISMA_reasons!B2:B2113""))&lt;2,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$A331=IMPOR"&amp;"TRANGE(""https://docs.google.com/spreadsheets/d/1qpEmbGH0JjaJbUdp21-y2cPbobDbMjr09BbtdKROZWc/edit#gid=1444865654"",""articles_with_PRISMA_reasons!B2:B2113""))&gt;=2),
""Exclude""
)"),"Exclude")</f>
        <v>Exclude</v>
      </c>
      <c r="F331" s="5" t="str">
        <f>IFERROR(__xludf.DUMMYFUNCTION("IFS(
E331=""Exclude"",""Exclude"",
AND(
COUNTIF(
IMPORTRANGE(""https://docs.google.com/spreadsheets/d/1kGrh75X1cNR1D7_FcY9zMnHP8iPO4M5RCRjy6nZY0TY/edit#gid=0"",""Table 1: Study characteristics!B4:B171""),A331)&gt;0,
COUNTIF(Studies!$A$2:$A$85,FILTER(IMPORTRA"&amp;"NGE(""https://docs.google.com/spreadsheets/d/1kGrh75X1cNR1D7_FcY9zMnHP8iPO4M5RCRjy6nZY0TY/edit#gid=0"",""Table 1: Study characteristics!A4:A171""), $A331=IMPORTRANGE(""https://docs.google.com/spreadsheets/d/1kGrh75X1cNR1D7_FcY9zMnHP8iPO4M5RCRjy6nZY0TY/edi"&amp;"t#gid=0"",""Table 1: Study characteristics!B4:B171"")))&gt;0
),
""Include""
)"),"Exclude")</f>
        <v>Exclude</v>
      </c>
      <c r="G331" s="5" t="str">
        <f>IFERROR(__xludf.DUMMYFUNCTION("IFS(
D331=""Exclude"",
FILTER(IMPORTRANGE(""https://docs.google.com/spreadsheets/d/1BJSV3WBYJGRhQ6zExamkszQ5VutGIcaQqmbD9ZTVXMQ/edit#gid=1251630045"",""articles_with_PRISMA_reasons!AB2:AB2113""), $A331=IMPORTRANGE(""https://docs.google.com/spreadsheets/d/"&amp;"1BJSV3WBYJGRhQ6zExamkszQ5VutGIcaQqmbD9ZTVXMQ/edit#gid=1251630045"",""articles_with_PRISMA_reasons!B2:B2113"")),
E331=""Exclude"",
FILTER(IMPORTRANGE(""https://docs.google.com/spreadsheets/d/1qpEmbGH0JjaJbUdp21-y2cPbobDbMjr09BbtdKROZWc/edit#gid=1444865654"&amp;""",""articles_with_PRISMA_reasons!Z2:Z2113""), $A331=IMPORTRANGE(""https://docs.google.com/spreadsheets/d/1qpEmbGH0JjaJbUdp21-y2cPbobDbMjr09BbtdKROZWc/edit#gid=1444865654"",""articles_with_PRISMA_reasons!B2:B2113"")),F331
=""Include"",FILTER(IMPORTRANGE("&amp;"""https://docs.google.com/spreadsheets/d/1kGrh75X1cNR1D7_FcY9zMnHP8iPO4M5RCRjy6nZY0TY/edit#gid=0"",""Table 1: Study characteristics!A4:A171""), $A331=IMPORTRANGE(""https://docs.google.com/spreadsheets/d/1kGrh75X1cNR1D7_FcY9zMnHP8iPO4M5RCRjy6nZY0TY/edit#gi"&amp;"d=0"",""Table 1: Study characteristics!B4:B171""))
)"),"wrong study design")</f>
        <v>wrong study design</v>
      </c>
    </row>
    <row r="332">
      <c r="A332" s="4" t="str">
        <f>IFERROR(__xludf.DUMMYFUNCTION("""COMPUTED_VALUE"""),"Behavioral outcome in congenital shunted hydrocephalus without spina bifida")</f>
        <v>Behavioral outcome in congenital shunted hydrocephalus without spina bifida</v>
      </c>
      <c r="B332" s="5" t="str">
        <f>IFERROR(__xludf.DUMMYFUNCTION("LEFT(FILTER(IMPORTRANGE(""https://docs.google.com/spreadsheets/d/1BJSV3WBYJGRhQ6zExamkszQ5VutGIcaQqmbD9ZTVXMQ/edit#gid=1251630045"",""articles_with_PRISMA_reasons!K2:K2113""), $A332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$A332=IMPORTRANGE(""https://docs.google.com/spreadsheets/d/1BJSV3WBYJGRhQ6zExamkszQ5VutGIcaQqmbD9ZTVXMQ/edit#gid=1251630045"",""articles_with_PRISMA_reasons!B2:B2113"")))-1)"),"Helder")</f>
        <v>Helder</v>
      </c>
      <c r="C332" s="6">
        <f>IFERROR(__xludf.DUMMYFUNCTION("FILTER(IMPORTRANGE(""https://docs.google.com/spreadsheets/d/1BJSV3WBYJGRhQ6zExamkszQ5VutGIcaQqmbD9ZTVXMQ/edit#gid=1251630045"",""articles_with_PRISMA_reasons!C2:C2113""), $A332=IMPORTRANGE(""https://docs.google.com/spreadsheets/d/1BJSV3WBYJGRhQ6zExamkszQ5"&amp;"VutGIcaQqmbD9ZTVXMQ/edit#gid=1251630045"",""articles_with_PRISMA_reasons!B2:B2113""))"),2011.0)</f>
        <v>2011</v>
      </c>
      <c r="D332" s="5" t="str">
        <f>IFERROR(__xludf.DUMMYFUNCTION("IFS(AND(
FILTER(IMPORTRANGE(""https://docs.google.com/spreadsheets/d/1BJSV3WBYJGRhQ6zExamkszQ5VutGIcaQqmbD9ZTVXMQ/edit#gid=1251630045"",""articles_with_PRISMA_reasons!Y2:Y2113""), $A332=IMPORTRANGE(""https://docs.google.com/spreadsheets/d/1BJSV3WBYJGRhQ6z"&amp;"ExamkszQ5VutGIcaQqmbD9ZTVXMQ/edit#gid=1251630045"",""articles_with_PRISMA_reasons!B2:B2113""))&gt;=2,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$A332=IMPORTRANGE(""https://docs.google.com/spreadsheets/d/1BJSV3WBYJGRhQ6zExamkszQ5VutGIcaQqmbD9ZTVXMQ/edit#gid=1251630045"",""articles_with_PRISMA_reasons!B2:B2113""))&lt;2),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$A332=IMPORTRANGE(""https://docs.google.com/spreadsheets/d/1BJSV3WBYJGRhQ6zExamkszQ5VutGIcaQqmbD9ZTVXMQ/edit#gid=1251630045"",""arti"&amp;"cles_with_PRISMA_reasons!B2:B2113""))&lt;2,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$A332=IMPORTRANGE(""https://docs.google.com"&amp;"/spreadsheets/d/1BJSV3WBYJGRhQ6zExamkszQ5VutGIcaQqmbD9ZTVXMQ/edit#gid=1251630045"",""articles_with_PRISMA_reasons!B2:B2113""))&gt;=2),
""Exclude""
)"),"Exclude")</f>
        <v>Exclude</v>
      </c>
      <c r="E332" s="5" t="str">
        <f>IFERROR(__xludf.DUMMYFUNCTION("IFS(
D332=""Exclude"",""Exclude"",
AND(
FILTER(IMPORTRANGE(""https://docs.google.com/spreadsheets/d/1qpEmbGH0JjaJbUdp21-y2cPbobDbMjr09BbtdKROZWc/edit#gid=1444865654"",""articles_with_PRISMA_reasons!W2:W2113""), $A332=IMPORTRANGE(""https://docs.google.com/"&amp;"spreadsheets/d/1qpEmbGH0JjaJbUdp21-y2cPbobDbMjr09BbtdKROZWc/edit#gid=1444865654"",""articles_with_PRISMA_reasons!B2:B2113""))&gt;=2,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$A332=IMPORTRANGE(""https://docs.google.com/spreadsheets/d/1qpEmbGH0JjaJbUdp21-y2cPbobDbMjr09BbtdKROZWc/edit#gid=1444865654"",""articles_with_PRISMA_reasons!B2:B2113""))&lt;2),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$A332=IMPORTRANGE(""https://docs.google.com/spreadsheets/d/1qpEmbGH0JjaJbUdp21-y2cPbobDbMjr09BbtdKRO"&amp;"ZWc/edit#gid=1444865654"",""articles_with_PRISMA_reasons!B2:B2113""))&lt;2,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$A332=IMPOR"&amp;"TRANGE(""https://docs.google.com/spreadsheets/d/1qpEmbGH0JjaJbUdp21-y2cPbobDbMjr09BbtdKROZWc/edit#gid=1444865654"",""articles_with_PRISMA_reasons!B2:B2113""))&gt;=2),
""Exclude""
)"),"Exclude")</f>
        <v>Exclude</v>
      </c>
      <c r="F332" s="5" t="str">
        <f>IFERROR(__xludf.DUMMYFUNCTION("IFS(
E332=""Exclude"",""Exclude"",
AND(
COUNTIF(
IMPORTRANGE(""https://docs.google.com/spreadsheets/d/1kGrh75X1cNR1D7_FcY9zMnHP8iPO4M5RCRjy6nZY0TY/edit#gid=0"",""Table 1: Study characteristics!B4:B171""),A332)&gt;0,
COUNTIF(Studies!$A$2:$A$85,FILTER(IMPORTRA"&amp;"NGE(""https://docs.google.com/spreadsheets/d/1kGrh75X1cNR1D7_FcY9zMnHP8iPO4M5RCRjy6nZY0TY/edit#gid=0"",""Table 1: Study characteristics!A4:A171""), $A332=IMPORTRANGE(""https://docs.google.com/spreadsheets/d/1kGrh75X1cNR1D7_FcY9zMnHP8iPO4M5RCRjy6nZY0TY/edi"&amp;"t#gid=0"",""Table 1: Study characteristics!B4:B171"")))&gt;0
),
""Include""
)"),"Exclude")</f>
        <v>Exclude</v>
      </c>
      <c r="G332" s="5" t="str">
        <f>IFERROR(__xludf.DUMMYFUNCTION("IFS(
D332=""Exclude"",
FILTER(IMPORTRANGE(""https://docs.google.com/spreadsheets/d/1BJSV3WBYJGRhQ6zExamkszQ5VutGIcaQqmbD9ZTVXMQ/edit#gid=1251630045"",""articles_with_PRISMA_reasons!AB2:AB2113""), $A332=IMPORTRANGE(""https://docs.google.com/spreadsheets/d/"&amp;"1BJSV3WBYJGRhQ6zExamkszQ5VutGIcaQqmbD9ZTVXMQ/edit#gid=1251630045"",""articles_with_PRISMA_reasons!B2:B2113"")),
E332=""Exclude"",
FILTER(IMPORTRANGE(""https://docs.google.com/spreadsheets/d/1qpEmbGH0JjaJbUdp21-y2cPbobDbMjr09BbtdKROZWc/edit#gid=1444865654"&amp;""",""articles_with_PRISMA_reasons!Z2:Z2113""), $A332=IMPORTRANGE(""https://docs.google.com/spreadsheets/d/1qpEmbGH0JjaJbUdp21-y2cPbobDbMjr09BbtdKROZWc/edit#gid=1444865654"",""articles_with_PRISMA_reasons!B2:B2113"")),F332
=""Include"",FILTER(IMPORTRANGE("&amp;"""https://docs.google.com/spreadsheets/d/1kGrh75X1cNR1D7_FcY9zMnHP8iPO4M5RCRjy6nZY0TY/edit#gid=0"",""Table 1: Study characteristics!A4:A171""), $A332=IMPORTRANGE(""https://docs.google.com/spreadsheets/d/1kGrh75X1cNR1D7_FcY9zMnHP8iPO4M5RCRjy6nZY0TY/edit#gi"&amp;"d=0"",""Table 1: Study characteristics!B4:B171""))
)"),"wrong population")</f>
        <v>wrong population</v>
      </c>
    </row>
    <row r="333">
      <c r="A333" s="4" t="str">
        <f>IFERROR(__xludf.DUMMYFUNCTION("""COMPUTED_VALUE"""),"Behavioural problems and autism in children with hydrocephalus : a population-based study")</f>
        <v>Behavioural problems and autism in children with hydrocephalus : a population-based study</v>
      </c>
      <c r="B333" s="5" t="str">
        <f>IFERROR(__xludf.DUMMYFUNCTION("LEFT(FILTER(IMPORTRANGE(""https://docs.google.com/spreadsheets/d/1BJSV3WBYJGRhQ6zExamkszQ5VutGIcaQqmbD9ZTVXMQ/edit#gid=1251630045"",""articles_with_PRISMA_reasons!K2:K2113""), $A333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$A333=IMPORTRANGE(""https://docs.google.com/spreadsheets/d/1BJSV3WBYJGRhQ6zExamkszQ5VutGIcaQqmbD9ZTVXMQ/edit#gid=1251630045"",""articles_with_PRISMA_reasons!B2:B2113"")))-1)"),"Lindquist")</f>
        <v>Lindquist</v>
      </c>
      <c r="C333" s="6">
        <f>IFERROR(__xludf.DUMMYFUNCTION("FILTER(IMPORTRANGE(""https://docs.google.com/spreadsheets/d/1BJSV3WBYJGRhQ6zExamkszQ5VutGIcaQqmbD9ZTVXMQ/edit#gid=1251630045"",""articles_with_PRISMA_reasons!C2:C2113""), $A333=IMPORTRANGE(""https://docs.google.com/spreadsheets/d/1BJSV3WBYJGRhQ6zExamkszQ5"&amp;"VutGIcaQqmbD9ZTVXMQ/edit#gid=1251630045"",""articles_with_PRISMA_reasons!B2:B2113""))"),2006.0)</f>
        <v>2006</v>
      </c>
      <c r="D333" s="5" t="str">
        <f>IFERROR(__xludf.DUMMYFUNCTION("IFS(AND(
FILTER(IMPORTRANGE(""https://docs.google.com/spreadsheets/d/1BJSV3WBYJGRhQ6zExamkszQ5VutGIcaQqmbD9ZTVXMQ/edit#gid=1251630045"",""articles_with_PRISMA_reasons!Y2:Y2113""), $A333=IMPORTRANGE(""https://docs.google.com/spreadsheets/d/1BJSV3WBYJGRhQ6z"&amp;"ExamkszQ5VutGIcaQqmbD9ZTVXMQ/edit#gid=1251630045"",""articles_with_PRISMA_reasons!B2:B2113""))&gt;=2,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$A333=IMPORTRANGE(""https://docs.google.com/spreadsheets/d/1BJSV3WBYJGRhQ6zExamkszQ5VutGIcaQqmbD9ZTVXMQ/edit#gid=1251630045"",""articles_with_PRISMA_reasons!B2:B2113""))&lt;2),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$A333=IMPORTRANGE(""https://docs.google.com/spreadsheets/d/1BJSV3WBYJGRhQ6zExamkszQ5VutGIcaQqmbD9ZTVXMQ/edit#gid=1251630045"",""arti"&amp;"cles_with_PRISMA_reasons!B2:B2113""))&lt;2,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$A333=IMPORTRANGE(""https://docs.google.com"&amp;"/spreadsheets/d/1BJSV3WBYJGRhQ6zExamkszQ5VutGIcaQqmbD9ZTVXMQ/edit#gid=1251630045"",""articles_with_PRISMA_reasons!B2:B2113""))&gt;=2),
""Exclude""
)"),"Exclude")</f>
        <v>Exclude</v>
      </c>
      <c r="E333" s="5" t="str">
        <f>IFERROR(__xludf.DUMMYFUNCTION("IFS(
D333=""Exclude"",""Exclude"",
AND(
FILTER(IMPORTRANGE(""https://docs.google.com/spreadsheets/d/1qpEmbGH0JjaJbUdp21-y2cPbobDbMjr09BbtdKROZWc/edit#gid=1444865654"",""articles_with_PRISMA_reasons!W2:W2113""), $A333=IMPORTRANGE(""https://docs.google.com/"&amp;"spreadsheets/d/1qpEmbGH0JjaJbUdp21-y2cPbobDbMjr09BbtdKROZWc/edit#gid=1444865654"",""articles_with_PRISMA_reasons!B2:B2113""))&gt;=2,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$A333=IMPORTRANGE(""https://docs.google.com/spreadsheets/d/1qpEmbGH0JjaJbUdp21-y2cPbobDbMjr09BbtdKROZWc/edit#gid=1444865654"",""articles_with_PRISMA_reasons!B2:B2113""))&lt;2),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$A333=IMPORTRANGE(""https://docs.google.com/spreadsheets/d/1qpEmbGH0JjaJbUdp21-y2cPbobDbMjr09BbtdKRO"&amp;"ZWc/edit#gid=1444865654"",""articles_with_PRISMA_reasons!B2:B2113""))&lt;2,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$A333=IMPOR"&amp;"TRANGE(""https://docs.google.com/spreadsheets/d/1qpEmbGH0JjaJbUdp21-y2cPbobDbMjr09BbtdKROZWc/edit#gid=1444865654"",""articles_with_PRISMA_reasons!B2:B2113""))&gt;=2),
""Exclude""
)"),"Exclude")</f>
        <v>Exclude</v>
      </c>
      <c r="F333" s="5" t="str">
        <f>IFERROR(__xludf.DUMMYFUNCTION("IFS(
E333=""Exclude"",""Exclude"",
AND(
COUNTIF(
IMPORTRANGE(""https://docs.google.com/spreadsheets/d/1kGrh75X1cNR1D7_FcY9zMnHP8iPO4M5RCRjy6nZY0TY/edit#gid=0"",""Table 1: Study characteristics!B4:B171""),A333)&gt;0,
COUNTIF(Studies!$A$2:$A$85,FILTER(IMPORTRA"&amp;"NGE(""https://docs.google.com/spreadsheets/d/1kGrh75X1cNR1D7_FcY9zMnHP8iPO4M5RCRjy6nZY0TY/edit#gid=0"",""Table 1: Study characteristics!A4:A171""), $A333=IMPORTRANGE(""https://docs.google.com/spreadsheets/d/1kGrh75X1cNR1D7_FcY9zMnHP8iPO4M5RCRjy6nZY0TY/edi"&amp;"t#gid=0"",""Table 1: Study characteristics!B4:B171"")))&gt;0
),
""Include""
)"),"Exclude")</f>
        <v>Exclude</v>
      </c>
      <c r="G333" s="5" t="str">
        <f>IFERROR(__xludf.DUMMYFUNCTION("IFS(
D333=""Exclude"",
FILTER(IMPORTRANGE(""https://docs.google.com/spreadsheets/d/1BJSV3WBYJGRhQ6zExamkszQ5VutGIcaQqmbD9ZTVXMQ/edit#gid=1251630045"",""articles_with_PRISMA_reasons!AB2:AB2113""), $A333=IMPORTRANGE(""https://docs.google.com/spreadsheets/d/"&amp;"1BJSV3WBYJGRhQ6zExamkszQ5VutGIcaQqmbD9ZTVXMQ/edit#gid=1251630045"",""articles_with_PRISMA_reasons!B2:B2113"")),
E333=""Exclude"",
FILTER(IMPORTRANGE(""https://docs.google.com/spreadsheets/d/1qpEmbGH0JjaJbUdp21-y2cPbobDbMjr09BbtdKROZWc/edit#gid=1444865654"&amp;""",""articles_with_PRISMA_reasons!Z2:Z2113""), $A333=IMPORTRANGE(""https://docs.google.com/spreadsheets/d/1qpEmbGH0JjaJbUdp21-y2cPbobDbMjr09BbtdKROZWc/edit#gid=1444865654"",""articles_with_PRISMA_reasons!B2:B2113"")),F333
=""Include"",FILTER(IMPORTRANGE("&amp;"""https://docs.google.com/spreadsheets/d/1kGrh75X1cNR1D7_FcY9zMnHP8iPO4M5RCRjy6nZY0TY/edit#gid=0"",""Table 1: Study characteristics!A4:A171""), $A333=IMPORTRANGE(""https://docs.google.com/spreadsheets/d/1kGrh75X1cNR1D7_FcY9zMnHP8iPO4M5RCRjy6nZY0TY/edit#gi"&amp;"d=0"",""Table 1: Study characteristics!B4:B171""))
)"),"wrong population")</f>
        <v>wrong population</v>
      </c>
    </row>
    <row r="334">
      <c r="A334" s="4" t="str">
        <f>IFERROR(__xludf.DUMMYFUNCTION("""COMPUTED_VALUE"""),"Big heads in Port Moresby General Hospital: an audit of hydrocephalus cases seen from 2003 to 2004")</f>
        <v>Big heads in Port Moresby General Hospital: an audit of hydrocephalus cases seen from 2003 to 2004</v>
      </c>
      <c r="B334" s="5" t="str">
        <f>IFERROR(__xludf.DUMMYFUNCTION("LEFT(FILTER(IMPORTRANGE(""https://docs.google.com/spreadsheets/d/1BJSV3WBYJGRhQ6zExamkszQ5VutGIcaQqmbD9ZTVXMQ/edit#gid=1251630045"",""articles_with_PRISMA_reasons!K2:K2113""), $A334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$A334=IMPORTRANGE(""https://docs.google.com/spreadsheets/d/1BJSV3WBYJGRhQ6zExamkszQ5VutGIcaQqmbD9ZTVXMQ/edit#gid=1251630045"",""articles_with_PRISMA_reasons!B2:B2113"")))-1)"),"Kaptigau")</f>
        <v>Kaptigau</v>
      </c>
      <c r="C334" s="6">
        <f>IFERROR(__xludf.DUMMYFUNCTION("FILTER(IMPORTRANGE(""https://docs.google.com/spreadsheets/d/1BJSV3WBYJGRhQ6zExamkszQ5VutGIcaQqmbD9ZTVXMQ/edit#gid=1251630045"",""articles_with_PRISMA_reasons!C2:C2113""), $A334=IMPORTRANGE(""https://docs.google.com/spreadsheets/d/1BJSV3WBYJGRhQ6zExamkszQ5"&amp;"VutGIcaQqmbD9ZTVXMQ/edit#gid=1251630045"",""articles_with_PRISMA_reasons!B2:B2113""))"),2007.0)</f>
        <v>2007</v>
      </c>
      <c r="D334" s="5" t="str">
        <f>IFERROR(__xludf.DUMMYFUNCTION("IFS(AND(
FILTER(IMPORTRANGE(""https://docs.google.com/spreadsheets/d/1BJSV3WBYJGRhQ6zExamkszQ5VutGIcaQqmbD9ZTVXMQ/edit#gid=1251630045"",""articles_with_PRISMA_reasons!Y2:Y2113""), $A334=IMPORTRANGE(""https://docs.google.com/spreadsheets/d/1BJSV3WBYJGRhQ6z"&amp;"ExamkszQ5VutGIcaQqmbD9ZTVXMQ/edit#gid=1251630045"",""articles_with_PRISMA_reasons!B2:B2113""))&gt;=2,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$A334=IMPORTRANGE(""https://docs.google.com/spreadsheets/d/1BJSV3WBYJGRhQ6zExamkszQ5VutGIcaQqmbD9ZTVXMQ/edit#gid=1251630045"",""articles_with_PRISMA_reasons!B2:B2113""))&lt;2),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$A334=IMPORTRANGE(""https://docs.google.com/spreadsheets/d/1BJSV3WBYJGRhQ6zExamkszQ5VutGIcaQqmbD9ZTVXMQ/edit#gid=1251630045"",""arti"&amp;"cles_with_PRISMA_reasons!B2:B2113""))&lt;2,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$A334=IMPORTRANGE(""https://docs.google.com"&amp;"/spreadsheets/d/1BJSV3WBYJGRhQ6zExamkszQ5VutGIcaQqmbD9ZTVXMQ/edit#gid=1251630045"",""articles_with_PRISMA_reasons!B2:B2113""))&gt;=2),
""Exclude""
)"),"Exclude")</f>
        <v>Exclude</v>
      </c>
      <c r="E334" s="5" t="str">
        <f>IFERROR(__xludf.DUMMYFUNCTION("IFS(
D334=""Exclude"",""Exclude"",
AND(
FILTER(IMPORTRANGE(""https://docs.google.com/spreadsheets/d/1qpEmbGH0JjaJbUdp21-y2cPbobDbMjr09BbtdKROZWc/edit#gid=1444865654"",""articles_with_PRISMA_reasons!W2:W2113""), $A334=IMPORTRANGE(""https://docs.google.com/"&amp;"spreadsheets/d/1qpEmbGH0JjaJbUdp21-y2cPbobDbMjr09BbtdKROZWc/edit#gid=1444865654"",""articles_with_PRISMA_reasons!B2:B2113""))&gt;=2,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$A334=IMPORTRANGE(""https://docs.google.com/spreadsheets/d/1qpEmbGH0JjaJbUdp21-y2cPbobDbMjr09BbtdKROZWc/edit#gid=1444865654"",""articles_with_PRISMA_reasons!B2:B2113""))&lt;2),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$A334=IMPORTRANGE(""https://docs.google.com/spreadsheets/d/1qpEmbGH0JjaJbUdp21-y2cPbobDbMjr09BbtdKRO"&amp;"ZWc/edit#gid=1444865654"",""articles_with_PRISMA_reasons!B2:B2113""))&lt;2,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$A334=IMPOR"&amp;"TRANGE(""https://docs.google.com/spreadsheets/d/1qpEmbGH0JjaJbUdp21-y2cPbobDbMjr09BbtdKROZWc/edit#gid=1444865654"",""articles_with_PRISMA_reasons!B2:B2113""))&gt;=2),
""Exclude""
)"),"Exclude")</f>
        <v>Exclude</v>
      </c>
      <c r="F334" s="5" t="str">
        <f>IFERROR(__xludf.DUMMYFUNCTION("IFS(
E334=""Exclude"",""Exclude"",
AND(
COUNTIF(
IMPORTRANGE(""https://docs.google.com/spreadsheets/d/1kGrh75X1cNR1D7_FcY9zMnHP8iPO4M5RCRjy6nZY0TY/edit#gid=0"",""Table 1: Study characteristics!B4:B171""),A334)&gt;0,
COUNTIF(Studies!$A$2:$A$85,FILTER(IMPORTRA"&amp;"NGE(""https://docs.google.com/spreadsheets/d/1kGrh75X1cNR1D7_FcY9zMnHP8iPO4M5RCRjy6nZY0TY/edit#gid=0"",""Table 1: Study characteristics!A4:A171""), $A334=IMPORTRANGE(""https://docs.google.com/spreadsheets/d/1kGrh75X1cNR1D7_FcY9zMnHP8iPO4M5RCRjy6nZY0TY/edi"&amp;"t#gid=0"",""Table 1: Study characteristics!B4:B171"")))&gt;0
),
""Include""
)"),"Exclude")</f>
        <v>Exclude</v>
      </c>
      <c r="G334" s="5" t="str">
        <f>IFERROR(__xludf.DUMMYFUNCTION("IFS(
D334=""Exclude"",
FILTER(IMPORTRANGE(""https://docs.google.com/spreadsheets/d/1BJSV3WBYJGRhQ6zExamkszQ5VutGIcaQqmbD9ZTVXMQ/edit#gid=1251630045"",""articles_with_PRISMA_reasons!AB2:AB2113""), $A334=IMPORTRANGE(""https://docs.google.com/spreadsheets/d/"&amp;"1BJSV3WBYJGRhQ6zExamkszQ5VutGIcaQqmbD9ZTVXMQ/edit#gid=1251630045"",""articles_with_PRISMA_reasons!B2:B2113"")),
E334=""Exclude"",
FILTER(IMPORTRANGE(""https://docs.google.com/spreadsheets/d/1qpEmbGH0JjaJbUdp21-y2cPbobDbMjr09BbtdKROZWc/edit#gid=1444865654"&amp;""",""articles_with_PRISMA_reasons!Z2:Z2113""), $A334=IMPORTRANGE(""https://docs.google.com/spreadsheets/d/1qpEmbGH0JjaJbUdp21-y2cPbobDbMjr09BbtdKROZWc/edit#gid=1444865654"",""articles_with_PRISMA_reasons!B2:B2113"")),F334
=""Include"",FILTER(IMPORTRANGE("&amp;"""https://docs.google.com/spreadsheets/d/1kGrh75X1cNR1D7_FcY9zMnHP8iPO4M5RCRjy6nZY0TY/edit#gid=0"",""Table 1: Study characteristics!A4:A171""), $A334=IMPORTRANGE(""https://docs.google.com/spreadsheets/d/1kGrh75X1cNR1D7_FcY9zMnHP8iPO4M5RCRjy6nZY0TY/edit#gi"&amp;"d=0"",""Table 1: Study characteristics!B4:B171""))
)"),"wrong population")</f>
        <v>wrong population</v>
      </c>
    </row>
    <row r="335">
      <c r="A335" s="4" t="str">
        <f>IFERROR(__xludf.DUMMYFUNCTION("""COMPUTED_VALUE"""),"Bilateral subdural hematoma after ventriculoperitoneal shunt surgery")</f>
        <v>Bilateral subdural hematoma after ventriculoperitoneal shunt surgery</v>
      </c>
      <c r="B335" s="5" t="str">
        <f>IFERROR(__xludf.DUMMYFUNCTION("LEFT(FILTER(IMPORTRANGE(""https://docs.google.com/spreadsheets/d/1BJSV3WBYJGRhQ6zExamkszQ5VutGIcaQqmbD9ZTVXMQ/edit#gid=1251630045"",""articles_with_PRISMA_reasons!K2:K2113""), $A335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$A335=IMPORTRANGE(""https://docs.google.com/spreadsheets/d/1BJSV3WBYJGRhQ6zExamkszQ5VutGIcaQqmbD9ZTVXMQ/edit#gid=1251630045"",""articles_with_PRISMA_reasons!B2:B2113"")))-1)"),"Yuksel")</f>
        <v>Yuksel</v>
      </c>
      <c r="C335" s="6">
        <f>IFERROR(__xludf.DUMMYFUNCTION("FILTER(IMPORTRANGE(""https://docs.google.com/spreadsheets/d/1BJSV3WBYJGRhQ6zExamkszQ5VutGIcaQqmbD9ZTVXMQ/edit#gid=1251630045"",""articles_with_PRISMA_reasons!C2:C2113""), $A335=IMPORTRANGE(""https://docs.google.com/spreadsheets/d/1BJSV3WBYJGRhQ6zExamkszQ5"&amp;"VutGIcaQqmbD9ZTVXMQ/edit#gid=1251630045"",""articles_with_PRISMA_reasons!B2:B2113""))"),2019.0)</f>
        <v>2019</v>
      </c>
      <c r="D335" s="5" t="str">
        <f>IFERROR(__xludf.DUMMYFUNCTION("IFS(AND(
FILTER(IMPORTRANGE(""https://docs.google.com/spreadsheets/d/1BJSV3WBYJGRhQ6zExamkszQ5VutGIcaQqmbD9ZTVXMQ/edit#gid=1251630045"",""articles_with_PRISMA_reasons!Y2:Y2113""), $A335=IMPORTRANGE(""https://docs.google.com/spreadsheets/d/1BJSV3WBYJGRhQ6z"&amp;"ExamkszQ5VutGIcaQqmbD9ZTVXMQ/edit#gid=1251630045"",""articles_with_PRISMA_reasons!B2:B2113""))&gt;=2,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$A335=IMPORTRANGE(""https://docs.google.com/spreadsheets/d/1BJSV3WBYJGRhQ6zExamkszQ5VutGIcaQqmbD9ZTVXMQ/edit#gid=1251630045"",""articles_with_PRISMA_reasons!B2:B2113""))&lt;2),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$A335=IMPORTRANGE(""https://docs.google.com/spreadsheets/d/1BJSV3WBYJGRhQ6zExamkszQ5VutGIcaQqmbD9ZTVXMQ/edit#gid=1251630045"",""arti"&amp;"cles_with_PRISMA_reasons!B2:B2113""))&lt;2,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$A335=IMPORTRANGE(""https://docs.google.com"&amp;"/spreadsheets/d/1BJSV3WBYJGRhQ6zExamkszQ5VutGIcaQqmbD9ZTVXMQ/edit#gid=1251630045"",""articles_with_PRISMA_reasons!B2:B2113""))&gt;=2),
""Exclude""
)"),"Exclude")</f>
        <v>Exclude</v>
      </c>
      <c r="E335" s="5" t="str">
        <f>IFERROR(__xludf.DUMMYFUNCTION("IFS(
D335=""Exclude"",""Exclude"",
AND(
FILTER(IMPORTRANGE(""https://docs.google.com/spreadsheets/d/1qpEmbGH0JjaJbUdp21-y2cPbobDbMjr09BbtdKROZWc/edit#gid=1444865654"",""articles_with_PRISMA_reasons!W2:W2113""), $A335=IMPORTRANGE(""https://docs.google.com/"&amp;"spreadsheets/d/1qpEmbGH0JjaJbUdp21-y2cPbobDbMjr09BbtdKROZWc/edit#gid=1444865654"",""articles_with_PRISMA_reasons!B2:B2113""))&gt;=2,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$A335=IMPORTRANGE(""https://docs.google.com/spreadsheets/d/1qpEmbGH0JjaJbUdp21-y2cPbobDbMjr09BbtdKROZWc/edit#gid=1444865654"",""articles_with_PRISMA_reasons!B2:B2113""))&lt;2),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$A335=IMPORTRANGE(""https://docs.google.com/spreadsheets/d/1qpEmbGH0JjaJbUdp21-y2cPbobDbMjr09BbtdKRO"&amp;"ZWc/edit#gid=1444865654"",""articles_with_PRISMA_reasons!B2:B2113""))&lt;2,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$A335=IMPOR"&amp;"TRANGE(""https://docs.google.com/spreadsheets/d/1qpEmbGH0JjaJbUdp21-y2cPbobDbMjr09BbtdKROZWc/edit#gid=1444865654"",""articles_with_PRISMA_reasons!B2:B2113""))&gt;=2),
""Exclude""
)"),"Exclude")</f>
        <v>Exclude</v>
      </c>
      <c r="F335" s="5" t="str">
        <f>IFERROR(__xludf.DUMMYFUNCTION("IFS(
E335=""Exclude"",""Exclude"",
AND(
COUNTIF(
IMPORTRANGE(""https://docs.google.com/spreadsheets/d/1kGrh75X1cNR1D7_FcY9zMnHP8iPO4M5RCRjy6nZY0TY/edit#gid=0"",""Table 1: Study characteristics!B4:B171""),A335)&gt;0,
COUNTIF(Studies!$A$2:$A$85,FILTER(IMPORTRA"&amp;"NGE(""https://docs.google.com/spreadsheets/d/1kGrh75X1cNR1D7_FcY9zMnHP8iPO4M5RCRjy6nZY0TY/edit#gid=0"",""Table 1: Study characteristics!A4:A171""), $A335=IMPORTRANGE(""https://docs.google.com/spreadsheets/d/1kGrh75X1cNR1D7_FcY9zMnHP8iPO4M5RCRjy6nZY0TY/edi"&amp;"t#gid=0"",""Table 1: Study characteristics!B4:B171"")))&gt;0
),
""Include""
)"),"Exclude")</f>
        <v>Exclude</v>
      </c>
      <c r="G335" s="5" t="str">
        <f>IFERROR(__xludf.DUMMYFUNCTION("IFS(
D335=""Exclude"",
FILTER(IMPORTRANGE(""https://docs.google.com/spreadsheets/d/1BJSV3WBYJGRhQ6zExamkszQ5VutGIcaQqmbD9ZTVXMQ/edit#gid=1251630045"",""articles_with_PRISMA_reasons!AB2:AB2113""), $A335=IMPORTRANGE(""https://docs.google.com/spreadsheets/d/"&amp;"1BJSV3WBYJGRhQ6zExamkszQ5VutGIcaQqmbD9ZTVXMQ/edit#gid=1251630045"",""articles_with_PRISMA_reasons!B2:B2113"")),
E335=""Exclude"",
FILTER(IMPORTRANGE(""https://docs.google.com/spreadsheets/d/1qpEmbGH0JjaJbUdp21-y2cPbobDbMjr09BbtdKROZWc/edit#gid=1444865654"&amp;""",""articles_with_PRISMA_reasons!Z2:Z2113""), $A335=IMPORTRANGE(""https://docs.google.com/spreadsheets/d/1qpEmbGH0JjaJbUdp21-y2cPbobDbMjr09BbtdKROZWc/edit#gid=1444865654"",""articles_with_PRISMA_reasons!B2:B2113"")),F335
=""Include"",FILTER(IMPORTRANGE("&amp;"""https://docs.google.com/spreadsheets/d/1kGrh75X1cNR1D7_FcY9zMnHP8iPO4M5RCRjy6nZY0TY/edit#gid=0"",""Table 1: Study characteristics!A4:A171""), $A335=IMPORTRANGE(""https://docs.google.com/spreadsheets/d/1kGrh75X1cNR1D7_FcY9zMnHP8iPO4M5RCRjy6nZY0TY/edit#gi"&amp;"d=0"",""Table 1: Study characteristics!B4:B171""))
)"),"wrong study design")</f>
        <v>wrong study design</v>
      </c>
    </row>
    <row r="336">
      <c r="A336" s="4" t="str">
        <f>IFERROR(__xludf.DUMMYFUNCTION("""COMPUTED_VALUE"""),"Bilateral vocal cord palsy with Arnold Chiari Malformation: A rare case series")</f>
        <v>Bilateral vocal cord palsy with Arnold Chiari Malformation: A rare case series</v>
      </c>
      <c r="B336" s="5" t="str">
        <f>IFERROR(__xludf.DUMMYFUNCTION("LEFT(FILTER(IMPORTRANGE(""https://docs.google.com/spreadsheets/d/1BJSV3WBYJGRhQ6zExamkszQ5VutGIcaQqmbD9ZTVXMQ/edit#gid=1251630045"",""articles_with_PRISMA_reasons!K2:K2113""), $A336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$A336=IMPORTRANGE(""https://docs.google.com/spreadsheets/d/1BJSV3WBYJGRhQ6zExamkszQ5VutGIcaQqmbD9ZTVXMQ/edit#gid=1251630045"",""articles_with_PRISMA_reasons!B2:B2113"")))-1)"),"Arora")</f>
        <v>Arora</v>
      </c>
      <c r="C336" s="6">
        <f>IFERROR(__xludf.DUMMYFUNCTION("FILTER(IMPORTRANGE(""https://docs.google.com/spreadsheets/d/1BJSV3WBYJGRhQ6zExamkszQ5VutGIcaQqmbD9ZTVXMQ/edit#gid=1251630045"",""articles_with_PRISMA_reasons!C2:C2113""), $A336=IMPORTRANGE(""https://docs.google.com/spreadsheets/d/1BJSV3WBYJGRhQ6zExamkszQ5"&amp;"VutGIcaQqmbD9ZTVXMQ/edit#gid=1251630045"",""articles_with_PRISMA_reasons!B2:B2113""))"),2016.0)</f>
        <v>2016</v>
      </c>
      <c r="D336" s="5" t="str">
        <f>IFERROR(__xludf.DUMMYFUNCTION("IFS(AND(
FILTER(IMPORTRANGE(""https://docs.google.com/spreadsheets/d/1BJSV3WBYJGRhQ6zExamkszQ5VutGIcaQqmbD9ZTVXMQ/edit#gid=1251630045"",""articles_with_PRISMA_reasons!Y2:Y2113""), $A336=IMPORTRANGE(""https://docs.google.com/spreadsheets/d/1BJSV3WBYJGRhQ6z"&amp;"ExamkszQ5VutGIcaQqmbD9ZTVXMQ/edit#gid=1251630045"",""articles_with_PRISMA_reasons!B2:B2113""))&gt;=2,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$A336=IMPORTRANGE(""https://docs.google.com/spreadsheets/d/1BJSV3WBYJGRhQ6zExamkszQ5VutGIcaQqmbD9ZTVXMQ/edit#gid=1251630045"",""articles_with_PRISMA_reasons!B2:B2113""))&lt;2),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$A336=IMPORTRANGE(""https://docs.google.com/spreadsheets/d/1BJSV3WBYJGRhQ6zExamkszQ5VutGIcaQqmbD9ZTVXMQ/edit#gid=1251630045"",""arti"&amp;"cles_with_PRISMA_reasons!B2:B2113""))&lt;2,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$A336=IMPORTRANGE(""https://docs.google.com"&amp;"/spreadsheets/d/1BJSV3WBYJGRhQ6zExamkszQ5VutGIcaQqmbD9ZTVXMQ/edit#gid=1251630045"",""articles_with_PRISMA_reasons!B2:B2113""))&gt;=2),
""Exclude""
)"),"Exclude")</f>
        <v>Exclude</v>
      </c>
      <c r="E336" s="5" t="str">
        <f>IFERROR(__xludf.DUMMYFUNCTION("IFS(
D336=""Exclude"",""Exclude"",
AND(
FILTER(IMPORTRANGE(""https://docs.google.com/spreadsheets/d/1qpEmbGH0JjaJbUdp21-y2cPbobDbMjr09BbtdKROZWc/edit#gid=1444865654"",""articles_with_PRISMA_reasons!W2:W2113""), $A336=IMPORTRANGE(""https://docs.google.com/"&amp;"spreadsheets/d/1qpEmbGH0JjaJbUdp21-y2cPbobDbMjr09BbtdKROZWc/edit#gid=1444865654"",""articles_with_PRISMA_reasons!B2:B2113""))&gt;=2,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$A336=IMPORTRANGE(""https://docs.google.com/spreadsheets/d/1qpEmbGH0JjaJbUdp21-y2cPbobDbMjr09BbtdKROZWc/edit#gid=1444865654"",""articles_with_PRISMA_reasons!B2:B2113""))&lt;2),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$A336=IMPORTRANGE(""https://docs.google.com/spreadsheets/d/1qpEmbGH0JjaJbUdp21-y2cPbobDbMjr09BbtdKRO"&amp;"ZWc/edit#gid=1444865654"",""articles_with_PRISMA_reasons!B2:B2113""))&lt;2,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$A336=IMPOR"&amp;"TRANGE(""https://docs.google.com/spreadsheets/d/1qpEmbGH0JjaJbUdp21-y2cPbobDbMjr09BbtdKROZWc/edit#gid=1444865654"",""articles_with_PRISMA_reasons!B2:B2113""))&gt;=2),
""Exclude""
)"),"Exclude")</f>
        <v>Exclude</v>
      </c>
      <c r="F336" s="5" t="str">
        <f>IFERROR(__xludf.DUMMYFUNCTION("IFS(
E336=""Exclude"",""Exclude"",
AND(
COUNTIF(
IMPORTRANGE(""https://docs.google.com/spreadsheets/d/1kGrh75X1cNR1D7_FcY9zMnHP8iPO4M5RCRjy6nZY0TY/edit#gid=0"",""Table 1: Study characteristics!B4:B171""),A336)&gt;0,
COUNTIF(Studies!$A$2:$A$85,FILTER(IMPORTRA"&amp;"NGE(""https://docs.google.com/spreadsheets/d/1kGrh75X1cNR1D7_FcY9zMnHP8iPO4M5RCRjy6nZY0TY/edit#gid=0"",""Table 1: Study characteristics!A4:A171""), $A336=IMPORTRANGE(""https://docs.google.com/spreadsheets/d/1kGrh75X1cNR1D7_FcY9zMnHP8iPO4M5RCRjy6nZY0TY/edi"&amp;"t#gid=0"",""Table 1: Study characteristics!B4:B171"")))&gt;0
),
""Include""
)"),"Exclude")</f>
        <v>Exclude</v>
      </c>
      <c r="G336" s="5" t="str">
        <f>IFERROR(__xludf.DUMMYFUNCTION("IFS(
D336=""Exclude"",
FILTER(IMPORTRANGE(""https://docs.google.com/spreadsheets/d/1BJSV3WBYJGRhQ6zExamkszQ5VutGIcaQqmbD9ZTVXMQ/edit#gid=1251630045"",""articles_with_PRISMA_reasons!AB2:AB2113""), $A336=IMPORTRANGE(""https://docs.google.com/spreadsheets/d/"&amp;"1BJSV3WBYJGRhQ6zExamkszQ5VutGIcaQqmbD9ZTVXMQ/edit#gid=1251630045"",""articles_with_PRISMA_reasons!B2:B2113"")),
E336=""Exclude"",
FILTER(IMPORTRANGE(""https://docs.google.com/spreadsheets/d/1qpEmbGH0JjaJbUdp21-y2cPbobDbMjr09BbtdKROZWc/edit#gid=1444865654"&amp;""",""articles_with_PRISMA_reasons!Z2:Z2113""), $A336=IMPORTRANGE(""https://docs.google.com/spreadsheets/d/1qpEmbGH0JjaJbUdp21-y2cPbobDbMjr09BbtdKROZWc/edit#gid=1444865654"",""articles_with_PRISMA_reasons!B2:B2113"")),F336
=""Include"",FILTER(IMPORTRANGE("&amp;"""https://docs.google.com/spreadsheets/d/1kGrh75X1cNR1D7_FcY9zMnHP8iPO4M5RCRjy6nZY0TY/edit#gid=0"",""Table 1: Study characteristics!A4:A171""), $A336=IMPORTRANGE(""https://docs.google.com/spreadsheets/d/1kGrh75X1cNR1D7_FcY9zMnHP8iPO4M5RCRjy6nZY0TY/edit#gi"&amp;"d=0"",""Table 1: Study characteristics!B4:B171""))
)"),"wrong study design")</f>
        <v>wrong study design</v>
      </c>
    </row>
    <row r="337">
      <c r="A337" s="4" t="str">
        <f>IFERROR(__xludf.DUMMYFUNCTION("""COMPUTED_VALUE"""),"Bilateral vocal cord paralysis in children")</f>
        <v>Bilateral vocal cord paralysis in children</v>
      </c>
      <c r="B337" s="5" t="str">
        <f>IFERROR(__xludf.DUMMYFUNCTION("LEFT(FILTER(IMPORTRANGE(""https://docs.google.com/spreadsheets/d/1BJSV3WBYJGRhQ6zExamkszQ5VutGIcaQqmbD9ZTVXMQ/edit#gid=1251630045"",""articles_with_PRISMA_reasons!K2:K2113""), $A337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$A337=IMPORTRANGE(""https://docs.google.com/spreadsheets/d/1BJSV3WBYJGRhQ6zExamkszQ5VutGIcaQqmbD9ZTVXMQ/edit#gid=1251630045"",""articles_with_PRISMA_reasons!B2:B2113"")))-1)"),"Takamatsu")</f>
        <v>Takamatsu</v>
      </c>
      <c r="C337" s="6">
        <f>IFERROR(__xludf.DUMMYFUNCTION("FILTER(IMPORTRANGE(""https://docs.google.com/spreadsheets/d/1BJSV3WBYJGRhQ6zExamkszQ5VutGIcaQqmbD9ZTVXMQ/edit#gid=1251630045"",""articles_with_PRISMA_reasons!C2:C2113""), $A337=IMPORTRANGE(""https://docs.google.com/spreadsheets/d/1BJSV3WBYJGRhQ6zExamkszQ5"&amp;"VutGIcaQqmbD9ZTVXMQ/edit#gid=1251630045"",""articles_with_PRISMA_reasons!B2:B2113""))"),1996.0)</f>
        <v>1996</v>
      </c>
      <c r="D337" s="5" t="str">
        <f>IFERROR(__xludf.DUMMYFUNCTION("IFS(AND(
FILTER(IMPORTRANGE(""https://docs.google.com/spreadsheets/d/1BJSV3WBYJGRhQ6zExamkszQ5VutGIcaQqmbD9ZTVXMQ/edit#gid=1251630045"",""articles_with_PRISMA_reasons!Y2:Y2113""), $A337=IMPORTRANGE(""https://docs.google.com/spreadsheets/d/1BJSV3WBYJGRhQ6z"&amp;"ExamkszQ5VutGIcaQqmbD9ZTVXMQ/edit#gid=1251630045"",""articles_with_PRISMA_reasons!B2:B2113""))&gt;=2,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$A337=IMPORTRANGE(""https://docs.google.com/spreadsheets/d/1BJSV3WBYJGRhQ6zExamkszQ5VutGIcaQqmbD9ZTVXMQ/edit#gid=1251630045"",""articles_with_PRISMA_reasons!B2:B2113""))&lt;2),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$A337=IMPORTRANGE(""https://docs.google.com/spreadsheets/d/1BJSV3WBYJGRhQ6zExamkszQ5VutGIcaQqmbD9ZTVXMQ/edit#gid=1251630045"",""arti"&amp;"cles_with_PRISMA_reasons!B2:B2113""))&lt;2,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$A337=IMPORTRANGE(""https://docs.google.com"&amp;"/spreadsheets/d/1BJSV3WBYJGRhQ6zExamkszQ5VutGIcaQqmbD9ZTVXMQ/edit#gid=1251630045"",""articles_with_PRISMA_reasons!B2:B2113""))&gt;=2),
""Exclude""
)"),"Exclude")</f>
        <v>Exclude</v>
      </c>
      <c r="E337" s="5" t="str">
        <f>IFERROR(__xludf.DUMMYFUNCTION("IFS(
D337=""Exclude"",""Exclude"",
AND(
FILTER(IMPORTRANGE(""https://docs.google.com/spreadsheets/d/1qpEmbGH0JjaJbUdp21-y2cPbobDbMjr09BbtdKROZWc/edit#gid=1444865654"",""articles_with_PRISMA_reasons!W2:W2113""), $A337=IMPORTRANGE(""https://docs.google.com/"&amp;"spreadsheets/d/1qpEmbGH0JjaJbUdp21-y2cPbobDbMjr09BbtdKROZWc/edit#gid=1444865654"",""articles_with_PRISMA_reasons!B2:B2113""))&gt;=2,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$A337=IMPORTRANGE(""https://docs.google.com/spreadsheets/d/1qpEmbGH0JjaJbUdp21-y2cPbobDbMjr09BbtdKROZWc/edit#gid=1444865654"",""articles_with_PRISMA_reasons!B2:B2113""))&lt;2),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$A337=IMPORTRANGE(""https://docs.google.com/spreadsheets/d/1qpEmbGH0JjaJbUdp21-y2cPbobDbMjr09BbtdKRO"&amp;"ZWc/edit#gid=1444865654"",""articles_with_PRISMA_reasons!B2:B2113""))&lt;2,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$A337=IMPOR"&amp;"TRANGE(""https://docs.google.com/spreadsheets/d/1qpEmbGH0JjaJbUdp21-y2cPbobDbMjr09BbtdKROZWc/edit#gid=1444865654"",""articles_with_PRISMA_reasons!B2:B2113""))&gt;=2),
""Exclude""
)"),"Exclude")</f>
        <v>Exclude</v>
      </c>
      <c r="F337" s="5" t="str">
        <f>IFERROR(__xludf.DUMMYFUNCTION("IFS(
E337=""Exclude"",""Exclude"",
AND(
COUNTIF(
IMPORTRANGE(""https://docs.google.com/spreadsheets/d/1kGrh75X1cNR1D7_FcY9zMnHP8iPO4M5RCRjy6nZY0TY/edit#gid=0"",""Table 1: Study characteristics!B4:B171""),A337)&gt;0,
COUNTIF(Studies!$A$2:$A$85,FILTER(IMPORTRA"&amp;"NGE(""https://docs.google.com/spreadsheets/d/1kGrh75X1cNR1D7_FcY9zMnHP8iPO4M5RCRjy6nZY0TY/edit#gid=0"",""Table 1: Study characteristics!A4:A171""), $A337=IMPORTRANGE(""https://docs.google.com/spreadsheets/d/1kGrh75X1cNR1D7_FcY9zMnHP8iPO4M5RCRjy6nZY0TY/edi"&amp;"t#gid=0"",""Table 1: Study characteristics!B4:B171"")))&gt;0
),
""Include""
)"),"Exclude")</f>
        <v>Exclude</v>
      </c>
      <c r="G337" s="5" t="str">
        <f>IFERROR(__xludf.DUMMYFUNCTION("IFS(
D337=""Exclude"",
FILTER(IMPORTRANGE(""https://docs.google.com/spreadsheets/d/1BJSV3WBYJGRhQ6zExamkszQ5VutGIcaQqmbD9ZTVXMQ/edit#gid=1251630045"",""articles_with_PRISMA_reasons!AB2:AB2113""), $A337=IMPORTRANGE(""https://docs.google.com/spreadsheets/d/"&amp;"1BJSV3WBYJGRhQ6zExamkszQ5VutGIcaQqmbD9ZTVXMQ/edit#gid=1251630045"",""articles_with_PRISMA_reasons!B2:B2113"")),
E337=""Exclude"",
FILTER(IMPORTRANGE(""https://docs.google.com/spreadsheets/d/1qpEmbGH0JjaJbUdp21-y2cPbobDbMjr09BbtdKROZWc/edit#gid=1444865654"&amp;""",""articles_with_PRISMA_reasons!Z2:Z2113""), $A337=IMPORTRANGE(""https://docs.google.com/spreadsheets/d/1qpEmbGH0JjaJbUdp21-y2cPbobDbMjr09BbtdKROZWc/edit#gid=1444865654"",""articles_with_PRISMA_reasons!B2:B2113"")),F337
=""Include"",FILTER(IMPORTRANGE("&amp;"""https://docs.google.com/spreadsheets/d/1kGrh75X1cNR1D7_FcY9zMnHP8iPO4M5RCRjy6nZY0TY/edit#gid=0"",""Table 1: Study characteristics!A4:A171""), $A337=IMPORTRANGE(""https://docs.google.com/spreadsheets/d/1kGrh75X1cNR1D7_FcY9zMnHP8iPO4M5RCRjy6nZY0TY/edit#gi"&amp;"d=0"",""Table 1: Study characteristics!B4:B171""))
)"),"wrong population")</f>
        <v>wrong population</v>
      </c>
    </row>
    <row r="338">
      <c r="A338" s="4" t="str">
        <f>IFERROR(__xludf.DUMMYFUNCTION("""COMPUTED_VALUE"""),"Bilateral vocal cord paralysis in newborns with neuraxial malformations--two case reports")</f>
        <v>Bilateral vocal cord paralysis in newborns with neuraxial malformations--two case reports</v>
      </c>
      <c r="B338" s="5" t="str">
        <f>IFERROR(__xludf.DUMMYFUNCTION("LEFT(FILTER(IMPORTRANGE(""https://docs.google.com/spreadsheets/d/1BJSV3WBYJGRhQ6zExamkszQ5VutGIcaQqmbD9ZTVXMQ/edit#gid=1251630045"",""articles_with_PRISMA_reasons!K2:K2113""), $A338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$A338=IMPORTRANGE(""https://docs.google.com/spreadsheets/d/1BJSV3WBYJGRhQ6zExamkszQ5VutGIcaQqmbD9ZTVXMQ/edit#gid=1251630045"",""articles_with_PRISMA_reasons!B2:B2113"")))-1)"),"Gulcan")</f>
        <v>Gulcan</v>
      </c>
      <c r="C338" s="6">
        <f>IFERROR(__xludf.DUMMYFUNCTION("FILTER(IMPORTRANGE(""https://docs.google.com/spreadsheets/d/1BJSV3WBYJGRhQ6zExamkszQ5VutGIcaQqmbD9ZTVXMQ/edit#gid=1251630045"",""articles_with_PRISMA_reasons!C2:C2113""), $A338=IMPORTRANGE(""https://docs.google.com/spreadsheets/d/1BJSV3WBYJGRhQ6zExamkszQ5"&amp;"VutGIcaQqmbD9ZTVXMQ/edit#gid=1251630045"",""articles_with_PRISMA_reasons!B2:B2113""))"),2005.0)</f>
        <v>2005</v>
      </c>
      <c r="D338" s="5" t="str">
        <f>IFERROR(__xludf.DUMMYFUNCTION("IFS(AND(
FILTER(IMPORTRANGE(""https://docs.google.com/spreadsheets/d/1BJSV3WBYJGRhQ6zExamkszQ5VutGIcaQqmbD9ZTVXMQ/edit#gid=1251630045"",""articles_with_PRISMA_reasons!Y2:Y2113""), $A338=IMPORTRANGE(""https://docs.google.com/spreadsheets/d/1BJSV3WBYJGRhQ6z"&amp;"ExamkszQ5VutGIcaQqmbD9ZTVXMQ/edit#gid=1251630045"",""articles_with_PRISMA_reasons!B2:B2113""))&gt;=2,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$A338=IMPORTRANGE(""https://docs.google.com/spreadsheets/d/1BJSV3WBYJGRhQ6zExamkszQ5VutGIcaQqmbD9ZTVXMQ/edit#gid=1251630045"",""articles_with_PRISMA_reasons!B2:B2113""))&lt;2),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$A338=IMPORTRANGE(""https://docs.google.com/spreadsheets/d/1BJSV3WBYJGRhQ6zExamkszQ5VutGIcaQqmbD9ZTVXMQ/edit#gid=1251630045"",""arti"&amp;"cles_with_PRISMA_reasons!B2:B2113""))&lt;2,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$A338=IMPORTRANGE(""https://docs.google.com"&amp;"/spreadsheets/d/1BJSV3WBYJGRhQ6zExamkszQ5VutGIcaQqmbD9ZTVXMQ/edit#gid=1251630045"",""articles_with_PRISMA_reasons!B2:B2113""))&gt;=2),
""Exclude""
)"),"Exclude")</f>
        <v>Exclude</v>
      </c>
      <c r="E338" s="5" t="str">
        <f>IFERROR(__xludf.DUMMYFUNCTION("IFS(
D338=""Exclude"",""Exclude"",
AND(
FILTER(IMPORTRANGE(""https://docs.google.com/spreadsheets/d/1qpEmbGH0JjaJbUdp21-y2cPbobDbMjr09BbtdKROZWc/edit#gid=1444865654"",""articles_with_PRISMA_reasons!W2:W2113""), $A338=IMPORTRANGE(""https://docs.google.com/"&amp;"spreadsheets/d/1qpEmbGH0JjaJbUdp21-y2cPbobDbMjr09BbtdKROZWc/edit#gid=1444865654"",""articles_with_PRISMA_reasons!B2:B2113""))&gt;=2,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$A338=IMPORTRANGE(""https://docs.google.com/spreadsheets/d/1qpEmbGH0JjaJbUdp21-y2cPbobDbMjr09BbtdKROZWc/edit#gid=1444865654"",""articles_with_PRISMA_reasons!B2:B2113""))&lt;2),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$A338=IMPORTRANGE(""https://docs.google.com/spreadsheets/d/1qpEmbGH0JjaJbUdp21-y2cPbobDbMjr09BbtdKRO"&amp;"ZWc/edit#gid=1444865654"",""articles_with_PRISMA_reasons!B2:B2113""))&lt;2,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$A338=IMPOR"&amp;"TRANGE(""https://docs.google.com/spreadsheets/d/1qpEmbGH0JjaJbUdp21-y2cPbobDbMjr09BbtdKROZWc/edit#gid=1444865654"",""articles_with_PRISMA_reasons!B2:B2113""))&gt;=2),
""Exclude""
)"),"Exclude")</f>
        <v>Exclude</v>
      </c>
      <c r="F338" s="5" t="str">
        <f>IFERROR(__xludf.DUMMYFUNCTION("IFS(
E338=""Exclude"",""Exclude"",
AND(
COUNTIF(
IMPORTRANGE(""https://docs.google.com/spreadsheets/d/1kGrh75X1cNR1D7_FcY9zMnHP8iPO4M5RCRjy6nZY0TY/edit#gid=0"",""Table 1: Study characteristics!B4:B171""),A338)&gt;0,
COUNTIF(Studies!$A$2:$A$85,FILTER(IMPORTRA"&amp;"NGE(""https://docs.google.com/spreadsheets/d/1kGrh75X1cNR1D7_FcY9zMnHP8iPO4M5RCRjy6nZY0TY/edit#gid=0"",""Table 1: Study characteristics!A4:A171""), $A338=IMPORTRANGE(""https://docs.google.com/spreadsheets/d/1kGrh75X1cNR1D7_FcY9zMnHP8iPO4M5RCRjy6nZY0TY/edi"&amp;"t#gid=0"",""Table 1: Study characteristics!B4:B171"")))&gt;0
),
""Include""
)"),"Exclude")</f>
        <v>Exclude</v>
      </c>
      <c r="G338" s="5" t="str">
        <f>IFERROR(__xludf.DUMMYFUNCTION("IFS(
D338=""Exclude"",
FILTER(IMPORTRANGE(""https://docs.google.com/spreadsheets/d/1BJSV3WBYJGRhQ6zExamkszQ5VutGIcaQqmbD9ZTVXMQ/edit#gid=1251630045"",""articles_with_PRISMA_reasons!AB2:AB2113""), $A338=IMPORTRANGE(""https://docs.google.com/spreadsheets/d/"&amp;"1BJSV3WBYJGRhQ6zExamkszQ5VutGIcaQqmbD9ZTVXMQ/edit#gid=1251630045"",""articles_with_PRISMA_reasons!B2:B2113"")),
E338=""Exclude"",
FILTER(IMPORTRANGE(""https://docs.google.com/spreadsheets/d/1qpEmbGH0JjaJbUdp21-y2cPbobDbMjr09BbtdKROZWc/edit#gid=1444865654"&amp;""",""articles_with_PRISMA_reasons!Z2:Z2113""), $A338=IMPORTRANGE(""https://docs.google.com/spreadsheets/d/1qpEmbGH0JjaJbUdp21-y2cPbobDbMjr09BbtdKROZWc/edit#gid=1444865654"",""articles_with_PRISMA_reasons!B2:B2113"")),F338
=""Include"",FILTER(IMPORTRANGE("&amp;"""https://docs.google.com/spreadsheets/d/1kGrh75X1cNR1D7_FcY9zMnHP8iPO4M5RCRjy6nZY0TY/edit#gid=0"",""Table 1: Study characteristics!A4:A171""), $A338=IMPORTRANGE(""https://docs.google.com/spreadsheets/d/1kGrh75X1cNR1D7_FcY9zMnHP8iPO4M5RCRjy6nZY0TY/edit#gi"&amp;"d=0"",""Table 1: Study characteristics!B4:B171""))
)"),"wrong population")</f>
        <v>wrong population</v>
      </c>
    </row>
    <row r="339">
      <c r="A339" s="4" t="str">
        <f>IFERROR(__xludf.DUMMYFUNCTION("""COMPUTED_VALUE"""),"Bioethics in practice - a quarterly column about medical ethics: MOMS, moms, and their babies")</f>
        <v>Bioethics in practice - a quarterly column about medical ethics: MOMS, moms, and their babies</v>
      </c>
      <c r="B339" s="5" t="str">
        <f>IFERROR(__xludf.DUMMYFUNCTION("LEFT(FILTER(IMPORTRANGE(""https://docs.google.com/spreadsheets/d/1BJSV3WBYJGRhQ6zExamkszQ5VutGIcaQqmbD9ZTVXMQ/edit#gid=1251630045"",""articles_with_PRISMA_reasons!K2:K2113""), $A339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$A339=IMPORTRANGE(""https://docs.google.com/spreadsheets/d/1BJSV3WBYJGRhQ6zExamkszQ5VutGIcaQqmbD9ZTVXMQ/edit#gid=1251630045"",""articles_with_PRISMA_reasons!B2:B2113"")))-1)"),"White")</f>
        <v>White</v>
      </c>
      <c r="C339" s="6">
        <f>IFERROR(__xludf.DUMMYFUNCTION("FILTER(IMPORTRANGE(""https://docs.google.com/spreadsheets/d/1BJSV3WBYJGRhQ6zExamkszQ5VutGIcaQqmbD9ZTVXMQ/edit#gid=1251630045"",""articles_with_PRISMA_reasons!C2:C2113""), $A339=IMPORTRANGE(""https://docs.google.com/spreadsheets/d/1BJSV3WBYJGRhQ6zExamkszQ5"&amp;"VutGIcaQqmbD9ZTVXMQ/edit#gid=1251630045"",""articles_with_PRISMA_reasons!B2:B2113""))"),2014.0)</f>
        <v>2014</v>
      </c>
      <c r="D339" s="5" t="str">
        <f>IFERROR(__xludf.DUMMYFUNCTION("IFS(AND(
FILTER(IMPORTRANGE(""https://docs.google.com/spreadsheets/d/1BJSV3WBYJGRhQ6zExamkszQ5VutGIcaQqmbD9ZTVXMQ/edit#gid=1251630045"",""articles_with_PRISMA_reasons!Y2:Y2113""), $A339=IMPORTRANGE(""https://docs.google.com/spreadsheets/d/1BJSV3WBYJGRhQ6z"&amp;"ExamkszQ5VutGIcaQqmbD9ZTVXMQ/edit#gid=1251630045"",""articles_with_PRISMA_reasons!B2:B2113""))&gt;=2,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$A339=IMPORTRANGE(""https://docs.google.com/spreadsheets/d/1BJSV3WBYJGRhQ6zExamkszQ5VutGIcaQqmbD9ZTVXMQ/edit#gid=1251630045"",""articles_with_PRISMA_reasons!B2:B2113""))&lt;2),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$A339=IMPORTRANGE(""https://docs.google.com/spreadsheets/d/1BJSV3WBYJGRhQ6zExamkszQ5VutGIcaQqmbD9ZTVXMQ/edit#gid=1251630045"",""arti"&amp;"cles_with_PRISMA_reasons!B2:B2113""))&lt;2,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$A339=IMPORTRANGE(""https://docs.google.com"&amp;"/spreadsheets/d/1BJSV3WBYJGRhQ6zExamkszQ5VutGIcaQqmbD9ZTVXMQ/edit#gid=1251630045"",""articles_with_PRISMA_reasons!B2:B2113""))&gt;=2),
""Exclude""
)"),"Exclude")</f>
        <v>Exclude</v>
      </c>
      <c r="E339" s="5" t="str">
        <f>IFERROR(__xludf.DUMMYFUNCTION("IFS(
D339=""Exclude"",""Exclude"",
AND(
FILTER(IMPORTRANGE(""https://docs.google.com/spreadsheets/d/1qpEmbGH0JjaJbUdp21-y2cPbobDbMjr09BbtdKROZWc/edit#gid=1444865654"",""articles_with_PRISMA_reasons!W2:W2113""), $A339=IMPORTRANGE(""https://docs.google.com/"&amp;"spreadsheets/d/1qpEmbGH0JjaJbUdp21-y2cPbobDbMjr09BbtdKROZWc/edit#gid=1444865654"",""articles_with_PRISMA_reasons!B2:B2113""))&gt;=2,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$A339=IMPORTRANGE(""https://docs.google.com/spreadsheets/d/1qpEmbGH0JjaJbUdp21-y2cPbobDbMjr09BbtdKROZWc/edit#gid=1444865654"",""articles_with_PRISMA_reasons!B2:B2113""))&lt;2),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$A339=IMPORTRANGE(""https://docs.google.com/spreadsheets/d/1qpEmbGH0JjaJbUdp21-y2cPbobDbMjr09BbtdKRO"&amp;"ZWc/edit#gid=1444865654"",""articles_with_PRISMA_reasons!B2:B2113""))&lt;2,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$A339=IMPOR"&amp;"TRANGE(""https://docs.google.com/spreadsheets/d/1qpEmbGH0JjaJbUdp21-y2cPbobDbMjr09BbtdKROZWc/edit#gid=1444865654"",""articles_with_PRISMA_reasons!B2:B2113""))&gt;=2),
""Exclude""
)"),"Exclude")</f>
        <v>Exclude</v>
      </c>
      <c r="F339" s="5" t="str">
        <f>IFERROR(__xludf.DUMMYFUNCTION("IFS(
E339=""Exclude"",""Exclude"",
AND(
COUNTIF(
IMPORTRANGE(""https://docs.google.com/spreadsheets/d/1kGrh75X1cNR1D7_FcY9zMnHP8iPO4M5RCRjy6nZY0TY/edit#gid=0"",""Table 1: Study characteristics!B4:B171""),A339)&gt;0,
COUNTIF(Studies!$A$2:$A$85,FILTER(IMPORTRA"&amp;"NGE(""https://docs.google.com/spreadsheets/d/1kGrh75X1cNR1D7_FcY9zMnHP8iPO4M5RCRjy6nZY0TY/edit#gid=0"",""Table 1: Study characteristics!A4:A171""), $A339=IMPORTRANGE(""https://docs.google.com/spreadsheets/d/1kGrh75X1cNR1D7_FcY9zMnHP8iPO4M5RCRjy6nZY0TY/edi"&amp;"t#gid=0"",""Table 1: Study characteristics!B4:B171"")))&gt;0
),
""Include""
)"),"Exclude")</f>
        <v>Exclude</v>
      </c>
      <c r="G339" s="5" t="str">
        <f>IFERROR(__xludf.DUMMYFUNCTION("IFS(
D339=""Exclude"",
FILTER(IMPORTRANGE(""https://docs.google.com/spreadsheets/d/1BJSV3WBYJGRhQ6zExamkszQ5VutGIcaQqmbD9ZTVXMQ/edit#gid=1251630045"",""articles_with_PRISMA_reasons!AB2:AB2113""), $A339=IMPORTRANGE(""https://docs.google.com/spreadsheets/d/"&amp;"1BJSV3WBYJGRhQ6zExamkszQ5VutGIcaQqmbD9ZTVXMQ/edit#gid=1251630045"",""articles_with_PRISMA_reasons!B2:B2113"")),
E339=""Exclude"",
FILTER(IMPORTRANGE(""https://docs.google.com/spreadsheets/d/1qpEmbGH0JjaJbUdp21-y2cPbobDbMjr09BbtdKROZWc/edit#gid=1444865654"&amp;""",""articles_with_PRISMA_reasons!Z2:Z2113""), $A339=IMPORTRANGE(""https://docs.google.com/spreadsheets/d/1qpEmbGH0JjaJbUdp21-y2cPbobDbMjr09BbtdKROZWc/edit#gid=1444865654"",""articles_with_PRISMA_reasons!B2:B2113"")),F339
=""Include"",FILTER(IMPORTRANGE("&amp;"""https://docs.google.com/spreadsheets/d/1kGrh75X1cNR1D7_FcY9zMnHP8iPO4M5RCRjy6nZY0TY/edit#gid=0"",""Table 1: Study characteristics!A4:A171""), $A339=IMPORTRANGE(""https://docs.google.com/spreadsheets/d/1kGrh75X1cNR1D7_FcY9zMnHP8iPO4M5RCRjy6nZY0TY/edit#gi"&amp;"d=0"",""Table 1: Study characteristics!B4:B171""))
)"),"wrong study design")</f>
        <v>wrong study design</v>
      </c>
    </row>
    <row r="340">
      <c r="A340" s="4" t="str">
        <f>IFERROR(__xludf.DUMMYFUNCTION("""COMPUTED_VALUE"""),"Biomaterials in fetal surgery")</f>
        <v>Biomaterials in fetal surgery</v>
      </c>
      <c r="B340" s="5" t="str">
        <f>IFERROR(__xludf.DUMMYFUNCTION("LEFT(FILTER(IMPORTRANGE(""https://docs.google.com/spreadsheets/d/1BJSV3WBYJGRhQ6zExamkszQ5VutGIcaQqmbD9ZTVXMQ/edit#gid=1251630045"",""articles_with_PRISMA_reasons!K2:K2113""), $A340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$A340=IMPORTRANGE(""https://docs.google.com/spreadsheets/d/1BJSV3WBYJGRhQ6zExamkszQ5VutGIcaQqmbD9ZTVXMQ/edit#gid=1251630045"",""articles_with_PRISMA_reasons!B2:B2113"")))-1)"),"Winkler")</f>
        <v>Winkler</v>
      </c>
      <c r="C340" s="6">
        <f>IFERROR(__xludf.DUMMYFUNCTION("FILTER(IMPORTRANGE(""https://docs.google.com/spreadsheets/d/1BJSV3WBYJGRhQ6zExamkszQ5VutGIcaQqmbD9ZTVXMQ/edit#gid=1251630045"",""articles_with_PRISMA_reasons!C2:C2113""), $A340=IMPORTRANGE(""https://docs.google.com/spreadsheets/d/1BJSV3WBYJGRhQ6zExamkszQ5"&amp;"VutGIcaQqmbD9ZTVXMQ/edit#gid=1251630045"",""articles_with_PRISMA_reasons!B2:B2113""))"),2019.0)</f>
        <v>2019</v>
      </c>
      <c r="D340" s="5" t="str">
        <f>IFERROR(__xludf.DUMMYFUNCTION("IFS(AND(
FILTER(IMPORTRANGE(""https://docs.google.com/spreadsheets/d/1BJSV3WBYJGRhQ6zExamkszQ5VutGIcaQqmbD9ZTVXMQ/edit#gid=1251630045"",""articles_with_PRISMA_reasons!Y2:Y2113""), $A340=IMPORTRANGE(""https://docs.google.com/spreadsheets/d/1BJSV3WBYJGRhQ6z"&amp;"ExamkszQ5VutGIcaQqmbD9ZTVXMQ/edit#gid=1251630045"",""articles_with_PRISMA_reasons!B2:B2113""))&gt;=2,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$A340=IMPORTRANGE(""https://docs.google.com/spreadsheets/d/1BJSV3WBYJGRhQ6zExamkszQ5VutGIcaQqmbD9ZTVXMQ/edit#gid=1251630045"",""articles_with_PRISMA_reasons!B2:B2113""))&lt;2),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$A340=IMPORTRANGE(""https://docs.google.com/spreadsheets/d/1BJSV3WBYJGRhQ6zExamkszQ5VutGIcaQqmbD9ZTVXMQ/edit#gid=1251630045"",""arti"&amp;"cles_with_PRISMA_reasons!B2:B2113""))&lt;2,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$A340=IMPORTRANGE(""https://docs.google.com"&amp;"/spreadsheets/d/1BJSV3WBYJGRhQ6zExamkszQ5VutGIcaQqmbD9ZTVXMQ/edit#gid=1251630045"",""articles_with_PRISMA_reasons!B2:B2113""))&gt;=2),
""Exclude""
)"),"Exclude")</f>
        <v>Exclude</v>
      </c>
      <c r="E340" s="5" t="str">
        <f>IFERROR(__xludf.DUMMYFUNCTION("IFS(
D340=""Exclude"",""Exclude"",
AND(
FILTER(IMPORTRANGE(""https://docs.google.com/spreadsheets/d/1qpEmbGH0JjaJbUdp21-y2cPbobDbMjr09BbtdKROZWc/edit#gid=1444865654"",""articles_with_PRISMA_reasons!W2:W2113""), $A340=IMPORTRANGE(""https://docs.google.com/"&amp;"spreadsheets/d/1qpEmbGH0JjaJbUdp21-y2cPbobDbMjr09BbtdKROZWc/edit#gid=1444865654"",""articles_with_PRISMA_reasons!B2:B2113""))&gt;=2,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$A340=IMPORTRANGE(""https://docs.google.com/spreadsheets/d/1qpEmbGH0JjaJbUdp21-y2cPbobDbMjr09BbtdKROZWc/edit#gid=1444865654"",""articles_with_PRISMA_reasons!B2:B2113""))&lt;2),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$A340=IMPORTRANGE(""https://docs.google.com/spreadsheets/d/1qpEmbGH0JjaJbUdp21-y2cPbobDbMjr09BbtdKRO"&amp;"ZWc/edit#gid=1444865654"",""articles_with_PRISMA_reasons!B2:B2113""))&lt;2,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$A340=IMPOR"&amp;"TRANGE(""https://docs.google.com/spreadsheets/d/1qpEmbGH0JjaJbUdp21-y2cPbobDbMjr09BbtdKROZWc/edit#gid=1444865654"",""articles_with_PRISMA_reasons!B2:B2113""))&gt;=2),
""Exclude""
)"),"Exclude")</f>
        <v>Exclude</v>
      </c>
      <c r="F340" s="5" t="str">
        <f>IFERROR(__xludf.DUMMYFUNCTION("IFS(
E340=""Exclude"",""Exclude"",
AND(
COUNTIF(
IMPORTRANGE(""https://docs.google.com/spreadsheets/d/1kGrh75X1cNR1D7_FcY9zMnHP8iPO4M5RCRjy6nZY0TY/edit#gid=0"",""Table 1: Study characteristics!B4:B171""),A340)&gt;0,
COUNTIF(Studies!$A$2:$A$85,FILTER(IMPORTRA"&amp;"NGE(""https://docs.google.com/spreadsheets/d/1kGrh75X1cNR1D7_FcY9zMnHP8iPO4M5RCRjy6nZY0TY/edit#gid=0"",""Table 1: Study characteristics!A4:A171""), $A340=IMPORTRANGE(""https://docs.google.com/spreadsheets/d/1kGrh75X1cNR1D7_FcY9zMnHP8iPO4M5RCRjy6nZY0TY/edi"&amp;"t#gid=0"",""Table 1: Study characteristics!B4:B171"")))&gt;0
),
""Include""
)"),"Exclude")</f>
        <v>Exclude</v>
      </c>
      <c r="G340" s="5" t="str">
        <f>IFERROR(__xludf.DUMMYFUNCTION("IFS(
D340=""Exclude"",
FILTER(IMPORTRANGE(""https://docs.google.com/spreadsheets/d/1BJSV3WBYJGRhQ6zExamkszQ5VutGIcaQqmbD9ZTVXMQ/edit#gid=1251630045"",""articles_with_PRISMA_reasons!AB2:AB2113""), $A340=IMPORTRANGE(""https://docs.google.com/spreadsheets/d/"&amp;"1BJSV3WBYJGRhQ6zExamkszQ5VutGIcaQqmbD9ZTVXMQ/edit#gid=1251630045"",""articles_with_PRISMA_reasons!B2:B2113"")),
E340=""Exclude"",
FILTER(IMPORTRANGE(""https://docs.google.com/spreadsheets/d/1qpEmbGH0JjaJbUdp21-y2cPbobDbMjr09BbtdKROZWc/edit#gid=1444865654"&amp;""",""articles_with_PRISMA_reasons!Z2:Z2113""), $A340=IMPORTRANGE(""https://docs.google.com/spreadsheets/d/1qpEmbGH0JjaJbUdp21-y2cPbobDbMjr09BbtdKROZWc/edit#gid=1444865654"",""articles_with_PRISMA_reasons!B2:B2113"")),F340
=""Include"",FILTER(IMPORTRANGE("&amp;"""https://docs.google.com/spreadsheets/d/1kGrh75X1cNR1D7_FcY9zMnHP8iPO4M5RCRjy6nZY0TY/edit#gid=0"",""Table 1: Study characteristics!A4:A171""), $A340=IMPORTRANGE(""https://docs.google.com/spreadsheets/d/1kGrh75X1cNR1D7_FcY9zMnHP8iPO4M5RCRjy6nZY0TY/edit#gi"&amp;"d=0"",""Table 1: Study characteristics!B4:B171""))
)"),"wrong study design")</f>
        <v>wrong study design</v>
      </c>
    </row>
    <row r="341">
      <c r="A341" s="4" t="str">
        <f>IFERROR(__xludf.DUMMYFUNCTION("""COMPUTED_VALUE"""),"Birth Defects Associated With Congenital Zika Virus Infection in Mexico")</f>
        <v>Birth Defects Associated With Congenital Zika Virus Infection in Mexico</v>
      </c>
      <c r="B341" s="5" t="str">
        <f>IFERROR(__xludf.DUMMYFUNCTION("LEFT(FILTER(IMPORTRANGE(""https://docs.google.com/spreadsheets/d/1BJSV3WBYJGRhQ6zExamkszQ5VutGIcaQqmbD9ZTVXMQ/edit#gid=1251630045"",""articles_with_PRISMA_reasons!K2:K2113""), $A341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$A341=IMPORTRANGE(""https://docs.google.com/spreadsheets/d/1BJSV3WBYJGRhQ6zExamkszQ5VutGIcaQqmbD9ZTVXMQ/edit#gid=1251630045"",""articles_with_PRISMA_reasons!B2:B2113"")))-1)"),"Pacheco-Tugores")</f>
        <v>Pacheco-Tugores</v>
      </c>
      <c r="C341" s="6">
        <f>IFERROR(__xludf.DUMMYFUNCTION("FILTER(IMPORTRANGE(""https://docs.google.com/spreadsheets/d/1BJSV3WBYJGRhQ6zExamkszQ5VutGIcaQqmbD9ZTVXMQ/edit#gid=1251630045"",""articles_with_PRISMA_reasons!C2:C2113""), $A341=IMPORTRANGE(""https://docs.google.com/spreadsheets/d/1BJSV3WBYJGRhQ6zExamkszQ5"&amp;"VutGIcaQqmbD9ZTVXMQ/edit#gid=1251630045"",""articles_with_PRISMA_reasons!B2:B2113""))"),2018.0)</f>
        <v>2018</v>
      </c>
      <c r="D341" s="5" t="str">
        <f>IFERROR(__xludf.DUMMYFUNCTION("IFS(AND(
FILTER(IMPORTRANGE(""https://docs.google.com/spreadsheets/d/1BJSV3WBYJGRhQ6zExamkszQ5VutGIcaQqmbD9ZTVXMQ/edit#gid=1251630045"",""articles_with_PRISMA_reasons!Y2:Y2113""), $A341=IMPORTRANGE(""https://docs.google.com/spreadsheets/d/1BJSV3WBYJGRhQ6z"&amp;"ExamkszQ5VutGIcaQqmbD9ZTVXMQ/edit#gid=1251630045"",""articles_with_PRISMA_reasons!B2:B2113""))&gt;=2,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$A341=IMPORTRANGE(""https://docs.google.com/spreadsheets/d/1BJSV3WBYJGRhQ6zExamkszQ5VutGIcaQqmbD9ZTVXMQ/edit#gid=1251630045"",""articles_with_PRISMA_reasons!B2:B2113""))&lt;2),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$A341=IMPORTRANGE(""https://docs.google.com/spreadsheets/d/1BJSV3WBYJGRhQ6zExamkszQ5VutGIcaQqmbD9ZTVXMQ/edit#gid=1251630045"",""arti"&amp;"cles_with_PRISMA_reasons!B2:B2113""))&lt;2,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$A341=IMPORTRANGE(""https://docs.google.com"&amp;"/spreadsheets/d/1BJSV3WBYJGRhQ6zExamkszQ5VutGIcaQqmbD9ZTVXMQ/edit#gid=1251630045"",""articles_with_PRISMA_reasons!B2:B2113""))&gt;=2),
""Exclude""
)"),"Exclude")</f>
        <v>Exclude</v>
      </c>
      <c r="E341" s="5" t="str">
        <f>IFERROR(__xludf.DUMMYFUNCTION("IFS(
D341=""Exclude"",""Exclude"",
AND(
FILTER(IMPORTRANGE(""https://docs.google.com/spreadsheets/d/1qpEmbGH0JjaJbUdp21-y2cPbobDbMjr09BbtdKROZWc/edit#gid=1444865654"",""articles_with_PRISMA_reasons!W2:W2113""), $A341=IMPORTRANGE(""https://docs.google.com/"&amp;"spreadsheets/d/1qpEmbGH0JjaJbUdp21-y2cPbobDbMjr09BbtdKROZWc/edit#gid=1444865654"",""articles_with_PRISMA_reasons!B2:B2113""))&gt;=2,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$A341=IMPORTRANGE(""https://docs.google.com/spreadsheets/d/1qpEmbGH0JjaJbUdp21-y2cPbobDbMjr09BbtdKROZWc/edit#gid=1444865654"",""articles_with_PRISMA_reasons!B2:B2113""))&lt;2),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$A341=IMPORTRANGE(""https://docs.google.com/spreadsheets/d/1qpEmbGH0JjaJbUdp21-y2cPbobDbMjr09BbtdKRO"&amp;"ZWc/edit#gid=1444865654"",""articles_with_PRISMA_reasons!B2:B2113""))&lt;2,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$A341=IMPOR"&amp;"TRANGE(""https://docs.google.com/spreadsheets/d/1qpEmbGH0JjaJbUdp21-y2cPbobDbMjr09BbtdKROZWc/edit#gid=1444865654"",""articles_with_PRISMA_reasons!B2:B2113""))&gt;=2),
""Exclude""
)"),"Exclude")</f>
        <v>Exclude</v>
      </c>
      <c r="F341" s="5" t="str">
        <f>IFERROR(__xludf.DUMMYFUNCTION("IFS(
E341=""Exclude"",""Exclude"",
AND(
COUNTIF(
IMPORTRANGE(""https://docs.google.com/spreadsheets/d/1kGrh75X1cNR1D7_FcY9zMnHP8iPO4M5RCRjy6nZY0TY/edit#gid=0"",""Table 1: Study characteristics!B4:B171""),A341)&gt;0,
COUNTIF(Studies!$A$2:$A$85,FILTER(IMPORTRA"&amp;"NGE(""https://docs.google.com/spreadsheets/d/1kGrh75X1cNR1D7_FcY9zMnHP8iPO4M5RCRjy6nZY0TY/edit#gid=0"",""Table 1: Study characteristics!A4:A171""), $A341=IMPORTRANGE(""https://docs.google.com/spreadsheets/d/1kGrh75X1cNR1D7_FcY9zMnHP8iPO4M5RCRjy6nZY0TY/edi"&amp;"t#gid=0"",""Table 1: Study characteristics!B4:B171"")))&gt;0
),
""Include""
)"),"Exclude")</f>
        <v>Exclude</v>
      </c>
      <c r="G341" s="5" t="str">
        <f>IFERROR(__xludf.DUMMYFUNCTION("IFS(
D341=""Exclude"",
FILTER(IMPORTRANGE(""https://docs.google.com/spreadsheets/d/1BJSV3WBYJGRhQ6zExamkszQ5VutGIcaQqmbD9ZTVXMQ/edit#gid=1251630045"",""articles_with_PRISMA_reasons!AB2:AB2113""), $A341=IMPORTRANGE(""https://docs.google.com/spreadsheets/d/"&amp;"1BJSV3WBYJGRhQ6zExamkszQ5VutGIcaQqmbD9ZTVXMQ/edit#gid=1251630045"",""articles_with_PRISMA_reasons!B2:B2113"")),
E341=""Exclude"",
FILTER(IMPORTRANGE(""https://docs.google.com/spreadsheets/d/1qpEmbGH0JjaJbUdp21-y2cPbobDbMjr09BbtdKROZWc/edit#gid=1444865654"&amp;""",""articles_with_PRISMA_reasons!Z2:Z2113""), $A341=IMPORTRANGE(""https://docs.google.com/spreadsheets/d/1qpEmbGH0JjaJbUdp21-y2cPbobDbMjr09BbtdKROZWc/edit#gid=1444865654"",""articles_with_PRISMA_reasons!B2:B2113"")),F341
=""Include"",FILTER(IMPORTRANGE("&amp;"""https://docs.google.com/spreadsheets/d/1kGrh75X1cNR1D7_FcY9zMnHP8iPO4M5RCRjy6nZY0TY/edit#gid=0"",""Table 1: Study characteristics!A4:A171""), $A341=IMPORTRANGE(""https://docs.google.com/spreadsheets/d/1kGrh75X1cNR1D7_FcY9zMnHP8iPO4M5RCRjy6nZY0TY/edit#gi"&amp;"d=0"",""Table 1: Study characteristics!B4:B171""))
)"),"wrong population")</f>
        <v>wrong population</v>
      </c>
    </row>
    <row r="342">
      <c r="A342" s="4" t="str">
        <f>IFERROR(__xludf.DUMMYFUNCTION("""COMPUTED_VALUE"""),"Birth prevalence of neural tube defects before and after campaign for periconceptional use of folic acid")</f>
        <v>Birth prevalence of neural tube defects before and after campaign for periconceptional use of folic acid</v>
      </c>
      <c r="B342" s="5" t="str">
        <f>IFERROR(__xludf.DUMMYFUNCTION("LEFT(FILTER(IMPORTRANGE(""https://docs.google.com/spreadsheets/d/1BJSV3WBYJGRhQ6zExamkszQ5VutGIcaQqmbD9ZTVXMQ/edit#gid=1251630045"",""articles_with_PRISMA_reasons!K2:K2113""), $A342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$A342=IMPORTRANGE(""https://docs.google.com/spreadsheets/d/1BJSV3WBYJGRhQ6zExamkszQ5VutGIcaQqmbD9ZTVXMQ/edit#gid=1251630045"",""articles_with_PRISMA_reasons!B2:B2113"")))-1)"),"Van der Pal-de Bruin")</f>
        <v>Van der Pal-de Bruin</v>
      </c>
      <c r="C342" s="6">
        <f>IFERROR(__xludf.DUMMYFUNCTION("FILTER(IMPORTRANGE(""https://docs.google.com/spreadsheets/d/1BJSV3WBYJGRhQ6zExamkszQ5VutGIcaQqmbD9ZTVXMQ/edit#gid=1251630045"",""articles_with_PRISMA_reasons!C2:C2113""), $A342=IMPORTRANGE(""https://docs.google.com/spreadsheets/d/1BJSV3WBYJGRhQ6zExamkszQ5"&amp;"VutGIcaQqmbD9ZTVXMQ/edit#gid=1251630045"",""articles_with_PRISMA_reasons!B2:B2113""))"),2000.0)</f>
        <v>2000</v>
      </c>
      <c r="D342" s="5" t="str">
        <f>IFERROR(__xludf.DUMMYFUNCTION("IFS(AND(
FILTER(IMPORTRANGE(""https://docs.google.com/spreadsheets/d/1BJSV3WBYJGRhQ6zExamkszQ5VutGIcaQqmbD9ZTVXMQ/edit#gid=1251630045"",""articles_with_PRISMA_reasons!Y2:Y2113""), $A342=IMPORTRANGE(""https://docs.google.com/spreadsheets/d/1BJSV3WBYJGRhQ6z"&amp;"ExamkszQ5VutGIcaQqmbD9ZTVXMQ/edit#gid=1251630045"",""articles_with_PRISMA_reasons!B2:B2113""))&gt;=2,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$A342=IMPORTRANGE(""https://docs.google.com/spreadsheets/d/1BJSV3WBYJGRhQ6zExamkszQ5VutGIcaQqmbD9ZTVXMQ/edit#gid=1251630045"",""articles_with_PRISMA_reasons!B2:B2113""))&lt;2),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$A342=IMPORTRANGE(""https://docs.google.com/spreadsheets/d/1BJSV3WBYJGRhQ6zExamkszQ5VutGIcaQqmbD9ZTVXMQ/edit#gid=1251630045"",""arti"&amp;"cles_with_PRISMA_reasons!B2:B2113""))&lt;2,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$A342=IMPORTRANGE(""https://docs.google.com"&amp;"/spreadsheets/d/1BJSV3WBYJGRhQ6zExamkszQ5VutGIcaQqmbD9ZTVXMQ/edit#gid=1251630045"",""articles_with_PRISMA_reasons!B2:B2113""))&gt;=2),
""Exclude""
)"),"Exclude")</f>
        <v>Exclude</v>
      </c>
      <c r="E342" s="5" t="str">
        <f>IFERROR(__xludf.DUMMYFUNCTION("IFS(
D342=""Exclude"",""Exclude"",
AND(
FILTER(IMPORTRANGE(""https://docs.google.com/spreadsheets/d/1qpEmbGH0JjaJbUdp21-y2cPbobDbMjr09BbtdKROZWc/edit#gid=1444865654"",""articles_with_PRISMA_reasons!W2:W2113""), $A342=IMPORTRANGE(""https://docs.google.com/"&amp;"spreadsheets/d/1qpEmbGH0JjaJbUdp21-y2cPbobDbMjr09BbtdKROZWc/edit#gid=1444865654"",""articles_with_PRISMA_reasons!B2:B2113""))&gt;=2,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$A342=IMPORTRANGE(""https://docs.google.com/spreadsheets/d/1qpEmbGH0JjaJbUdp21-y2cPbobDbMjr09BbtdKROZWc/edit#gid=1444865654"",""articles_with_PRISMA_reasons!B2:B2113""))&lt;2),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$A342=IMPORTRANGE(""https://docs.google.com/spreadsheets/d/1qpEmbGH0JjaJbUdp21-y2cPbobDbMjr09BbtdKRO"&amp;"ZWc/edit#gid=1444865654"",""articles_with_PRISMA_reasons!B2:B2113""))&lt;2,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$A342=IMPOR"&amp;"TRANGE(""https://docs.google.com/spreadsheets/d/1qpEmbGH0JjaJbUdp21-y2cPbobDbMjr09BbtdKROZWc/edit#gid=1444865654"",""articles_with_PRISMA_reasons!B2:B2113""))&gt;=2),
""Exclude""
)"),"Exclude")</f>
        <v>Exclude</v>
      </c>
      <c r="F342" s="5" t="str">
        <f>IFERROR(__xludf.DUMMYFUNCTION("IFS(
E342=""Exclude"",""Exclude"",
AND(
COUNTIF(
IMPORTRANGE(""https://docs.google.com/spreadsheets/d/1kGrh75X1cNR1D7_FcY9zMnHP8iPO4M5RCRjy6nZY0TY/edit#gid=0"",""Table 1: Study characteristics!B4:B171""),A342)&gt;0,
COUNTIF(Studies!$A$2:$A$85,FILTER(IMPORTRA"&amp;"NGE(""https://docs.google.com/spreadsheets/d/1kGrh75X1cNR1D7_FcY9zMnHP8iPO4M5RCRjy6nZY0TY/edit#gid=0"",""Table 1: Study characteristics!A4:A171""), $A342=IMPORTRANGE(""https://docs.google.com/spreadsheets/d/1kGrh75X1cNR1D7_FcY9zMnHP8iPO4M5RCRjy6nZY0TY/edi"&amp;"t#gid=0"",""Table 1: Study characteristics!B4:B171"")))&gt;0
),
""Include""
)"),"Exclude")</f>
        <v>Exclude</v>
      </c>
      <c r="G342" s="5" t="str">
        <f>IFERROR(__xludf.DUMMYFUNCTION("IFS(
D342=""Exclude"",
FILTER(IMPORTRANGE(""https://docs.google.com/spreadsheets/d/1BJSV3WBYJGRhQ6zExamkszQ5VutGIcaQqmbD9ZTVXMQ/edit#gid=1251630045"",""articles_with_PRISMA_reasons!AB2:AB2113""), $A342=IMPORTRANGE(""https://docs.google.com/spreadsheets/d/"&amp;"1BJSV3WBYJGRhQ6zExamkszQ5VutGIcaQqmbD9ZTVXMQ/edit#gid=1251630045"",""articles_with_PRISMA_reasons!B2:B2113"")),
E342=""Exclude"",
FILTER(IMPORTRANGE(""https://docs.google.com/spreadsheets/d/1qpEmbGH0JjaJbUdp21-y2cPbobDbMjr09BbtdKROZWc/edit#gid=1444865654"&amp;""",""articles_with_PRISMA_reasons!Z2:Z2113""), $A342=IMPORTRANGE(""https://docs.google.com/spreadsheets/d/1qpEmbGH0JjaJbUdp21-y2cPbobDbMjr09BbtdKROZWc/edit#gid=1444865654"",""articles_with_PRISMA_reasons!B2:B2113"")),F342
=""Include"",FILTER(IMPORTRANGE("&amp;"""https://docs.google.com/spreadsheets/d/1kGrh75X1cNR1D7_FcY9zMnHP8iPO4M5RCRjy6nZY0TY/edit#gid=0"",""Table 1: Study characteristics!A4:A171""), $A342=IMPORTRANGE(""https://docs.google.com/spreadsheets/d/1kGrh75X1cNR1D7_FcY9zMnHP8iPO4M5RCRjy6nZY0TY/edit#gi"&amp;"d=0"",""Table 1: Study characteristics!B4:B171""))
)"),"wrong study design")</f>
        <v>wrong study design</v>
      </c>
    </row>
    <row r="343">
      <c r="A343" s="4" t="str">
        <f>IFERROR(__xludf.DUMMYFUNCTION("""COMPUTED_VALUE"""),"Blindness following ventriculoperitoneal shunt block in a child with spinal dysraphism: case report")</f>
        <v>Blindness following ventriculoperitoneal shunt block in a child with spinal dysraphism: case report</v>
      </c>
      <c r="B343" s="5" t="str">
        <f>IFERROR(__xludf.DUMMYFUNCTION("LEFT(FILTER(IMPORTRANGE(""https://docs.google.com/spreadsheets/d/1BJSV3WBYJGRhQ6zExamkszQ5VutGIcaQqmbD9ZTVXMQ/edit#gid=1251630045"",""articles_with_PRISMA_reasons!K2:K2113""), $A343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$A343=IMPORTRANGE(""https://docs.google.com/spreadsheets/d/1BJSV3WBYJGRhQ6zExamkszQ5VutGIcaQqmbD9ZTVXMQ/edit#gid=1251630045"",""articles_with_PRISMA_reasons!B2:B2113"")))-1)"),"Shehu")</f>
        <v>Shehu</v>
      </c>
      <c r="C343" s="6">
        <f>IFERROR(__xludf.DUMMYFUNCTION("FILTER(IMPORTRANGE(""https://docs.google.com/spreadsheets/d/1BJSV3WBYJGRhQ6zExamkszQ5VutGIcaQqmbD9ZTVXMQ/edit#gid=1251630045"",""articles_with_PRISMA_reasons!C2:C2113""), $A343=IMPORTRANGE(""https://docs.google.com/spreadsheets/d/1BJSV3WBYJGRhQ6zExamkszQ5"&amp;"VutGIcaQqmbD9ZTVXMQ/edit#gid=1251630045"",""articles_with_PRISMA_reasons!B2:B2113""))"),2005.0)</f>
        <v>2005</v>
      </c>
      <c r="D343" s="5" t="str">
        <f>IFERROR(__xludf.DUMMYFUNCTION("IFS(AND(
FILTER(IMPORTRANGE(""https://docs.google.com/spreadsheets/d/1BJSV3WBYJGRhQ6zExamkszQ5VutGIcaQqmbD9ZTVXMQ/edit#gid=1251630045"",""articles_with_PRISMA_reasons!Y2:Y2113""), $A343=IMPORTRANGE(""https://docs.google.com/spreadsheets/d/1BJSV3WBYJGRhQ6z"&amp;"ExamkszQ5VutGIcaQqmbD9ZTVXMQ/edit#gid=1251630045"",""articles_with_PRISMA_reasons!B2:B2113""))&gt;=2,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$A343=IMPORTRANGE(""https://docs.google.com/spreadsheets/d/1BJSV3WBYJGRhQ6zExamkszQ5VutGIcaQqmbD9ZTVXMQ/edit#gid=1251630045"",""articles_with_PRISMA_reasons!B2:B2113""))&lt;2),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$A343=IMPORTRANGE(""https://docs.google.com/spreadsheets/d/1BJSV3WBYJGRhQ6zExamkszQ5VutGIcaQqmbD9ZTVXMQ/edit#gid=1251630045"",""arti"&amp;"cles_with_PRISMA_reasons!B2:B2113""))&lt;2,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$A343=IMPORTRANGE(""https://docs.google.com"&amp;"/spreadsheets/d/1BJSV3WBYJGRhQ6zExamkszQ5VutGIcaQqmbD9ZTVXMQ/edit#gid=1251630045"",""articles_with_PRISMA_reasons!B2:B2113""))&gt;=2),
""Exclude""
)"),"Exclude")</f>
        <v>Exclude</v>
      </c>
      <c r="E343" s="5" t="str">
        <f>IFERROR(__xludf.DUMMYFUNCTION("IFS(
D343=""Exclude"",""Exclude"",
AND(
FILTER(IMPORTRANGE(""https://docs.google.com/spreadsheets/d/1qpEmbGH0JjaJbUdp21-y2cPbobDbMjr09BbtdKROZWc/edit#gid=1444865654"",""articles_with_PRISMA_reasons!W2:W2113""), $A343=IMPORTRANGE(""https://docs.google.com/"&amp;"spreadsheets/d/1qpEmbGH0JjaJbUdp21-y2cPbobDbMjr09BbtdKROZWc/edit#gid=1444865654"",""articles_with_PRISMA_reasons!B2:B2113""))&gt;=2,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$A343=IMPORTRANGE(""https://docs.google.com/spreadsheets/d/1qpEmbGH0JjaJbUdp21-y2cPbobDbMjr09BbtdKROZWc/edit#gid=1444865654"",""articles_with_PRISMA_reasons!B2:B2113""))&lt;2),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$A343=IMPORTRANGE(""https://docs.google.com/spreadsheets/d/1qpEmbGH0JjaJbUdp21-y2cPbobDbMjr09BbtdKRO"&amp;"ZWc/edit#gid=1444865654"",""articles_with_PRISMA_reasons!B2:B2113""))&lt;2,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$A343=IMPOR"&amp;"TRANGE(""https://docs.google.com/spreadsheets/d/1qpEmbGH0JjaJbUdp21-y2cPbobDbMjr09BbtdKROZWc/edit#gid=1444865654"",""articles_with_PRISMA_reasons!B2:B2113""))&gt;=2),
""Exclude""
)"),"Exclude")</f>
        <v>Exclude</v>
      </c>
      <c r="F343" s="5" t="str">
        <f>IFERROR(__xludf.DUMMYFUNCTION("IFS(
E343=""Exclude"",""Exclude"",
AND(
COUNTIF(
IMPORTRANGE(""https://docs.google.com/spreadsheets/d/1kGrh75X1cNR1D7_FcY9zMnHP8iPO4M5RCRjy6nZY0TY/edit#gid=0"",""Table 1: Study characteristics!B4:B171""),A343)&gt;0,
COUNTIF(Studies!$A$2:$A$85,FILTER(IMPORTRA"&amp;"NGE(""https://docs.google.com/spreadsheets/d/1kGrh75X1cNR1D7_FcY9zMnHP8iPO4M5RCRjy6nZY0TY/edit#gid=0"",""Table 1: Study characteristics!A4:A171""), $A343=IMPORTRANGE(""https://docs.google.com/spreadsheets/d/1kGrh75X1cNR1D7_FcY9zMnHP8iPO4M5RCRjy6nZY0TY/edi"&amp;"t#gid=0"",""Table 1: Study characteristics!B4:B171"")))&gt;0
),
""Include""
)"),"Exclude")</f>
        <v>Exclude</v>
      </c>
      <c r="G343" s="5" t="str">
        <f>IFERROR(__xludf.DUMMYFUNCTION("IFS(
D343=""Exclude"",
FILTER(IMPORTRANGE(""https://docs.google.com/spreadsheets/d/1BJSV3WBYJGRhQ6zExamkszQ5VutGIcaQqmbD9ZTVXMQ/edit#gid=1251630045"",""articles_with_PRISMA_reasons!AB2:AB2113""), $A343=IMPORTRANGE(""https://docs.google.com/spreadsheets/d/"&amp;"1BJSV3WBYJGRhQ6zExamkszQ5VutGIcaQqmbD9ZTVXMQ/edit#gid=1251630045"",""articles_with_PRISMA_reasons!B2:B2113"")),
E343=""Exclude"",
FILTER(IMPORTRANGE(""https://docs.google.com/spreadsheets/d/1qpEmbGH0JjaJbUdp21-y2cPbobDbMjr09BbtdKROZWc/edit#gid=1444865654"&amp;""",""articles_with_PRISMA_reasons!Z2:Z2113""), $A343=IMPORTRANGE(""https://docs.google.com/spreadsheets/d/1qpEmbGH0JjaJbUdp21-y2cPbobDbMjr09BbtdKROZWc/edit#gid=1444865654"",""articles_with_PRISMA_reasons!B2:B2113"")),F343
=""Include"",FILTER(IMPORTRANGE("&amp;"""https://docs.google.com/spreadsheets/d/1kGrh75X1cNR1D7_FcY9zMnHP8iPO4M5RCRjy6nZY0TY/edit#gid=0"",""Table 1: Study characteristics!A4:A171""), $A343=IMPORTRANGE(""https://docs.google.com/spreadsheets/d/1kGrh75X1cNR1D7_FcY9zMnHP8iPO4M5RCRjy6nZY0TY/edit#gi"&amp;"d=0"",""Table 1: Study characteristics!B4:B171""))
)"),"Duplicate")</f>
        <v>Duplicate</v>
      </c>
    </row>
    <row r="344">
      <c r="A344" s="4" t="str">
        <f>IFERROR(__xludf.DUMMYFUNCTION("""COMPUTED_VALUE"""),"Bowel perforation after ventriculoperitoneal-shunt placement: Case report and review of the literature")</f>
        <v>Bowel perforation after ventriculoperitoneal-shunt placement: Case report and review of the literature</v>
      </c>
      <c r="B344" s="5" t="str">
        <f>IFERROR(__xludf.DUMMYFUNCTION("LEFT(FILTER(IMPORTRANGE(""https://docs.google.com/spreadsheets/d/1BJSV3WBYJGRhQ6zExamkszQ5VutGIcaQqmbD9ZTVXMQ/edit#gid=1251630045"",""articles_with_PRISMA_reasons!K2:K2113""), $A344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$A344=IMPORTRANGE(""https://docs.google.com/spreadsheets/d/1BJSV3WBYJGRhQ6zExamkszQ5VutGIcaQqmbD9ZTVXMQ/edit#gid=1251630045"",""articles_with_PRISMA_reasons!B2:B2113"")))-1)"),"Gmeiner")</f>
        <v>Gmeiner</v>
      </c>
      <c r="C344" s="6">
        <f>IFERROR(__xludf.DUMMYFUNCTION("FILTER(IMPORTRANGE(""https://docs.google.com/spreadsheets/d/1BJSV3WBYJGRhQ6zExamkszQ5VutGIcaQqmbD9ZTVXMQ/edit#gid=1251630045"",""articles_with_PRISMA_reasons!C2:C2113""), $A344=IMPORTRANGE(""https://docs.google.com/spreadsheets/d/1BJSV3WBYJGRhQ6zExamkszQ5"&amp;"VutGIcaQqmbD9ZTVXMQ/edit#gid=1251630045"",""articles_with_PRISMA_reasons!B2:B2113""))"),2020.0)</f>
        <v>2020</v>
      </c>
      <c r="D344" s="5" t="str">
        <f>IFERROR(__xludf.DUMMYFUNCTION("IFS(AND(
FILTER(IMPORTRANGE(""https://docs.google.com/spreadsheets/d/1BJSV3WBYJGRhQ6zExamkszQ5VutGIcaQqmbD9ZTVXMQ/edit#gid=1251630045"",""articles_with_PRISMA_reasons!Y2:Y2113""), $A344=IMPORTRANGE(""https://docs.google.com/spreadsheets/d/1BJSV3WBYJGRhQ6z"&amp;"ExamkszQ5VutGIcaQqmbD9ZTVXMQ/edit#gid=1251630045"",""articles_with_PRISMA_reasons!B2:B2113""))&gt;=2,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$A344=IMPORTRANGE(""https://docs.google.com/spreadsheets/d/1BJSV3WBYJGRhQ6zExamkszQ5VutGIcaQqmbD9ZTVXMQ/edit#gid=1251630045"",""articles_with_PRISMA_reasons!B2:B2113""))&lt;2),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$A344=IMPORTRANGE(""https://docs.google.com/spreadsheets/d/1BJSV3WBYJGRhQ6zExamkszQ5VutGIcaQqmbD9ZTVXMQ/edit#gid=1251630045"",""arti"&amp;"cles_with_PRISMA_reasons!B2:B2113""))&lt;2,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$A344=IMPORTRANGE(""https://docs.google.com"&amp;"/spreadsheets/d/1BJSV3WBYJGRhQ6zExamkszQ5VutGIcaQqmbD9ZTVXMQ/edit#gid=1251630045"",""articles_with_PRISMA_reasons!B2:B2113""))&gt;=2),
""Exclude""
)"),"Exclude")</f>
        <v>Exclude</v>
      </c>
      <c r="E344" s="5" t="str">
        <f>IFERROR(__xludf.DUMMYFUNCTION("IFS(
D344=""Exclude"",""Exclude"",
AND(
FILTER(IMPORTRANGE(""https://docs.google.com/spreadsheets/d/1qpEmbGH0JjaJbUdp21-y2cPbobDbMjr09BbtdKROZWc/edit#gid=1444865654"",""articles_with_PRISMA_reasons!W2:W2113""), $A344=IMPORTRANGE(""https://docs.google.com/"&amp;"spreadsheets/d/1qpEmbGH0JjaJbUdp21-y2cPbobDbMjr09BbtdKROZWc/edit#gid=1444865654"",""articles_with_PRISMA_reasons!B2:B2113""))&gt;=2,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$A344=IMPORTRANGE(""https://docs.google.com/spreadsheets/d/1qpEmbGH0JjaJbUdp21-y2cPbobDbMjr09BbtdKROZWc/edit#gid=1444865654"",""articles_with_PRISMA_reasons!B2:B2113""))&lt;2),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$A344=IMPORTRANGE(""https://docs.google.com/spreadsheets/d/1qpEmbGH0JjaJbUdp21-y2cPbobDbMjr09BbtdKRO"&amp;"ZWc/edit#gid=1444865654"",""articles_with_PRISMA_reasons!B2:B2113""))&lt;2,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$A344=IMPOR"&amp;"TRANGE(""https://docs.google.com/spreadsheets/d/1qpEmbGH0JjaJbUdp21-y2cPbobDbMjr09BbtdKROZWc/edit#gid=1444865654"",""articles_with_PRISMA_reasons!B2:B2113""))&gt;=2),
""Exclude""
)"),"Exclude")</f>
        <v>Exclude</v>
      </c>
      <c r="F344" s="5" t="str">
        <f>IFERROR(__xludf.DUMMYFUNCTION("IFS(
E344=""Exclude"",""Exclude"",
AND(
COUNTIF(
IMPORTRANGE(""https://docs.google.com/spreadsheets/d/1kGrh75X1cNR1D7_FcY9zMnHP8iPO4M5RCRjy6nZY0TY/edit#gid=0"",""Table 1: Study characteristics!B4:B171""),A344)&gt;0,
COUNTIF(Studies!$A$2:$A$85,FILTER(IMPORTRA"&amp;"NGE(""https://docs.google.com/spreadsheets/d/1kGrh75X1cNR1D7_FcY9zMnHP8iPO4M5RCRjy6nZY0TY/edit#gid=0"",""Table 1: Study characteristics!A4:A171""), $A344=IMPORTRANGE(""https://docs.google.com/spreadsheets/d/1kGrh75X1cNR1D7_FcY9zMnHP8iPO4M5RCRjy6nZY0TY/edi"&amp;"t#gid=0"",""Table 1: Study characteristics!B4:B171"")))&gt;0
),
""Include""
)"),"Exclude")</f>
        <v>Exclude</v>
      </c>
      <c r="G344" s="5" t="str">
        <f>IFERROR(__xludf.DUMMYFUNCTION("IFS(
D344=""Exclude"",
FILTER(IMPORTRANGE(""https://docs.google.com/spreadsheets/d/1BJSV3WBYJGRhQ6zExamkszQ5VutGIcaQqmbD9ZTVXMQ/edit#gid=1251630045"",""articles_with_PRISMA_reasons!AB2:AB2113""), $A344=IMPORTRANGE(""https://docs.google.com/spreadsheets/d/"&amp;"1BJSV3WBYJGRhQ6zExamkszQ5VutGIcaQqmbD9ZTVXMQ/edit#gid=1251630045"",""articles_with_PRISMA_reasons!B2:B2113"")),
E344=""Exclude"",
FILTER(IMPORTRANGE(""https://docs.google.com/spreadsheets/d/1qpEmbGH0JjaJbUdp21-y2cPbobDbMjr09BbtdKROZWc/edit#gid=1444865654"&amp;""",""articles_with_PRISMA_reasons!Z2:Z2113""), $A344=IMPORTRANGE(""https://docs.google.com/spreadsheets/d/1qpEmbGH0JjaJbUdp21-y2cPbobDbMjr09BbtdKROZWc/edit#gid=1444865654"",""articles_with_PRISMA_reasons!B2:B2113"")),F344
=""Include"",FILTER(IMPORTRANGE("&amp;"""https://docs.google.com/spreadsheets/d/1kGrh75X1cNR1D7_FcY9zMnHP8iPO4M5RCRjy6nZY0TY/edit#gid=0"",""Table 1: Study characteristics!A4:A171""), $A344=IMPORTRANGE(""https://docs.google.com/spreadsheets/d/1kGrh75X1cNR1D7_FcY9zMnHP8iPO4M5RCRjy6nZY0TY/edit#gi"&amp;"d=0"",""Table 1: Study characteristics!B4:B171""))
)"),"wrong publication type")</f>
        <v>wrong publication type</v>
      </c>
    </row>
    <row r="345">
      <c r="A345" s="4" t="str">
        <f>IFERROR(__xludf.DUMMYFUNCTION("""COMPUTED_VALUE"""),"Bowel perforation at the delayed stage after shunt surgery: Case report")</f>
        <v>Bowel perforation at the delayed stage after shunt surgery: Case report</v>
      </c>
      <c r="B345" s="5" t="str">
        <f>IFERROR(__xludf.DUMMYFUNCTION("LEFT(FILTER(IMPORTRANGE(""https://docs.google.com/spreadsheets/d/1BJSV3WBYJGRhQ6zExamkszQ5VutGIcaQqmbD9ZTVXMQ/edit#gid=1251630045"",""articles_with_PRISMA_reasons!K2:K2113""), $A345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$A345=IMPORTRANGE(""https://docs.google.com/spreadsheets/d/1BJSV3WBYJGRhQ6zExamkszQ5VutGIcaQqmbD9ZTVXMQ/edit#gid=1251630045"",""articles_with_PRISMA_reasons!B2:B2113"")))-1)"),"Arslan")</f>
        <v>Arslan</v>
      </c>
      <c r="C345" s="6">
        <f>IFERROR(__xludf.DUMMYFUNCTION("FILTER(IMPORTRANGE(""https://docs.google.com/spreadsheets/d/1BJSV3WBYJGRhQ6zExamkszQ5VutGIcaQqmbD9ZTVXMQ/edit#gid=1251630045"",""articles_with_PRISMA_reasons!C2:C2113""), $A345=IMPORTRANGE(""https://docs.google.com/spreadsheets/d/1BJSV3WBYJGRhQ6zExamkszQ5"&amp;"VutGIcaQqmbD9ZTVXMQ/edit#gid=1251630045"",""articles_with_PRISMA_reasons!B2:B2113""))"),2012.0)</f>
        <v>2012</v>
      </c>
      <c r="D345" s="5" t="str">
        <f>IFERROR(__xludf.DUMMYFUNCTION("IFS(AND(
FILTER(IMPORTRANGE(""https://docs.google.com/spreadsheets/d/1BJSV3WBYJGRhQ6zExamkszQ5VutGIcaQqmbD9ZTVXMQ/edit#gid=1251630045"",""articles_with_PRISMA_reasons!Y2:Y2113""), $A345=IMPORTRANGE(""https://docs.google.com/spreadsheets/d/1BJSV3WBYJGRhQ6z"&amp;"ExamkszQ5VutGIcaQqmbD9ZTVXMQ/edit#gid=1251630045"",""articles_with_PRISMA_reasons!B2:B2113""))&gt;=2,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$A345=IMPORTRANGE(""https://docs.google.com/spreadsheets/d/1BJSV3WBYJGRhQ6zExamkszQ5VutGIcaQqmbD9ZTVXMQ/edit#gid=1251630045"",""articles_with_PRISMA_reasons!B2:B2113""))&lt;2),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$A345=IMPORTRANGE(""https://docs.google.com/spreadsheets/d/1BJSV3WBYJGRhQ6zExamkszQ5VutGIcaQqmbD9ZTVXMQ/edit#gid=1251630045"",""arti"&amp;"cles_with_PRISMA_reasons!B2:B2113""))&lt;2,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$A345=IMPORTRANGE(""https://docs.google.com"&amp;"/spreadsheets/d/1BJSV3WBYJGRhQ6zExamkszQ5VutGIcaQqmbD9ZTVXMQ/edit#gid=1251630045"",""articles_with_PRISMA_reasons!B2:B2113""))&gt;=2),
""Exclude""
)"),"Exclude")</f>
        <v>Exclude</v>
      </c>
      <c r="E345" s="5" t="str">
        <f>IFERROR(__xludf.DUMMYFUNCTION("IFS(
D345=""Exclude"",""Exclude"",
AND(
FILTER(IMPORTRANGE(""https://docs.google.com/spreadsheets/d/1qpEmbGH0JjaJbUdp21-y2cPbobDbMjr09BbtdKROZWc/edit#gid=1444865654"",""articles_with_PRISMA_reasons!W2:W2113""), $A345=IMPORTRANGE(""https://docs.google.com/"&amp;"spreadsheets/d/1qpEmbGH0JjaJbUdp21-y2cPbobDbMjr09BbtdKROZWc/edit#gid=1444865654"",""articles_with_PRISMA_reasons!B2:B2113""))&gt;=2,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$A345=IMPORTRANGE(""https://docs.google.com/spreadsheets/d/1qpEmbGH0JjaJbUdp21-y2cPbobDbMjr09BbtdKROZWc/edit#gid=1444865654"",""articles_with_PRISMA_reasons!B2:B2113""))&lt;2),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$A345=IMPORTRANGE(""https://docs.google.com/spreadsheets/d/1qpEmbGH0JjaJbUdp21-y2cPbobDbMjr09BbtdKRO"&amp;"ZWc/edit#gid=1444865654"",""articles_with_PRISMA_reasons!B2:B2113""))&lt;2,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$A345=IMPOR"&amp;"TRANGE(""https://docs.google.com/spreadsheets/d/1qpEmbGH0JjaJbUdp21-y2cPbobDbMjr09BbtdKROZWc/edit#gid=1444865654"",""articles_with_PRISMA_reasons!B2:B2113""))&gt;=2),
""Exclude""
)"),"Exclude")</f>
        <v>Exclude</v>
      </c>
      <c r="F345" s="5" t="str">
        <f>IFERROR(__xludf.DUMMYFUNCTION("IFS(
E345=""Exclude"",""Exclude"",
AND(
COUNTIF(
IMPORTRANGE(""https://docs.google.com/spreadsheets/d/1kGrh75X1cNR1D7_FcY9zMnHP8iPO4M5RCRjy6nZY0TY/edit#gid=0"",""Table 1: Study characteristics!B4:B171""),A345)&gt;0,
COUNTIF(Studies!$A$2:$A$85,FILTER(IMPORTRA"&amp;"NGE(""https://docs.google.com/spreadsheets/d/1kGrh75X1cNR1D7_FcY9zMnHP8iPO4M5RCRjy6nZY0TY/edit#gid=0"",""Table 1: Study characteristics!A4:A171""), $A345=IMPORTRANGE(""https://docs.google.com/spreadsheets/d/1kGrh75X1cNR1D7_FcY9zMnHP8iPO4M5RCRjy6nZY0TY/edi"&amp;"t#gid=0"",""Table 1: Study characteristics!B4:B171"")))&gt;0
),
""Include""
)"),"Exclude")</f>
        <v>Exclude</v>
      </c>
      <c r="G345" s="5" t="str">
        <f>IFERROR(__xludf.DUMMYFUNCTION("IFS(
D345=""Exclude"",
FILTER(IMPORTRANGE(""https://docs.google.com/spreadsheets/d/1BJSV3WBYJGRhQ6zExamkszQ5VutGIcaQqmbD9ZTVXMQ/edit#gid=1251630045"",""articles_with_PRISMA_reasons!AB2:AB2113""), $A345=IMPORTRANGE(""https://docs.google.com/spreadsheets/d/"&amp;"1BJSV3WBYJGRhQ6zExamkszQ5VutGIcaQqmbD9ZTVXMQ/edit#gid=1251630045"",""articles_with_PRISMA_reasons!B2:B2113"")),
E345=""Exclude"",
FILTER(IMPORTRANGE(""https://docs.google.com/spreadsheets/d/1qpEmbGH0JjaJbUdp21-y2cPbobDbMjr09BbtdKROZWc/edit#gid=1444865654"&amp;""",""articles_with_PRISMA_reasons!Z2:Z2113""), $A345=IMPORTRANGE(""https://docs.google.com/spreadsheets/d/1qpEmbGH0JjaJbUdp21-y2cPbobDbMjr09BbtdKROZWc/edit#gid=1444865654"",""articles_with_PRISMA_reasons!B2:B2113"")),F345
=""Include"",FILTER(IMPORTRANGE("&amp;"""https://docs.google.com/spreadsheets/d/1kGrh75X1cNR1D7_FcY9zMnHP8iPO4M5RCRjy6nZY0TY/edit#gid=0"",""Table 1: Study characteristics!A4:A171""), $A345=IMPORTRANGE(""https://docs.google.com/spreadsheets/d/1kGrh75X1cNR1D7_FcY9zMnHP8iPO4M5RCRjy6nZY0TY/edit#gi"&amp;"d=0"",""Table 1: Study characteristics!B4:B171""))
)"),"wrong publication type")</f>
        <v>wrong publication type</v>
      </c>
    </row>
    <row r="346">
      <c r="A346" s="4" t="str">
        <f>IFERROR(__xludf.DUMMYFUNCTION("""COMPUTED_VALUE"""),"Bowel perforation by ventriculoperitoneal shunt catheter mimicking gastroenteritis")</f>
        <v>Bowel perforation by ventriculoperitoneal shunt catheter mimicking gastroenteritis</v>
      </c>
      <c r="B346" s="5" t="str">
        <f>IFERROR(__xludf.DUMMYFUNCTION("LEFT(FILTER(IMPORTRANGE(""https://docs.google.com/spreadsheets/d/1BJSV3WBYJGRhQ6zExamkszQ5VutGIcaQqmbD9ZTVXMQ/edit#gid=1251630045"",""articles_with_PRISMA_reasons!K2:K2113""), $A346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$A346=IMPORTRANGE(""https://docs.google.com/spreadsheets/d/1BJSV3WBYJGRhQ6zExamkszQ5VutGIcaQqmbD9ZTVXMQ/edit#gid=1251630045"",""articles_with_PRISMA_reasons!B2:B2113"")))-1)"),"Aslanabadi")</f>
        <v>Aslanabadi</v>
      </c>
      <c r="C346" s="6">
        <f>IFERROR(__xludf.DUMMYFUNCTION("FILTER(IMPORTRANGE(""https://docs.google.com/spreadsheets/d/1BJSV3WBYJGRhQ6zExamkszQ5VutGIcaQqmbD9ZTVXMQ/edit#gid=1251630045"",""articles_with_PRISMA_reasons!C2:C2113""), $A346=IMPORTRANGE(""https://docs.google.com/spreadsheets/d/1BJSV3WBYJGRhQ6zExamkszQ5"&amp;"VutGIcaQqmbD9ZTVXMQ/edit#gid=1251630045"",""articles_with_PRISMA_reasons!B2:B2113""))"),2010.0)</f>
        <v>2010</v>
      </c>
      <c r="D346" s="5" t="str">
        <f>IFERROR(__xludf.DUMMYFUNCTION("IFS(AND(
FILTER(IMPORTRANGE(""https://docs.google.com/spreadsheets/d/1BJSV3WBYJGRhQ6zExamkszQ5VutGIcaQqmbD9ZTVXMQ/edit#gid=1251630045"",""articles_with_PRISMA_reasons!Y2:Y2113""), $A346=IMPORTRANGE(""https://docs.google.com/spreadsheets/d/1BJSV3WBYJGRhQ6z"&amp;"ExamkszQ5VutGIcaQqmbD9ZTVXMQ/edit#gid=1251630045"",""articles_with_PRISMA_reasons!B2:B2113""))&gt;=2,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$A346=IMPORTRANGE(""https://docs.google.com/spreadsheets/d/1BJSV3WBYJGRhQ6zExamkszQ5VutGIcaQqmbD9ZTVXMQ/edit#gid=1251630045"",""articles_with_PRISMA_reasons!B2:B2113""))&lt;2),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$A346=IMPORTRANGE(""https://docs.google.com/spreadsheets/d/1BJSV3WBYJGRhQ6zExamkszQ5VutGIcaQqmbD9ZTVXMQ/edit#gid=1251630045"",""arti"&amp;"cles_with_PRISMA_reasons!B2:B2113""))&lt;2,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$A346=IMPORTRANGE(""https://docs.google.com"&amp;"/spreadsheets/d/1BJSV3WBYJGRhQ6zExamkszQ5VutGIcaQqmbD9ZTVXMQ/edit#gid=1251630045"",""articles_with_PRISMA_reasons!B2:B2113""))&gt;=2),
""Exclude""
)"),"Exclude")</f>
        <v>Exclude</v>
      </c>
      <c r="E346" s="5" t="str">
        <f>IFERROR(__xludf.DUMMYFUNCTION("IFS(
D346=""Exclude"",""Exclude"",
AND(
FILTER(IMPORTRANGE(""https://docs.google.com/spreadsheets/d/1qpEmbGH0JjaJbUdp21-y2cPbobDbMjr09BbtdKROZWc/edit#gid=1444865654"",""articles_with_PRISMA_reasons!W2:W2113""), $A346=IMPORTRANGE(""https://docs.google.com/"&amp;"spreadsheets/d/1qpEmbGH0JjaJbUdp21-y2cPbobDbMjr09BbtdKROZWc/edit#gid=1444865654"",""articles_with_PRISMA_reasons!B2:B2113""))&gt;=2,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$A346=IMPORTRANGE(""https://docs.google.com/spreadsheets/d/1qpEmbGH0JjaJbUdp21-y2cPbobDbMjr09BbtdKROZWc/edit#gid=1444865654"",""articles_with_PRISMA_reasons!B2:B2113""))&lt;2),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$A346=IMPORTRANGE(""https://docs.google.com/spreadsheets/d/1qpEmbGH0JjaJbUdp21-y2cPbobDbMjr09BbtdKRO"&amp;"ZWc/edit#gid=1444865654"",""articles_with_PRISMA_reasons!B2:B2113""))&lt;2,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$A346=IMPOR"&amp;"TRANGE(""https://docs.google.com/spreadsheets/d/1qpEmbGH0JjaJbUdp21-y2cPbobDbMjr09BbtdKROZWc/edit#gid=1444865654"",""articles_with_PRISMA_reasons!B2:B2113""))&gt;=2),
""Exclude""
)"),"Exclude")</f>
        <v>Exclude</v>
      </c>
      <c r="F346" s="5" t="str">
        <f>IFERROR(__xludf.DUMMYFUNCTION("IFS(
E346=""Exclude"",""Exclude"",
AND(
COUNTIF(
IMPORTRANGE(""https://docs.google.com/spreadsheets/d/1kGrh75X1cNR1D7_FcY9zMnHP8iPO4M5RCRjy6nZY0TY/edit#gid=0"",""Table 1: Study characteristics!B4:B171""),A346)&gt;0,
COUNTIF(Studies!$A$2:$A$85,FILTER(IMPORTRA"&amp;"NGE(""https://docs.google.com/spreadsheets/d/1kGrh75X1cNR1D7_FcY9zMnHP8iPO4M5RCRjy6nZY0TY/edit#gid=0"",""Table 1: Study characteristics!A4:A171""), $A346=IMPORTRANGE(""https://docs.google.com/spreadsheets/d/1kGrh75X1cNR1D7_FcY9zMnHP8iPO4M5RCRjy6nZY0TY/edi"&amp;"t#gid=0"",""Table 1: Study characteristics!B4:B171"")))&gt;0
),
""Include""
)"),"Exclude")</f>
        <v>Exclude</v>
      </c>
      <c r="G346" s="5" t="str">
        <f>IFERROR(__xludf.DUMMYFUNCTION("IFS(
D346=""Exclude"",
FILTER(IMPORTRANGE(""https://docs.google.com/spreadsheets/d/1BJSV3WBYJGRhQ6zExamkszQ5VutGIcaQqmbD9ZTVXMQ/edit#gid=1251630045"",""articles_with_PRISMA_reasons!AB2:AB2113""), $A346=IMPORTRANGE(""https://docs.google.com/spreadsheets/d/"&amp;"1BJSV3WBYJGRhQ6zExamkszQ5VutGIcaQqmbD9ZTVXMQ/edit#gid=1251630045"",""articles_with_PRISMA_reasons!B2:B2113"")),
E346=""Exclude"",
FILTER(IMPORTRANGE(""https://docs.google.com/spreadsheets/d/1qpEmbGH0JjaJbUdp21-y2cPbobDbMjr09BbtdKROZWc/edit#gid=1444865654"&amp;""",""articles_with_PRISMA_reasons!Z2:Z2113""), $A346=IMPORTRANGE(""https://docs.google.com/spreadsheets/d/1qpEmbGH0JjaJbUdp21-y2cPbobDbMjr09BbtdKROZWc/edit#gid=1444865654"",""articles_with_PRISMA_reasons!B2:B2113"")),F346
=""Include"",FILTER(IMPORTRANGE("&amp;"""https://docs.google.com/spreadsheets/d/1kGrh75X1cNR1D7_FcY9zMnHP8iPO4M5RCRjy6nZY0TY/edit#gid=0"",""Table 1: Study characteristics!A4:A171""), $A346=IMPORTRANGE(""https://docs.google.com/spreadsheets/d/1kGrh75X1cNR1D7_FcY9zMnHP8iPO4M5RCRjy6nZY0TY/edit#gi"&amp;"d=0"",""Table 1: Study characteristics!B4:B171""))
)"),"wrong study design")</f>
        <v>wrong study design</v>
      </c>
    </row>
    <row r="347">
      <c r="A347" s="4" t="str">
        <f>IFERROR(__xludf.DUMMYFUNCTION("""COMPUTED_VALUE"""),"Bowel perforation of ventriculoperitoneal shunt catheter: endoscopically treated two cases")</f>
        <v>Bowel perforation of ventriculoperitoneal shunt catheter: endoscopically treated two cases</v>
      </c>
      <c r="B347" s="5" t="str">
        <f>IFERROR(__xludf.DUMMYFUNCTION("LEFT(FILTER(IMPORTRANGE(""https://docs.google.com/spreadsheets/d/1BJSV3WBYJGRhQ6zExamkszQ5VutGIcaQqmbD9ZTVXMQ/edit#gid=1251630045"",""articles_with_PRISMA_reasons!K2:K2113""), $A347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$A347=IMPORTRANGE(""https://docs.google.com/spreadsheets/d/1BJSV3WBYJGRhQ6zExamkszQ5VutGIcaQqmbD9ZTVXMQ/edit#gid=1251630045"",""articles_with_PRISMA_reasons!B2:B2113"")))-1)"),"Istemen")</f>
        <v>Istemen</v>
      </c>
      <c r="C347" s="6">
        <f>IFERROR(__xludf.DUMMYFUNCTION("FILTER(IMPORTRANGE(""https://docs.google.com/spreadsheets/d/1BJSV3WBYJGRhQ6zExamkszQ5VutGIcaQqmbD9ZTVXMQ/edit#gid=1251630045"",""articles_with_PRISMA_reasons!C2:C2113""), $A347=IMPORTRANGE(""https://docs.google.com/spreadsheets/d/1BJSV3WBYJGRhQ6zExamkszQ5"&amp;"VutGIcaQqmbD9ZTVXMQ/edit#gid=1251630045"",""articles_with_PRISMA_reasons!B2:B2113""))"),2021.0)</f>
        <v>2021</v>
      </c>
      <c r="D347" s="5" t="str">
        <f>IFERROR(__xludf.DUMMYFUNCTION("IFS(AND(
FILTER(IMPORTRANGE(""https://docs.google.com/spreadsheets/d/1BJSV3WBYJGRhQ6zExamkszQ5VutGIcaQqmbD9ZTVXMQ/edit#gid=1251630045"",""articles_with_PRISMA_reasons!Y2:Y2113""), $A347=IMPORTRANGE(""https://docs.google.com/spreadsheets/d/1BJSV3WBYJGRhQ6z"&amp;"ExamkszQ5VutGIcaQqmbD9ZTVXMQ/edit#gid=1251630045"",""articles_with_PRISMA_reasons!B2:B2113""))&gt;=2,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$A347=IMPORTRANGE(""https://docs.google.com/spreadsheets/d/1BJSV3WBYJGRhQ6zExamkszQ5VutGIcaQqmbD9ZTVXMQ/edit#gid=1251630045"",""articles_with_PRISMA_reasons!B2:B2113""))&lt;2),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$A347=IMPORTRANGE(""https://docs.google.com/spreadsheets/d/1BJSV3WBYJGRhQ6zExamkszQ5VutGIcaQqmbD9ZTVXMQ/edit#gid=1251630045"",""arti"&amp;"cles_with_PRISMA_reasons!B2:B2113""))&lt;2,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$A347=IMPORTRANGE(""https://docs.google.com"&amp;"/spreadsheets/d/1BJSV3WBYJGRhQ6zExamkszQ5VutGIcaQqmbD9ZTVXMQ/edit#gid=1251630045"",""articles_with_PRISMA_reasons!B2:B2113""))&gt;=2),
""Exclude""
)"),"Exclude")</f>
        <v>Exclude</v>
      </c>
      <c r="E347" s="5" t="str">
        <f>IFERROR(__xludf.DUMMYFUNCTION("IFS(
D347=""Exclude"",""Exclude"",
AND(
FILTER(IMPORTRANGE(""https://docs.google.com/spreadsheets/d/1qpEmbGH0JjaJbUdp21-y2cPbobDbMjr09BbtdKROZWc/edit#gid=1444865654"",""articles_with_PRISMA_reasons!W2:W2113""), $A347=IMPORTRANGE(""https://docs.google.com/"&amp;"spreadsheets/d/1qpEmbGH0JjaJbUdp21-y2cPbobDbMjr09BbtdKROZWc/edit#gid=1444865654"",""articles_with_PRISMA_reasons!B2:B2113""))&gt;=2,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$A347=IMPORTRANGE(""https://docs.google.com/spreadsheets/d/1qpEmbGH0JjaJbUdp21-y2cPbobDbMjr09BbtdKROZWc/edit#gid=1444865654"",""articles_with_PRISMA_reasons!B2:B2113""))&lt;2),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$A347=IMPORTRANGE(""https://docs.google.com/spreadsheets/d/1qpEmbGH0JjaJbUdp21-y2cPbobDbMjr09BbtdKRO"&amp;"ZWc/edit#gid=1444865654"",""articles_with_PRISMA_reasons!B2:B2113""))&lt;2,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$A347=IMPOR"&amp;"TRANGE(""https://docs.google.com/spreadsheets/d/1qpEmbGH0JjaJbUdp21-y2cPbobDbMjr09BbtdKROZWc/edit#gid=1444865654"",""articles_with_PRISMA_reasons!B2:B2113""))&gt;=2),
""Exclude""
)"),"Exclude")</f>
        <v>Exclude</v>
      </c>
      <c r="F347" s="5" t="str">
        <f>IFERROR(__xludf.DUMMYFUNCTION("IFS(
E347=""Exclude"",""Exclude"",
AND(
COUNTIF(
IMPORTRANGE(""https://docs.google.com/spreadsheets/d/1kGrh75X1cNR1D7_FcY9zMnHP8iPO4M5RCRjy6nZY0TY/edit#gid=0"",""Table 1: Study characteristics!B4:B171""),A347)&gt;0,
COUNTIF(Studies!$A$2:$A$85,FILTER(IMPORTRA"&amp;"NGE(""https://docs.google.com/spreadsheets/d/1kGrh75X1cNR1D7_FcY9zMnHP8iPO4M5RCRjy6nZY0TY/edit#gid=0"",""Table 1: Study characteristics!A4:A171""), $A347=IMPORTRANGE(""https://docs.google.com/spreadsheets/d/1kGrh75X1cNR1D7_FcY9zMnHP8iPO4M5RCRjy6nZY0TY/edi"&amp;"t#gid=0"",""Table 1: Study characteristics!B4:B171"")))&gt;0
),
""Include""
)"),"Exclude")</f>
        <v>Exclude</v>
      </c>
      <c r="G347" s="5" t="str">
        <f>IFERROR(__xludf.DUMMYFUNCTION("IFS(
D347=""Exclude"",
FILTER(IMPORTRANGE(""https://docs.google.com/spreadsheets/d/1BJSV3WBYJGRhQ6zExamkszQ5VutGIcaQqmbD9ZTVXMQ/edit#gid=1251630045"",""articles_with_PRISMA_reasons!AB2:AB2113""), $A347=IMPORTRANGE(""https://docs.google.com/spreadsheets/d/"&amp;"1BJSV3WBYJGRhQ6zExamkszQ5VutGIcaQqmbD9ZTVXMQ/edit#gid=1251630045"",""articles_with_PRISMA_reasons!B2:B2113"")),
E347=""Exclude"",
FILTER(IMPORTRANGE(""https://docs.google.com/spreadsheets/d/1qpEmbGH0JjaJbUdp21-y2cPbobDbMjr09BbtdKROZWc/edit#gid=1444865654"&amp;""",""articles_with_PRISMA_reasons!Z2:Z2113""), $A347=IMPORTRANGE(""https://docs.google.com/spreadsheets/d/1qpEmbGH0JjaJbUdp21-y2cPbobDbMjr09BbtdKROZWc/edit#gid=1444865654"",""articles_with_PRISMA_reasons!B2:B2113"")),F347
=""Include"",FILTER(IMPORTRANGE("&amp;"""https://docs.google.com/spreadsheets/d/1kGrh75X1cNR1D7_FcY9zMnHP8iPO4M5RCRjy6nZY0TY/edit#gid=0"",""Table 1: Study characteristics!A4:A171""), $A347=IMPORTRANGE(""https://docs.google.com/spreadsheets/d/1kGrh75X1cNR1D7_FcY9zMnHP8iPO4M5RCRjy6nZY0TY/edit#gi"&amp;"d=0"",""Table 1: Study characteristics!B4:B171""))
)"),"case report")</f>
        <v>case report</v>
      </c>
    </row>
    <row r="348">
      <c r="A348" s="4" t="str">
        <f>IFERROR(__xludf.DUMMYFUNCTION("""COMPUTED_VALUE"""),"Bowel perforation presenting with acute abdominal pain and subcutaneous emphysema in a 14-year-old girl with an abandoned distal peritoneal shunt catheter: Case report")</f>
        <v>Bowel perforation presenting with acute abdominal pain and subcutaneous emphysema in a 14-year-old girl with an abandoned distal peritoneal shunt catheter: Case report</v>
      </c>
      <c r="B348" s="5" t="str">
        <f>IFERROR(__xludf.DUMMYFUNCTION("LEFT(FILTER(IMPORTRANGE(""https://docs.google.com/spreadsheets/d/1BJSV3WBYJGRhQ6zExamkszQ5VutGIcaQqmbD9ZTVXMQ/edit#gid=1251630045"",""articles_with_PRISMA_reasons!K2:K2113""), $A348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$A348=IMPORTRANGE(""https://docs.google.com/spreadsheets/d/1BJSV3WBYJGRhQ6zExamkszQ5VutGIcaQqmbD9ZTVXMQ/edit#gid=1251630045"",""articles_with_PRISMA_reasons!B2:B2113"")))-1)"),"Riccardello")</f>
        <v>Riccardello</v>
      </c>
      <c r="C348" s="6">
        <f>IFERROR(__xludf.DUMMYFUNCTION("FILTER(IMPORTRANGE(""https://docs.google.com/spreadsheets/d/1BJSV3WBYJGRhQ6zExamkszQ5VutGIcaQqmbD9ZTVXMQ/edit#gid=1251630045"",""articles_with_PRISMA_reasons!C2:C2113""), $A348=IMPORTRANGE(""https://docs.google.com/spreadsheets/d/1BJSV3WBYJGRhQ6zExamkszQ5"&amp;"VutGIcaQqmbD9ZTVXMQ/edit#gid=1251630045"",""articles_with_PRISMA_reasons!B2:B2113""))"),2016.0)</f>
        <v>2016</v>
      </c>
      <c r="D348" s="5" t="str">
        <f>IFERROR(__xludf.DUMMYFUNCTION("IFS(AND(
FILTER(IMPORTRANGE(""https://docs.google.com/spreadsheets/d/1BJSV3WBYJGRhQ6zExamkszQ5VutGIcaQqmbD9ZTVXMQ/edit#gid=1251630045"",""articles_with_PRISMA_reasons!Y2:Y2113""), $A348=IMPORTRANGE(""https://docs.google.com/spreadsheets/d/1BJSV3WBYJGRhQ6z"&amp;"ExamkszQ5VutGIcaQqmbD9ZTVXMQ/edit#gid=1251630045"",""articles_with_PRISMA_reasons!B2:B2113""))&gt;=2,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$A348=IMPORTRANGE(""https://docs.google.com/spreadsheets/d/1BJSV3WBYJGRhQ6zExamkszQ5VutGIcaQqmbD9ZTVXMQ/edit#gid=1251630045"",""articles_with_PRISMA_reasons!B2:B2113""))&lt;2),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$A348=IMPORTRANGE(""https://docs.google.com/spreadsheets/d/1BJSV3WBYJGRhQ6zExamkszQ5VutGIcaQqmbD9ZTVXMQ/edit#gid=1251630045"",""arti"&amp;"cles_with_PRISMA_reasons!B2:B2113""))&lt;2,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$A348=IMPORTRANGE(""https://docs.google.com"&amp;"/spreadsheets/d/1BJSV3WBYJGRhQ6zExamkszQ5VutGIcaQqmbD9ZTVXMQ/edit#gid=1251630045"",""articles_with_PRISMA_reasons!B2:B2113""))&gt;=2),
""Exclude""
)"),"Exclude")</f>
        <v>Exclude</v>
      </c>
      <c r="E348" s="5" t="str">
        <f>IFERROR(__xludf.DUMMYFUNCTION("IFS(
D348=""Exclude"",""Exclude"",
AND(
FILTER(IMPORTRANGE(""https://docs.google.com/spreadsheets/d/1qpEmbGH0JjaJbUdp21-y2cPbobDbMjr09BbtdKROZWc/edit#gid=1444865654"",""articles_with_PRISMA_reasons!W2:W2113""), $A348=IMPORTRANGE(""https://docs.google.com/"&amp;"spreadsheets/d/1qpEmbGH0JjaJbUdp21-y2cPbobDbMjr09BbtdKROZWc/edit#gid=1444865654"",""articles_with_PRISMA_reasons!B2:B2113""))&gt;=2,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$A348=IMPORTRANGE(""https://docs.google.com/spreadsheets/d/1qpEmbGH0JjaJbUdp21-y2cPbobDbMjr09BbtdKROZWc/edit#gid=1444865654"",""articles_with_PRISMA_reasons!B2:B2113""))&lt;2),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$A348=IMPORTRANGE(""https://docs.google.com/spreadsheets/d/1qpEmbGH0JjaJbUdp21-y2cPbobDbMjr09BbtdKRO"&amp;"ZWc/edit#gid=1444865654"",""articles_with_PRISMA_reasons!B2:B2113""))&lt;2,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$A348=IMPOR"&amp;"TRANGE(""https://docs.google.com/spreadsheets/d/1qpEmbGH0JjaJbUdp21-y2cPbobDbMjr09BbtdKROZWc/edit#gid=1444865654"",""articles_with_PRISMA_reasons!B2:B2113""))&gt;=2),
""Exclude""
)"),"Exclude")</f>
        <v>Exclude</v>
      </c>
      <c r="F348" s="5" t="str">
        <f>IFERROR(__xludf.DUMMYFUNCTION("IFS(
E348=""Exclude"",""Exclude"",
AND(
COUNTIF(
IMPORTRANGE(""https://docs.google.com/spreadsheets/d/1kGrh75X1cNR1D7_FcY9zMnHP8iPO4M5RCRjy6nZY0TY/edit#gid=0"",""Table 1: Study characteristics!B4:B171""),A348)&gt;0,
COUNTIF(Studies!$A$2:$A$85,FILTER(IMPORTRA"&amp;"NGE(""https://docs.google.com/spreadsheets/d/1kGrh75X1cNR1D7_FcY9zMnHP8iPO4M5RCRjy6nZY0TY/edit#gid=0"",""Table 1: Study characteristics!A4:A171""), $A348=IMPORTRANGE(""https://docs.google.com/spreadsheets/d/1kGrh75X1cNR1D7_FcY9zMnHP8iPO4M5RCRjy6nZY0TY/edi"&amp;"t#gid=0"",""Table 1: Study characteristics!B4:B171"")))&gt;0
),
""Include""
)"),"Exclude")</f>
        <v>Exclude</v>
      </c>
      <c r="G348" s="5" t="str">
        <f>IFERROR(__xludf.DUMMYFUNCTION("IFS(
D348=""Exclude"",
FILTER(IMPORTRANGE(""https://docs.google.com/spreadsheets/d/1BJSV3WBYJGRhQ6zExamkszQ5VutGIcaQqmbD9ZTVXMQ/edit#gid=1251630045"",""articles_with_PRISMA_reasons!AB2:AB2113""), $A348=IMPORTRANGE(""https://docs.google.com/spreadsheets/d/"&amp;"1BJSV3WBYJGRhQ6zExamkszQ5VutGIcaQqmbD9ZTVXMQ/edit#gid=1251630045"",""articles_with_PRISMA_reasons!B2:B2113"")),
E348=""Exclude"",
FILTER(IMPORTRANGE(""https://docs.google.com/spreadsheets/d/1qpEmbGH0JjaJbUdp21-y2cPbobDbMjr09BbtdKROZWc/edit#gid=1444865654"&amp;""",""articles_with_PRISMA_reasons!Z2:Z2113""), $A348=IMPORTRANGE(""https://docs.google.com/spreadsheets/d/1qpEmbGH0JjaJbUdp21-y2cPbobDbMjr09BbtdKROZWc/edit#gid=1444865654"",""articles_with_PRISMA_reasons!B2:B2113"")),F348
=""Include"",FILTER(IMPORTRANGE("&amp;"""https://docs.google.com/spreadsheets/d/1kGrh75X1cNR1D7_FcY9zMnHP8iPO4M5RCRjy6nZY0TY/edit#gid=0"",""Table 1: Study characteristics!A4:A171""), $A348=IMPORTRANGE(""https://docs.google.com/spreadsheets/d/1kGrh75X1cNR1D7_FcY9zMnHP8iPO4M5RCRjy6nZY0TY/edit#gi"&amp;"d=0"",""Table 1: Study characteristics!B4:B171""))
)"),"Duplicate")</f>
        <v>Duplicate</v>
      </c>
    </row>
    <row r="349">
      <c r="A349" s="4" t="str">
        <f>IFERROR(__xludf.DUMMYFUNCTION("""COMPUTED_VALUE"""),"Bowel perforation secondary to ventriculoperitoneal shunt: case report and clinical analysis")</f>
        <v>Bowel perforation secondary to ventriculoperitoneal shunt: case report and clinical analysis</v>
      </c>
      <c r="B349" s="5" t="str">
        <f>IFERROR(__xludf.DUMMYFUNCTION("LEFT(FILTER(IMPORTRANGE(""https://docs.google.com/spreadsheets/d/1BJSV3WBYJGRhQ6zExamkszQ5VutGIcaQqmbD9ZTVXMQ/edit#gid=1251630045"",""articles_with_PRISMA_reasons!K2:K2113""), $A349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$A349=IMPORTRANGE(""https://docs.google.com/spreadsheets/d/1BJSV3WBYJGRhQ6zExamkszQ5VutGIcaQqmbD9ZTVXMQ/edit#gid=1251630045"",""articles_with_PRISMA_reasons!B2:B2113"")))-1)"),"Zhou")</f>
        <v>Zhou</v>
      </c>
      <c r="C349" s="6">
        <f>IFERROR(__xludf.DUMMYFUNCTION("FILTER(IMPORTRANGE(""https://docs.google.com/spreadsheets/d/1BJSV3WBYJGRhQ6zExamkszQ5VutGIcaQqmbD9ZTVXMQ/edit#gid=1251630045"",""articles_with_PRISMA_reasons!C2:C2113""), $A349=IMPORTRANGE(""https://docs.google.com/spreadsheets/d/1BJSV3WBYJGRhQ6zExamkszQ5"&amp;"VutGIcaQqmbD9ZTVXMQ/edit#gid=1251630045"",""articles_with_PRISMA_reasons!B2:B2113""))"),2007.0)</f>
        <v>2007</v>
      </c>
      <c r="D349" s="5" t="str">
        <f>IFERROR(__xludf.DUMMYFUNCTION("IFS(AND(
FILTER(IMPORTRANGE(""https://docs.google.com/spreadsheets/d/1BJSV3WBYJGRhQ6zExamkszQ5VutGIcaQqmbD9ZTVXMQ/edit#gid=1251630045"",""articles_with_PRISMA_reasons!Y2:Y2113""), $A349=IMPORTRANGE(""https://docs.google.com/spreadsheets/d/1BJSV3WBYJGRhQ6z"&amp;"ExamkszQ5VutGIcaQqmbD9ZTVXMQ/edit#gid=1251630045"",""articles_with_PRISMA_reasons!B2:B2113""))&gt;=2,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$A349=IMPORTRANGE(""https://docs.google.com/spreadsheets/d/1BJSV3WBYJGRhQ6zExamkszQ5VutGIcaQqmbD9ZTVXMQ/edit#gid=1251630045"",""articles_with_PRISMA_reasons!B2:B2113""))&lt;2),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$A349=IMPORTRANGE(""https://docs.google.com/spreadsheets/d/1BJSV3WBYJGRhQ6zExamkszQ5VutGIcaQqmbD9ZTVXMQ/edit#gid=1251630045"",""arti"&amp;"cles_with_PRISMA_reasons!B2:B2113""))&lt;2,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$A349=IMPORTRANGE(""https://docs.google.com"&amp;"/spreadsheets/d/1BJSV3WBYJGRhQ6zExamkszQ5VutGIcaQqmbD9ZTVXMQ/edit#gid=1251630045"",""articles_with_PRISMA_reasons!B2:B2113""))&gt;=2),
""Exclude""
)"),"Exclude")</f>
        <v>Exclude</v>
      </c>
      <c r="E349" s="5" t="str">
        <f>IFERROR(__xludf.DUMMYFUNCTION("IFS(
D349=""Exclude"",""Exclude"",
AND(
FILTER(IMPORTRANGE(""https://docs.google.com/spreadsheets/d/1qpEmbGH0JjaJbUdp21-y2cPbobDbMjr09BbtdKROZWc/edit#gid=1444865654"",""articles_with_PRISMA_reasons!W2:W2113""), $A349=IMPORTRANGE(""https://docs.google.com/"&amp;"spreadsheets/d/1qpEmbGH0JjaJbUdp21-y2cPbobDbMjr09BbtdKROZWc/edit#gid=1444865654"",""articles_with_PRISMA_reasons!B2:B2113""))&gt;=2,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$A349=IMPORTRANGE(""https://docs.google.com/spreadsheets/d/1qpEmbGH0JjaJbUdp21-y2cPbobDbMjr09BbtdKROZWc/edit#gid=1444865654"",""articles_with_PRISMA_reasons!B2:B2113""))&lt;2),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$A349=IMPORTRANGE(""https://docs.google.com/spreadsheets/d/1qpEmbGH0JjaJbUdp21-y2cPbobDbMjr09BbtdKRO"&amp;"ZWc/edit#gid=1444865654"",""articles_with_PRISMA_reasons!B2:B2113""))&lt;2,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$A349=IMPOR"&amp;"TRANGE(""https://docs.google.com/spreadsheets/d/1qpEmbGH0JjaJbUdp21-y2cPbobDbMjr09BbtdKROZWc/edit#gid=1444865654"",""articles_with_PRISMA_reasons!B2:B2113""))&gt;=2),
""Exclude""
)"),"Exclude")</f>
        <v>Exclude</v>
      </c>
      <c r="F349" s="5" t="str">
        <f>IFERROR(__xludf.DUMMYFUNCTION("IFS(
E349=""Exclude"",""Exclude"",
AND(
COUNTIF(
IMPORTRANGE(""https://docs.google.com/spreadsheets/d/1kGrh75X1cNR1D7_FcY9zMnHP8iPO4M5RCRjy6nZY0TY/edit#gid=0"",""Table 1: Study characteristics!B4:B171""),A349)&gt;0,
COUNTIF(Studies!$A$2:$A$85,FILTER(IMPORTRA"&amp;"NGE(""https://docs.google.com/spreadsheets/d/1kGrh75X1cNR1D7_FcY9zMnHP8iPO4M5RCRjy6nZY0TY/edit#gid=0"",""Table 1: Study characteristics!A4:A171""), $A349=IMPORTRANGE(""https://docs.google.com/spreadsheets/d/1kGrh75X1cNR1D7_FcY9zMnHP8iPO4M5RCRjy6nZY0TY/edi"&amp;"t#gid=0"",""Table 1: Study characteristics!B4:B171"")))&gt;0
),
""Include""
)"),"Exclude")</f>
        <v>Exclude</v>
      </c>
      <c r="G349" s="5" t="str">
        <f>IFERROR(__xludf.DUMMYFUNCTION("IFS(
D349=""Exclude"",
FILTER(IMPORTRANGE(""https://docs.google.com/spreadsheets/d/1BJSV3WBYJGRhQ6zExamkszQ5VutGIcaQqmbD9ZTVXMQ/edit#gid=1251630045"",""articles_with_PRISMA_reasons!AB2:AB2113""), $A349=IMPORTRANGE(""https://docs.google.com/spreadsheets/d/"&amp;"1BJSV3WBYJGRhQ6zExamkszQ5VutGIcaQqmbD9ZTVXMQ/edit#gid=1251630045"",""articles_with_PRISMA_reasons!B2:B2113"")),
E349=""Exclude"",
FILTER(IMPORTRANGE(""https://docs.google.com/spreadsheets/d/1qpEmbGH0JjaJbUdp21-y2cPbobDbMjr09BbtdKROZWc/edit#gid=1444865654"&amp;""",""articles_with_PRISMA_reasons!Z2:Z2113""), $A349=IMPORTRANGE(""https://docs.google.com/spreadsheets/d/1qpEmbGH0JjaJbUdp21-y2cPbobDbMjr09BbtdKROZWc/edit#gid=1444865654"",""articles_with_PRISMA_reasons!B2:B2113"")),F349
=""Include"",FILTER(IMPORTRANGE("&amp;"""https://docs.google.com/spreadsheets/d/1kGrh75X1cNR1D7_FcY9zMnHP8iPO4M5RCRjy6nZY0TY/edit#gid=0"",""Table 1: Study characteristics!A4:A171""), $A349=IMPORTRANGE(""https://docs.google.com/spreadsheets/d/1kGrh75X1cNR1D7_FcY9zMnHP8iPO4M5RCRjy6nZY0TY/edit#gi"&amp;"d=0"",""Table 1: Study characteristics!B4:B171""))
)"),"wrong publication type")</f>
        <v>wrong publication type</v>
      </c>
    </row>
    <row r="350">
      <c r="A350" s="4" t="str">
        <f>IFERROR(__xludf.DUMMYFUNCTION("""COMPUTED_VALUE"""),"Brain abnormalities in myelomeningocele patients")</f>
        <v>Brain abnormalities in myelomeningocele patients</v>
      </c>
      <c r="B350" s="5" t="str">
        <f>IFERROR(__xludf.DUMMYFUNCTION("LEFT(FILTER(IMPORTRANGE(""https://docs.google.com/spreadsheets/d/1BJSV3WBYJGRhQ6zExamkszQ5VutGIcaQqmbD9ZTVXMQ/edit#gid=1251630045"",""articles_with_PRISMA_reasons!K2:K2113""), $A350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$A350=IMPORTRANGE(""https://docs.google.com/spreadsheets/d/1BJSV3WBYJGRhQ6zExamkszQ5VutGIcaQqmbD9ZTVXMQ/edit#gid=1251630045"",""articles_with_PRISMA_reasons!B2:B2113"")))-1)"),"Morais")</f>
        <v>Morais</v>
      </c>
      <c r="C350" s="6" t="str">
        <f>IFERROR(__xludf.DUMMYFUNCTION("FILTER(IMPORTRANGE(""https://docs.google.com/spreadsheets/d/1BJSV3WBYJGRhQ6zExamkszQ5VutGIcaQqmbD9ZTVXMQ/edit#gid=1251630045"",""articles_with_PRISMA_reasons!C2:C2113""), $A350=IMPORTRANGE(""https://docs.google.com/spreadsheets/d/1BJSV3WBYJGRhQ6zExamkszQ5"&amp;"VutGIcaQqmbD9ZTVXMQ/edit#gid=1251630045"",""articles_with_PRISMA_reasons!B2:B2113""))"),"Jul")</f>
        <v>Jul</v>
      </c>
      <c r="D350" s="5" t="str">
        <f>IFERROR(__xludf.DUMMYFUNCTION("IFS(AND(
FILTER(IMPORTRANGE(""https://docs.google.com/spreadsheets/d/1BJSV3WBYJGRhQ6zExamkszQ5VutGIcaQqmbD9ZTVXMQ/edit#gid=1251630045"",""articles_with_PRISMA_reasons!Y2:Y2113""), $A350=IMPORTRANGE(""https://docs.google.com/spreadsheets/d/1BJSV3WBYJGRhQ6z"&amp;"ExamkszQ5VutGIcaQqmbD9ZTVXMQ/edit#gid=1251630045"",""articles_with_PRISMA_reasons!B2:B2113""))&gt;=2,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$A350=IMPORTRANGE(""https://docs.google.com/spreadsheets/d/1BJSV3WBYJGRhQ6zExamkszQ5VutGIcaQqmbD9ZTVXMQ/edit#gid=1251630045"",""articles_with_PRISMA_reasons!B2:B2113""))&lt;2),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$A350=IMPORTRANGE(""https://docs.google.com/spreadsheets/d/1BJSV3WBYJGRhQ6zExamkszQ5VutGIcaQqmbD9ZTVXMQ/edit#gid=1251630045"",""arti"&amp;"cles_with_PRISMA_reasons!B2:B2113""))&lt;2,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$A350=IMPORTRANGE(""https://docs.google.com"&amp;"/spreadsheets/d/1BJSV3WBYJGRhQ6zExamkszQ5VutGIcaQqmbD9ZTVXMQ/edit#gid=1251630045"",""articles_with_PRISMA_reasons!B2:B2113""))&gt;=2),
""Exclude""
)"),"Exclude")</f>
        <v>Exclude</v>
      </c>
      <c r="E350" s="5" t="str">
        <f>IFERROR(__xludf.DUMMYFUNCTION("IFS(
D350=""Exclude"",""Exclude"",
AND(
FILTER(IMPORTRANGE(""https://docs.google.com/spreadsheets/d/1qpEmbGH0JjaJbUdp21-y2cPbobDbMjr09BbtdKROZWc/edit#gid=1444865654"",""articles_with_PRISMA_reasons!W2:W2113""), $A350=IMPORTRANGE(""https://docs.google.com/"&amp;"spreadsheets/d/1qpEmbGH0JjaJbUdp21-y2cPbobDbMjr09BbtdKROZWc/edit#gid=1444865654"",""articles_with_PRISMA_reasons!B2:B2113""))&gt;=2,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$A350=IMPORTRANGE(""https://docs.google.com/spreadsheets/d/1qpEmbGH0JjaJbUdp21-y2cPbobDbMjr09BbtdKROZWc/edit#gid=1444865654"",""articles_with_PRISMA_reasons!B2:B2113""))&lt;2),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$A350=IMPORTRANGE(""https://docs.google.com/spreadsheets/d/1qpEmbGH0JjaJbUdp21-y2cPbobDbMjr09BbtdKRO"&amp;"ZWc/edit#gid=1444865654"",""articles_with_PRISMA_reasons!B2:B2113""))&lt;2,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$A350=IMPOR"&amp;"TRANGE(""https://docs.google.com/spreadsheets/d/1qpEmbGH0JjaJbUdp21-y2cPbobDbMjr09BbtdKROZWc/edit#gid=1444865654"",""articles_with_PRISMA_reasons!B2:B2113""))&gt;=2),
""Exclude""
)"),"Exclude")</f>
        <v>Exclude</v>
      </c>
      <c r="F350" s="5" t="str">
        <f>IFERROR(__xludf.DUMMYFUNCTION("IFS(
E350=""Exclude"",""Exclude"",
AND(
COUNTIF(
IMPORTRANGE(""https://docs.google.com/spreadsheets/d/1kGrh75X1cNR1D7_FcY9zMnHP8iPO4M5RCRjy6nZY0TY/edit#gid=0"",""Table 1: Study characteristics!B4:B171""),A350)&gt;0,
COUNTIF(Studies!$A$2:$A$85,FILTER(IMPORTRA"&amp;"NGE(""https://docs.google.com/spreadsheets/d/1kGrh75X1cNR1D7_FcY9zMnHP8iPO4M5RCRjy6nZY0TY/edit#gid=0"",""Table 1: Study characteristics!A4:A171""), $A350=IMPORTRANGE(""https://docs.google.com/spreadsheets/d/1kGrh75X1cNR1D7_FcY9zMnHP8iPO4M5RCRjy6nZY0TY/edi"&amp;"t#gid=0"",""Table 1: Study characteristics!B4:B171"")))&gt;0
),
""Include""
)"),"Exclude")</f>
        <v>Exclude</v>
      </c>
      <c r="G350" s="5" t="str">
        <f>IFERROR(__xludf.DUMMYFUNCTION("IFS(
D350=""Exclude"",
FILTER(IMPORTRANGE(""https://docs.google.com/spreadsheets/d/1BJSV3WBYJGRhQ6zExamkszQ5VutGIcaQqmbD9ZTVXMQ/edit#gid=1251630045"",""articles_with_PRISMA_reasons!AB2:AB2113""), $A350=IMPORTRANGE(""https://docs.google.com/spreadsheets/d/"&amp;"1BJSV3WBYJGRhQ6zExamkszQ5VutGIcaQqmbD9ZTVXMQ/edit#gid=1251630045"",""articles_with_PRISMA_reasons!B2:B2113"")),
E350=""Exclude"",
FILTER(IMPORTRANGE(""https://docs.google.com/spreadsheets/d/1qpEmbGH0JjaJbUdp21-y2cPbobDbMjr09BbtdKROZWc/edit#gid=1444865654"&amp;""",""articles_with_PRISMA_reasons!Z2:Z2113""), $A350=IMPORTRANGE(""https://docs.google.com/spreadsheets/d/1qpEmbGH0JjaJbUdp21-y2cPbobDbMjr09BbtdKROZWc/edit#gid=1444865654"",""articles_with_PRISMA_reasons!B2:B2113"")),F350
=""Include"",FILTER(IMPORTRANGE("&amp;"""https://docs.google.com/spreadsheets/d/1kGrh75X1cNR1D7_FcY9zMnHP8iPO4M5RCRjy6nZY0TY/edit#gid=0"",""Table 1: Study characteristics!A4:A171""), $A350=IMPORTRANGE(""https://docs.google.com/spreadsheets/d/1kGrh75X1cNR1D7_FcY9zMnHP8iPO4M5RCRjy6nZY0TY/edit#gi"&amp;"d=0"",""Table 1: Study characteristics!B4:B171""))
)"),"Duplicate")</f>
        <v>Duplicate</v>
      </c>
    </row>
    <row r="351">
      <c r="A351" s="4" t="str">
        <f>IFERROR(__xludf.DUMMYFUNCTION("""COMPUTED_VALUE"""),"Brain malformations and cognitive performance in spina bifida")</f>
        <v>Brain malformations and cognitive performance in spina bifida</v>
      </c>
      <c r="B351" s="5" t="str">
        <f>IFERROR(__xludf.DUMMYFUNCTION("LEFT(FILTER(IMPORTRANGE(""https://docs.google.com/spreadsheets/d/1BJSV3WBYJGRhQ6zExamkszQ5VutGIcaQqmbD9ZTVXMQ/edit#gid=1251630045"",""articles_with_PRISMA_reasons!K2:K2113""), $A351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$A351=IMPORTRANGE(""https://docs.google.com/spreadsheets/d/1BJSV3WBYJGRhQ6zExamkszQ5VutGIcaQqmbD9ZTVXMQ/edit#gid=1251630045"",""articles_with_PRISMA_reasons!B2:B2113"")))-1)"),"Seidel")</f>
        <v>Seidel</v>
      </c>
      <c r="C351" s="6">
        <f>IFERROR(__xludf.DUMMYFUNCTION("FILTER(IMPORTRANGE(""https://docs.google.com/spreadsheets/d/1BJSV3WBYJGRhQ6zExamkszQ5VutGIcaQqmbD9ZTVXMQ/edit#gid=1251630045"",""articles_with_PRISMA_reasons!C2:C2113""), $A351=IMPORTRANGE(""https://docs.google.com/spreadsheets/d/1BJSV3WBYJGRhQ6zExamkszQ5"&amp;"VutGIcaQqmbD9ZTVXMQ/edit#gid=1251630045"",""articles_with_PRISMA_reasons!B2:B2113""))"),2021.0)</f>
        <v>2021</v>
      </c>
      <c r="D351" s="5" t="str">
        <f>IFERROR(__xludf.DUMMYFUNCTION("IFS(AND(
FILTER(IMPORTRANGE(""https://docs.google.com/spreadsheets/d/1BJSV3WBYJGRhQ6zExamkszQ5VutGIcaQqmbD9ZTVXMQ/edit#gid=1251630045"",""articles_with_PRISMA_reasons!Y2:Y2113""), $A351=IMPORTRANGE(""https://docs.google.com/spreadsheets/d/1BJSV3WBYJGRhQ6z"&amp;"ExamkszQ5VutGIcaQqmbD9ZTVXMQ/edit#gid=1251630045"",""articles_with_PRISMA_reasons!B2:B2113""))&gt;=2,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$A351=IMPORTRANGE(""https://docs.google.com/spreadsheets/d/1BJSV3WBYJGRhQ6zExamkszQ5VutGIcaQqmbD9ZTVXMQ/edit#gid=1251630045"",""articles_with_PRISMA_reasons!B2:B2113""))&lt;2),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$A351=IMPORTRANGE(""https://docs.google.com/spreadsheets/d/1BJSV3WBYJGRhQ6zExamkszQ5VutGIcaQqmbD9ZTVXMQ/edit#gid=1251630045"",""arti"&amp;"cles_with_PRISMA_reasons!B2:B2113""))&lt;2,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$A351=IMPORTRANGE(""https://docs.google.com"&amp;"/spreadsheets/d/1BJSV3WBYJGRhQ6zExamkszQ5VutGIcaQqmbD9ZTVXMQ/edit#gid=1251630045"",""articles_with_PRISMA_reasons!B2:B2113""))&gt;=2),
""Exclude""
)"),"Exclude")</f>
        <v>Exclude</v>
      </c>
      <c r="E351" s="5" t="str">
        <f>IFERROR(__xludf.DUMMYFUNCTION("IFS(
D351=""Exclude"",""Exclude"",
AND(
FILTER(IMPORTRANGE(""https://docs.google.com/spreadsheets/d/1qpEmbGH0JjaJbUdp21-y2cPbobDbMjr09BbtdKROZWc/edit#gid=1444865654"",""articles_with_PRISMA_reasons!W2:W2113""), $A351=IMPORTRANGE(""https://docs.google.com/"&amp;"spreadsheets/d/1qpEmbGH0JjaJbUdp21-y2cPbobDbMjr09BbtdKROZWc/edit#gid=1444865654"",""articles_with_PRISMA_reasons!B2:B2113""))&gt;=2,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$A351=IMPORTRANGE(""https://docs.google.com/spreadsheets/d/1qpEmbGH0JjaJbUdp21-y2cPbobDbMjr09BbtdKROZWc/edit#gid=1444865654"",""articles_with_PRISMA_reasons!B2:B2113""))&lt;2),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$A351=IMPORTRANGE(""https://docs.google.com/spreadsheets/d/1qpEmbGH0JjaJbUdp21-y2cPbobDbMjr09BbtdKRO"&amp;"ZWc/edit#gid=1444865654"",""articles_with_PRISMA_reasons!B2:B2113""))&lt;2,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$A351=IMPOR"&amp;"TRANGE(""https://docs.google.com/spreadsheets/d/1qpEmbGH0JjaJbUdp21-y2cPbobDbMjr09BbtdKROZWc/edit#gid=1444865654"",""articles_with_PRISMA_reasons!B2:B2113""))&gt;=2),
""Exclude""
)"),"Exclude")</f>
        <v>Exclude</v>
      </c>
      <c r="F351" s="5" t="str">
        <f>IFERROR(__xludf.DUMMYFUNCTION("IFS(
E351=""Exclude"",""Exclude"",
AND(
COUNTIF(
IMPORTRANGE(""https://docs.google.com/spreadsheets/d/1kGrh75X1cNR1D7_FcY9zMnHP8iPO4M5RCRjy6nZY0TY/edit#gid=0"",""Table 1: Study characteristics!B4:B171""),A351)&gt;0,
COUNTIF(Studies!$A$2:$A$85,FILTER(IMPORTRA"&amp;"NGE(""https://docs.google.com/spreadsheets/d/1kGrh75X1cNR1D7_FcY9zMnHP8iPO4M5RCRjy6nZY0TY/edit#gid=0"",""Table 1: Study characteristics!A4:A171""), $A351=IMPORTRANGE(""https://docs.google.com/spreadsheets/d/1kGrh75X1cNR1D7_FcY9zMnHP8iPO4M5RCRjy6nZY0TY/edi"&amp;"t#gid=0"",""Table 1: Study characteristics!B4:B171"")))&gt;0
),
""Include""
)"),"Exclude")</f>
        <v>Exclude</v>
      </c>
      <c r="G351" s="5" t="str">
        <f>IFERROR(__xludf.DUMMYFUNCTION("IFS(
D351=""Exclude"",
FILTER(IMPORTRANGE(""https://docs.google.com/spreadsheets/d/1BJSV3WBYJGRhQ6zExamkszQ5VutGIcaQqmbD9ZTVXMQ/edit#gid=1251630045"",""articles_with_PRISMA_reasons!AB2:AB2113""), $A351=IMPORTRANGE(""https://docs.google.com/spreadsheets/d/"&amp;"1BJSV3WBYJGRhQ6zExamkszQ5VutGIcaQqmbD9ZTVXMQ/edit#gid=1251630045"",""articles_with_PRISMA_reasons!B2:B2113"")),
E351=""Exclude"",
FILTER(IMPORTRANGE(""https://docs.google.com/spreadsheets/d/1qpEmbGH0JjaJbUdp21-y2cPbobDbMjr09BbtdKROZWc/edit#gid=1444865654"&amp;""",""articles_with_PRISMA_reasons!Z2:Z2113""), $A351=IMPORTRANGE(""https://docs.google.com/spreadsheets/d/1qpEmbGH0JjaJbUdp21-y2cPbobDbMjr09BbtdKROZWc/edit#gid=1444865654"",""articles_with_PRISMA_reasons!B2:B2113"")),F351
=""Include"",FILTER(IMPORTRANGE("&amp;"""https://docs.google.com/spreadsheets/d/1kGrh75X1cNR1D7_FcY9zMnHP8iPO4M5RCRjy6nZY0TY/edit#gid=0"",""Table 1: Study characteristics!A4:A171""), $A351=IMPORTRANGE(""https://docs.google.com/spreadsheets/d/1kGrh75X1cNR1D7_FcY9zMnHP8iPO4M5RCRjy6nZY0TY/edit#gi"&amp;"d=0"",""Table 1: Study characteristics!B4:B171""))
)"),"wrong population")</f>
        <v>wrong population</v>
      </c>
    </row>
    <row r="352">
      <c r="A352" s="4" t="str">
        <f>IFERROR(__xludf.DUMMYFUNCTION("""COMPUTED_VALUE"""),"Brain malformations and spina bifida")</f>
        <v>Brain malformations and spina bifida</v>
      </c>
      <c r="B352" s="5" t="str">
        <f>IFERROR(__xludf.DUMMYFUNCTION("LEFT(FILTER(IMPORTRANGE(""https://docs.google.com/spreadsheets/d/1BJSV3WBYJGRhQ6zExamkszQ5VutGIcaQqmbD9ZTVXMQ/edit#gid=1251630045"",""articles_with_PRISMA_reasons!K2:K2113""), $A352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$A352=IMPORTRANGE(""https://docs.google.com/spreadsheets/d/1BJSV3WBYJGRhQ6zExamkszQ5VutGIcaQqmbD9ZTVXMQ/edit#gid=1251630045"",""articles_with_PRISMA_reasons!B2:B2113"")))-1)"),"Fletcher")</f>
        <v>Fletcher</v>
      </c>
      <c r="C352" s="6">
        <f>IFERROR(__xludf.DUMMYFUNCTION("FILTER(IMPORTRANGE(""https://docs.google.com/spreadsheets/d/1BJSV3WBYJGRhQ6zExamkszQ5VutGIcaQqmbD9ZTVXMQ/edit#gid=1251630045"",""articles_with_PRISMA_reasons!C2:C2113""), $A352=IMPORTRANGE(""https://docs.google.com/spreadsheets/d/1BJSV3WBYJGRhQ6zExamkszQ5"&amp;"VutGIcaQqmbD9ZTVXMQ/edit#gid=1251630045"",""articles_with_PRISMA_reasons!B2:B2113""))"),2021.0)</f>
        <v>2021</v>
      </c>
      <c r="D352" s="5" t="str">
        <f>IFERROR(__xludf.DUMMYFUNCTION("IFS(AND(
FILTER(IMPORTRANGE(""https://docs.google.com/spreadsheets/d/1BJSV3WBYJGRhQ6zExamkszQ5VutGIcaQqmbD9ZTVXMQ/edit#gid=1251630045"",""articles_with_PRISMA_reasons!Y2:Y2113""), $A352=IMPORTRANGE(""https://docs.google.com/spreadsheets/d/1BJSV3WBYJGRhQ6z"&amp;"ExamkszQ5VutGIcaQqmbD9ZTVXMQ/edit#gid=1251630045"",""articles_with_PRISMA_reasons!B2:B2113""))&gt;=2,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$A352=IMPORTRANGE(""https://docs.google.com/spreadsheets/d/1BJSV3WBYJGRhQ6zExamkszQ5VutGIcaQqmbD9ZTVXMQ/edit#gid=1251630045"",""articles_with_PRISMA_reasons!B2:B2113""))&lt;2),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$A352=IMPORTRANGE(""https://docs.google.com/spreadsheets/d/1BJSV3WBYJGRhQ6zExamkszQ5VutGIcaQqmbD9ZTVXMQ/edit#gid=1251630045"",""arti"&amp;"cles_with_PRISMA_reasons!B2:B2113""))&lt;2,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$A352=IMPORTRANGE(""https://docs.google.com"&amp;"/spreadsheets/d/1BJSV3WBYJGRhQ6zExamkszQ5VutGIcaQqmbD9ZTVXMQ/edit#gid=1251630045"",""articles_with_PRISMA_reasons!B2:B2113""))&gt;=2),
""Exclude""
)"),"Exclude")</f>
        <v>Exclude</v>
      </c>
      <c r="E352" s="5" t="str">
        <f>IFERROR(__xludf.DUMMYFUNCTION("IFS(
D352=""Exclude"",""Exclude"",
AND(
FILTER(IMPORTRANGE(""https://docs.google.com/spreadsheets/d/1qpEmbGH0JjaJbUdp21-y2cPbobDbMjr09BbtdKROZWc/edit#gid=1444865654"",""articles_with_PRISMA_reasons!W2:W2113""), $A352=IMPORTRANGE(""https://docs.google.com/"&amp;"spreadsheets/d/1qpEmbGH0JjaJbUdp21-y2cPbobDbMjr09BbtdKROZWc/edit#gid=1444865654"",""articles_with_PRISMA_reasons!B2:B2113""))&gt;=2,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$A352=IMPORTRANGE(""https://docs.google.com/spreadsheets/d/1qpEmbGH0JjaJbUdp21-y2cPbobDbMjr09BbtdKROZWc/edit#gid=1444865654"",""articles_with_PRISMA_reasons!B2:B2113""))&lt;2),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$A352=IMPORTRANGE(""https://docs.google.com/spreadsheets/d/1qpEmbGH0JjaJbUdp21-y2cPbobDbMjr09BbtdKRO"&amp;"ZWc/edit#gid=1444865654"",""articles_with_PRISMA_reasons!B2:B2113""))&lt;2,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$A352=IMPOR"&amp;"TRANGE(""https://docs.google.com/spreadsheets/d/1qpEmbGH0JjaJbUdp21-y2cPbobDbMjr09BbtdKROZWc/edit#gid=1444865654"",""articles_with_PRISMA_reasons!B2:B2113""))&gt;=2),
""Exclude""
)"),"Exclude")</f>
        <v>Exclude</v>
      </c>
      <c r="F352" s="5" t="str">
        <f>IFERROR(__xludf.DUMMYFUNCTION("IFS(
E352=""Exclude"",""Exclude"",
AND(
COUNTIF(
IMPORTRANGE(""https://docs.google.com/spreadsheets/d/1kGrh75X1cNR1D7_FcY9zMnHP8iPO4M5RCRjy6nZY0TY/edit#gid=0"",""Table 1: Study characteristics!B4:B171""),A352)&gt;0,
COUNTIF(Studies!$A$2:$A$85,FILTER(IMPORTRA"&amp;"NGE(""https://docs.google.com/spreadsheets/d/1kGrh75X1cNR1D7_FcY9zMnHP8iPO4M5RCRjy6nZY0TY/edit#gid=0"",""Table 1: Study characteristics!A4:A171""), $A352=IMPORTRANGE(""https://docs.google.com/spreadsheets/d/1kGrh75X1cNR1D7_FcY9zMnHP8iPO4M5RCRjy6nZY0TY/edi"&amp;"t#gid=0"",""Table 1: Study characteristics!B4:B171"")))&gt;0
),
""Include""
)"),"Exclude")</f>
        <v>Exclude</v>
      </c>
      <c r="G352" s="5" t="str">
        <f>IFERROR(__xludf.DUMMYFUNCTION("IFS(
D352=""Exclude"",
FILTER(IMPORTRANGE(""https://docs.google.com/spreadsheets/d/1BJSV3WBYJGRhQ6zExamkszQ5VutGIcaQqmbD9ZTVXMQ/edit#gid=1251630045"",""articles_with_PRISMA_reasons!AB2:AB2113""), $A352=IMPORTRANGE(""https://docs.google.com/spreadsheets/d/"&amp;"1BJSV3WBYJGRhQ6zExamkszQ5VutGIcaQqmbD9ZTVXMQ/edit#gid=1251630045"",""articles_with_PRISMA_reasons!B2:B2113"")),
E352=""Exclude"",
FILTER(IMPORTRANGE(""https://docs.google.com/spreadsheets/d/1qpEmbGH0JjaJbUdp21-y2cPbobDbMjr09BbtdKROZWc/edit#gid=1444865654"&amp;""",""articles_with_PRISMA_reasons!Z2:Z2113""), $A352=IMPORTRANGE(""https://docs.google.com/spreadsheets/d/1qpEmbGH0JjaJbUdp21-y2cPbobDbMjr09BbtdKROZWc/edit#gid=1444865654"",""articles_with_PRISMA_reasons!B2:B2113"")),F352
=""Include"",FILTER(IMPORTRANGE("&amp;"""https://docs.google.com/spreadsheets/d/1kGrh75X1cNR1D7_FcY9zMnHP8iPO4M5RCRjy6nZY0TY/edit#gid=0"",""Table 1: Study characteristics!A4:A171""), $A352=IMPORTRANGE(""https://docs.google.com/spreadsheets/d/1kGrh75X1cNR1D7_FcY9zMnHP8iPO4M5RCRjy6nZY0TY/edit#gi"&amp;"d=0"",""Table 1: Study characteristics!B4:B171""))
)"),"wrong study design")</f>
        <v>wrong study design</v>
      </c>
    </row>
    <row r="353">
      <c r="A353" s="4" t="str">
        <f>IFERROR(__xludf.DUMMYFUNCTION("""COMPUTED_VALUE"""),"Brain malformations in the sheep model of myelomeningocele are similar to those found in human disease: preliminary report")</f>
        <v>Brain malformations in the sheep model of myelomeningocele are similar to those found in human disease: preliminary report</v>
      </c>
      <c r="B353" s="5" t="str">
        <f>IFERROR(__xludf.DUMMYFUNCTION("LEFT(FILTER(IMPORTRANGE(""https://docs.google.com/spreadsheets/d/1BJSV3WBYJGRhQ6zExamkszQ5VutGIcaQqmbD9ZTVXMQ/edit#gid=1251630045"",""articles_with_PRISMA_reasons!K2:K2113""), $A353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$A353=IMPORTRANGE(""https://docs.google.com/spreadsheets/d/1BJSV3WBYJGRhQ6zExamkszQ5VutGIcaQqmbD9ZTVXMQ/edit#gid=1251630045"",""articles_with_PRISMA_reasons!B2:B2113"")))-1)"),"Encinas Hern and ez")</f>
        <v>Encinas Hern and ez</v>
      </c>
      <c r="C353" s="6">
        <f>IFERROR(__xludf.DUMMYFUNCTION("FILTER(IMPORTRANGE(""https://docs.google.com/spreadsheets/d/1BJSV3WBYJGRhQ6zExamkszQ5VutGIcaQqmbD9ZTVXMQ/edit#gid=1251630045"",""articles_with_PRISMA_reasons!C2:C2113""), $A353=IMPORTRANGE(""https://docs.google.com/spreadsheets/d/1BJSV3WBYJGRhQ6zExamkszQ5"&amp;"VutGIcaQqmbD9ZTVXMQ/edit#gid=1251630045"",""articles_with_PRISMA_reasons!B2:B2113""))"),2008.0)</f>
        <v>2008</v>
      </c>
      <c r="D353" s="5" t="str">
        <f>IFERROR(__xludf.DUMMYFUNCTION("IFS(AND(
FILTER(IMPORTRANGE(""https://docs.google.com/spreadsheets/d/1BJSV3WBYJGRhQ6zExamkszQ5VutGIcaQqmbD9ZTVXMQ/edit#gid=1251630045"",""articles_with_PRISMA_reasons!Y2:Y2113""), $A353=IMPORTRANGE(""https://docs.google.com/spreadsheets/d/1BJSV3WBYJGRhQ6z"&amp;"ExamkszQ5VutGIcaQqmbD9ZTVXMQ/edit#gid=1251630045"",""articles_with_PRISMA_reasons!B2:B2113""))&gt;=2,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$A353=IMPORTRANGE(""https://docs.google.com/spreadsheets/d/1BJSV3WBYJGRhQ6zExamkszQ5VutGIcaQqmbD9ZTVXMQ/edit#gid=1251630045"",""articles_with_PRISMA_reasons!B2:B2113""))&lt;2),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$A353=IMPORTRANGE(""https://docs.google.com/spreadsheets/d/1BJSV3WBYJGRhQ6zExamkszQ5VutGIcaQqmbD9ZTVXMQ/edit#gid=1251630045"",""arti"&amp;"cles_with_PRISMA_reasons!B2:B2113""))&lt;2,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$A353=IMPORTRANGE(""https://docs.google.com"&amp;"/spreadsheets/d/1BJSV3WBYJGRhQ6zExamkszQ5VutGIcaQqmbD9ZTVXMQ/edit#gid=1251630045"",""articles_with_PRISMA_reasons!B2:B2113""))&gt;=2),
""Exclude""
)"),"Exclude")</f>
        <v>Exclude</v>
      </c>
      <c r="E353" s="5" t="str">
        <f>IFERROR(__xludf.DUMMYFUNCTION("IFS(
D353=""Exclude"",""Exclude"",
AND(
FILTER(IMPORTRANGE(""https://docs.google.com/spreadsheets/d/1qpEmbGH0JjaJbUdp21-y2cPbobDbMjr09BbtdKROZWc/edit#gid=1444865654"",""articles_with_PRISMA_reasons!W2:W2113""), $A353=IMPORTRANGE(""https://docs.google.com/"&amp;"spreadsheets/d/1qpEmbGH0JjaJbUdp21-y2cPbobDbMjr09BbtdKROZWc/edit#gid=1444865654"",""articles_with_PRISMA_reasons!B2:B2113""))&gt;=2,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$A353=IMPORTRANGE(""https://docs.google.com/spreadsheets/d/1qpEmbGH0JjaJbUdp21-y2cPbobDbMjr09BbtdKROZWc/edit#gid=1444865654"",""articles_with_PRISMA_reasons!B2:B2113""))&lt;2),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$A353=IMPORTRANGE(""https://docs.google.com/spreadsheets/d/1qpEmbGH0JjaJbUdp21-y2cPbobDbMjr09BbtdKRO"&amp;"ZWc/edit#gid=1444865654"",""articles_with_PRISMA_reasons!B2:B2113""))&lt;2,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$A353=IMPOR"&amp;"TRANGE(""https://docs.google.com/spreadsheets/d/1qpEmbGH0JjaJbUdp21-y2cPbobDbMjr09BbtdKROZWc/edit#gid=1444865654"",""articles_with_PRISMA_reasons!B2:B2113""))&gt;=2),
""Exclude""
)"),"Exclude")</f>
        <v>Exclude</v>
      </c>
      <c r="F353" s="5" t="str">
        <f>IFERROR(__xludf.DUMMYFUNCTION("IFS(
E353=""Exclude"",""Exclude"",
AND(
COUNTIF(
IMPORTRANGE(""https://docs.google.com/spreadsheets/d/1kGrh75X1cNR1D7_FcY9zMnHP8iPO4M5RCRjy6nZY0TY/edit#gid=0"",""Table 1: Study characteristics!B4:B171""),A353)&gt;0,
COUNTIF(Studies!$A$2:$A$85,FILTER(IMPORTRA"&amp;"NGE(""https://docs.google.com/spreadsheets/d/1kGrh75X1cNR1D7_FcY9zMnHP8iPO4M5RCRjy6nZY0TY/edit#gid=0"",""Table 1: Study characteristics!A4:A171""), $A353=IMPORTRANGE(""https://docs.google.com/spreadsheets/d/1kGrh75X1cNR1D7_FcY9zMnHP8iPO4M5RCRjy6nZY0TY/edi"&amp;"t#gid=0"",""Table 1: Study characteristics!B4:B171"")))&gt;0
),
""Include""
)"),"Exclude")</f>
        <v>Exclude</v>
      </c>
      <c r="G353" s="5" t="str">
        <f>IFERROR(__xludf.DUMMYFUNCTION("IFS(
D353=""Exclude"",
FILTER(IMPORTRANGE(""https://docs.google.com/spreadsheets/d/1BJSV3WBYJGRhQ6zExamkszQ5VutGIcaQqmbD9ZTVXMQ/edit#gid=1251630045"",""articles_with_PRISMA_reasons!AB2:AB2113""), $A353=IMPORTRANGE(""https://docs.google.com/spreadsheets/d/"&amp;"1BJSV3WBYJGRhQ6zExamkszQ5VutGIcaQqmbD9ZTVXMQ/edit#gid=1251630045"",""articles_with_PRISMA_reasons!B2:B2113"")),
E353=""Exclude"",
FILTER(IMPORTRANGE(""https://docs.google.com/spreadsheets/d/1qpEmbGH0JjaJbUdp21-y2cPbobDbMjr09BbtdKROZWc/edit#gid=1444865654"&amp;""",""articles_with_PRISMA_reasons!Z2:Z2113""), $A353=IMPORTRANGE(""https://docs.google.com/spreadsheets/d/1qpEmbGH0JjaJbUdp21-y2cPbobDbMjr09BbtdKROZWc/edit#gid=1444865654"",""articles_with_PRISMA_reasons!B2:B2113"")),F353
=""Include"",FILTER(IMPORTRANGE("&amp;"""https://docs.google.com/spreadsheets/d/1kGrh75X1cNR1D7_FcY9zMnHP8iPO4M5RCRjy6nZY0TY/edit#gid=0"",""Table 1: Study characteristics!A4:A171""), $A353=IMPORTRANGE(""https://docs.google.com/spreadsheets/d/1kGrh75X1cNR1D7_FcY9zMnHP8iPO4M5RCRjy6nZY0TY/edit#gi"&amp;"d=0"",""Table 1: Study characteristics!B4:B171""))
)"),"wrong study design")</f>
        <v>wrong study design</v>
      </c>
    </row>
    <row r="354">
      <c r="A354" s="4" t="str">
        <f>IFERROR(__xludf.DUMMYFUNCTION("""COMPUTED_VALUE"""),"Brain mechanisms for reading and language processing in spina bifida meningomyelocele: a combined magnetic source- and structural magnetic resonance imaging study")</f>
        <v>Brain mechanisms for reading and language processing in spina bifida meningomyelocele: a combined magnetic source- and structural magnetic resonance imaging study</v>
      </c>
      <c r="B354" s="5" t="str">
        <f>IFERROR(__xludf.DUMMYFUNCTION("LEFT(FILTER(IMPORTRANGE(""https://docs.google.com/spreadsheets/d/1BJSV3WBYJGRhQ6zExamkszQ5VutGIcaQqmbD9ZTVXMQ/edit#gid=1251630045"",""articles_with_PRISMA_reasons!K2:K2113""), $A354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$A354=IMPORTRANGE(""https://docs.google.com/spreadsheets/d/1BJSV3WBYJGRhQ6zExamkszQ5VutGIcaQqmbD9ZTVXMQ/edit#gid=1251630045"",""articles_with_PRISMA_reasons!B2:B2113"")))-1)"),"Simos")</f>
        <v>Simos</v>
      </c>
      <c r="C354" s="6">
        <f>IFERROR(__xludf.DUMMYFUNCTION("FILTER(IMPORTRANGE(""https://docs.google.com/spreadsheets/d/1BJSV3WBYJGRhQ6zExamkszQ5VutGIcaQqmbD9ZTVXMQ/edit#gid=1251630045"",""articles_with_PRISMA_reasons!C2:C2113""), $A354=IMPORTRANGE(""https://docs.google.com/spreadsheets/d/1BJSV3WBYJGRhQ6zExamkszQ5"&amp;"VutGIcaQqmbD9ZTVXMQ/edit#gid=1251630045"",""articles_with_PRISMA_reasons!B2:B2113""))"),2011.0)</f>
        <v>2011</v>
      </c>
      <c r="D354" s="5" t="str">
        <f>IFERROR(__xludf.DUMMYFUNCTION("IFS(AND(
FILTER(IMPORTRANGE(""https://docs.google.com/spreadsheets/d/1BJSV3WBYJGRhQ6zExamkszQ5VutGIcaQqmbD9ZTVXMQ/edit#gid=1251630045"",""articles_with_PRISMA_reasons!Y2:Y2113""), $A354=IMPORTRANGE(""https://docs.google.com/spreadsheets/d/1BJSV3WBYJGRhQ6z"&amp;"ExamkszQ5VutGIcaQqmbD9ZTVXMQ/edit#gid=1251630045"",""articles_with_PRISMA_reasons!B2:B2113""))&gt;=2,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$A354=IMPORTRANGE(""https://docs.google.com/spreadsheets/d/1BJSV3WBYJGRhQ6zExamkszQ5VutGIcaQqmbD9ZTVXMQ/edit#gid=1251630045"",""articles_with_PRISMA_reasons!B2:B2113""))&lt;2),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$A354=IMPORTRANGE(""https://docs.google.com/spreadsheets/d/1BJSV3WBYJGRhQ6zExamkszQ5VutGIcaQqmbD9ZTVXMQ/edit#gid=1251630045"",""arti"&amp;"cles_with_PRISMA_reasons!B2:B2113""))&lt;2,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$A354=IMPORTRANGE(""https://docs.google.com"&amp;"/spreadsheets/d/1BJSV3WBYJGRhQ6zExamkszQ5VutGIcaQqmbD9ZTVXMQ/edit#gid=1251630045"",""articles_with_PRISMA_reasons!B2:B2113""))&gt;=2),
""Exclude""
)"),"Exclude")</f>
        <v>Exclude</v>
      </c>
      <c r="E354" s="5" t="str">
        <f>IFERROR(__xludf.DUMMYFUNCTION("IFS(
D354=""Exclude"",""Exclude"",
AND(
FILTER(IMPORTRANGE(""https://docs.google.com/spreadsheets/d/1qpEmbGH0JjaJbUdp21-y2cPbobDbMjr09BbtdKROZWc/edit#gid=1444865654"",""articles_with_PRISMA_reasons!W2:W2113""), $A354=IMPORTRANGE(""https://docs.google.com/"&amp;"spreadsheets/d/1qpEmbGH0JjaJbUdp21-y2cPbobDbMjr09BbtdKROZWc/edit#gid=1444865654"",""articles_with_PRISMA_reasons!B2:B2113""))&gt;=2,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$A354=IMPORTRANGE(""https://docs.google.com/spreadsheets/d/1qpEmbGH0JjaJbUdp21-y2cPbobDbMjr09BbtdKROZWc/edit#gid=1444865654"",""articles_with_PRISMA_reasons!B2:B2113""))&lt;2),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$A354=IMPORTRANGE(""https://docs.google.com/spreadsheets/d/1qpEmbGH0JjaJbUdp21-y2cPbobDbMjr09BbtdKRO"&amp;"ZWc/edit#gid=1444865654"",""articles_with_PRISMA_reasons!B2:B2113""))&lt;2,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$A354=IMPOR"&amp;"TRANGE(""https://docs.google.com/spreadsheets/d/1qpEmbGH0JjaJbUdp21-y2cPbobDbMjr09BbtdKROZWc/edit#gid=1444865654"",""articles_with_PRISMA_reasons!B2:B2113""))&gt;=2),
""Exclude""
)"),"Exclude")</f>
        <v>Exclude</v>
      </c>
      <c r="F354" s="5" t="str">
        <f>IFERROR(__xludf.DUMMYFUNCTION("IFS(
E354=""Exclude"",""Exclude"",
AND(
COUNTIF(
IMPORTRANGE(""https://docs.google.com/spreadsheets/d/1kGrh75X1cNR1D7_FcY9zMnHP8iPO4M5RCRjy6nZY0TY/edit#gid=0"",""Table 1: Study characteristics!B4:B171""),A354)&gt;0,
COUNTIF(Studies!$A$2:$A$85,FILTER(IMPORTRA"&amp;"NGE(""https://docs.google.com/spreadsheets/d/1kGrh75X1cNR1D7_FcY9zMnHP8iPO4M5RCRjy6nZY0TY/edit#gid=0"",""Table 1: Study characteristics!A4:A171""), $A354=IMPORTRANGE(""https://docs.google.com/spreadsheets/d/1kGrh75X1cNR1D7_FcY9zMnHP8iPO4M5RCRjy6nZY0TY/edi"&amp;"t#gid=0"",""Table 1: Study characteristics!B4:B171"")))&gt;0
),
""Include""
)"),"Exclude")</f>
        <v>Exclude</v>
      </c>
      <c r="G354" s="5" t="str">
        <f>IFERROR(__xludf.DUMMYFUNCTION("IFS(
D354=""Exclude"",
FILTER(IMPORTRANGE(""https://docs.google.com/spreadsheets/d/1BJSV3WBYJGRhQ6zExamkszQ5VutGIcaQqmbD9ZTVXMQ/edit#gid=1251630045"",""articles_with_PRISMA_reasons!AB2:AB2113""), $A354=IMPORTRANGE(""https://docs.google.com/spreadsheets/d/"&amp;"1BJSV3WBYJGRhQ6zExamkszQ5VutGIcaQqmbD9ZTVXMQ/edit#gid=1251630045"",""articles_with_PRISMA_reasons!B2:B2113"")),
E354=""Exclude"",
FILTER(IMPORTRANGE(""https://docs.google.com/spreadsheets/d/1qpEmbGH0JjaJbUdp21-y2cPbobDbMjr09BbtdKROZWc/edit#gid=1444865654"&amp;""",""articles_with_PRISMA_reasons!Z2:Z2113""), $A354=IMPORTRANGE(""https://docs.google.com/spreadsheets/d/1qpEmbGH0JjaJbUdp21-y2cPbobDbMjr09BbtdKROZWc/edit#gid=1444865654"",""articles_with_PRISMA_reasons!B2:B2113"")),F354
=""Include"",FILTER(IMPORTRANGE("&amp;"""https://docs.google.com/spreadsheets/d/1kGrh75X1cNR1D7_FcY9zMnHP8iPO4M5RCRjy6nZY0TY/edit#gid=0"",""Table 1: Study characteristics!A4:A171""), $A354=IMPORTRANGE(""https://docs.google.com/spreadsheets/d/1kGrh75X1cNR1D7_FcY9zMnHP8iPO4M5RCRjy6nZY0TY/edit#gi"&amp;"d=0"",""Table 1: Study characteristics!B4:B171""))
)"),"wrong intervention")</f>
        <v>wrong intervention</v>
      </c>
    </row>
    <row r="355">
      <c r="A355" s="4" t="str">
        <f>IFERROR(__xludf.DUMMYFUNCTION("""COMPUTED_VALUE"""),"Brain stem auditory evoked potentials in Arnold-Chiari malformation: Possible prognostic value and changes with surgical decompression")</f>
        <v>Brain stem auditory evoked potentials in Arnold-Chiari malformation: Possible prognostic value and changes with surgical decompression</v>
      </c>
      <c r="B355" s="5" t="str">
        <f>IFERROR(__xludf.DUMMYFUNCTION("LEFT(FILTER(IMPORTRANGE(""https://docs.google.com/spreadsheets/d/1BJSV3WBYJGRhQ6zExamkszQ5VutGIcaQqmbD9ZTVXMQ/edit#gid=1251630045"",""articles_with_PRISMA_reasons!K2:K2113""), $A355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$A355=IMPORTRANGE(""https://docs.google.com/spreadsheets/d/1BJSV3WBYJGRhQ6zExamkszQ5VutGIcaQqmbD9ZTVXMQ/edit#gid=1251630045"",""articles_with_PRISMA_reasons!B2:B2113"")))-1)"),"Holliday Iii")</f>
        <v>Holliday Iii</v>
      </c>
      <c r="C355" s="6">
        <f>IFERROR(__xludf.DUMMYFUNCTION("FILTER(IMPORTRANGE(""https://docs.google.com/spreadsheets/d/1BJSV3WBYJGRhQ6zExamkszQ5VutGIcaQqmbD9ZTVXMQ/edit#gid=1251630045"",""articles_with_PRISMA_reasons!C2:C2113""), $A355=IMPORTRANGE(""https://docs.google.com/spreadsheets/d/1BJSV3WBYJGRhQ6zExamkszQ5"&amp;"VutGIcaQqmbD9ZTVXMQ/edit#gid=1251630045"",""articles_with_PRISMA_reasons!B2:B2113""))"),1985.0)</f>
        <v>1985</v>
      </c>
      <c r="D355" s="5" t="str">
        <f>IFERROR(__xludf.DUMMYFUNCTION("IFS(AND(
FILTER(IMPORTRANGE(""https://docs.google.com/spreadsheets/d/1BJSV3WBYJGRhQ6zExamkszQ5VutGIcaQqmbD9ZTVXMQ/edit#gid=1251630045"",""articles_with_PRISMA_reasons!Y2:Y2113""), $A355=IMPORTRANGE(""https://docs.google.com/spreadsheets/d/1BJSV3WBYJGRhQ6z"&amp;"ExamkszQ5VutGIcaQqmbD9ZTVXMQ/edit#gid=1251630045"",""articles_with_PRISMA_reasons!B2:B2113""))&gt;=2,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$A355=IMPORTRANGE(""https://docs.google.com/spreadsheets/d/1BJSV3WBYJGRhQ6zExamkszQ5VutGIcaQqmbD9ZTVXMQ/edit#gid=1251630045"",""articles_with_PRISMA_reasons!B2:B2113""))&lt;2),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$A355=IMPORTRANGE(""https://docs.google.com/spreadsheets/d/1BJSV3WBYJGRhQ6zExamkszQ5VutGIcaQqmbD9ZTVXMQ/edit#gid=1251630045"",""arti"&amp;"cles_with_PRISMA_reasons!B2:B2113""))&lt;2,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$A355=IMPORTRANGE(""https://docs.google.com"&amp;"/spreadsheets/d/1BJSV3WBYJGRhQ6zExamkszQ5VutGIcaQqmbD9ZTVXMQ/edit#gid=1251630045"",""articles_with_PRISMA_reasons!B2:B2113""))&gt;=2),
""Exclude""
)"),"Exclude")</f>
        <v>Exclude</v>
      </c>
      <c r="E355" s="5" t="str">
        <f>IFERROR(__xludf.DUMMYFUNCTION("IFS(
D355=""Exclude"",""Exclude"",
AND(
FILTER(IMPORTRANGE(""https://docs.google.com/spreadsheets/d/1qpEmbGH0JjaJbUdp21-y2cPbobDbMjr09BbtdKROZWc/edit#gid=1444865654"",""articles_with_PRISMA_reasons!W2:W2113""), $A355=IMPORTRANGE(""https://docs.google.com/"&amp;"spreadsheets/d/1qpEmbGH0JjaJbUdp21-y2cPbobDbMjr09BbtdKROZWc/edit#gid=1444865654"",""articles_with_PRISMA_reasons!B2:B2113""))&gt;=2,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$A355=IMPORTRANGE(""https://docs.google.com/spreadsheets/d/1qpEmbGH0JjaJbUdp21-y2cPbobDbMjr09BbtdKROZWc/edit#gid=1444865654"",""articles_with_PRISMA_reasons!B2:B2113""))&lt;2),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$A355=IMPORTRANGE(""https://docs.google.com/spreadsheets/d/1qpEmbGH0JjaJbUdp21-y2cPbobDbMjr09BbtdKRO"&amp;"ZWc/edit#gid=1444865654"",""articles_with_PRISMA_reasons!B2:B2113""))&lt;2,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$A355=IMPOR"&amp;"TRANGE(""https://docs.google.com/spreadsheets/d/1qpEmbGH0JjaJbUdp21-y2cPbobDbMjr09BbtdKROZWc/edit#gid=1444865654"",""articles_with_PRISMA_reasons!B2:B2113""))&gt;=2),
""Exclude""
)"),"Exclude")</f>
        <v>Exclude</v>
      </c>
      <c r="F355" s="5" t="str">
        <f>IFERROR(__xludf.DUMMYFUNCTION("IFS(
E355=""Exclude"",""Exclude"",
AND(
COUNTIF(
IMPORTRANGE(""https://docs.google.com/spreadsheets/d/1kGrh75X1cNR1D7_FcY9zMnHP8iPO4M5RCRjy6nZY0TY/edit#gid=0"",""Table 1: Study characteristics!B4:B171""),A355)&gt;0,
COUNTIF(Studies!$A$2:$A$85,FILTER(IMPORTRA"&amp;"NGE(""https://docs.google.com/spreadsheets/d/1kGrh75X1cNR1D7_FcY9zMnHP8iPO4M5RCRjy6nZY0TY/edit#gid=0"",""Table 1: Study characteristics!A4:A171""), $A355=IMPORTRANGE(""https://docs.google.com/spreadsheets/d/1kGrh75X1cNR1D7_FcY9zMnHP8iPO4M5RCRjy6nZY0TY/edi"&amp;"t#gid=0"",""Table 1: Study characteristics!B4:B171"")))&gt;0
),
""Include""
)"),"Exclude")</f>
        <v>Exclude</v>
      </c>
      <c r="G355" s="5" t="str">
        <f>IFERROR(__xludf.DUMMYFUNCTION("IFS(
D355=""Exclude"",
FILTER(IMPORTRANGE(""https://docs.google.com/spreadsheets/d/1BJSV3WBYJGRhQ6zExamkszQ5VutGIcaQqmbD9ZTVXMQ/edit#gid=1251630045"",""articles_with_PRISMA_reasons!AB2:AB2113""), $A355=IMPORTRANGE(""https://docs.google.com/spreadsheets/d/"&amp;"1BJSV3WBYJGRhQ6zExamkszQ5VutGIcaQqmbD9ZTVXMQ/edit#gid=1251630045"",""articles_with_PRISMA_reasons!B2:B2113"")),
E355=""Exclude"",
FILTER(IMPORTRANGE(""https://docs.google.com/spreadsheets/d/1qpEmbGH0JjaJbUdp21-y2cPbobDbMjr09BbtdKROZWc/edit#gid=1444865654"&amp;""",""articles_with_PRISMA_reasons!Z2:Z2113""), $A355=IMPORTRANGE(""https://docs.google.com/spreadsheets/d/1qpEmbGH0JjaJbUdp21-y2cPbobDbMjr09BbtdKROZWc/edit#gid=1444865654"",""articles_with_PRISMA_reasons!B2:B2113"")),F355
=""Include"",FILTER(IMPORTRANGE("&amp;"""https://docs.google.com/spreadsheets/d/1kGrh75X1cNR1D7_FcY9zMnHP8iPO4M5RCRjy6nZY0TY/edit#gid=0"",""Table 1: Study characteristics!A4:A171""), $A355=IMPORTRANGE(""https://docs.google.com/spreadsheets/d/1kGrh75X1cNR1D7_FcY9zMnHP8iPO4M5RCRjy6nZY0TY/edit#gi"&amp;"d=0"",""Table 1: Study characteristics!B4:B171""))
)"),"wrong study design")</f>
        <v>wrong study design</v>
      </c>
    </row>
    <row r="356">
      <c r="A356" s="4" t="str">
        <f>IFERROR(__xludf.DUMMYFUNCTION("""COMPUTED_VALUE"""),"Brain stem auditory-evoked potentials in meningomyelocele. Natural history of Chiari II malformations")</f>
        <v>Brain stem auditory-evoked potentials in meningomyelocele. Natural history of Chiari II malformations</v>
      </c>
      <c r="B356" s="5" t="str">
        <f>IFERROR(__xludf.DUMMYFUNCTION("LEFT(FILTER(IMPORTRANGE(""https://docs.google.com/spreadsheets/d/1BJSV3WBYJGRhQ6zExamkszQ5VutGIcaQqmbD9ZTVXMQ/edit#gid=1251630045"",""articles_with_PRISMA_reasons!K2:K2113""), $A356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$A356=IMPORTRANGE(""https://docs.google.com/spreadsheets/d/1BJSV3WBYJGRhQ6zExamkszQ5VutGIcaQqmbD9ZTVXMQ/edit#gid=1251630045"",""articles_with_PRISMA_reasons!B2:B2113"")))-1)"),"Nishimura")</f>
        <v>Nishimura</v>
      </c>
      <c r="C356" s="6">
        <f>IFERROR(__xludf.DUMMYFUNCTION("FILTER(IMPORTRANGE(""https://docs.google.com/spreadsheets/d/1BJSV3WBYJGRhQ6zExamkszQ5VutGIcaQqmbD9ZTVXMQ/edit#gid=1251630045"",""articles_with_PRISMA_reasons!C2:C2113""), $A356=IMPORTRANGE(""https://docs.google.com/spreadsheets/d/1BJSV3WBYJGRhQ6zExamkszQ5"&amp;"VutGIcaQqmbD9ZTVXMQ/edit#gid=1251630045"",""articles_with_PRISMA_reasons!B2:B2113""))"),1991.0)</f>
        <v>1991</v>
      </c>
      <c r="D356" s="5" t="str">
        <f>IFERROR(__xludf.DUMMYFUNCTION("IFS(AND(
FILTER(IMPORTRANGE(""https://docs.google.com/spreadsheets/d/1BJSV3WBYJGRhQ6zExamkszQ5VutGIcaQqmbD9ZTVXMQ/edit#gid=1251630045"",""articles_with_PRISMA_reasons!Y2:Y2113""), $A356=IMPORTRANGE(""https://docs.google.com/spreadsheets/d/1BJSV3WBYJGRhQ6z"&amp;"ExamkszQ5VutGIcaQqmbD9ZTVXMQ/edit#gid=1251630045"",""articles_with_PRISMA_reasons!B2:B2113""))&gt;=2,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$A356=IMPORTRANGE(""https://docs.google.com/spreadsheets/d/1BJSV3WBYJGRhQ6zExamkszQ5VutGIcaQqmbD9ZTVXMQ/edit#gid=1251630045"",""articles_with_PRISMA_reasons!B2:B2113""))&lt;2),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$A356=IMPORTRANGE(""https://docs.google.com/spreadsheets/d/1BJSV3WBYJGRhQ6zExamkszQ5VutGIcaQqmbD9ZTVXMQ/edit#gid=1251630045"",""arti"&amp;"cles_with_PRISMA_reasons!B2:B2113""))&lt;2,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$A356=IMPORTRANGE(""https://docs.google.com"&amp;"/spreadsheets/d/1BJSV3WBYJGRhQ6zExamkszQ5VutGIcaQqmbD9ZTVXMQ/edit#gid=1251630045"",""articles_with_PRISMA_reasons!B2:B2113""))&gt;=2),
""Exclude""
)"),"Exclude")</f>
        <v>Exclude</v>
      </c>
      <c r="E356" s="5" t="str">
        <f>IFERROR(__xludf.DUMMYFUNCTION("IFS(
D356=""Exclude"",""Exclude"",
AND(
FILTER(IMPORTRANGE(""https://docs.google.com/spreadsheets/d/1qpEmbGH0JjaJbUdp21-y2cPbobDbMjr09BbtdKROZWc/edit#gid=1444865654"",""articles_with_PRISMA_reasons!W2:W2113""), $A356=IMPORTRANGE(""https://docs.google.com/"&amp;"spreadsheets/d/1qpEmbGH0JjaJbUdp21-y2cPbobDbMjr09BbtdKROZWc/edit#gid=1444865654"",""articles_with_PRISMA_reasons!B2:B2113""))&gt;=2,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$A356=IMPORTRANGE(""https://docs.google.com/spreadsheets/d/1qpEmbGH0JjaJbUdp21-y2cPbobDbMjr09BbtdKROZWc/edit#gid=1444865654"",""articles_with_PRISMA_reasons!B2:B2113""))&lt;2),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$A356=IMPORTRANGE(""https://docs.google.com/spreadsheets/d/1qpEmbGH0JjaJbUdp21-y2cPbobDbMjr09BbtdKRO"&amp;"ZWc/edit#gid=1444865654"",""articles_with_PRISMA_reasons!B2:B2113""))&lt;2,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$A356=IMPOR"&amp;"TRANGE(""https://docs.google.com/spreadsheets/d/1qpEmbGH0JjaJbUdp21-y2cPbobDbMjr09BbtdKROZWc/edit#gid=1444865654"",""articles_with_PRISMA_reasons!B2:B2113""))&gt;=2),
""Exclude""
)"),"Exclude")</f>
        <v>Exclude</v>
      </c>
      <c r="F356" s="5" t="str">
        <f>IFERROR(__xludf.DUMMYFUNCTION("IFS(
E356=""Exclude"",""Exclude"",
AND(
COUNTIF(
IMPORTRANGE(""https://docs.google.com/spreadsheets/d/1kGrh75X1cNR1D7_FcY9zMnHP8iPO4M5RCRjy6nZY0TY/edit#gid=0"",""Table 1: Study characteristics!B4:B171""),A356)&gt;0,
COUNTIF(Studies!$A$2:$A$85,FILTER(IMPORTRA"&amp;"NGE(""https://docs.google.com/spreadsheets/d/1kGrh75X1cNR1D7_FcY9zMnHP8iPO4M5RCRjy6nZY0TY/edit#gid=0"",""Table 1: Study characteristics!A4:A171""), $A356=IMPORTRANGE(""https://docs.google.com/spreadsheets/d/1kGrh75X1cNR1D7_FcY9zMnHP8iPO4M5RCRjy6nZY0TY/edi"&amp;"t#gid=0"",""Table 1: Study characteristics!B4:B171"")))&gt;0
),
""Include""
)"),"Exclude")</f>
        <v>Exclude</v>
      </c>
      <c r="G356" s="5" t="str">
        <f>IFERROR(__xludf.DUMMYFUNCTION("IFS(
D356=""Exclude"",
FILTER(IMPORTRANGE(""https://docs.google.com/spreadsheets/d/1BJSV3WBYJGRhQ6zExamkszQ5VutGIcaQqmbD9ZTVXMQ/edit#gid=1251630045"",""articles_with_PRISMA_reasons!AB2:AB2113""), $A356=IMPORTRANGE(""https://docs.google.com/spreadsheets/d/"&amp;"1BJSV3WBYJGRhQ6zExamkszQ5VutGIcaQqmbD9ZTVXMQ/edit#gid=1251630045"",""articles_with_PRISMA_reasons!B2:B2113"")),
E356=""Exclude"",
FILTER(IMPORTRANGE(""https://docs.google.com/spreadsheets/d/1qpEmbGH0JjaJbUdp21-y2cPbobDbMjr09BbtdKROZWc/edit#gid=1444865654"&amp;""",""articles_with_PRISMA_reasons!Z2:Z2113""), $A356=IMPORTRANGE(""https://docs.google.com/spreadsheets/d/1qpEmbGH0JjaJbUdp21-y2cPbobDbMjr09BbtdKROZWc/edit#gid=1444865654"",""articles_with_PRISMA_reasons!B2:B2113"")),F356
=""Include"",FILTER(IMPORTRANGE("&amp;"""https://docs.google.com/spreadsheets/d/1kGrh75X1cNR1D7_FcY9zMnHP8iPO4M5RCRjy6nZY0TY/edit#gid=0"",""Table 1: Study characteristics!A4:A171""), $A356=IMPORTRANGE(""https://docs.google.com/spreadsheets/d/1kGrh75X1cNR1D7_FcY9zMnHP8iPO4M5RCRjy6nZY0TY/edit#gi"&amp;"d=0"",""Table 1: Study characteristics!B4:B171""))
)"),"Duplicate")</f>
        <v>Duplicate</v>
      </c>
    </row>
    <row r="357">
      <c r="A357" s="4" t="str">
        <f>IFERROR(__xludf.DUMMYFUNCTION("""COMPUTED_VALUE"""),"Brainstem auditory evoked potential abnormalities in myelomeningocoele in the older child")</f>
        <v>Brainstem auditory evoked potential abnormalities in myelomeningocoele in the older child</v>
      </c>
      <c r="B357" s="5" t="str">
        <f>IFERROR(__xludf.DUMMYFUNCTION("LEFT(FILTER(IMPORTRANGE(""https://docs.google.com/spreadsheets/d/1BJSV3WBYJGRhQ6zExamkszQ5VutGIcaQqmbD9ZTVXMQ/edit#gid=1251630045"",""articles_with_PRISMA_reasons!K2:K2113""), $A357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$A357=IMPORTRANGE(""https://docs.google.com/spreadsheets/d/1BJSV3WBYJGRhQ6zExamkszQ5VutGIcaQqmbD9ZTVXMQ/edit#gid=1251630045"",""articles_with_PRISMA_reasons!B2:B2113"")))-1)"),"Docherty")</f>
        <v>Docherty</v>
      </c>
      <c r="C357" s="6" t="str">
        <f>IFERROR(__xludf.DUMMYFUNCTION("FILTER(IMPORTRANGE(""https://docs.google.com/spreadsheets/d/1BJSV3WBYJGRhQ6zExamkszQ5VutGIcaQqmbD9ZTVXMQ/edit#gid=1251630045"",""articles_with_PRISMA_reasons!C2:C2113""), $A357=IMPORTRANGE(""https://docs.google.com/spreadsheets/d/1BJSV3WBYJGRhQ6zExamkszQ5"&amp;"VutGIcaQqmbD9ZTVXMQ/edit#gid=1251630045"",""articles_with_PRISMA_reasons!B2:B2113""))"),"Oct")</f>
        <v>Oct</v>
      </c>
      <c r="D357" s="5" t="str">
        <f>IFERROR(__xludf.DUMMYFUNCTION("IFS(AND(
FILTER(IMPORTRANGE(""https://docs.google.com/spreadsheets/d/1BJSV3WBYJGRhQ6zExamkszQ5VutGIcaQqmbD9ZTVXMQ/edit#gid=1251630045"",""articles_with_PRISMA_reasons!Y2:Y2113""), $A357=IMPORTRANGE(""https://docs.google.com/spreadsheets/d/1BJSV3WBYJGRhQ6z"&amp;"ExamkszQ5VutGIcaQqmbD9ZTVXMQ/edit#gid=1251630045"",""articles_with_PRISMA_reasons!B2:B2113""))&gt;=2,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$A357=IMPORTRANGE(""https://docs.google.com/spreadsheets/d/1BJSV3WBYJGRhQ6zExamkszQ5VutGIcaQqmbD9ZTVXMQ/edit#gid=1251630045"",""articles_with_PRISMA_reasons!B2:B2113""))&lt;2),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$A357=IMPORTRANGE(""https://docs.google.com/spreadsheets/d/1BJSV3WBYJGRhQ6zExamkszQ5VutGIcaQqmbD9ZTVXMQ/edit#gid=1251630045"",""arti"&amp;"cles_with_PRISMA_reasons!B2:B2113""))&lt;2,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$A357=IMPORTRANGE(""https://docs.google.com"&amp;"/spreadsheets/d/1BJSV3WBYJGRhQ6zExamkszQ5VutGIcaQqmbD9ZTVXMQ/edit#gid=1251630045"",""articles_with_PRISMA_reasons!B2:B2113""))&gt;=2),
""Exclude""
)"),"Exclude")</f>
        <v>Exclude</v>
      </c>
      <c r="E357" s="5" t="str">
        <f>IFERROR(__xludf.DUMMYFUNCTION("IFS(
D357=""Exclude"",""Exclude"",
AND(
FILTER(IMPORTRANGE(""https://docs.google.com/spreadsheets/d/1qpEmbGH0JjaJbUdp21-y2cPbobDbMjr09BbtdKROZWc/edit#gid=1444865654"",""articles_with_PRISMA_reasons!W2:W2113""), $A357=IMPORTRANGE(""https://docs.google.com/"&amp;"spreadsheets/d/1qpEmbGH0JjaJbUdp21-y2cPbobDbMjr09BbtdKROZWc/edit#gid=1444865654"",""articles_with_PRISMA_reasons!B2:B2113""))&gt;=2,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$A357=IMPORTRANGE(""https://docs.google.com/spreadsheets/d/1qpEmbGH0JjaJbUdp21-y2cPbobDbMjr09BbtdKROZWc/edit#gid=1444865654"",""articles_with_PRISMA_reasons!B2:B2113""))&lt;2),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$A357=IMPORTRANGE(""https://docs.google.com/spreadsheets/d/1qpEmbGH0JjaJbUdp21-y2cPbobDbMjr09BbtdKRO"&amp;"ZWc/edit#gid=1444865654"",""articles_with_PRISMA_reasons!B2:B2113""))&lt;2,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$A357=IMPOR"&amp;"TRANGE(""https://docs.google.com/spreadsheets/d/1qpEmbGH0JjaJbUdp21-y2cPbobDbMjr09BbtdKROZWc/edit#gid=1444865654"",""articles_with_PRISMA_reasons!B2:B2113""))&gt;=2),
""Exclude""
)"),"Exclude")</f>
        <v>Exclude</v>
      </c>
      <c r="F357" s="5" t="str">
        <f>IFERROR(__xludf.DUMMYFUNCTION("IFS(
E357=""Exclude"",""Exclude"",
AND(
COUNTIF(
IMPORTRANGE(""https://docs.google.com/spreadsheets/d/1kGrh75X1cNR1D7_FcY9zMnHP8iPO4M5RCRjy6nZY0TY/edit#gid=0"",""Table 1: Study characteristics!B4:B171""),A357)&gt;0,
COUNTIF(Studies!$A$2:$A$85,FILTER(IMPORTRA"&amp;"NGE(""https://docs.google.com/spreadsheets/d/1kGrh75X1cNR1D7_FcY9zMnHP8iPO4M5RCRjy6nZY0TY/edit#gid=0"",""Table 1: Study characteristics!A4:A171""), $A357=IMPORTRANGE(""https://docs.google.com/spreadsheets/d/1kGrh75X1cNR1D7_FcY9zMnHP8iPO4M5RCRjy6nZY0TY/edi"&amp;"t#gid=0"",""Table 1: Study characteristics!B4:B171"")))&gt;0
),
""Include""
)"),"Exclude")</f>
        <v>Exclude</v>
      </c>
      <c r="G357" s="5" t="str">
        <f>IFERROR(__xludf.DUMMYFUNCTION("IFS(
D357=""Exclude"",
FILTER(IMPORTRANGE(""https://docs.google.com/spreadsheets/d/1BJSV3WBYJGRhQ6zExamkszQ5VutGIcaQqmbD9ZTVXMQ/edit#gid=1251630045"",""articles_with_PRISMA_reasons!AB2:AB2113""), $A357=IMPORTRANGE(""https://docs.google.com/spreadsheets/d/"&amp;"1BJSV3WBYJGRhQ6zExamkszQ5VutGIcaQqmbD9ZTVXMQ/edit#gid=1251630045"",""articles_with_PRISMA_reasons!B2:B2113"")),
E357=""Exclude"",
FILTER(IMPORTRANGE(""https://docs.google.com/spreadsheets/d/1qpEmbGH0JjaJbUdp21-y2cPbobDbMjr09BbtdKROZWc/edit#gid=1444865654"&amp;""",""articles_with_PRISMA_reasons!Z2:Z2113""), $A357=IMPORTRANGE(""https://docs.google.com/spreadsheets/d/1qpEmbGH0JjaJbUdp21-y2cPbobDbMjr09BbtdKROZWc/edit#gid=1444865654"",""articles_with_PRISMA_reasons!B2:B2113"")),F357
=""Include"",FILTER(IMPORTRANGE("&amp;"""https://docs.google.com/spreadsheets/d/1kGrh75X1cNR1D7_FcY9zMnHP8iPO4M5RCRjy6nZY0TY/edit#gid=0"",""Table 1: Study characteristics!A4:A171""), $A357=IMPORTRANGE(""https://docs.google.com/spreadsheets/d/1kGrh75X1cNR1D7_FcY9zMnHP8iPO4M5RCRjy6nZY0TY/edit#gi"&amp;"d=0"",""Table 1: Study characteristics!B4:B171""))
)"),"wrong population")</f>
        <v>wrong population</v>
      </c>
    </row>
    <row r="358">
      <c r="A358" s="4" t="str">
        <f>IFERROR(__xludf.DUMMYFUNCTION("""COMPUTED_VALUE"""),"Brainstem auditory evoked potentials in Chiari-II malformation")</f>
        <v>Brainstem auditory evoked potentials in Chiari-II malformation</v>
      </c>
      <c r="B358" s="5" t="str">
        <f>IFERROR(__xludf.DUMMYFUNCTION("LEFT(FILTER(IMPORTRANGE(""https://docs.google.com/spreadsheets/d/1BJSV3WBYJGRhQ6zExamkszQ5VutGIcaQqmbD9ZTVXMQ/edit#gid=1251630045"",""articles_with_PRISMA_reasons!K2:K2113""), $A358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$A358=IMPORTRANGE(""https://docs.google.com/spreadsheets/d/1BJSV3WBYJGRhQ6zExamkszQ5VutGIcaQqmbD9ZTVXMQ/edit#gid=1251630045"",""articles_with_PRISMA_reasons!B2:B2113"")))-1)"),"Mori")</f>
        <v>Mori</v>
      </c>
      <c r="C358" s="6">
        <f>IFERROR(__xludf.DUMMYFUNCTION("FILTER(IMPORTRANGE(""https://docs.google.com/spreadsheets/d/1BJSV3WBYJGRhQ6zExamkszQ5VutGIcaQqmbD9ZTVXMQ/edit#gid=1251630045"",""articles_with_PRISMA_reasons!C2:C2113""), $A358=IMPORTRANGE(""https://docs.google.com/spreadsheets/d/1BJSV3WBYJGRhQ6zExamkszQ5"&amp;"VutGIcaQqmbD9ZTVXMQ/edit#gid=1251630045"",""articles_with_PRISMA_reasons!B2:B2113""))"),1988.0)</f>
        <v>1988</v>
      </c>
      <c r="D358" s="5" t="str">
        <f>IFERROR(__xludf.DUMMYFUNCTION("IFS(AND(
FILTER(IMPORTRANGE(""https://docs.google.com/spreadsheets/d/1BJSV3WBYJGRhQ6zExamkszQ5VutGIcaQqmbD9ZTVXMQ/edit#gid=1251630045"",""articles_with_PRISMA_reasons!Y2:Y2113""), $A358=IMPORTRANGE(""https://docs.google.com/spreadsheets/d/1BJSV3WBYJGRhQ6z"&amp;"ExamkszQ5VutGIcaQqmbD9ZTVXMQ/edit#gid=1251630045"",""articles_with_PRISMA_reasons!B2:B2113""))&gt;=2,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$A358=IMPORTRANGE(""https://docs.google.com/spreadsheets/d/1BJSV3WBYJGRhQ6zExamkszQ5VutGIcaQqmbD9ZTVXMQ/edit#gid=1251630045"",""articles_with_PRISMA_reasons!B2:B2113""))&lt;2),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$A358=IMPORTRANGE(""https://docs.google.com/spreadsheets/d/1BJSV3WBYJGRhQ6zExamkszQ5VutGIcaQqmbD9ZTVXMQ/edit#gid=1251630045"",""arti"&amp;"cles_with_PRISMA_reasons!B2:B2113""))&lt;2,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$A358=IMPORTRANGE(""https://docs.google.com"&amp;"/spreadsheets/d/1BJSV3WBYJGRhQ6zExamkszQ5VutGIcaQqmbD9ZTVXMQ/edit#gid=1251630045"",""articles_with_PRISMA_reasons!B2:B2113""))&gt;=2),
""Exclude""
)"),"Exclude")</f>
        <v>Exclude</v>
      </c>
      <c r="E358" s="5" t="str">
        <f>IFERROR(__xludf.DUMMYFUNCTION("IFS(
D358=""Exclude"",""Exclude"",
AND(
FILTER(IMPORTRANGE(""https://docs.google.com/spreadsheets/d/1qpEmbGH0JjaJbUdp21-y2cPbobDbMjr09BbtdKROZWc/edit#gid=1444865654"",""articles_with_PRISMA_reasons!W2:W2113""), $A358=IMPORTRANGE(""https://docs.google.com/"&amp;"spreadsheets/d/1qpEmbGH0JjaJbUdp21-y2cPbobDbMjr09BbtdKROZWc/edit#gid=1444865654"",""articles_with_PRISMA_reasons!B2:B2113""))&gt;=2,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$A358=IMPORTRANGE(""https://docs.google.com/spreadsheets/d/1qpEmbGH0JjaJbUdp21-y2cPbobDbMjr09BbtdKROZWc/edit#gid=1444865654"",""articles_with_PRISMA_reasons!B2:B2113""))&lt;2),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$A358=IMPORTRANGE(""https://docs.google.com/spreadsheets/d/1qpEmbGH0JjaJbUdp21-y2cPbobDbMjr09BbtdKRO"&amp;"ZWc/edit#gid=1444865654"",""articles_with_PRISMA_reasons!B2:B2113""))&lt;2,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$A358=IMPOR"&amp;"TRANGE(""https://docs.google.com/spreadsheets/d/1qpEmbGH0JjaJbUdp21-y2cPbobDbMjr09BbtdKROZWc/edit#gid=1444865654"",""articles_with_PRISMA_reasons!B2:B2113""))&gt;=2),
""Exclude""
)"),"Exclude")</f>
        <v>Exclude</v>
      </c>
      <c r="F358" s="5" t="str">
        <f>IFERROR(__xludf.DUMMYFUNCTION("IFS(
E358=""Exclude"",""Exclude"",
AND(
COUNTIF(
IMPORTRANGE(""https://docs.google.com/spreadsheets/d/1kGrh75X1cNR1D7_FcY9zMnHP8iPO4M5RCRjy6nZY0TY/edit#gid=0"",""Table 1: Study characteristics!B4:B171""),A358)&gt;0,
COUNTIF(Studies!$A$2:$A$85,FILTER(IMPORTRA"&amp;"NGE(""https://docs.google.com/spreadsheets/d/1kGrh75X1cNR1D7_FcY9zMnHP8iPO4M5RCRjy6nZY0TY/edit#gid=0"",""Table 1: Study characteristics!A4:A171""), $A358=IMPORTRANGE(""https://docs.google.com/spreadsheets/d/1kGrh75X1cNR1D7_FcY9zMnHP8iPO4M5RCRjy6nZY0TY/edi"&amp;"t#gid=0"",""Table 1: Study characteristics!B4:B171"")))&gt;0
),
""Include""
)"),"Exclude")</f>
        <v>Exclude</v>
      </c>
      <c r="G358" s="5" t="str">
        <f>IFERROR(__xludf.DUMMYFUNCTION("IFS(
D358=""Exclude"",
FILTER(IMPORTRANGE(""https://docs.google.com/spreadsheets/d/1BJSV3WBYJGRhQ6zExamkszQ5VutGIcaQqmbD9ZTVXMQ/edit#gid=1251630045"",""articles_with_PRISMA_reasons!AB2:AB2113""), $A358=IMPORTRANGE(""https://docs.google.com/spreadsheets/d/"&amp;"1BJSV3WBYJGRhQ6zExamkszQ5VutGIcaQqmbD9ZTVXMQ/edit#gid=1251630045"",""articles_with_PRISMA_reasons!B2:B2113"")),
E358=""Exclude"",
FILTER(IMPORTRANGE(""https://docs.google.com/spreadsheets/d/1qpEmbGH0JjaJbUdp21-y2cPbobDbMjr09BbtdKROZWc/edit#gid=1444865654"&amp;""",""articles_with_PRISMA_reasons!Z2:Z2113""), $A358=IMPORTRANGE(""https://docs.google.com/spreadsheets/d/1qpEmbGH0JjaJbUdp21-y2cPbobDbMjr09BbtdKROZWc/edit#gid=1444865654"",""articles_with_PRISMA_reasons!B2:B2113"")),F358
=""Include"",FILTER(IMPORTRANGE("&amp;"""https://docs.google.com/spreadsheets/d/1kGrh75X1cNR1D7_FcY9zMnHP8iPO4M5RCRjy6nZY0TY/edit#gid=0"",""Table 1: Study characteristics!A4:A171""), $A358=IMPORTRANGE(""https://docs.google.com/spreadsheets/d/1kGrh75X1cNR1D7_FcY9zMnHP8iPO4M5RCRjy6nZY0TY/edit#gi"&amp;"d=0"",""Table 1: Study characteristics!B4:B171""))
)"),"wrong population")</f>
        <v>wrong population</v>
      </c>
    </row>
    <row r="359">
      <c r="A359" s="4" t="str">
        <f>IFERROR(__xludf.DUMMYFUNCTION("""COMPUTED_VALUE"""),"Brainstem auditory evoked potentials in meningomyelocele")</f>
        <v>Brainstem auditory evoked potentials in meningomyelocele</v>
      </c>
      <c r="B359" s="5" t="str">
        <f>IFERROR(__xludf.DUMMYFUNCTION("LEFT(FILTER(IMPORTRANGE(""https://docs.google.com/spreadsheets/d/1BJSV3WBYJGRhQ6zExamkszQ5VutGIcaQqmbD9ZTVXMQ/edit#gid=1251630045"",""articles_with_PRISMA_reasons!K2:K2113""), $A359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$A359=IMPORTRANGE(""https://docs.google.com/spreadsheets/d/1BJSV3WBYJGRhQ6zExamkszQ5VutGIcaQqmbD9ZTVXMQ/edit#gid=1251630045"",""articles_with_PRISMA_reasons!B2:B2113"")))-1)"),"Lutschg")</f>
        <v>Lutschg</v>
      </c>
      <c r="C359" s="6">
        <f>IFERROR(__xludf.DUMMYFUNCTION("FILTER(IMPORTRANGE(""https://docs.google.com/spreadsheets/d/1BJSV3WBYJGRhQ6zExamkszQ5VutGIcaQqmbD9ZTVXMQ/edit#gid=1251630045"",""articles_with_PRISMA_reasons!C2:C2113""), $A359=IMPORTRANGE(""https://docs.google.com/spreadsheets/d/1BJSV3WBYJGRhQ6zExamkszQ5"&amp;"VutGIcaQqmbD9ZTVXMQ/edit#gid=1251630045"",""articles_with_PRISMA_reasons!B2:B2113""))"),1985.0)</f>
        <v>1985</v>
      </c>
      <c r="D359" s="5" t="str">
        <f>IFERROR(__xludf.DUMMYFUNCTION("IFS(AND(
FILTER(IMPORTRANGE(""https://docs.google.com/spreadsheets/d/1BJSV3WBYJGRhQ6zExamkszQ5VutGIcaQqmbD9ZTVXMQ/edit#gid=1251630045"",""articles_with_PRISMA_reasons!Y2:Y2113""), $A359=IMPORTRANGE(""https://docs.google.com/spreadsheets/d/1BJSV3WBYJGRhQ6z"&amp;"ExamkszQ5VutGIcaQqmbD9ZTVXMQ/edit#gid=1251630045"",""articles_with_PRISMA_reasons!B2:B2113""))&gt;=2,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$A359=IMPORTRANGE(""https://docs.google.com/spreadsheets/d/1BJSV3WBYJGRhQ6zExamkszQ5VutGIcaQqmbD9ZTVXMQ/edit#gid=1251630045"",""articles_with_PRISMA_reasons!B2:B2113""))&lt;2),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$A359=IMPORTRANGE(""https://docs.google.com/spreadsheets/d/1BJSV3WBYJGRhQ6zExamkszQ5VutGIcaQqmbD9ZTVXMQ/edit#gid=1251630045"",""arti"&amp;"cles_with_PRISMA_reasons!B2:B2113""))&lt;2,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$A359=IMPORTRANGE(""https://docs.google.com"&amp;"/spreadsheets/d/1BJSV3WBYJGRhQ6zExamkszQ5VutGIcaQqmbD9ZTVXMQ/edit#gid=1251630045"",""articles_with_PRISMA_reasons!B2:B2113""))&gt;=2),
""Exclude""
)"),"Exclude")</f>
        <v>Exclude</v>
      </c>
      <c r="E359" s="5" t="str">
        <f>IFERROR(__xludf.DUMMYFUNCTION("IFS(
D359=""Exclude"",""Exclude"",
AND(
FILTER(IMPORTRANGE(""https://docs.google.com/spreadsheets/d/1qpEmbGH0JjaJbUdp21-y2cPbobDbMjr09BbtdKROZWc/edit#gid=1444865654"",""articles_with_PRISMA_reasons!W2:W2113""), $A359=IMPORTRANGE(""https://docs.google.com/"&amp;"spreadsheets/d/1qpEmbGH0JjaJbUdp21-y2cPbobDbMjr09BbtdKROZWc/edit#gid=1444865654"",""articles_with_PRISMA_reasons!B2:B2113""))&gt;=2,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$A359=IMPORTRANGE(""https://docs.google.com/spreadsheets/d/1qpEmbGH0JjaJbUdp21-y2cPbobDbMjr09BbtdKROZWc/edit#gid=1444865654"",""articles_with_PRISMA_reasons!B2:B2113""))&lt;2),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$A359=IMPORTRANGE(""https://docs.google.com/spreadsheets/d/1qpEmbGH0JjaJbUdp21-y2cPbobDbMjr09BbtdKRO"&amp;"ZWc/edit#gid=1444865654"",""articles_with_PRISMA_reasons!B2:B2113""))&lt;2,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$A359=IMPOR"&amp;"TRANGE(""https://docs.google.com/spreadsheets/d/1qpEmbGH0JjaJbUdp21-y2cPbobDbMjr09BbtdKROZWc/edit#gid=1444865654"",""articles_with_PRISMA_reasons!B2:B2113""))&gt;=2),
""Exclude""
)"),"Exclude")</f>
        <v>Exclude</v>
      </c>
      <c r="F359" s="5" t="str">
        <f>IFERROR(__xludf.DUMMYFUNCTION("IFS(
E359=""Exclude"",""Exclude"",
AND(
COUNTIF(
IMPORTRANGE(""https://docs.google.com/spreadsheets/d/1kGrh75X1cNR1D7_FcY9zMnHP8iPO4M5RCRjy6nZY0TY/edit#gid=0"",""Table 1: Study characteristics!B4:B171""),A359)&gt;0,
COUNTIF(Studies!$A$2:$A$85,FILTER(IMPORTRA"&amp;"NGE(""https://docs.google.com/spreadsheets/d/1kGrh75X1cNR1D7_FcY9zMnHP8iPO4M5RCRjy6nZY0TY/edit#gid=0"",""Table 1: Study characteristics!A4:A171""), $A359=IMPORTRANGE(""https://docs.google.com/spreadsheets/d/1kGrh75X1cNR1D7_FcY9zMnHP8iPO4M5RCRjy6nZY0TY/edi"&amp;"t#gid=0"",""Table 1: Study characteristics!B4:B171"")))&gt;0
),
""Include""
)"),"Exclude")</f>
        <v>Exclude</v>
      </c>
      <c r="G359" s="5" t="str">
        <f>IFERROR(__xludf.DUMMYFUNCTION("IFS(
D359=""Exclude"",
FILTER(IMPORTRANGE(""https://docs.google.com/spreadsheets/d/1BJSV3WBYJGRhQ6zExamkszQ5VutGIcaQqmbD9ZTVXMQ/edit#gid=1251630045"",""articles_with_PRISMA_reasons!AB2:AB2113""), $A359=IMPORTRANGE(""https://docs.google.com/spreadsheets/d/"&amp;"1BJSV3WBYJGRhQ6zExamkszQ5VutGIcaQqmbD9ZTVXMQ/edit#gid=1251630045"",""articles_with_PRISMA_reasons!B2:B2113"")),
E359=""Exclude"",
FILTER(IMPORTRANGE(""https://docs.google.com/spreadsheets/d/1qpEmbGH0JjaJbUdp21-y2cPbobDbMjr09BbtdKROZWc/edit#gid=1444865654"&amp;""",""articles_with_PRISMA_reasons!Z2:Z2113""), $A359=IMPORTRANGE(""https://docs.google.com/spreadsheets/d/1qpEmbGH0JjaJbUdp21-y2cPbobDbMjr09BbtdKROZWc/edit#gid=1444865654"",""articles_with_PRISMA_reasons!B2:B2113"")),F359
=""Include"",FILTER(IMPORTRANGE("&amp;"""https://docs.google.com/spreadsheets/d/1kGrh75X1cNR1D7_FcY9zMnHP8iPO4M5RCRjy6nZY0TY/edit#gid=0"",""Table 1: Study characteristics!A4:A171""), $A359=IMPORTRANGE(""https://docs.google.com/spreadsheets/d/1kGrh75X1cNR1D7_FcY9zMnHP8iPO4M5RCRjy6nZY0TY/edit#gi"&amp;"d=0"",""Table 1: Study characteristics!B4:B171""))
)"),"wrong population")</f>
        <v>wrong population</v>
      </c>
    </row>
    <row r="360">
      <c r="A360" s="4" t="str">
        <f>IFERROR(__xludf.DUMMYFUNCTION("""COMPUTED_VALUE"""),"Caffey award: cranial sonographic findings in meningomyelocele")</f>
        <v>Caffey award: cranial sonographic findings in meningomyelocele</v>
      </c>
      <c r="B360" s="5" t="str">
        <f>IFERROR(__xludf.DUMMYFUNCTION("LEFT(FILTER(IMPORTRANGE(""https://docs.google.com/spreadsheets/d/1BJSV3WBYJGRhQ6zExamkszQ5VutGIcaQqmbD9ZTVXMQ/edit#gid=1251630045"",""articles_with_PRISMA_reasons!K2:K2113""), $A360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$A360=IMPORTRANGE(""https://docs.google.com/spreadsheets/d/1BJSV3WBYJGRhQ6zExamkszQ5VutGIcaQqmbD9ZTVXMQ/edit#gid=1251630045"",""articles_with_PRISMA_reasons!B2:B2113"")))-1)"),"Babcock")</f>
        <v>Babcock</v>
      </c>
      <c r="C360" s="6">
        <f>IFERROR(__xludf.DUMMYFUNCTION("FILTER(IMPORTRANGE(""https://docs.google.com/spreadsheets/d/1BJSV3WBYJGRhQ6zExamkszQ5VutGIcaQqmbD9ZTVXMQ/edit#gid=1251630045"",""articles_with_PRISMA_reasons!C2:C2113""), $A360=IMPORTRANGE(""https://docs.google.com/spreadsheets/d/1BJSV3WBYJGRhQ6zExamkszQ5"&amp;"VutGIcaQqmbD9ZTVXMQ/edit#gid=1251630045"",""articles_with_PRISMA_reasons!B2:B2113""))"),1981.0)</f>
        <v>1981</v>
      </c>
      <c r="D360" s="5" t="str">
        <f>IFERROR(__xludf.DUMMYFUNCTION("IFS(AND(
FILTER(IMPORTRANGE(""https://docs.google.com/spreadsheets/d/1BJSV3WBYJGRhQ6zExamkszQ5VutGIcaQqmbD9ZTVXMQ/edit#gid=1251630045"",""articles_with_PRISMA_reasons!Y2:Y2113""), $A360=IMPORTRANGE(""https://docs.google.com/spreadsheets/d/1BJSV3WBYJGRhQ6z"&amp;"ExamkszQ5VutGIcaQqmbD9ZTVXMQ/edit#gid=1251630045"",""articles_with_PRISMA_reasons!B2:B2113""))&gt;=2,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$A360=IMPORTRANGE(""https://docs.google.com/spreadsheets/d/1BJSV3WBYJGRhQ6zExamkszQ5VutGIcaQqmbD9ZTVXMQ/edit#gid=1251630045"",""articles_with_PRISMA_reasons!B2:B2113""))&lt;2),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$A360=IMPORTRANGE(""https://docs.google.com/spreadsheets/d/1BJSV3WBYJGRhQ6zExamkszQ5VutGIcaQqmbD9ZTVXMQ/edit#gid=1251630045"",""arti"&amp;"cles_with_PRISMA_reasons!B2:B2113""))&lt;2,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$A360=IMPORTRANGE(""https://docs.google.com"&amp;"/spreadsheets/d/1BJSV3WBYJGRhQ6zExamkszQ5VutGIcaQqmbD9ZTVXMQ/edit#gid=1251630045"",""articles_with_PRISMA_reasons!B2:B2113""))&gt;=2),
""Exclude""
)"),"Exclude")</f>
        <v>Exclude</v>
      </c>
      <c r="E360" s="5" t="str">
        <f>IFERROR(__xludf.DUMMYFUNCTION("IFS(
D360=""Exclude"",""Exclude"",
AND(
FILTER(IMPORTRANGE(""https://docs.google.com/spreadsheets/d/1qpEmbGH0JjaJbUdp21-y2cPbobDbMjr09BbtdKROZWc/edit#gid=1444865654"",""articles_with_PRISMA_reasons!W2:W2113""), $A360=IMPORTRANGE(""https://docs.google.com/"&amp;"spreadsheets/d/1qpEmbGH0JjaJbUdp21-y2cPbobDbMjr09BbtdKROZWc/edit#gid=1444865654"",""articles_with_PRISMA_reasons!B2:B2113""))&gt;=2,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$A360=IMPORTRANGE(""https://docs.google.com/spreadsheets/d/1qpEmbGH0JjaJbUdp21-y2cPbobDbMjr09BbtdKROZWc/edit#gid=1444865654"",""articles_with_PRISMA_reasons!B2:B2113""))&lt;2),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$A360=IMPORTRANGE(""https://docs.google.com/spreadsheets/d/1qpEmbGH0JjaJbUdp21-y2cPbobDbMjr09BbtdKRO"&amp;"ZWc/edit#gid=1444865654"",""articles_with_PRISMA_reasons!B2:B2113""))&lt;2,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$A360=IMPOR"&amp;"TRANGE(""https://docs.google.com/spreadsheets/d/1qpEmbGH0JjaJbUdp21-y2cPbobDbMjr09BbtdKROZWc/edit#gid=1444865654"",""articles_with_PRISMA_reasons!B2:B2113""))&gt;=2),
""Exclude""
)"),"Exclude")</f>
        <v>Exclude</v>
      </c>
      <c r="F360" s="5" t="str">
        <f>IFERROR(__xludf.DUMMYFUNCTION("IFS(
E360=""Exclude"",""Exclude"",
AND(
COUNTIF(
IMPORTRANGE(""https://docs.google.com/spreadsheets/d/1kGrh75X1cNR1D7_FcY9zMnHP8iPO4M5RCRjy6nZY0TY/edit#gid=0"",""Table 1: Study characteristics!B4:B171""),A360)&gt;0,
COUNTIF(Studies!$A$2:$A$85,FILTER(IMPORTRA"&amp;"NGE(""https://docs.google.com/spreadsheets/d/1kGrh75X1cNR1D7_FcY9zMnHP8iPO4M5RCRjy6nZY0TY/edit#gid=0"",""Table 1: Study characteristics!A4:A171""), $A360=IMPORTRANGE(""https://docs.google.com/spreadsheets/d/1kGrh75X1cNR1D7_FcY9zMnHP8iPO4M5RCRjy6nZY0TY/edi"&amp;"t#gid=0"",""Table 1: Study characteristics!B4:B171"")))&gt;0
),
""Include""
)"),"Exclude")</f>
        <v>Exclude</v>
      </c>
      <c r="G360" s="5" t="str">
        <f>IFERROR(__xludf.DUMMYFUNCTION("IFS(
D360=""Exclude"",
FILTER(IMPORTRANGE(""https://docs.google.com/spreadsheets/d/1BJSV3WBYJGRhQ6zExamkszQ5VutGIcaQqmbD9ZTVXMQ/edit#gid=1251630045"",""articles_with_PRISMA_reasons!AB2:AB2113""), $A360=IMPORTRANGE(""https://docs.google.com/spreadsheets/d/"&amp;"1BJSV3WBYJGRhQ6zExamkszQ5VutGIcaQqmbD9ZTVXMQ/edit#gid=1251630045"",""articles_with_PRISMA_reasons!B2:B2113"")),
E360=""Exclude"",
FILTER(IMPORTRANGE(""https://docs.google.com/spreadsheets/d/1qpEmbGH0JjaJbUdp21-y2cPbobDbMjr09BbtdKROZWc/edit#gid=1444865654"&amp;""",""articles_with_PRISMA_reasons!Z2:Z2113""), $A360=IMPORTRANGE(""https://docs.google.com/spreadsheets/d/1qpEmbGH0JjaJbUdp21-y2cPbobDbMjr09BbtdKROZWc/edit#gid=1444865654"",""articles_with_PRISMA_reasons!B2:B2113"")),F360
=""Include"",FILTER(IMPORTRANGE("&amp;"""https://docs.google.com/spreadsheets/d/1kGrh75X1cNR1D7_FcY9zMnHP8iPO4M5RCRjy6nZY0TY/edit#gid=0"",""Table 1: Study characteristics!A4:A171""), $A360=IMPORTRANGE(""https://docs.google.com/spreadsheets/d/1kGrh75X1cNR1D7_FcY9zMnHP8iPO4M5RCRjy6nZY0TY/edit#gi"&amp;"d=0"",""Table 1: Study characteristics!B4:B171""))
)"),"wrong intervention")</f>
        <v>wrong intervention</v>
      </c>
    </row>
    <row r="361">
      <c r="A361" s="4" t="str">
        <f>IFERROR(__xludf.DUMMYFUNCTION("""COMPUTED_VALUE"""),"Calgary Shunt Protocol, an adaptation of the Hydrocephalus Clinical Research Network shunt protocol, reduces shunt infections in children")</f>
        <v>Calgary Shunt Protocol, an adaptation of the Hydrocephalus Clinical Research Network shunt protocol, reduces shunt infections in children</v>
      </c>
      <c r="B361" s="5" t="str">
        <f>IFERROR(__xludf.DUMMYFUNCTION("LEFT(FILTER(IMPORTRANGE(""https://docs.google.com/spreadsheets/d/1BJSV3WBYJGRhQ6zExamkszQ5VutGIcaQqmbD9ZTVXMQ/edit#gid=1251630045"",""articles_with_PRISMA_reasons!K2:K2113""), $A361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$A361=IMPORTRANGE(""https://docs.google.com/spreadsheets/d/1BJSV3WBYJGRhQ6zExamkszQ5VutGIcaQqmbD9ZTVXMQ/edit#gid=1251630045"",""articles_with_PRISMA_reasons!B2:B2113"")))-1)"),"Yang")</f>
        <v>Yang</v>
      </c>
      <c r="C361" s="6">
        <f>IFERROR(__xludf.DUMMYFUNCTION("FILTER(IMPORTRANGE(""https://docs.google.com/spreadsheets/d/1BJSV3WBYJGRhQ6zExamkszQ5VutGIcaQqmbD9ZTVXMQ/edit#gid=1251630045"",""articles_with_PRISMA_reasons!C2:C2113""), $A361=IMPORTRANGE(""https://docs.google.com/spreadsheets/d/1BJSV3WBYJGRhQ6zExamkszQ5"&amp;"VutGIcaQqmbD9ZTVXMQ/edit#gid=1251630045"",""articles_with_PRISMA_reasons!B2:B2113""))"),2019.0)</f>
        <v>2019</v>
      </c>
      <c r="D361" s="5" t="str">
        <f>IFERROR(__xludf.DUMMYFUNCTION("IFS(AND(
FILTER(IMPORTRANGE(""https://docs.google.com/spreadsheets/d/1BJSV3WBYJGRhQ6zExamkszQ5VutGIcaQqmbD9ZTVXMQ/edit#gid=1251630045"",""articles_with_PRISMA_reasons!Y2:Y2113""), $A361=IMPORTRANGE(""https://docs.google.com/spreadsheets/d/1BJSV3WBYJGRhQ6z"&amp;"ExamkszQ5VutGIcaQqmbD9ZTVXMQ/edit#gid=1251630045"",""articles_with_PRISMA_reasons!B2:B2113""))&gt;=2,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$A361=IMPORTRANGE(""https://docs.google.com/spreadsheets/d/1BJSV3WBYJGRhQ6zExamkszQ5VutGIcaQqmbD9ZTVXMQ/edit#gid=1251630045"",""articles_with_PRISMA_reasons!B2:B2113""))&lt;2),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$A361=IMPORTRANGE(""https://docs.google.com/spreadsheets/d/1BJSV3WBYJGRhQ6zExamkszQ5VutGIcaQqmbD9ZTVXMQ/edit#gid=1251630045"",""arti"&amp;"cles_with_PRISMA_reasons!B2:B2113""))&lt;2,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$A361=IMPORTRANGE(""https://docs.google.com"&amp;"/spreadsheets/d/1BJSV3WBYJGRhQ6zExamkszQ5VutGIcaQqmbD9ZTVXMQ/edit#gid=1251630045"",""articles_with_PRISMA_reasons!B2:B2113""))&gt;=2),
""Exclude""
)"),"Include")</f>
        <v>Include</v>
      </c>
      <c r="E361" s="5" t="str">
        <f>IFERROR(__xludf.DUMMYFUNCTION("IFS(
D361=""Exclude"",""Exclude"",
AND(
FILTER(IMPORTRANGE(""https://docs.google.com/spreadsheets/d/1qpEmbGH0JjaJbUdp21-y2cPbobDbMjr09BbtdKROZWc/edit#gid=1444865654"",""articles_with_PRISMA_reasons!W2:W2113""), $A361=IMPORTRANGE(""https://docs.google.com/"&amp;"spreadsheets/d/1qpEmbGH0JjaJbUdp21-y2cPbobDbMjr09BbtdKROZWc/edit#gid=1444865654"",""articles_with_PRISMA_reasons!B2:B2113""))&gt;=2,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$A361=IMPORTRANGE(""https://docs.google.com/spreadsheets/d/1qpEmbGH0JjaJbUdp21-y2cPbobDbMjr09BbtdKROZWc/edit#gid=1444865654"",""articles_with_PRISMA_reasons!B2:B2113""))&lt;2),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$A361=IMPORTRANGE(""https://docs.google.com/spreadsheets/d/1qpEmbGH0JjaJbUdp21-y2cPbobDbMjr09BbtdKRO"&amp;"ZWc/edit#gid=1444865654"",""articles_with_PRISMA_reasons!B2:B2113""))&lt;2,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$A361=IMPOR"&amp;"TRANGE(""https://docs.google.com/spreadsheets/d/1qpEmbGH0JjaJbUdp21-y2cPbobDbMjr09BbtdKROZWc/edit#gid=1444865654"",""articles_with_PRISMA_reasons!B2:B2113""))&gt;=2),
""Exclude""
)"),"Exclude")</f>
        <v>Exclude</v>
      </c>
      <c r="F361" s="5" t="str">
        <f>IFERROR(__xludf.DUMMYFUNCTION("IFS(
E361=""Exclude"",""Exclude"",
AND(
COUNTIF(
IMPORTRANGE(""https://docs.google.com/spreadsheets/d/1kGrh75X1cNR1D7_FcY9zMnHP8iPO4M5RCRjy6nZY0TY/edit#gid=0"",""Table 1: Study characteristics!B4:B171""),A361)&gt;0,
COUNTIF(Studies!$A$2:$A$85,FILTER(IMPORTRA"&amp;"NGE(""https://docs.google.com/spreadsheets/d/1kGrh75X1cNR1D7_FcY9zMnHP8iPO4M5RCRjy6nZY0TY/edit#gid=0"",""Table 1: Study characteristics!A4:A171""), $A361=IMPORTRANGE(""https://docs.google.com/spreadsheets/d/1kGrh75X1cNR1D7_FcY9zMnHP8iPO4M5RCRjy6nZY0TY/edi"&amp;"t#gid=0"",""Table 1: Study characteristics!B4:B171"")))&gt;0
),
""Include""
)"),"Exclude")</f>
        <v>Exclude</v>
      </c>
      <c r="G361" s="5" t="str">
        <f>IFERROR(__xludf.DUMMYFUNCTION("IFS(
D361=""Exclude"",
FILTER(IMPORTRANGE(""https://docs.google.com/spreadsheets/d/1BJSV3WBYJGRhQ6zExamkszQ5VutGIcaQqmbD9ZTVXMQ/edit#gid=1251630045"",""articles_with_PRISMA_reasons!AB2:AB2113""), $A361=IMPORTRANGE(""https://docs.google.com/spreadsheets/d/"&amp;"1BJSV3WBYJGRhQ6zExamkszQ5VutGIcaQqmbD9ZTVXMQ/edit#gid=1251630045"",""articles_with_PRISMA_reasons!B2:B2113"")),
E361=""Exclude"",
FILTER(IMPORTRANGE(""https://docs.google.com/spreadsheets/d/1qpEmbGH0JjaJbUdp21-y2cPbobDbMjr09BbtdKROZWc/edit#gid=1444865654"&amp;""",""articles_with_PRISMA_reasons!Z2:Z2113""), $A361=IMPORTRANGE(""https://docs.google.com/spreadsheets/d/1qpEmbGH0JjaJbUdp21-y2cPbobDbMjr09BbtdKROZWc/edit#gid=1444865654"",""articles_with_PRISMA_reasons!B2:B2113"")),F361
=""Include"",FILTER(IMPORTRANGE("&amp;"""https://docs.google.com/spreadsheets/d/1kGrh75X1cNR1D7_FcY9zMnHP8iPO4M5RCRjy6nZY0TY/edit#gid=0"",""Table 1: Study characteristics!A4:A171""), $A361=IMPORTRANGE(""https://docs.google.com/spreadsheets/d/1kGrh75X1cNR1D7_FcY9zMnHP8iPO4M5RCRjy6nZY0TY/edit#gi"&amp;"d=0"",""Table 1: Study characteristics!B4:B171""))
)"),"wrong population")</f>
        <v>wrong population</v>
      </c>
    </row>
    <row r="362">
      <c r="A362" s="4" t="str">
        <f>IFERROR(__xludf.DUMMYFUNCTION("""COMPUTED_VALUE"""),"Callosal anomalies in patients with spinal dysraphism: correlation of clinical and neuroimaging features with hemispheric abnormalities")</f>
        <v>Callosal anomalies in patients with spinal dysraphism: correlation of clinical and neuroimaging features with hemispheric abnormalities</v>
      </c>
      <c r="B362" s="5" t="str">
        <f>IFERROR(__xludf.DUMMYFUNCTION("LEFT(FILTER(IMPORTRANGE(""https://docs.google.com/spreadsheets/d/1BJSV3WBYJGRhQ6zExamkszQ5VutGIcaQqmbD9ZTVXMQ/edit#gid=1251630045"",""articles_with_PRISMA_reasons!K2:K2113""), $A362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$A362=IMPORTRANGE(""https://docs.google.com/spreadsheets/d/1BJSV3WBYJGRhQ6zExamkszQ5VutGIcaQqmbD9ZTVXMQ/edit#gid=1251630045"",""articles_with_PRISMA_reasons!B2:B2113"")))-1)"),"Kawamura")</f>
        <v>Kawamura</v>
      </c>
      <c r="C362" s="6">
        <f>IFERROR(__xludf.DUMMYFUNCTION("FILTER(IMPORTRANGE(""https://docs.google.com/spreadsheets/d/1BJSV3WBYJGRhQ6zExamkszQ5VutGIcaQqmbD9ZTVXMQ/edit#gid=1251630045"",""articles_with_PRISMA_reasons!C2:C2113""), $A362=IMPORTRANGE(""https://docs.google.com/spreadsheets/d/1BJSV3WBYJGRhQ6zExamkszQ5"&amp;"VutGIcaQqmbD9ZTVXMQ/edit#gid=1251630045"",""articles_with_PRISMA_reasons!B2:B2113""))"),2002.0)</f>
        <v>2002</v>
      </c>
      <c r="D362" s="5" t="str">
        <f>IFERROR(__xludf.DUMMYFUNCTION("IFS(AND(
FILTER(IMPORTRANGE(""https://docs.google.com/spreadsheets/d/1BJSV3WBYJGRhQ6zExamkszQ5VutGIcaQqmbD9ZTVXMQ/edit#gid=1251630045"",""articles_with_PRISMA_reasons!Y2:Y2113""), $A362=IMPORTRANGE(""https://docs.google.com/spreadsheets/d/1BJSV3WBYJGRhQ6z"&amp;"ExamkszQ5VutGIcaQqmbD9ZTVXMQ/edit#gid=1251630045"",""articles_with_PRISMA_reasons!B2:B2113""))&gt;=2,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$A362=IMPORTRANGE(""https://docs.google.com/spreadsheets/d/1BJSV3WBYJGRhQ6zExamkszQ5VutGIcaQqmbD9ZTVXMQ/edit#gid=1251630045"",""articles_with_PRISMA_reasons!B2:B2113""))&lt;2),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$A362=IMPORTRANGE(""https://docs.google.com/spreadsheets/d/1BJSV3WBYJGRhQ6zExamkszQ5VutGIcaQqmbD9ZTVXMQ/edit#gid=1251630045"",""arti"&amp;"cles_with_PRISMA_reasons!B2:B2113""))&lt;2,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$A362=IMPORTRANGE(""https://docs.google.com"&amp;"/spreadsheets/d/1BJSV3WBYJGRhQ6zExamkszQ5VutGIcaQqmbD9ZTVXMQ/edit#gid=1251630045"",""articles_with_PRISMA_reasons!B2:B2113""))&gt;=2),
""Exclude""
)"),"Exclude")</f>
        <v>Exclude</v>
      </c>
      <c r="E362" s="5" t="str">
        <f>IFERROR(__xludf.DUMMYFUNCTION("IFS(
D362=""Exclude"",""Exclude"",
AND(
FILTER(IMPORTRANGE(""https://docs.google.com/spreadsheets/d/1qpEmbGH0JjaJbUdp21-y2cPbobDbMjr09BbtdKROZWc/edit#gid=1444865654"",""articles_with_PRISMA_reasons!W2:W2113""), $A362=IMPORTRANGE(""https://docs.google.com/"&amp;"spreadsheets/d/1qpEmbGH0JjaJbUdp21-y2cPbobDbMjr09BbtdKROZWc/edit#gid=1444865654"",""articles_with_PRISMA_reasons!B2:B2113""))&gt;=2,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$A362=IMPORTRANGE(""https://docs.google.com/spreadsheets/d/1qpEmbGH0JjaJbUdp21-y2cPbobDbMjr09BbtdKROZWc/edit#gid=1444865654"",""articles_with_PRISMA_reasons!B2:B2113""))&lt;2),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$A362=IMPORTRANGE(""https://docs.google.com/spreadsheets/d/1qpEmbGH0JjaJbUdp21-y2cPbobDbMjr09BbtdKRO"&amp;"ZWc/edit#gid=1444865654"",""articles_with_PRISMA_reasons!B2:B2113""))&lt;2,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$A362=IMPOR"&amp;"TRANGE(""https://docs.google.com/spreadsheets/d/1qpEmbGH0JjaJbUdp21-y2cPbobDbMjr09BbtdKROZWc/edit#gid=1444865654"",""articles_with_PRISMA_reasons!B2:B2113""))&gt;=2),
""Exclude""
)"),"Exclude")</f>
        <v>Exclude</v>
      </c>
      <c r="F362" s="5" t="str">
        <f>IFERROR(__xludf.DUMMYFUNCTION("IFS(
E362=""Exclude"",""Exclude"",
AND(
COUNTIF(
IMPORTRANGE(""https://docs.google.com/spreadsheets/d/1kGrh75X1cNR1D7_FcY9zMnHP8iPO4M5RCRjy6nZY0TY/edit#gid=0"",""Table 1: Study characteristics!B4:B171""),A362)&gt;0,
COUNTIF(Studies!$A$2:$A$85,FILTER(IMPORTRA"&amp;"NGE(""https://docs.google.com/spreadsheets/d/1kGrh75X1cNR1D7_FcY9zMnHP8iPO4M5RCRjy6nZY0TY/edit#gid=0"",""Table 1: Study characteristics!A4:A171""), $A362=IMPORTRANGE(""https://docs.google.com/spreadsheets/d/1kGrh75X1cNR1D7_FcY9zMnHP8iPO4M5RCRjy6nZY0TY/edi"&amp;"t#gid=0"",""Table 1: Study characteristics!B4:B171"")))&gt;0
),
""Include""
)"),"Exclude")</f>
        <v>Exclude</v>
      </c>
      <c r="G362" s="5" t="str">
        <f>IFERROR(__xludf.DUMMYFUNCTION("IFS(
D362=""Exclude"",
FILTER(IMPORTRANGE(""https://docs.google.com/spreadsheets/d/1BJSV3WBYJGRhQ6zExamkszQ5VutGIcaQqmbD9ZTVXMQ/edit#gid=1251630045"",""articles_with_PRISMA_reasons!AB2:AB2113""), $A362=IMPORTRANGE(""https://docs.google.com/spreadsheets/d/"&amp;"1BJSV3WBYJGRhQ6zExamkszQ5VutGIcaQqmbD9ZTVXMQ/edit#gid=1251630045"",""articles_with_PRISMA_reasons!B2:B2113"")),
E362=""Exclude"",
FILTER(IMPORTRANGE(""https://docs.google.com/spreadsheets/d/1qpEmbGH0JjaJbUdp21-y2cPbobDbMjr09BbtdKROZWc/edit#gid=1444865654"&amp;""",""articles_with_PRISMA_reasons!Z2:Z2113""), $A362=IMPORTRANGE(""https://docs.google.com/spreadsheets/d/1qpEmbGH0JjaJbUdp21-y2cPbobDbMjr09BbtdKROZWc/edit#gid=1444865654"",""articles_with_PRISMA_reasons!B2:B2113"")),F362
=""Include"",FILTER(IMPORTRANGE("&amp;"""https://docs.google.com/spreadsheets/d/1kGrh75X1cNR1D7_FcY9zMnHP8iPO4M5RCRjy6nZY0TY/edit#gid=0"",""Table 1: Study characteristics!A4:A171""), $A362=IMPORTRANGE(""https://docs.google.com/spreadsheets/d/1kGrh75X1cNR1D7_FcY9zMnHP8iPO4M5RCRjy6nZY0TY/edit#gi"&amp;"d=0"",""Table 1: Study characteristics!B4:B171""))
)"),"wrong population")</f>
        <v>wrong population</v>
      </c>
    </row>
    <row r="363">
      <c r="A363" s="4" t="str">
        <f>IFERROR(__xludf.DUMMYFUNCTION("""COMPUTED_VALUE"""),"Características clínicas de recién nacidos internados por mielomeningocele en el Hospital del Niño &amp;quot;Dr. Ovidio Aliaga Uría&amp;quot;. 1993 2002")</f>
        <v>Características clínicas de recién nacidos internados por mielomeningocele en el Hospital del Niño &amp;quot;Dr. Ovidio Aliaga Uría&amp;quot;. 1993 2002</v>
      </c>
      <c r="B363" s="5" t="str">
        <f>IFERROR(__xludf.DUMMYFUNCTION("LEFT(FILTER(IMPORTRANGE(""https://docs.google.com/spreadsheets/d/1BJSV3WBYJGRhQ6zExamkszQ5VutGIcaQqmbD9ZTVXMQ/edit#gid=1251630045"",""articles_with_PRISMA_reasons!K2:K2113""), $A363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$A363=IMPORTRANGE(""https://docs.google.com/spreadsheets/d/1BJSV3WBYJGRhQ6zExamkszQ5VutGIcaQqmbD9ZTVXMQ/edit#gid=1251630045"",""articles_with_PRISMA_reasons!B2:B2113"")))-1)"),"Pantoja Ludueña")</f>
        <v>Pantoja Ludueña</v>
      </c>
      <c r="C363" s="6">
        <f>IFERROR(__xludf.DUMMYFUNCTION("FILTER(IMPORTRANGE(""https://docs.google.com/spreadsheets/d/1BJSV3WBYJGRhQ6zExamkszQ5VutGIcaQqmbD9ZTVXMQ/edit#gid=1251630045"",""articles_with_PRISMA_reasons!C2:C2113""), $A363=IMPORTRANGE(""https://docs.google.com/spreadsheets/d/1BJSV3WBYJGRhQ6zExamkszQ5"&amp;"VutGIcaQqmbD9ZTVXMQ/edit#gid=1251630045"",""articles_with_PRISMA_reasons!B2:B2113""))"),2003.0)</f>
        <v>2003</v>
      </c>
      <c r="D363" s="5" t="str">
        <f>IFERROR(__xludf.DUMMYFUNCTION("IFS(AND(
FILTER(IMPORTRANGE(""https://docs.google.com/spreadsheets/d/1BJSV3WBYJGRhQ6zExamkszQ5VutGIcaQqmbD9ZTVXMQ/edit#gid=1251630045"",""articles_with_PRISMA_reasons!Y2:Y2113""), $A363=IMPORTRANGE(""https://docs.google.com/spreadsheets/d/1BJSV3WBYJGRhQ6z"&amp;"ExamkszQ5VutGIcaQqmbD9ZTVXMQ/edit#gid=1251630045"",""articles_with_PRISMA_reasons!B2:B2113""))&gt;=2,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$A363=IMPORTRANGE(""https://docs.google.com/spreadsheets/d/1BJSV3WBYJGRhQ6zExamkszQ5VutGIcaQqmbD9ZTVXMQ/edit#gid=1251630045"",""articles_with_PRISMA_reasons!B2:B2113""))&lt;2),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$A363=IMPORTRANGE(""https://docs.google.com/spreadsheets/d/1BJSV3WBYJGRhQ6zExamkszQ5VutGIcaQqmbD9ZTVXMQ/edit#gid=1251630045"",""arti"&amp;"cles_with_PRISMA_reasons!B2:B2113""))&lt;2,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$A363=IMPORTRANGE(""https://docs.google.com"&amp;"/spreadsheets/d/1BJSV3WBYJGRhQ6zExamkszQ5VutGIcaQqmbD9ZTVXMQ/edit#gid=1251630045"",""articles_with_PRISMA_reasons!B2:B2113""))&gt;=2),
""Exclude""
)"),"Include")</f>
        <v>Include</v>
      </c>
      <c r="E363" s="5" t="str">
        <f>IFERROR(__xludf.DUMMYFUNCTION("IFS(
D363=""Exclude"",""Exclude"",
AND(
FILTER(IMPORTRANGE(""https://docs.google.com/spreadsheets/d/1qpEmbGH0JjaJbUdp21-y2cPbobDbMjr09BbtdKROZWc/edit#gid=1444865654"",""articles_with_PRISMA_reasons!W2:W2113""), $A363=IMPORTRANGE(""https://docs.google.com/"&amp;"spreadsheets/d/1qpEmbGH0JjaJbUdp21-y2cPbobDbMjr09BbtdKROZWc/edit#gid=1444865654"",""articles_with_PRISMA_reasons!B2:B2113""))&gt;=2,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$A363=IMPORTRANGE(""https://docs.google.com/spreadsheets/d/1qpEmbGH0JjaJbUdp21-y2cPbobDbMjr09BbtdKROZWc/edit#gid=1444865654"",""articles_with_PRISMA_reasons!B2:B2113""))&lt;2),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$A363=IMPORTRANGE(""https://docs.google.com/spreadsheets/d/1qpEmbGH0JjaJbUdp21-y2cPbobDbMjr09BbtdKRO"&amp;"ZWc/edit#gid=1444865654"",""articles_with_PRISMA_reasons!B2:B2113""))&lt;2,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$A363=IMPOR"&amp;"TRANGE(""https://docs.google.com/spreadsheets/d/1qpEmbGH0JjaJbUdp21-y2cPbobDbMjr09BbtdKROZWc/edit#gid=1444865654"",""articles_with_PRISMA_reasons!B2:B2113""))&gt;=2),
""Exclude""
)"),"Include")</f>
        <v>Include</v>
      </c>
      <c r="F363" s="2" t="s">
        <v>8</v>
      </c>
      <c r="G363" s="2" t="s">
        <v>16</v>
      </c>
    </row>
    <row r="364">
      <c r="A364" s="4" t="str">
        <f>IFERROR(__xludf.DUMMYFUNCTION("""COMPUTED_VALUE"""),"Care of the neonate with a myelomeningocele")</f>
        <v>Care of the neonate with a myelomeningocele</v>
      </c>
      <c r="B364" s="5" t="str">
        <f>IFERROR(__xludf.DUMMYFUNCTION("LEFT(FILTER(IMPORTRANGE(""https://docs.google.com/spreadsheets/d/1BJSV3WBYJGRhQ6zExamkszQ5VutGIcaQqmbD9ZTVXMQ/edit#gid=1251630045"",""articles_with_PRISMA_reasons!K2:K2113""), $A364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$A364=IMPORTRANGE(""https://docs.google.com/spreadsheets/d/1BJSV3WBYJGRhQ6zExamkszQ5VutGIcaQqmbD9ZTVXMQ/edit#gid=1251630045"",""articles_with_PRISMA_reasons!B2:B2113"")))-1)"),"McLone")</f>
        <v>McLone</v>
      </c>
      <c r="C364" s="6">
        <f>IFERROR(__xludf.DUMMYFUNCTION("FILTER(IMPORTRANGE(""https://docs.google.com/spreadsheets/d/1BJSV3WBYJGRhQ6zExamkszQ5VutGIcaQqmbD9ZTVXMQ/edit#gid=1251630045"",""articles_with_PRISMA_reasons!C2:C2113""), $A364=IMPORTRANGE(""https://docs.google.com/spreadsheets/d/1BJSV3WBYJGRhQ6zExamkszQ5"&amp;"VutGIcaQqmbD9ZTVXMQ/edit#gid=1251630045"",""articles_with_PRISMA_reasons!B2:B2113""))"),1998.0)</f>
        <v>1998</v>
      </c>
      <c r="D364" s="5" t="str">
        <f>IFERROR(__xludf.DUMMYFUNCTION("IFS(AND(
FILTER(IMPORTRANGE(""https://docs.google.com/spreadsheets/d/1BJSV3WBYJGRhQ6zExamkszQ5VutGIcaQqmbD9ZTVXMQ/edit#gid=1251630045"",""articles_with_PRISMA_reasons!Y2:Y2113""), $A364=IMPORTRANGE(""https://docs.google.com/spreadsheets/d/1BJSV3WBYJGRhQ6z"&amp;"ExamkszQ5VutGIcaQqmbD9ZTVXMQ/edit#gid=1251630045"",""articles_with_PRISMA_reasons!B2:B2113""))&gt;=2,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$A364=IMPORTRANGE(""https://docs.google.com/spreadsheets/d/1BJSV3WBYJGRhQ6zExamkszQ5VutGIcaQqmbD9ZTVXMQ/edit#gid=1251630045"",""articles_with_PRISMA_reasons!B2:B2113""))&lt;2),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$A364=IMPORTRANGE(""https://docs.google.com/spreadsheets/d/1BJSV3WBYJGRhQ6zExamkszQ5VutGIcaQqmbD9ZTVXMQ/edit#gid=1251630045"",""arti"&amp;"cles_with_PRISMA_reasons!B2:B2113""))&lt;2,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$A364=IMPORTRANGE(""https://docs.google.com"&amp;"/spreadsheets/d/1BJSV3WBYJGRhQ6zExamkszQ5VutGIcaQqmbD9ZTVXMQ/edit#gid=1251630045"",""articles_with_PRISMA_reasons!B2:B2113""))&gt;=2),
""Exclude""
)"),"Exclude")</f>
        <v>Exclude</v>
      </c>
      <c r="E364" s="5" t="str">
        <f>IFERROR(__xludf.DUMMYFUNCTION("IFS(
D364=""Exclude"",""Exclude"",
AND(
FILTER(IMPORTRANGE(""https://docs.google.com/spreadsheets/d/1qpEmbGH0JjaJbUdp21-y2cPbobDbMjr09BbtdKROZWc/edit#gid=1444865654"",""articles_with_PRISMA_reasons!W2:W2113""), $A364=IMPORTRANGE(""https://docs.google.com/"&amp;"spreadsheets/d/1qpEmbGH0JjaJbUdp21-y2cPbobDbMjr09BbtdKROZWc/edit#gid=1444865654"",""articles_with_PRISMA_reasons!B2:B2113""))&gt;=2,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$A364=IMPORTRANGE(""https://docs.google.com/spreadsheets/d/1qpEmbGH0JjaJbUdp21-y2cPbobDbMjr09BbtdKROZWc/edit#gid=1444865654"",""articles_with_PRISMA_reasons!B2:B2113""))&lt;2),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$A364=IMPORTRANGE(""https://docs.google.com/spreadsheets/d/1qpEmbGH0JjaJbUdp21-y2cPbobDbMjr09BbtdKRO"&amp;"ZWc/edit#gid=1444865654"",""articles_with_PRISMA_reasons!B2:B2113""))&lt;2,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$A364=IMPOR"&amp;"TRANGE(""https://docs.google.com/spreadsheets/d/1qpEmbGH0JjaJbUdp21-y2cPbobDbMjr09BbtdKROZWc/edit#gid=1444865654"",""articles_with_PRISMA_reasons!B2:B2113""))&gt;=2),
""Exclude""
)"),"Exclude")</f>
        <v>Exclude</v>
      </c>
      <c r="F364" s="5" t="str">
        <f>IFERROR(__xludf.DUMMYFUNCTION("IFS(
E364=""Exclude"",""Exclude"",
AND(
COUNTIF(
IMPORTRANGE(""https://docs.google.com/spreadsheets/d/1kGrh75X1cNR1D7_FcY9zMnHP8iPO4M5RCRjy6nZY0TY/edit#gid=0"",""Table 1: Study characteristics!B4:B171""),A364)&gt;0,
COUNTIF(Studies!$A$2:$A$85,FILTER(IMPORTRA"&amp;"NGE(""https://docs.google.com/spreadsheets/d/1kGrh75X1cNR1D7_FcY9zMnHP8iPO4M5RCRjy6nZY0TY/edit#gid=0"",""Table 1: Study characteristics!A4:A171""), $A364=IMPORTRANGE(""https://docs.google.com/spreadsheets/d/1kGrh75X1cNR1D7_FcY9zMnHP8iPO4M5RCRjy6nZY0TY/edi"&amp;"t#gid=0"",""Table 1: Study characteristics!B4:B171"")))&gt;0
),
""Include""
)"),"Exclude")</f>
        <v>Exclude</v>
      </c>
      <c r="G364" s="5" t="str">
        <f>IFERROR(__xludf.DUMMYFUNCTION("IFS(
D364=""Exclude"",
FILTER(IMPORTRANGE(""https://docs.google.com/spreadsheets/d/1BJSV3WBYJGRhQ6zExamkszQ5VutGIcaQqmbD9ZTVXMQ/edit#gid=1251630045"",""articles_with_PRISMA_reasons!AB2:AB2113""), $A364=IMPORTRANGE(""https://docs.google.com/spreadsheets/d/"&amp;"1BJSV3WBYJGRhQ6zExamkszQ5VutGIcaQqmbD9ZTVXMQ/edit#gid=1251630045"",""articles_with_PRISMA_reasons!B2:B2113"")),
E364=""Exclude"",
FILTER(IMPORTRANGE(""https://docs.google.com/spreadsheets/d/1qpEmbGH0JjaJbUdp21-y2cPbobDbMjr09BbtdKROZWc/edit#gid=1444865654"&amp;""",""articles_with_PRISMA_reasons!Z2:Z2113""), $A364=IMPORTRANGE(""https://docs.google.com/spreadsheets/d/1qpEmbGH0JjaJbUdp21-y2cPbobDbMjr09BbtdKROZWc/edit#gid=1444865654"",""articles_with_PRISMA_reasons!B2:B2113"")),F364
=""Include"",FILTER(IMPORTRANGE("&amp;"""https://docs.google.com/spreadsheets/d/1kGrh75X1cNR1D7_FcY9zMnHP8iPO4M5RCRjy6nZY0TY/edit#gid=0"",""Table 1: Study characteristics!A4:A171""), $A364=IMPORTRANGE(""https://docs.google.com/spreadsheets/d/1kGrh75X1cNR1D7_FcY9zMnHP8iPO4M5RCRjy6nZY0TY/edit#gi"&amp;"d=0"",""Table 1: Study characteristics!B4:B171""))
)"),"wrong study design")</f>
        <v>wrong study design</v>
      </c>
    </row>
    <row r="365">
      <c r="A365" s="4" t="str">
        <f>IFERROR(__xludf.DUMMYFUNCTION("""COMPUTED_VALUE"""),"Caring for a newborn with meningomyelocele")</f>
        <v>Caring for a newborn with meningomyelocele</v>
      </c>
      <c r="B365" s="5" t="str">
        <f>IFERROR(__xludf.DUMMYFUNCTION("LEFT(FILTER(IMPORTRANGE(""https://docs.google.com/spreadsheets/d/1BJSV3WBYJGRhQ6zExamkszQ5VutGIcaQqmbD9ZTVXMQ/edit#gid=1251630045"",""articles_with_PRISMA_reasons!K2:K2113""), $A365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$A365=IMPORTRANGE(""https://docs.google.com/spreadsheets/d/1BJSV3WBYJGRhQ6zExamkszQ5VutGIcaQqmbD9ZTVXMQ/edit#gid=1251630045"",""articles_with_PRISMA_reasons!B2:B2113"")))-1)"),"Kessler")</f>
        <v>Kessler</v>
      </c>
      <c r="C365" s="6">
        <f>IFERROR(__xludf.DUMMYFUNCTION("FILTER(IMPORTRANGE(""https://docs.google.com/spreadsheets/d/1BJSV3WBYJGRhQ6zExamkszQ5VutGIcaQqmbD9ZTVXMQ/edit#gid=1251630045"",""articles_with_PRISMA_reasons!C2:C2113""), $A365=IMPORTRANGE(""https://docs.google.com/spreadsheets/d/1BJSV3WBYJGRhQ6zExamkszQ5"&amp;"VutGIcaQqmbD9ZTVXMQ/edit#gid=1251630045"",""articles_with_PRISMA_reasons!B2:B2113""))"),1997.0)</f>
        <v>1997</v>
      </c>
      <c r="D365" s="5" t="str">
        <f>IFERROR(__xludf.DUMMYFUNCTION("IFS(AND(
FILTER(IMPORTRANGE(""https://docs.google.com/spreadsheets/d/1BJSV3WBYJGRhQ6zExamkszQ5VutGIcaQqmbD9ZTVXMQ/edit#gid=1251630045"",""articles_with_PRISMA_reasons!Y2:Y2113""), $A365=IMPORTRANGE(""https://docs.google.com/spreadsheets/d/1BJSV3WBYJGRhQ6z"&amp;"ExamkszQ5VutGIcaQqmbD9ZTVXMQ/edit#gid=1251630045"",""articles_with_PRISMA_reasons!B2:B2113""))&gt;=2,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$A365=IMPORTRANGE(""https://docs.google.com/spreadsheets/d/1BJSV3WBYJGRhQ6zExamkszQ5VutGIcaQqmbD9ZTVXMQ/edit#gid=1251630045"",""articles_with_PRISMA_reasons!B2:B2113""))&lt;2),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$A365=IMPORTRANGE(""https://docs.google.com/spreadsheets/d/1BJSV3WBYJGRhQ6zExamkszQ5VutGIcaQqmbD9ZTVXMQ/edit#gid=1251630045"",""arti"&amp;"cles_with_PRISMA_reasons!B2:B2113""))&lt;2,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$A365=IMPORTRANGE(""https://docs.google.com"&amp;"/spreadsheets/d/1BJSV3WBYJGRhQ6zExamkszQ5VutGIcaQqmbD9ZTVXMQ/edit#gid=1251630045"",""articles_with_PRISMA_reasons!B2:B2113""))&gt;=2),
""Exclude""
)"),"Exclude")</f>
        <v>Exclude</v>
      </c>
      <c r="E365" s="5" t="str">
        <f>IFERROR(__xludf.DUMMYFUNCTION("IFS(
D365=""Exclude"",""Exclude"",
AND(
FILTER(IMPORTRANGE(""https://docs.google.com/spreadsheets/d/1qpEmbGH0JjaJbUdp21-y2cPbobDbMjr09BbtdKROZWc/edit#gid=1444865654"",""articles_with_PRISMA_reasons!W2:W2113""), $A365=IMPORTRANGE(""https://docs.google.com/"&amp;"spreadsheets/d/1qpEmbGH0JjaJbUdp21-y2cPbobDbMjr09BbtdKROZWc/edit#gid=1444865654"",""articles_with_PRISMA_reasons!B2:B2113""))&gt;=2,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$A365=IMPORTRANGE(""https://docs.google.com/spreadsheets/d/1qpEmbGH0JjaJbUdp21-y2cPbobDbMjr09BbtdKROZWc/edit#gid=1444865654"",""articles_with_PRISMA_reasons!B2:B2113""))&lt;2),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$A365=IMPORTRANGE(""https://docs.google.com/spreadsheets/d/1qpEmbGH0JjaJbUdp21-y2cPbobDbMjr09BbtdKRO"&amp;"ZWc/edit#gid=1444865654"",""articles_with_PRISMA_reasons!B2:B2113""))&lt;2,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$A365=IMPOR"&amp;"TRANGE(""https://docs.google.com/spreadsheets/d/1qpEmbGH0JjaJbUdp21-y2cPbobDbMjr09BbtdKROZWc/edit#gid=1444865654"",""articles_with_PRISMA_reasons!B2:B2113""))&gt;=2),
""Exclude""
)"),"Exclude")</f>
        <v>Exclude</v>
      </c>
      <c r="F365" s="5" t="str">
        <f>IFERROR(__xludf.DUMMYFUNCTION("IFS(
E365=""Exclude"",""Exclude"",
AND(
COUNTIF(
IMPORTRANGE(""https://docs.google.com/spreadsheets/d/1kGrh75X1cNR1D7_FcY9zMnHP8iPO4M5RCRjy6nZY0TY/edit#gid=0"",""Table 1: Study characteristics!B4:B171""),A365)&gt;0,
COUNTIF(Studies!$A$2:$A$85,FILTER(IMPORTRA"&amp;"NGE(""https://docs.google.com/spreadsheets/d/1kGrh75X1cNR1D7_FcY9zMnHP8iPO4M5RCRjy6nZY0TY/edit#gid=0"",""Table 1: Study characteristics!A4:A171""), $A365=IMPORTRANGE(""https://docs.google.com/spreadsheets/d/1kGrh75X1cNR1D7_FcY9zMnHP8iPO4M5RCRjy6nZY0TY/edi"&amp;"t#gid=0"",""Table 1: Study characteristics!B4:B171"")))&gt;0
),
""Include""
)"),"Exclude")</f>
        <v>Exclude</v>
      </c>
      <c r="G365" s="5" t="str">
        <f>IFERROR(__xludf.DUMMYFUNCTION("IFS(
D365=""Exclude"",
FILTER(IMPORTRANGE(""https://docs.google.com/spreadsheets/d/1BJSV3WBYJGRhQ6zExamkszQ5VutGIcaQqmbD9ZTVXMQ/edit#gid=1251630045"",""articles_with_PRISMA_reasons!AB2:AB2113""), $A365=IMPORTRANGE(""https://docs.google.com/spreadsheets/d/"&amp;"1BJSV3WBYJGRhQ6zExamkszQ5VutGIcaQqmbD9ZTVXMQ/edit#gid=1251630045"",""articles_with_PRISMA_reasons!B2:B2113"")),
E365=""Exclude"",
FILTER(IMPORTRANGE(""https://docs.google.com/spreadsheets/d/1qpEmbGH0JjaJbUdp21-y2cPbobDbMjr09BbtdKROZWc/edit#gid=1444865654"&amp;""",""articles_with_PRISMA_reasons!Z2:Z2113""), $A365=IMPORTRANGE(""https://docs.google.com/spreadsheets/d/1qpEmbGH0JjaJbUdp21-y2cPbobDbMjr09BbtdKROZWc/edit#gid=1444865654"",""articles_with_PRISMA_reasons!B2:B2113"")),F365
=""Include"",FILTER(IMPORTRANGE("&amp;"""https://docs.google.com/spreadsheets/d/1kGrh75X1cNR1D7_FcY9zMnHP8iPO4M5RCRjy6nZY0TY/edit#gid=0"",""Table 1: Study characteristics!A4:A171""), $A365=IMPORTRANGE(""https://docs.google.com/spreadsheets/d/1kGrh75X1cNR1D7_FcY9zMnHP8iPO4M5RCRjy6nZY0TY/edit#gi"&amp;"d=0"",""Table 1: Study characteristics!B4:B171""))
)"),"Duplicate")</f>
        <v>Duplicate</v>
      </c>
    </row>
    <row r="366">
      <c r="A366" s="4" t="str">
        <f>IFERROR(__xludf.DUMMYFUNCTION("""COMPUTED_VALUE"""),"Caring for the Child with Spina Bifida")</f>
        <v>Caring for the Child with Spina Bifida</v>
      </c>
      <c r="B366" s="5" t="str">
        <f>IFERROR(__xludf.DUMMYFUNCTION("LEFT(FILTER(IMPORTRANGE(""https://docs.google.com/spreadsheets/d/1BJSV3WBYJGRhQ6zExamkszQ5VutGIcaQqmbD9ZTVXMQ/edit#gid=1251630045"",""articles_with_PRISMA_reasons!K2:K2113""), $A366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$A366=IMPORTRANGE(""https://docs.google.com/spreadsheets/d/1BJSV3WBYJGRhQ6zExamkszQ5VutGIcaQqmbD9ZTVXMQ/edit#gid=1251630045"",""articles_with_PRISMA_reasons!B2:B2113"")))-1)"),"Rocque")</f>
        <v>Rocque</v>
      </c>
      <c r="C366" s="6">
        <f>IFERROR(__xludf.DUMMYFUNCTION("FILTER(IMPORTRANGE(""https://docs.google.com/spreadsheets/d/1BJSV3WBYJGRhQ6zExamkszQ5VutGIcaQqmbD9ZTVXMQ/edit#gid=1251630045"",""articles_with_PRISMA_reasons!C2:C2113""), $A366=IMPORTRANGE(""https://docs.google.com/spreadsheets/d/1BJSV3WBYJGRhQ6zExamkszQ5"&amp;"VutGIcaQqmbD9ZTVXMQ/edit#gid=1251630045"",""articles_with_PRISMA_reasons!B2:B2113""))"),2021.0)</f>
        <v>2021</v>
      </c>
      <c r="D366" s="5" t="str">
        <f>IFERROR(__xludf.DUMMYFUNCTION("IFS(AND(
FILTER(IMPORTRANGE(""https://docs.google.com/spreadsheets/d/1BJSV3WBYJGRhQ6zExamkszQ5VutGIcaQqmbD9ZTVXMQ/edit#gid=1251630045"",""articles_with_PRISMA_reasons!Y2:Y2113""), $A366=IMPORTRANGE(""https://docs.google.com/spreadsheets/d/1BJSV3WBYJGRhQ6z"&amp;"ExamkszQ5VutGIcaQqmbD9ZTVXMQ/edit#gid=1251630045"",""articles_with_PRISMA_reasons!B2:B2113""))&gt;=2,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$A366=IMPORTRANGE(""https://docs.google.com/spreadsheets/d/1BJSV3WBYJGRhQ6zExamkszQ5VutGIcaQqmbD9ZTVXMQ/edit#gid=1251630045"",""articles_with_PRISMA_reasons!B2:B2113""))&lt;2),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$A366=IMPORTRANGE(""https://docs.google.com/spreadsheets/d/1BJSV3WBYJGRhQ6zExamkszQ5VutGIcaQqmbD9ZTVXMQ/edit#gid=1251630045"",""arti"&amp;"cles_with_PRISMA_reasons!B2:B2113""))&lt;2,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$A366=IMPORTRANGE(""https://docs.google.com"&amp;"/spreadsheets/d/1BJSV3WBYJGRhQ6zExamkszQ5VutGIcaQqmbD9ZTVXMQ/edit#gid=1251630045"",""articles_with_PRISMA_reasons!B2:B2113""))&gt;=2),
""Exclude""
)"),"Exclude")</f>
        <v>Exclude</v>
      </c>
      <c r="E366" s="5" t="str">
        <f>IFERROR(__xludf.DUMMYFUNCTION("IFS(
D366=""Exclude"",""Exclude"",
AND(
FILTER(IMPORTRANGE(""https://docs.google.com/spreadsheets/d/1qpEmbGH0JjaJbUdp21-y2cPbobDbMjr09BbtdKROZWc/edit#gid=1444865654"",""articles_with_PRISMA_reasons!W2:W2113""), $A366=IMPORTRANGE(""https://docs.google.com/"&amp;"spreadsheets/d/1qpEmbGH0JjaJbUdp21-y2cPbobDbMjr09BbtdKROZWc/edit#gid=1444865654"",""articles_with_PRISMA_reasons!B2:B2113""))&gt;=2,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$A366=IMPORTRANGE(""https://docs.google.com/spreadsheets/d/1qpEmbGH0JjaJbUdp21-y2cPbobDbMjr09BbtdKROZWc/edit#gid=1444865654"",""articles_with_PRISMA_reasons!B2:B2113""))&lt;2),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$A366=IMPORTRANGE(""https://docs.google.com/spreadsheets/d/1qpEmbGH0JjaJbUdp21-y2cPbobDbMjr09BbtdKRO"&amp;"ZWc/edit#gid=1444865654"",""articles_with_PRISMA_reasons!B2:B2113""))&lt;2,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$A366=IMPOR"&amp;"TRANGE(""https://docs.google.com/spreadsheets/d/1qpEmbGH0JjaJbUdp21-y2cPbobDbMjr09BbtdKROZWc/edit#gid=1444865654"",""articles_with_PRISMA_reasons!B2:B2113""))&gt;=2),
""Exclude""
)"),"Exclude")</f>
        <v>Exclude</v>
      </c>
      <c r="F366" s="5" t="str">
        <f>IFERROR(__xludf.DUMMYFUNCTION("IFS(
E366=""Exclude"",""Exclude"",
AND(
COUNTIF(
IMPORTRANGE(""https://docs.google.com/spreadsheets/d/1kGrh75X1cNR1D7_FcY9zMnHP8iPO4M5RCRjy6nZY0TY/edit#gid=0"",""Table 1: Study characteristics!B4:B171""),A366)&gt;0,
COUNTIF(Studies!$A$2:$A$85,FILTER(IMPORTRA"&amp;"NGE(""https://docs.google.com/spreadsheets/d/1kGrh75X1cNR1D7_FcY9zMnHP8iPO4M5RCRjy6nZY0TY/edit#gid=0"",""Table 1: Study characteristics!A4:A171""), $A366=IMPORTRANGE(""https://docs.google.com/spreadsheets/d/1kGrh75X1cNR1D7_FcY9zMnHP8iPO4M5RCRjy6nZY0TY/edi"&amp;"t#gid=0"",""Table 1: Study characteristics!B4:B171"")))&gt;0
),
""Include""
)"),"Exclude")</f>
        <v>Exclude</v>
      </c>
      <c r="G366" s="5" t="str">
        <f>IFERROR(__xludf.DUMMYFUNCTION("IFS(
D366=""Exclude"",
FILTER(IMPORTRANGE(""https://docs.google.com/spreadsheets/d/1BJSV3WBYJGRhQ6zExamkszQ5VutGIcaQqmbD9ZTVXMQ/edit#gid=1251630045"",""articles_with_PRISMA_reasons!AB2:AB2113""), $A366=IMPORTRANGE(""https://docs.google.com/spreadsheets/d/"&amp;"1BJSV3WBYJGRhQ6zExamkszQ5VutGIcaQqmbD9ZTVXMQ/edit#gid=1251630045"",""articles_with_PRISMA_reasons!B2:B2113"")),
E366=""Exclude"",
FILTER(IMPORTRANGE(""https://docs.google.com/spreadsheets/d/1qpEmbGH0JjaJbUdp21-y2cPbobDbMjr09BbtdKROZWc/edit#gid=1444865654"&amp;""",""articles_with_PRISMA_reasons!Z2:Z2113""), $A366=IMPORTRANGE(""https://docs.google.com/spreadsheets/d/1qpEmbGH0JjaJbUdp21-y2cPbobDbMjr09BbtdKROZWc/edit#gid=1444865654"",""articles_with_PRISMA_reasons!B2:B2113"")),F366
=""Include"",FILTER(IMPORTRANGE("&amp;"""https://docs.google.com/spreadsheets/d/1kGrh75X1cNR1D7_FcY9zMnHP8iPO4M5RCRjy6nZY0TY/edit#gid=0"",""Table 1: Study characteristics!A4:A171""), $A366=IMPORTRANGE(""https://docs.google.com/spreadsheets/d/1kGrh75X1cNR1D7_FcY9zMnHP8iPO4M5RCRjy6nZY0TY/edit#gi"&amp;"d=0"",""Table 1: Study characteristics!B4:B171""))
)"),"wrong study design")</f>
        <v>wrong study design</v>
      </c>
    </row>
    <row r="367">
      <c r="A367" s="4" t="str">
        <f>IFERROR(__xludf.DUMMYFUNCTION("""COMPUTED_VALUE"""),"Case report of mesenteric strangulation secondary to longstanding ventriculoperitoneal shunt catheter")</f>
        <v>Case report of mesenteric strangulation secondary to longstanding ventriculoperitoneal shunt catheter</v>
      </c>
      <c r="B367" s="5" t="str">
        <f>IFERROR(__xludf.DUMMYFUNCTION("LEFT(FILTER(IMPORTRANGE(""https://docs.google.com/spreadsheets/d/1BJSV3WBYJGRhQ6zExamkszQ5VutGIcaQqmbD9ZTVXMQ/edit#gid=1251630045"",""articles_with_PRISMA_reasons!K2:K2113""), $A367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$A367=IMPORTRANGE(""https://docs.google.com/spreadsheets/d/1BJSV3WBYJGRhQ6zExamkszQ5VutGIcaQqmbD9ZTVXMQ/edit#gid=1251630045"",""articles_with_PRISMA_reasons!B2:B2113"")))-1)"),"Grant")</f>
        <v>Grant</v>
      </c>
      <c r="C367" s="6">
        <f>IFERROR(__xludf.DUMMYFUNCTION("FILTER(IMPORTRANGE(""https://docs.google.com/spreadsheets/d/1BJSV3WBYJGRhQ6zExamkszQ5VutGIcaQqmbD9ZTVXMQ/edit#gid=1251630045"",""articles_with_PRISMA_reasons!C2:C2113""), $A367=IMPORTRANGE(""https://docs.google.com/spreadsheets/d/1BJSV3WBYJGRhQ6zExamkszQ5"&amp;"VutGIcaQqmbD9ZTVXMQ/edit#gid=1251630045"",""articles_with_PRISMA_reasons!B2:B2113""))"),2021.0)</f>
        <v>2021</v>
      </c>
      <c r="D367" s="5" t="str">
        <f>IFERROR(__xludf.DUMMYFUNCTION("IFS(AND(
FILTER(IMPORTRANGE(""https://docs.google.com/spreadsheets/d/1BJSV3WBYJGRhQ6zExamkszQ5VutGIcaQqmbD9ZTVXMQ/edit#gid=1251630045"",""articles_with_PRISMA_reasons!Y2:Y2113""), $A367=IMPORTRANGE(""https://docs.google.com/spreadsheets/d/1BJSV3WBYJGRhQ6z"&amp;"ExamkszQ5VutGIcaQqmbD9ZTVXMQ/edit#gid=1251630045"",""articles_with_PRISMA_reasons!B2:B2113""))&gt;=2,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$A367=IMPORTRANGE(""https://docs.google.com/spreadsheets/d/1BJSV3WBYJGRhQ6zExamkszQ5VutGIcaQqmbD9ZTVXMQ/edit#gid=1251630045"",""articles_with_PRISMA_reasons!B2:B2113""))&lt;2),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$A367=IMPORTRANGE(""https://docs.google.com/spreadsheets/d/1BJSV3WBYJGRhQ6zExamkszQ5VutGIcaQqmbD9ZTVXMQ/edit#gid=1251630045"",""arti"&amp;"cles_with_PRISMA_reasons!B2:B2113""))&lt;2,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$A367=IMPORTRANGE(""https://docs.google.com"&amp;"/spreadsheets/d/1BJSV3WBYJGRhQ6zExamkszQ5VutGIcaQqmbD9ZTVXMQ/edit#gid=1251630045"",""articles_with_PRISMA_reasons!B2:B2113""))&gt;=2),
""Exclude""
)"),"Exclude")</f>
        <v>Exclude</v>
      </c>
      <c r="E367" s="5" t="str">
        <f>IFERROR(__xludf.DUMMYFUNCTION("IFS(
D367=""Exclude"",""Exclude"",
AND(
FILTER(IMPORTRANGE(""https://docs.google.com/spreadsheets/d/1qpEmbGH0JjaJbUdp21-y2cPbobDbMjr09BbtdKROZWc/edit#gid=1444865654"",""articles_with_PRISMA_reasons!W2:W2113""), $A367=IMPORTRANGE(""https://docs.google.com/"&amp;"spreadsheets/d/1qpEmbGH0JjaJbUdp21-y2cPbobDbMjr09BbtdKROZWc/edit#gid=1444865654"",""articles_with_PRISMA_reasons!B2:B2113""))&gt;=2,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$A367=IMPORTRANGE(""https://docs.google.com/spreadsheets/d/1qpEmbGH0JjaJbUdp21-y2cPbobDbMjr09BbtdKROZWc/edit#gid=1444865654"",""articles_with_PRISMA_reasons!B2:B2113""))&lt;2),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$A367=IMPORTRANGE(""https://docs.google.com/spreadsheets/d/1qpEmbGH0JjaJbUdp21-y2cPbobDbMjr09BbtdKRO"&amp;"ZWc/edit#gid=1444865654"",""articles_with_PRISMA_reasons!B2:B2113""))&lt;2,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$A367=IMPOR"&amp;"TRANGE(""https://docs.google.com/spreadsheets/d/1qpEmbGH0JjaJbUdp21-y2cPbobDbMjr09BbtdKROZWc/edit#gid=1444865654"",""articles_with_PRISMA_reasons!B2:B2113""))&gt;=2),
""Exclude""
)"),"Exclude")</f>
        <v>Exclude</v>
      </c>
      <c r="F367" s="5" t="str">
        <f>IFERROR(__xludf.DUMMYFUNCTION("IFS(
E367=""Exclude"",""Exclude"",
AND(
COUNTIF(
IMPORTRANGE(""https://docs.google.com/spreadsheets/d/1kGrh75X1cNR1D7_FcY9zMnHP8iPO4M5RCRjy6nZY0TY/edit#gid=0"",""Table 1: Study characteristics!B4:B171""),A367)&gt;0,
COUNTIF(Studies!$A$2:$A$85,FILTER(IMPORTRA"&amp;"NGE(""https://docs.google.com/spreadsheets/d/1kGrh75X1cNR1D7_FcY9zMnHP8iPO4M5RCRjy6nZY0TY/edit#gid=0"",""Table 1: Study characteristics!A4:A171""), $A367=IMPORTRANGE(""https://docs.google.com/spreadsheets/d/1kGrh75X1cNR1D7_FcY9zMnHP8iPO4M5RCRjy6nZY0TY/edi"&amp;"t#gid=0"",""Table 1: Study characteristics!B4:B171"")))&gt;0
),
""Include""
)"),"Exclude")</f>
        <v>Exclude</v>
      </c>
      <c r="G367" s="5" t="str">
        <f>IFERROR(__xludf.DUMMYFUNCTION("IFS(
D367=""Exclude"",
FILTER(IMPORTRANGE(""https://docs.google.com/spreadsheets/d/1BJSV3WBYJGRhQ6zExamkszQ5VutGIcaQqmbD9ZTVXMQ/edit#gid=1251630045"",""articles_with_PRISMA_reasons!AB2:AB2113""), $A367=IMPORTRANGE(""https://docs.google.com/spreadsheets/d/"&amp;"1BJSV3WBYJGRhQ6zExamkszQ5VutGIcaQqmbD9ZTVXMQ/edit#gid=1251630045"",""articles_with_PRISMA_reasons!B2:B2113"")),
E367=""Exclude"",
FILTER(IMPORTRANGE(""https://docs.google.com/spreadsheets/d/1qpEmbGH0JjaJbUdp21-y2cPbobDbMjr09BbtdKROZWc/edit#gid=1444865654"&amp;""",""articles_with_PRISMA_reasons!Z2:Z2113""), $A367=IMPORTRANGE(""https://docs.google.com/spreadsheets/d/1qpEmbGH0JjaJbUdp21-y2cPbobDbMjr09BbtdKROZWc/edit#gid=1444865654"",""articles_with_PRISMA_reasons!B2:B2113"")),F367
=""Include"",FILTER(IMPORTRANGE("&amp;"""https://docs.google.com/spreadsheets/d/1kGrh75X1cNR1D7_FcY9zMnHP8iPO4M5RCRjy6nZY0TY/edit#gid=0"",""Table 1: Study characteristics!A4:A171""), $A367=IMPORTRANGE(""https://docs.google.com/spreadsheets/d/1kGrh75X1cNR1D7_FcY9zMnHP8iPO4M5RCRjy6nZY0TY/edit#gi"&amp;"d=0"",""Table 1: Study characteristics!B4:B171""))
)"),"Duplicate")</f>
        <v>Duplicate</v>
      </c>
    </row>
    <row r="368">
      <c r="A368" s="4" t="str">
        <f>IFERROR(__xludf.DUMMYFUNCTION("""COMPUTED_VALUE"""),"Case report of symptomatic cholelithiasis after ventricular cholecystic shunt")</f>
        <v>Case report of symptomatic cholelithiasis after ventricular cholecystic shunt</v>
      </c>
      <c r="B368" s="5" t="str">
        <f>IFERROR(__xludf.DUMMYFUNCTION("LEFT(FILTER(IMPORTRANGE(""https://docs.google.com/spreadsheets/d/1BJSV3WBYJGRhQ6zExamkszQ5VutGIcaQqmbD9ZTVXMQ/edit#gid=1251630045"",""articles_with_PRISMA_reasons!K2:K2113""), $A368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$A368=IMPORTRANGE(""https://docs.google.com/spreadsheets/d/1BJSV3WBYJGRhQ6zExamkszQ5VutGIcaQqmbD9ZTVXMQ/edit#gid=1251630045"",""articles_with_PRISMA_reasons!B2:B2113"")))-1)"),"Surfield")</f>
        <v>Surfield</v>
      </c>
      <c r="C368" s="6" t="str">
        <f>IFERROR(__xludf.DUMMYFUNCTION("FILTER(IMPORTRANGE(""https://docs.google.com/spreadsheets/d/1BJSV3WBYJGRhQ6zExamkszQ5VutGIcaQqmbD9ZTVXMQ/edit#gid=1251630045"",""articles_with_PRISMA_reasons!C2:C2113""), $A368=IMPORTRANGE(""https://docs.google.com/spreadsheets/d/1BJSV3WBYJGRhQ6zExamkszQ5"&amp;"VutGIcaQqmbD9ZTVXMQ/edit#gid=1251630045"",""articles_with_PRISMA_reasons!B2:B2113""))"),"Nov")</f>
        <v>Nov</v>
      </c>
      <c r="D368" s="5" t="str">
        <f>IFERROR(__xludf.DUMMYFUNCTION("IFS(AND(
FILTER(IMPORTRANGE(""https://docs.google.com/spreadsheets/d/1BJSV3WBYJGRhQ6zExamkszQ5VutGIcaQqmbD9ZTVXMQ/edit#gid=1251630045"",""articles_with_PRISMA_reasons!Y2:Y2113""), $A368=IMPORTRANGE(""https://docs.google.com/spreadsheets/d/1BJSV3WBYJGRhQ6z"&amp;"ExamkszQ5VutGIcaQqmbD9ZTVXMQ/edit#gid=1251630045"",""articles_with_PRISMA_reasons!B2:B2113""))&gt;=2,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$A368=IMPORTRANGE(""https://docs.google.com/spreadsheets/d/1BJSV3WBYJGRhQ6zExamkszQ5VutGIcaQqmbD9ZTVXMQ/edit#gid=1251630045"",""articles_with_PRISMA_reasons!B2:B2113""))&lt;2),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$A368=IMPORTRANGE(""https://docs.google.com/spreadsheets/d/1BJSV3WBYJGRhQ6zExamkszQ5VutGIcaQqmbD9ZTVXMQ/edit#gid=1251630045"",""arti"&amp;"cles_with_PRISMA_reasons!B2:B2113""))&lt;2,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$A368=IMPORTRANGE(""https://docs.google.com"&amp;"/spreadsheets/d/1BJSV3WBYJGRhQ6zExamkszQ5VutGIcaQqmbD9ZTVXMQ/edit#gid=1251630045"",""articles_with_PRISMA_reasons!B2:B2113""))&gt;=2),
""Exclude""
)"),"Exclude")</f>
        <v>Exclude</v>
      </c>
      <c r="E368" s="5" t="str">
        <f>IFERROR(__xludf.DUMMYFUNCTION("IFS(
D368=""Exclude"",""Exclude"",
AND(
FILTER(IMPORTRANGE(""https://docs.google.com/spreadsheets/d/1qpEmbGH0JjaJbUdp21-y2cPbobDbMjr09BbtdKROZWc/edit#gid=1444865654"",""articles_with_PRISMA_reasons!W2:W2113""), $A368=IMPORTRANGE(""https://docs.google.com/"&amp;"spreadsheets/d/1qpEmbGH0JjaJbUdp21-y2cPbobDbMjr09BbtdKROZWc/edit#gid=1444865654"",""articles_with_PRISMA_reasons!B2:B2113""))&gt;=2,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$A368=IMPORTRANGE(""https://docs.google.com/spreadsheets/d/1qpEmbGH0JjaJbUdp21-y2cPbobDbMjr09BbtdKROZWc/edit#gid=1444865654"",""articles_with_PRISMA_reasons!B2:B2113""))&lt;2),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$A368=IMPORTRANGE(""https://docs.google.com/spreadsheets/d/1qpEmbGH0JjaJbUdp21-y2cPbobDbMjr09BbtdKRO"&amp;"ZWc/edit#gid=1444865654"",""articles_with_PRISMA_reasons!B2:B2113""))&lt;2,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$A368=IMPOR"&amp;"TRANGE(""https://docs.google.com/spreadsheets/d/1qpEmbGH0JjaJbUdp21-y2cPbobDbMjr09BbtdKROZWc/edit#gid=1444865654"",""articles_with_PRISMA_reasons!B2:B2113""))&gt;=2),
""Exclude""
)"),"Exclude")</f>
        <v>Exclude</v>
      </c>
      <c r="F368" s="5" t="str">
        <f>IFERROR(__xludf.DUMMYFUNCTION("IFS(
E368=""Exclude"",""Exclude"",
AND(
COUNTIF(
IMPORTRANGE(""https://docs.google.com/spreadsheets/d/1kGrh75X1cNR1D7_FcY9zMnHP8iPO4M5RCRjy6nZY0TY/edit#gid=0"",""Table 1: Study characteristics!B4:B171""),A368)&gt;0,
COUNTIF(Studies!$A$2:$A$85,FILTER(IMPORTRA"&amp;"NGE(""https://docs.google.com/spreadsheets/d/1kGrh75X1cNR1D7_FcY9zMnHP8iPO4M5RCRjy6nZY0TY/edit#gid=0"",""Table 1: Study characteristics!A4:A171""), $A368=IMPORTRANGE(""https://docs.google.com/spreadsheets/d/1kGrh75X1cNR1D7_FcY9zMnHP8iPO4M5RCRjy6nZY0TY/edi"&amp;"t#gid=0"",""Table 1: Study characteristics!B4:B171"")))&gt;0
),
""Include""
)"),"Exclude")</f>
        <v>Exclude</v>
      </c>
      <c r="G368" s="5" t="str">
        <f>IFERROR(__xludf.DUMMYFUNCTION("IFS(
D368=""Exclude"",
FILTER(IMPORTRANGE(""https://docs.google.com/spreadsheets/d/1BJSV3WBYJGRhQ6zExamkszQ5VutGIcaQqmbD9ZTVXMQ/edit#gid=1251630045"",""articles_with_PRISMA_reasons!AB2:AB2113""), $A368=IMPORTRANGE(""https://docs.google.com/spreadsheets/d/"&amp;"1BJSV3WBYJGRhQ6zExamkszQ5VutGIcaQqmbD9ZTVXMQ/edit#gid=1251630045"",""articles_with_PRISMA_reasons!B2:B2113"")),
E368=""Exclude"",
FILTER(IMPORTRANGE(""https://docs.google.com/spreadsheets/d/1qpEmbGH0JjaJbUdp21-y2cPbobDbMjr09BbtdKROZWc/edit#gid=1444865654"&amp;""",""articles_with_PRISMA_reasons!Z2:Z2113""), $A368=IMPORTRANGE(""https://docs.google.com/spreadsheets/d/1qpEmbGH0JjaJbUdp21-y2cPbobDbMjr09BbtdKROZWc/edit#gid=1444865654"",""articles_with_PRISMA_reasons!B2:B2113"")),F368
=""Include"",FILTER(IMPORTRANGE("&amp;"""https://docs.google.com/spreadsheets/d/1kGrh75X1cNR1D7_FcY9zMnHP8iPO4M5RCRjy6nZY0TY/edit#gid=0"",""Table 1: Study characteristics!A4:A171""), $A368=IMPORTRANGE(""https://docs.google.com/spreadsheets/d/1kGrh75X1cNR1D7_FcY9zMnHP8iPO4M5RCRjy6nZY0TY/edit#gi"&amp;"d=0"",""Table 1: Study characteristics!B4:B171""))
)"),"Duplicate")</f>
        <v>Duplicate</v>
      </c>
    </row>
    <row r="369">
      <c r="A369" s="4" t="str">
        <f>IFERROR(__xludf.DUMMYFUNCTION("""COMPUTED_VALUE"""),"Case report prenatal diagnosis of i(18q) and dup(18q) cases by quantitative fluorescent PCR")</f>
        <v>Case report prenatal diagnosis of i(18q) and dup(18q) cases by quantitative fluorescent PCR</v>
      </c>
      <c r="B369" s="5" t="str">
        <f>IFERROR(__xludf.DUMMYFUNCTION("LEFT(FILTER(IMPORTRANGE(""https://docs.google.com/spreadsheets/d/1BJSV3WBYJGRhQ6zExamkszQ5VutGIcaQqmbD9ZTVXMQ/edit#gid=1251630045"",""articles_with_PRISMA_reasons!K2:K2113""), $A369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$A369=IMPORTRANGE(""https://docs.google.com/spreadsheets/d/1BJSV3WBYJGRhQ6zExamkszQ5VutGIcaQqmbD9ZTVXMQ/edit#gid=1251630045"",""articles_with_PRISMA_reasons!B2:B2113"")))-1)"),"Castro-Volio")</f>
        <v>Castro-Volio</v>
      </c>
      <c r="C369" s="6">
        <f>IFERROR(__xludf.DUMMYFUNCTION("FILTER(IMPORTRANGE(""https://docs.google.com/spreadsheets/d/1BJSV3WBYJGRhQ6zExamkszQ5VutGIcaQqmbD9ZTVXMQ/edit#gid=1251630045"",""articles_with_PRISMA_reasons!C2:C2113""), $A369=IMPORTRANGE(""https://docs.google.com/spreadsheets/d/1BJSV3WBYJGRhQ6zExamkszQ5"&amp;"VutGIcaQqmbD9ZTVXMQ/edit#gid=1251630045"",""articles_with_PRISMA_reasons!B2:B2113""))"),2013.0)</f>
        <v>2013</v>
      </c>
      <c r="D369" s="5" t="str">
        <f>IFERROR(__xludf.DUMMYFUNCTION("IFS(AND(
FILTER(IMPORTRANGE(""https://docs.google.com/spreadsheets/d/1BJSV3WBYJGRhQ6zExamkszQ5VutGIcaQqmbD9ZTVXMQ/edit#gid=1251630045"",""articles_with_PRISMA_reasons!Y2:Y2113""), $A369=IMPORTRANGE(""https://docs.google.com/spreadsheets/d/1BJSV3WBYJGRhQ6z"&amp;"ExamkszQ5VutGIcaQqmbD9ZTVXMQ/edit#gid=1251630045"",""articles_with_PRISMA_reasons!B2:B2113""))&gt;=2,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$A369=IMPORTRANGE(""https://docs.google.com/spreadsheets/d/1BJSV3WBYJGRhQ6zExamkszQ5VutGIcaQqmbD9ZTVXMQ/edit#gid=1251630045"",""articles_with_PRISMA_reasons!B2:B2113""))&lt;2),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$A369=IMPORTRANGE(""https://docs.google.com/spreadsheets/d/1BJSV3WBYJGRhQ6zExamkszQ5VutGIcaQqmbD9ZTVXMQ/edit#gid=1251630045"",""arti"&amp;"cles_with_PRISMA_reasons!B2:B2113""))&lt;2,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$A369=IMPORTRANGE(""https://docs.google.com"&amp;"/spreadsheets/d/1BJSV3WBYJGRhQ6zExamkszQ5VutGIcaQqmbD9ZTVXMQ/edit#gid=1251630045"",""articles_with_PRISMA_reasons!B2:B2113""))&gt;=2),
""Exclude""
)"),"Exclude")</f>
        <v>Exclude</v>
      </c>
      <c r="E369" s="5" t="str">
        <f>IFERROR(__xludf.DUMMYFUNCTION("IFS(
D369=""Exclude"",""Exclude"",
AND(
FILTER(IMPORTRANGE(""https://docs.google.com/spreadsheets/d/1qpEmbGH0JjaJbUdp21-y2cPbobDbMjr09BbtdKROZWc/edit#gid=1444865654"",""articles_with_PRISMA_reasons!W2:W2113""), $A369=IMPORTRANGE(""https://docs.google.com/"&amp;"spreadsheets/d/1qpEmbGH0JjaJbUdp21-y2cPbobDbMjr09BbtdKROZWc/edit#gid=1444865654"",""articles_with_PRISMA_reasons!B2:B2113""))&gt;=2,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$A369=IMPORTRANGE(""https://docs.google.com/spreadsheets/d/1qpEmbGH0JjaJbUdp21-y2cPbobDbMjr09BbtdKROZWc/edit#gid=1444865654"",""articles_with_PRISMA_reasons!B2:B2113""))&lt;2),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$A369=IMPORTRANGE(""https://docs.google.com/spreadsheets/d/1qpEmbGH0JjaJbUdp21-y2cPbobDbMjr09BbtdKRO"&amp;"ZWc/edit#gid=1444865654"",""articles_with_PRISMA_reasons!B2:B2113""))&lt;2,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$A369=IMPOR"&amp;"TRANGE(""https://docs.google.com/spreadsheets/d/1qpEmbGH0JjaJbUdp21-y2cPbobDbMjr09BbtdKROZWc/edit#gid=1444865654"",""articles_with_PRISMA_reasons!B2:B2113""))&gt;=2),
""Exclude""
)"),"Exclude")</f>
        <v>Exclude</v>
      </c>
      <c r="F369" s="5" t="str">
        <f>IFERROR(__xludf.DUMMYFUNCTION("IFS(
E369=""Exclude"",""Exclude"",
AND(
COUNTIF(
IMPORTRANGE(""https://docs.google.com/spreadsheets/d/1kGrh75X1cNR1D7_FcY9zMnHP8iPO4M5RCRjy6nZY0TY/edit#gid=0"",""Table 1: Study characteristics!B4:B171""),A369)&gt;0,
COUNTIF(Studies!$A$2:$A$85,FILTER(IMPORTRA"&amp;"NGE(""https://docs.google.com/spreadsheets/d/1kGrh75X1cNR1D7_FcY9zMnHP8iPO4M5RCRjy6nZY0TY/edit#gid=0"",""Table 1: Study characteristics!A4:A171""), $A369=IMPORTRANGE(""https://docs.google.com/spreadsheets/d/1kGrh75X1cNR1D7_FcY9zMnHP8iPO4M5RCRjy6nZY0TY/edi"&amp;"t#gid=0"",""Table 1: Study characteristics!B4:B171"")))&gt;0
),
""Include""
)"),"Exclude")</f>
        <v>Exclude</v>
      </c>
      <c r="G369" s="5" t="str">
        <f>IFERROR(__xludf.DUMMYFUNCTION("IFS(
D369=""Exclude"",
FILTER(IMPORTRANGE(""https://docs.google.com/spreadsheets/d/1BJSV3WBYJGRhQ6zExamkszQ5VutGIcaQqmbD9ZTVXMQ/edit#gid=1251630045"",""articles_with_PRISMA_reasons!AB2:AB2113""), $A369=IMPORTRANGE(""https://docs.google.com/spreadsheets/d/"&amp;"1BJSV3WBYJGRhQ6zExamkszQ5VutGIcaQqmbD9ZTVXMQ/edit#gid=1251630045"",""articles_with_PRISMA_reasons!B2:B2113"")),
E369=""Exclude"",
FILTER(IMPORTRANGE(""https://docs.google.com/spreadsheets/d/1qpEmbGH0JjaJbUdp21-y2cPbobDbMjr09BbtdKROZWc/edit#gid=1444865654"&amp;""",""articles_with_PRISMA_reasons!Z2:Z2113""), $A369=IMPORTRANGE(""https://docs.google.com/spreadsheets/d/1qpEmbGH0JjaJbUdp21-y2cPbobDbMjr09BbtdKROZWc/edit#gid=1444865654"",""articles_with_PRISMA_reasons!B2:B2113"")),F369
=""Include"",FILTER(IMPORTRANGE("&amp;"""https://docs.google.com/spreadsheets/d/1kGrh75X1cNR1D7_FcY9zMnHP8iPO4M5RCRjy6nZY0TY/edit#gid=0"",""Table 1: Study characteristics!A4:A171""), $A369=IMPORTRANGE(""https://docs.google.com/spreadsheets/d/1kGrh75X1cNR1D7_FcY9zMnHP8iPO4M5RCRjy6nZY0TY/edit#gi"&amp;"d=0"",""Table 1: Study characteristics!B4:B171""))
)"),"wrong publication type")</f>
        <v>wrong publication type</v>
      </c>
    </row>
    <row r="370">
      <c r="A370" s="4" t="str">
        <f>IFERROR(__xludf.DUMMYFUNCTION("""COMPUTED_VALUE"""),"Catheter migration through the anus following ventriculo-peritoneal shunt. Report of 3 cases")</f>
        <v>Catheter migration through the anus following ventriculo-peritoneal shunt. Report of 3 cases</v>
      </c>
      <c r="B370" s="5" t="str">
        <f>IFERROR(__xludf.DUMMYFUNCTION("LEFT(FILTER(IMPORTRANGE(""https://docs.google.com/spreadsheets/d/1BJSV3WBYJGRhQ6zExamkszQ5VutGIcaQqmbD9ZTVXMQ/edit#gid=1251630045"",""articles_with_PRISMA_reasons!K2:K2113""), $A370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$A370=IMPORTRANGE(""https://docs.google.com/spreadsheets/d/1BJSV3WBYJGRhQ6zExamkszQ5VutGIcaQqmbD9ZTVXMQ/edit#gid=1251630045"",""articles_with_PRISMA_reasons!B2:B2113"")))-1)"),"Sami")</f>
        <v>Sami</v>
      </c>
      <c r="C370" s="6">
        <f>IFERROR(__xludf.DUMMYFUNCTION("FILTER(IMPORTRANGE(""https://docs.google.com/spreadsheets/d/1BJSV3WBYJGRhQ6zExamkszQ5VutGIcaQqmbD9ZTVXMQ/edit#gid=1251630045"",""articles_with_PRISMA_reasons!C2:C2113""), $A370=IMPORTRANGE(""https://docs.google.com/spreadsheets/d/1BJSV3WBYJGRhQ6zExamkszQ5"&amp;"VutGIcaQqmbD9ZTVXMQ/edit#gid=1251630045"",""articles_with_PRISMA_reasons!B2:B2113""))"),1995.0)</f>
        <v>1995</v>
      </c>
      <c r="D370" s="5" t="str">
        <f>IFERROR(__xludf.DUMMYFUNCTION("IFS(AND(
FILTER(IMPORTRANGE(""https://docs.google.com/spreadsheets/d/1BJSV3WBYJGRhQ6zExamkszQ5VutGIcaQqmbD9ZTVXMQ/edit#gid=1251630045"",""articles_with_PRISMA_reasons!Y2:Y2113""), $A370=IMPORTRANGE(""https://docs.google.com/spreadsheets/d/1BJSV3WBYJGRhQ6z"&amp;"ExamkszQ5VutGIcaQqmbD9ZTVXMQ/edit#gid=1251630045"",""articles_with_PRISMA_reasons!B2:B2113""))&gt;=2,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$A370=IMPORTRANGE(""https://docs.google.com/spreadsheets/d/1BJSV3WBYJGRhQ6zExamkszQ5VutGIcaQqmbD9ZTVXMQ/edit#gid=1251630045"",""articles_with_PRISMA_reasons!B2:B2113""))&lt;2),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$A370=IMPORTRANGE(""https://docs.google.com/spreadsheets/d/1BJSV3WBYJGRhQ6zExamkszQ5VutGIcaQqmbD9ZTVXMQ/edit#gid=1251630045"",""arti"&amp;"cles_with_PRISMA_reasons!B2:B2113""))&lt;2,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$A370=IMPORTRANGE(""https://docs.google.com"&amp;"/spreadsheets/d/1BJSV3WBYJGRhQ6zExamkszQ5VutGIcaQqmbD9ZTVXMQ/edit#gid=1251630045"",""articles_with_PRISMA_reasons!B2:B2113""))&gt;=2),
""Exclude""
)"),"Exclude")</f>
        <v>Exclude</v>
      </c>
      <c r="E370" s="5" t="str">
        <f>IFERROR(__xludf.DUMMYFUNCTION("IFS(
D370=""Exclude"",""Exclude"",
AND(
FILTER(IMPORTRANGE(""https://docs.google.com/spreadsheets/d/1qpEmbGH0JjaJbUdp21-y2cPbobDbMjr09BbtdKROZWc/edit#gid=1444865654"",""articles_with_PRISMA_reasons!W2:W2113""), $A370=IMPORTRANGE(""https://docs.google.com/"&amp;"spreadsheets/d/1qpEmbGH0JjaJbUdp21-y2cPbobDbMjr09BbtdKROZWc/edit#gid=1444865654"",""articles_with_PRISMA_reasons!B2:B2113""))&gt;=2,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$A370=IMPORTRANGE(""https://docs.google.com/spreadsheets/d/1qpEmbGH0JjaJbUdp21-y2cPbobDbMjr09BbtdKROZWc/edit#gid=1444865654"",""articles_with_PRISMA_reasons!B2:B2113""))&lt;2),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$A370=IMPORTRANGE(""https://docs.google.com/spreadsheets/d/1qpEmbGH0JjaJbUdp21-y2cPbobDbMjr09BbtdKRO"&amp;"ZWc/edit#gid=1444865654"",""articles_with_PRISMA_reasons!B2:B2113""))&lt;2,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$A370=IMPOR"&amp;"TRANGE(""https://docs.google.com/spreadsheets/d/1qpEmbGH0JjaJbUdp21-y2cPbobDbMjr09BbtdKROZWc/edit#gid=1444865654"",""articles_with_PRISMA_reasons!B2:B2113""))&gt;=2),
""Exclude""
)"),"Exclude")</f>
        <v>Exclude</v>
      </c>
      <c r="F370" s="5" t="str">
        <f>IFERROR(__xludf.DUMMYFUNCTION("IFS(
E370=""Exclude"",""Exclude"",
AND(
COUNTIF(
IMPORTRANGE(""https://docs.google.com/spreadsheets/d/1kGrh75X1cNR1D7_FcY9zMnHP8iPO4M5RCRjy6nZY0TY/edit#gid=0"",""Table 1: Study characteristics!B4:B171""),A370)&gt;0,
COUNTIF(Studies!$A$2:$A$85,FILTER(IMPORTRA"&amp;"NGE(""https://docs.google.com/spreadsheets/d/1kGrh75X1cNR1D7_FcY9zMnHP8iPO4M5RCRjy6nZY0TY/edit#gid=0"",""Table 1: Study characteristics!A4:A171""), $A370=IMPORTRANGE(""https://docs.google.com/spreadsheets/d/1kGrh75X1cNR1D7_FcY9zMnHP8iPO4M5RCRjy6nZY0TY/edi"&amp;"t#gid=0"",""Table 1: Study characteristics!B4:B171"")))&gt;0
),
""Include""
)"),"Exclude")</f>
        <v>Exclude</v>
      </c>
      <c r="G370" s="5" t="str">
        <f>IFERROR(__xludf.DUMMYFUNCTION("IFS(
D370=""Exclude"",
FILTER(IMPORTRANGE(""https://docs.google.com/spreadsheets/d/1BJSV3WBYJGRhQ6zExamkszQ5VutGIcaQqmbD9ZTVXMQ/edit#gid=1251630045"",""articles_with_PRISMA_reasons!AB2:AB2113""), $A370=IMPORTRANGE(""https://docs.google.com/spreadsheets/d/"&amp;"1BJSV3WBYJGRhQ6zExamkszQ5VutGIcaQqmbD9ZTVXMQ/edit#gid=1251630045"",""articles_with_PRISMA_reasons!B2:B2113"")),
E370=""Exclude"",
FILTER(IMPORTRANGE(""https://docs.google.com/spreadsheets/d/1qpEmbGH0JjaJbUdp21-y2cPbobDbMjr09BbtdKROZWc/edit#gid=1444865654"&amp;""",""articles_with_PRISMA_reasons!Z2:Z2113""), $A370=IMPORTRANGE(""https://docs.google.com/spreadsheets/d/1qpEmbGH0JjaJbUdp21-y2cPbobDbMjr09BbtdKROZWc/edit#gid=1444865654"",""articles_with_PRISMA_reasons!B2:B2113"")),F370
=""Include"",FILTER(IMPORTRANGE("&amp;"""https://docs.google.com/spreadsheets/d/1kGrh75X1cNR1D7_FcY9zMnHP8iPO4M5RCRjy6nZY0TY/edit#gid=0"",""Table 1: Study characteristics!A4:A171""), $A370=IMPORTRANGE(""https://docs.google.com/spreadsheets/d/1kGrh75X1cNR1D7_FcY9zMnHP8iPO4M5RCRjy6nZY0TY/edit#gi"&amp;"d=0"",""Table 1: Study characteristics!B4:B171""))
)"),"wrong publication type")</f>
        <v>wrong publication type</v>
      </c>
    </row>
    <row r="371">
      <c r="A371" s="4" t="str">
        <f>IFERROR(__xludf.DUMMYFUNCTION("""COMPUTED_VALUE"""),"Cats, frogs, and snakes: Early concepts of neural tube defects")</f>
        <v>Cats, frogs, and snakes: Early concepts of neural tube defects</v>
      </c>
      <c r="B371" s="5" t="str">
        <f>IFERROR(__xludf.DUMMYFUNCTION("LEFT(FILTER(IMPORTRANGE(""https://docs.google.com/spreadsheets/d/1BJSV3WBYJGRhQ6zExamkszQ5VutGIcaQqmbD9ZTVXMQ/edit#gid=1251630045"",""articles_with_PRISMA_reasons!K2:K2113""), $A371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$A371=IMPORTRANGE(""https://docs.google.com/spreadsheets/d/1BJSV3WBYJGRhQ6zExamkszQ5VutGIcaQqmbD9ZTVXMQ/edit#gid=1251630045"",""articles_with_PRISMA_reasons!B2:B2113"")))-1)"),"Obladen")</f>
        <v>Obladen</v>
      </c>
      <c r="C371" s="6">
        <f>IFERROR(__xludf.DUMMYFUNCTION("FILTER(IMPORTRANGE(""https://docs.google.com/spreadsheets/d/1BJSV3WBYJGRhQ6zExamkszQ5VutGIcaQqmbD9ZTVXMQ/edit#gid=1251630045"",""articles_with_PRISMA_reasons!C2:C2113""), $A371=IMPORTRANGE(""https://docs.google.com/spreadsheets/d/1BJSV3WBYJGRhQ6zExamkszQ5"&amp;"VutGIcaQqmbD9ZTVXMQ/edit#gid=1251630045"",""articles_with_PRISMA_reasons!B2:B2113""))"),2011.0)</f>
        <v>2011</v>
      </c>
      <c r="D371" s="5" t="str">
        <f>IFERROR(__xludf.DUMMYFUNCTION("IFS(AND(
FILTER(IMPORTRANGE(""https://docs.google.com/spreadsheets/d/1BJSV3WBYJGRhQ6zExamkszQ5VutGIcaQqmbD9ZTVXMQ/edit#gid=1251630045"",""articles_with_PRISMA_reasons!Y2:Y2113""), $A371=IMPORTRANGE(""https://docs.google.com/spreadsheets/d/1BJSV3WBYJGRhQ6z"&amp;"ExamkszQ5VutGIcaQqmbD9ZTVXMQ/edit#gid=1251630045"",""articles_with_PRISMA_reasons!B2:B2113""))&gt;=2,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$A371=IMPORTRANGE(""https://docs.google.com/spreadsheets/d/1BJSV3WBYJGRhQ6zExamkszQ5VutGIcaQqmbD9ZTVXMQ/edit#gid=1251630045"",""articles_with_PRISMA_reasons!B2:B2113""))&lt;2),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$A371=IMPORTRANGE(""https://docs.google.com/spreadsheets/d/1BJSV3WBYJGRhQ6zExamkszQ5VutGIcaQqmbD9ZTVXMQ/edit#gid=1251630045"",""arti"&amp;"cles_with_PRISMA_reasons!B2:B2113""))&lt;2,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$A371=IMPORTRANGE(""https://docs.google.com"&amp;"/spreadsheets/d/1BJSV3WBYJGRhQ6zExamkszQ5VutGIcaQqmbD9ZTVXMQ/edit#gid=1251630045"",""articles_with_PRISMA_reasons!B2:B2113""))&gt;=2),
""Exclude""
)"),"Exclude")</f>
        <v>Exclude</v>
      </c>
      <c r="E371" s="5" t="str">
        <f>IFERROR(__xludf.DUMMYFUNCTION("IFS(
D371=""Exclude"",""Exclude"",
AND(
FILTER(IMPORTRANGE(""https://docs.google.com/spreadsheets/d/1qpEmbGH0JjaJbUdp21-y2cPbobDbMjr09BbtdKROZWc/edit#gid=1444865654"",""articles_with_PRISMA_reasons!W2:W2113""), $A371=IMPORTRANGE(""https://docs.google.com/"&amp;"spreadsheets/d/1qpEmbGH0JjaJbUdp21-y2cPbobDbMjr09BbtdKROZWc/edit#gid=1444865654"",""articles_with_PRISMA_reasons!B2:B2113""))&gt;=2,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$A371=IMPORTRANGE(""https://docs.google.com/spreadsheets/d/1qpEmbGH0JjaJbUdp21-y2cPbobDbMjr09BbtdKROZWc/edit#gid=1444865654"",""articles_with_PRISMA_reasons!B2:B2113""))&lt;2),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$A371=IMPORTRANGE(""https://docs.google.com/spreadsheets/d/1qpEmbGH0JjaJbUdp21-y2cPbobDbMjr09BbtdKRO"&amp;"ZWc/edit#gid=1444865654"",""articles_with_PRISMA_reasons!B2:B2113""))&lt;2,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$A371=IMPOR"&amp;"TRANGE(""https://docs.google.com/spreadsheets/d/1qpEmbGH0JjaJbUdp21-y2cPbobDbMjr09BbtdKROZWc/edit#gid=1444865654"",""articles_with_PRISMA_reasons!B2:B2113""))&gt;=2),
""Exclude""
)"),"Exclude")</f>
        <v>Exclude</v>
      </c>
      <c r="F371" s="5" t="str">
        <f>IFERROR(__xludf.DUMMYFUNCTION("IFS(
E371=""Exclude"",""Exclude"",
AND(
COUNTIF(
IMPORTRANGE(""https://docs.google.com/spreadsheets/d/1kGrh75X1cNR1D7_FcY9zMnHP8iPO4M5RCRjy6nZY0TY/edit#gid=0"",""Table 1: Study characteristics!B4:B171""),A371)&gt;0,
COUNTIF(Studies!$A$2:$A$85,FILTER(IMPORTRA"&amp;"NGE(""https://docs.google.com/spreadsheets/d/1kGrh75X1cNR1D7_FcY9zMnHP8iPO4M5RCRjy6nZY0TY/edit#gid=0"",""Table 1: Study characteristics!A4:A171""), $A371=IMPORTRANGE(""https://docs.google.com/spreadsheets/d/1kGrh75X1cNR1D7_FcY9zMnHP8iPO4M5RCRjy6nZY0TY/edi"&amp;"t#gid=0"",""Table 1: Study characteristics!B4:B171"")))&gt;0
),
""Include""
)"),"Exclude")</f>
        <v>Exclude</v>
      </c>
      <c r="G371" s="5" t="str">
        <f>IFERROR(__xludf.DUMMYFUNCTION("IFS(
D371=""Exclude"",
FILTER(IMPORTRANGE(""https://docs.google.com/spreadsheets/d/1BJSV3WBYJGRhQ6zExamkszQ5VutGIcaQqmbD9ZTVXMQ/edit#gid=1251630045"",""articles_with_PRISMA_reasons!AB2:AB2113""), $A371=IMPORTRANGE(""https://docs.google.com/spreadsheets/d/"&amp;"1BJSV3WBYJGRhQ6zExamkszQ5VutGIcaQqmbD9ZTVXMQ/edit#gid=1251630045"",""articles_with_PRISMA_reasons!B2:B2113"")),
E371=""Exclude"",
FILTER(IMPORTRANGE(""https://docs.google.com/spreadsheets/d/1qpEmbGH0JjaJbUdp21-y2cPbobDbMjr09BbtdKROZWc/edit#gid=1444865654"&amp;""",""articles_with_PRISMA_reasons!Z2:Z2113""), $A371=IMPORTRANGE(""https://docs.google.com/spreadsheets/d/1qpEmbGH0JjaJbUdp21-y2cPbobDbMjr09BbtdKROZWc/edit#gid=1444865654"",""articles_with_PRISMA_reasons!B2:B2113"")),F371
=""Include"",FILTER(IMPORTRANGE("&amp;"""https://docs.google.com/spreadsheets/d/1kGrh75X1cNR1D7_FcY9zMnHP8iPO4M5RCRjy6nZY0TY/edit#gid=0"",""Table 1: Study characteristics!A4:A171""), $A371=IMPORTRANGE(""https://docs.google.com/spreadsheets/d/1kGrh75X1cNR1D7_FcY9zMnHP8iPO4M5RCRjy6nZY0TY/edit#gi"&amp;"d=0"",""Table 1: Study characteristics!B4:B171""))
)"),"wrong population")</f>
        <v>wrong population</v>
      </c>
    </row>
    <row r="372">
      <c r="A372" s="4" t="str">
        <f>IFERROR(__xludf.DUMMYFUNCTION("""COMPUTED_VALUE"""),"Cause of death in children with meningomyelocele or hydrocephalus")</f>
        <v>Cause of death in children with meningomyelocele or hydrocephalus</v>
      </c>
      <c r="B372" s="5" t="str">
        <f>IFERROR(__xludf.DUMMYFUNCTION("LEFT(FILTER(IMPORTRANGE(""https://docs.google.com/spreadsheets/d/1BJSV3WBYJGRhQ6zExamkszQ5VutGIcaQqmbD9ZTVXMQ/edit#gid=1251630045"",""articles_with_PRISMA_reasons!K2:K2113""), $A372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$A372=IMPORTRANGE(""https://docs.google.com/spreadsheets/d/1BJSV3WBYJGRhQ6zExamkszQ5VutGIcaQqmbD9ZTVXMQ/edit#gid=1251630045"",""articles_with_PRISMA_reasons!B2:B2113"")))-1)"),"Eckstein")</f>
        <v>Eckstein</v>
      </c>
      <c r="C372" s="6">
        <f>IFERROR(__xludf.DUMMYFUNCTION("FILTER(IMPORTRANGE(""https://docs.google.com/spreadsheets/d/1BJSV3WBYJGRhQ6zExamkszQ5VutGIcaQqmbD9ZTVXMQ/edit#gid=1251630045"",""articles_with_PRISMA_reasons!C2:C2113""), $A372=IMPORTRANGE(""https://docs.google.com/spreadsheets/d/1BJSV3WBYJGRhQ6zExamkszQ5"&amp;"VutGIcaQqmbD9ZTVXMQ/edit#gid=1251630045"",""articles_with_PRISMA_reasons!B2:B2113""))"),1967.0)</f>
        <v>1967</v>
      </c>
      <c r="D372" s="5" t="str">
        <f>IFERROR(__xludf.DUMMYFUNCTION("IFS(AND(
FILTER(IMPORTRANGE(""https://docs.google.com/spreadsheets/d/1BJSV3WBYJGRhQ6zExamkszQ5VutGIcaQqmbD9ZTVXMQ/edit#gid=1251630045"",""articles_with_PRISMA_reasons!Y2:Y2113""), $A372=IMPORTRANGE(""https://docs.google.com/spreadsheets/d/1BJSV3WBYJGRhQ6z"&amp;"ExamkszQ5VutGIcaQqmbD9ZTVXMQ/edit#gid=1251630045"",""articles_with_PRISMA_reasons!B2:B2113""))&gt;=2,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$A372=IMPORTRANGE(""https://docs.google.com/spreadsheets/d/1BJSV3WBYJGRhQ6zExamkszQ5VutGIcaQqmbD9ZTVXMQ/edit#gid=1251630045"",""articles_with_PRISMA_reasons!B2:B2113""))&lt;2),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$A372=IMPORTRANGE(""https://docs.google.com/spreadsheets/d/1BJSV3WBYJGRhQ6zExamkszQ5VutGIcaQqmbD9ZTVXMQ/edit#gid=1251630045"",""arti"&amp;"cles_with_PRISMA_reasons!B2:B2113""))&lt;2,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$A372=IMPORTRANGE(""https://docs.google.com"&amp;"/spreadsheets/d/1BJSV3WBYJGRhQ6zExamkszQ5VutGIcaQqmbD9ZTVXMQ/edit#gid=1251630045"",""articles_with_PRISMA_reasons!B2:B2113""))&gt;=2),
""Exclude""
)"),"Include")</f>
        <v>Include</v>
      </c>
      <c r="E372" s="5" t="str">
        <f>IFERROR(__xludf.DUMMYFUNCTION("IFS(
D372=""Exclude"",""Exclude"",
AND(
FILTER(IMPORTRANGE(""https://docs.google.com/spreadsheets/d/1qpEmbGH0JjaJbUdp21-y2cPbobDbMjr09BbtdKROZWc/edit#gid=1444865654"",""articles_with_PRISMA_reasons!W2:W2113""), $A372=IMPORTRANGE(""https://docs.google.com/"&amp;"spreadsheets/d/1qpEmbGH0JjaJbUdp21-y2cPbobDbMjr09BbtdKROZWc/edit#gid=1444865654"",""articles_with_PRISMA_reasons!B2:B2113""))&gt;=2,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$A372=IMPORTRANGE(""https://docs.google.com/spreadsheets/d/1qpEmbGH0JjaJbUdp21-y2cPbobDbMjr09BbtdKROZWc/edit#gid=1444865654"",""articles_with_PRISMA_reasons!B2:B2113""))&lt;2),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$A372=IMPORTRANGE(""https://docs.google.com/spreadsheets/d/1qpEmbGH0JjaJbUdp21-y2cPbobDbMjr09BbtdKRO"&amp;"ZWc/edit#gid=1444865654"",""articles_with_PRISMA_reasons!B2:B2113""))&lt;2,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$A372=IMPOR"&amp;"TRANGE(""https://docs.google.com/spreadsheets/d/1qpEmbGH0JjaJbUdp21-y2cPbobDbMjr09BbtdKROZWc/edit#gid=1444865654"",""articles_with_PRISMA_reasons!B2:B2113""))&gt;=2),
""Exclude""
)"),"Exclude")</f>
        <v>Exclude</v>
      </c>
      <c r="F372" s="5" t="str">
        <f>IFERROR(__xludf.DUMMYFUNCTION("IFS(
E372=""Exclude"",""Exclude"",
AND(
COUNTIF(
IMPORTRANGE(""https://docs.google.com/spreadsheets/d/1kGrh75X1cNR1D7_FcY9zMnHP8iPO4M5RCRjy6nZY0TY/edit#gid=0"",""Table 1: Study characteristics!B4:B171""),A372)&gt;0,
COUNTIF(Studies!$A$2:$A$85,FILTER(IMPORTRA"&amp;"NGE(""https://docs.google.com/spreadsheets/d/1kGrh75X1cNR1D7_FcY9zMnHP8iPO4M5RCRjy6nZY0TY/edit#gid=0"",""Table 1: Study characteristics!A4:A171""), $A372=IMPORTRANGE(""https://docs.google.com/spreadsheets/d/1kGrh75X1cNR1D7_FcY9zMnHP8iPO4M5RCRjy6nZY0TY/edi"&amp;"t#gid=0"",""Table 1: Study characteristics!B4:B171"")))&gt;0
),
""Include""
)"),"Exclude")</f>
        <v>Exclude</v>
      </c>
      <c r="G372" s="5" t="str">
        <f>IFERROR(__xludf.DUMMYFUNCTION("IFS(
D372=""Exclude"",
FILTER(IMPORTRANGE(""https://docs.google.com/spreadsheets/d/1BJSV3WBYJGRhQ6zExamkszQ5VutGIcaQqmbD9ZTVXMQ/edit#gid=1251630045"",""articles_with_PRISMA_reasons!AB2:AB2113""), $A372=IMPORTRANGE(""https://docs.google.com/spreadsheets/d/"&amp;"1BJSV3WBYJGRhQ6zExamkszQ5VutGIcaQqmbD9ZTVXMQ/edit#gid=1251630045"",""articles_with_PRISMA_reasons!B2:B2113"")),
E372=""Exclude"",
FILTER(IMPORTRANGE(""https://docs.google.com/spreadsheets/d/1qpEmbGH0JjaJbUdp21-y2cPbobDbMjr09BbtdKROZWc/edit#gid=1444865654"&amp;""",""articles_with_PRISMA_reasons!Z2:Z2113""), $A372=IMPORTRANGE(""https://docs.google.com/spreadsheets/d/1qpEmbGH0JjaJbUdp21-y2cPbobDbMjr09BbtdKROZWc/edit#gid=1444865654"",""articles_with_PRISMA_reasons!B2:B2113"")),F372
=""Include"",FILTER(IMPORTRANGE("&amp;"""https://docs.google.com/spreadsheets/d/1kGrh75X1cNR1D7_FcY9zMnHP8iPO4M5RCRjy6nZY0TY/edit#gid=0"",""Table 1: Study characteristics!A4:A171""), $A372=IMPORTRANGE(""https://docs.google.com/spreadsheets/d/1kGrh75X1cNR1D7_FcY9zMnHP8iPO4M5RCRjy6nZY0TY/edit#gi"&amp;"d=0"",""Table 1: Study characteristics!B4:B171""))
)"),"wrong study design")</f>
        <v>wrong study design</v>
      </c>
    </row>
    <row r="373">
      <c r="A373" s="4" t="str">
        <f>IFERROR(__xludf.DUMMYFUNCTION("""COMPUTED_VALUE"""),"Causes of late death due to hydrocephalus and meningomyeloceles")</f>
        <v>Causes of late death due to hydrocephalus and meningomyeloceles</v>
      </c>
      <c r="B373" s="5" t="str">
        <f>IFERROR(__xludf.DUMMYFUNCTION("LEFT(FILTER(IMPORTRANGE(""https://docs.google.com/spreadsheets/d/1BJSV3WBYJGRhQ6zExamkszQ5VutGIcaQqmbD9ZTVXMQ/edit#gid=1251630045"",""articles_with_PRISMA_reasons!K2:K2113""), $A373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$A373=IMPORTRANGE(""https://docs.google.com/spreadsheets/d/1BJSV3WBYJGRhQ6zExamkszQ5VutGIcaQqmbD9ZTVXMQ/edit#gid=1251630045"",""articles_with_PRISMA_reasons!B2:B2113"")))-1)"),"Maier")</f>
        <v>Maier</v>
      </c>
      <c r="C373" s="6">
        <f>IFERROR(__xludf.DUMMYFUNCTION("FILTER(IMPORTRANGE(""https://docs.google.com/spreadsheets/d/1BJSV3WBYJGRhQ6zExamkszQ5VutGIcaQqmbD9ZTVXMQ/edit#gid=1251630045"",""articles_with_PRISMA_reasons!C2:C2113""), $A373=IMPORTRANGE(""https://docs.google.com/spreadsheets/d/1BJSV3WBYJGRhQ6zExamkszQ5"&amp;"VutGIcaQqmbD9ZTVXMQ/edit#gid=1251630045"",""articles_with_PRISMA_reasons!B2:B2113""))"),1979.0)</f>
        <v>1979</v>
      </c>
      <c r="D373" s="5" t="str">
        <f>IFERROR(__xludf.DUMMYFUNCTION("IFS(AND(
FILTER(IMPORTRANGE(""https://docs.google.com/spreadsheets/d/1BJSV3WBYJGRhQ6zExamkszQ5VutGIcaQqmbD9ZTVXMQ/edit#gid=1251630045"",""articles_with_PRISMA_reasons!Y2:Y2113""), $A373=IMPORTRANGE(""https://docs.google.com/spreadsheets/d/1BJSV3WBYJGRhQ6z"&amp;"ExamkszQ5VutGIcaQqmbD9ZTVXMQ/edit#gid=1251630045"",""articles_with_PRISMA_reasons!B2:B2113""))&gt;=2,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$A373=IMPORTRANGE(""https://docs.google.com/spreadsheets/d/1BJSV3WBYJGRhQ6zExamkszQ5VutGIcaQqmbD9ZTVXMQ/edit#gid=1251630045"",""articles_with_PRISMA_reasons!B2:B2113""))&lt;2),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$A373=IMPORTRANGE(""https://docs.google.com/spreadsheets/d/1BJSV3WBYJGRhQ6zExamkszQ5VutGIcaQqmbD9ZTVXMQ/edit#gid=1251630045"",""arti"&amp;"cles_with_PRISMA_reasons!B2:B2113""))&lt;2,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$A373=IMPORTRANGE(""https://docs.google.com"&amp;"/spreadsheets/d/1BJSV3WBYJGRhQ6zExamkszQ5VutGIcaQqmbD9ZTVXMQ/edit#gid=1251630045"",""articles_with_PRISMA_reasons!B2:B2113""))&gt;=2),
""Exclude""
)"),"Include")</f>
        <v>Include</v>
      </c>
      <c r="E373" s="5" t="str">
        <f>IFERROR(__xludf.DUMMYFUNCTION("IFS(
D373=""Exclude"",""Exclude"",
AND(
FILTER(IMPORTRANGE(""https://docs.google.com/spreadsheets/d/1qpEmbGH0JjaJbUdp21-y2cPbobDbMjr09BbtdKROZWc/edit#gid=1444865654"",""articles_with_PRISMA_reasons!W2:W2113""), $A373=IMPORTRANGE(""https://docs.google.com/"&amp;"spreadsheets/d/1qpEmbGH0JjaJbUdp21-y2cPbobDbMjr09BbtdKROZWc/edit#gid=1444865654"",""articles_with_PRISMA_reasons!B2:B2113""))&gt;=2,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$A373=IMPORTRANGE(""https://docs.google.com/spreadsheets/d/1qpEmbGH0JjaJbUdp21-y2cPbobDbMjr09BbtdKROZWc/edit#gid=1444865654"",""articles_with_PRISMA_reasons!B2:B2113""))&lt;2),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$A373=IMPORTRANGE(""https://docs.google.com/spreadsheets/d/1qpEmbGH0JjaJbUdp21-y2cPbobDbMjr09BbtdKRO"&amp;"ZWc/edit#gid=1444865654"",""articles_with_PRISMA_reasons!B2:B2113""))&lt;2,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$A373=IMPOR"&amp;"TRANGE(""https://docs.google.com/spreadsheets/d/1qpEmbGH0JjaJbUdp21-y2cPbobDbMjr09BbtdKROZWc/edit#gid=1444865654"",""articles_with_PRISMA_reasons!B2:B2113""))&gt;=2),
""Exclude""
)"),"Exclude")</f>
        <v>Exclude</v>
      </c>
      <c r="F373" s="5" t="str">
        <f>IFERROR(__xludf.DUMMYFUNCTION("IFS(
E373=""Exclude"",""Exclude"",
AND(
COUNTIF(
IMPORTRANGE(""https://docs.google.com/spreadsheets/d/1kGrh75X1cNR1D7_FcY9zMnHP8iPO4M5RCRjy6nZY0TY/edit#gid=0"",""Table 1: Study characteristics!B4:B171""),A373)&gt;0,
COUNTIF(Studies!$A$2:$A$85,FILTER(IMPORTRA"&amp;"NGE(""https://docs.google.com/spreadsheets/d/1kGrh75X1cNR1D7_FcY9zMnHP8iPO4M5RCRjy6nZY0TY/edit#gid=0"",""Table 1: Study characteristics!A4:A171""), $A373=IMPORTRANGE(""https://docs.google.com/spreadsheets/d/1kGrh75X1cNR1D7_FcY9zMnHP8iPO4M5RCRjy6nZY0TY/edi"&amp;"t#gid=0"",""Table 1: Study characteristics!B4:B171"")))&gt;0
),
""Include""
)"),"Exclude")</f>
        <v>Exclude</v>
      </c>
      <c r="G373" s="5" t="str">
        <f>IFERROR(__xludf.DUMMYFUNCTION("IFS(
D373=""Exclude"",
FILTER(IMPORTRANGE(""https://docs.google.com/spreadsheets/d/1BJSV3WBYJGRhQ6zExamkszQ5VutGIcaQqmbD9ZTVXMQ/edit#gid=1251630045"",""articles_with_PRISMA_reasons!AB2:AB2113""), $A373=IMPORTRANGE(""https://docs.google.com/spreadsheets/d/"&amp;"1BJSV3WBYJGRhQ6zExamkszQ5VutGIcaQqmbD9ZTVXMQ/edit#gid=1251630045"",""articles_with_PRISMA_reasons!B2:B2113"")),
E373=""Exclude"",
FILTER(IMPORTRANGE(""https://docs.google.com/spreadsheets/d/1qpEmbGH0JjaJbUdp21-y2cPbobDbMjr09BbtdKROZWc/edit#gid=1444865654"&amp;""",""articles_with_PRISMA_reasons!Z2:Z2113""), $A373=IMPORTRANGE(""https://docs.google.com/spreadsheets/d/1qpEmbGH0JjaJbUdp21-y2cPbobDbMjr09BbtdKROZWc/edit#gid=1444865654"",""articles_with_PRISMA_reasons!B2:B2113"")),F373
=""Include"",FILTER(IMPORTRANGE("&amp;"""https://docs.google.com/spreadsheets/d/1kGrh75X1cNR1D7_FcY9zMnHP8iPO4M5RCRjy6nZY0TY/edit#gid=0"",""Table 1: Study characteristics!A4:A171""), $A373=IMPORTRANGE(""https://docs.google.com/spreadsheets/d/1kGrh75X1cNR1D7_FcY9zMnHP8iPO4M5RCRjy6nZY0TY/edit#gi"&amp;"d=0"",""Table 1: Study characteristics!B4:B171""))
)"),"text not accessible")</f>
        <v>text not accessible</v>
      </c>
    </row>
    <row r="374">
      <c r="A374" s="4" t="str">
        <f>IFERROR(__xludf.DUMMYFUNCTION("""COMPUTED_VALUE"""),"Causes of late death due to hydrocephalus and myelomeningocele")</f>
        <v>Causes of late death due to hydrocephalus and myelomeningocele</v>
      </c>
      <c r="B374" s="5" t="str">
        <f>IFERROR(__xludf.DUMMYFUNCTION("LEFT(FILTER(IMPORTRANGE(""https://docs.google.com/spreadsheets/d/1BJSV3WBYJGRhQ6zExamkszQ5VutGIcaQqmbD9ZTVXMQ/edit#gid=1251630045"",""articles_with_PRISMA_reasons!K2:K2113""), $A374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$A374=IMPORTRANGE(""https://docs.google.com/spreadsheets/d/1BJSV3WBYJGRhQ6zExamkszQ5VutGIcaQqmbD9ZTVXMQ/edit#gid=1251630045"",""articles_with_PRISMA_reasons!B2:B2113"")))-1)"),"Simon")</f>
        <v>Simon</v>
      </c>
      <c r="C374" s="6">
        <f>IFERROR(__xludf.DUMMYFUNCTION("FILTER(IMPORTRANGE(""https://docs.google.com/spreadsheets/d/1BJSV3WBYJGRhQ6zExamkszQ5VutGIcaQqmbD9ZTVXMQ/edit#gid=1251630045"",""articles_with_PRISMA_reasons!C2:C2113""), $A374=IMPORTRANGE(""https://docs.google.com/spreadsheets/d/1BJSV3WBYJGRhQ6zExamkszQ5"&amp;"VutGIcaQqmbD9ZTVXMQ/edit#gid=1251630045"",""articles_with_PRISMA_reasons!B2:B2113""))"),1979.0)</f>
        <v>1979</v>
      </c>
      <c r="D374" s="5" t="str">
        <f>IFERROR(__xludf.DUMMYFUNCTION("IFS(AND(
FILTER(IMPORTRANGE(""https://docs.google.com/spreadsheets/d/1BJSV3WBYJGRhQ6zExamkszQ5VutGIcaQqmbD9ZTVXMQ/edit#gid=1251630045"",""articles_with_PRISMA_reasons!Y2:Y2113""), $A374=IMPORTRANGE(""https://docs.google.com/spreadsheets/d/1BJSV3WBYJGRhQ6z"&amp;"ExamkszQ5VutGIcaQqmbD9ZTVXMQ/edit#gid=1251630045"",""articles_with_PRISMA_reasons!B2:B2113""))&gt;=2,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$A374=IMPORTRANGE(""https://docs.google.com/spreadsheets/d/1BJSV3WBYJGRhQ6zExamkszQ5VutGIcaQqmbD9ZTVXMQ/edit#gid=1251630045"",""articles_with_PRISMA_reasons!B2:B2113""))&lt;2),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$A374=IMPORTRANGE(""https://docs.google.com/spreadsheets/d/1BJSV3WBYJGRhQ6zExamkszQ5VutGIcaQqmbD9ZTVXMQ/edit#gid=1251630045"",""arti"&amp;"cles_with_PRISMA_reasons!B2:B2113""))&lt;2,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$A374=IMPORTRANGE(""https://docs.google.com"&amp;"/spreadsheets/d/1BJSV3WBYJGRhQ6zExamkszQ5VutGIcaQqmbD9ZTVXMQ/edit#gid=1251630045"",""articles_with_PRISMA_reasons!B2:B2113""))&gt;=2),
""Exclude""
)"),"Exclude")</f>
        <v>Exclude</v>
      </c>
      <c r="E374" s="5" t="str">
        <f>IFERROR(__xludf.DUMMYFUNCTION("IFS(
D374=""Exclude"",""Exclude"",
AND(
FILTER(IMPORTRANGE(""https://docs.google.com/spreadsheets/d/1qpEmbGH0JjaJbUdp21-y2cPbobDbMjr09BbtdKROZWc/edit#gid=1444865654"",""articles_with_PRISMA_reasons!W2:W2113""), $A374=IMPORTRANGE(""https://docs.google.com/"&amp;"spreadsheets/d/1qpEmbGH0JjaJbUdp21-y2cPbobDbMjr09BbtdKROZWc/edit#gid=1444865654"",""articles_with_PRISMA_reasons!B2:B2113""))&gt;=2,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$A374=IMPORTRANGE(""https://docs.google.com/spreadsheets/d/1qpEmbGH0JjaJbUdp21-y2cPbobDbMjr09BbtdKROZWc/edit#gid=1444865654"",""articles_with_PRISMA_reasons!B2:B2113""))&lt;2),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$A374=IMPORTRANGE(""https://docs.google.com/spreadsheets/d/1qpEmbGH0JjaJbUdp21-y2cPbobDbMjr09BbtdKRO"&amp;"ZWc/edit#gid=1444865654"",""articles_with_PRISMA_reasons!B2:B2113""))&lt;2,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$A374=IMPOR"&amp;"TRANGE(""https://docs.google.com/spreadsheets/d/1qpEmbGH0JjaJbUdp21-y2cPbobDbMjr09BbtdKROZWc/edit#gid=1444865654"",""articles_with_PRISMA_reasons!B2:B2113""))&gt;=2),
""Exclude""
)"),"Exclude")</f>
        <v>Exclude</v>
      </c>
      <c r="F374" s="5" t="str">
        <f>IFERROR(__xludf.DUMMYFUNCTION("IFS(
E374=""Exclude"",""Exclude"",
AND(
COUNTIF(
IMPORTRANGE(""https://docs.google.com/spreadsheets/d/1kGrh75X1cNR1D7_FcY9zMnHP8iPO4M5RCRjy6nZY0TY/edit#gid=0"",""Table 1: Study characteristics!B4:B171""),A374)&gt;0,
COUNTIF(Studies!$A$2:$A$85,FILTER(IMPORTRA"&amp;"NGE(""https://docs.google.com/spreadsheets/d/1kGrh75X1cNR1D7_FcY9zMnHP8iPO4M5RCRjy6nZY0TY/edit#gid=0"",""Table 1: Study characteristics!A4:A171""), $A374=IMPORTRANGE(""https://docs.google.com/spreadsheets/d/1kGrh75X1cNR1D7_FcY9zMnHP8iPO4M5RCRjy6nZY0TY/edi"&amp;"t#gid=0"",""Table 1: Study characteristics!B4:B171"")))&gt;0
),
""Include""
)"),"Exclude")</f>
        <v>Exclude</v>
      </c>
      <c r="G374" s="5" t="str">
        <f>IFERROR(__xludf.DUMMYFUNCTION("IFS(
D374=""Exclude"",
FILTER(IMPORTRANGE(""https://docs.google.com/spreadsheets/d/1BJSV3WBYJGRhQ6zExamkszQ5VutGIcaQqmbD9ZTVXMQ/edit#gid=1251630045"",""articles_with_PRISMA_reasons!AB2:AB2113""), $A374=IMPORTRANGE(""https://docs.google.com/spreadsheets/d/"&amp;"1BJSV3WBYJGRhQ6zExamkszQ5VutGIcaQqmbD9ZTVXMQ/edit#gid=1251630045"",""articles_with_PRISMA_reasons!B2:B2113"")),
E374=""Exclude"",
FILTER(IMPORTRANGE(""https://docs.google.com/spreadsheets/d/1qpEmbGH0JjaJbUdp21-y2cPbobDbMjr09BbtdKROZWc/edit#gid=1444865654"&amp;""",""articles_with_PRISMA_reasons!Z2:Z2113""), $A374=IMPORTRANGE(""https://docs.google.com/spreadsheets/d/1qpEmbGH0JjaJbUdp21-y2cPbobDbMjr09BbtdKROZWc/edit#gid=1444865654"",""articles_with_PRISMA_reasons!B2:B2113"")),F374
=""Include"",FILTER(IMPORTRANGE("&amp;"""https://docs.google.com/spreadsheets/d/1kGrh75X1cNR1D7_FcY9zMnHP8iPO4M5RCRjy6nZY0TY/edit#gid=0"",""Table 1: Study characteristics!A4:A171""), $A374=IMPORTRANGE(""https://docs.google.com/spreadsheets/d/1kGrh75X1cNR1D7_FcY9zMnHP8iPO4M5RCRjy6nZY0TY/edit#gi"&amp;"d=0"",""Table 1: Study characteristics!B4:B171""))
)"),"wrong study design")</f>
        <v>wrong study design</v>
      </c>
    </row>
    <row r="375">
      <c r="A375" s="4" t="str">
        <f>IFERROR(__xludf.DUMMYFUNCTION("""COMPUTED_VALUE"""),"Central diabetes insipidus as a complication of neonatal pathology: report of three cases")</f>
        <v>Central diabetes insipidus as a complication of neonatal pathology: report of three cases</v>
      </c>
      <c r="B375" s="5" t="str">
        <f>IFERROR(__xludf.DUMMYFUNCTION("LEFT(FILTER(IMPORTRANGE(""https://docs.google.com/spreadsheets/d/1BJSV3WBYJGRhQ6zExamkszQ5VutGIcaQqmbD9ZTVXMQ/edit#gid=1251630045"",""articles_with_PRISMA_reasons!K2:K2113""), $A375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$A375=IMPORTRANGE(""https://docs.google.com/spreadsheets/d/1BJSV3WBYJGRhQ6zExamkszQ5VutGIcaQqmbD9ZTVXMQ/edit#gid=1251630045"",""articles_with_PRISMA_reasons!B2:B2113"")))-1)"),"Krebs")</f>
        <v>Krebs</v>
      </c>
      <c r="C375" s="6" t="str">
        <f>IFERROR(__xludf.DUMMYFUNCTION("FILTER(IMPORTRANGE(""https://docs.google.com/spreadsheets/d/1BJSV3WBYJGRhQ6zExamkszQ5VutGIcaQqmbD9ZTVXMQ/edit#gid=1251630045"",""articles_with_PRISMA_reasons!C2:C2113""), $A375=IMPORTRANGE(""https://docs.google.com/spreadsheets/d/1BJSV3WBYJGRhQ6zExamkszQ5"&amp;"VutGIcaQqmbD9ZTVXMQ/edit#gid=1251630045"",""articles_with_PRISMA_reasons!B2:B2113""))"),"Apr")</f>
        <v>Apr</v>
      </c>
      <c r="D375" s="5" t="str">
        <f>IFERROR(__xludf.DUMMYFUNCTION("IFS(AND(
FILTER(IMPORTRANGE(""https://docs.google.com/spreadsheets/d/1BJSV3WBYJGRhQ6zExamkszQ5VutGIcaQqmbD9ZTVXMQ/edit#gid=1251630045"",""articles_with_PRISMA_reasons!Y2:Y2113""), $A375=IMPORTRANGE(""https://docs.google.com/spreadsheets/d/1BJSV3WBYJGRhQ6z"&amp;"ExamkszQ5VutGIcaQqmbD9ZTVXMQ/edit#gid=1251630045"",""articles_with_PRISMA_reasons!B2:B2113""))&gt;=2,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$A375=IMPORTRANGE(""https://docs.google.com/spreadsheets/d/1BJSV3WBYJGRhQ6zExamkszQ5VutGIcaQqmbD9ZTVXMQ/edit#gid=1251630045"",""articles_with_PRISMA_reasons!B2:B2113""))&lt;2),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$A375=IMPORTRANGE(""https://docs.google.com/spreadsheets/d/1BJSV3WBYJGRhQ6zExamkszQ5VutGIcaQqmbD9ZTVXMQ/edit#gid=1251630045"",""arti"&amp;"cles_with_PRISMA_reasons!B2:B2113""))&lt;2,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$A375=IMPORTRANGE(""https://docs.google.com"&amp;"/spreadsheets/d/1BJSV3WBYJGRhQ6zExamkszQ5VutGIcaQqmbD9ZTVXMQ/edit#gid=1251630045"",""articles_with_PRISMA_reasons!B2:B2113""))&gt;=2),
""Exclude""
)"),"Include")</f>
        <v>Include</v>
      </c>
      <c r="E375" s="5" t="str">
        <f>IFERROR(__xludf.DUMMYFUNCTION("IFS(
D375=""Exclude"",""Exclude"",
AND(
FILTER(IMPORTRANGE(""https://docs.google.com/spreadsheets/d/1qpEmbGH0JjaJbUdp21-y2cPbobDbMjr09BbtdKROZWc/edit#gid=1444865654"",""articles_with_PRISMA_reasons!W2:W2113""), $A375=IMPORTRANGE(""https://docs.google.com/"&amp;"spreadsheets/d/1qpEmbGH0JjaJbUdp21-y2cPbobDbMjr09BbtdKROZWc/edit#gid=1444865654"",""articles_with_PRISMA_reasons!B2:B2113""))&gt;=2,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$A375=IMPORTRANGE(""https://docs.google.com/spreadsheets/d/1qpEmbGH0JjaJbUdp21-y2cPbobDbMjr09BbtdKROZWc/edit#gid=1444865654"",""articles_with_PRISMA_reasons!B2:B2113""))&lt;2),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$A375=IMPORTRANGE(""https://docs.google.com/spreadsheets/d/1qpEmbGH0JjaJbUdp21-y2cPbobDbMjr09BbtdKRO"&amp;"ZWc/edit#gid=1444865654"",""articles_with_PRISMA_reasons!B2:B2113""))&lt;2,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$A375=IMPOR"&amp;"TRANGE(""https://docs.google.com/spreadsheets/d/1qpEmbGH0JjaJbUdp21-y2cPbobDbMjr09BbtdKROZWc/edit#gid=1444865654"",""articles_with_PRISMA_reasons!B2:B2113""))&gt;=2),
""Exclude""
)"),"Include")</f>
        <v>Include</v>
      </c>
      <c r="F375" s="2" t="s">
        <v>8</v>
      </c>
      <c r="G375" s="2" t="s">
        <v>10</v>
      </c>
    </row>
    <row r="376">
      <c r="A376" s="4" t="str">
        <f>IFERROR(__xludf.DUMMYFUNCTION("""COMPUTED_VALUE"""),"Central nervous system anomalies associated with meningomyelocele, hydrocephalus, and the Arnold-Chiari malformation: reappraisal of theories regarding the pathogenesis of posterior neural tube closure defects")</f>
        <v>Central nervous system anomalies associated with meningomyelocele, hydrocephalus, and the Arnold-Chiari malformation: reappraisal of theories regarding the pathogenesis of posterior neural tube closure defects</v>
      </c>
      <c r="B376" s="5" t="str">
        <f>IFERROR(__xludf.DUMMYFUNCTION("LEFT(FILTER(IMPORTRANGE(""https://docs.google.com/spreadsheets/d/1BJSV3WBYJGRhQ6zExamkszQ5VutGIcaQqmbD9ZTVXMQ/edit#gid=1251630045"",""articles_with_PRISMA_reasons!K2:K2113""), $A376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$A376=IMPORTRANGE(""https://docs.google.com/spreadsheets/d/1BJSV3WBYJGRhQ6zExamkszQ5VutGIcaQqmbD9ZTVXMQ/edit#gid=1251630045"",""articles_with_PRISMA_reasons!B2:B2113"")))-1)"),"Gilbert")</f>
        <v>Gilbert</v>
      </c>
      <c r="C376" s="6">
        <f>IFERROR(__xludf.DUMMYFUNCTION("FILTER(IMPORTRANGE(""https://docs.google.com/spreadsheets/d/1BJSV3WBYJGRhQ6zExamkszQ5VutGIcaQqmbD9ZTVXMQ/edit#gid=1251630045"",""articles_with_PRISMA_reasons!C2:C2113""), $A376=IMPORTRANGE(""https://docs.google.com/spreadsheets/d/1BJSV3WBYJGRhQ6zExamkszQ5"&amp;"VutGIcaQqmbD9ZTVXMQ/edit#gid=1251630045"",""articles_with_PRISMA_reasons!B2:B2113""))"),1986.0)</f>
        <v>1986</v>
      </c>
      <c r="D376" s="5" t="str">
        <f>IFERROR(__xludf.DUMMYFUNCTION("IFS(AND(
FILTER(IMPORTRANGE(""https://docs.google.com/spreadsheets/d/1BJSV3WBYJGRhQ6zExamkszQ5VutGIcaQqmbD9ZTVXMQ/edit#gid=1251630045"",""articles_with_PRISMA_reasons!Y2:Y2113""), $A376=IMPORTRANGE(""https://docs.google.com/spreadsheets/d/1BJSV3WBYJGRhQ6z"&amp;"ExamkszQ5VutGIcaQqmbD9ZTVXMQ/edit#gid=1251630045"",""articles_with_PRISMA_reasons!B2:B2113""))&gt;=2,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$A376=IMPORTRANGE(""https://docs.google.com/spreadsheets/d/1BJSV3WBYJGRhQ6zExamkszQ5VutGIcaQqmbD9ZTVXMQ/edit#gid=1251630045"",""articles_with_PRISMA_reasons!B2:B2113""))&lt;2),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$A376=IMPORTRANGE(""https://docs.google.com/spreadsheets/d/1BJSV3WBYJGRhQ6zExamkszQ5VutGIcaQqmbD9ZTVXMQ/edit#gid=1251630045"",""arti"&amp;"cles_with_PRISMA_reasons!B2:B2113""))&lt;2,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$A376=IMPORTRANGE(""https://docs.google.com"&amp;"/spreadsheets/d/1BJSV3WBYJGRhQ6zExamkszQ5VutGIcaQqmbD9ZTVXMQ/edit#gid=1251630045"",""articles_with_PRISMA_reasons!B2:B2113""))&gt;=2),
""Exclude""
)"),"Exclude")</f>
        <v>Exclude</v>
      </c>
      <c r="E376" s="5" t="str">
        <f>IFERROR(__xludf.DUMMYFUNCTION("IFS(
D376=""Exclude"",""Exclude"",
AND(
FILTER(IMPORTRANGE(""https://docs.google.com/spreadsheets/d/1qpEmbGH0JjaJbUdp21-y2cPbobDbMjr09BbtdKROZWc/edit#gid=1444865654"",""articles_with_PRISMA_reasons!W2:W2113""), $A376=IMPORTRANGE(""https://docs.google.com/"&amp;"spreadsheets/d/1qpEmbGH0JjaJbUdp21-y2cPbobDbMjr09BbtdKROZWc/edit#gid=1444865654"",""articles_with_PRISMA_reasons!B2:B2113""))&gt;=2,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$A376=IMPORTRANGE(""https://docs.google.com/spreadsheets/d/1qpEmbGH0JjaJbUdp21-y2cPbobDbMjr09BbtdKROZWc/edit#gid=1444865654"",""articles_with_PRISMA_reasons!B2:B2113""))&lt;2),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$A376=IMPORTRANGE(""https://docs.google.com/spreadsheets/d/1qpEmbGH0JjaJbUdp21-y2cPbobDbMjr09BbtdKRO"&amp;"ZWc/edit#gid=1444865654"",""articles_with_PRISMA_reasons!B2:B2113""))&lt;2,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$A376=IMPOR"&amp;"TRANGE(""https://docs.google.com/spreadsheets/d/1qpEmbGH0JjaJbUdp21-y2cPbobDbMjr09BbtdKROZWc/edit#gid=1444865654"",""articles_with_PRISMA_reasons!B2:B2113""))&gt;=2),
""Exclude""
)"),"Exclude")</f>
        <v>Exclude</v>
      </c>
      <c r="F376" s="5" t="str">
        <f>IFERROR(__xludf.DUMMYFUNCTION("IFS(
E376=""Exclude"",""Exclude"",
AND(
COUNTIF(
IMPORTRANGE(""https://docs.google.com/spreadsheets/d/1kGrh75X1cNR1D7_FcY9zMnHP8iPO4M5RCRjy6nZY0TY/edit#gid=0"",""Table 1: Study characteristics!B4:B171""),A376)&gt;0,
COUNTIF(Studies!$A$2:$A$85,FILTER(IMPORTRA"&amp;"NGE(""https://docs.google.com/spreadsheets/d/1kGrh75X1cNR1D7_FcY9zMnHP8iPO4M5RCRjy6nZY0TY/edit#gid=0"",""Table 1: Study characteristics!A4:A171""), $A376=IMPORTRANGE(""https://docs.google.com/spreadsheets/d/1kGrh75X1cNR1D7_FcY9zMnHP8iPO4M5RCRjy6nZY0TY/edi"&amp;"t#gid=0"",""Table 1: Study characteristics!B4:B171"")))&gt;0
),
""Include""
)"),"Exclude")</f>
        <v>Exclude</v>
      </c>
      <c r="G376" s="5" t="str">
        <f>IFERROR(__xludf.DUMMYFUNCTION("IFS(
D376=""Exclude"",
FILTER(IMPORTRANGE(""https://docs.google.com/spreadsheets/d/1BJSV3WBYJGRhQ6zExamkszQ5VutGIcaQqmbD9ZTVXMQ/edit#gid=1251630045"",""articles_with_PRISMA_reasons!AB2:AB2113""), $A376=IMPORTRANGE(""https://docs.google.com/spreadsheets/d/"&amp;"1BJSV3WBYJGRhQ6zExamkszQ5VutGIcaQqmbD9ZTVXMQ/edit#gid=1251630045"",""articles_with_PRISMA_reasons!B2:B2113"")),
E376=""Exclude"",
FILTER(IMPORTRANGE(""https://docs.google.com/spreadsheets/d/1qpEmbGH0JjaJbUdp21-y2cPbobDbMjr09BbtdKROZWc/edit#gid=1444865654"&amp;""",""articles_with_PRISMA_reasons!Z2:Z2113""), $A376=IMPORTRANGE(""https://docs.google.com/spreadsheets/d/1qpEmbGH0JjaJbUdp21-y2cPbobDbMjr09BbtdKROZWc/edit#gid=1444865654"",""articles_with_PRISMA_reasons!B2:B2113"")),F376
=""Include"",FILTER(IMPORTRANGE("&amp;"""https://docs.google.com/spreadsheets/d/1kGrh75X1cNR1D7_FcY9zMnHP8iPO4M5RCRjy6nZY0TY/edit#gid=0"",""Table 1: Study characteristics!A4:A171""), $A376=IMPORTRANGE(""https://docs.google.com/spreadsheets/d/1kGrh75X1cNR1D7_FcY9zMnHP8iPO4M5RCRjy6nZY0TY/edit#gi"&amp;"d=0"",""Table 1: Study characteristics!B4:B171""))
)"),"wrong population")</f>
        <v>wrong population</v>
      </c>
    </row>
    <row r="377">
      <c r="A377" s="4" t="str">
        <f>IFERROR(__xludf.DUMMYFUNCTION("""COMPUTED_VALUE"""),"Central nervous system congenital malformations in a developing country: Issues and challenges against their prevention")</f>
        <v>Central nervous system congenital malformations in a developing country: Issues and challenges against their prevention</v>
      </c>
      <c r="B377" s="5" t="str">
        <f>IFERROR(__xludf.DUMMYFUNCTION("LEFT(FILTER(IMPORTRANGE(""https://docs.google.com/spreadsheets/d/1BJSV3WBYJGRhQ6zExamkszQ5VutGIcaQqmbD9ZTVXMQ/edit#gid=1251630045"",""articles_with_PRISMA_reasons!K2:K2113""), $A377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$A377=IMPORTRANGE(""https://docs.google.com/spreadsheets/d/1BJSV3WBYJGRhQ6zExamkszQ5VutGIcaQqmbD9ZTVXMQ/edit#gid=1251630045"",""articles_with_PRISMA_reasons!B2:B2113"")))-1)"),"Adeleye")</f>
        <v>Adeleye</v>
      </c>
      <c r="C377" s="6">
        <f>IFERROR(__xludf.DUMMYFUNCTION("FILTER(IMPORTRANGE(""https://docs.google.com/spreadsheets/d/1BJSV3WBYJGRhQ6zExamkszQ5VutGIcaQqmbD9ZTVXMQ/edit#gid=1251630045"",""articles_with_PRISMA_reasons!C2:C2113""), $A377=IMPORTRANGE(""https://docs.google.com/spreadsheets/d/1BJSV3WBYJGRhQ6zExamkszQ5"&amp;"VutGIcaQqmbD9ZTVXMQ/edit#gid=1251630045"",""articles_with_PRISMA_reasons!B2:B2113""))"),2010.0)</f>
        <v>2010</v>
      </c>
      <c r="D377" s="5" t="str">
        <f>IFERROR(__xludf.DUMMYFUNCTION("IFS(AND(
FILTER(IMPORTRANGE(""https://docs.google.com/spreadsheets/d/1BJSV3WBYJGRhQ6zExamkszQ5VutGIcaQqmbD9ZTVXMQ/edit#gid=1251630045"",""articles_with_PRISMA_reasons!Y2:Y2113""), $A377=IMPORTRANGE(""https://docs.google.com/spreadsheets/d/1BJSV3WBYJGRhQ6z"&amp;"ExamkszQ5VutGIcaQqmbD9ZTVXMQ/edit#gid=1251630045"",""articles_with_PRISMA_reasons!B2:B2113""))&gt;=2,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$A377=IMPORTRANGE(""https://docs.google.com/spreadsheets/d/1BJSV3WBYJGRhQ6zExamkszQ5VutGIcaQqmbD9ZTVXMQ/edit#gid=1251630045"",""articles_with_PRISMA_reasons!B2:B2113""))&lt;2),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$A377=IMPORTRANGE(""https://docs.google.com/spreadsheets/d/1BJSV3WBYJGRhQ6zExamkszQ5VutGIcaQqmbD9ZTVXMQ/edit#gid=1251630045"",""arti"&amp;"cles_with_PRISMA_reasons!B2:B2113""))&lt;2,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$A377=IMPORTRANGE(""https://docs.google.com"&amp;"/spreadsheets/d/1BJSV3WBYJGRhQ6zExamkszQ5VutGIcaQqmbD9ZTVXMQ/edit#gid=1251630045"",""articles_with_PRISMA_reasons!B2:B2113""))&gt;=2),
""Exclude""
)"),"Exclude")</f>
        <v>Exclude</v>
      </c>
      <c r="E377" s="5" t="str">
        <f>IFERROR(__xludf.DUMMYFUNCTION("IFS(
D377=""Exclude"",""Exclude"",
AND(
FILTER(IMPORTRANGE(""https://docs.google.com/spreadsheets/d/1qpEmbGH0JjaJbUdp21-y2cPbobDbMjr09BbtdKROZWc/edit#gid=1444865654"",""articles_with_PRISMA_reasons!W2:W2113""), $A377=IMPORTRANGE(""https://docs.google.com/"&amp;"spreadsheets/d/1qpEmbGH0JjaJbUdp21-y2cPbobDbMjr09BbtdKROZWc/edit#gid=1444865654"",""articles_with_PRISMA_reasons!B2:B2113""))&gt;=2,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$A377=IMPORTRANGE(""https://docs.google.com/spreadsheets/d/1qpEmbGH0JjaJbUdp21-y2cPbobDbMjr09BbtdKROZWc/edit#gid=1444865654"",""articles_with_PRISMA_reasons!B2:B2113""))&lt;2),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$A377=IMPORTRANGE(""https://docs.google.com/spreadsheets/d/1qpEmbGH0JjaJbUdp21-y2cPbobDbMjr09BbtdKRO"&amp;"ZWc/edit#gid=1444865654"",""articles_with_PRISMA_reasons!B2:B2113""))&lt;2,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$A377=IMPOR"&amp;"TRANGE(""https://docs.google.com/spreadsheets/d/1qpEmbGH0JjaJbUdp21-y2cPbobDbMjr09BbtdKROZWc/edit#gid=1444865654"",""articles_with_PRISMA_reasons!B2:B2113""))&gt;=2),
""Exclude""
)"),"Exclude")</f>
        <v>Exclude</v>
      </c>
      <c r="F377" s="5" t="str">
        <f>IFERROR(__xludf.DUMMYFUNCTION("IFS(
E377=""Exclude"",""Exclude"",
AND(
COUNTIF(
IMPORTRANGE(""https://docs.google.com/spreadsheets/d/1kGrh75X1cNR1D7_FcY9zMnHP8iPO4M5RCRjy6nZY0TY/edit#gid=0"",""Table 1: Study characteristics!B4:B171""),A377)&gt;0,
COUNTIF(Studies!$A$2:$A$85,FILTER(IMPORTRA"&amp;"NGE(""https://docs.google.com/spreadsheets/d/1kGrh75X1cNR1D7_FcY9zMnHP8iPO4M5RCRjy6nZY0TY/edit#gid=0"",""Table 1: Study characteristics!A4:A171""), $A377=IMPORTRANGE(""https://docs.google.com/spreadsheets/d/1kGrh75X1cNR1D7_FcY9zMnHP8iPO4M5RCRjy6nZY0TY/edi"&amp;"t#gid=0"",""Table 1: Study characteristics!B4:B171"")))&gt;0
),
""Include""
)"),"Exclude")</f>
        <v>Exclude</v>
      </c>
      <c r="G377" s="5" t="str">
        <f>IFERROR(__xludf.DUMMYFUNCTION("IFS(
D377=""Exclude"",
FILTER(IMPORTRANGE(""https://docs.google.com/spreadsheets/d/1BJSV3WBYJGRhQ6zExamkszQ5VutGIcaQqmbD9ZTVXMQ/edit#gid=1251630045"",""articles_with_PRISMA_reasons!AB2:AB2113""), $A377=IMPORTRANGE(""https://docs.google.com/spreadsheets/d/"&amp;"1BJSV3WBYJGRhQ6zExamkszQ5VutGIcaQqmbD9ZTVXMQ/edit#gid=1251630045"",""articles_with_PRISMA_reasons!B2:B2113"")),
E377=""Exclude"",
FILTER(IMPORTRANGE(""https://docs.google.com/spreadsheets/d/1qpEmbGH0JjaJbUdp21-y2cPbobDbMjr09BbtdKROZWc/edit#gid=1444865654"&amp;""",""articles_with_PRISMA_reasons!Z2:Z2113""), $A377=IMPORTRANGE(""https://docs.google.com/spreadsheets/d/1qpEmbGH0JjaJbUdp21-y2cPbobDbMjr09BbtdKROZWc/edit#gid=1444865654"",""articles_with_PRISMA_reasons!B2:B2113"")),F377
=""Include"",FILTER(IMPORTRANGE("&amp;"""https://docs.google.com/spreadsheets/d/1kGrh75X1cNR1D7_FcY9zMnHP8iPO4M5RCRjy6nZY0TY/edit#gid=0"",""Table 1: Study characteristics!A4:A171""), $A377=IMPORTRANGE(""https://docs.google.com/spreadsheets/d/1kGrh75X1cNR1D7_FcY9zMnHP8iPO4M5RCRjy6nZY0TY/edit#gi"&amp;"d=0"",""Table 1: Study characteristics!B4:B171""))
)"),"wrong population")</f>
        <v>wrong population</v>
      </c>
    </row>
    <row r="378">
      <c r="A378" s="4" t="str">
        <f>IFERROR(__xludf.DUMMYFUNCTION("""COMPUTED_VALUE"""),"Central nervous system investigation (1961)")</f>
        <v>Central nervous system investigation (1961)</v>
      </c>
      <c r="B378" s="5" t="str">
        <f>IFERROR(__xludf.DUMMYFUNCTION("LEFT(FILTER(IMPORTRANGE(""https://docs.google.com/spreadsheets/d/1BJSV3WBYJGRhQ6zExamkszQ5VutGIcaQqmbD9ZTVXMQ/edit#gid=1251630045"",""articles_with_PRISMA_reasons!K2:K2113""), $A378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$A378=IMPORTRANGE(""https://docs.google.com/spreadsheets/d/1BJSV3WBYJGRhQ6zExamkszQ5VutGIcaQqmbD9ZTVXMQ/edit#gid=1251630045"",""articles_with_PRISMA_reasons!B2:B2113"")))-1)"),"Walker")</f>
        <v>Walker</v>
      </c>
      <c r="C378" s="6">
        <f>IFERROR(__xludf.DUMMYFUNCTION("FILTER(IMPORTRANGE(""https://docs.google.com/spreadsheets/d/1BJSV3WBYJGRhQ6zExamkszQ5VutGIcaQqmbD9ZTVXMQ/edit#gid=1251630045"",""articles_with_PRISMA_reasons!C2:C2113""), $A378=IMPORTRANGE(""https://docs.google.com/spreadsheets/d/1BJSV3WBYJGRhQ6zExamkszQ5"&amp;"VutGIcaQqmbD9ZTVXMQ/edit#gid=1251630045"",""articles_with_PRISMA_reasons!B2:B2113""))"),1990.0)</f>
        <v>1990</v>
      </c>
      <c r="D378" s="5" t="str">
        <f>IFERROR(__xludf.DUMMYFUNCTION("IFS(AND(
FILTER(IMPORTRANGE(""https://docs.google.com/spreadsheets/d/1BJSV3WBYJGRhQ6zExamkszQ5VutGIcaQqmbD9ZTVXMQ/edit#gid=1251630045"",""articles_with_PRISMA_reasons!Y2:Y2113""), $A378=IMPORTRANGE(""https://docs.google.com/spreadsheets/d/1BJSV3WBYJGRhQ6z"&amp;"ExamkszQ5VutGIcaQqmbD9ZTVXMQ/edit#gid=1251630045"",""articles_with_PRISMA_reasons!B2:B2113""))&gt;=2,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$A378=IMPORTRANGE(""https://docs.google.com/spreadsheets/d/1BJSV3WBYJGRhQ6zExamkszQ5VutGIcaQqmbD9ZTVXMQ/edit#gid=1251630045"",""articles_with_PRISMA_reasons!B2:B2113""))&lt;2),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$A378=IMPORTRANGE(""https://docs.google.com/spreadsheets/d/1BJSV3WBYJGRhQ6zExamkszQ5VutGIcaQqmbD9ZTVXMQ/edit#gid=1251630045"",""arti"&amp;"cles_with_PRISMA_reasons!B2:B2113""))&lt;2,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$A378=IMPORTRANGE(""https://docs.google.com"&amp;"/spreadsheets/d/1BJSV3WBYJGRhQ6zExamkszQ5VutGIcaQqmbD9ZTVXMQ/edit#gid=1251630045"",""articles_with_PRISMA_reasons!B2:B2113""))&gt;=2),
""Exclude""
)"),"Exclude")</f>
        <v>Exclude</v>
      </c>
      <c r="E378" s="5" t="str">
        <f>IFERROR(__xludf.DUMMYFUNCTION("IFS(
D378=""Exclude"",""Exclude"",
AND(
FILTER(IMPORTRANGE(""https://docs.google.com/spreadsheets/d/1qpEmbGH0JjaJbUdp21-y2cPbobDbMjr09BbtdKROZWc/edit#gid=1444865654"",""articles_with_PRISMA_reasons!W2:W2113""), $A378=IMPORTRANGE(""https://docs.google.com/"&amp;"spreadsheets/d/1qpEmbGH0JjaJbUdp21-y2cPbobDbMjr09BbtdKROZWc/edit#gid=1444865654"",""articles_with_PRISMA_reasons!B2:B2113""))&gt;=2,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$A378=IMPORTRANGE(""https://docs.google.com/spreadsheets/d/1qpEmbGH0JjaJbUdp21-y2cPbobDbMjr09BbtdKROZWc/edit#gid=1444865654"",""articles_with_PRISMA_reasons!B2:B2113""))&lt;2),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$A378=IMPORTRANGE(""https://docs.google.com/spreadsheets/d/1qpEmbGH0JjaJbUdp21-y2cPbobDbMjr09BbtdKRO"&amp;"ZWc/edit#gid=1444865654"",""articles_with_PRISMA_reasons!B2:B2113""))&lt;2,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$A378=IMPOR"&amp;"TRANGE(""https://docs.google.com/spreadsheets/d/1qpEmbGH0JjaJbUdp21-y2cPbobDbMjr09BbtdKROZWc/edit#gid=1444865654"",""articles_with_PRISMA_reasons!B2:B2113""))&gt;=2),
""Exclude""
)"),"Exclude")</f>
        <v>Exclude</v>
      </c>
      <c r="F378" s="5" t="str">
        <f>IFERROR(__xludf.DUMMYFUNCTION("IFS(
E378=""Exclude"",""Exclude"",
AND(
COUNTIF(
IMPORTRANGE(""https://docs.google.com/spreadsheets/d/1kGrh75X1cNR1D7_FcY9zMnHP8iPO4M5RCRjy6nZY0TY/edit#gid=0"",""Table 1: Study characteristics!B4:B171""),A378)&gt;0,
COUNTIF(Studies!$A$2:$A$85,FILTER(IMPORTRA"&amp;"NGE(""https://docs.google.com/spreadsheets/d/1kGrh75X1cNR1D7_FcY9zMnHP8iPO4M5RCRjy6nZY0TY/edit#gid=0"",""Table 1: Study characteristics!A4:A171""), $A378=IMPORTRANGE(""https://docs.google.com/spreadsheets/d/1kGrh75X1cNR1D7_FcY9zMnHP8iPO4M5RCRjy6nZY0TY/edi"&amp;"t#gid=0"",""Table 1: Study characteristics!B4:B171"")))&gt;0
),
""Include""
)"),"Exclude")</f>
        <v>Exclude</v>
      </c>
      <c r="G378" s="5" t="str">
        <f>IFERROR(__xludf.DUMMYFUNCTION("IFS(
D378=""Exclude"",
FILTER(IMPORTRANGE(""https://docs.google.com/spreadsheets/d/1BJSV3WBYJGRhQ6zExamkszQ5VutGIcaQqmbD9ZTVXMQ/edit#gid=1251630045"",""articles_with_PRISMA_reasons!AB2:AB2113""), $A378=IMPORTRANGE(""https://docs.google.com/spreadsheets/d/"&amp;"1BJSV3WBYJGRhQ6zExamkszQ5VutGIcaQqmbD9ZTVXMQ/edit#gid=1251630045"",""articles_with_PRISMA_reasons!B2:B2113"")),
E378=""Exclude"",
FILTER(IMPORTRANGE(""https://docs.google.com/spreadsheets/d/1qpEmbGH0JjaJbUdp21-y2cPbobDbMjr09BbtdKROZWc/edit#gid=1444865654"&amp;""",""articles_with_PRISMA_reasons!Z2:Z2113""), $A378=IMPORTRANGE(""https://docs.google.com/spreadsheets/d/1qpEmbGH0JjaJbUdp21-y2cPbobDbMjr09BbtdKROZWc/edit#gid=1444865654"",""articles_with_PRISMA_reasons!B2:B2113"")),F378
=""Include"",FILTER(IMPORTRANGE("&amp;"""https://docs.google.com/spreadsheets/d/1kGrh75X1cNR1D7_FcY9zMnHP8iPO4M5RCRjy6nZY0TY/edit#gid=0"",""Table 1: Study characteristics!A4:A171""), $A378=IMPORTRANGE(""https://docs.google.com/spreadsheets/d/1kGrh75X1cNR1D7_FcY9zMnHP8iPO4M5RCRjy6nZY0TY/edit#gi"&amp;"d=0"",""Table 1: Study characteristics!B4:B171""))
)"),"wrong study design")</f>
        <v>wrong study design</v>
      </c>
    </row>
    <row r="379">
      <c r="A379" s="4" t="str">
        <f>IFERROR(__xludf.DUMMYFUNCTION("""COMPUTED_VALUE"""),"Central nervous system lesions and developmental scoliosis in myelomeningocele")</f>
        <v>Central nervous system lesions and developmental scoliosis in myelomeningocele</v>
      </c>
      <c r="B379" s="5" t="str">
        <f>IFERROR(__xludf.DUMMYFUNCTION("LEFT(FILTER(IMPORTRANGE(""https://docs.google.com/spreadsheets/d/1BJSV3WBYJGRhQ6zExamkszQ5VutGIcaQqmbD9ZTVXMQ/edit#gid=1251630045"",""articles_with_PRISMA_reasons!K2:K2113""), $A379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$A379=IMPORTRANGE(""https://docs.google.com/spreadsheets/d/1BJSV3WBYJGRhQ6zExamkszQ5VutGIcaQqmbD9ZTVXMQ/edit#gid=1251630045"",""articles_with_PRISMA_reasons!B2:B2113"")))-1)"),"Sherk")</f>
        <v>Sherk</v>
      </c>
      <c r="C379" s="6">
        <f>IFERROR(__xludf.DUMMYFUNCTION("FILTER(IMPORTRANGE(""https://docs.google.com/spreadsheets/d/1BJSV3WBYJGRhQ6zExamkszQ5VutGIcaQqmbD9ZTVXMQ/edit#gid=1251630045"",""articles_with_PRISMA_reasons!C2:C2113""), $A379=IMPORTRANGE(""https://docs.google.com/spreadsheets/d/1BJSV3WBYJGRhQ6zExamkszQ5"&amp;"VutGIcaQqmbD9ZTVXMQ/edit#gid=1251630045"",""articles_with_PRISMA_reasons!B2:B2113""))"),1983.0)</f>
        <v>1983</v>
      </c>
      <c r="D379" s="5" t="str">
        <f>IFERROR(__xludf.DUMMYFUNCTION("IFS(AND(
FILTER(IMPORTRANGE(""https://docs.google.com/spreadsheets/d/1BJSV3WBYJGRhQ6zExamkszQ5VutGIcaQqmbD9ZTVXMQ/edit#gid=1251630045"",""articles_with_PRISMA_reasons!Y2:Y2113""), $A379=IMPORTRANGE(""https://docs.google.com/spreadsheets/d/1BJSV3WBYJGRhQ6z"&amp;"ExamkszQ5VutGIcaQqmbD9ZTVXMQ/edit#gid=1251630045"",""articles_with_PRISMA_reasons!B2:B2113""))&gt;=2,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$A379=IMPORTRANGE(""https://docs.google.com/spreadsheets/d/1BJSV3WBYJGRhQ6zExamkszQ5VutGIcaQqmbD9ZTVXMQ/edit#gid=1251630045"",""articles_with_PRISMA_reasons!B2:B2113""))&lt;2),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$A379=IMPORTRANGE(""https://docs.google.com/spreadsheets/d/1BJSV3WBYJGRhQ6zExamkszQ5VutGIcaQqmbD9ZTVXMQ/edit#gid=1251630045"",""arti"&amp;"cles_with_PRISMA_reasons!B2:B2113""))&lt;2,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$A379=IMPORTRANGE(""https://docs.google.com"&amp;"/spreadsheets/d/1BJSV3WBYJGRhQ6zExamkszQ5VutGIcaQqmbD9ZTVXMQ/edit#gid=1251630045"",""articles_with_PRISMA_reasons!B2:B2113""))&gt;=2),
""Exclude""
)"),"Exclude")</f>
        <v>Exclude</v>
      </c>
      <c r="E379" s="5" t="str">
        <f>IFERROR(__xludf.DUMMYFUNCTION("IFS(
D379=""Exclude"",""Exclude"",
AND(
FILTER(IMPORTRANGE(""https://docs.google.com/spreadsheets/d/1qpEmbGH0JjaJbUdp21-y2cPbobDbMjr09BbtdKROZWc/edit#gid=1444865654"",""articles_with_PRISMA_reasons!W2:W2113""), $A379=IMPORTRANGE(""https://docs.google.com/"&amp;"spreadsheets/d/1qpEmbGH0JjaJbUdp21-y2cPbobDbMjr09BbtdKROZWc/edit#gid=1444865654"",""articles_with_PRISMA_reasons!B2:B2113""))&gt;=2,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$A379=IMPORTRANGE(""https://docs.google.com/spreadsheets/d/1qpEmbGH0JjaJbUdp21-y2cPbobDbMjr09BbtdKROZWc/edit#gid=1444865654"",""articles_with_PRISMA_reasons!B2:B2113""))&lt;2),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$A379=IMPORTRANGE(""https://docs.google.com/spreadsheets/d/1qpEmbGH0JjaJbUdp21-y2cPbobDbMjr09BbtdKRO"&amp;"ZWc/edit#gid=1444865654"",""articles_with_PRISMA_reasons!B2:B2113""))&lt;2,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$A379=IMPOR"&amp;"TRANGE(""https://docs.google.com/spreadsheets/d/1qpEmbGH0JjaJbUdp21-y2cPbobDbMjr09BbtdKROZWc/edit#gid=1444865654"",""articles_with_PRISMA_reasons!B2:B2113""))&gt;=2),
""Exclude""
)"),"Exclude")</f>
        <v>Exclude</v>
      </c>
      <c r="F379" s="5" t="str">
        <f>IFERROR(__xludf.DUMMYFUNCTION("IFS(
E379=""Exclude"",""Exclude"",
AND(
COUNTIF(
IMPORTRANGE(""https://docs.google.com/spreadsheets/d/1kGrh75X1cNR1D7_FcY9zMnHP8iPO4M5RCRjy6nZY0TY/edit#gid=0"",""Table 1: Study characteristics!B4:B171""),A379)&gt;0,
COUNTIF(Studies!$A$2:$A$85,FILTER(IMPORTRA"&amp;"NGE(""https://docs.google.com/spreadsheets/d/1kGrh75X1cNR1D7_FcY9zMnHP8iPO4M5RCRjy6nZY0TY/edit#gid=0"",""Table 1: Study characteristics!A4:A171""), $A379=IMPORTRANGE(""https://docs.google.com/spreadsheets/d/1kGrh75X1cNR1D7_FcY9zMnHP8iPO4M5RCRjy6nZY0TY/edi"&amp;"t#gid=0"",""Table 1: Study characteristics!B4:B171"")))&gt;0
),
""Include""
)"),"Exclude")</f>
        <v>Exclude</v>
      </c>
      <c r="G379" s="5" t="str">
        <f>IFERROR(__xludf.DUMMYFUNCTION("IFS(
D379=""Exclude"",
FILTER(IMPORTRANGE(""https://docs.google.com/spreadsheets/d/1BJSV3WBYJGRhQ6zExamkszQ5VutGIcaQqmbD9ZTVXMQ/edit#gid=1251630045"",""articles_with_PRISMA_reasons!AB2:AB2113""), $A379=IMPORTRANGE(""https://docs.google.com/spreadsheets/d/"&amp;"1BJSV3WBYJGRhQ6zExamkszQ5VutGIcaQqmbD9ZTVXMQ/edit#gid=1251630045"",""articles_with_PRISMA_reasons!B2:B2113"")),
E379=""Exclude"",
FILTER(IMPORTRANGE(""https://docs.google.com/spreadsheets/d/1qpEmbGH0JjaJbUdp21-y2cPbobDbMjr09BbtdKROZWc/edit#gid=1444865654"&amp;""",""articles_with_PRISMA_reasons!Z2:Z2113""), $A379=IMPORTRANGE(""https://docs.google.com/spreadsheets/d/1qpEmbGH0JjaJbUdp21-y2cPbobDbMjr09BbtdKROZWc/edit#gid=1444865654"",""articles_with_PRISMA_reasons!B2:B2113"")),F379
=""Include"",FILTER(IMPORTRANGE("&amp;"""https://docs.google.com/spreadsheets/d/1kGrh75X1cNR1D7_FcY9zMnHP8iPO4M5RCRjy6nZY0TY/edit#gid=0"",""Table 1: Study characteristics!A4:A171""), $A379=IMPORTRANGE(""https://docs.google.com/spreadsheets/d/1kGrh75X1cNR1D7_FcY9zMnHP8iPO4M5RCRjy6nZY0TY/edit#gi"&amp;"d=0"",""Table 1: Study characteristics!B4:B171""))
)"),"wrong population")</f>
        <v>wrong population</v>
      </c>
    </row>
    <row r="380">
      <c r="A380" s="4" t="str">
        <f>IFERROR(__xludf.DUMMYFUNCTION("""COMPUTED_VALUE"""),"Central nervous system malformations in a perinatal/neonatal autopsy series")</f>
        <v>Central nervous system malformations in a perinatal/neonatal autopsy series</v>
      </c>
      <c r="B380" s="5" t="str">
        <f>IFERROR(__xludf.DUMMYFUNCTION("LEFT(FILTER(IMPORTRANGE(""https://docs.google.com/spreadsheets/d/1BJSV3WBYJGRhQ6zExamkszQ5VutGIcaQqmbD9ZTVXMQ/edit#gid=1251630045"",""articles_with_PRISMA_reasons!K2:K2113""), $A380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$A380=IMPORTRANGE(""https://docs.google.com/spreadsheets/d/1BJSV3WBYJGRhQ6zExamkszQ5VutGIcaQqmbD9ZTVXMQ/edit#gid=1251630045"",""articles_with_PRISMA_reasons!B2:B2113"")))-1)"),"Pinar")</f>
        <v>Pinar</v>
      </c>
      <c r="C380" s="6" t="str">
        <f>IFERROR(__xludf.DUMMYFUNCTION("FILTER(IMPORTRANGE(""https://docs.google.com/spreadsheets/d/1BJSV3WBYJGRhQ6zExamkszQ5VutGIcaQqmbD9ZTVXMQ/edit#gid=1251630045"",""articles_with_PRISMA_reasons!C2:C2113""), $A380=IMPORTRANGE(""https://docs.google.com/spreadsheets/d/1BJSV3WBYJGRhQ6zExamkszQ5"&amp;"VutGIcaQqmbD9ZTVXMQ/edit#gid=1251630045"",""articles_with_PRISMA_reasons!B2:B2113""))"),"Jan")</f>
        <v>Jan</v>
      </c>
      <c r="D380" s="5" t="str">
        <f>IFERROR(__xludf.DUMMYFUNCTION("IFS(AND(
FILTER(IMPORTRANGE(""https://docs.google.com/spreadsheets/d/1BJSV3WBYJGRhQ6zExamkszQ5VutGIcaQqmbD9ZTVXMQ/edit#gid=1251630045"",""articles_with_PRISMA_reasons!Y2:Y2113""), $A380=IMPORTRANGE(""https://docs.google.com/spreadsheets/d/1BJSV3WBYJGRhQ6z"&amp;"ExamkszQ5VutGIcaQqmbD9ZTVXMQ/edit#gid=1251630045"",""articles_with_PRISMA_reasons!B2:B2113""))&gt;=2,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$A380=IMPORTRANGE(""https://docs.google.com/spreadsheets/d/1BJSV3WBYJGRhQ6zExamkszQ5VutGIcaQqmbD9ZTVXMQ/edit#gid=1251630045"",""articles_with_PRISMA_reasons!B2:B2113""))&lt;2),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$A380=IMPORTRANGE(""https://docs.google.com/spreadsheets/d/1BJSV3WBYJGRhQ6zExamkszQ5VutGIcaQqmbD9ZTVXMQ/edit#gid=1251630045"",""arti"&amp;"cles_with_PRISMA_reasons!B2:B2113""))&lt;2,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$A380=IMPORTRANGE(""https://docs.google.com"&amp;"/spreadsheets/d/1BJSV3WBYJGRhQ6zExamkszQ5VutGIcaQqmbD9ZTVXMQ/edit#gid=1251630045"",""articles_with_PRISMA_reasons!B2:B2113""))&gt;=2),
""Exclude""
)"),"Exclude")</f>
        <v>Exclude</v>
      </c>
      <c r="E380" s="5" t="str">
        <f>IFERROR(__xludf.DUMMYFUNCTION("IFS(
D380=""Exclude"",""Exclude"",
AND(
FILTER(IMPORTRANGE(""https://docs.google.com/spreadsheets/d/1qpEmbGH0JjaJbUdp21-y2cPbobDbMjr09BbtdKROZWc/edit#gid=1444865654"",""articles_with_PRISMA_reasons!W2:W2113""), $A380=IMPORTRANGE(""https://docs.google.com/"&amp;"spreadsheets/d/1qpEmbGH0JjaJbUdp21-y2cPbobDbMjr09BbtdKROZWc/edit#gid=1444865654"",""articles_with_PRISMA_reasons!B2:B2113""))&gt;=2,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$A380=IMPORTRANGE(""https://docs.google.com/spreadsheets/d/1qpEmbGH0JjaJbUdp21-y2cPbobDbMjr09BbtdKROZWc/edit#gid=1444865654"",""articles_with_PRISMA_reasons!B2:B2113""))&lt;2),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$A380=IMPORTRANGE(""https://docs.google.com/spreadsheets/d/1qpEmbGH0JjaJbUdp21-y2cPbobDbMjr09BbtdKRO"&amp;"ZWc/edit#gid=1444865654"",""articles_with_PRISMA_reasons!B2:B2113""))&lt;2,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$A380=IMPOR"&amp;"TRANGE(""https://docs.google.com/spreadsheets/d/1qpEmbGH0JjaJbUdp21-y2cPbobDbMjr09BbtdKROZWc/edit#gid=1444865654"",""articles_with_PRISMA_reasons!B2:B2113""))&gt;=2),
""Exclude""
)"),"Exclude")</f>
        <v>Exclude</v>
      </c>
      <c r="F380" s="5" t="str">
        <f>IFERROR(__xludf.DUMMYFUNCTION("IFS(
E380=""Exclude"",""Exclude"",
AND(
COUNTIF(
IMPORTRANGE(""https://docs.google.com/spreadsheets/d/1kGrh75X1cNR1D7_FcY9zMnHP8iPO4M5RCRjy6nZY0TY/edit#gid=0"",""Table 1: Study characteristics!B4:B171""),A380)&gt;0,
COUNTIF(Studies!$A$2:$A$85,FILTER(IMPORTRA"&amp;"NGE(""https://docs.google.com/spreadsheets/d/1kGrh75X1cNR1D7_FcY9zMnHP8iPO4M5RCRjy6nZY0TY/edit#gid=0"",""Table 1: Study characteristics!A4:A171""), $A380=IMPORTRANGE(""https://docs.google.com/spreadsheets/d/1kGrh75X1cNR1D7_FcY9zMnHP8iPO4M5RCRjy6nZY0TY/edi"&amp;"t#gid=0"",""Table 1: Study characteristics!B4:B171"")))&gt;0
),
""Include""
)"),"Exclude")</f>
        <v>Exclude</v>
      </c>
      <c r="G380" s="5" t="str">
        <f>IFERROR(__xludf.DUMMYFUNCTION("IFS(
D380=""Exclude"",
FILTER(IMPORTRANGE(""https://docs.google.com/spreadsheets/d/1BJSV3WBYJGRhQ6zExamkszQ5VutGIcaQqmbD9ZTVXMQ/edit#gid=1251630045"",""articles_with_PRISMA_reasons!AB2:AB2113""), $A380=IMPORTRANGE(""https://docs.google.com/spreadsheets/d/"&amp;"1BJSV3WBYJGRhQ6zExamkszQ5VutGIcaQqmbD9ZTVXMQ/edit#gid=1251630045"",""articles_with_PRISMA_reasons!B2:B2113"")),
E380=""Exclude"",
FILTER(IMPORTRANGE(""https://docs.google.com/spreadsheets/d/1qpEmbGH0JjaJbUdp21-y2cPbobDbMjr09BbtdKROZWc/edit#gid=1444865654"&amp;""",""articles_with_PRISMA_reasons!Z2:Z2113""), $A380=IMPORTRANGE(""https://docs.google.com/spreadsheets/d/1qpEmbGH0JjaJbUdp21-y2cPbobDbMjr09BbtdKROZWc/edit#gid=1444865654"",""articles_with_PRISMA_reasons!B2:B2113"")),F380
=""Include"",FILTER(IMPORTRANGE("&amp;"""https://docs.google.com/spreadsheets/d/1kGrh75X1cNR1D7_FcY9zMnHP8iPO4M5RCRjy6nZY0TY/edit#gid=0"",""Table 1: Study characteristics!A4:A171""), $A380=IMPORTRANGE(""https://docs.google.com/spreadsheets/d/1kGrh75X1cNR1D7_FcY9zMnHP8iPO4M5RCRjy6nZY0TY/edit#gi"&amp;"d=0"",""Table 1: Study characteristics!B4:B171""))
)"),"wrong study design")</f>
        <v>wrong study design</v>
      </c>
    </row>
    <row r="381">
      <c r="A381" s="4" t="str">
        <f>IFERROR(__xludf.DUMMYFUNCTION("""COMPUTED_VALUE"""),"Central nervous system malformations in trisomy 9")</f>
        <v>Central nervous system malformations in trisomy 9</v>
      </c>
      <c r="B381" s="5" t="str">
        <f>IFERROR(__xludf.DUMMYFUNCTION("LEFT(FILTER(IMPORTRANGE(""https://docs.google.com/spreadsheets/d/1BJSV3WBYJGRhQ6zExamkszQ5VutGIcaQqmbD9ZTVXMQ/edit#gid=1251630045"",""articles_with_PRISMA_reasons!K2:K2113""), $A381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$A381=IMPORTRANGE(""https://docs.google.com/spreadsheets/d/1BJSV3WBYJGRhQ6zExamkszQ5VutGIcaQqmbD9ZTVXMQ/edit#gid=1251630045"",""articles_with_PRISMA_reasons!B2:B2113"")))-1)"),"Golden")</f>
        <v>Golden</v>
      </c>
      <c r="C381" s="6">
        <f>IFERROR(__xludf.DUMMYFUNCTION("FILTER(IMPORTRANGE(""https://docs.google.com/spreadsheets/d/1BJSV3WBYJGRhQ6zExamkszQ5VutGIcaQqmbD9ZTVXMQ/edit#gid=1251630045"",""articles_with_PRISMA_reasons!C2:C2113""), $A381=IMPORTRANGE(""https://docs.google.com/spreadsheets/d/1BJSV3WBYJGRhQ6zExamkszQ5"&amp;"VutGIcaQqmbD9ZTVXMQ/edit#gid=1251630045"",""articles_with_PRISMA_reasons!B2:B2113""))"),1993.0)</f>
        <v>1993</v>
      </c>
      <c r="D381" s="5" t="str">
        <f>IFERROR(__xludf.DUMMYFUNCTION("IFS(AND(
FILTER(IMPORTRANGE(""https://docs.google.com/spreadsheets/d/1BJSV3WBYJGRhQ6zExamkszQ5VutGIcaQqmbD9ZTVXMQ/edit#gid=1251630045"",""articles_with_PRISMA_reasons!Y2:Y2113""), $A381=IMPORTRANGE(""https://docs.google.com/spreadsheets/d/1BJSV3WBYJGRhQ6z"&amp;"ExamkszQ5VutGIcaQqmbD9ZTVXMQ/edit#gid=1251630045"",""articles_with_PRISMA_reasons!B2:B2113""))&gt;=2,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$A381=IMPORTRANGE(""https://docs.google.com/spreadsheets/d/1BJSV3WBYJGRhQ6zExamkszQ5VutGIcaQqmbD9ZTVXMQ/edit#gid=1251630045"",""articles_with_PRISMA_reasons!B2:B2113""))&lt;2),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$A381=IMPORTRANGE(""https://docs.google.com/spreadsheets/d/1BJSV3WBYJGRhQ6zExamkszQ5VutGIcaQqmbD9ZTVXMQ/edit#gid=1251630045"",""arti"&amp;"cles_with_PRISMA_reasons!B2:B2113""))&lt;2,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$A381=IMPORTRANGE(""https://docs.google.com"&amp;"/spreadsheets/d/1BJSV3WBYJGRhQ6zExamkszQ5VutGIcaQqmbD9ZTVXMQ/edit#gid=1251630045"",""articles_with_PRISMA_reasons!B2:B2113""))&gt;=2),
""Exclude""
)"),"Exclude")</f>
        <v>Exclude</v>
      </c>
      <c r="E381" s="5" t="str">
        <f>IFERROR(__xludf.DUMMYFUNCTION("IFS(
D381=""Exclude"",""Exclude"",
AND(
FILTER(IMPORTRANGE(""https://docs.google.com/spreadsheets/d/1qpEmbGH0JjaJbUdp21-y2cPbobDbMjr09BbtdKROZWc/edit#gid=1444865654"",""articles_with_PRISMA_reasons!W2:W2113""), $A381=IMPORTRANGE(""https://docs.google.com/"&amp;"spreadsheets/d/1qpEmbGH0JjaJbUdp21-y2cPbobDbMjr09BbtdKROZWc/edit#gid=1444865654"",""articles_with_PRISMA_reasons!B2:B2113""))&gt;=2,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$A381=IMPORTRANGE(""https://docs.google.com/spreadsheets/d/1qpEmbGH0JjaJbUdp21-y2cPbobDbMjr09BbtdKROZWc/edit#gid=1444865654"",""articles_with_PRISMA_reasons!B2:B2113""))&lt;2),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$A381=IMPORTRANGE(""https://docs.google.com/spreadsheets/d/1qpEmbGH0JjaJbUdp21-y2cPbobDbMjr09BbtdKRO"&amp;"ZWc/edit#gid=1444865654"",""articles_with_PRISMA_reasons!B2:B2113""))&lt;2,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$A381=IMPOR"&amp;"TRANGE(""https://docs.google.com/spreadsheets/d/1qpEmbGH0JjaJbUdp21-y2cPbobDbMjr09BbtdKROZWc/edit#gid=1444865654"",""articles_with_PRISMA_reasons!B2:B2113""))&gt;=2),
""Exclude""
)"),"Exclude")</f>
        <v>Exclude</v>
      </c>
      <c r="F381" s="5" t="str">
        <f>IFERROR(__xludf.DUMMYFUNCTION("IFS(
E381=""Exclude"",""Exclude"",
AND(
COUNTIF(
IMPORTRANGE(""https://docs.google.com/spreadsheets/d/1kGrh75X1cNR1D7_FcY9zMnHP8iPO4M5RCRjy6nZY0TY/edit#gid=0"",""Table 1: Study characteristics!B4:B171""),A381)&gt;0,
COUNTIF(Studies!$A$2:$A$85,FILTER(IMPORTRA"&amp;"NGE(""https://docs.google.com/spreadsheets/d/1kGrh75X1cNR1D7_FcY9zMnHP8iPO4M5RCRjy6nZY0TY/edit#gid=0"",""Table 1: Study characteristics!A4:A171""), $A381=IMPORTRANGE(""https://docs.google.com/spreadsheets/d/1kGrh75X1cNR1D7_FcY9zMnHP8iPO4M5RCRjy6nZY0TY/edi"&amp;"t#gid=0"",""Table 1: Study characteristics!B4:B171"")))&gt;0
),
""Include""
)"),"Exclude")</f>
        <v>Exclude</v>
      </c>
      <c r="G381" s="5" t="str">
        <f>IFERROR(__xludf.DUMMYFUNCTION("IFS(
D381=""Exclude"",
FILTER(IMPORTRANGE(""https://docs.google.com/spreadsheets/d/1BJSV3WBYJGRhQ6zExamkszQ5VutGIcaQqmbD9ZTVXMQ/edit#gid=1251630045"",""articles_with_PRISMA_reasons!AB2:AB2113""), $A381=IMPORTRANGE(""https://docs.google.com/spreadsheets/d/"&amp;"1BJSV3WBYJGRhQ6zExamkszQ5VutGIcaQqmbD9ZTVXMQ/edit#gid=1251630045"",""articles_with_PRISMA_reasons!B2:B2113"")),
E381=""Exclude"",
FILTER(IMPORTRANGE(""https://docs.google.com/spreadsheets/d/1qpEmbGH0JjaJbUdp21-y2cPbobDbMjr09BbtdKROZWc/edit#gid=1444865654"&amp;""",""articles_with_PRISMA_reasons!Z2:Z2113""), $A381=IMPORTRANGE(""https://docs.google.com/spreadsheets/d/1qpEmbGH0JjaJbUdp21-y2cPbobDbMjr09BbtdKROZWc/edit#gid=1444865654"",""articles_with_PRISMA_reasons!B2:B2113"")),F381
=""Include"",FILTER(IMPORTRANGE("&amp;"""https://docs.google.com/spreadsheets/d/1kGrh75X1cNR1D7_FcY9zMnHP8iPO4M5RCRjy6nZY0TY/edit#gid=0"",""Table 1: Study characteristics!A4:A171""), $A381=IMPORTRANGE(""https://docs.google.com/spreadsheets/d/1kGrh75X1cNR1D7_FcY9zMnHP8iPO4M5RCRjy6nZY0TY/edit#gi"&amp;"d=0"",""Table 1: Study characteristics!B4:B171""))
)"),"wrong study design")</f>
        <v>wrong study design</v>
      </c>
    </row>
    <row r="382">
      <c r="A382" s="4" t="str">
        <f>IFERROR(__xludf.DUMMYFUNCTION("""COMPUTED_VALUE"""),"Central nervous system sonography in neonates and infants")</f>
        <v>Central nervous system sonography in neonates and infants</v>
      </c>
      <c r="B382" s="5" t="str">
        <f>IFERROR(__xludf.DUMMYFUNCTION("LEFT(FILTER(IMPORTRANGE(""https://docs.google.com/spreadsheets/d/1BJSV3WBYJGRhQ6zExamkszQ5VutGIcaQqmbD9ZTVXMQ/edit#gid=1251630045"",""articles_with_PRISMA_reasons!K2:K2113""), $A382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$A382=IMPORTRANGE(""https://docs.google.com/spreadsheets/d/1BJSV3WBYJGRhQ6zExamkszQ5VutGIcaQqmbD9ZTVXMQ/edit#gid=1251630045"",""articles_with_PRISMA_reasons!B2:B2113"")))-1)"),"Dittrich")</f>
        <v>Dittrich</v>
      </c>
      <c r="C382" s="6">
        <f>IFERROR(__xludf.DUMMYFUNCTION("FILTER(IMPORTRANGE(""https://docs.google.com/spreadsheets/d/1BJSV3WBYJGRhQ6zExamkszQ5VutGIcaQqmbD9ZTVXMQ/edit#gid=1251630045"",""articles_with_PRISMA_reasons!C2:C2113""), $A382=IMPORTRANGE(""https://docs.google.com/spreadsheets/d/1BJSV3WBYJGRhQ6zExamkszQ5"&amp;"VutGIcaQqmbD9ZTVXMQ/edit#gid=1251630045"",""articles_with_PRISMA_reasons!B2:B2113""))"),1983.0)</f>
        <v>1983</v>
      </c>
      <c r="D382" s="5" t="str">
        <f>IFERROR(__xludf.DUMMYFUNCTION("IFS(AND(
FILTER(IMPORTRANGE(""https://docs.google.com/spreadsheets/d/1BJSV3WBYJGRhQ6zExamkszQ5VutGIcaQqmbD9ZTVXMQ/edit#gid=1251630045"",""articles_with_PRISMA_reasons!Y2:Y2113""), $A382=IMPORTRANGE(""https://docs.google.com/spreadsheets/d/1BJSV3WBYJGRhQ6z"&amp;"ExamkszQ5VutGIcaQqmbD9ZTVXMQ/edit#gid=1251630045"",""articles_with_PRISMA_reasons!B2:B2113""))&gt;=2,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$A382=IMPORTRANGE(""https://docs.google.com/spreadsheets/d/1BJSV3WBYJGRhQ6zExamkszQ5VutGIcaQqmbD9ZTVXMQ/edit#gid=1251630045"",""articles_with_PRISMA_reasons!B2:B2113""))&lt;2),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$A382=IMPORTRANGE(""https://docs.google.com/spreadsheets/d/1BJSV3WBYJGRhQ6zExamkszQ5VutGIcaQqmbD9ZTVXMQ/edit#gid=1251630045"",""arti"&amp;"cles_with_PRISMA_reasons!B2:B2113""))&lt;2,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$A382=IMPORTRANGE(""https://docs.google.com"&amp;"/spreadsheets/d/1BJSV3WBYJGRhQ6zExamkszQ5VutGIcaQqmbD9ZTVXMQ/edit#gid=1251630045"",""articles_with_PRISMA_reasons!B2:B2113""))&gt;=2),
""Exclude""
)"),"Include")</f>
        <v>Include</v>
      </c>
      <c r="E382" s="5" t="str">
        <f>IFERROR(__xludf.DUMMYFUNCTION("IFS(
D382=""Exclude"",""Exclude"",
AND(
FILTER(IMPORTRANGE(""https://docs.google.com/spreadsheets/d/1qpEmbGH0JjaJbUdp21-y2cPbobDbMjr09BbtdKROZWc/edit#gid=1444865654"",""articles_with_PRISMA_reasons!W2:W2113""), $A382=IMPORTRANGE(""https://docs.google.com/"&amp;"spreadsheets/d/1qpEmbGH0JjaJbUdp21-y2cPbobDbMjr09BbtdKROZWc/edit#gid=1444865654"",""articles_with_PRISMA_reasons!B2:B2113""))&gt;=2,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$A382=IMPORTRANGE(""https://docs.google.com/spreadsheets/d/1qpEmbGH0JjaJbUdp21-y2cPbobDbMjr09BbtdKROZWc/edit#gid=1444865654"",""articles_with_PRISMA_reasons!B2:B2113""))&lt;2),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$A382=IMPORTRANGE(""https://docs.google.com/spreadsheets/d/1qpEmbGH0JjaJbUdp21-y2cPbobDbMjr09BbtdKRO"&amp;"ZWc/edit#gid=1444865654"",""articles_with_PRISMA_reasons!B2:B2113""))&lt;2,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$A382=IMPOR"&amp;"TRANGE(""https://docs.google.com/spreadsheets/d/1qpEmbGH0JjaJbUdp21-y2cPbobDbMjr09BbtdKROZWc/edit#gid=1444865654"",""articles_with_PRISMA_reasons!B2:B2113""))&gt;=2),
""Exclude""
)"),"Exclude")</f>
        <v>Exclude</v>
      </c>
      <c r="F382" s="5" t="str">
        <f>IFERROR(__xludf.DUMMYFUNCTION("IFS(
E382=""Exclude"",""Exclude"",
AND(
COUNTIF(
IMPORTRANGE(""https://docs.google.com/spreadsheets/d/1kGrh75X1cNR1D7_FcY9zMnHP8iPO4M5RCRjy6nZY0TY/edit#gid=0"",""Table 1: Study characteristics!B4:B171""),A382)&gt;0,
COUNTIF(Studies!$A$2:$A$85,FILTER(IMPORTRA"&amp;"NGE(""https://docs.google.com/spreadsheets/d/1kGrh75X1cNR1D7_FcY9zMnHP8iPO4M5RCRjy6nZY0TY/edit#gid=0"",""Table 1: Study characteristics!A4:A171""), $A382=IMPORTRANGE(""https://docs.google.com/spreadsheets/d/1kGrh75X1cNR1D7_FcY9zMnHP8iPO4M5RCRjy6nZY0TY/edi"&amp;"t#gid=0"",""Table 1: Study characteristics!B4:B171"")))&gt;0
),
""Include""
)"),"Exclude")</f>
        <v>Exclude</v>
      </c>
      <c r="G382" s="5" t="str">
        <f>IFERROR(__xludf.DUMMYFUNCTION("IFS(
D382=""Exclude"",
FILTER(IMPORTRANGE(""https://docs.google.com/spreadsheets/d/1BJSV3WBYJGRhQ6zExamkszQ5VutGIcaQqmbD9ZTVXMQ/edit#gid=1251630045"",""articles_with_PRISMA_reasons!AB2:AB2113""), $A382=IMPORTRANGE(""https://docs.google.com/spreadsheets/d/"&amp;"1BJSV3WBYJGRhQ6zExamkszQ5VutGIcaQqmbD9ZTVXMQ/edit#gid=1251630045"",""articles_with_PRISMA_reasons!B2:B2113"")),
E382=""Exclude"",
FILTER(IMPORTRANGE(""https://docs.google.com/spreadsheets/d/1qpEmbGH0JjaJbUdp21-y2cPbobDbMjr09BbtdKROZWc/edit#gid=1444865654"&amp;""",""articles_with_PRISMA_reasons!Z2:Z2113""), $A382=IMPORTRANGE(""https://docs.google.com/spreadsheets/d/1qpEmbGH0JjaJbUdp21-y2cPbobDbMjr09BbtdKROZWc/edit#gid=1444865654"",""articles_with_PRISMA_reasons!B2:B2113"")),F382
=""Include"",FILTER(IMPORTRANGE("&amp;"""https://docs.google.com/spreadsheets/d/1kGrh75X1cNR1D7_FcY9zMnHP8iPO4M5RCRjy6nZY0TY/edit#gid=0"",""Table 1: Study characteristics!A4:A171""), $A382=IMPORTRANGE(""https://docs.google.com/spreadsheets/d/1kGrh75X1cNR1D7_FcY9zMnHP8iPO4M5RCRjy6nZY0TY/edit#gi"&amp;"d=0"",""Table 1: Study characteristics!B4:B171""))
)"),"no full text")</f>
        <v>no full text</v>
      </c>
    </row>
    <row r="383">
      <c r="A383" s="4" t="str">
        <f>IFERROR(__xludf.DUMMYFUNCTION("""COMPUTED_VALUE"""),"Central-nervous-system defects in children born to mothers exposed to organic solvents during pregnancy")</f>
        <v>Central-nervous-system defects in children born to mothers exposed to organic solvents during pregnancy</v>
      </c>
      <c r="B383" s="5" t="str">
        <f>IFERROR(__xludf.DUMMYFUNCTION("LEFT(FILTER(IMPORTRANGE(""https://docs.google.com/spreadsheets/d/1BJSV3WBYJGRhQ6zExamkszQ5VutGIcaQqmbD9ZTVXMQ/edit#gid=1251630045"",""articles_with_PRISMA_reasons!K2:K2113""), $A383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$A383=IMPORTRANGE(""https://docs.google.com/spreadsheets/d/1BJSV3WBYJGRhQ6zExamkszQ5VutGIcaQqmbD9ZTVXMQ/edit#gid=1251630045"",""articles_with_PRISMA_reasons!B2:B2113"")))-1)"),"Holmberg")</f>
        <v>Holmberg</v>
      </c>
      <c r="C383" s="6">
        <f>IFERROR(__xludf.DUMMYFUNCTION("FILTER(IMPORTRANGE(""https://docs.google.com/spreadsheets/d/1BJSV3WBYJGRhQ6zExamkszQ5VutGIcaQqmbD9ZTVXMQ/edit#gid=1251630045"",""articles_with_PRISMA_reasons!C2:C2113""), $A383=IMPORTRANGE(""https://docs.google.com/spreadsheets/d/1BJSV3WBYJGRhQ6zExamkszQ5"&amp;"VutGIcaQqmbD9ZTVXMQ/edit#gid=1251630045"",""articles_with_PRISMA_reasons!B2:B2113""))"),1979.0)</f>
        <v>1979</v>
      </c>
      <c r="D383" s="5" t="str">
        <f>IFERROR(__xludf.DUMMYFUNCTION("IFS(AND(
FILTER(IMPORTRANGE(""https://docs.google.com/spreadsheets/d/1BJSV3WBYJGRhQ6zExamkszQ5VutGIcaQqmbD9ZTVXMQ/edit#gid=1251630045"",""articles_with_PRISMA_reasons!Y2:Y2113""), $A383=IMPORTRANGE(""https://docs.google.com/spreadsheets/d/1BJSV3WBYJGRhQ6z"&amp;"ExamkszQ5VutGIcaQqmbD9ZTVXMQ/edit#gid=1251630045"",""articles_with_PRISMA_reasons!B2:B2113""))&gt;=2,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$A383=IMPORTRANGE(""https://docs.google.com/spreadsheets/d/1BJSV3WBYJGRhQ6zExamkszQ5VutGIcaQqmbD9ZTVXMQ/edit#gid=1251630045"",""articles_with_PRISMA_reasons!B2:B2113""))&lt;2),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$A383=IMPORTRANGE(""https://docs.google.com/spreadsheets/d/1BJSV3WBYJGRhQ6zExamkszQ5VutGIcaQqmbD9ZTVXMQ/edit#gid=1251630045"",""arti"&amp;"cles_with_PRISMA_reasons!B2:B2113""))&lt;2,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$A383=IMPORTRANGE(""https://docs.google.com"&amp;"/spreadsheets/d/1BJSV3WBYJGRhQ6zExamkszQ5VutGIcaQqmbD9ZTVXMQ/edit#gid=1251630045"",""articles_with_PRISMA_reasons!B2:B2113""))&gt;=2),
""Exclude""
)"),"Exclude")</f>
        <v>Exclude</v>
      </c>
      <c r="E383" s="5" t="str">
        <f>IFERROR(__xludf.DUMMYFUNCTION("IFS(
D383=""Exclude"",""Exclude"",
AND(
FILTER(IMPORTRANGE(""https://docs.google.com/spreadsheets/d/1qpEmbGH0JjaJbUdp21-y2cPbobDbMjr09BbtdKROZWc/edit#gid=1444865654"",""articles_with_PRISMA_reasons!W2:W2113""), $A383=IMPORTRANGE(""https://docs.google.com/"&amp;"spreadsheets/d/1qpEmbGH0JjaJbUdp21-y2cPbobDbMjr09BbtdKROZWc/edit#gid=1444865654"",""articles_with_PRISMA_reasons!B2:B2113""))&gt;=2,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$A383=IMPORTRANGE(""https://docs.google.com/spreadsheets/d/1qpEmbGH0JjaJbUdp21-y2cPbobDbMjr09BbtdKROZWc/edit#gid=1444865654"",""articles_with_PRISMA_reasons!B2:B2113""))&lt;2),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$A383=IMPORTRANGE(""https://docs.google.com/spreadsheets/d/1qpEmbGH0JjaJbUdp21-y2cPbobDbMjr09BbtdKRO"&amp;"ZWc/edit#gid=1444865654"",""articles_with_PRISMA_reasons!B2:B2113""))&lt;2,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$A383=IMPOR"&amp;"TRANGE(""https://docs.google.com/spreadsheets/d/1qpEmbGH0JjaJbUdp21-y2cPbobDbMjr09BbtdKROZWc/edit#gid=1444865654"",""articles_with_PRISMA_reasons!B2:B2113""))&gt;=2),
""Exclude""
)"),"Exclude")</f>
        <v>Exclude</v>
      </c>
      <c r="F383" s="5" t="str">
        <f>IFERROR(__xludf.DUMMYFUNCTION("IFS(
E383=""Exclude"",""Exclude"",
AND(
COUNTIF(
IMPORTRANGE(""https://docs.google.com/spreadsheets/d/1kGrh75X1cNR1D7_FcY9zMnHP8iPO4M5RCRjy6nZY0TY/edit#gid=0"",""Table 1: Study characteristics!B4:B171""),A383)&gt;0,
COUNTIF(Studies!$A$2:$A$85,FILTER(IMPORTRA"&amp;"NGE(""https://docs.google.com/spreadsheets/d/1kGrh75X1cNR1D7_FcY9zMnHP8iPO4M5RCRjy6nZY0TY/edit#gid=0"",""Table 1: Study characteristics!A4:A171""), $A383=IMPORTRANGE(""https://docs.google.com/spreadsheets/d/1kGrh75X1cNR1D7_FcY9zMnHP8iPO4M5RCRjy6nZY0TY/edi"&amp;"t#gid=0"",""Table 1: Study characteristics!B4:B171"")))&gt;0
),
""Include""
)"),"Exclude")</f>
        <v>Exclude</v>
      </c>
      <c r="G383" s="5" t="str">
        <f>IFERROR(__xludf.DUMMYFUNCTION("IFS(
D383=""Exclude"",
FILTER(IMPORTRANGE(""https://docs.google.com/spreadsheets/d/1BJSV3WBYJGRhQ6zExamkszQ5VutGIcaQqmbD9ZTVXMQ/edit#gid=1251630045"",""articles_with_PRISMA_reasons!AB2:AB2113""), $A383=IMPORTRANGE(""https://docs.google.com/spreadsheets/d/"&amp;"1BJSV3WBYJGRhQ6zExamkszQ5VutGIcaQqmbD9ZTVXMQ/edit#gid=1251630045"",""articles_with_PRISMA_reasons!B2:B2113"")),
E383=""Exclude"",
FILTER(IMPORTRANGE(""https://docs.google.com/spreadsheets/d/1qpEmbGH0JjaJbUdp21-y2cPbobDbMjr09BbtdKROZWc/edit#gid=1444865654"&amp;""",""articles_with_PRISMA_reasons!Z2:Z2113""), $A383=IMPORTRANGE(""https://docs.google.com/spreadsheets/d/1qpEmbGH0JjaJbUdp21-y2cPbobDbMjr09BbtdKROZWc/edit#gid=1444865654"",""articles_with_PRISMA_reasons!B2:B2113"")),F383
=""Include"",FILTER(IMPORTRANGE("&amp;"""https://docs.google.com/spreadsheets/d/1kGrh75X1cNR1D7_FcY9zMnHP8iPO4M5RCRjy6nZY0TY/edit#gid=0"",""Table 1: Study characteristics!A4:A171""), $A383=IMPORTRANGE(""https://docs.google.com/spreadsheets/d/1kGrh75X1cNR1D7_FcY9zMnHP8iPO4M5RCRjy6nZY0TY/edit#gi"&amp;"d=0"",""Table 1: Study characteristics!B4:B171""))
)"),"wrong population")</f>
        <v>wrong population</v>
      </c>
    </row>
    <row r="384">
      <c r="A384" s="4" t="str">
        <f>IFERROR(__xludf.DUMMYFUNCTION("""COMPUTED_VALUE"""),"Cerebellar motor function in spina bifida meningomyelocele")</f>
        <v>Cerebellar motor function in spina bifida meningomyelocele</v>
      </c>
      <c r="B384" s="5" t="str">
        <f>IFERROR(__xludf.DUMMYFUNCTION("LEFT(FILTER(IMPORTRANGE(""https://docs.google.com/spreadsheets/d/1BJSV3WBYJGRhQ6zExamkszQ5VutGIcaQqmbD9ZTVXMQ/edit#gid=1251630045"",""articles_with_PRISMA_reasons!K2:K2113""), $A384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$A384=IMPORTRANGE(""https://docs.google.com/spreadsheets/d/1BJSV3WBYJGRhQ6zExamkszQ5VutGIcaQqmbD9ZTVXMQ/edit#gid=1251630045"",""articles_with_PRISMA_reasons!B2:B2113"")))-1)"),"Dennis")</f>
        <v>Dennis</v>
      </c>
      <c r="C384" s="6">
        <f>IFERROR(__xludf.DUMMYFUNCTION("FILTER(IMPORTRANGE(""https://docs.google.com/spreadsheets/d/1BJSV3WBYJGRhQ6zExamkszQ5VutGIcaQqmbD9ZTVXMQ/edit#gid=1251630045"",""articles_with_PRISMA_reasons!C2:C2113""), $A384=IMPORTRANGE(""https://docs.google.com/spreadsheets/d/1BJSV3WBYJGRhQ6zExamkszQ5"&amp;"VutGIcaQqmbD9ZTVXMQ/edit#gid=1251630045"",""articles_with_PRISMA_reasons!B2:B2113""))"),2010.0)</f>
        <v>2010</v>
      </c>
      <c r="D384" s="5" t="str">
        <f>IFERROR(__xludf.DUMMYFUNCTION("IFS(AND(
FILTER(IMPORTRANGE(""https://docs.google.com/spreadsheets/d/1BJSV3WBYJGRhQ6zExamkszQ5VutGIcaQqmbD9ZTVXMQ/edit#gid=1251630045"",""articles_with_PRISMA_reasons!Y2:Y2113""), $A384=IMPORTRANGE(""https://docs.google.com/spreadsheets/d/1BJSV3WBYJGRhQ6z"&amp;"ExamkszQ5VutGIcaQqmbD9ZTVXMQ/edit#gid=1251630045"",""articles_with_PRISMA_reasons!B2:B2113""))&gt;=2,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$A384=IMPORTRANGE(""https://docs.google.com/spreadsheets/d/1BJSV3WBYJGRhQ6zExamkszQ5VutGIcaQqmbD9ZTVXMQ/edit#gid=1251630045"",""articles_with_PRISMA_reasons!B2:B2113""))&lt;2),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$A384=IMPORTRANGE(""https://docs.google.com/spreadsheets/d/1BJSV3WBYJGRhQ6zExamkszQ5VutGIcaQqmbD9ZTVXMQ/edit#gid=1251630045"",""arti"&amp;"cles_with_PRISMA_reasons!B2:B2113""))&lt;2,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$A384=IMPORTRANGE(""https://docs.google.com"&amp;"/spreadsheets/d/1BJSV3WBYJGRhQ6zExamkszQ5VutGIcaQqmbD9ZTVXMQ/edit#gid=1251630045"",""articles_with_PRISMA_reasons!B2:B2113""))&gt;=2),
""Exclude""
)"),"Exclude")</f>
        <v>Exclude</v>
      </c>
      <c r="E384" s="5" t="str">
        <f>IFERROR(__xludf.DUMMYFUNCTION("IFS(
D384=""Exclude"",""Exclude"",
AND(
FILTER(IMPORTRANGE(""https://docs.google.com/spreadsheets/d/1qpEmbGH0JjaJbUdp21-y2cPbobDbMjr09BbtdKROZWc/edit#gid=1444865654"",""articles_with_PRISMA_reasons!W2:W2113""), $A384=IMPORTRANGE(""https://docs.google.com/"&amp;"spreadsheets/d/1qpEmbGH0JjaJbUdp21-y2cPbobDbMjr09BbtdKROZWc/edit#gid=1444865654"",""articles_with_PRISMA_reasons!B2:B2113""))&gt;=2,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$A384=IMPORTRANGE(""https://docs.google.com/spreadsheets/d/1qpEmbGH0JjaJbUdp21-y2cPbobDbMjr09BbtdKROZWc/edit#gid=1444865654"",""articles_with_PRISMA_reasons!B2:B2113""))&lt;2),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$A384=IMPORTRANGE(""https://docs.google.com/spreadsheets/d/1qpEmbGH0JjaJbUdp21-y2cPbobDbMjr09BbtdKRO"&amp;"ZWc/edit#gid=1444865654"",""articles_with_PRISMA_reasons!B2:B2113""))&lt;2,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$A384=IMPOR"&amp;"TRANGE(""https://docs.google.com/spreadsheets/d/1qpEmbGH0JjaJbUdp21-y2cPbobDbMjr09BbtdKROZWc/edit#gid=1444865654"",""articles_with_PRISMA_reasons!B2:B2113""))&gt;=2),
""Exclude""
)"),"Exclude")</f>
        <v>Exclude</v>
      </c>
      <c r="F384" s="5" t="str">
        <f>IFERROR(__xludf.DUMMYFUNCTION("IFS(
E384=""Exclude"",""Exclude"",
AND(
COUNTIF(
IMPORTRANGE(""https://docs.google.com/spreadsheets/d/1kGrh75X1cNR1D7_FcY9zMnHP8iPO4M5RCRjy6nZY0TY/edit#gid=0"",""Table 1: Study characteristics!B4:B171""),A384)&gt;0,
COUNTIF(Studies!$A$2:$A$85,FILTER(IMPORTRA"&amp;"NGE(""https://docs.google.com/spreadsheets/d/1kGrh75X1cNR1D7_FcY9zMnHP8iPO4M5RCRjy6nZY0TY/edit#gid=0"",""Table 1: Study characteristics!A4:A171""), $A384=IMPORTRANGE(""https://docs.google.com/spreadsheets/d/1kGrh75X1cNR1D7_FcY9zMnHP8iPO4M5RCRjy6nZY0TY/edi"&amp;"t#gid=0"",""Table 1: Study characteristics!B4:B171"")))&gt;0
),
""Include""
)"),"Exclude")</f>
        <v>Exclude</v>
      </c>
      <c r="G384" s="5" t="str">
        <f>IFERROR(__xludf.DUMMYFUNCTION("IFS(
D384=""Exclude"",
FILTER(IMPORTRANGE(""https://docs.google.com/spreadsheets/d/1BJSV3WBYJGRhQ6zExamkszQ5VutGIcaQqmbD9ZTVXMQ/edit#gid=1251630045"",""articles_with_PRISMA_reasons!AB2:AB2113""), $A384=IMPORTRANGE(""https://docs.google.com/spreadsheets/d/"&amp;"1BJSV3WBYJGRhQ6zExamkszQ5VutGIcaQqmbD9ZTVXMQ/edit#gid=1251630045"",""articles_with_PRISMA_reasons!B2:B2113"")),
E384=""Exclude"",
FILTER(IMPORTRANGE(""https://docs.google.com/spreadsheets/d/1qpEmbGH0JjaJbUdp21-y2cPbobDbMjr09BbtdKROZWc/edit#gid=1444865654"&amp;""",""articles_with_PRISMA_reasons!Z2:Z2113""), $A384=IMPORTRANGE(""https://docs.google.com/spreadsheets/d/1qpEmbGH0JjaJbUdp21-y2cPbobDbMjr09BbtdKROZWc/edit#gid=1444865654"",""articles_with_PRISMA_reasons!B2:B2113"")),F384
=""Include"",FILTER(IMPORTRANGE("&amp;"""https://docs.google.com/spreadsheets/d/1kGrh75X1cNR1D7_FcY9zMnHP8iPO4M5RCRjy6nZY0TY/edit#gid=0"",""Table 1: Study characteristics!A4:A171""), $A384=IMPORTRANGE(""https://docs.google.com/spreadsheets/d/1kGrh75X1cNR1D7_FcY9zMnHP8iPO4M5RCRjy6nZY0TY/edit#gi"&amp;"d=0"",""Table 1: Study characteristics!B4:B171""))
)"),"wrong study design")</f>
        <v>wrong study design</v>
      </c>
    </row>
    <row r="385">
      <c r="A385" s="4" t="str">
        <f>IFERROR(__xludf.DUMMYFUNCTION("""COMPUTED_VALUE"""),"Cerebral abnormalities in infants with myelomeningocele")</f>
        <v>Cerebral abnormalities in infants with myelomeningocele</v>
      </c>
      <c r="B385" s="5" t="str">
        <f>IFERROR(__xludf.DUMMYFUNCTION("LEFT(FILTER(IMPORTRANGE(""https://docs.google.com/spreadsheets/d/1BJSV3WBYJGRhQ6zExamkszQ5VutGIcaQqmbD9ZTVXMQ/edit#gid=1251630045"",""articles_with_PRISMA_reasons!K2:K2113""), $A385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$A385=IMPORTRANGE(""https://docs.google.com/spreadsheets/d/1BJSV3WBYJGRhQ6zExamkszQ5VutGIcaQqmbD9ZTVXMQ/edit#gid=1251630045"",""articles_with_PRISMA_reasons!B2:B2113"")))-1)"),"Alexiou")</f>
        <v>Alexiou</v>
      </c>
      <c r="C385" s="6">
        <f>IFERROR(__xludf.DUMMYFUNCTION("FILTER(IMPORTRANGE(""https://docs.google.com/spreadsheets/d/1BJSV3WBYJGRhQ6zExamkszQ5VutGIcaQqmbD9ZTVXMQ/edit#gid=1251630045"",""articles_with_PRISMA_reasons!C2:C2113""), $A385=IMPORTRANGE(""https://docs.google.com/spreadsheets/d/1BJSV3WBYJGRhQ6zExamkszQ5"&amp;"VutGIcaQqmbD9ZTVXMQ/edit#gid=1251630045"",""articles_with_PRISMA_reasons!B2:B2113""))"),2011.0)</f>
        <v>2011</v>
      </c>
      <c r="D385" s="5" t="str">
        <f>IFERROR(__xludf.DUMMYFUNCTION("IFS(AND(
FILTER(IMPORTRANGE(""https://docs.google.com/spreadsheets/d/1BJSV3WBYJGRhQ6zExamkszQ5VutGIcaQqmbD9ZTVXMQ/edit#gid=1251630045"",""articles_with_PRISMA_reasons!Y2:Y2113""), $A385=IMPORTRANGE(""https://docs.google.com/spreadsheets/d/1BJSV3WBYJGRhQ6z"&amp;"ExamkszQ5VutGIcaQqmbD9ZTVXMQ/edit#gid=1251630045"",""articles_with_PRISMA_reasons!B2:B2113""))&gt;=2,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$A385=IMPORTRANGE(""https://docs.google.com/spreadsheets/d/1BJSV3WBYJGRhQ6zExamkszQ5VutGIcaQqmbD9ZTVXMQ/edit#gid=1251630045"",""articles_with_PRISMA_reasons!B2:B2113""))&lt;2),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$A385=IMPORTRANGE(""https://docs.google.com/spreadsheets/d/1BJSV3WBYJGRhQ6zExamkszQ5VutGIcaQqmbD9ZTVXMQ/edit#gid=1251630045"",""arti"&amp;"cles_with_PRISMA_reasons!B2:B2113""))&lt;2,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$A385=IMPORTRANGE(""https://docs.google.com"&amp;"/spreadsheets/d/1BJSV3WBYJGRhQ6zExamkszQ5VutGIcaQqmbD9ZTVXMQ/edit#gid=1251630045"",""articles_with_PRISMA_reasons!B2:B2113""))&gt;=2),
""Exclude""
)"),"Include")</f>
        <v>Include</v>
      </c>
      <c r="E385" s="5" t="str">
        <f>IFERROR(__xludf.DUMMYFUNCTION("IFS(
D385=""Exclude"",""Exclude"",
AND(
FILTER(IMPORTRANGE(""https://docs.google.com/spreadsheets/d/1qpEmbGH0JjaJbUdp21-y2cPbobDbMjr09BbtdKROZWc/edit#gid=1444865654"",""articles_with_PRISMA_reasons!W2:W2113""), $A385=IMPORTRANGE(""https://docs.google.com/"&amp;"spreadsheets/d/1qpEmbGH0JjaJbUdp21-y2cPbobDbMjr09BbtdKROZWc/edit#gid=1444865654"",""articles_with_PRISMA_reasons!B2:B2113""))&gt;=2,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$A385=IMPORTRANGE(""https://docs.google.com/spreadsheets/d/1qpEmbGH0JjaJbUdp21-y2cPbobDbMjr09BbtdKROZWc/edit#gid=1444865654"",""articles_with_PRISMA_reasons!B2:B2113""))&lt;2),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$A385=IMPORTRANGE(""https://docs.google.com/spreadsheets/d/1qpEmbGH0JjaJbUdp21-y2cPbobDbMjr09BbtdKRO"&amp;"ZWc/edit#gid=1444865654"",""articles_with_PRISMA_reasons!B2:B2113""))&lt;2,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$A385=IMPOR"&amp;"TRANGE(""https://docs.google.com/spreadsheets/d/1qpEmbGH0JjaJbUdp21-y2cPbobDbMjr09BbtdKROZWc/edit#gid=1444865654"",""articles_with_PRISMA_reasons!B2:B2113""))&gt;=2),
""Exclude""
)"),"Include")</f>
        <v>Include</v>
      </c>
      <c r="F385" s="5" t="str">
        <f>IFERROR(__xludf.DUMMYFUNCTION("IFS(
E385=""Exclude"",""Exclude"",
AND(
COUNTIF(
IMPORTRANGE(""https://docs.google.com/spreadsheets/d/1kGrh75X1cNR1D7_FcY9zMnHP8iPO4M5RCRjy6nZY0TY/edit#gid=0"",""Table 1: Study characteristics!B4:B171""),A385)&gt;0,
COUNTIF(Studies!$A$2:$A$85,FILTER(IMPORTRA"&amp;"NGE(""https://docs.google.com/spreadsheets/d/1kGrh75X1cNR1D7_FcY9zMnHP8iPO4M5RCRjy6nZY0TY/edit#gid=0"",""Table 1: Study characteristics!A4:A171""), $A385=IMPORTRANGE(""https://docs.google.com/spreadsheets/d/1kGrh75X1cNR1D7_FcY9zMnHP8iPO4M5RCRjy6nZY0TY/edi"&amp;"t#gid=0"",""Table 1: Study characteristics!B4:B171"")))&gt;0
),
""Include""
)"),"Include")</f>
        <v>Include</v>
      </c>
      <c r="G385" s="5" t="str">
        <f>IFERROR(__xludf.DUMMYFUNCTION("IFS(
D385=""Exclude"",
FILTER(IMPORTRANGE(""https://docs.google.com/spreadsheets/d/1BJSV3WBYJGRhQ6zExamkszQ5VutGIcaQqmbD9ZTVXMQ/edit#gid=1251630045"",""articles_with_PRISMA_reasons!AB2:AB2113""), $A385=IMPORTRANGE(""https://docs.google.com/spreadsheets/d/"&amp;"1BJSV3WBYJGRhQ6zExamkszQ5VutGIcaQqmbD9ZTVXMQ/edit#gid=1251630045"",""articles_with_PRISMA_reasons!B2:B2113"")),
E385=""Exclude"",
FILTER(IMPORTRANGE(""https://docs.google.com/spreadsheets/d/1qpEmbGH0JjaJbUdp21-y2cPbobDbMjr09BbtdKROZWc/edit#gid=1444865654"&amp;""",""articles_with_PRISMA_reasons!Z2:Z2113""), $A385=IMPORTRANGE(""https://docs.google.com/spreadsheets/d/1qpEmbGH0JjaJbUdp21-y2cPbobDbMjr09BbtdKROZWc/edit#gid=1444865654"",""articles_with_PRISMA_reasons!B2:B2113"")),F385
=""Include"",FILTER(IMPORTRANGE("&amp;"""https://docs.google.com/spreadsheets/d/1kGrh75X1cNR1D7_FcY9zMnHP8iPO4M5RCRjy6nZY0TY/edit#gid=0"",""Table 1: Study characteristics!A4:A171""), $A385=IMPORTRANGE(""https://docs.google.com/spreadsheets/d/1kGrh75X1cNR1D7_FcY9zMnHP8iPO4M5RCRjy6nZY0TY/edit#gi"&amp;"d=0"",""Table 1: Study characteristics!B4:B171""))
)"),"ID 14")</f>
        <v>ID 14</v>
      </c>
    </row>
    <row r="386">
      <c r="A386" s="4" t="str">
        <f>IFERROR(__xludf.DUMMYFUNCTION("""COMPUTED_VALUE"""),"Cerebral abnormalities in lumbosacral neural tube closure defect: MR imaging evaluation")</f>
        <v>Cerebral abnormalities in lumbosacral neural tube closure defect: MR imaging evaluation</v>
      </c>
      <c r="B386" s="5" t="str">
        <f>IFERROR(__xludf.DUMMYFUNCTION("LEFT(FILTER(IMPORTRANGE(""https://docs.google.com/spreadsheets/d/1BJSV3WBYJGRhQ6zExamkszQ5VutGIcaQqmbD9ZTVXMQ/edit#gid=1251630045"",""articles_with_PRISMA_reasons!K2:K2113""), $A386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$A386=IMPORTRANGE(""https://docs.google.com/spreadsheets/d/1BJSV3WBYJGRhQ6zExamkszQ5VutGIcaQqmbD9ZTVXMQ/edit#gid=1251630045"",""articles_with_PRISMA_reasons!B2:B2113"")))-1)"),"Kawamura")</f>
        <v>Kawamura</v>
      </c>
      <c r="C386" s="6">
        <f>IFERROR(__xludf.DUMMYFUNCTION("FILTER(IMPORTRANGE(""https://docs.google.com/spreadsheets/d/1BJSV3WBYJGRhQ6zExamkszQ5VutGIcaQqmbD9ZTVXMQ/edit#gid=1251630045"",""articles_with_PRISMA_reasons!C2:C2113""), $A386=IMPORTRANGE(""https://docs.google.com/spreadsheets/d/1BJSV3WBYJGRhQ6zExamkszQ5"&amp;"VutGIcaQqmbD9ZTVXMQ/edit#gid=1251630045"",""articles_with_PRISMA_reasons!B2:B2113""))"),2001.0)</f>
        <v>2001</v>
      </c>
      <c r="D386" s="5" t="str">
        <f>IFERROR(__xludf.DUMMYFUNCTION("IFS(AND(
FILTER(IMPORTRANGE(""https://docs.google.com/spreadsheets/d/1BJSV3WBYJGRhQ6zExamkszQ5VutGIcaQqmbD9ZTVXMQ/edit#gid=1251630045"",""articles_with_PRISMA_reasons!Y2:Y2113""), $A386=IMPORTRANGE(""https://docs.google.com/spreadsheets/d/1BJSV3WBYJGRhQ6z"&amp;"ExamkszQ5VutGIcaQqmbD9ZTVXMQ/edit#gid=1251630045"",""articles_with_PRISMA_reasons!B2:B2113""))&gt;=2,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$A386=IMPORTRANGE(""https://docs.google.com/spreadsheets/d/1BJSV3WBYJGRhQ6zExamkszQ5VutGIcaQqmbD9ZTVXMQ/edit#gid=1251630045"",""articles_with_PRISMA_reasons!B2:B2113""))&lt;2),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$A386=IMPORTRANGE(""https://docs.google.com/spreadsheets/d/1BJSV3WBYJGRhQ6zExamkszQ5VutGIcaQqmbD9ZTVXMQ/edit#gid=1251630045"",""arti"&amp;"cles_with_PRISMA_reasons!B2:B2113""))&lt;2,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$A386=IMPORTRANGE(""https://docs.google.com"&amp;"/spreadsheets/d/1BJSV3WBYJGRhQ6zExamkszQ5VutGIcaQqmbD9ZTVXMQ/edit#gid=1251630045"",""articles_with_PRISMA_reasons!B2:B2113""))&gt;=2),
""Exclude""
)"),"Include")</f>
        <v>Include</v>
      </c>
      <c r="E386" s="5" t="str">
        <f>IFERROR(__xludf.DUMMYFUNCTION("IFS(
D386=""Exclude"",""Exclude"",
AND(
FILTER(IMPORTRANGE(""https://docs.google.com/spreadsheets/d/1qpEmbGH0JjaJbUdp21-y2cPbobDbMjr09BbtdKROZWc/edit#gid=1444865654"",""articles_with_PRISMA_reasons!W2:W2113""), $A386=IMPORTRANGE(""https://docs.google.com/"&amp;"spreadsheets/d/1qpEmbGH0JjaJbUdp21-y2cPbobDbMjr09BbtdKROZWc/edit#gid=1444865654"",""articles_with_PRISMA_reasons!B2:B2113""))&gt;=2,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$A386=IMPORTRANGE(""https://docs.google.com/spreadsheets/d/1qpEmbGH0JjaJbUdp21-y2cPbobDbMjr09BbtdKROZWc/edit#gid=1444865654"",""articles_with_PRISMA_reasons!B2:B2113""))&lt;2),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$A386=IMPORTRANGE(""https://docs.google.com/spreadsheets/d/1qpEmbGH0JjaJbUdp21-y2cPbobDbMjr09BbtdKRO"&amp;"ZWc/edit#gid=1444865654"",""articles_with_PRISMA_reasons!B2:B2113""))&lt;2,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$A386=IMPOR"&amp;"TRANGE(""https://docs.google.com/spreadsheets/d/1qpEmbGH0JjaJbUdp21-y2cPbobDbMjr09BbtdKROZWc/edit#gid=1444865654"",""articles_with_PRISMA_reasons!B2:B2113""))&gt;=2),
""Exclude""
)"),"Include")</f>
        <v>Include</v>
      </c>
      <c r="F386" s="5" t="str">
        <f>IFERROR(__xludf.DUMMYFUNCTION("IFS(
E386=""Exclude"",""Exclude"",
AND(
COUNTIF(
IMPORTRANGE(""https://docs.google.com/spreadsheets/d/1kGrh75X1cNR1D7_FcY9zMnHP8iPO4M5RCRjy6nZY0TY/edit#gid=0"",""Table 1: Study characteristics!B4:B171""),A386)&gt;0,
COUNTIF(Studies!$A$2:$A$85,FILTER(IMPORTRA"&amp;"NGE(""https://docs.google.com/spreadsheets/d/1kGrh75X1cNR1D7_FcY9zMnHP8iPO4M5RCRjy6nZY0TY/edit#gid=0"",""Table 1: Study characteristics!A4:A171""), $A386=IMPORTRANGE(""https://docs.google.com/spreadsheets/d/1kGrh75X1cNR1D7_FcY9zMnHP8iPO4M5RCRjy6nZY0TY/edi"&amp;"t#gid=0"",""Table 1: Study characteristics!B4:B171"")))&gt;0
),
""Include""
)"),"Include")</f>
        <v>Include</v>
      </c>
      <c r="G386" s="5" t="str">
        <f>IFERROR(__xludf.DUMMYFUNCTION("IFS(
D386=""Exclude"",
FILTER(IMPORTRANGE(""https://docs.google.com/spreadsheets/d/1BJSV3WBYJGRhQ6zExamkszQ5VutGIcaQqmbD9ZTVXMQ/edit#gid=1251630045"",""articles_with_PRISMA_reasons!AB2:AB2113""), $A386=IMPORTRANGE(""https://docs.google.com/spreadsheets/d/"&amp;"1BJSV3WBYJGRhQ6zExamkszQ5VutGIcaQqmbD9ZTVXMQ/edit#gid=1251630045"",""articles_with_PRISMA_reasons!B2:B2113"")),
E386=""Exclude"",
FILTER(IMPORTRANGE(""https://docs.google.com/spreadsheets/d/1qpEmbGH0JjaJbUdp21-y2cPbobDbMjr09BbtdKROZWc/edit#gid=1444865654"&amp;""",""articles_with_PRISMA_reasons!Z2:Z2113""), $A386=IMPORTRANGE(""https://docs.google.com/spreadsheets/d/1qpEmbGH0JjaJbUdp21-y2cPbobDbMjr09BbtdKROZWc/edit#gid=1444865654"",""articles_with_PRISMA_reasons!B2:B2113"")),F386
=""Include"",FILTER(IMPORTRANGE("&amp;"""https://docs.google.com/spreadsheets/d/1kGrh75X1cNR1D7_FcY9zMnHP8iPO4M5RCRjy6nZY0TY/edit#gid=0"",""Table 1: Study characteristics!A4:A171""), $A386=IMPORTRANGE(""https://docs.google.com/spreadsheets/d/1kGrh75X1cNR1D7_FcY9zMnHP8iPO4M5RCRjy6nZY0TY/edit#gi"&amp;"d=0"",""Table 1: Study characteristics!B4:B171""))
)"),"ID 15")</f>
        <v>ID 15</v>
      </c>
    </row>
    <row r="387">
      <c r="A387" s="4" t="str">
        <f>IFERROR(__xludf.DUMMYFUNCTION("""COMPUTED_VALUE"""),"Cerebral Diffusivity Changes in Fetuses with Chiari II Malformation")</f>
        <v>Cerebral Diffusivity Changes in Fetuses with Chiari II Malformation</v>
      </c>
      <c r="B387" s="5" t="str">
        <f>IFERROR(__xludf.DUMMYFUNCTION("LEFT(FILTER(IMPORTRANGE(""https://docs.google.com/spreadsheets/d/1BJSV3WBYJGRhQ6zExamkszQ5VutGIcaQqmbD9ZTVXMQ/edit#gid=1251630045"",""articles_with_PRISMA_reasons!K2:K2113""), $A387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$A387=IMPORTRANGE(""https://docs.google.com/spreadsheets/d/1BJSV3WBYJGRhQ6zExamkszQ5VutGIcaQqmbD9ZTVXMQ/edit#gid=1251630045"",""articles_with_PRISMA_reasons!B2:B2113"")))-1)"),"Shrot")</f>
        <v>Shrot</v>
      </c>
      <c r="C387" s="6">
        <f>IFERROR(__xludf.DUMMYFUNCTION("FILTER(IMPORTRANGE(""https://docs.google.com/spreadsheets/d/1BJSV3WBYJGRhQ6zExamkszQ5VutGIcaQqmbD9ZTVXMQ/edit#gid=1251630045"",""articles_with_PRISMA_reasons!C2:C2113""), $A387=IMPORTRANGE(""https://docs.google.com/spreadsheets/d/1BJSV3WBYJGRhQ6zExamkszQ5"&amp;"VutGIcaQqmbD9ZTVXMQ/edit#gid=1251630045"",""articles_with_PRISMA_reasons!B2:B2113""))"),2019.0)</f>
        <v>2019</v>
      </c>
      <c r="D387" s="5" t="str">
        <f>IFERROR(__xludf.DUMMYFUNCTION("IFS(AND(
FILTER(IMPORTRANGE(""https://docs.google.com/spreadsheets/d/1BJSV3WBYJGRhQ6zExamkszQ5VutGIcaQqmbD9ZTVXMQ/edit#gid=1251630045"",""articles_with_PRISMA_reasons!Y2:Y2113""), $A387=IMPORTRANGE(""https://docs.google.com/spreadsheets/d/1BJSV3WBYJGRhQ6z"&amp;"ExamkszQ5VutGIcaQqmbD9ZTVXMQ/edit#gid=1251630045"",""articles_with_PRISMA_reasons!B2:B2113""))&gt;=2,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$A387=IMPORTRANGE(""https://docs.google.com/spreadsheets/d/1BJSV3WBYJGRhQ6zExamkszQ5VutGIcaQqmbD9ZTVXMQ/edit#gid=1251630045"",""articles_with_PRISMA_reasons!B2:B2113""))&lt;2),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$A387=IMPORTRANGE(""https://docs.google.com/spreadsheets/d/1BJSV3WBYJGRhQ6zExamkszQ5VutGIcaQqmbD9ZTVXMQ/edit#gid=1251630045"",""arti"&amp;"cles_with_PRISMA_reasons!B2:B2113""))&lt;2,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$A387=IMPORTRANGE(""https://docs.google.com"&amp;"/spreadsheets/d/1BJSV3WBYJGRhQ6zExamkszQ5VutGIcaQqmbD9ZTVXMQ/edit#gid=1251630045"",""articles_with_PRISMA_reasons!B2:B2113""))&gt;=2),
""Exclude""
)"),"Exclude")</f>
        <v>Exclude</v>
      </c>
      <c r="E387" s="5" t="str">
        <f>IFERROR(__xludf.DUMMYFUNCTION("IFS(
D387=""Exclude"",""Exclude"",
AND(
FILTER(IMPORTRANGE(""https://docs.google.com/spreadsheets/d/1qpEmbGH0JjaJbUdp21-y2cPbobDbMjr09BbtdKROZWc/edit#gid=1444865654"",""articles_with_PRISMA_reasons!W2:W2113""), $A387=IMPORTRANGE(""https://docs.google.com/"&amp;"spreadsheets/d/1qpEmbGH0JjaJbUdp21-y2cPbobDbMjr09BbtdKROZWc/edit#gid=1444865654"",""articles_with_PRISMA_reasons!B2:B2113""))&gt;=2,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$A387=IMPORTRANGE(""https://docs.google.com/spreadsheets/d/1qpEmbGH0JjaJbUdp21-y2cPbobDbMjr09BbtdKROZWc/edit#gid=1444865654"",""articles_with_PRISMA_reasons!B2:B2113""))&lt;2),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$A387=IMPORTRANGE(""https://docs.google.com/spreadsheets/d/1qpEmbGH0JjaJbUdp21-y2cPbobDbMjr09BbtdKRO"&amp;"ZWc/edit#gid=1444865654"",""articles_with_PRISMA_reasons!B2:B2113""))&lt;2,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$A387=IMPOR"&amp;"TRANGE(""https://docs.google.com/spreadsheets/d/1qpEmbGH0JjaJbUdp21-y2cPbobDbMjr09BbtdKROZWc/edit#gid=1444865654"",""articles_with_PRISMA_reasons!B2:B2113""))&gt;=2),
""Exclude""
)"),"Exclude")</f>
        <v>Exclude</v>
      </c>
      <c r="F387" s="5" t="str">
        <f>IFERROR(__xludf.DUMMYFUNCTION("IFS(
E387=""Exclude"",""Exclude"",
AND(
COUNTIF(
IMPORTRANGE(""https://docs.google.com/spreadsheets/d/1kGrh75X1cNR1D7_FcY9zMnHP8iPO4M5RCRjy6nZY0TY/edit#gid=0"",""Table 1: Study characteristics!B4:B171""),A387)&gt;0,
COUNTIF(Studies!$A$2:$A$85,FILTER(IMPORTRA"&amp;"NGE(""https://docs.google.com/spreadsheets/d/1kGrh75X1cNR1D7_FcY9zMnHP8iPO4M5RCRjy6nZY0TY/edit#gid=0"",""Table 1: Study characteristics!A4:A171""), $A387=IMPORTRANGE(""https://docs.google.com/spreadsheets/d/1kGrh75X1cNR1D7_FcY9zMnHP8iPO4M5RCRjy6nZY0TY/edi"&amp;"t#gid=0"",""Table 1: Study characteristics!B4:B171"")))&gt;0
),
""Include""
)"),"Exclude")</f>
        <v>Exclude</v>
      </c>
      <c r="G387" s="5" t="str">
        <f>IFERROR(__xludf.DUMMYFUNCTION("IFS(
D387=""Exclude"",
FILTER(IMPORTRANGE(""https://docs.google.com/spreadsheets/d/1BJSV3WBYJGRhQ6zExamkszQ5VutGIcaQqmbD9ZTVXMQ/edit#gid=1251630045"",""articles_with_PRISMA_reasons!AB2:AB2113""), $A387=IMPORTRANGE(""https://docs.google.com/spreadsheets/d/"&amp;"1BJSV3WBYJGRhQ6zExamkszQ5VutGIcaQqmbD9ZTVXMQ/edit#gid=1251630045"",""articles_with_PRISMA_reasons!B2:B2113"")),
E387=""Exclude"",
FILTER(IMPORTRANGE(""https://docs.google.com/spreadsheets/d/1qpEmbGH0JjaJbUdp21-y2cPbobDbMjr09BbtdKROZWc/edit#gid=1444865654"&amp;""",""articles_with_PRISMA_reasons!Z2:Z2113""), $A387=IMPORTRANGE(""https://docs.google.com/spreadsheets/d/1qpEmbGH0JjaJbUdp21-y2cPbobDbMjr09BbtdKROZWc/edit#gid=1444865654"",""articles_with_PRISMA_reasons!B2:B2113"")),F387
=""Include"",FILTER(IMPORTRANGE("&amp;"""https://docs.google.com/spreadsheets/d/1kGrh75X1cNR1D7_FcY9zMnHP8iPO4M5RCRjy6nZY0TY/edit#gid=0"",""Table 1: Study characteristics!A4:A171""), $A387=IMPORTRANGE(""https://docs.google.com/spreadsheets/d/1kGrh75X1cNR1D7_FcY9zMnHP8iPO4M5RCRjy6nZY0TY/edit#gi"&amp;"d=0"",""Table 1: Study characteristics!B4:B171""))
)"),"wrong population")</f>
        <v>wrong population</v>
      </c>
    </row>
    <row r="388">
      <c r="A388" s="4" t="str">
        <f>IFERROR(__xludf.DUMMYFUNCTION("""COMPUTED_VALUE"""),"Cerebral malformations without antenatal diagnosis")</f>
        <v>Cerebral malformations without antenatal diagnosis</v>
      </c>
      <c r="B388" s="5" t="str">
        <f>IFERROR(__xludf.DUMMYFUNCTION("LEFT(FILTER(IMPORTRANGE(""https://docs.google.com/spreadsheets/d/1BJSV3WBYJGRhQ6zExamkszQ5VutGIcaQqmbD9ZTVXMQ/edit#gid=1251630045"",""articles_with_PRISMA_reasons!K2:K2113""), $A388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$A388=IMPORTRANGE(""https://docs.google.com/spreadsheets/d/1BJSV3WBYJGRhQ6zExamkszQ5VutGIcaQqmbD9ZTVXMQ/edit#gid=1251630045"",""articles_with_PRISMA_reasons!B2:B2113"")))-1)"),"Girard")</f>
        <v>Girard</v>
      </c>
      <c r="C388" s="6">
        <f>IFERROR(__xludf.DUMMYFUNCTION("FILTER(IMPORTRANGE(""https://docs.google.com/spreadsheets/d/1BJSV3WBYJGRhQ6zExamkszQ5VutGIcaQqmbD9ZTVXMQ/edit#gid=1251630045"",""articles_with_PRISMA_reasons!C2:C2113""), $A388=IMPORTRANGE(""https://docs.google.com/spreadsheets/d/1BJSV3WBYJGRhQ6zExamkszQ5"&amp;"VutGIcaQqmbD9ZTVXMQ/edit#gid=1251630045"",""articles_with_PRISMA_reasons!B2:B2113""))"),2010.0)</f>
        <v>2010</v>
      </c>
      <c r="D388" s="5" t="str">
        <f>IFERROR(__xludf.DUMMYFUNCTION("IFS(AND(
FILTER(IMPORTRANGE(""https://docs.google.com/spreadsheets/d/1BJSV3WBYJGRhQ6zExamkszQ5VutGIcaQqmbD9ZTVXMQ/edit#gid=1251630045"",""articles_with_PRISMA_reasons!Y2:Y2113""), $A388=IMPORTRANGE(""https://docs.google.com/spreadsheets/d/1BJSV3WBYJGRhQ6z"&amp;"ExamkszQ5VutGIcaQqmbD9ZTVXMQ/edit#gid=1251630045"",""articles_with_PRISMA_reasons!B2:B2113""))&gt;=2,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$A388=IMPORTRANGE(""https://docs.google.com/spreadsheets/d/1BJSV3WBYJGRhQ6zExamkszQ5VutGIcaQqmbD9ZTVXMQ/edit#gid=1251630045"",""articles_with_PRISMA_reasons!B2:B2113""))&lt;2),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$A388=IMPORTRANGE(""https://docs.google.com/spreadsheets/d/1BJSV3WBYJGRhQ6zExamkszQ5VutGIcaQqmbD9ZTVXMQ/edit#gid=1251630045"",""arti"&amp;"cles_with_PRISMA_reasons!B2:B2113""))&lt;2,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$A388=IMPORTRANGE(""https://docs.google.com"&amp;"/spreadsheets/d/1BJSV3WBYJGRhQ6zExamkszQ5VutGIcaQqmbD9ZTVXMQ/edit#gid=1251630045"",""articles_with_PRISMA_reasons!B2:B2113""))&gt;=2),
""Exclude""
)"),"Exclude")</f>
        <v>Exclude</v>
      </c>
      <c r="E388" s="5" t="str">
        <f>IFERROR(__xludf.DUMMYFUNCTION("IFS(
D388=""Exclude"",""Exclude"",
AND(
FILTER(IMPORTRANGE(""https://docs.google.com/spreadsheets/d/1qpEmbGH0JjaJbUdp21-y2cPbobDbMjr09BbtdKROZWc/edit#gid=1444865654"",""articles_with_PRISMA_reasons!W2:W2113""), $A388=IMPORTRANGE(""https://docs.google.com/"&amp;"spreadsheets/d/1qpEmbGH0JjaJbUdp21-y2cPbobDbMjr09BbtdKROZWc/edit#gid=1444865654"",""articles_with_PRISMA_reasons!B2:B2113""))&gt;=2,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$A388=IMPORTRANGE(""https://docs.google.com/spreadsheets/d/1qpEmbGH0JjaJbUdp21-y2cPbobDbMjr09BbtdKROZWc/edit#gid=1444865654"",""articles_with_PRISMA_reasons!B2:B2113""))&lt;2),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$A388=IMPORTRANGE(""https://docs.google.com/spreadsheets/d/1qpEmbGH0JjaJbUdp21-y2cPbobDbMjr09BbtdKRO"&amp;"ZWc/edit#gid=1444865654"",""articles_with_PRISMA_reasons!B2:B2113""))&lt;2,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$A388=IMPOR"&amp;"TRANGE(""https://docs.google.com/spreadsheets/d/1qpEmbGH0JjaJbUdp21-y2cPbobDbMjr09BbtdKROZWc/edit#gid=1444865654"",""articles_with_PRISMA_reasons!B2:B2113""))&gt;=2),
""Exclude""
)"),"Exclude")</f>
        <v>Exclude</v>
      </c>
      <c r="F388" s="5" t="str">
        <f>IFERROR(__xludf.DUMMYFUNCTION("IFS(
E388=""Exclude"",""Exclude"",
AND(
COUNTIF(
IMPORTRANGE(""https://docs.google.com/spreadsheets/d/1kGrh75X1cNR1D7_FcY9zMnHP8iPO4M5RCRjy6nZY0TY/edit#gid=0"",""Table 1: Study characteristics!B4:B171""),A388)&gt;0,
COUNTIF(Studies!$A$2:$A$85,FILTER(IMPORTRA"&amp;"NGE(""https://docs.google.com/spreadsheets/d/1kGrh75X1cNR1D7_FcY9zMnHP8iPO4M5RCRjy6nZY0TY/edit#gid=0"",""Table 1: Study characteristics!A4:A171""), $A388=IMPORTRANGE(""https://docs.google.com/spreadsheets/d/1kGrh75X1cNR1D7_FcY9zMnHP8iPO4M5RCRjy6nZY0TY/edi"&amp;"t#gid=0"",""Table 1: Study characteristics!B4:B171"")))&gt;0
),
""Include""
)"),"Exclude")</f>
        <v>Exclude</v>
      </c>
      <c r="G388" s="5" t="str">
        <f>IFERROR(__xludf.DUMMYFUNCTION("IFS(
D388=""Exclude"",
FILTER(IMPORTRANGE(""https://docs.google.com/spreadsheets/d/1BJSV3WBYJGRhQ6zExamkszQ5VutGIcaQqmbD9ZTVXMQ/edit#gid=1251630045"",""articles_with_PRISMA_reasons!AB2:AB2113""), $A388=IMPORTRANGE(""https://docs.google.com/spreadsheets/d/"&amp;"1BJSV3WBYJGRhQ6zExamkszQ5VutGIcaQqmbD9ZTVXMQ/edit#gid=1251630045"",""articles_with_PRISMA_reasons!B2:B2113"")),
E388=""Exclude"",
FILTER(IMPORTRANGE(""https://docs.google.com/spreadsheets/d/1qpEmbGH0JjaJbUdp21-y2cPbobDbMjr09BbtdKROZWc/edit#gid=1444865654"&amp;""",""articles_with_PRISMA_reasons!Z2:Z2113""), $A388=IMPORTRANGE(""https://docs.google.com/spreadsheets/d/1qpEmbGH0JjaJbUdp21-y2cPbobDbMjr09BbtdKROZWc/edit#gid=1444865654"",""articles_with_PRISMA_reasons!B2:B2113"")),F388
=""Include"",FILTER(IMPORTRANGE("&amp;"""https://docs.google.com/spreadsheets/d/1kGrh75X1cNR1D7_FcY9zMnHP8iPO4M5RCRjy6nZY0TY/edit#gid=0"",""Table 1: Study characteristics!A4:A171""), $A388=IMPORTRANGE(""https://docs.google.com/spreadsheets/d/1kGrh75X1cNR1D7_FcY9zMnHP8iPO4M5RCRjy6nZY0TY/edit#gi"&amp;"d=0"",""Table 1: Study characteristics!B4:B171""))
)"),"wrong study design")</f>
        <v>wrong study design</v>
      </c>
    </row>
    <row r="389">
      <c r="A389" s="4" t="str">
        <f>IFERROR(__xludf.DUMMYFUNCTION("""COMPUTED_VALUE"""),"Cerebral white matter and cognition in hydrocephalic children")</f>
        <v>Cerebral white matter and cognition in hydrocephalic children</v>
      </c>
      <c r="B389" s="5" t="str">
        <f>IFERROR(__xludf.DUMMYFUNCTION("LEFT(FILTER(IMPORTRANGE(""https://docs.google.com/spreadsheets/d/1BJSV3WBYJGRhQ6zExamkszQ5VutGIcaQqmbD9ZTVXMQ/edit#gid=1251630045"",""articles_with_PRISMA_reasons!K2:K2113""), $A389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$A389=IMPORTRANGE(""https://docs.google.com/spreadsheets/d/1BJSV3WBYJGRhQ6zExamkszQ5VutGIcaQqmbD9ZTVXMQ/edit#gid=1251630045"",""articles_with_PRISMA_reasons!B2:B2113"")))-1)"),"Fletcher")</f>
        <v>Fletcher</v>
      </c>
      <c r="C389" s="6">
        <f>IFERROR(__xludf.DUMMYFUNCTION("FILTER(IMPORTRANGE(""https://docs.google.com/spreadsheets/d/1BJSV3WBYJGRhQ6zExamkszQ5VutGIcaQqmbD9ZTVXMQ/edit#gid=1251630045"",""articles_with_PRISMA_reasons!C2:C2113""), $A389=IMPORTRANGE(""https://docs.google.com/spreadsheets/d/1BJSV3WBYJGRhQ6zExamkszQ5"&amp;"VutGIcaQqmbD9ZTVXMQ/edit#gid=1251630045"",""articles_with_PRISMA_reasons!B2:B2113""))"),1992.0)</f>
        <v>1992</v>
      </c>
      <c r="D389" s="5" t="str">
        <f>IFERROR(__xludf.DUMMYFUNCTION("IFS(AND(
FILTER(IMPORTRANGE(""https://docs.google.com/spreadsheets/d/1BJSV3WBYJGRhQ6zExamkszQ5VutGIcaQqmbD9ZTVXMQ/edit#gid=1251630045"",""articles_with_PRISMA_reasons!Y2:Y2113""), $A389=IMPORTRANGE(""https://docs.google.com/spreadsheets/d/1BJSV3WBYJGRhQ6z"&amp;"ExamkszQ5VutGIcaQqmbD9ZTVXMQ/edit#gid=1251630045"",""articles_with_PRISMA_reasons!B2:B2113""))&gt;=2,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$A389=IMPORTRANGE(""https://docs.google.com/spreadsheets/d/1BJSV3WBYJGRhQ6zExamkszQ5VutGIcaQqmbD9ZTVXMQ/edit#gid=1251630045"",""articles_with_PRISMA_reasons!B2:B2113""))&lt;2),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$A389=IMPORTRANGE(""https://docs.google.com/spreadsheets/d/1BJSV3WBYJGRhQ6zExamkszQ5VutGIcaQqmbD9ZTVXMQ/edit#gid=1251630045"",""arti"&amp;"cles_with_PRISMA_reasons!B2:B2113""))&lt;2,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$A389=IMPORTRANGE(""https://docs.google.com"&amp;"/spreadsheets/d/1BJSV3WBYJGRhQ6zExamkszQ5VutGIcaQqmbD9ZTVXMQ/edit#gid=1251630045"",""articles_with_PRISMA_reasons!B2:B2113""))&gt;=2),
""Exclude""
)"),"Exclude")</f>
        <v>Exclude</v>
      </c>
      <c r="E389" s="5" t="str">
        <f>IFERROR(__xludf.DUMMYFUNCTION("IFS(
D389=""Exclude"",""Exclude"",
AND(
FILTER(IMPORTRANGE(""https://docs.google.com/spreadsheets/d/1qpEmbGH0JjaJbUdp21-y2cPbobDbMjr09BbtdKROZWc/edit#gid=1444865654"",""articles_with_PRISMA_reasons!W2:W2113""), $A389=IMPORTRANGE(""https://docs.google.com/"&amp;"spreadsheets/d/1qpEmbGH0JjaJbUdp21-y2cPbobDbMjr09BbtdKROZWc/edit#gid=1444865654"",""articles_with_PRISMA_reasons!B2:B2113""))&gt;=2,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$A389=IMPORTRANGE(""https://docs.google.com/spreadsheets/d/1qpEmbGH0JjaJbUdp21-y2cPbobDbMjr09BbtdKROZWc/edit#gid=1444865654"",""articles_with_PRISMA_reasons!B2:B2113""))&lt;2),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$A389=IMPORTRANGE(""https://docs.google.com/spreadsheets/d/1qpEmbGH0JjaJbUdp21-y2cPbobDbMjr09BbtdKRO"&amp;"ZWc/edit#gid=1444865654"",""articles_with_PRISMA_reasons!B2:B2113""))&lt;2,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$A389=IMPOR"&amp;"TRANGE(""https://docs.google.com/spreadsheets/d/1qpEmbGH0JjaJbUdp21-y2cPbobDbMjr09BbtdKROZWc/edit#gid=1444865654"",""articles_with_PRISMA_reasons!B2:B2113""))&gt;=2),
""Exclude""
)"),"Exclude")</f>
        <v>Exclude</v>
      </c>
      <c r="F389" s="5" t="str">
        <f>IFERROR(__xludf.DUMMYFUNCTION("IFS(
E389=""Exclude"",""Exclude"",
AND(
COUNTIF(
IMPORTRANGE(""https://docs.google.com/spreadsheets/d/1kGrh75X1cNR1D7_FcY9zMnHP8iPO4M5RCRjy6nZY0TY/edit#gid=0"",""Table 1: Study characteristics!B4:B171""),A389)&gt;0,
COUNTIF(Studies!$A$2:$A$85,FILTER(IMPORTRA"&amp;"NGE(""https://docs.google.com/spreadsheets/d/1kGrh75X1cNR1D7_FcY9zMnHP8iPO4M5RCRjy6nZY0TY/edit#gid=0"",""Table 1: Study characteristics!A4:A171""), $A389=IMPORTRANGE(""https://docs.google.com/spreadsheets/d/1kGrh75X1cNR1D7_FcY9zMnHP8iPO4M5RCRjy6nZY0TY/edi"&amp;"t#gid=0"",""Table 1: Study characteristics!B4:B171"")))&gt;0
),
""Include""
)"),"Exclude")</f>
        <v>Exclude</v>
      </c>
      <c r="G389" s="5" t="str">
        <f>IFERROR(__xludf.DUMMYFUNCTION("IFS(
D389=""Exclude"",
FILTER(IMPORTRANGE(""https://docs.google.com/spreadsheets/d/1BJSV3WBYJGRhQ6zExamkszQ5VutGIcaQqmbD9ZTVXMQ/edit#gid=1251630045"",""articles_with_PRISMA_reasons!AB2:AB2113""), $A389=IMPORTRANGE(""https://docs.google.com/spreadsheets/d/"&amp;"1BJSV3WBYJGRhQ6zExamkszQ5VutGIcaQqmbD9ZTVXMQ/edit#gid=1251630045"",""articles_with_PRISMA_reasons!B2:B2113"")),
E389=""Exclude"",
FILTER(IMPORTRANGE(""https://docs.google.com/spreadsheets/d/1qpEmbGH0JjaJbUdp21-y2cPbobDbMjr09BbtdKROZWc/edit#gid=1444865654"&amp;""",""articles_with_PRISMA_reasons!Z2:Z2113""), $A389=IMPORTRANGE(""https://docs.google.com/spreadsheets/d/1qpEmbGH0JjaJbUdp21-y2cPbobDbMjr09BbtdKROZWc/edit#gid=1444865654"",""articles_with_PRISMA_reasons!B2:B2113"")),F389
=""Include"",FILTER(IMPORTRANGE("&amp;"""https://docs.google.com/spreadsheets/d/1kGrh75X1cNR1D7_FcY9zMnHP8iPO4M5RCRjy6nZY0TY/edit#gid=0"",""Table 1: Study characteristics!A4:A171""), $A389=IMPORTRANGE(""https://docs.google.com/spreadsheets/d/1kGrh75X1cNR1D7_FcY9zMnHP8iPO4M5RCRjy6nZY0TY/edit#gi"&amp;"d=0"",""Table 1: Study characteristics!B4:B171""))
)"),"wrong population")</f>
        <v>wrong population</v>
      </c>
    </row>
    <row r="390">
      <c r="A390" s="4" t="str">
        <f>IFERROR(__xludf.DUMMYFUNCTION("""COMPUTED_VALUE"""),"Cerebrospinal fluid absorption studies in patients with myelomeningocele and hydrocephalus. Preliminary report")</f>
        <v>Cerebrospinal fluid absorption studies in patients with myelomeningocele and hydrocephalus. Preliminary report</v>
      </c>
      <c r="B390" s="5" t="str">
        <f>IFERROR(__xludf.DUMMYFUNCTION("LEFT(FILTER(IMPORTRANGE(""https://docs.google.com/spreadsheets/d/1BJSV3WBYJGRhQ6zExamkszQ5VutGIcaQqmbD9ZTVXMQ/edit#gid=1251630045"",""articles_with_PRISMA_reasons!K2:K2113""), $A390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$A390=IMPORTRANGE(""https://docs.google.com/spreadsheets/d/1BJSV3WBYJGRhQ6zExamkszQ5VutGIcaQqmbD9ZTVXMQ/edit#gid=1251630045"",""articles_with_PRISMA_reasons!B2:B2113"")))-1)"),"Portnoy")</f>
        <v>Portnoy</v>
      </c>
      <c r="C390" s="6">
        <f>IFERROR(__xludf.DUMMYFUNCTION("FILTER(IMPORTRANGE(""https://docs.google.com/spreadsheets/d/1BJSV3WBYJGRhQ6zExamkszQ5VutGIcaQqmbD9ZTVXMQ/edit#gid=1251630045"",""articles_with_PRISMA_reasons!C2:C2113""), $A390=IMPORTRANGE(""https://docs.google.com/spreadsheets/d/1BJSV3WBYJGRhQ6zExamkszQ5"&amp;"VutGIcaQqmbD9ZTVXMQ/edit#gid=1251630045"",""articles_with_PRISMA_reasons!B2:B2113""))"),1976.0)</f>
        <v>1976</v>
      </c>
      <c r="D390" s="5" t="str">
        <f>IFERROR(__xludf.DUMMYFUNCTION("IFS(AND(
FILTER(IMPORTRANGE(""https://docs.google.com/spreadsheets/d/1BJSV3WBYJGRhQ6zExamkszQ5VutGIcaQqmbD9ZTVXMQ/edit#gid=1251630045"",""articles_with_PRISMA_reasons!Y2:Y2113""), $A390=IMPORTRANGE(""https://docs.google.com/spreadsheets/d/1BJSV3WBYJGRhQ6z"&amp;"ExamkszQ5VutGIcaQqmbD9ZTVXMQ/edit#gid=1251630045"",""articles_with_PRISMA_reasons!B2:B2113""))&gt;=2,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$A390=IMPORTRANGE(""https://docs.google.com/spreadsheets/d/1BJSV3WBYJGRhQ6zExamkszQ5VutGIcaQqmbD9ZTVXMQ/edit#gid=1251630045"",""articles_with_PRISMA_reasons!B2:B2113""))&lt;2),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$A390=IMPORTRANGE(""https://docs.google.com/spreadsheets/d/1BJSV3WBYJGRhQ6zExamkszQ5VutGIcaQqmbD9ZTVXMQ/edit#gid=1251630045"",""arti"&amp;"cles_with_PRISMA_reasons!B2:B2113""))&lt;2,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$A390=IMPORTRANGE(""https://docs.google.com"&amp;"/spreadsheets/d/1BJSV3WBYJGRhQ6zExamkszQ5VutGIcaQqmbD9ZTVXMQ/edit#gid=1251630045"",""articles_with_PRISMA_reasons!B2:B2113""))&gt;=2),
""Exclude""
)"),"Exclude")</f>
        <v>Exclude</v>
      </c>
      <c r="E390" s="5" t="str">
        <f>IFERROR(__xludf.DUMMYFUNCTION("IFS(
D390=""Exclude"",""Exclude"",
AND(
FILTER(IMPORTRANGE(""https://docs.google.com/spreadsheets/d/1qpEmbGH0JjaJbUdp21-y2cPbobDbMjr09BbtdKROZWc/edit#gid=1444865654"",""articles_with_PRISMA_reasons!W2:W2113""), $A390=IMPORTRANGE(""https://docs.google.com/"&amp;"spreadsheets/d/1qpEmbGH0JjaJbUdp21-y2cPbobDbMjr09BbtdKROZWc/edit#gid=1444865654"",""articles_with_PRISMA_reasons!B2:B2113""))&gt;=2,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$A390=IMPORTRANGE(""https://docs.google.com/spreadsheets/d/1qpEmbGH0JjaJbUdp21-y2cPbobDbMjr09BbtdKROZWc/edit#gid=1444865654"",""articles_with_PRISMA_reasons!B2:B2113""))&lt;2),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$A390=IMPORTRANGE(""https://docs.google.com/spreadsheets/d/1qpEmbGH0JjaJbUdp21-y2cPbobDbMjr09BbtdKRO"&amp;"ZWc/edit#gid=1444865654"",""articles_with_PRISMA_reasons!B2:B2113""))&lt;2,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$A390=IMPOR"&amp;"TRANGE(""https://docs.google.com/spreadsheets/d/1qpEmbGH0JjaJbUdp21-y2cPbobDbMjr09BbtdKROZWc/edit#gid=1444865654"",""articles_with_PRISMA_reasons!B2:B2113""))&gt;=2),
""Exclude""
)"),"Exclude")</f>
        <v>Exclude</v>
      </c>
      <c r="F390" s="5" t="str">
        <f>IFERROR(__xludf.DUMMYFUNCTION("IFS(
E390=""Exclude"",""Exclude"",
AND(
COUNTIF(
IMPORTRANGE(""https://docs.google.com/spreadsheets/d/1kGrh75X1cNR1D7_FcY9zMnHP8iPO4M5RCRjy6nZY0TY/edit#gid=0"",""Table 1: Study characteristics!B4:B171""),A390)&gt;0,
COUNTIF(Studies!$A$2:$A$85,FILTER(IMPORTRA"&amp;"NGE(""https://docs.google.com/spreadsheets/d/1kGrh75X1cNR1D7_FcY9zMnHP8iPO4M5RCRjy6nZY0TY/edit#gid=0"",""Table 1: Study characteristics!A4:A171""), $A390=IMPORTRANGE(""https://docs.google.com/spreadsheets/d/1kGrh75X1cNR1D7_FcY9zMnHP8iPO4M5RCRjy6nZY0TY/edi"&amp;"t#gid=0"",""Table 1: Study characteristics!B4:B171"")))&gt;0
),
""Include""
)"),"Exclude")</f>
        <v>Exclude</v>
      </c>
      <c r="G390" s="5" t="str">
        <f>IFERROR(__xludf.DUMMYFUNCTION("IFS(
D390=""Exclude"",
FILTER(IMPORTRANGE(""https://docs.google.com/spreadsheets/d/1BJSV3WBYJGRhQ6zExamkszQ5VutGIcaQqmbD9ZTVXMQ/edit#gid=1251630045"",""articles_with_PRISMA_reasons!AB2:AB2113""), $A390=IMPORTRANGE(""https://docs.google.com/spreadsheets/d/"&amp;"1BJSV3WBYJGRhQ6zExamkszQ5VutGIcaQqmbD9ZTVXMQ/edit#gid=1251630045"",""articles_with_PRISMA_reasons!B2:B2113"")),
E390=""Exclude"",
FILTER(IMPORTRANGE(""https://docs.google.com/spreadsheets/d/1qpEmbGH0JjaJbUdp21-y2cPbobDbMjr09BbtdKROZWc/edit#gid=1444865654"&amp;""",""articles_with_PRISMA_reasons!Z2:Z2113""), $A390=IMPORTRANGE(""https://docs.google.com/spreadsheets/d/1qpEmbGH0JjaJbUdp21-y2cPbobDbMjr09BbtdKROZWc/edit#gid=1444865654"",""articles_with_PRISMA_reasons!B2:B2113"")),F390
=""Include"",FILTER(IMPORTRANGE("&amp;"""https://docs.google.com/spreadsheets/d/1kGrh75X1cNR1D7_FcY9zMnHP8iPO4M5RCRjy6nZY0TY/edit#gid=0"",""Table 1: Study characteristics!A4:A171""), $A390=IMPORTRANGE(""https://docs.google.com/spreadsheets/d/1kGrh75X1cNR1D7_FcY9zMnHP8iPO4M5RCRjy6nZY0TY/edit#gi"&amp;"d=0"",""Table 1: Study characteristics!B4:B171""))
)"),"wrong study design")</f>
        <v>wrong study design</v>
      </c>
    </row>
    <row r="391">
      <c r="A391" s="4" t="str">
        <f>IFERROR(__xludf.DUMMYFUNCTION("""COMPUTED_VALUE"""),"Cerebrospinal fluid alterations following endoscopic third ventriculostomy with choroid plexus cauterization: a retrospective laboratory analysis of two tertiary care centers")</f>
        <v>Cerebrospinal fluid alterations following endoscopic third ventriculostomy with choroid plexus cauterization: a retrospective laboratory analysis of two tertiary care centers</v>
      </c>
      <c r="B391" s="5" t="str">
        <f>IFERROR(__xludf.DUMMYFUNCTION("LEFT(FILTER(IMPORTRANGE(""https://docs.google.com/spreadsheets/d/1BJSV3WBYJGRhQ6zExamkszQ5VutGIcaQqmbD9ZTVXMQ/edit#gid=1251630045"",""articles_with_PRISMA_reasons!K2:K2113""), $A391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$A391=IMPORTRANGE(""https://docs.google.com/spreadsheets/d/1BJSV3WBYJGRhQ6zExamkszQ5VutGIcaQqmbD9ZTVXMQ/edit#gid=1251630045"",""articles_with_PRISMA_reasons!B2:B2113"")))-1)"),"Dewan")</f>
        <v>Dewan</v>
      </c>
      <c r="C391" s="6">
        <f>IFERROR(__xludf.DUMMYFUNCTION("FILTER(IMPORTRANGE(""https://docs.google.com/spreadsheets/d/1BJSV3WBYJGRhQ6zExamkszQ5VutGIcaQqmbD9ZTVXMQ/edit#gid=1251630045"",""articles_with_PRISMA_reasons!C2:C2113""), $A391=IMPORTRANGE(""https://docs.google.com/spreadsheets/d/1BJSV3WBYJGRhQ6zExamkszQ5"&amp;"VutGIcaQqmbD9ZTVXMQ/edit#gid=1251630045"",""articles_with_PRISMA_reasons!B2:B2113""))"),2020.0)</f>
        <v>2020</v>
      </c>
      <c r="D391" s="5" t="str">
        <f>IFERROR(__xludf.DUMMYFUNCTION("IFS(AND(
FILTER(IMPORTRANGE(""https://docs.google.com/spreadsheets/d/1BJSV3WBYJGRhQ6zExamkszQ5VutGIcaQqmbD9ZTVXMQ/edit#gid=1251630045"",""articles_with_PRISMA_reasons!Y2:Y2113""), $A391=IMPORTRANGE(""https://docs.google.com/spreadsheets/d/1BJSV3WBYJGRhQ6z"&amp;"ExamkszQ5VutGIcaQqmbD9ZTVXMQ/edit#gid=1251630045"",""articles_with_PRISMA_reasons!B2:B2113""))&gt;=2,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$A391=IMPORTRANGE(""https://docs.google.com/spreadsheets/d/1BJSV3WBYJGRhQ6zExamkszQ5VutGIcaQqmbD9ZTVXMQ/edit#gid=1251630045"",""articles_with_PRISMA_reasons!B2:B2113""))&lt;2),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$A391=IMPORTRANGE(""https://docs.google.com/spreadsheets/d/1BJSV3WBYJGRhQ6zExamkszQ5VutGIcaQqmbD9ZTVXMQ/edit#gid=1251630045"",""arti"&amp;"cles_with_PRISMA_reasons!B2:B2113""))&lt;2,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$A391=IMPORTRANGE(""https://docs.google.com"&amp;"/spreadsheets/d/1BJSV3WBYJGRhQ6zExamkszQ5VutGIcaQqmbD9ZTVXMQ/edit#gid=1251630045"",""articles_with_PRISMA_reasons!B2:B2113""))&gt;=2),
""Exclude""
)"),"Include")</f>
        <v>Include</v>
      </c>
      <c r="E391" s="5" t="str">
        <f>IFERROR(__xludf.DUMMYFUNCTION("IFS(
D391=""Exclude"",""Exclude"",
AND(
FILTER(IMPORTRANGE(""https://docs.google.com/spreadsheets/d/1qpEmbGH0JjaJbUdp21-y2cPbobDbMjr09BbtdKROZWc/edit#gid=1444865654"",""articles_with_PRISMA_reasons!W2:W2113""), $A391=IMPORTRANGE(""https://docs.google.com/"&amp;"spreadsheets/d/1qpEmbGH0JjaJbUdp21-y2cPbobDbMjr09BbtdKROZWc/edit#gid=1444865654"",""articles_with_PRISMA_reasons!B2:B2113""))&gt;=2,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$A391=IMPORTRANGE(""https://docs.google.com/spreadsheets/d/1qpEmbGH0JjaJbUdp21-y2cPbobDbMjr09BbtdKROZWc/edit#gid=1444865654"",""articles_with_PRISMA_reasons!B2:B2113""))&lt;2),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$A391=IMPORTRANGE(""https://docs.google.com/spreadsheets/d/1qpEmbGH0JjaJbUdp21-y2cPbobDbMjr09BbtdKRO"&amp;"ZWc/edit#gid=1444865654"",""articles_with_PRISMA_reasons!B2:B2113""))&lt;2,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$A391=IMPOR"&amp;"TRANGE(""https://docs.google.com/spreadsheets/d/1qpEmbGH0JjaJbUdp21-y2cPbobDbMjr09BbtdKROZWc/edit#gid=1444865654"",""articles_with_PRISMA_reasons!B2:B2113""))&gt;=2),
""Exclude""
)"),"Include")</f>
        <v>Include</v>
      </c>
      <c r="F391" s="2" t="s">
        <v>8</v>
      </c>
      <c r="G391" s="2" t="s">
        <v>16</v>
      </c>
    </row>
    <row r="392">
      <c r="A392" s="4" t="str">
        <f>IFERROR(__xludf.DUMMYFUNCTION("""COMPUTED_VALUE"""),"Cerebrospinal fluid and lumbar puncture: A practical review")</f>
        <v>Cerebrospinal fluid and lumbar puncture: A practical review</v>
      </c>
      <c r="B392" s="5" t="str">
        <f>IFERROR(__xludf.DUMMYFUNCTION("LEFT(FILTER(IMPORTRANGE(""https://docs.google.com/spreadsheets/d/1BJSV3WBYJGRhQ6zExamkszQ5VutGIcaQqmbD9ZTVXMQ/edit#gid=1251630045"",""articles_with_PRISMA_reasons!K2:K2113""), $A392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$A392=IMPORTRANGE(""https://docs.google.com/spreadsheets/d/1BJSV3WBYJGRhQ6zExamkszQ5VutGIcaQqmbD9ZTVXMQ/edit#gid=1251630045"",""articles_with_PRISMA_reasons!B2:B2113"")))-1)"),"Wright")</f>
        <v>Wright</v>
      </c>
      <c r="C392" s="6">
        <f>IFERROR(__xludf.DUMMYFUNCTION("FILTER(IMPORTRANGE(""https://docs.google.com/spreadsheets/d/1BJSV3WBYJGRhQ6zExamkszQ5VutGIcaQqmbD9ZTVXMQ/edit#gid=1251630045"",""articles_with_PRISMA_reasons!C2:C2113""), $A392=IMPORTRANGE(""https://docs.google.com/spreadsheets/d/1BJSV3WBYJGRhQ6zExamkszQ5"&amp;"VutGIcaQqmbD9ZTVXMQ/edit#gid=1251630045"",""articles_with_PRISMA_reasons!B2:B2113""))"),2012.0)</f>
        <v>2012</v>
      </c>
      <c r="D392" s="5" t="str">
        <f>IFERROR(__xludf.DUMMYFUNCTION("IFS(AND(
FILTER(IMPORTRANGE(""https://docs.google.com/spreadsheets/d/1BJSV3WBYJGRhQ6zExamkszQ5VutGIcaQqmbD9ZTVXMQ/edit#gid=1251630045"",""articles_with_PRISMA_reasons!Y2:Y2113""), $A392=IMPORTRANGE(""https://docs.google.com/spreadsheets/d/1BJSV3WBYJGRhQ6z"&amp;"ExamkszQ5VutGIcaQqmbD9ZTVXMQ/edit#gid=1251630045"",""articles_with_PRISMA_reasons!B2:B2113""))&gt;=2,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$A392=IMPORTRANGE(""https://docs.google.com/spreadsheets/d/1BJSV3WBYJGRhQ6zExamkszQ5VutGIcaQqmbD9ZTVXMQ/edit#gid=1251630045"",""articles_with_PRISMA_reasons!B2:B2113""))&lt;2),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$A392=IMPORTRANGE(""https://docs.google.com/spreadsheets/d/1BJSV3WBYJGRhQ6zExamkszQ5VutGIcaQqmbD9ZTVXMQ/edit#gid=1251630045"",""arti"&amp;"cles_with_PRISMA_reasons!B2:B2113""))&lt;2,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$A392=IMPORTRANGE(""https://docs.google.com"&amp;"/spreadsheets/d/1BJSV3WBYJGRhQ6zExamkszQ5VutGIcaQqmbD9ZTVXMQ/edit#gid=1251630045"",""articles_with_PRISMA_reasons!B2:B2113""))&gt;=2),
""Exclude""
)"),"Exclude")</f>
        <v>Exclude</v>
      </c>
      <c r="E392" s="5" t="str">
        <f>IFERROR(__xludf.DUMMYFUNCTION("IFS(
D392=""Exclude"",""Exclude"",
AND(
FILTER(IMPORTRANGE(""https://docs.google.com/spreadsheets/d/1qpEmbGH0JjaJbUdp21-y2cPbobDbMjr09BbtdKROZWc/edit#gid=1444865654"",""articles_with_PRISMA_reasons!W2:W2113""), $A392=IMPORTRANGE(""https://docs.google.com/"&amp;"spreadsheets/d/1qpEmbGH0JjaJbUdp21-y2cPbobDbMjr09BbtdKROZWc/edit#gid=1444865654"",""articles_with_PRISMA_reasons!B2:B2113""))&gt;=2,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$A392=IMPORTRANGE(""https://docs.google.com/spreadsheets/d/1qpEmbGH0JjaJbUdp21-y2cPbobDbMjr09BbtdKROZWc/edit#gid=1444865654"",""articles_with_PRISMA_reasons!B2:B2113""))&lt;2),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$A392=IMPORTRANGE(""https://docs.google.com/spreadsheets/d/1qpEmbGH0JjaJbUdp21-y2cPbobDbMjr09BbtdKRO"&amp;"ZWc/edit#gid=1444865654"",""articles_with_PRISMA_reasons!B2:B2113""))&lt;2,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$A392=IMPOR"&amp;"TRANGE(""https://docs.google.com/spreadsheets/d/1qpEmbGH0JjaJbUdp21-y2cPbobDbMjr09BbtdKROZWc/edit#gid=1444865654"",""articles_with_PRISMA_reasons!B2:B2113""))&gt;=2),
""Exclude""
)"),"Exclude")</f>
        <v>Exclude</v>
      </c>
      <c r="F392" s="5" t="str">
        <f>IFERROR(__xludf.DUMMYFUNCTION("IFS(
E392=""Exclude"",""Exclude"",
AND(
COUNTIF(
IMPORTRANGE(""https://docs.google.com/spreadsheets/d/1kGrh75X1cNR1D7_FcY9zMnHP8iPO4M5RCRjy6nZY0TY/edit#gid=0"",""Table 1: Study characteristics!B4:B171""),A392)&gt;0,
COUNTIF(Studies!$A$2:$A$85,FILTER(IMPORTRA"&amp;"NGE(""https://docs.google.com/spreadsheets/d/1kGrh75X1cNR1D7_FcY9zMnHP8iPO4M5RCRjy6nZY0TY/edit#gid=0"",""Table 1: Study characteristics!A4:A171""), $A392=IMPORTRANGE(""https://docs.google.com/spreadsheets/d/1kGrh75X1cNR1D7_FcY9zMnHP8iPO4M5RCRjy6nZY0TY/edi"&amp;"t#gid=0"",""Table 1: Study characteristics!B4:B171"")))&gt;0
),
""Include""
)"),"Exclude")</f>
        <v>Exclude</v>
      </c>
      <c r="G392" s="5" t="str">
        <f>IFERROR(__xludf.DUMMYFUNCTION("IFS(
D392=""Exclude"",
FILTER(IMPORTRANGE(""https://docs.google.com/spreadsheets/d/1BJSV3WBYJGRhQ6zExamkszQ5VutGIcaQqmbD9ZTVXMQ/edit#gid=1251630045"",""articles_with_PRISMA_reasons!AB2:AB2113""), $A392=IMPORTRANGE(""https://docs.google.com/spreadsheets/d/"&amp;"1BJSV3WBYJGRhQ6zExamkszQ5VutGIcaQqmbD9ZTVXMQ/edit#gid=1251630045"",""articles_with_PRISMA_reasons!B2:B2113"")),
E392=""Exclude"",
FILTER(IMPORTRANGE(""https://docs.google.com/spreadsheets/d/1qpEmbGH0JjaJbUdp21-y2cPbobDbMjr09BbtdKROZWc/edit#gid=1444865654"&amp;""",""articles_with_PRISMA_reasons!Z2:Z2113""), $A392=IMPORTRANGE(""https://docs.google.com/spreadsheets/d/1qpEmbGH0JjaJbUdp21-y2cPbobDbMjr09BbtdKROZWc/edit#gid=1444865654"",""articles_with_PRISMA_reasons!B2:B2113"")),F392
=""Include"",FILTER(IMPORTRANGE("&amp;"""https://docs.google.com/spreadsheets/d/1kGrh75X1cNR1D7_FcY9zMnHP8iPO4M5RCRjy6nZY0TY/edit#gid=0"",""Table 1: Study characteristics!A4:A171""), $A392=IMPORTRANGE(""https://docs.google.com/spreadsheets/d/1kGrh75X1cNR1D7_FcY9zMnHP8iPO4M5RCRjy6nZY0TY/edit#gi"&amp;"d=0"",""Table 1: Study characteristics!B4:B171""))
)"),"wrong study design")</f>
        <v>wrong study design</v>
      </c>
    </row>
    <row r="393">
      <c r="A393" s="4" t="str">
        <f>IFERROR(__xludf.DUMMYFUNCTION("""COMPUTED_VALUE"""),"Cerebrospinal fluid eosinophilia and sterile shunt malfunction")</f>
        <v>Cerebrospinal fluid eosinophilia and sterile shunt malfunction</v>
      </c>
      <c r="B393" s="5" t="str">
        <f>IFERROR(__xludf.DUMMYFUNCTION("LEFT(FILTER(IMPORTRANGE(""https://docs.google.com/spreadsheets/d/1BJSV3WBYJGRhQ6zExamkszQ5VutGIcaQqmbD9ZTVXMQ/edit#gid=1251630045"",""articles_with_PRISMA_reasons!K2:K2113""), $A393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$A393=IMPORTRANGE(""https://docs.google.com/spreadsheets/d/1BJSV3WBYJGRhQ6zExamkszQ5VutGIcaQqmbD9ZTVXMQ/edit#gid=1251630045"",""articles_with_PRISMA_reasons!B2:B2113"")))-1)"),"Traynelis")</f>
        <v>Traynelis</v>
      </c>
      <c r="C393" s="6">
        <f>IFERROR(__xludf.DUMMYFUNCTION("FILTER(IMPORTRANGE(""https://docs.google.com/spreadsheets/d/1BJSV3WBYJGRhQ6zExamkszQ5VutGIcaQqmbD9ZTVXMQ/edit#gid=1251630045"",""articles_with_PRISMA_reasons!C2:C2113""), $A393=IMPORTRANGE(""https://docs.google.com/spreadsheets/d/1BJSV3WBYJGRhQ6zExamkszQ5"&amp;"VutGIcaQqmbD9ZTVXMQ/edit#gid=1251630045"",""articles_with_PRISMA_reasons!B2:B2113""))"),1988.0)</f>
        <v>1988</v>
      </c>
      <c r="D393" s="5" t="str">
        <f>IFERROR(__xludf.DUMMYFUNCTION("IFS(AND(
FILTER(IMPORTRANGE(""https://docs.google.com/spreadsheets/d/1BJSV3WBYJGRhQ6zExamkszQ5VutGIcaQqmbD9ZTVXMQ/edit#gid=1251630045"",""articles_with_PRISMA_reasons!Y2:Y2113""), $A393=IMPORTRANGE(""https://docs.google.com/spreadsheets/d/1BJSV3WBYJGRhQ6z"&amp;"ExamkszQ5VutGIcaQqmbD9ZTVXMQ/edit#gid=1251630045"",""articles_with_PRISMA_reasons!B2:B2113""))&gt;=2,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$A393=IMPORTRANGE(""https://docs.google.com/spreadsheets/d/1BJSV3WBYJGRhQ6zExamkszQ5VutGIcaQqmbD9ZTVXMQ/edit#gid=1251630045"",""articles_with_PRISMA_reasons!B2:B2113""))&lt;2),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$A393=IMPORTRANGE(""https://docs.google.com/spreadsheets/d/1BJSV3WBYJGRhQ6zExamkszQ5VutGIcaQqmbD9ZTVXMQ/edit#gid=1251630045"",""arti"&amp;"cles_with_PRISMA_reasons!B2:B2113""))&lt;2,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$A393=IMPORTRANGE(""https://docs.google.com"&amp;"/spreadsheets/d/1BJSV3WBYJGRhQ6zExamkszQ5VutGIcaQqmbD9ZTVXMQ/edit#gid=1251630045"",""articles_with_PRISMA_reasons!B2:B2113""))&gt;=2),
""Exclude""
)"),"Exclude")</f>
        <v>Exclude</v>
      </c>
      <c r="E393" s="5" t="str">
        <f>IFERROR(__xludf.DUMMYFUNCTION("IFS(
D393=""Exclude"",""Exclude"",
AND(
FILTER(IMPORTRANGE(""https://docs.google.com/spreadsheets/d/1qpEmbGH0JjaJbUdp21-y2cPbobDbMjr09BbtdKROZWc/edit#gid=1444865654"",""articles_with_PRISMA_reasons!W2:W2113""), $A393=IMPORTRANGE(""https://docs.google.com/"&amp;"spreadsheets/d/1qpEmbGH0JjaJbUdp21-y2cPbobDbMjr09BbtdKROZWc/edit#gid=1444865654"",""articles_with_PRISMA_reasons!B2:B2113""))&gt;=2,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$A393=IMPORTRANGE(""https://docs.google.com/spreadsheets/d/1qpEmbGH0JjaJbUdp21-y2cPbobDbMjr09BbtdKROZWc/edit#gid=1444865654"",""articles_with_PRISMA_reasons!B2:B2113""))&lt;2),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$A393=IMPORTRANGE(""https://docs.google.com/spreadsheets/d/1qpEmbGH0JjaJbUdp21-y2cPbobDbMjr09BbtdKRO"&amp;"ZWc/edit#gid=1444865654"",""articles_with_PRISMA_reasons!B2:B2113""))&lt;2,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$A393=IMPOR"&amp;"TRANGE(""https://docs.google.com/spreadsheets/d/1qpEmbGH0JjaJbUdp21-y2cPbobDbMjr09BbtdKROZWc/edit#gid=1444865654"",""articles_with_PRISMA_reasons!B2:B2113""))&gt;=2),
""Exclude""
)"),"Exclude")</f>
        <v>Exclude</v>
      </c>
      <c r="F393" s="5" t="str">
        <f>IFERROR(__xludf.DUMMYFUNCTION("IFS(
E393=""Exclude"",""Exclude"",
AND(
COUNTIF(
IMPORTRANGE(""https://docs.google.com/spreadsheets/d/1kGrh75X1cNR1D7_FcY9zMnHP8iPO4M5RCRjy6nZY0TY/edit#gid=0"",""Table 1: Study characteristics!B4:B171""),A393)&gt;0,
COUNTIF(Studies!$A$2:$A$85,FILTER(IMPORTRA"&amp;"NGE(""https://docs.google.com/spreadsheets/d/1kGrh75X1cNR1D7_FcY9zMnHP8iPO4M5RCRjy6nZY0TY/edit#gid=0"",""Table 1: Study characteristics!A4:A171""), $A393=IMPORTRANGE(""https://docs.google.com/spreadsheets/d/1kGrh75X1cNR1D7_FcY9zMnHP8iPO4M5RCRjy6nZY0TY/edi"&amp;"t#gid=0"",""Table 1: Study characteristics!B4:B171"")))&gt;0
),
""Include""
)"),"Exclude")</f>
        <v>Exclude</v>
      </c>
      <c r="G393" s="5" t="str">
        <f>IFERROR(__xludf.DUMMYFUNCTION("IFS(
D393=""Exclude"",
FILTER(IMPORTRANGE(""https://docs.google.com/spreadsheets/d/1BJSV3WBYJGRhQ6zExamkszQ5VutGIcaQqmbD9ZTVXMQ/edit#gid=1251630045"",""articles_with_PRISMA_reasons!AB2:AB2113""), $A393=IMPORTRANGE(""https://docs.google.com/spreadsheets/d/"&amp;"1BJSV3WBYJGRhQ6zExamkszQ5VutGIcaQqmbD9ZTVXMQ/edit#gid=1251630045"",""articles_with_PRISMA_reasons!B2:B2113"")),
E393=""Exclude"",
FILTER(IMPORTRANGE(""https://docs.google.com/spreadsheets/d/1qpEmbGH0JjaJbUdp21-y2cPbobDbMjr09BbtdKROZWc/edit#gid=1444865654"&amp;""",""articles_with_PRISMA_reasons!Z2:Z2113""), $A393=IMPORTRANGE(""https://docs.google.com/spreadsheets/d/1qpEmbGH0JjaJbUdp21-y2cPbobDbMjr09BbtdKROZWc/edit#gid=1444865654"",""articles_with_PRISMA_reasons!B2:B2113"")),F393
=""Include"",FILTER(IMPORTRANGE("&amp;"""https://docs.google.com/spreadsheets/d/1kGrh75X1cNR1D7_FcY9zMnHP8iPO4M5RCRjy6nZY0TY/edit#gid=0"",""Table 1: Study characteristics!A4:A171""), $A393=IMPORTRANGE(""https://docs.google.com/spreadsheets/d/1kGrh75X1cNR1D7_FcY9zMnHP8iPO4M5RCRjy6nZY0TY/edit#gi"&amp;"d=0"",""Table 1: Study characteristics!B4:B171""))
)"),"background article")</f>
        <v>background article</v>
      </c>
    </row>
    <row r="394">
      <c r="A394" s="4" t="str">
        <f>IFERROR(__xludf.DUMMYFUNCTION("""COMPUTED_VALUE"""),"Cerebrospinal fluid shunt complications after urological procedures in children with myelodysplasia")</f>
        <v>Cerebrospinal fluid shunt complications after urological procedures in children with myelodysplasia</v>
      </c>
      <c r="B394" s="5" t="str">
        <f>IFERROR(__xludf.DUMMYFUNCTION("LEFT(FILTER(IMPORTRANGE(""https://docs.google.com/spreadsheets/d/1BJSV3WBYJGRhQ6zExamkszQ5VutGIcaQqmbD9ZTVXMQ/edit#gid=1251630045"",""articles_with_PRISMA_reasons!K2:K2113""), $A394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$A394=IMPORTRANGE(""https://docs.google.com/spreadsheets/d/1BJSV3WBYJGRhQ6zExamkszQ5VutGIcaQqmbD9ZTVXMQ/edit#gid=1251630045"",""articles_with_PRISMA_reasons!B2:B2113"")))-1)"),"Aldana")</f>
        <v>Aldana</v>
      </c>
      <c r="C394" s="6">
        <f>IFERROR(__xludf.DUMMYFUNCTION("FILTER(IMPORTRANGE(""https://docs.google.com/spreadsheets/d/1BJSV3WBYJGRhQ6zExamkszQ5VutGIcaQqmbD9ZTVXMQ/edit#gid=1251630045"",""articles_with_PRISMA_reasons!C2:C2113""), $A394=IMPORTRANGE(""https://docs.google.com/spreadsheets/d/1BJSV3WBYJGRhQ6zExamkszQ5"&amp;"VutGIcaQqmbD9ZTVXMQ/edit#gid=1251630045"",""articles_with_PRISMA_reasons!B2:B2113""))"),2002.0)</f>
        <v>2002</v>
      </c>
      <c r="D394" s="5" t="str">
        <f>IFERROR(__xludf.DUMMYFUNCTION("IFS(AND(
FILTER(IMPORTRANGE(""https://docs.google.com/spreadsheets/d/1BJSV3WBYJGRhQ6zExamkszQ5VutGIcaQqmbD9ZTVXMQ/edit#gid=1251630045"",""articles_with_PRISMA_reasons!Y2:Y2113""), $A394=IMPORTRANGE(""https://docs.google.com/spreadsheets/d/1BJSV3WBYJGRhQ6z"&amp;"ExamkszQ5VutGIcaQqmbD9ZTVXMQ/edit#gid=1251630045"",""articles_with_PRISMA_reasons!B2:B2113""))&gt;=2,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$A394=IMPORTRANGE(""https://docs.google.com/spreadsheets/d/1BJSV3WBYJGRhQ6zExamkszQ5VutGIcaQqmbD9ZTVXMQ/edit#gid=1251630045"",""articles_with_PRISMA_reasons!B2:B2113""))&lt;2),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$A394=IMPORTRANGE(""https://docs.google.com/spreadsheets/d/1BJSV3WBYJGRhQ6zExamkszQ5VutGIcaQqmbD9ZTVXMQ/edit#gid=1251630045"",""arti"&amp;"cles_with_PRISMA_reasons!B2:B2113""))&lt;2,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$A394=IMPORTRANGE(""https://docs.google.com"&amp;"/spreadsheets/d/1BJSV3WBYJGRhQ6zExamkszQ5VutGIcaQqmbD9ZTVXMQ/edit#gid=1251630045"",""articles_with_PRISMA_reasons!B2:B2113""))&gt;=2),
""Exclude""
)"),"Exclude")</f>
        <v>Exclude</v>
      </c>
      <c r="E394" s="5" t="str">
        <f>IFERROR(__xludf.DUMMYFUNCTION("IFS(
D394=""Exclude"",""Exclude"",
AND(
FILTER(IMPORTRANGE(""https://docs.google.com/spreadsheets/d/1qpEmbGH0JjaJbUdp21-y2cPbobDbMjr09BbtdKROZWc/edit#gid=1444865654"",""articles_with_PRISMA_reasons!W2:W2113""), $A394=IMPORTRANGE(""https://docs.google.com/"&amp;"spreadsheets/d/1qpEmbGH0JjaJbUdp21-y2cPbobDbMjr09BbtdKROZWc/edit#gid=1444865654"",""articles_with_PRISMA_reasons!B2:B2113""))&gt;=2,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$A394=IMPORTRANGE(""https://docs.google.com/spreadsheets/d/1qpEmbGH0JjaJbUdp21-y2cPbobDbMjr09BbtdKROZWc/edit#gid=1444865654"",""articles_with_PRISMA_reasons!B2:B2113""))&lt;2),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$A394=IMPORTRANGE(""https://docs.google.com/spreadsheets/d/1qpEmbGH0JjaJbUdp21-y2cPbobDbMjr09BbtdKRO"&amp;"ZWc/edit#gid=1444865654"",""articles_with_PRISMA_reasons!B2:B2113""))&lt;2,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$A394=IMPOR"&amp;"TRANGE(""https://docs.google.com/spreadsheets/d/1qpEmbGH0JjaJbUdp21-y2cPbobDbMjr09BbtdKROZWc/edit#gid=1444865654"",""articles_with_PRISMA_reasons!B2:B2113""))&gt;=2),
""Exclude""
)"),"Exclude")</f>
        <v>Exclude</v>
      </c>
      <c r="F394" s="5" t="str">
        <f>IFERROR(__xludf.DUMMYFUNCTION("IFS(
E394=""Exclude"",""Exclude"",
AND(
COUNTIF(
IMPORTRANGE(""https://docs.google.com/spreadsheets/d/1kGrh75X1cNR1D7_FcY9zMnHP8iPO4M5RCRjy6nZY0TY/edit#gid=0"",""Table 1: Study characteristics!B4:B171""),A394)&gt;0,
COUNTIF(Studies!$A$2:$A$85,FILTER(IMPORTRA"&amp;"NGE(""https://docs.google.com/spreadsheets/d/1kGrh75X1cNR1D7_FcY9zMnHP8iPO4M5RCRjy6nZY0TY/edit#gid=0"",""Table 1: Study characteristics!A4:A171""), $A394=IMPORTRANGE(""https://docs.google.com/spreadsheets/d/1kGrh75X1cNR1D7_FcY9zMnHP8iPO4M5RCRjy6nZY0TY/edi"&amp;"t#gid=0"",""Table 1: Study characteristics!B4:B171"")))&gt;0
),
""Include""
)"),"Exclude")</f>
        <v>Exclude</v>
      </c>
      <c r="G394" s="5" t="str">
        <f>IFERROR(__xludf.DUMMYFUNCTION("IFS(
D394=""Exclude"",
FILTER(IMPORTRANGE(""https://docs.google.com/spreadsheets/d/1BJSV3WBYJGRhQ6zExamkszQ5VutGIcaQqmbD9ZTVXMQ/edit#gid=1251630045"",""articles_with_PRISMA_reasons!AB2:AB2113""), $A394=IMPORTRANGE(""https://docs.google.com/spreadsheets/d/"&amp;"1BJSV3WBYJGRhQ6zExamkszQ5VutGIcaQqmbD9ZTVXMQ/edit#gid=1251630045"",""articles_with_PRISMA_reasons!B2:B2113"")),
E394=""Exclude"",
FILTER(IMPORTRANGE(""https://docs.google.com/spreadsheets/d/1qpEmbGH0JjaJbUdp21-y2cPbobDbMjr09BbtdKROZWc/edit#gid=1444865654"&amp;""",""articles_with_PRISMA_reasons!Z2:Z2113""), $A394=IMPORTRANGE(""https://docs.google.com/spreadsheets/d/1qpEmbGH0JjaJbUdp21-y2cPbobDbMjr09BbtdKROZWc/edit#gid=1444865654"",""articles_with_PRISMA_reasons!B2:B2113"")),F394
=""Include"",FILTER(IMPORTRANGE("&amp;"""https://docs.google.com/spreadsheets/d/1kGrh75X1cNR1D7_FcY9zMnHP8iPO4M5RCRjy6nZY0TY/edit#gid=0"",""Table 1: Study characteristics!A4:A171""), $A394=IMPORTRANGE(""https://docs.google.com/spreadsheets/d/1kGrh75X1cNR1D7_FcY9zMnHP8iPO4M5RCRjy6nZY0TY/edit#gi"&amp;"d=0"",""Table 1: Study characteristics!B4:B171""))
)"),"wrong population")</f>
        <v>wrong population</v>
      </c>
    </row>
    <row r="395">
      <c r="A395" s="4" t="str">
        <f>IFERROR(__xludf.DUMMYFUNCTION("""COMPUTED_VALUE"""),"Cerebrospinal fluid shunt infection: risk factors and long-term follow-up")</f>
        <v>Cerebrospinal fluid shunt infection: risk factors and long-term follow-up</v>
      </c>
      <c r="B395" s="5" t="str">
        <f>IFERROR(__xludf.DUMMYFUNCTION("LEFT(FILTER(IMPORTRANGE(""https://docs.google.com/spreadsheets/d/1BJSV3WBYJGRhQ6zExamkszQ5VutGIcaQqmbD9ZTVXMQ/edit#gid=1251630045"",""articles_with_PRISMA_reasons!K2:K2113""), $A395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$A395=IMPORTRANGE(""https://docs.google.com/spreadsheets/d/1BJSV3WBYJGRhQ6zExamkszQ5VutGIcaQqmbD9ZTVXMQ/edit#gid=1251630045"",""articles_with_PRISMA_reasons!B2:B2113"")))-1)"),"Vinchon")</f>
        <v>Vinchon</v>
      </c>
      <c r="C395" s="6">
        <f>IFERROR(__xludf.DUMMYFUNCTION("FILTER(IMPORTRANGE(""https://docs.google.com/spreadsheets/d/1BJSV3WBYJGRhQ6zExamkszQ5VutGIcaQqmbD9ZTVXMQ/edit#gid=1251630045"",""articles_with_PRISMA_reasons!C2:C2113""), $A395=IMPORTRANGE(""https://docs.google.com/spreadsheets/d/1BJSV3WBYJGRhQ6zExamkszQ5"&amp;"VutGIcaQqmbD9ZTVXMQ/edit#gid=1251630045"",""articles_with_PRISMA_reasons!B2:B2113""))"),2006.0)</f>
        <v>2006</v>
      </c>
      <c r="D395" s="5" t="str">
        <f>IFERROR(__xludf.DUMMYFUNCTION("IFS(AND(
FILTER(IMPORTRANGE(""https://docs.google.com/spreadsheets/d/1BJSV3WBYJGRhQ6zExamkszQ5VutGIcaQqmbD9ZTVXMQ/edit#gid=1251630045"",""articles_with_PRISMA_reasons!Y2:Y2113""), $A395=IMPORTRANGE(""https://docs.google.com/spreadsheets/d/1BJSV3WBYJGRhQ6z"&amp;"ExamkszQ5VutGIcaQqmbD9ZTVXMQ/edit#gid=1251630045"",""articles_with_PRISMA_reasons!B2:B2113""))&gt;=2,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$A395=IMPORTRANGE(""https://docs.google.com/spreadsheets/d/1BJSV3WBYJGRhQ6zExamkszQ5VutGIcaQqmbD9ZTVXMQ/edit#gid=1251630045"",""articles_with_PRISMA_reasons!B2:B2113""))&lt;2),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$A395=IMPORTRANGE(""https://docs.google.com/spreadsheets/d/1BJSV3WBYJGRhQ6zExamkszQ5VutGIcaQqmbD9ZTVXMQ/edit#gid=1251630045"",""arti"&amp;"cles_with_PRISMA_reasons!B2:B2113""))&lt;2,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$A395=IMPORTRANGE(""https://docs.google.com"&amp;"/spreadsheets/d/1BJSV3WBYJGRhQ6zExamkszQ5VutGIcaQqmbD9ZTVXMQ/edit#gid=1251630045"",""articles_with_PRISMA_reasons!B2:B2113""))&gt;=2),
""Exclude""
)"),"Include")</f>
        <v>Include</v>
      </c>
      <c r="E395" s="5" t="str">
        <f>IFERROR(__xludf.DUMMYFUNCTION("IFS(
D395=""Exclude"",""Exclude"",
AND(
FILTER(IMPORTRANGE(""https://docs.google.com/spreadsheets/d/1qpEmbGH0JjaJbUdp21-y2cPbobDbMjr09BbtdKROZWc/edit#gid=1444865654"",""articles_with_PRISMA_reasons!W2:W2113""), $A395=IMPORTRANGE(""https://docs.google.com/"&amp;"spreadsheets/d/1qpEmbGH0JjaJbUdp21-y2cPbobDbMjr09BbtdKROZWc/edit#gid=1444865654"",""articles_with_PRISMA_reasons!B2:B2113""))&gt;=2,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$A395=IMPORTRANGE(""https://docs.google.com/spreadsheets/d/1qpEmbGH0JjaJbUdp21-y2cPbobDbMjr09BbtdKROZWc/edit#gid=1444865654"",""articles_with_PRISMA_reasons!B2:B2113""))&lt;2),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$A395=IMPORTRANGE(""https://docs.google.com/spreadsheets/d/1qpEmbGH0JjaJbUdp21-y2cPbobDbMjr09BbtdKRO"&amp;"ZWc/edit#gid=1444865654"",""articles_with_PRISMA_reasons!B2:B2113""))&lt;2,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$A395=IMPOR"&amp;"TRANGE(""https://docs.google.com/spreadsheets/d/1qpEmbGH0JjaJbUdp21-y2cPbobDbMjr09BbtdKROZWc/edit#gid=1444865654"",""articles_with_PRISMA_reasons!B2:B2113""))&gt;=2),
""Exclude""
)"),"Include")</f>
        <v>Include</v>
      </c>
      <c r="F395" s="2" t="s">
        <v>8</v>
      </c>
      <c r="G395" s="2" t="s">
        <v>16</v>
      </c>
    </row>
    <row r="396">
      <c r="A396" s="4" t="str">
        <f>IFERROR(__xludf.DUMMYFUNCTION("""COMPUTED_VALUE"""),"Cerebrospinal fluid shunt infections")</f>
        <v>Cerebrospinal fluid shunt infections</v>
      </c>
      <c r="B396" s="5" t="str">
        <f>IFERROR(__xludf.DUMMYFUNCTION("LEFT(FILTER(IMPORTRANGE(""https://docs.google.com/spreadsheets/d/1BJSV3WBYJGRhQ6zExamkszQ5VutGIcaQqmbD9ZTVXMQ/edit#gid=1251630045"",""articles_with_PRISMA_reasons!K2:K2113""), $A396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$A396=IMPORTRANGE(""https://docs.google.com/spreadsheets/d/1BJSV3WBYJGRhQ6zExamkszQ5VutGIcaQqmbD9ZTVXMQ/edit#gid=1251630045"",""articles_with_PRISMA_reasons!B2:B2113"")))-1)"),"Ersahin")</f>
        <v>Ersahin</v>
      </c>
      <c r="C396" s="6">
        <f>IFERROR(__xludf.DUMMYFUNCTION("FILTER(IMPORTRANGE(""https://docs.google.com/spreadsheets/d/1BJSV3WBYJGRhQ6zExamkszQ5VutGIcaQqmbD9ZTVXMQ/edit#gid=1251630045"",""articles_with_PRISMA_reasons!C2:C2113""), $A396=IMPORTRANGE(""https://docs.google.com/spreadsheets/d/1BJSV3WBYJGRhQ6zExamkszQ5"&amp;"VutGIcaQqmbD9ZTVXMQ/edit#gid=1251630045"",""articles_with_PRISMA_reasons!B2:B2113""))"),1994.0)</f>
        <v>1994</v>
      </c>
      <c r="D396" s="5" t="str">
        <f>IFERROR(__xludf.DUMMYFUNCTION("IFS(AND(
FILTER(IMPORTRANGE(""https://docs.google.com/spreadsheets/d/1BJSV3WBYJGRhQ6zExamkszQ5VutGIcaQqmbD9ZTVXMQ/edit#gid=1251630045"",""articles_with_PRISMA_reasons!Y2:Y2113""), $A396=IMPORTRANGE(""https://docs.google.com/spreadsheets/d/1BJSV3WBYJGRhQ6z"&amp;"ExamkszQ5VutGIcaQqmbD9ZTVXMQ/edit#gid=1251630045"",""articles_with_PRISMA_reasons!B2:B2113""))&gt;=2,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$A396=IMPORTRANGE(""https://docs.google.com/spreadsheets/d/1BJSV3WBYJGRhQ6zExamkszQ5VutGIcaQqmbD9ZTVXMQ/edit#gid=1251630045"",""articles_with_PRISMA_reasons!B2:B2113""))&lt;2),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$A396=IMPORTRANGE(""https://docs.google.com/spreadsheets/d/1BJSV3WBYJGRhQ6zExamkszQ5VutGIcaQqmbD9ZTVXMQ/edit#gid=1251630045"",""arti"&amp;"cles_with_PRISMA_reasons!B2:B2113""))&lt;2,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$A396=IMPORTRANGE(""https://docs.google.com"&amp;"/spreadsheets/d/1BJSV3WBYJGRhQ6zExamkszQ5VutGIcaQqmbD9ZTVXMQ/edit#gid=1251630045"",""articles_with_PRISMA_reasons!B2:B2113""))&gt;=2),
""Exclude""
)"),"Include")</f>
        <v>Include</v>
      </c>
      <c r="E396" s="5" t="str">
        <f>IFERROR(__xludf.DUMMYFUNCTION("IFS(
D396=""Exclude"",""Exclude"",
AND(
FILTER(IMPORTRANGE(""https://docs.google.com/spreadsheets/d/1qpEmbGH0JjaJbUdp21-y2cPbobDbMjr09BbtdKROZWc/edit#gid=1444865654"",""articles_with_PRISMA_reasons!W2:W2113""), $A396=IMPORTRANGE(""https://docs.google.com/"&amp;"spreadsheets/d/1qpEmbGH0JjaJbUdp21-y2cPbobDbMjr09BbtdKROZWc/edit#gid=1444865654"",""articles_with_PRISMA_reasons!B2:B2113""))&gt;=2,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$A396=IMPORTRANGE(""https://docs.google.com/spreadsheets/d/1qpEmbGH0JjaJbUdp21-y2cPbobDbMjr09BbtdKROZWc/edit#gid=1444865654"",""articles_with_PRISMA_reasons!B2:B2113""))&lt;2),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$A396=IMPORTRANGE(""https://docs.google.com/spreadsheets/d/1qpEmbGH0JjaJbUdp21-y2cPbobDbMjr09BbtdKRO"&amp;"ZWc/edit#gid=1444865654"",""articles_with_PRISMA_reasons!B2:B2113""))&lt;2,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$A396=IMPOR"&amp;"TRANGE(""https://docs.google.com/spreadsheets/d/1qpEmbGH0JjaJbUdp21-y2cPbobDbMjr09BbtdKROZWc/edit#gid=1444865654"",""articles_with_PRISMA_reasons!B2:B2113""))&gt;=2),
""Exclude""
)"),"Exclude")</f>
        <v>Exclude</v>
      </c>
      <c r="F396" s="5" t="str">
        <f>IFERROR(__xludf.DUMMYFUNCTION("IFS(
E396=""Exclude"",""Exclude"",
AND(
COUNTIF(
IMPORTRANGE(""https://docs.google.com/spreadsheets/d/1kGrh75X1cNR1D7_FcY9zMnHP8iPO4M5RCRjy6nZY0TY/edit#gid=0"",""Table 1: Study characteristics!B4:B171""),A396)&gt;0,
COUNTIF(Studies!$A$2:$A$85,FILTER(IMPORTRA"&amp;"NGE(""https://docs.google.com/spreadsheets/d/1kGrh75X1cNR1D7_FcY9zMnHP8iPO4M5RCRjy6nZY0TY/edit#gid=0"",""Table 1: Study characteristics!A4:A171""), $A396=IMPORTRANGE(""https://docs.google.com/spreadsheets/d/1kGrh75X1cNR1D7_FcY9zMnHP8iPO4M5RCRjy6nZY0TY/edi"&amp;"t#gid=0"",""Table 1: Study characteristics!B4:B171"")))&gt;0
),
""Include""
)"),"Exclude")</f>
        <v>Exclude</v>
      </c>
      <c r="G396" s="5" t="str">
        <f>IFERROR(__xludf.DUMMYFUNCTION("IFS(
D396=""Exclude"",
FILTER(IMPORTRANGE(""https://docs.google.com/spreadsheets/d/1BJSV3WBYJGRhQ6zExamkszQ5VutGIcaQqmbD9ZTVXMQ/edit#gid=1251630045"",""articles_with_PRISMA_reasons!AB2:AB2113""), $A396=IMPORTRANGE(""https://docs.google.com/spreadsheets/d/"&amp;"1BJSV3WBYJGRhQ6zExamkszQ5VutGIcaQqmbD9ZTVXMQ/edit#gid=1251630045"",""articles_with_PRISMA_reasons!B2:B2113"")),
E396=""Exclude"",
FILTER(IMPORTRANGE(""https://docs.google.com/spreadsheets/d/1qpEmbGH0JjaJbUdp21-y2cPbobDbMjr09BbtdKROZWc/edit#gid=1444865654"&amp;""",""articles_with_PRISMA_reasons!Z2:Z2113""), $A396=IMPORTRANGE(""https://docs.google.com/spreadsheets/d/1qpEmbGH0JjaJbUdp21-y2cPbobDbMjr09BbtdKROZWc/edit#gid=1444865654"",""articles_with_PRISMA_reasons!B2:B2113"")),F396
=""Include"",FILTER(IMPORTRANGE("&amp;"""https://docs.google.com/spreadsheets/d/1kGrh75X1cNR1D7_FcY9zMnHP8iPO4M5RCRjy6nZY0TY/edit#gid=0"",""Table 1: Study characteristics!A4:A171""), $A396=IMPORTRANGE(""https://docs.google.com/spreadsheets/d/1kGrh75X1cNR1D7_FcY9zMnHP8iPO4M5RCRjy6nZY0TY/edit#gi"&amp;"d=0"",""Table 1: Study characteristics!B4:B171""))
)"),"no full text")</f>
        <v>no full text</v>
      </c>
    </row>
    <row r="397">
      <c r="A397" s="4" t="str">
        <f>IFERROR(__xludf.DUMMYFUNCTION("""COMPUTED_VALUE"""),"Cerebrospinal fluid shunt infections in children. A study on the relationship between the etiology of hydrocephalus, age at the time of shunt placement, and infection rate")</f>
        <v>Cerebrospinal fluid shunt infections in children. A study on the relationship between the etiology of hydrocephalus, age at the time of shunt placement, and infection rate</v>
      </c>
      <c r="B397" s="5" t="str">
        <f>IFERROR(__xludf.DUMMYFUNCTION("LEFT(FILTER(IMPORTRANGE(""https://docs.google.com/spreadsheets/d/1BJSV3WBYJGRhQ6zExamkszQ5VutGIcaQqmbD9ZTVXMQ/edit#gid=1251630045"",""articles_with_PRISMA_reasons!K2:K2113""), $A397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$A397=IMPORTRANGE(""https://docs.google.com/spreadsheets/d/1BJSV3WBYJGRhQ6zExamkszQ5VutGIcaQqmbD9ZTVXMQ/edit#gid=1251630045"",""articles_with_PRISMA_reasons!B2:B2113"")))-1)"),"Ammirati")</f>
        <v>Ammirati</v>
      </c>
      <c r="C397" s="6">
        <f>IFERROR(__xludf.DUMMYFUNCTION("FILTER(IMPORTRANGE(""https://docs.google.com/spreadsheets/d/1BJSV3WBYJGRhQ6zExamkszQ5VutGIcaQqmbD9ZTVXMQ/edit#gid=1251630045"",""articles_with_PRISMA_reasons!C2:C2113""), $A397=IMPORTRANGE(""https://docs.google.com/spreadsheets/d/1BJSV3WBYJGRhQ6zExamkszQ5"&amp;"VutGIcaQqmbD9ZTVXMQ/edit#gid=1251630045"",""articles_with_PRISMA_reasons!B2:B2113""))"),1987.0)</f>
        <v>1987</v>
      </c>
      <c r="D397" s="5" t="str">
        <f>IFERROR(__xludf.DUMMYFUNCTION("IFS(AND(
FILTER(IMPORTRANGE(""https://docs.google.com/spreadsheets/d/1BJSV3WBYJGRhQ6zExamkszQ5VutGIcaQqmbD9ZTVXMQ/edit#gid=1251630045"",""articles_with_PRISMA_reasons!Y2:Y2113""), $A397=IMPORTRANGE(""https://docs.google.com/spreadsheets/d/1BJSV3WBYJGRhQ6z"&amp;"ExamkszQ5VutGIcaQqmbD9ZTVXMQ/edit#gid=1251630045"",""articles_with_PRISMA_reasons!B2:B2113""))&gt;=2,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$A397=IMPORTRANGE(""https://docs.google.com/spreadsheets/d/1BJSV3WBYJGRhQ6zExamkszQ5VutGIcaQqmbD9ZTVXMQ/edit#gid=1251630045"",""articles_with_PRISMA_reasons!B2:B2113""))&lt;2),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$A397=IMPORTRANGE(""https://docs.google.com/spreadsheets/d/1BJSV3WBYJGRhQ6zExamkszQ5VutGIcaQqmbD9ZTVXMQ/edit#gid=1251630045"",""arti"&amp;"cles_with_PRISMA_reasons!B2:B2113""))&lt;2,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$A397=IMPORTRANGE(""https://docs.google.com"&amp;"/spreadsheets/d/1BJSV3WBYJGRhQ6zExamkszQ5VutGIcaQqmbD9ZTVXMQ/edit#gid=1251630045"",""articles_with_PRISMA_reasons!B2:B2113""))&gt;=2),
""Exclude""
)"),"Include")</f>
        <v>Include</v>
      </c>
      <c r="E397" s="5" t="str">
        <f>IFERROR(__xludf.DUMMYFUNCTION("IFS(
D397=""Exclude"",""Exclude"",
AND(
FILTER(IMPORTRANGE(""https://docs.google.com/spreadsheets/d/1qpEmbGH0JjaJbUdp21-y2cPbobDbMjr09BbtdKROZWc/edit#gid=1444865654"",""articles_with_PRISMA_reasons!W2:W2113""), $A397=IMPORTRANGE(""https://docs.google.com/"&amp;"spreadsheets/d/1qpEmbGH0JjaJbUdp21-y2cPbobDbMjr09BbtdKROZWc/edit#gid=1444865654"",""articles_with_PRISMA_reasons!B2:B2113""))&gt;=2,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$A397=IMPORTRANGE(""https://docs.google.com/spreadsheets/d/1qpEmbGH0JjaJbUdp21-y2cPbobDbMjr09BbtdKROZWc/edit#gid=1444865654"",""articles_with_PRISMA_reasons!B2:B2113""))&lt;2),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$A397=IMPORTRANGE(""https://docs.google.com/spreadsheets/d/1qpEmbGH0JjaJbUdp21-y2cPbobDbMjr09BbtdKRO"&amp;"ZWc/edit#gid=1444865654"",""articles_with_PRISMA_reasons!B2:B2113""))&lt;2,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$A397=IMPOR"&amp;"TRANGE(""https://docs.google.com/spreadsheets/d/1qpEmbGH0JjaJbUdp21-y2cPbobDbMjr09BbtdKROZWc/edit#gid=1444865654"",""articles_with_PRISMA_reasons!B2:B2113""))&gt;=2),
""Exclude""
)"),"Include")</f>
        <v>Include</v>
      </c>
      <c r="F397" s="5" t="str">
        <f>IFERROR(__xludf.DUMMYFUNCTION("IFS(
E397=""Exclude"",""Exclude"",
AND(
COUNTIF(
IMPORTRANGE(""https://docs.google.com/spreadsheets/d/1kGrh75X1cNR1D7_FcY9zMnHP8iPO4M5RCRjy6nZY0TY/edit#gid=0"",""Table 1: Study characteristics!B4:B171""),A397)&gt;0,
COUNTIF(Studies!$A$2:$A$85,FILTER(IMPORTRA"&amp;"NGE(""https://docs.google.com/spreadsheets/d/1kGrh75X1cNR1D7_FcY9zMnHP8iPO4M5RCRjy6nZY0TY/edit#gid=0"",""Table 1: Study characteristics!A4:A171""), $A397=IMPORTRANGE(""https://docs.google.com/spreadsheets/d/1kGrh75X1cNR1D7_FcY9zMnHP8iPO4M5RCRjy6nZY0TY/edi"&amp;"t#gid=0"",""Table 1: Study characteristics!B4:B171"")))&gt;0
),
""Include""
)"),"Include")</f>
        <v>Include</v>
      </c>
      <c r="G397" s="5" t="str">
        <f>IFERROR(__xludf.DUMMYFUNCTION("IFS(
D397=""Exclude"",
FILTER(IMPORTRANGE(""https://docs.google.com/spreadsheets/d/1BJSV3WBYJGRhQ6zExamkszQ5VutGIcaQqmbD9ZTVXMQ/edit#gid=1251630045"",""articles_with_PRISMA_reasons!AB2:AB2113""), $A397=IMPORTRANGE(""https://docs.google.com/spreadsheets/d/"&amp;"1BJSV3WBYJGRhQ6zExamkszQ5VutGIcaQqmbD9ZTVXMQ/edit#gid=1251630045"",""articles_with_PRISMA_reasons!B2:B2113"")),
E397=""Exclude"",
FILTER(IMPORTRANGE(""https://docs.google.com/spreadsheets/d/1qpEmbGH0JjaJbUdp21-y2cPbobDbMjr09BbtdKROZWc/edit#gid=1444865654"&amp;""",""articles_with_PRISMA_reasons!Z2:Z2113""), $A397=IMPORTRANGE(""https://docs.google.com/spreadsheets/d/1qpEmbGH0JjaJbUdp21-y2cPbobDbMjr09BbtdKROZWc/edit#gid=1444865654"",""articles_with_PRISMA_reasons!B2:B2113"")),F397
=""Include"",FILTER(IMPORTRANGE("&amp;"""https://docs.google.com/spreadsheets/d/1kGrh75X1cNR1D7_FcY9zMnHP8iPO4M5RCRjy6nZY0TY/edit#gid=0"",""Table 1: Study characteristics!A4:A171""), $A397=IMPORTRANGE(""https://docs.google.com/spreadsheets/d/1kGrh75X1cNR1D7_FcY9zMnHP8iPO4M5RCRjy6nZY0TY/edit#gi"&amp;"d=0"",""Table 1: Study characteristics!B4:B171""))
)"),"ID 18")</f>
        <v>ID 18</v>
      </c>
    </row>
    <row r="398">
      <c r="A398" s="4" t="str">
        <f>IFERROR(__xludf.DUMMYFUNCTION("""COMPUTED_VALUE"""),"Cerebrospinal fluid shunt-associated infections in pediatrics: Analysis of the epidemiology and mortality risk factors")</f>
        <v>Cerebrospinal fluid shunt-associated infections in pediatrics: Analysis of the epidemiology and mortality risk factors</v>
      </c>
      <c r="B398" s="5" t="str">
        <f>IFERROR(__xludf.DUMMYFUNCTION("LEFT(FILTER(IMPORTRANGE(""https://docs.google.com/spreadsheets/d/1BJSV3WBYJGRhQ6zExamkszQ5VutGIcaQqmbD9ZTVXMQ/edit#gid=1251630045"",""articles_with_PRISMA_reasons!K2:K2113""), $A398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$A398=IMPORTRANGE(""https://docs.google.com/spreadsheets/d/1BJSV3WBYJGRhQ6zExamkszQ5VutGIcaQqmbD9ZTVXMQ/edit#gid=1251630045"",""articles_with_PRISMA_reasons!B2:B2113"")))-1)"),"Gonzalez")</f>
        <v>Gonzalez</v>
      </c>
      <c r="C398" s="6">
        <f>IFERROR(__xludf.DUMMYFUNCTION("FILTER(IMPORTRANGE(""https://docs.google.com/spreadsheets/d/1BJSV3WBYJGRhQ6zExamkszQ5VutGIcaQqmbD9ZTVXMQ/edit#gid=1251630045"",""articles_with_PRISMA_reasons!C2:C2113""), $A398=IMPORTRANGE(""https://docs.google.com/spreadsheets/d/1BJSV3WBYJGRhQ6zExamkszQ5"&amp;"VutGIcaQqmbD9ZTVXMQ/edit#gid=1251630045"",""articles_with_PRISMA_reasons!B2:B2113""))"),2018.0)</f>
        <v>2018</v>
      </c>
      <c r="D398" s="5" t="str">
        <f>IFERROR(__xludf.DUMMYFUNCTION("IFS(AND(
FILTER(IMPORTRANGE(""https://docs.google.com/spreadsheets/d/1BJSV3WBYJGRhQ6zExamkszQ5VutGIcaQqmbD9ZTVXMQ/edit#gid=1251630045"",""articles_with_PRISMA_reasons!Y2:Y2113""), $A398=IMPORTRANGE(""https://docs.google.com/spreadsheets/d/1BJSV3WBYJGRhQ6z"&amp;"ExamkszQ5VutGIcaQqmbD9ZTVXMQ/edit#gid=1251630045"",""articles_with_PRISMA_reasons!B2:B2113""))&gt;=2,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$A398=IMPORTRANGE(""https://docs.google.com/spreadsheets/d/1BJSV3WBYJGRhQ6zExamkszQ5VutGIcaQqmbD9ZTVXMQ/edit#gid=1251630045"",""articles_with_PRISMA_reasons!B2:B2113""))&lt;2),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$A398=IMPORTRANGE(""https://docs.google.com/spreadsheets/d/1BJSV3WBYJGRhQ6zExamkszQ5VutGIcaQqmbD9ZTVXMQ/edit#gid=1251630045"",""arti"&amp;"cles_with_PRISMA_reasons!B2:B2113""))&lt;2,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$A398=IMPORTRANGE(""https://docs.google.com"&amp;"/spreadsheets/d/1BJSV3WBYJGRhQ6zExamkszQ5VutGIcaQqmbD9ZTVXMQ/edit#gid=1251630045"",""articles_with_PRISMA_reasons!B2:B2113""))&gt;=2),
""Exclude""
)"),"Exclude")</f>
        <v>Exclude</v>
      </c>
      <c r="E398" s="5" t="str">
        <f>IFERROR(__xludf.DUMMYFUNCTION("IFS(
D398=""Exclude"",""Exclude"",
AND(
FILTER(IMPORTRANGE(""https://docs.google.com/spreadsheets/d/1qpEmbGH0JjaJbUdp21-y2cPbobDbMjr09BbtdKROZWc/edit#gid=1444865654"",""articles_with_PRISMA_reasons!W2:W2113""), $A398=IMPORTRANGE(""https://docs.google.com/"&amp;"spreadsheets/d/1qpEmbGH0JjaJbUdp21-y2cPbobDbMjr09BbtdKROZWc/edit#gid=1444865654"",""articles_with_PRISMA_reasons!B2:B2113""))&gt;=2,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$A398=IMPORTRANGE(""https://docs.google.com/spreadsheets/d/1qpEmbGH0JjaJbUdp21-y2cPbobDbMjr09BbtdKROZWc/edit#gid=1444865654"",""articles_with_PRISMA_reasons!B2:B2113""))&lt;2),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$A398=IMPORTRANGE(""https://docs.google.com/spreadsheets/d/1qpEmbGH0JjaJbUdp21-y2cPbobDbMjr09BbtdKRO"&amp;"ZWc/edit#gid=1444865654"",""articles_with_PRISMA_reasons!B2:B2113""))&lt;2,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$A398=IMPOR"&amp;"TRANGE(""https://docs.google.com/spreadsheets/d/1qpEmbGH0JjaJbUdp21-y2cPbobDbMjr09BbtdKROZWc/edit#gid=1444865654"",""articles_with_PRISMA_reasons!B2:B2113""))&gt;=2),
""Exclude""
)"),"Exclude")</f>
        <v>Exclude</v>
      </c>
      <c r="F398" s="5" t="str">
        <f>IFERROR(__xludf.DUMMYFUNCTION("IFS(
E398=""Exclude"",""Exclude"",
AND(
COUNTIF(
IMPORTRANGE(""https://docs.google.com/spreadsheets/d/1kGrh75X1cNR1D7_FcY9zMnHP8iPO4M5RCRjy6nZY0TY/edit#gid=0"",""Table 1: Study characteristics!B4:B171""),A398)&gt;0,
COUNTIF(Studies!$A$2:$A$85,FILTER(IMPORTRA"&amp;"NGE(""https://docs.google.com/spreadsheets/d/1kGrh75X1cNR1D7_FcY9zMnHP8iPO4M5RCRjy6nZY0TY/edit#gid=0"",""Table 1: Study characteristics!A4:A171""), $A398=IMPORTRANGE(""https://docs.google.com/spreadsheets/d/1kGrh75X1cNR1D7_FcY9zMnHP8iPO4M5RCRjy6nZY0TY/edi"&amp;"t#gid=0"",""Table 1: Study characteristics!B4:B171"")))&gt;0
),
""Include""
)"),"Exclude")</f>
        <v>Exclude</v>
      </c>
      <c r="G398" s="5" t="str">
        <f>IFERROR(__xludf.DUMMYFUNCTION("IFS(
D398=""Exclude"",
FILTER(IMPORTRANGE(""https://docs.google.com/spreadsheets/d/1BJSV3WBYJGRhQ6zExamkszQ5VutGIcaQqmbD9ZTVXMQ/edit#gid=1251630045"",""articles_with_PRISMA_reasons!AB2:AB2113""), $A398=IMPORTRANGE(""https://docs.google.com/spreadsheets/d/"&amp;"1BJSV3WBYJGRhQ6zExamkszQ5VutGIcaQqmbD9ZTVXMQ/edit#gid=1251630045"",""articles_with_PRISMA_reasons!B2:B2113"")),
E398=""Exclude"",
FILTER(IMPORTRANGE(""https://docs.google.com/spreadsheets/d/1qpEmbGH0JjaJbUdp21-y2cPbobDbMjr09BbtdKROZWc/edit#gid=1444865654"&amp;""",""articles_with_PRISMA_reasons!Z2:Z2113""), $A398=IMPORTRANGE(""https://docs.google.com/spreadsheets/d/1qpEmbGH0JjaJbUdp21-y2cPbobDbMjr09BbtdKROZWc/edit#gid=1444865654"",""articles_with_PRISMA_reasons!B2:B2113"")),F398
=""Include"",FILTER(IMPORTRANGE("&amp;"""https://docs.google.com/spreadsheets/d/1kGrh75X1cNR1D7_FcY9zMnHP8iPO4M5RCRjy6nZY0TY/edit#gid=0"",""Table 1: Study characteristics!A4:A171""), $A398=IMPORTRANGE(""https://docs.google.com/spreadsheets/d/1kGrh75X1cNR1D7_FcY9zMnHP8iPO4M5RCRjy6nZY0TY/edit#gi"&amp;"d=0"",""Table 1: Study characteristics!B4:B171""))
)"),"wrong population")</f>
        <v>wrong population</v>
      </c>
    </row>
    <row r="399">
      <c r="A399" s="4" t="str">
        <f>IFERROR(__xludf.DUMMYFUNCTION("""COMPUTED_VALUE"""),"Cervical (non-terminal) myelocystocele associated with rapidly progressive hydrocephalus and Chiari type II malformation--case report")</f>
        <v>Cervical (non-terminal) myelocystocele associated with rapidly progressive hydrocephalus and Chiari type II malformation--case report</v>
      </c>
      <c r="B399" s="5" t="str">
        <f>IFERROR(__xludf.DUMMYFUNCTION("LEFT(FILTER(IMPORTRANGE(""https://docs.google.com/spreadsheets/d/1BJSV3WBYJGRhQ6zExamkszQ5VutGIcaQqmbD9ZTVXMQ/edit#gid=1251630045"",""articles_with_PRISMA_reasons!K2:K2113""), $A399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$A399=IMPORTRANGE(""https://docs.google.com/spreadsheets/d/1BJSV3WBYJGRhQ6zExamkszQ5VutGIcaQqmbD9ZTVXMQ/edit#gid=1251630045"",""articles_with_PRISMA_reasons!B2:B2113"")))-1)"),"Ochiai")</f>
        <v>Ochiai</v>
      </c>
      <c r="C399" s="6">
        <f>IFERROR(__xludf.DUMMYFUNCTION("FILTER(IMPORTRANGE(""https://docs.google.com/spreadsheets/d/1BJSV3WBYJGRhQ6zExamkszQ5VutGIcaQqmbD9ZTVXMQ/edit#gid=1251630045"",""articles_with_PRISMA_reasons!C2:C2113""), $A399=IMPORTRANGE(""https://docs.google.com/spreadsheets/d/1BJSV3WBYJGRhQ6zExamkszQ5"&amp;"VutGIcaQqmbD9ZTVXMQ/edit#gid=1251630045"",""articles_with_PRISMA_reasons!B2:B2113""))"),2010.0)</f>
        <v>2010</v>
      </c>
      <c r="D399" s="5" t="str">
        <f>IFERROR(__xludf.DUMMYFUNCTION("IFS(AND(
FILTER(IMPORTRANGE(""https://docs.google.com/spreadsheets/d/1BJSV3WBYJGRhQ6zExamkszQ5VutGIcaQqmbD9ZTVXMQ/edit#gid=1251630045"",""articles_with_PRISMA_reasons!Y2:Y2113""), $A399=IMPORTRANGE(""https://docs.google.com/spreadsheets/d/1BJSV3WBYJGRhQ6z"&amp;"ExamkszQ5VutGIcaQqmbD9ZTVXMQ/edit#gid=1251630045"",""articles_with_PRISMA_reasons!B2:B2113""))&gt;=2,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$A399=IMPORTRANGE(""https://docs.google.com/spreadsheets/d/1BJSV3WBYJGRhQ6zExamkszQ5VutGIcaQqmbD9ZTVXMQ/edit#gid=1251630045"",""articles_with_PRISMA_reasons!B2:B2113""))&lt;2),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$A399=IMPORTRANGE(""https://docs.google.com/spreadsheets/d/1BJSV3WBYJGRhQ6zExamkszQ5VutGIcaQqmbD9ZTVXMQ/edit#gid=1251630045"",""arti"&amp;"cles_with_PRISMA_reasons!B2:B2113""))&lt;2,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$A399=IMPORTRANGE(""https://docs.google.com"&amp;"/spreadsheets/d/1BJSV3WBYJGRhQ6zExamkszQ5VutGIcaQqmbD9ZTVXMQ/edit#gid=1251630045"",""articles_with_PRISMA_reasons!B2:B2113""))&gt;=2),
""Exclude""
)"),"Exclude")</f>
        <v>Exclude</v>
      </c>
      <c r="E399" s="5" t="str">
        <f>IFERROR(__xludf.DUMMYFUNCTION("IFS(
D399=""Exclude"",""Exclude"",
AND(
FILTER(IMPORTRANGE(""https://docs.google.com/spreadsheets/d/1qpEmbGH0JjaJbUdp21-y2cPbobDbMjr09BbtdKROZWc/edit#gid=1444865654"",""articles_with_PRISMA_reasons!W2:W2113""), $A399=IMPORTRANGE(""https://docs.google.com/"&amp;"spreadsheets/d/1qpEmbGH0JjaJbUdp21-y2cPbobDbMjr09BbtdKROZWc/edit#gid=1444865654"",""articles_with_PRISMA_reasons!B2:B2113""))&gt;=2,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$A399=IMPORTRANGE(""https://docs.google.com/spreadsheets/d/1qpEmbGH0JjaJbUdp21-y2cPbobDbMjr09BbtdKROZWc/edit#gid=1444865654"",""articles_with_PRISMA_reasons!B2:B2113""))&lt;2),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$A399=IMPORTRANGE(""https://docs.google.com/spreadsheets/d/1qpEmbGH0JjaJbUdp21-y2cPbobDbMjr09BbtdKRO"&amp;"ZWc/edit#gid=1444865654"",""articles_with_PRISMA_reasons!B2:B2113""))&lt;2,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$A399=IMPOR"&amp;"TRANGE(""https://docs.google.com/spreadsheets/d/1qpEmbGH0JjaJbUdp21-y2cPbobDbMjr09BbtdKROZWc/edit#gid=1444865654"",""articles_with_PRISMA_reasons!B2:B2113""))&gt;=2),
""Exclude""
)"),"Exclude")</f>
        <v>Exclude</v>
      </c>
      <c r="F399" s="5" t="str">
        <f>IFERROR(__xludf.DUMMYFUNCTION("IFS(
E399=""Exclude"",""Exclude"",
AND(
COUNTIF(
IMPORTRANGE(""https://docs.google.com/spreadsheets/d/1kGrh75X1cNR1D7_FcY9zMnHP8iPO4M5RCRjy6nZY0TY/edit#gid=0"",""Table 1: Study characteristics!B4:B171""),A399)&gt;0,
COUNTIF(Studies!$A$2:$A$85,FILTER(IMPORTRA"&amp;"NGE(""https://docs.google.com/spreadsheets/d/1kGrh75X1cNR1D7_FcY9zMnHP8iPO4M5RCRjy6nZY0TY/edit#gid=0"",""Table 1: Study characteristics!A4:A171""), $A399=IMPORTRANGE(""https://docs.google.com/spreadsheets/d/1kGrh75X1cNR1D7_FcY9zMnHP8iPO4M5RCRjy6nZY0TY/edi"&amp;"t#gid=0"",""Table 1: Study characteristics!B4:B171"")))&gt;0
),
""Include""
)"),"Exclude")</f>
        <v>Exclude</v>
      </c>
      <c r="G399" s="5" t="str">
        <f>IFERROR(__xludf.DUMMYFUNCTION("IFS(
D399=""Exclude"",
FILTER(IMPORTRANGE(""https://docs.google.com/spreadsheets/d/1BJSV3WBYJGRhQ6zExamkszQ5VutGIcaQqmbD9ZTVXMQ/edit#gid=1251630045"",""articles_with_PRISMA_reasons!AB2:AB2113""), $A399=IMPORTRANGE(""https://docs.google.com/spreadsheets/d/"&amp;"1BJSV3WBYJGRhQ6zExamkszQ5VutGIcaQqmbD9ZTVXMQ/edit#gid=1251630045"",""articles_with_PRISMA_reasons!B2:B2113"")),
E399=""Exclude"",
FILTER(IMPORTRANGE(""https://docs.google.com/spreadsheets/d/1qpEmbGH0JjaJbUdp21-y2cPbobDbMjr09BbtdKROZWc/edit#gid=1444865654"&amp;""",""articles_with_PRISMA_reasons!Z2:Z2113""), $A399=IMPORTRANGE(""https://docs.google.com/spreadsheets/d/1qpEmbGH0JjaJbUdp21-y2cPbobDbMjr09BbtdKROZWc/edit#gid=1444865654"",""articles_with_PRISMA_reasons!B2:B2113"")),F399
=""Include"",FILTER(IMPORTRANGE("&amp;"""https://docs.google.com/spreadsheets/d/1kGrh75X1cNR1D7_FcY9zMnHP8iPO4M5RCRjy6nZY0TY/edit#gid=0"",""Table 1: Study characteristics!A4:A171""), $A399=IMPORTRANGE(""https://docs.google.com/spreadsheets/d/1kGrh75X1cNR1D7_FcY9zMnHP8iPO4M5RCRjy6nZY0TY/edit#gi"&amp;"d=0"",""Table 1: Study characteristics!B4:B171""))
)"),"wrong publication type")</f>
        <v>wrong publication type</v>
      </c>
    </row>
    <row r="400">
      <c r="A400" s="4" t="str">
        <f>IFERROR(__xludf.DUMMYFUNCTION("""COMPUTED_VALUE"""),"Cervical diastematomyelia and syringohydromyelia in a myelomeningocele patient")</f>
        <v>Cervical diastematomyelia and syringohydromyelia in a myelomeningocele patient</v>
      </c>
      <c r="B400" s="5" t="str">
        <f>IFERROR(__xludf.DUMMYFUNCTION("LEFT(FILTER(IMPORTRANGE(""https://docs.google.com/spreadsheets/d/1BJSV3WBYJGRhQ6zExamkszQ5VutGIcaQqmbD9ZTVXMQ/edit#gid=1251630045"",""articles_with_PRISMA_reasons!K2:K2113""), $A400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$A400=IMPORTRANGE(""https://docs.google.com/spreadsheets/d/1BJSV3WBYJGRhQ6zExamkszQ5VutGIcaQqmbD9ZTVXMQ/edit#gid=1251630045"",""articles_with_PRISMA_reasons!B2:B2113"")))-1)"),"Jaeger")</f>
        <v>Jaeger</v>
      </c>
      <c r="C400" s="6">
        <f>IFERROR(__xludf.DUMMYFUNCTION("FILTER(IMPORTRANGE(""https://docs.google.com/spreadsheets/d/1BJSV3WBYJGRhQ6zExamkszQ5VutGIcaQqmbD9ZTVXMQ/edit#gid=1251630045"",""articles_with_PRISMA_reasons!C2:C2113""), $A400=IMPORTRANGE(""https://docs.google.com/spreadsheets/d/1BJSV3WBYJGRhQ6zExamkszQ5"&amp;"VutGIcaQqmbD9ZTVXMQ/edit#gid=1251630045"",""articles_with_PRISMA_reasons!B2:B2113""))"),1997.0)</f>
        <v>1997</v>
      </c>
      <c r="D400" s="5" t="str">
        <f>IFERROR(__xludf.DUMMYFUNCTION("IFS(AND(
FILTER(IMPORTRANGE(""https://docs.google.com/spreadsheets/d/1BJSV3WBYJGRhQ6zExamkszQ5VutGIcaQqmbD9ZTVXMQ/edit#gid=1251630045"",""articles_with_PRISMA_reasons!Y2:Y2113""), $A400=IMPORTRANGE(""https://docs.google.com/spreadsheets/d/1BJSV3WBYJGRhQ6z"&amp;"ExamkszQ5VutGIcaQqmbD9ZTVXMQ/edit#gid=1251630045"",""articles_with_PRISMA_reasons!B2:B2113""))&gt;=2,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$A400=IMPORTRANGE(""https://docs.google.com/spreadsheets/d/1BJSV3WBYJGRhQ6zExamkszQ5VutGIcaQqmbD9ZTVXMQ/edit#gid=1251630045"",""articles_with_PRISMA_reasons!B2:B2113""))&lt;2),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$A400=IMPORTRANGE(""https://docs.google.com/spreadsheets/d/1BJSV3WBYJGRhQ6zExamkszQ5VutGIcaQqmbD9ZTVXMQ/edit#gid=1251630045"",""arti"&amp;"cles_with_PRISMA_reasons!B2:B2113""))&lt;2,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$A400=IMPORTRANGE(""https://docs.google.com"&amp;"/spreadsheets/d/1BJSV3WBYJGRhQ6zExamkszQ5VutGIcaQqmbD9ZTVXMQ/edit#gid=1251630045"",""articles_with_PRISMA_reasons!B2:B2113""))&gt;=2),
""Exclude""
)"),"Exclude")</f>
        <v>Exclude</v>
      </c>
      <c r="E400" s="5" t="str">
        <f>IFERROR(__xludf.DUMMYFUNCTION("IFS(
D400=""Exclude"",""Exclude"",
AND(
FILTER(IMPORTRANGE(""https://docs.google.com/spreadsheets/d/1qpEmbGH0JjaJbUdp21-y2cPbobDbMjr09BbtdKROZWc/edit#gid=1444865654"",""articles_with_PRISMA_reasons!W2:W2113""), $A400=IMPORTRANGE(""https://docs.google.com/"&amp;"spreadsheets/d/1qpEmbGH0JjaJbUdp21-y2cPbobDbMjr09BbtdKROZWc/edit#gid=1444865654"",""articles_with_PRISMA_reasons!B2:B2113""))&gt;=2,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$A400=IMPORTRANGE(""https://docs.google.com/spreadsheets/d/1qpEmbGH0JjaJbUdp21-y2cPbobDbMjr09BbtdKROZWc/edit#gid=1444865654"",""articles_with_PRISMA_reasons!B2:B2113""))&lt;2),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$A400=IMPORTRANGE(""https://docs.google.com/spreadsheets/d/1qpEmbGH0JjaJbUdp21-y2cPbobDbMjr09BbtdKRO"&amp;"ZWc/edit#gid=1444865654"",""articles_with_PRISMA_reasons!B2:B2113""))&lt;2,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$A400=IMPOR"&amp;"TRANGE(""https://docs.google.com/spreadsheets/d/1qpEmbGH0JjaJbUdp21-y2cPbobDbMjr09BbtdKROZWc/edit#gid=1444865654"",""articles_with_PRISMA_reasons!B2:B2113""))&gt;=2),
""Exclude""
)"),"Exclude")</f>
        <v>Exclude</v>
      </c>
      <c r="F400" s="5" t="str">
        <f>IFERROR(__xludf.DUMMYFUNCTION("IFS(
E400=""Exclude"",""Exclude"",
AND(
COUNTIF(
IMPORTRANGE(""https://docs.google.com/spreadsheets/d/1kGrh75X1cNR1D7_FcY9zMnHP8iPO4M5RCRjy6nZY0TY/edit#gid=0"",""Table 1: Study characteristics!B4:B171""),A400)&gt;0,
COUNTIF(Studies!$A$2:$A$85,FILTER(IMPORTRA"&amp;"NGE(""https://docs.google.com/spreadsheets/d/1kGrh75X1cNR1D7_FcY9zMnHP8iPO4M5RCRjy6nZY0TY/edit#gid=0"",""Table 1: Study characteristics!A4:A171""), $A400=IMPORTRANGE(""https://docs.google.com/spreadsheets/d/1kGrh75X1cNR1D7_FcY9zMnHP8iPO4M5RCRjy6nZY0TY/edi"&amp;"t#gid=0"",""Table 1: Study characteristics!B4:B171"")))&gt;0
),
""Include""
)"),"Exclude")</f>
        <v>Exclude</v>
      </c>
      <c r="G400" s="5" t="str">
        <f>IFERROR(__xludf.DUMMYFUNCTION("IFS(
D400=""Exclude"",
FILTER(IMPORTRANGE(""https://docs.google.com/spreadsheets/d/1BJSV3WBYJGRhQ6zExamkszQ5VutGIcaQqmbD9ZTVXMQ/edit#gid=1251630045"",""articles_with_PRISMA_reasons!AB2:AB2113""), $A400=IMPORTRANGE(""https://docs.google.com/spreadsheets/d/"&amp;"1BJSV3WBYJGRhQ6zExamkszQ5VutGIcaQqmbD9ZTVXMQ/edit#gid=1251630045"",""articles_with_PRISMA_reasons!B2:B2113"")),
E400=""Exclude"",
FILTER(IMPORTRANGE(""https://docs.google.com/spreadsheets/d/1qpEmbGH0JjaJbUdp21-y2cPbobDbMjr09BbtdKROZWc/edit#gid=1444865654"&amp;""",""articles_with_PRISMA_reasons!Z2:Z2113""), $A400=IMPORTRANGE(""https://docs.google.com/spreadsheets/d/1qpEmbGH0JjaJbUdp21-y2cPbobDbMjr09BbtdKROZWc/edit#gid=1444865654"",""articles_with_PRISMA_reasons!B2:B2113"")),F400
=""Include"",FILTER(IMPORTRANGE("&amp;"""https://docs.google.com/spreadsheets/d/1kGrh75X1cNR1D7_FcY9zMnHP8iPO4M5RCRjy6nZY0TY/edit#gid=0"",""Table 1: Study characteristics!A4:A171""), $A400=IMPORTRANGE(""https://docs.google.com/spreadsheets/d/1kGrh75X1cNR1D7_FcY9zMnHP8iPO4M5RCRjy6nZY0TY/edit#gi"&amp;"d=0"",""Table 1: Study characteristics!B4:B171""))
)"),"wrong publication type")</f>
        <v>wrong publication type</v>
      </c>
    </row>
    <row r="401">
      <c r="A401" s="4" t="str">
        <f>IFERROR(__xludf.DUMMYFUNCTION("""COMPUTED_VALUE"""),"Cervical meningocele and associated spinal anomalies")</f>
        <v>Cervical meningocele and associated spinal anomalies</v>
      </c>
      <c r="B401" s="5" t="str">
        <f>IFERROR(__xludf.DUMMYFUNCTION("LEFT(FILTER(IMPORTRANGE(""https://docs.google.com/spreadsheets/d/1BJSV3WBYJGRhQ6zExamkszQ5VutGIcaQqmbD9ZTVXMQ/edit#gid=1251630045"",""articles_with_PRISMA_reasons!K2:K2113""), $A401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$A401=IMPORTRANGE(""https://docs.google.com/spreadsheets/d/1BJSV3WBYJGRhQ6zExamkszQ5VutGIcaQqmbD9ZTVXMQ/edit#gid=1251630045"",""articles_with_PRISMA_reasons!B2:B2113"")))-1)"),"Delashaw")</f>
        <v>Delashaw</v>
      </c>
      <c r="C401" s="6">
        <f>IFERROR(__xludf.DUMMYFUNCTION("FILTER(IMPORTRANGE(""https://docs.google.com/spreadsheets/d/1BJSV3WBYJGRhQ6zExamkszQ5VutGIcaQqmbD9ZTVXMQ/edit#gid=1251630045"",""articles_with_PRISMA_reasons!C2:C2113""), $A401=IMPORTRANGE(""https://docs.google.com/spreadsheets/d/1BJSV3WBYJGRhQ6zExamkszQ5"&amp;"VutGIcaQqmbD9ZTVXMQ/edit#gid=1251630045"",""articles_with_PRISMA_reasons!B2:B2113""))"),1987.0)</f>
        <v>1987</v>
      </c>
      <c r="D401" s="5" t="str">
        <f>IFERROR(__xludf.DUMMYFUNCTION("IFS(AND(
FILTER(IMPORTRANGE(""https://docs.google.com/spreadsheets/d/1BJSV3WBYJGRhQ6zExamkszQ5VutGIcaQqmbD9ZTVXMQ/edit#gid=1251630045"",""articles_with_PRISMA_reasons!Y2:Y2113""), $A401=IMPORTRANGE(""https://docs.google.com/spreadsheets/d/1BJSV3WBYJGRhQ6z"&amp;"ExamkszQ5VutGIcaQqmbD9ZTVXMQ/edit#gid=1251630045"",""articles_with_PRISMA_reasons!B2:B2113""))&gt;=2,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$A401=IMPORTRANGE(""https://docs.google.com/spreadsheets/d/1BJSV3WBYJGRhQ6zExamkszQ5VutGIcaQqmbD9ZTVXMQ/edit#gid=1251630045"",""articles_with_PRISMA_reasons!B2:B2113""))&lt;2),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$A401=IMPORTRANGE(""https://docs.google.com/spreadsheets/d/1BJSV3WBYJGRhQ6zExamkszQ5VutGIcaQqmbD9ZTVXMQ/edit#gid=1251630045"",""arti"&amp;"cles_with_PRISMA_reasons!B2:B2113""))&lt;2,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$A401=IMPORTRANGE(""https://docs.google.com"&amp;"/spreadsheets/d/1BJSV3WBYJGRhQ6zExamkszQ5VutGIcaQqmbD9ZTVXMQ/edit#gid=1251630045"",""articles_with_PRISMA_reasons!B2:B2113""))&gt;=2),
""Exclude""
)"),"Exclude")</f>
        <v>Exclude</v>
      </c>
      <c r="E401" s="5" t="str">
        <f>IFERROR(__xludf.DUMMYFUNCTION("IFS(
D401=""Exclude"",""Exclude"",
AND(
FILTER(IMPORTRANGE(""https://docs.google.com/spreadsheets/d/1qpEmbGH0JjaJbUdp21-y2cPbobDbMjr09BbtdKROZWc/edit#gid=1444865654"",""articles_with_PRISMA_reasons!W2:W2113""), $A401=IMPORTRANGE(""https://docs.google.com/"&amp;"spreadsheets/d/1qpEmbGH0JjaJbUdp21-y2cPbobDbMjr09BbtdKROZWc/edit#gid=1444865654"",""articles_with_PRISMA_reasons!B2:B2113""))&gt;=2,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$A401=IMPORTRANGE(""https://docs.google.com/spreadsheets/d/1qpEmbGH0JjaJbUdp21-y2cPbobDbMjr09BbtdKROZWc/edit#gid=1444865654"",""articles_with_PRISMA_reasons!B2:B2113""))&lt;2),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$A401=IMPORTRANGE(""https://docs.google.com/spreadsheets/d/1qpEmbGH0JjaJbUdp21-y2cPbobDbMjr09BbtdKRO"&amp;"ZWc/edit#gid=1444865654"",""articles_with_PRISMA_reasons!B2:B2113""))&lt;2,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$A401=IMPOR"&amp;"TRANGE(""https://docs.google.com/spreadsheets/d/1qpEmbGH0JjaJbUdp21-y2cPbobDbMjr09BbtdKROZWc/edit#gid=1444865654"",""articles_with_PRISMA_reasons!B2:B2113""))&gt;=2),
""Exclude""
)"),"Exclude")</f>
        <v>Exclude</v>
      </c>
      <c r="F401" s="5" t="str">
        <f>IFERROR(__xludf.DUMMYFUNCTION("IFS(
E401=""Exclude"",""Exclude"",
AND(
COUNTIF(
IMPORTRANGE(""https://docs.google.com/spreadsheets/d/1kGrh75X1cNR1D7_FcY9zMnHP8iPO4M5RCRjy6nZY0TY/edit#gid=0"",""Table 1: Study characteristics!B4:B171""),A401)&gt;0,
COUNTIF(Studies!$A$2:$A$85,FILTER(IMPORTRA"&amp;"NGE(""https://docs.google.com/spreadsheets/d/1kGrh75X1cNR1D7_FcY9zMnHP8iPO4M5RCRjy6nZY0TY/edit#gid=0"",""Table 1: Study characteristics!A4:A171""), $A401=IMPORTRANGE(""https://docs.google.com/spreadsheets/d/1kGrh75X1cNR1D7_FcY9zMnHP8iPO4M5RCRjy6nZY0TY/edi"&amp;"t#gid=0"",""Table 1: Study characteristics!B4:B171"")))&gt;0
),
""Include""
)"),"Exclude")</f>
        <v>Exclude</v>
      </c>
      <c r="G401" s="5" t="str">
        <f>IFERROR(__xludf.DUMMYFUNCTION("IFS(
D401=""Exclude"",
FILTER(IMPORTRANGE(""https://docs.google.com/spreadsheets/d/1BJSV3WBYJGRhQ6zExamkszQ5VutGIcaQqmbD9ZTVXMQ/edit#gid=1251630045"",""articles_with_PRISMA_reasons!AB2:AB2113""), $A401=IMPORTRANGE(""https://docs.google.com/spreadsheets/d/"&amp;"1BJSV3WBYJGRhQ6zExamkszQ5VutGIcaQqmbD9ZTVXMQ/edit#gid=1251630045"",""articles_with_PRISMA_reasons!B2:B2113"")),
E401=""Exclude"",
FILTER(IMPORTRANGE(""https://docs.google.com/spreadsheets/d/1qpEmbGH0JjaJbUdp21-y2cPbobDbMjr09BbtdKROZWc/edit#gid=1444865654"&amp;""",""articles_with_PRISMA_reasons!Z2:Z2113""), $A401=IMPORTRANGE(""https://docs.google.com/spreadsheets/d/1qpEmbGH0JjaJbUdp21-y2cPbobDbMjr09BbtdKROZWc/edit#gid=1444865654"",""articles_with_PRISMA_reasons!B2:B2113"")),F401
=""Include"",FILTER(IMPORTRANGE("&amp;"""https://docs.google.com/spreadsheets/d/1kGrh75X1cNR1D7_FcY9zMnHP8iPO4M5RCRjy6nZY0TY/edit#gid=0"",""Table 1: Study characteristics!A4:A171""), $A401=IMPORTRANGE(""https://docs.google.com/spreadsheets/d/1kGrh75X1cNR1D7_FcY9zMnHP8iPO4M5RCRjy6nZY0TY/edit#gi"&amp;"d=0"",""Table 1: Study characteristics!B4:B171""))
)"),"wrong population")</f>
        <v>wrong population</v>
      </c>
    </row>
    <row r="402">
      <c r="A402" s="4" t="str">
        <f>IFERROR(__xludf.DUMMYFUNCTION("""COMPUTED_VALUE"""),"Cervical meningomyelocele--an institutional experience")</f>
        <v>Cervical meningomyelocele--an institutional experience</v>
      </c>
      <c r="B402" s="5" t="str">
        <f>IFERROR(__xludf.DUMMYFUNCTION("LEFT(FILTER(IMPORTRANGE(""https://docs.google.com/spreadsheets/d/1BJSV3WBYJGRhQ6zExamkszQ5VutGIcaQqmbD9ZTVXMQ/edit#gid=1251630045"",""articles_with_PRISMA_reasons!K2:K2113""), $A402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$A402=IMPORTRANGE(""https://docs.google.com/spreadsheets/d/1BJSV3WBYJGRhQ6zExamkszQ5VutGIcaQqmbD9ZTVXMQ/edit#gid=1251630045"",""articles_with_PRISMA_reasons!B2:B2113"")))-1)"),"Kasliwal")</f>
        <v>Kasliwal</v>
      </c>
      <c r="C402" s="6">
        <f>IFERROR(__xludf.DUMMYFUNCTION("FILTER(IMPORTRANGE(""https://docs.google.com/spreadsheets/d/1BJSV3WBYJGRhQ6zExamkszQ5VutGIcaQqmbD9ZTVXMQ/edit#gid=1251630045"",""articles_with_PRISMA_reasons!C2:C2113""), $A402=IMPORTRANGE(""https://docs.google.com/spreadsheets/d/1BJSV3WBYJGRhQ6zExamkszQ5"&amp;"VutGIcaQqmbD9ZTVXMQ/edit#gid=1251630045"",""articles_with_PRISMA_reasons!B2:B2113""))"),2007.0)</f>
        <v>2007</v>
      </c>
      <c r="D402" s="5" t="str">
        <f>IFERROR(__xludf.DUMMYFUNCTION("IFS(AND(
FILTER(IMPORTRANGE(""https://docs.google.com/spreadsheets/d/1BJSV3WBYJGRhQ6zExamkszQ5VutGIcaQqmbD9ZTVXMQ/edit#gid=1251630045"",""articles_with_PRISMA_reasons!Y2:Y2113""), $A402=IMPORTRANGE(""https://docs.google.com/spreadsheets/d/1BJSV3WBYJGRhQ6z"&amp;"ExamkszQ5VutGIcaQqmbD9ZTVXMQ/edit#gid=1251630045"",""articles_with_PRISMA_reasons!B2:B2113""))&gt;=2,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$A402=IMPORTRANGE(""https://docs.google.com/spreadsheets/d/1BJSV3WBYJGRhQ6zExamkszQ5VutGIcaQqmbD9ZTVXMQ/edit#gid=1251630045"",""articles_with_PRISMA_reasons!B2:B2113""))&lt;2),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$A402=IMPORTRANGE(""https://docs.google.com/spreadsheets/d/1BJSV3WBYJGRhQ6zExamkszQ5VutGIcaQqmbD9ZTVXMQ/edit#gid=1251630045"",""arti"&amp;"cles_with_PRISMA_reasons!B2:B2113""))&lt;2,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$A402=IMPORTRANGE(""https://docs.google.com"&amp;"/spreadsheets/d/1BJSV3WBYJGRhQ6zExamkszQ5VutGIcaQqmbD9ZTVXMQ/edit#gid=1251630045"",""articles_with_PRISMA_reasons!B2:B2113""))&gt;=2),
""Exclude""
)"),"Include")</f>
        <v>Include</v>
      </c>
      <c r="E402" s="5" t="str">
        <f>IFERROR(__xludf.DUMMYFUNCTION("IFS(
D402=""Exclude"",""Exclude"",
AND(
FILTER(IMPORTRANGE(""https://docs.google.com/spreadsheets/d/1qpEmbGH0JjaJbUdp21-y2cPbobDbMjr09BbtdKROZWc/edit#gid=1444865654"",""articles_with_PRISMA_reasons!W2:W2113""), $A402=IMPORTRANGE(""https://docs.google.com/"&amp;"spreadsheets/d/1qpEmbGH0JjaJbUdp21-y2cPbobDbMjr09BbtdKROZWc/edit#gid=1444865654"",""articles_with_PRISMA_reasons!B2:B2113""))&gt;=2,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$A402=IMPORTRANGE(""https://docs.google.com/spreadsheets/d/1qpEmbGH0JjaJbUdp21-y2cPbobDbMjr09BbtdKROZWc/edit#gid=1444865654"",""articles_with_PRISMA_reasons!B2:B2113""))&lt;2),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$A402=IMPORTRANGE(""https://docs.google.com/spreadsheets/d/1qpEmbGH0JjaJbUdp21-y2cPbobDbMjr09BbtdKRO"&amp;"ZWc/edit#gid=1444865654"",""articles_with_PRISMA_reasons!B2:B2113""))&lt;2,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$A402=IMPOR"&amp;"TRANGE(""https://docs.google.com/spreadsheets/d/1qpEmbGH0JjaJbUdp21-y2cPbobDbMjr09BbtdKROZWc/edit#gid=1444865654"",""articles_with_PRISMA_reasons!B2:B2113""))&gt;=2),
""Exclude""
)"),"Include")</f>
        <v>Include</v>
      </c>
      <c r="F402" s="2" t="s">
        <v>8</v>
      </c>
      <c r="G402" s="2" t="s">
        <v>9</v>
      </c>
    </row>
    <row r="403">
      <c r="A403" s="4" t="str">
        <f>IFERROR(__xludf.DUMMYFUNCTION("""COMPUTED_VALUE"""),"Cervical myelomeningocele")</f>
        <v>Cervical myelomeningocele</v>
      </c>
      <c r="B403" s="5" t="str">
        <f>IFERROR(__xludf.DUMMYFUNCTION("LEFT(FILTER(IMPORTRANGE(""https://docs.google.com/spreadsheets/d/1BJSV3WBYJGRhQ6zExamkszQ5VutGIcaQqmbD9ZTVXMQ/edit#gid=1251630045"",""articles_with_PRISMA_reasons!K2:K2113""), $A403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$A403=IMPORTRANGE(""https://docs.google.com/spreadsheets/d/1BJSV3WBYJGRhQ6zExamkszQ5VutGIcaQqmbD9ZTVXMQ/edit#gid=1251630045"",""articles_with_PRISMA_reasons!B2:B2113"")))-1)"),"Habibi")</f>
        <v>Habibi</v>
      </c>
      <c r="C403" s="6">
        <f>IFERROR(__xludf.DUMMYFUNCTION("FILTER(IMPORTRANGE(""https://docs.google.com/spreadsheets/d/1BJSV3WBYJGRhQ6zExamkszQ5VutGIcaQqmbD9ZTVXMQ/edit#gid=1251630045"",""articles_with_PRISMA_reasons!C2:C2113""), $A403=IMPORTRANGE(""https://docs.google.com/spreadsheets/d/1BJSV3WBYJGRhQ6zExamkszQ5"&amp;"VutGIcaQqmbD9ZTVXMQ/edit#gid=1251630045"",""articles_with_PRISMA_reasons!B2:B2113""))"),2006.0)</f>
        <v>2006</v>
      </c>
      <c r="D403" s="5" t="str">
        <f>IFERROR(__xludf.DUMMYFUNCTION("IFS(AND(
FILTER(IMPORTRANGE(""https://docs.google.com/spreadsheets/d/1BJSV3WBYJGRhQ6zExamkszQ5VutGIcaQqmbD9ZTVXMQ/edit#gid=1251630045"",""articles_with_PRISMA_reasons!Y2:Y2113""), $A403=IMPORTRANGE(""https://docs.google.com/spreadsheets/d/1BJSV3WBYJGRhQ6z"&amp;"ExamkszQ5VutGIcaQqmbD9ZTVXMQ/edit#gid=1251630045"",""articles_with_PRISMA_reasons!B2:B2113""))&gt;=2,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$A403=IMPORTRANGE(""https://docs.google.com/spreadsheets/d/1BJSV3WBYJGRhQ6zExamkszQ5VutGIcaQqmbD9ZTVXMQ/edit#gid=1251630045"",""articles_with_PRISMA_reasons!B2:B2113""))&lt;2),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$A403=IMPORTRANGE(""https://docs.google.com/spreadsheets/d/1BJSV3WBYJGRhQ6zExamkszQ5VutGIcaQqmbD9ZTVXMQ/edit#gid=1251630045"",""arti"&amp;"cles_with_PRISMA_reasons!B2:B2113""))&lt;2,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$A403=IMPORTRANGE(""https://docs.google.com"&amp;"/spreadsheets/d/1BJSV3WBYJGRhQ6zExamkszQ5VutGIcaQqmbD9ZTVXMQ/edit#gid=1251630045"",""articles_with_PRISMA_reasons!B2:B2113""))&gt;=2),
""Exclude""
)"),"Include")</f>
        <v>Include</v>
      </c>
      <c r="E403" s="5" t="str">
        <f>IFERROR(__xludf.DUMMYFUNCTION("IFS(
D403=""Exclude"",""Exclude"",
AND(
FILTER(IMPORTRANGE(""https://docs.google.com/spreadsheets/d/1qpEmbGH0JjaJbUdp21-y2cPbobDbMjr09BbtdKROZWc/edit#gid=1444865654"",""articles_with_PRISMA_reasons!W2:W2113""), $A403=IMPORTRANGE(""https://docs.google.com/"&amp;"spreadsheets/d/1qpEmbGH0JjaJbUdp21-y2cPbobDbMjr09BbtdKROZWc/edit#gid=1444865654"",""articles_with_PRISMA_reasons!B2:B2113""))&gt;=2,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$A403=IMPORTRANGE(""https://docs.google.com/spreadsheets/d/1qpEmbGH0JjaJbUdp21-y2cPbobDbMjr09BbtdKROZWc/edit#gid=1444865654"",""articles_with_PRISMA_reasons!B2:B2113""))&lt;2),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$A403=IMPORTRANGE(""https://docs.google.com/spreadsheets/d/1qpEmbGH0JjaJbUdp21-y2cPbobDbMjr09BbtdKRO"&amp;"ZWc/edit#gid=1444865654"",""articles_with_PRISMA_reasons!B2:B2113""))&lt;2,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$A403=IMPOR"&amp;"TRANGE(""https://docs.google.com/spreadsheets/d/1qpEmbGH0JjaJbUdp21-y2cPbobDbMjr09BbtdKROZWc/edit#gid=1444865654"",""articles_with_PRISMA_reasons!B2:B2113""))&gt;=2),
""Exclude""
)"),"Include")</f>
        <v>Include</v>
      </c>
      <c r="F403" s="5" t="str">
        <f>IFERROR(__xludf.DUMMYFUNCTION("IFS(
E403=""Exclude"",""Exclude"",
AND(
COUNTIF(
IMPORTRANGE(""https://docs.google.com/spreadsheets/d/1kGrh75X1cNR1D7_FcY9zMnHP8iPO4M5RCRjy6nZY0TY/edit#gid=0"",""Table 1: Study characteristics!B4:B171""),A403)&gt;0,
COUNTIF(Studies!$A$2:$A$85,FILTER(IMPORTRA"&amp;"NGE(""https://docs.google.com/spreadsheets/d/1kGrh75X1cNR1D7_FcY9zMnHP8iPO4M5RCRjy6nZY0TY/edit#gid=0"",""Table 1: Study characteristics!A4:A171""), $A403=IMPORTRANGE(""https://docs.google.com/spreadsheets/d/1kGrh75X1cNR1D7_FcY9zMnHP8iPO4M5RCRjy6nZY0TY/edi"&amp;"t#gid=0"",""Table 1: Study characteristics!B4:B171"")))&gt;0
),
""Include""
)"),"Include")</f>
        <v>Include</v>
      </c>
      <c r="G403" s="5" t="str">
        <f>IFERROR(__xludf.DUMMYFUNCTION("IFS(
D403=""Exclude"",
FILTER(IMPORTRANGE(""https://docs.google.com/spreadsheets/d/1BJSV3WBYJGRhQ6zExamkszQ5VutGIcaQqmbD9ZTVXMQ/edit#gid=1251630045"",""articles_with_PRISMA_reasons!AB2:AB2113""), $A403=IMPORTRANGE(""https://docs.google.com/spreadsheets/d/"&amp;"1BJSV3WBYJGRhQ6zExamkszQ5VutGIcaQqmbD9ZTVXMQ/edit#gid=1251630045"",""articles_with_PRISMA_reasons!B2:B2113"")),
E403=""Exclude"",
FILTER(IMPORTRANGE(""https://docs.google.com/spreadsheets/d/1qpEmbGH0JjaJbUdp21-y2cPbobDbMjr09BbtdKROZWc/edit#gid=1444865654"&amp;""",""articles_with_PRISMA_reasons!Z2:Z2113""), $A403=IMPORTRANGE(""https://docs.google.com/spreadsheets/d/1qpEmbGH0JjaJbUdp21-y2cPbobDbMjr09BbtdKROZWc/edit#gid=1444865654"",""articles_with_PRISMA_reasons!B2:B2113"")),F403
=""Include"",FILTER(IMPORTRANGE("&amp;"""https://docs.google.com/spreadsheets/d/1kGrh75X1cNR1D7_FcY9zMnHP8iPO4M5RCRjy6nZY0TY/edit#gid=0"",""Table 1: Study characteristics!A4:A171""), $A403=IMPORTRANGE(""https://docs.google.com/spreadsheets/d/1kGrh75X1cNR1D7_FcY9zMnHP8iPO4M5RCRjy6nZY0TY/edit#gi"&amp;"d=0"",""Table 1: Study characteristics!B4:B171""))
)"),"ID 20")</f>
        <v>ID 20</v>
      </c>
    </row>
    <row r="404">
      <c r="A404" s="4" t="str">
        <f>IFERROR(__xludf.DUMMYFUNCTION("""COMPUTED_VALUE"""),"Cervical myelomeningocele with CSF leakage: a case-based review")</f>
        <v>Cervical myelomeningocele with CSF leakage: a case-based review</v>
      </c>
      <c r="B404" s="5" t="str">
        <f>IFERROR(__xludf.DUMMYFUNCTION("LEFT(FILTER(IMPORTRANGE(""https://docs.google.com/spreadsheets/d/1BJSV3WBYJGRhQ6zExamkszQ5VutGIcaQqmbD9ZTVXMQ/edit#gid=1251630045"",""articles_with_PRISMA_reasons!K2:K2113""), $A404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$A404=IMPORTRANGE(""https://docs.google.com/spreadsheets/d/1BJSV3WBYJGRhQ6zExamkszQ5VutGIcaQqmbD9ZTVXMQ/edit#gid=1251630045"",""articles_with_PRISMA_reasons!B2:B2113"")))-1)"),"Armas-Melian")</f>
        <v>Armas-Melian</v>
      </c>
      <c r="C404" s="6">
        <f>IFERROR(__xludf.DUMMYFUNCTION("FILTER(IMPORTRANGE(""https://docs.google.com/spreadsheets/d/1BJSV3WBYJGRhQ6zExamkszQ5VutGIcaQqmbD9ZTVXMQ/edit#gid=1251630045"",""articles_with_PRISMA_reasons!C2:C2113""), $A404=IMPORTRANGE(""https://docs.google.com/spreadsheets/d/1BJSV3WBYJGRhQ6zExamkszQ5"&amp;"VutGIcaQqmbD9ZTVXMQ/edit#gid=1251630045"",""articles_with_PRISMA_reasons!B2:B2113""))"),2020.0)</f>
        <v>2020</v>
      </c>
      <c r="D404" s="5" t="str">
        <f>IFERROR(__xludf.DUMMYFUNCTION("IFS(AND(
FILTER(IMPORTRANGE(""https://docs.google.com/spreadsheets/d/1BJSV3WBYJGRhQ6zExamkszQ5VutGIcaQqmbD9ZTVXMQ/edit#gid=1251630045"",""articles_with_PRISMA_reasons!Y2:Y2113""), $A404=IMPORTRANGE(""https://docs.google.com/spreadsheets/d/1BJSV3WBYJGRhQ6z"&amp;"ExamkszQ5VutGIcaQqmbD9ZTVXMQ/edit#gid=1251630045"",""articles_with_PRISMA_reasons!B2:B2113""))&gt;=2,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$A404=IMPORTRANGE(""https://docs.google.com/spreadsheets/d/1BJSV3WBYJGRhQ6zExamkszQ5VutGIcaQqmbD9ZTVXMQ/edit#gid=1251630045"",""articles_with_PRISMA_reasons!B2:B2113""))&lt;2),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$A404=IMPORTRANGE(""https://docs.google.com/spreadsheets/d/1BJSV3WBYJGRhQ6zExamkszQ5VutGIcaQqmbD9ZTVXMQ/edit#gid=1251630045"",""arti"&amp;"cles_with_PRISMA_reasons!B2:B2113""))&lt;2,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$A404=IMPORTRANGE(""https://docs.google.com"&amp;"/spreadsheets/d/1BJSV3WBYJGRhQ6zExamkszQ5VutGIcaQqmbD9ZTVXMQ/edit#gid=1251630045"",""articles_with_PRISMA_reasons!B2:B2113""))&gt;=2),
""Exclude""
)"),"Exclude")</f>
        <v>Exclude</v>
      </c>
      <c r="E404" s="5" t="str">
        <f>IFERROR(__xludf.DUMMYFUNCTION("IFS(
D404=""Exclude"",""Exclude"",
AND(
FILTER(IMPORTRANGE(""https://docs.google.com/spreadsheets/d/1qpEmbGH0JjaJbUdp21-y2cPbobDbMjr09BbtdKROZWc/edit#gid=1444865654"",""articles_with_PRISMA_reasons!W2:W2113""), $A404=IMPORTRANGE(""https://docs.google.com/"&amp;"spreadsheets/d/1qpEmbGH0JjaJbUdp21-y2cPbobDbMjr09BbtdKROZWc/edit#gid=1444865654"",""articles_with_PRISMA_reasons!B2:B2113""))&gt;=2,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$A404=IMPORTRANGE(""https://docs.google.com/spreadsheets/d/1qpEmbGH0JjaJbUdp21-y2cPbobDbMjr09BbtdKROZWc/edit#gid=1444865654"",""articles_with_PRISMA_reasons!B2:B2113""))&lt;2),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$A404=IMPORTRANGE(""https://docs.google.com/spreadsheets/d/1qpEmbGH0JjaJbUdp21-y2cPbobDbMjr09BbtdKRO"&amp;"ZWc/edit#gid=1444865654"",""articles_with_PRISMA_reasons!B2:B2113""))&lt;2,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$A404=IMPOR"&amp;"TRANGE(""https://docs.google.com/spreadsheets/d/1qpEmbGH0JjaJbUdp21-y2cPbobDbMjr09BbtdKROZWc/edit#gid=1444865654"",""articles_with_PRISMA_reasons!B2:B2113""))&gt;=2),
""Exclude""
)"),"Exclude")</f>
        <v>Exclude</v>
      </c>
      <c r="F404" s="5" t="str">
        <f>IFERROR(__xludf.DUMMYFUNCTION("IFS(
E404=""Exclude"",""Exclude"",
AND(
COUNTIF(
IMPORTRANGE(""https://docs.google.com/spreadsheets/d/1kGrh75X1cNR1D7_FcY9zMnHP8iPO4M5RCRjy6nZY0TY/edit#gid=0"",""Table 1: Study characteristics!B4:B171""),A404)&gt;0,
COUNTIF(Studies!$A$2:$A$85,FILTER(IMPORTRA"&amp;"NGE(""https://docs.google.com/spreadsheets/d/1kGrh75X1cNR1D7_FcY9zMnHP8iPO4M5RCRjy6nZY0TY/edit#gid=0"",""Table 1: Study characteristics!A4:A171""), $A404=IMPORTRANGE(""https://docs.google.com/spreadsheets/d/1kGrh75X1cNR1D7_FcY9zMnHP8iPO4M5RCRjy6nZY0TY/edi"&amp;"t#gid=0"",""Table 1: Study characteristics!B4:B171"")))&gt;0
),
""Include""
)"),"Exclude")</f>
        <v>Exclude</v>
      </c>
      <c r="G404" s="5" t="str">
        <f>IFERROR(__xludf.DUMMYFUNCTION("IFS(
D404=""Exclude"",
FILTER(IMPORTRANGE(""https://docs.google.com/spreadsheets/d/1BJSV3WBYJGRhQ6zExamkszQ5VutGIcaQqmbD9ZTVXMQ/edit#gid=1251630045"",""articles_with_PRISMA_reasons!AB2:AB2113""), $A404=IMPORTRANGE(""https://docs.google.com/spreadsheets/d/"&amp;"1BJSV3WBYJGRhQ6zExamkszQ5VutGIcaQqmbD9ZTVXMQ/edit#gid=1251630045"",""articles_with_PRISMA_reasons!B2:B2113"")),
E404=""Exclude"",
FILTER(IMPORTRANGE(""https://docs.google.com/spreadsheets/d/1qpEmbGH0JjaJbUdp21-y2cPbobDbMjr09BbtdKROZWc/edit#gid=1444865654"&amp;""",""articles_with_PRISMA_reasons!Z2:Z2113""), $A404=IMPORTRANGE(""https://docs.google.com/spreadsheets/d/1qpEmbGH0JjaJbUdp21-y2cPbobDbMjr09BbtdKROZWc/edit#gid=1444865654"",""articles_with_PRISMA_reasons!B2:B2113"")),F404
=""Include"",FILTER(IMPORTRANGE("&amp;"""https://docs.google.com/spreadsheets/d/1kGrh75X1cNR1D7_FcY9zMnHP8iPO4M5RCRjy6nZY0TY/edit#gid=0"",""Table 1: Study characteristics!A4:A171""), $A404=IMPORTRANGE(""https://docs.google.com/spreadsheets/d/1kGrh75X1cNR1D7_FcY9zMnHP8iPO4M5RCRjy6nZY0TY/edit#gi"&amp;"d=0"",""Table 1: Study characteristics!B4:B171""))
)"),"wrong publication type")</f>
        <v>wrong publication type</v>
      </c>
    </row>
    <row r="405">
      <c r="A405" s="4" t="str">
        <f>IFERROR(__xludf.DUMMYFUNCTION("""COMPUTED_VALUE"""),"Cervical myelomeningocele--follow-up of five patients")</f>
        <v>Cervical myelomeningocele--follow-up of five patients</v>
      </c>
      <c r="B405" s="5" t="str">
        <f>IFERROR(__xludf.DUMMYFUNCTION("LEFT(FILTER(IMPORTRANGE(""https://docs.google.com/spreadsheets/d/1BJSV3WBYJGRhQ6zExamkszQ5VutGIcaQqmbD9ZTVXMQ/edit#gid=1251630045"",""articles_with_PRISMA_reasons!K2:K2113""), $A405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$A405=IMPORTRANGE(""https://docs.google.com/spreadsheets/d/1BJSV3WBYJGRhQ6zExamkszQ5VutGIcaQqmbD9ZTVXMQ/edit#gid=1251630045"",""articles_with_PRISMA_reasons!B2:B2113"")))-1)"),"Meyer-Heim")</f>
        <v>Meyer-Heim</v>
      </c>
      <c r="C405" s="6">
        <f>IFERROR(__xludf.DUMMYFUNCTION("FILTER(IMPORTRANGE(""https://docs.google.com/spreadsheets/d/1BJSV3WBYJGRhQ6zExamkszQ5VutGIcaQqmbD9ZTVXMQ/edit#gid=1251630045"",""articles_with_PRISMA_reasons!C2:C2113""), $A405=IMPORTRANGE(""https://docs.google.com/spreadsheets/d/1BJSV3WBYJGRhQ6zExamkszQ5"&amp;"VutGIcaQqmbD9ZTVXMQ/edit#gid=1251630045"",""articles_with_PRISMA_reasons!B2:B2113""))"),2003.0)</f>
        <v>2003</v>
      </c>
      <c r="D405" s="5" t="str">
        <f>IFERROR(__xludf.DUMMYFUNCTION("IFS(AND(
FILTER(IMPORTRANGE(""https://docs.google.com/spreadsheets/d/1BJSV3WBYJGRhQ6zExamkszQ5VutGIcaQqmbD9ZTVXMQ/edit#gid=1251630045"",""articles_with_PRISMA_reasons!Y2:Y2113""), $A405=IMPORTRANGE(""https://docs.google.com/spreadsheets/d/1BJSV3WBYJGRhQ6z"&amp;"ExamkszQ5VutGIcaQqmbD9ZTVXMQ/edit#gid=1251630045"",""articles_with_PRISMA_reasons!B2:B2113""))&gt;=2,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$A405=IMPORTRANGE(""https://docs.google.com/spreadsheets/d/1BJSV3WBYJGRhQ6zExamkszQ5VutGIcaQqmbD9ZTVXMQ/edit#gid=1251630045"",""articles_with_PRISMA_reasons!B2:B2113""))&lt;2),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$A405=IMPORTRANGE(""https://docs.google.com/spreadsheets/d/1BJSV3WBYJGRhQ6zExamkszQ5VutGIcaQqmbD9ZTVXMQ/edit#gid=1251630045"",""arti"&amp;"cles_with_PRISMA_reasons!B2:B2113""))&lt;2,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$A405=IMPORTRANGE(""https://docs.google.com"&amp;"/spreadsheets/d/1BJSV3WBYJGRhQ6zExamkszQ5VutGIcaQqmbD9ZTVXMQ/edit#gid=1251630045"",""articles_with_PRISMA_reasons!B2:B2113""))&gt;=2),
""Exclude""
)"),"Include")</f>
        <v>Include</v>
      </c>
      <c r="E405" s="5" t="str">
        <f>IFERROR(__xludf.DUMMYFUNCTION("IFS(
D405=""Exclude"",""Exclude"",
AND(
FILTER(IMPORTRANGE(""https://docs.google.com/spreadsheets/d/1qpEmbGH0JjaJbUdp21-y2cPbobDbMjr09BbtdKROZWc/edit#gid=1444865654"",""articles_with_PRISMA_reasons!W2:W2113""), $A405=IMPORTRANGE(""https://docs.google.com/"&amp;"spreadsheets/d/1qpEmbGH0JjaJbUdp21-y2cPbobDbMjr09BbtdKROZWc/edit#gid=1444865654"",""articles_with_PRISMA_reasons!B2:B2113""))&gt;=2,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$A405=IMPORTRANGE(""https://docs.google.com/spreadsheets/d/1qpEmbGH0JjaJbUdp21-y2cPbobDbMjr09BbtdKROZWc/edit#gid=1444865654"",""articles_with_PRISMA_reasons!B2:B2113""))&lt;2),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$A405=IMPORTRANGE(""https://docs.google.com/spreadsheets/d/1qpEmbGH0JjaJbUdp21-y2cPbobDbMjr09BbtdKRO"&amp;"ZWc/edit#gid=1444865654"",""articles_with_PRISMA_reasons!B2:B2113""))&lt;2,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$A405=IMPOR"&amp;"TRANGE(""https://docs.google.com/spreadsheets/d/1qpEmbGH0JjaJbUdp21-y2cPbobDbMjr09BbtdKROZWc/edit#gid=1444865654"",""articles_with_PRISMA_reasons!B2:B2113""))&gt;=2),
""Exclude""
)"),"Include")</f>
        <v>Include</v>
      </c>
      <c r="F405" s="2" t="s">
        <v>8</v>
      </c>
      <c r="G405" s="2" t="s">
        <v>17</v>
      </c>
    </row>
    <row r="406">
      <c r="A406" s="4" t="str">
        <f>IFERROR(__xludf.DUMMYFUNCTION("""COMPUTED_VALUE"""),"Cervical myelomeningocele: Commentary")</f>
        <v>Cervical myelomeningocele: Commentary</v>
      </c>
      <c r="B406" s="5" t="str">
        <f>IFERROR(__xludf.DUMMYFUNCTION("LEFT(FILTER(IMPORTRANGE(""https://docs.google.com/spreadsheets/d/1BJSV3WBYJGRhQ6zExamkszQ5VutGIcaQqmbD9ZTVXMQ/edit#gid=1251630045"",""articles_with_PRISMA_reasons!K2:K2113""), $A406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$A406=IMPORTRANGE(""https://docs.google.com/spreadsheets/d/1BJSV3WBYJGRhQ6zExamkszQ5VutGIcaQqmbD9ZTVXMQ/edit#gid=1251630045"",""articles_with_PRISMA_reasons!B2:B2113"")))-1)"),"Steinbok")</f>
        <v>Steinbok</v>
      </c>
      <c r="C406" s="6">
        <f>IFERROR(__xludf.DUMMYFUNCTION("FILTER(IMPORTRANGE(""https://docs.google.com/spreadsheets/d/1BJSV3WBYJGRhQ6zExamkszQ5VutGIcaQqmbD9ZTVXMQ/edit#gid=1251630045"",""articles_with_PRISMA_reasons!C2:C2113""), $A406=IMPORTRANGE(""https://docs.google.com/spreadsheets/d/1BJSV3WBYJGRhQ6zExamkszQ5"&amp;"VutGIcaQqmbD9ZTVXMQ/edit#gid=1251630045"",""articles_with_PRISMA_reasons!B2:B2113""))"),2006.0)</f>
        <v>2006</v>
      </c>
      <c r="D406" s="5" t="str">
        <f>IFERROR(__xludf.DUMMYFUNCTION("IFS(AND(
FILTER(IMPORTRANGE(""https://docs.google.com/spreadsheets/d/1BJSV3WBYJGRhQ6zExamkszQ5VutGIcaQqmbD9ZTVXMQ/edit#gid=1251630045"",""articles_with_PRISMA_reasons!Y2:Y2113""), $A406=IMPORTRANGE(""https://docs.google.com/spreadsheets/d/1BJSV3WBYJGRhQ6z"&amp;"ExamkszQ5VutGIcaQqmbD9ZTVXMQ/edit#gid=1251630045"",""articles_with_PRISMA_reasons!B2:B2113""))&gt;=2,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$A406=IMPORTRANGE(""https://docs.google.com/spreadsheets/d/1BJSV3WBYJGRhQ6zExamkszQ5VutGIcaQqmbD9ZTVXMQ/edit#gid=1251630045"",""articles_with_PRISMA_reasons!B2:B2113""))&lt;2),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$A406=IMPORTRANGE(""https://docs.google.com/spreadsheets/d/1BJSV3WBYJGRhQ6zExamkszQ5VutGIcaQqmbD9ZTVXMQ/edit#gid=1251630045"",""arti"&amp;"cles_with_PRISMA_reasons!B2:B2113""))&lt;2,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$A406=IMPORTRANGE(""https://docs.google.com"&amp;"/spreadsheets/d/1BJSV3WBYJGRhQ6zExamkszQ5VutGIcaQqmbD9ZTVXMQ/edit#gid=1251630045"",""articles_with_PRISMA_reasons!B2:B2113""))&gt;=2),
""Exclude""
)"),"Exclude")</f>
        <v>Exclude</v>
      </c>
      <c r="E406" s="5" t="str">
        <f>IFERROR(__xludf.DUMMYFUNCTION("IFS(
D406=""Exclude"",""Exclude"",
AND(
FILTER(IMPORTRANGE(""https://docs.google.com/spreadsheets/d/1qpEmbGH0JjaJbUdp21-y2cPbobDbMjr09BbtdKROZWc/edit#gid=1444865654"",""articles_with_PRISMA_reasons!W2:W2113""), $A406=IMPORTRANGE(""https://docs.google.com/"&amp;"spreadsheets/d/1qpEmbGH0JjaJbUdp21-y2cPbobDbMjr09BbtdKROZWc/edit#gid=1444865654"",""articles_with_PRISMA_reasons!B2:B2113""))&gt;=2,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$A406=IMPORTRANGE(""https://docs.google.com/spreadsheets/d/1qpEmbGH0JjaJbUdp21-y2cPbobDbMjr09BbtdKROZWc/edit#gid=1444865654"",""articles_with_PRISMA_reasons!B2:B2113""))&lt;2),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$A406=IMPORTRANGE(""https://docs.google.com/spreadsheets/d/1qpEmbGH0JjaJbUdp21-y2cPbobDbMjr09BbtdKRO"&amp;"ZWc/edit#gid=1444865654"",""articles_with_PRISMA_reasons!B2:B2113""))&lt;2,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$A406=IMPOR"&amp;"TRANGE(""https://docs.google.com/spreadsheets/d/1qpEmbGH0JjaJbUdp21-y2cPbobDbMjr09BbtdKROZWc/edit#gid=1444865654"",""articles_with_PRISMA_reasons!B2:B2113""))&gt;=2),
""Exclude""
)"),"Exclude")</f>
        <v>Exclude</v>
      </c>
      <c r="F406" s="5" t="str">
        <f>IFERROR(__xludf.DUMMYFUNCTION("IFS(
E406=""Exclude"",""Exclude"",
AND(
COUNTIF(
IMPORTRANGE(""https://docs.google.com/spreadsheets/d/1kGrh75X1cNR1D7_FcY9zMnHP8iPO4M5RCRjy6nZY0TY/edit#gid=0"",""Table 1: Study characteristics!B4:B171""),A406)&gt;0,
COUNTIF(Studies!$A$2:$A$85,FILTER(IMPORTRA"&amp;"NGE(""https://docs.google.com/spreadsheets/d/1kGrh75X1cNR1D7_FcY9zMnHP8iPO4M5RCRjy6nZY0TY/edit#gid=0"",""Table 1: Study characteristics!A4:A171""), $A406=IMPORTRANGE(""https://docs.google.com/spreadsheets/d/1kGrh75X1cNR1D7_FcY9zMnHP8iPO4M5RCRjy6nZY0TY/edi"&amp;"t#gid=0"",""Table 1: Study characteristics!B4:B171"")))&gt;0
),
""Include""
)"),"Exclude")</f>
        <v>Exclude</v>
      </c>
      <c r="G406" s="5" t="str">
        <f>IFERROR(__xludf.DUMMYFUNCTION("IFS(
D406=""Exclude"",
FILTER(IMPORTRANGE(""https://docs.google.com/spreadsheets/d/1BJSV3WBYJGRhQ6zExamkszQ5VutGIcaQqmbD9ZTVXMQ/edit#gid=1251630045"",""articles_with_PRISMA_reasons!AB2:AB2113""), $A406=IMPORTRANGE(""https://docs.google.com/spreadsheets/d/"&amp;"1BJSV3WBYJGRhQ6zExamkszQ5VutGIcaQqmbD9ZTVXMQ/edit#gid=1251630045"",""articles_with_PRISMA_reasons!B2:B2113"")),
E406=""Exclude"",
FILTER(IMPORTRANGE(""https://docs.google.com/spreadsheets/d/1qpEmbGH0JjaJbUdp21-y2cPbobDbMjr09BbtdKROZWc/edit#gid=1444865654"&amp;""",""articles_with_PRISMA_reasons!Z2:Z2113""), $A406=IMPORTRANGE(""https://docs.google.com/spreadsheets/d/1qpEmbGH0JjaJbUdp21-y2cPbobDbMjr09BbtdKROZWc/edit#gid=1444865654"",""articles_with_PRISMA_reasons!B2:B2113"")),F406
=""Include"",FILTER(IMPORTRANGE("&amp;"""https://docs.google.com/spreadsheets/d/1kGrh75X1cNR1D7_FcY9zMnHP8iPO4M5RCRjy6nZY0TY/edit#gid=0"",""Table 1: Study characteristics!A4:A171""), $A406=IMPORTRANGE(""https://docs.google.com/spreadsheets/d/1kGrh75X1cNR1D7_FcY9zMnHP8iPO4M5RCRjy6nZY0TY/edit#gi"&amp;"d=0"",""Table 1: Study characteristics!B4:B171""))
)"),"wrong study design")</f>
        <v>wrong study design</v>
      </c>
    </row>
    <row r="407">
      <c r="A407" s="4" t="str">
        <f>IFERROR(__xludf.DUMMYFUNCTION("""COMPUTED_VALUE"""),"Cervical myelomeningoceles")</f>
        <v>Cervical myelomeningoceles</v>
      </c>
      <c r="B407" s="5" t="str">
        <f>IFERROR(__xludf.DUMMYFUNCTION("LEFT(FILTER(IMPORTRANGE(""https://docs.google.com/spreadsheets/d/1BJSV3WBYJGRhQ6zExamkszQ5VutGIcaQqmbD9ZTVXMQ/edit#gid=1251630045"",""articles_with_PRISMA_reasons!K2:K2113""), $A407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$A407=IMPORTRANGE(""https://docs.google.com/spreadsheets/d/1BJSV3WBYJGRhQ6zExamkszQ5VutGIcaQqmbD9ZTVXMQ/edit#gid=1251630045"",""articles_with_PRISMA_reasons!B2:B2113"")))-1)"),"Pang")</f>
        <v>Pang</v>
      </c>
      <c r="C407" s="6">
        <f>IFERROR(__xludf.DUMMYFUNCTION("FILTER(IMPORTRANGE(""https://docs.google.com/spreadsheets/d/1BJSV3WBYJGRhQ6zExamkszQ5VutGIcaQqmbD9ZTVXMQ/edit#gid=1251630045"",""articles_with_PRISMA_reasons!C2:C2113""), $A407=IMPORTRANGE(""https://docs.google.com/spreadsheets/d/1BJSV3WBYJGRhQ6zExamkszQ5"&amp;"VutGIcaQqmbD9ZTVXMQ/edit#gid=1251630045"",""articles_with_PRISMA_reasons!B2:B2113""))"),1993.0)</f>
        <v>1993</v>
      </c>
      <c r="D407" s="5" t="str">
        <f>IFERROR(__xludf.DUMMYFUNCTION("IFS(AND(
FILTER(IMPORTRANGE(""https://docs.google.com/spreadsheets/d/1BJSV3WBYJGRhQ6zExamkszQ5VutGIcaQqmbD9ZTVXMQ/edit#gid=1251630045"",""articles_with_PRISMA_reasons!Y2:Y2113""), $A407=IMPORTRANGE(""https://docs.google.com/spreadsheets/d/1BJSV3WBYJGRhQ6z"&amp;"ExamkszQ5VutGIcaQqmbD9ZTVXMQ/edit#gid=1251630045"",""articles_with_PRISMA_reasons!B2:B2113""))&gt;=2,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$A407=IMPORTRANGE(""https://docs.google.com/spreadsheets/d/1BJSV3WBYJGRhQ6zExamkszQ5VutGIcaQqmbD9ZTVXMQ/edit#gid=1251630045"",""articles_with_PRISMA_reasons!B2:B2113""))&lt;2),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$A407=IMPORTRANGE(""https://docs.google.com/spreadsheets/d/1BJSV3WBYJGRhQ6zExamkszQ5VutGIcaQqmbD9ZTVXMQ/edit#gid=1251630045"",""arti"&amp;"cles_with_PRISMA_reasons!B2:B2113""))&lt;2,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$A407=IMPORTRANGE(""https://docs.google.com"&amp;"/spreadsheets/d/1BJSV3WBYJGRhQ6zExamkszQ5VutGIcaQqmbD9ZTVXMQ/edit#gid=1251630045"",""articles_with_PRISMA_reasons!B2:B2113""))&gt;=2),
""Exclude""
)"),"Exclude")</f>
        <v>Exclude</v>
      </c>
      <c r="E407" s="5" t="str">
        <f>IFERROR(__xludf.DUMMYFUNCTION("IFS(
D407=""Exclude"",""Exclude"",
AND(
FILTER(IMPORTRANGE(""https://docs.google.com/spreadsheets/d/1qpEmbGH0JjaJbUdp21-y2cPbobDbMjr09BbtdKROZWc/edit#gid=1444865654"",""articles_with_PRISMA_reasons!W2:W2113""), $A407=IMPORTRANGE(""https://docs.google.com/"&amp;"spreadsheets/d/1qpEmbGH0JjaJbUdp21-y2cPbobDbMjr09BbtdKROZWc/edit#gid=1444865654"",""articles_with_PRISMA_reasons!B2:B2113""))&gt;=2,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$A407=IMPORTRANGE(""https://docs.google.com/spreadsheets/d/1qpEmbGH0JjaJbUdp21-y2cPbobDbMjr09BbtdKROZWc/edit#gid=1444865654"",""articles_with_PRISMA_reasons!B2:B2113""))&lt;2),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$A407=IMPORTRANGE(""https://docs.google.com/spreadsheets/d/1qpEmbGH0JjaJbUdp21-y2cPbobDbMjr09BbtdKRO"&amp;"ZWc/edit#gid=1444865654"",""articles_with_PRISMA_reasons!B2:B2113""))&lt;2,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$A407=IMPOR"&amp;"TRANGE(""https://docs.google.com/spreadsheets/d/1qpEmbGH0JjaJbUdp21-y2cPbobDbMjr09BbtdKROZWc/edit#gid=1444865654"",""articles_with_PRISMA_reasons!B2:B2113""))&gt;=2),
""Exclude""
)"),"Exclude")</f>
        <v>Exclude</v>
      </c>
      <c r="F407" s="5" t="str">
        <f>IFERROR(__xludf.DUMMYFUNCTION("IFS(
E407=""Exclude"",""Exclude"",
AND(
COUNTIF(
IMPORTRANGE(""https://docs.google.com/spreadsheets/d/1kGrh75X1cNR1D7_FcY9zMnHP8iPO4M5RCRjy6nZY0TY/edit#gid=0"",""Table 1: Study characteristics!B4:B171""),A407)&gt;0,
COUNTIF(Studies!$A$2:$A$85,FILTER(IMPORTRA"&amp;"NGE(""https://docs.google.com/spreadsheets/d/1kGrh75X1cNR1D7_FcY9zMnHP8iPO4M5RCRjy6nZY0TY/edit#gid=0"",""Table 1: Study characteristics!A4:A171""), $A407=IMPORTRANGE(""https://docs.google.com/spreadsheets/d/1kGrh75X1cNR1D7_FcY9zMnHP8iPO4M5RCRjy6nZY0TY/edi"&amp;"t#gid=0"",""Table 1: Study characteristics!B4:B171"")))&gt;0
),
""Include""
)"),"Exclude")</f>
        <v>Exclude</v>
      </c>
      <c r="G407" s="5" t="str">
        <f>IFERROR(__xludf.DUMMYFUNCTION("IFS(
D407=""Exclude"",
FILTER(IMPORTRANGE(""https://docs.google.com/spreadsheets/d/1BJSV3WBYJGRhQ6zExamkszQ5VutGIcaQqmbD9ZTVXMQ/edit#gid=1251630045"",""articles_with_PRISMA_reasons!AB2:AB2113""), $A407=IMPORTRANGE(""https://docs.google.com/spreadsheets/d/"&amp;"1BJSV3WBYJGRhQ6zExamkszQ5VutGIcaQqmbD9ZTVXMQ/edit#gid=1251630045"",""articles_with_PRISMA_reasons!B2:B2113"")),
E407=""Exclude"",
FILTER(IMPORTRANGE(""https://docs.google.com/spreadsheets/d/1qpEmbGH0JjaJbUdp21-y2cPbobDbMjr09BbtdKROZWc/edit#gid=1444865654"&amp;""",""articles_with_PRISMA_reasons!Z2:Z2113""), $A407=IMPORTRANGE(""https://docs.google.com/spreadsheets/d/1qpEmbGH0JjaJbUdp21-y2cPbobDbMjr09BbtdKROZWc/edit#gid=1444865654"",""articles_with_PRISMA_reasons!B2:B2113"")),F407
=""Include"",FILTER(IMPORTRANGE("&amp;"""https://docs.google.com/spreadsheets/d/1kGrh75X1cNR1D7_FcY9zMnHP8iPO4M5RCRjy6nZY0TY/edit#gid=0"",""Table 1: Study characteristics!A4:A171""), $A407=IMPORTRANGE(""https://docs.google.com/spreadsheets/d/1kGrh75X1cNR1D7_FcY9zMnHP8iPO4M5RCRjy6nZY0TY/edit#gi"&amp;"d=0"",""Table 1: Study characteristics!B4:B171""))
)"),"wrong population")</f>
        <v>wrong population</v>
      </c>
    </row>
    <row r="408">
      <c r="A408" s="4" t="str">
        <f>IFERROR(__xludf.DUMMYFUNCTION("""COMPUTED_VALUE"""),"Cervical spinal dysraphism")</f>
        <v>Cervical spinal dysraphism</v>
      </c>
      <c r="B408" s="5" t="str">
        <f>IFERROR(__xludf.DUMMYFUNCTION("LEFT(FILTER(IMPORTRANGE(""https://docs.google.com/spreadsheets/d/1BJSV3WBYJGRhQ6zExamkszQ5VutGIcaQqmbD9ZTVXMQ/edit#gid=1251630045"",""articles_with_PRISMA_reasons!K2:K2113""), $A408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$A408=IMPORTRANGE(""https://docs.google.com/spreadsheets/d/1BJSV3WBYJGRhQ6zExamkszQ5VutGIcaQqmbD9ZTVXMQ/edit#gid=1251630045"",""articles_with_PRISMA_reasons!B2:B2113"")))-1)"),"Yilmaz")</f>
        <v>Yilmaz</v>
      </c>
      <c r="C408" s="6">
        <f>IFERROR(__xludf.DUMMYFUNCTION("FILTER(IMPORTRANGE(""https://docs.google.com/spreadsheets/d/1BJSV3WBYJGRhQ6zExamkszQ5VutGIcaQqmbD9ZTVXMQ/edit#gid=1251630045"",""articles_with_PRISMA_reasons!C2:C2113""), $A408=IMPORTRANGE(""https://docs.google.com/spreadsheets/d/1BJSV3WBYJGRhQ6zExamkszQ5"&amp;"VutGIcaQqmbD9ZTVXMQ/edit#gid=1251630045"",""articles_with_PRISMA_reasons!B2:B2113""))"),2010.0)</f>
        <v>2010</v>
      </c>
      <c r="D408" s="5" t="str">
        <f>IFERROR(__xludf.DUMMYFUNCTION("IFS(AND(
FILTER(IMPORTRANGE(""https://docs.google.com/spreadsheets/d/1BJSV3WBYJGRhQ6zExamkszQ5VutGIcaQqmbD9ZTVXMQ/edit#gid=1251630045"",""articles_with_PRISMA_reasons!Y2:Y2113""), $A408=IMPORTRANGE(""https://docs.google.com/spreadsheets/d/1BJSV3WBYJGRhQ6z"&amp;"ExamkszQ5VutGIcaQqmbD9ZTVXMQ/edit#gid=1251630045"",""articles_with_PRISMA_reasons!B2:B2113""))&gt;=2,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$A408=IMPORTRANGE(""https://docs.google.com/spreadsheets/d/1BJSV3WBYJGRhQ6zExamkszQ5VutGIcaQqmbD9ZTVXMQ/edit#gid=1251630045"",""articles_with_PRISMA_reasons!B2:B2113""))&lt;2),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$A408=IMPORTRANGE(""https://docs.google.com/spreadsheets/d/1BJSV3WBYJGRhQ6zExamkszQ5VutGIcaQqmbD9ZTVXMQ/edit#gid=1251630045"",""arti"&amp;"cles_with_PRISMA_reasons!B2:B2113""))&lt;2,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$A408=IMPORTRANGE(""https://docs.google.com"&amp;"/spreadsheets/d/1BJSV3WBYJGRhQ6zExamkszQ5VutGIcaQqmbD9ZTVXMQ/edit#gid=1251630045"",""articles_with_PRISMA_reasons!B2:B2113""))&gt;=2),
""Exclude""
)"),"Exclude")</f>
        <v>Exclude</v>
      </c>
      <c r="E408" s="5" t="str">
        <f>IFERROR(__xludf.DUMMYFUNCTION("IFS(
D408=""Exclude"",""Exclude"",
AND(
FILTER(IMPORTRANGE(""https://docs.google.com/spreadsheets/d/1qpEmbGH0JjaJbUdp21-y2cPbobDbMjr09BbtdKROZWc/edit#gid=1444865654"",""articles_with_PRISMA_reasons!W2:W2113""), $A408=IMPORTRANGE(""https://docs.google.com/"&amp;"spreadsheets/d/1qpEmbGH0JjaJbUdp21-y2cPbobDbMjr09BbtdKROZWc/edit#gid=1444865654"",""articles_with_PRISMA_reasons!B2:B2113""))&gt;=2,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$A408=IMPORTRANGE(""https://docs.google.com/spreadsheets/d/1qpEmbGH0JjaJbUdp21-y2cPbobDbMjr09BbtdKROZWc/edit#gid=1444865654"",""articles_with_PRISMA_reasons!B2:B2113""))&lt;2),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$A408=IMPORTRANGE(""https://docs.google.com/spreadsheets/d/1qpEmbGH0JjaJbUdp21-y2cPbobDbMjr09BbtdKRO"&amp;"ZWc/edit#gid=1444865654"",""articles_with_PRISMA_reasons!B2:B2113""))&lt;2,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$A408=IMPOR"&amp;"TRANGE(""https://docs.google.com/spreadsheets/d/1qpEmbGH0JjaJbUdp21-y2cPbobDbMjr09BbtdKROZWc/edit#gid=1444865654"",""articles_with_PRISMA_reasons!B2:B2113""))&gt;=2),
""Exclude""
)"),"Exclude")</f>
        <v>Exclude</v>
      </c>
      <c r="F408" s="5" t="str">
        <f>IFERROR(__xludf.DUMMYFUNCTION("IFS(
E408=""Exclude"",""Exclude"",
AND(
COUNTIF(
IMPORTRANGE(""https://docs.google.com/spreadsheets/d/1kGrh75X1cNR1D7_FcY9zMnHP8iPO4M5RCRjy6nZY0TY/edit#gid=0"",""Table 1: Study characteristics!B4:B171""),A408)&gt;0,
COUNTIF(Studies!$A$2:$A$85,FILTER(IMPORTRA"&amp;"NGE(""https://docs.google.com/spreadsheets/d/1kGrh75X1cNR1D7_FcY9zMnHP8iPO4M5RCRjy6nZY0TY/edit#gid=0"",""Table 1: Study characteristics!A4:A171""), $A408=IMPORTRANGE(""https://docs.google.com/spreadsheets/d/1kGrh75X1cNR1D7_FcY9zMnHP8iPO4M5RCRjy6nZY0TY/edi"&amp;"t#gid=0"",""Table 1: Study characteristics!B4:B171"")))&gt;0
),
""Include""
)"),"Exclude")</f>
        <v>Exclude</v>
      </c>
      <c r="G408" s="5" t="str">
        <f>IFERROR(__xludf.DUMMYFUNCTION("IFS(
D408=""Exclude"",
FILTER(IMPORTRANGE(""https://docs.google.com/spreadsheets/d/1BJSV3WBYJGRhQ6zExamkszQ5VutGIcaQqmbD9ZTVXMQ/edit#gid=1251630045"",""articles_with_PRISMA_reasons!AB2:AB2113""), $A408=IMPORTRANGE(""https://docs.google.com/spreadsheets/d/"&amp;"1BJSV3WBYJGRhQ6zExamkszQ5VutGIcaQqmbD9ZTVXMQ/edit#gid=1251630045"",""articles_with_PRISMA_reasons!B2:B2113"")),
E408=""Exclude"",
FILTER(IMPORTRANGE(""https://docs.google.com/spreadsheets/d/1qpEmbGH0JjaJbUdp21-y2cPbobDbMjr09BbtdKROZWc/edit#gid=1444865654"&amp;""",""articles_with_PRISMA_reasons!Z2:Z2113""), $A408=IMPORTRANGE(""https://docs.google.com/spreadsheets/d/1qpEmbGH0JjaJbUdp21-y2cPbobDbMjr09BbtdKROZWc/edit#gid=1444865654"",""articles_with_PRISMA_reasons!B2:B2113"")),F408
=""Include"",FILTER(IMPORTRANGE("&amp;"""https://docs.google.com/spreadsheets/d/1kGrh75X1cNR1D7_FcY9zMnHP8iPO4M5RCRjy6nZY0TY/edit#gid=0"",""Table 1: Study characteristics!A4:A171""), $A408=IMPORTRANGE(""https://docs.google.com/spreadsheets/d/1kGrh75X1cNR1D7_FcY9zMnHP8iPO4M5RCRjy6nZY0TY/edit#gi"&amp;"d=0"",""Table 1: Study characteristics!B4:B171""))
)"),"wrong population")</f>
        <v>wrong population</v>
      </c>
    </row>
    <row r="409">
      <c r="A409" s="4" t="str">
        <f>IFERROR(__xludf.DUMMYFUNCTION("""COMPUTED_VALUE"""),"Cesarean Delivery and Its Impact on the Anomalous Infant")</f>
        <v>Cesarean Delivery and Its Impact on the Anomalous Infant</v>
      </c>
      <c r="B409" s="5" t="str">
        <f>IFERROR(__xludf.DUMMYFUNCTION("LEFT(FILTER(IMPORTRANGE(""https://docs.google.com/spreadsheets/d/1BJSV3WBYJGRhQ6zExamkszQ5VutGIcaQqmbD9ZTVXMQ/edit#gid=1251630045"",""articles_with_PRISMA_reasons!K2:K2113""), $A409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$A409=IMPORTRANGE(""https://docs.google.com/spreadsheets/d/1BJSV3WBYJGRhQ6zExamkszQ5VutGIcaQqmbD9ZTVXMQ/edit#gid=1251630045"",""articles_with_PRISMA_reasons!B2:B2113"")))-1)"),"Hamrick")</f>
        <v>Hamrick</v>
      </c>
      <c r="C409" s="6">
        <f>IFERROR(__xludf.DUMMYFUNCTION("FILTER(IMPORTRANGE(""https://docs.google.com/spreadsheets/d/1BJSV3WBYJGRhQ6zExamkszQ5VutGIcaQqmbD9ZTVXMQ/edit#gid=1251630045"",""articles_with_PRISMA_reasons!C2:C2113""), $A409=IMPORTRANGE(""https://docs.google.com/spreadsheets/d/1BJSV3WBYJGRhQ6zExamkszQ5"&amp;"VutGIcaQqmbD9ZTVXMQ/edit#gid=1251630045"",""articles_with_PRISMA_reasons!B2:B2113""))"),2008.0)</f>
        <v>2008</v>
      </c>
      <c r="D409" s="5" t="str">
        <f>IFERROR(__xludf.DUMMYFUNCTION("IFS(AND(
FILTER(IMPORTRANGE(""https://docs.google.com/spreadsheets/d/1BJSV3WBYJGRhQ6zExamkszQ5VutGIcaQqmbD9ZTVXMQ/edit#gid=1251630045"",""articles_with_PRISMA_reasons!Y2:Y2113""), $A409=IMPORTRANGE(""https://docs.google.com/spreadsheets/d/1BJSV3WBYJGRhQ6z"&amp;"ExamkszQ5VutGIcaQqmbD9ZTVXMQ/edit#gid=1251630045"",""articles_with_PRISMA_reasons!B2:B2113""))&gt;=2,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$A409=IMPORTRANGE(""https://docs.google.com/spreadsheets/d/1BJSV3WBYJGRhQ6zExamkszQ5VutGIcaQqmbD9ZTVXMQ/edit#gid=1251630045"",""articles_with_PRISMA_reasons!B2:B2113""))&lt;2),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$A409=IMPORTRANGE(""https://docs.google.com/spreadsheets/d/1BJSV3WBYJGRhQ6zExamkszQ5VutGIcaQqmbD9ZTVXMQ/edit#gid=1251630045"",""arti"&amp;"cles_with_PRISMA_reasons!B2:B2113""))&lt;2,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$A409=IMPORTRANGE(""https://docs.google.com"&amp;"/spreadsheets/d/1BJSV3WBYJGRhQ6zExamkszQ5VutGIcaQqmbD9ZTVXMQ/edit#gid=1251630045"",""articles_with_PRISMA_reasons!B2:B2113""))&gt;=2),
""Exclude""
)"),"Exclude")</f>
        <v>Exclude</v>
      </c>
      <c r="E409" s="5" t="str">
        <f>IFERROR(__xludf.DUMMYFUNCTION("IFS(
D409=""Exclude"",""Exclude"",
AND(
FILTER(IMPORTRANGE(""https://docs.google.com/spreadsheets/d/1qpEmbGH0JjaJbUdp21-y2cPbobDbMjr09BbtdKROZWc/edit#gid=1444865654"",""articles_with_PRISMA_reasons!W2:W2113""), $A409=IMPORTRANGE(""https://docs.google.com/"&amp;"spreadsheets/d/1qpEmbGH0JjaJbUdp21-y2cPbobDbMjr09BbtdKROZWc/edit#gid=1444865654"",""articles_with_PRISMA_reasons!B2:B2113""))&gt;=2,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$A409=IMPORTRANGE(""https://docs.google.com/spreadsheets/d/1qpEmbGH0JjaJbUdp21-y2cPbobDbMjr09BbtdKROZWc/edit#gid=1444865654"",""articles_with_PRISMA_reasons!B2:B2113""))&lt;2),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$A409=IMPORTRANGE(""https://docs.google.com/spreadsheets/d/1qpEmbGH0JjaJbUdp21-y2cPbobDbMjr09BbtdKRO"&amp;"ZWc/edit#gid=1444865654"",""articles_with_PRISMA_reasons!B2:B2113""))&lt;2,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$A409=IMPOR"&amp;"TRANGE(""https://docs.google.com/spreadsheets/d/1qpEmbGH0JjaJbUdp21-y2cPbobDbMjr09BbtdKROZWc/edit#gid=1444865654"",""articles_with_PRISMA_reasons!B2:B2113""))&gt;=2),
""Exclude""
)"),"Exclude")</f>
        <v>Exclude</v>
      </c>
      <c r="F409" s="5" t="str">
        <f>IFERROR(__xludf.DUMMYFUNCTION("IFS(
E409=""Exclude"",""Exclude"",
AND(
COUNTIF(
IMPORTRANGE(""https://docs.google.com/spreadsheets/d/1kGrh75X1cNR1D7_FcY9zMnHP8iPO4M5RCRjy6nZY0TY/edit#gid=0"",""Table 1: Study characteristics!B4:B171""),A409)&gt;0,
COUNTIF(Studies!$A$2:$A$85,FILTER(IMPORTRA"&amp;"NGE(""https://docs.google.com/spreadsheets/d/1kGrh75X1cNR1D7_FcY9zMnHP8iPO4M5RCRjy6nZY0TY/edit#gid=0"",""Table 1: Study characteristics!A4:A171""), $A409=IMPORTRANGE(""https://docs.google.com/spreadsheets/d/1kGrh75X1cNR1D7_FcY9zMnHP8iPO4M5RCRjy6nZY0TY/edi"&amp;"t#gid=0"",""Table 1: Study characteristics!B4:B171"")))&gt;0
),
""Include""
)"),"Exclude")</f>
        <v>Exclude</v>
      </c>
      <c r="G409" s="5" t="str">
        <f>IFERROR(__xludf.DUMMYFUNCTION("IFS(
D409=""Exclude"",
FILTER(IMPORTRANGE(""https://docs.google.com/spreadsheets/d/1BJSV3WBYJGRhQ6zExamkszQ5VutGIcaQqmbD9ZTVXMQ/edit#gid=1251630045"",""articles_with_PRISMA_reasons!AB2:AB2113""), $A409=IMPORTRANGE(""https://docs.google.com/spreadsheets/d/"&amp;"1BJSV3WBYJGRhQ6zExamkszQ5VutGIcaQqmbD9ZTVXMQ/edit#gid=1251630045"",""articles_with_PRISMA_reasons!B2:B2113"")),
E409=""Exclude"",
FILTER(IMPORTRANGE(""https://docs.google.com/spreadsheets/d/1qpEmbGH0JjaJbUdp21-y2cPbobDbMjr09BbtdKROZWc/edit#gid=1444865654"&amp;""",""articles_with_PRISMA_reasons!Z2:Z2113""), $A409=IMPORTRANGE(""https://docs.google.com/spreadsheets/d/1qpEmbGH0JjaJbUdp21-y2cPbobDbMjr09BbtdKROZWc/edit#gid=1444865654"",""articles_with_PRISMA_reasons!B2:B2113"")),F409
=""Include"",FILTER(IMPORTRANGE("&amp;"""https://docs.google.com/spreadsheets/d/1kGrh75X1cNR1D7_FcY9zMnHP8iPO4M5RCRjy6nZY0TY/edit#gid=0"",""Table 1: Study characteristics!A4:A171""), $A409=IMPORTRANGE(""https://docs.google.com/spreadsheets/d/1kGrh75X1cNR1D7_FcY9zMnHP8iPO4M5RCRjy6nZY0TY/edit#gi"&amp;"d=0"",""Table 1: Study characteristics!B4:B171""))
)"),"wrong study design")</f>
        <v>wrong study design</v>
      </c>
    </row>
    <row r="410">
      <c r="A410" s="4" t="str">
        <f>IFERROR(__xludf.DUMMYFUNCTION("""COMPUTED_VALUE"""),"Cesarean delivery for fetal malformations")</f>
        <v>Cesarean delivery for fetal malformations</v>
      </c>
      <c r="B410" s="5" t="str">
        <f>IFERROR(__xludf.DUMMYFUNCTION("LEFT(FILTER(IMPORTRANGE(""https://docs.google.com/spreadsheets/d/1BJSV3WBYJGRhQ6zExamkszQ5VutGIcaQqmbD9ZTVXMQ/edit#gid=1251630045"",""articles_with_PRISMA_reasons!K2:K2113""), $A410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$A410=IMPORTRANGE(""https://docs.google.com/spreadsheets/d/1BJSV3WBYJGRhQ6zExamkszQ5VutGIcaQqmbD9ZTVXMQ/edit#gid=1251630045"",""articles_with_PRISMA_reasons!B2:B2113"")))-1)"),"Katz")</f>
        <v>Katz</v>
      </c>
      <c r="C410" s="6">
        <f>IFERROR(__xludf.DUMMYFUNCTION("FILTER(IMPORTRANGE(""https://docs.google.com/spreadsheets/d/1BJSV3WBYJGRhQ6zExamkszQ5VutGIcaQqmbD9ZTVXMQ/edit#gid=1251630045"",""articles_with_PRISMA_reasons!C2:C2113""), $A410=IMPORTRANGE(""https://docs.google.com/spreadsheets/d/1BJSV3WBYJGRhQ6zExamkszQ5"&amp;"VutGIcaQqmbD9ZTVXMQ/edit#gid=1251630045"",""articles_with_PRISMA_reasons!B2:B2113""))"),1996.0)</f>
        <v>1996</v>
      </c>
      <c r="D410" s="5" t="str">
        <f>IFERROR(__xludf.DUMMYFUNCTION("IFS(AND(
FILTER(IMPORTRANGE(""https://docs.google.com/spreadsheets/d/1BJSV3WBYJGRhQ6zExamkszQ5VutGIcaQqmbD9ZTVXMQ/edit#gid=1251630045"",""articles_with_PRISMA_reasons!Y2:Y2113""), $A410=IMPORTRANGE(""https://docs.google.com/spreadsheets/d/1BJSV3WBYJGRhQ6z"&amp;"ExamkszQ5VutGIcaQqmbD9ZTVXMQ/edit#gid=1251630045"",""articles_with_PRISMA_reasons!B2:B2113""))&gt;=2,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$A410=IMPORTRANGE(""https://docs.google.com/spreadsheets/d/1BJSV3WBYJGRhQ6zExamkszQ5VutGIcaQqmbD9ZTVXMQ/edit#gid=1251630045"",""articles_with_PRISMA_reasons!B2:B2113""))&lt;2),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$A410=IMPORTRANGE(""https://docs.google.com/spreadsheets/d/1BJSV3WBYJGRhQ6zExamkszQ5VutGIcaQqmbD9ZTVXMQ/edit#gid=1251630045"",""arti"&amp;"cles_with_PRISMA_reasons!B2:B2113""))&lt;2,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$A410=IMPORTRANGE(""https://docs.google.com"&amp;"/spreadsheets/d/1BJSV3WBYJGRhQ6zExamkszQ5VutGIcaQqmbD9ZTVXMQ/edit#gid=1251630045"",""articles_with_PRISMA_reasons!B2:B2113""))&gt;=2),
""Exclude""
)"),"Exclude")</f>
        <v>Exclude</v>
      </c>
      <c r="E410" s="5" t="str">
        <f>IFERROR(__xludf.DUMMYFUNCTION("IFS(
D410=""Exclude"",""Exclude"",
AND(
FILTER(IMPORTRANGE(""https://docs.google.com/spreadsheets/d/1qpEmbGH0JjaJbUdp21-y2cPbobDbMjr09BbtdKROZWc/edit#gid=1444865654"",""articles_with_PRISMA_reasons!W2:W2113""), $A410=IMPORTRANGE(""https://docs.google.com/"&amp;"spreadsheets/d/1qpEmbGH0JjaJbUdp21-y2cPbobDbMjr09BbtdKROZWc/edit#gid=1444865654"",""articles_with_PRISMA_reasons!B2:B2113""))&gt;=2,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$A410=IMPORTRANGE(""https://docs.google.com/spreadsheets/d/1qpEmbGH0JjaJbUdp21-y2cPbobDbMjr09BbtdKROZWc/edit#gid=1444865654"",""articles_with_PRISMA_reasons!B2:B2113""))&lt;2),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$A410=IMPORTRANGE(""https://docs.google.com/spreadsheets/d/1qpEmbGH0JjaJbUdp21-y2cPbobDbMjr09BbtdKRO"&amp;"ZWc/edit#gid=1444865654"",""articles_with_PRISMA_reasons!B2:B2113""))&lt;2,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$A410=IMPOR"&amp;"TRANGE(""https://docs.google.com/spreadsheets/d/1qpEmbGH0JjaJbUdp21-y2cPbobDbMjr09BbtdKROZWc/edit#gid=1444865654"",""articles_with_PRISMA_reasons!B2:B2113""))&gt;=2),
""Exclude""
)"),"Exclude")</f>
        <v>Exclude</v>
      </c>
      <c r="F410" s="5" t="str">
        <f>IFERROR(__xludf.DUMMYFUNCTION("IFS(
E410=""Exclude"",""Exclude"",
AND(
COUNTIF(
IMPORTRANGE(""https://docs.google.com/spreadsheets/d/1kGrh75X1cNR1D7_FcY9zMnHP8iPO4M5RCRjy6nZY0TY/edit#gid=0"",""Table 1: Study characteristics!B4:B171""),A410)&gt;0,
COUNTIF(Studies!$A$2:$A$85,FILTER(IMPORTRA"&amp;"NGE(""https://docs.google.com/spreadsheets/d/1kGrh75X1cNR1D7_FcY9zMnHP8iPO4M5RCRjy6nZY0TY/edit#gid=0"",""Table 1: Study characteristics!A4:A171""), $A410=IMPORTRANGE(""https://docs.google.com/spreadsheets/d/1kGrh75X1cNR1D7_FcY9zMnHP8iPO4M5RCRjy6nZY0TY/edi"&amp;"t#gid=0"",""Table 1: Study characteristics!B4:B171"")))&gt;0
),
""Include""
)"),"Exclude")</f>
        <v>Exclude</v>
      </c>
      <c r="G410" s="5" t="str">
        <f>IFERROR(__xludf.DUMMYFUNCTION("IFS(
D410=""Exclude"",
FILTER(IMPORTRANGE(""https://docs.google.com/spreadsheets/d/1BJSV3WBYJGRhQ6zExamkszQ5VutGIcaQqmbD9ZTVXMQ/edit#gid=1251630045"",""articles_with_PRISMA_reasons!AB2:AB2113""), $A410=IMPORTRANGE(""https://docs.google.com/spreadsheets/d/"&amp;"1BJSV3WBYJGRhQ6zExamkszQ5VutGIcaQqmbD9ZTVXMQ/edit#gid=1251630045"",""articles_with_PRISMA_reasons!B2:B2113"")),
E410=""Exclude"",
FILTER(IMPORTRANGE(""https://docs.google.com/spreadsheets/d/1qpEmbGH0JjaJbUdp21-y2cPbobDbMjr09BbtdKROZWc/edit#gid=1444865654"&amp;""",""articles_with_PRISMA_reasons!Z2:Z2113""), $A410=IMPORTRANGE(""https://docs.google.com/spreadsheets/d/1qpEmbGH0JjaJbUdp21-y2cPbobDbMjr09BbtdKROZWc/edit#gid=1444865654"",""articles_with_PRISMA_reasons!B2:B2113"")),F410
=""Include"",FILTER(IMPORTRANGE("&amp;"""https://docs.google.com/spreadsheets/d/1kGrh75X1cNR1D7_FcY9zMnHP8iPO4M5RCRjy6nZY0TY/edit#gid=0"",""Table 1: Study characteristics!A4:A171""), $A410=IMPORTRANGE(""https://docs.google.com/spreadsheets/d/1kGrh75X1cNR1D7_FcY9zMnHP8iPO4M5RCRjy6nZY0TY/edit#gi"&amp;"d=0"",""Table 1: Study characteristics!B4:B171""))
)"),"wrong study design")</f>
        <v>wrong study design</v>
      </c>
    </row>
    <row r="411">
      <c r="A411" s="4" t="str">
        <f>IFERROR(__xludf.DUMMYFUNCTION("""COMPUTED_VALUE"""),"Cesarean section before the onset of labor and subsequent motor function in infants with meningomyelocele diagnosed antenatally")</f>
        <v>Cesarean section before the onset of labor and subsequent motor function in infants with meningomyelocele diagnosed antenatally</v>
      </c>
      <c r="B411" s="5" t="str">
        <f>IFERROR(__xludf.DUMMYFUNCTION("LEFT(FILTER(IMPORTRANGE(""https://docs.google.com/spreadsheets/d/1BJSV3WBYJGRhQ6zExamkszQ5VutGIcaQqmbD9ZTVXMQ/edit#gid=1251630045"",""articles_with_PRISMA_reasons!K2:K2113""), $A411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$A411=IMPORTRANGE(""https://docs.google.com/spreadsheets/d/1BJSV3WBYJGRhQ6zExamkszQ5VutGIcaQqmbD9ZTVXMQ/edit#gid=1251630045"",""articles_with_PRISMA_reasons!B2:B2113"")))-1)"),"Luthy")</f>
        <v>Luthy</v>
      </c>
      <c r="C411" s="6">
        <f>IFERROR(__xludf.DUMMYFUNCTION("FILTER(IMPORTRANGE(""https://docs.google.com/spreadsheets/d/1BJSV3WBYJGRhQ6zExamkszQ5VutGIcaQqmbD9ZTVXMQ/edit#gid=1251630045"",""articles_with_PRISMA_reasons!C2:C2113""), $A411=IMPORTRANGE(""https://docs.google.com/spreadsheets/d/1BJSV3WBYJGRhQ6zExamkszQ5"&amp;"VutGIcaQqmbD9ZTVXMQ/edit#gid=1251630045"",""articles_with_PRISMA_reasons!B2:B2113""))"),1991.0)</f>
        <v>1991</v>
      </c>
      <c r="D411" s="5" t="str">
        <f>IFERROR(__xludf.DUMMYFUNCTION("IFS(AND(
FILTER(IMPORTRANGE(""https://docs.google.com/spreadsheets/d/1BJSV3WBYJGRhQ6zExamkszQ5VutGIcaQqmbD9ZTVXMQ/edit#gid=1251630045"",""articles_with_PRISMA_reasons!Y2:Y2113""), $A411=IMPORTRANGE(""https://docs.google.com/spreadsheets/d/1BJSV3WBYJGRhQ6z"&amp;"ExamkszQ5VutGIcaQqmbD9ZTVXMQ/edit#gid=1251630045"",""articles_with_PRISMA_reasons!B2:B2113""))&gt;=2,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$A411=IMPORTRANGE(""https://docs.google.com/spreadsheets/d/1BJSV3WBYJGRhQ6zExamkszQ5VutGIcaQqmbD9ZTVXMQ/edit#gid=1251630045"",""articles_with_PRISMA_reasons!B2:B2113""))&lt;2),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$A411=IMPORTRANGE(""https://docs.google.com/spreadsheets/d/1BJSV3WBYJGRhQ6zExamkszQ5VutGIcaQqmbD9ZTVXMQ/edit#gid=1251630045"",""arti"&amp;"cles_with_PRISMA_reasons!B2:B2113""))&lt;2,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$A411=IMPORTRANGE(""https://docs.google.com"&amp;"/spreadsheets/d/1BJSV3WBYJGRhQ6zExamkszQ5VutGIcaQqmbD9ZTVXMQ/edit#gid=1251630045"",""articles_with_PRISMA_reasons!B2:B2113""))&gt;=2),
""Exclude""
)"),"Exclude")</f>
        <v>Exclude</v>
      </c>
      <c r="E411" s="5" t="str">
        <f>IFERROR(__xludf.DUMMYFUNCTION("IFS(
D411=""Exclude"",""Exclude"",
AND(
FILTER(IMPORTRANGE(""https://docs.google.com/spreadsheets/d/1qpEmbGH0JjaJbUdp21-y2cPbobDbMjr09BbtdKROZWc/edit#gid=1444865654"",""articles_with_PRISMA_reasons!W2:W2113""), $A411=IMPORTRANGE(""https://docs.google.com/"&amp;"spreadsheets/d/1qpEmbGH0JjaJbUdp21-y2cPbobDbMjr09BbtdKROZWc/edit#gid=1444865654"",""articles_with_PRISMA_reasons!B2:B2113""))&gt;=2,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$A411=IMPORTRANGE(""https://docs.google.com/spreadsheets/d/1qpEmbGH0JjaJbUdp21-y2cPbobDbMjr09BbtdKROZWc/edit#gid=1444865654"",""articles_with_PRISMA_reasons!B2:B2113""))&lt;2),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$A411=IMPORTRANGE(""https://docs.google.com/spreadsheets/d/1qpEmbGH0JjaJbUdp21-y2cPbobDbMjr09BbtdKRO"&amp;"ZWc/edit#gid=1444865654"",""articles_with_PRISMA_reasons!B2:B2113""))&lt;2,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$A411=IMPOR"&amp;"TRANGE(""https://docs.google.com/spreadsheets/d/1qpEmbGH0JjaJbUdp21-y2cPbobDbMjr09BbtdKROZWc/edit#gid=1444865654"",""articles_with_PRISMA_reasons!B2:B2113""))&gt;=2),
""Exclude""
)"),"Exclude")</f>
        <v>Exclude</v>
      </c>
      <c r="F411" s="5" t="str">
        <f>IFERROR(__xludf.DUMMYFUNCTION("IFS(
E411=""Exclude"",""Exclude"",
AND(
COUNTIF(
IMPORTRANGE(""https://docs.google.com/spreadsheets/d/1kGrh75X1cNR1D7_FcY9zMnHP8iPO4M5RCRjy6nZY0TY/edit#gid=0"",""Table 1: Study characteristics!B4:B171""),A411)&gt;0,
COUNTIF(Studies!$A$2:$A$85,FILTER(IMPORTRA"&amp;"NGE(""https://docs.google.com/spreadsheets/d/1kGrh75X1cNR1D7_FcY9zMnHP8iPO4M5RCRjy6nZY0TY/edit#gid=0"",""Table 1: Study characteristics!A4:A171""), $A411=IMPORTRANGE(""https://docs.google.com/spreadsheets/d/1kGrh75X1cNR1D7_FcY9zMnHP8iPO4M5RCRjy6nZY0TY/edi"&amp;"t#gid=0"",""Table 1: Study characteristics!B4:B171"")))&gt;0
),
""Include""
)"),"Exclude")</f>
        <v>Exclude</v>
      </c>
      <c r="G411" s="5" t="str">
        <f>IFERROR(__xludf.DUMMYFUNCTION("IFS(
D411=""Exclude"",
FILTER(IMPORTRANGE(""https://docs.google.com/spreadsheets/d/1BJSV3WBYJGRhQ6zExamkszQ5VutGIcaQqmbD9ZTVXMQ/edit#gid=1251630045"",""articles_with_PRISMA_reasons!AB2:AB2113""), $A411=IMPORTRANGE(""https://docs.google.com/spreadsheets/d/"&amp;"1BJSV3WBYJGRhQ6zExamkszQ5VutGIcaQqmbD9ZTVXMQ/edit#gid=1251630045"",""articles_with_PRISMA_reasons!B2:B2113"")),
E411=""Exclude"",
FILTER(IMPORTRANGE(""https://docs.google.com/spreadsheets/d/1qpEmbGH0JjaJbUdp21-y2cPbobDbMjr09BbtdKROZWc/edit#gid=1444865654"&amp;""",""articles_with_PRISMA_reasons!Z2:Z2113""), $A411=IMPORTRANGE(""https://docs.google.com/spreadsheets/d/1qpEmbGH0JjaJbUdp21-y2cPbobDbMjr09BbtdKROZWc/edit#gid=1444865654"",""articles_with_PRISMA_reasons!B2:B2113"")),F411
=""Include"",FILTER(IMPORTRANGE("&amp;"""https://docs.google.com/spreadsheets/d/1kGrh75X1cNR1D7_FcY9zMnHP8iPO4M5RCRjy6nZY0TY/edit#gid=0"",""Table 1: Study characteristics!A4:A171""), $A411=IMPORTRANGE(""https://docs.google.com/spreadsheets/d/1kGrh75X1cNR1D7_FcY9zMnHP8iPO4M5RCRjy6nZY0TY/edit#gi"&amp;"d=0"",""Table 1: Study characteristics!B4:B171""))
)"),"Duplicate")</f>
        <v>Duplicate</v>
      </c>
    </row>
    <row r="412">
      <c r="A412" s="4" t="str">
        <f>IFERROR(__xludf.DUMMYFUNCTION("""COMPUTED_VALUE"""),"Change in ventricular size and effect of ventricular catheter placement in pediatric patients with shunted hydrocephalus")</f>
        <v>Change in ventricular size and effect of ventricular catheter placement in pediatric patients with shunted hydrocephalus</v>
      </c>
      <c r="B412" s="5" t="str">
        <f>IFERROR(__xludf.DUMMYFUNCTION("LEFT(FILTER(IMPORTRANGE(""https://docs.google.com/spreadsheets/d/1BJSV3WBYJGRhQ6zExamkszQ5VutGIcaQqmbD9ZTVXMQ/edit#gid=1251630045"",""articles_with_PRISMA_reasons!K2:K2113""), $A412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$A412=IMPORTRANGE(""https://docs.google.com/spreadsheets/d/1BJSV3WBYJGRhQ6zExamkszQ5VutGIcaQqmbD9ZTVXMQ/edit#gid=1251630045"",""articles_with_PRISMA_reasons!B2:B2113"")))-1)"),"Tuli")</f>
        <v>Tuli</v>
      </c>
      <c r="C412" s="6">
        <f>IFERROR(__xludf.DUMMYFUNCTION("FILTER(IMPORTRANGE(""https://docs.google.com/spreadsheets/d/1BJSV3WBYJGRhQ6zExamkszQ5VutGIcaQqmbD9ZTVXMQ/edit#gid=1251630045"",""articles_with_PRISMA_reasons!C2:C2113""), $A412=IMPORTRANGE(""https://docs.google.com/spreadsheets/d/1BJSV3WBYJGRhQ6zExamkszQ5"&amp;"VutGIcaQqmbD9ZTVXMQ/edit#gid=1251630045"",""articles_with_PRISMA_reasons!B2:B2113""))"),1999.0)</f>
        <v>1999</v>
      </c>
      <c r="D412" s="5" t="str">
        <f>IFERROR(__xludf.DUMMYFUNCTION("IFS(AND(
FILTER(IMPORTRANGE(""https://docs.google.com/spreadsheets/d/1BJSV3WBYJGRhQ6zExamkszQ5VutGIcaQqmbD9ZTVXMQ/edit#gid=1251630045"",""articles_with_PRISMA_reasons!Y2:Y2113""), $A412=IMPORTRANGE(""https://docs.google.com/spreadsheets/d/1BJSV3WBYJGRhQ6z"&amp;"ExamkszQ5VutGIcaQqmbD9ZTVXMQ/edit#gid=1251630045"",""articles_with_PRISMA_reasons!B2:B2113""))&gt;=2,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$A412=IMPORTRANGE(""https://docs.google.com/spreadsheets/d/1BJSV3WBYJGRhQ6zExamkszQ5VutGIcaQqmbD9ZTVXMQ/edit#gid=1251630045"",""articles_with_PRISMA_reasons!B2:B2113""))&lt;2),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$A412=IMPORTRANGE(""https://docs.google.com/spreadsheets/d/1BJSV3WBYJGRhQ6zExamkszQ5VutGIcaQqmbD9ZTVXMQ/edit#gid=1251630045"",""arti"&amp;"cles_with_PRISMA_reasons!B2:B2113""))&lt;2,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$A412=IMPORTRANGE(""https://docs.google.com"&amp;"/spreadsheets/d/1BJSV3WBYJGRhQ6zExamkszQ5VutGIcaQqmbD9ZTVXMQ/edit#gid=1251630045"",""articles_with_PRISMA_reasons!B2:B2113""))&gt;=2),
""Exclude""
)"),"Exclude")</f>
        <v>Exclude</v>
      </c>
      <c r="E412" s="5" t="str">
        <f>IFERROR(__xludf.DUMMYFUNCTION("IFS(
D412=""Exclude"",""Exclude"",
AND(
FILTER(IMPORTRANGE(""https://docs.google.com/spreadsheets/d/1qpEmbGH0JjaJbUdp21-y2cPbobDbMjr09BbtdKROZWc/edit#gid=1444865654"",""articles_with_PRISMA_reasons!W2:W2113""), $A412=IMPORTRANGE(""https://docs.google.com/"&amp;"spreadsheets/d/1qpEmbGH0JjaJbUdp21-y2cPbobDbMjr09BbtdKROZWc/edit#gid=1444865654"",""articles_with_PRISMA_reasons!B2:B2113""))&gt;=2,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$A412=IMPORTRANGE(""https://docs.google.com/spreadsheets/d/1qpEmbGH0JjaJbUdp21-y2cPbobDbMjr09BbtdKROZWc/edit#gid=1444865654"",""articles_with_PRISMA_reasons!B2:B2113""))&lt;2),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$A412=IMPORTRANGE(""https://docs.google.com/spreadsheets/d/1qpEmbGH0JjaJbUdp21-y2cPbobDbMjr09BbtdKRO"&amp;"ZWc/edit#gid=1444865654"",""articles_with_PRISMA_reasons!B2:B2113""))&lt;2,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$A412=IMPOR"&amp;"TRANGE(""https://docs.google.com/spreadsheets/d/1qpEmbGH0JjaJbUdp21-y2cPbobDbMjr09BbtdKROZWc/edit#gid=1444865654"",""articles_with_PRISMA_reasons!B2:B2113""))&gt;=2),
""Exclude""
)"),"Exclude")</f>
        <v>Exclude</v>
      </c>
      <c r="F412" s="5" t="str">
        <f>IFERROR(__xludf.DUMMYFUNCTION("IFS(
E412=""Exclude"",""Exclude"",
AND(
COUNTIF(
IMPORTRANGE(""https://docs.google.com/spreadsheets/d/1kGrh75X1cNR1D7_FcY9zMnHP8iPO4M5RCRjy6nZY0TY/edit#gid=0"",""Table 1: Study characteristics!B4:B171""),A412)&gt;0,
COUNTIF(Studies!$A$2:$A$85,FILTER(IMPORTRA"&amp;"NGE(""https://docs.google.com/spreadsheets/d/1kGrh75X1cNR1D7_FcY9zMnHP8iPO4M5RCRjy6nZY0TY/edit#gid=0"",""Table 1: Study characteristics!A4:A171""), $A412=IMPORTRANGE(""https://docs.google.com/spreadsheets/d/1kGrh75X1cNR1D7_FcY9zMnHP8iPO4M5RCRjy6nZY0TY/edi"&amp;"t#gid=0"",""Table 1: Study characteristics!B4:B171"")))&gt;0
),
""Include""
)"),"Exclude")</f>
        <v>Exclude</v>
      </c>
      <c r="G412" s="5" t="str">
        <f>IFERROR(__xludf.DUMMYFUNCTION("IFS(
D412=""Exclude"",
FILTER(IMPORTRANGE(""https://docs.google.com/spreadsheets/d/1BJSV3WBYJGRhQ6zExamkszQ5VutGIcaQqmbD9ZTVXMQ/edit#gid=1251630045"",""articles_with_PRISMA_reasons!AB2:AB2113""), $A412=IMPORTRANGE(""https://docs.google.com/spreadsheets/d/"&amp;"1BJSV3WBYJGRhQ6zExamkszQ5VutGIcaQqmbD9ZTVXMQ/edit#gid=1251630045"",""articles_with_PRISMA_reasons!B2:B2113"")),
E412=""Exclude"",
FILTER(IMPORTRANGE(""https://docs.google.com/spreadsheets/d/1qpEmbGH0JjaJbUdp21-y2cPbobDbMjr09BbtdKROZWc/edit#gid=1444865654"&amp;""",""articles_with_PRISMA_reasons!Z2:Z2113""), $A412=IMPORTRANGE(""https://docs.google.com/spreadsheets/d/1qpEmbGH0JjaJbUdp21-y2cPbobDbMjr09BbtdKROZWc/edit#gid=1444865654"",""articles_with_PRISMA_reasons!B2:B2113"")),F412
=""Include"",FILTER(IMPORTRANGE("&amp;"""https://docs.google.com/spreadsheets/d/1kGrh75X1cNR1D7_FcY9zMnHP8iPO4M5RCRjy6nZY0TY/edit#gid=0"",""Table 1: Study characteristics!A4:A171""), $A412=IMPORTRANGE(""https://docs.google.com/spreadsheets/d/1kGrh75X1cNR1D7_FcY9zMnHP8iPO4M5RCRjy6nZY0TY/edit#gi"&amp;"d=0"",""Table 1: Study characteristics!B4:B171""))
)"),"wrong population")</f>
        <v>wrong population</v>
      </c>
    </row>
    <row r="413">
      <c r="A413" s="4" t="str">
        <f>IFERROR(__xludf.DUMMYFUNCTION("""COMPUTED_VALUE"""),"Changes in alpha-fetoprotein levels in a case with multiple congenital anomalies")</f>
        <v>Changes in alpha-fetoprotein levels in a case with multiple congenital anomalies</v>
      </c>
      <c r="B413" s="5" t="str">
        <f>IFERROR(__xludf.DUMMYFUNCTION("LEFT(FILTER(IMPORTRANGE(""https://docs.google.com/spreadsheets/d/1BJSV3WBYJGRhQ6zExamkszQ5VutGIcaQqmbD9ZTVXMQ/edit#gid=1251630045"",""articles_with_PRISMA_reasons!K2:K2113""), $A413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$A413=IMPORTRANGE(""https://docs.google.com/spreadsheets/d/1BJSV3WBYJGRhQ6zExamkszQ5VutGIcaQqmbD9ZTVXMQ/edit#gid=1251630045"",""articles_with_PRISMA_reasons!B2:B2113"")))-1)"),"Lau")</f>
        <v>Lau</v>
      </c>
      <c r="C413" s="6">
        <f>IFERROR(__xludf.DUMMYFUNCTION("FILTER(IMPORTRANGE(""https://docs.google.com/spreadsheets/d/1BJSV3WBYJGRhQ6zExamkszQ5VutGIcaQqmbD9ZTVXMQ/edit#gid=1251630045"",""articles_with_PRISMA_reasons!C2:C2113""), $A413=IMPORTRANGE(""https://docs.google.com/spreadsheets/d/1BJSV3WBYJGRhQ6zExamkszQ5"&amp;"VutGIcaQqmbD9ZTVXMQ/edit#gid=1251630045"",""articles_with_PRISMA_reasons!B2:B2113""))"),1977.0)</f>
        <v>1977</v>
      </c>
      <c r="D413" s="5" t="str">
        <f>IFERROR(__xludf.DUMMYFUNCTION("IFS(AND(
FILTER(IMPORTRANGE(""https://docs.google.com/spreadsheets/d/1BJSV3WBYJGRhQ6zExamkszQ5VutGIcaQqmbD9ZTVXMQ/edit#gid=1251630045"",""articles_with_PRISMA_reasons!Y2:Y2113""), $A413=IMPORTRANGE(""https://docs.google.com/spreadsheets/d/1BJSV3WBYJGRhQ6z"&amp;"ExamkszQ5VutGIcaQqmbD9ZTVXMQ/edit#gid=1251630045"",""articles_with_PRISMA_reasons!B2:B2113""))&gt;=2,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$A413=IMPORTRANGE(""https://docs.google.com/spreadsheets/d/1BJSV3WBYJGRhQ6zExamkszQ5VutGIcaQqmbD9ZTVXMQ/edit#gid=1251630045"",""articles_with_PRISMA_reasons!B2:B2113""))&lt;2),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$A413=IMPORTRANGE(""https://docs.google.com/spreadsheets/d/1BJSV3WBYJGRhQ6zExamkszQ5VutGIcaQqmbD9ZTVXMQ/edit#gid=1251630045"",""arti"&amp;"cles_with_PRISMA_reasons!B2:B2113""))&lt;2,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$A413=IMPORTRANGE(""https://docs.google.com"&amp;"/spreadsheets/d/1BJSV3WBYJGRhQ6zExamkszQ5VutGIcaQqmbD9ZTVXMQ/edit#gid=1251630045"",""articles_with_PRISMA_reasons!B2:B2113""))&gt;=2),
""Exclude""
)"),"Exclude")</f>
        <v>Exclude</v>
      </c>
      <c r="E413" s="5" t="str">
        <f>IFERROR(__xludf.DUMMYFUNCTION("IFS(
D413=""Exclude"",""Exclude"",
AND(
FILTER(IMPORTRANGE(""https://docs.google.com/spreadsheets/d/1qpEmbGH0JjaJbUdp21-y2cPbobDbMjr09BbtdKROZWc/edit#gid=1444865654"",""articles_with_PRISMA_reasons!W2:W2113""), $A413=IMPORTRANGE(""https://docs.google.com/"&amp;"spreadsheets/d/1qpEmbGH0JjaJbUdp21-y2cPbobDbMjr09BbtdKROZWc/edit#gid=1444865654"",""articles_with_PRISMA_reasons!B2:B2113""))&gt;=2,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$A413=IMPORTRANGE(""https://docs.google.com/spreadsheets/d/1qpEmbGH0JjaJbUdp21-y2cPbobDbMjr09BbtdKROZWc/edit#gid=1444865654"",""articles_with_PRISMA_reasons!B2:B2113""))&lt;2),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$A413=IMPORTRANGE(""https://docs.google.com/spreadsheets/d/1qpEmbGH0JjaJbUdp21-y2cPbobDbMjr09BbtdKRO"&amp;"ZWc/edit#gid=1444865654"",""articles_with_PRISMA_reasons!B2:B2113""))&lt;2,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$A413=IMPOR"&amp;"TRANGE(""https://docs.google.com/spreadsheets/d/1qpEmbGH0JjaJbUdp21-y2cPbobDbMjr09BbtdKROZWc/edit#gid=1444865654"",""articles_with_PRISMA_reasons!B2:B2113""))&gt;=2),
""Exclude""
)"),"Exclude")</f>
        <v>Exclude</v>
      </c>
      <c r="F413" s="5" t="str">
        <f>IFERROR(__xludf.DUMMYFUNCTION("IFS(
E413=""Exclude"",""Exclude"",
AND(
COUNTIF(
IMPORTRANGE(""https://docs.google.com/spreadsheets/d/1kGrh75X1cNR1D7_FcY9zMnHP8iPO4M5RCRjy6nZY0TY/edit#gid=0"",""Table 1: Study characteristics!B4:B171""),A413)&gt;0,
COUNTIF(Studies!$A$2:$A$85,FILTER(IMPORTRA"&amp;"NGE(""https://docs.google.com/spreadsheets/d/1kGrh75X1cNR1D7_FcY9zMnHP8iPO4M5RCRjy6nZY0TY/edit#gid=0"",""Table 1: Study characteristics!A4:A171""), $A413=IMPORTRANGE(""https://docs.google.com/spreadsheets/d/1kGrh75X1cNR1D7_FcY9zMnHP8iPO4M5RCRjy6nZY0TY/edi"&amp;"t#gid=0"",""Table 1: Study characteristics!B4:B171"")))&gt;0
),
""Include""
)"),"Exclude")</f>
        <v>Exclude</v>
      </c>
      <c r="G413" s="5" t="str">
        <f>IFERROR(__xludf.DUMMYFUNCTION("IFS(
D413=""Exclude"",
FILTER(IMPORTRANGE(""https://docs.google.com/spreadsheets/d/1BJSV3WBYJGRhQ6zExamkszQ5VutGIcaQqmbD9ZTVXMQ/edit#gid=1251630045"",""articles_with_PRISMA_reasons!AB2:AB2113""), $A413=IMPORTRANGE(""https://docs.google.com/spreadsheets/d/"&amp;"1BJSV3WBYJGRhQ6zExamkszQ5VutGIcaQqmbD9ZTVXMQ/edit#gid=1251630045"",""articles_with_PRISMA_reasons!B2:B2113"")),
E413=""Exclude"",
FILTER(IMPORTRANGE(""https://docs.google.com/spreadsheets/d/1qpEmbGH0JjaJbUdp21-y2cPbobDbMjr09BbtdKROZWc/edit#gid=1444865654"&amp;""",""articles_with_PRISMA_reasons!Z2:Z2113""), $A413=IMPORTRANGE(""https://docs.google.com/spreadsheets/d/1qpEmbGH0JjaJbUdp21-y2cPbobDbMjr09BbtdKROZWc/edit#gid=1444865654"",""articles_with_PRISMA_reasons!B2:B2113"")),F413
=""Include"",FILTER(IMPORTRANGE("&amp;"""https://docs.google.com/spreadsheets/d/1kGrh75X1cNR1D7_FcY9zMnHP8iPO4M5RCRjy6nZY0TY/edit#gid=0"",""Table 1: Study characteristics!A4:A171""), $A413=IMPORTRANGE(""https://docs.google.com/spreadsheets/d/1kGrh75X1cNR1D7_FcY9zMnHP8iPO4M5RCRjy6nZY0TY/edit#gi"&amp;"d=0"",""Table 1: Study characteristics!B4:B171""))
)"),"wrong study design")</f>
        <v>wrong study design</v>
      </c>
    </row>
    <row r="414">
      <c r="A414" s="4" t="str">
        <f>IFERROR(__xludf.DUMMYFUNCTION("""COMPUTED_VALUE"""),"Changes in the visual evoked potentials of hydrocephalic children")</f>
        <v>Changes in the visual evoked potentials of hydrocephalic children</v>
      </c>
      <c r="B414" s="5" t="str">
        <f>IFERROR(__xludf.DUMMYFUNCTION("LEFT(FILTER(IMPORTRANGE(""https://docs.google.com/spreadsheets/d/1BJSV3WBYJGRhQ6zExamkszQ5VutGIcaQqmbD9ZTVXMQ/edit#gid=1251630045"",""articles_with_PRISMA_reasons!K2:K2113""), $A414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$A414=IMPORTRANGE(""https://docs.google.com/spreadsheets/d/1BJSV3WBYJGRhQ6zExamkszQ5VutGIcaQqmbD9ZTVXMQ/edit#gid=1251630045"",""articles_with_PRISMA_reasons!B2:B2113"")))-1)"),"Guthkelch")</f>
        <v>Guthkelch</v>
      </c>
      <c r="C414" s="6">
        <f>IFERROR(__xludf.DUMMYFUNCTION("FILTER(IMPORTRANGE(""https://docs.google.com/spreadsheets/d/1BJSV3WBYJGRhQ6zExamkszQ5VutGIcaQqmbD9ZTVXMQ/edit#gid=1251630045"",""articles_with_PRISMA_reasons!C2:C2113""), $A414=IMPORTRANGE(""https://docs.google.com/spreadsheets/d/1BJSV3WBYJGRhQ6zExamkszQ5"&amp;"VutGIcaQqmbD9ZTVXMQ/edit#gid=1251630045"",""articles_with_PRISMA_reasons!B2:B2113""))"),1982.0)</f>
        <v>1982</v>
      </c>
      <c r="D414" s="5" t="str">
        <f>IFERROR(__xludf.DUMMYFUNCTION("IFS(AND(
FILTER(IMPORTRANGE(""https://docs.google.com/spreadsheets/d/1BJSV3WBYJGRhQ6zExamkszQ5VutGIcaQqmbD9ZTVXMQ/edit#gid=1251630045"",""articles_with_PRISMA_reasons!Y2:Y2113""), $A414=IMPORTRANGE(""https://docs.google.com/spreadsheets/d/1BJSV3WBYJGRhQ6z"&amp;"ExamkszQ5VutGIcaQqmbD9ZTVXMQ/edit#gid=1251630045"",""articles_with_PRISMA_reasons!B2:B2113""))&gt;=2,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$A414=IMPORTRANGE(""https://docs.google.com/spreadsheets/d/1BJSV3WBYJGRhQ6zExamkszQ5VutGIcaQqmbD9ZTVXMQ/edit#gid=1251630045"",""articles_with_PRISMA_reasons!B2:B2113""))&lt;2),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$A414=IMPORTRANGE(""https://docs.google.com/spreadsheets/d/1BJSV3WBYJGRhQ6zExamkszQ5VutGIcaQqmbD9ZTVXMQ/edit#gid=1251630045"",""arti"&amp;"cles_with_PRISMA_reasons!B2:B2113""))&lt;2,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$A414=IMPORTRANGE(""https://docs.google.com"&amp;"/spreadsheets/d/1BJSV3WBYJGRhQ6zExamkszQ5VutGIcaQqmbD9ZTVXMQ/edit#gid=1251630045"",""articles_with_PRISMA_reasons!B2:B2113""))&gt;=2),
""Exclude""
)"),"Exclude")</f>
        <v>Exclude</v>
      </c>
      <c r="E414" s="5" t="str">
        <f>IFERROR(__xludf.DUMMYFUNCTION("IFS(
D414=""Exclude"",""Exclude"",
AND(
FILTER(IMPORTRANGE(""https://docs.google.com/spreadsheets/d/1qpEmbGH0JjaJbUdp21-y2cPbobDbMjr09BbtdKROZWc/edit#gid=1444865654"",""articles_with_PRISMA_reasons!W2:W2113""), $A414=IMPORTRANGE(""https://docs.google.com/"&amp;"spreadsheets/d/1qpEmbGH0JjaJbUdp21-y2cPbobDbMjr09BbtdKROZWc/edit#gid=1444865654"",""articles_with_PRISMA_reasons!B2:B2113""))&gt;=2,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$A414=IMPORTRANGE(""https://docs.google.com/spreadsheets/d/1qpEmbGH0JjaJbUdp21-y2cPbobDbMjr09BbtdKROZWc/edit#gid=1444865654"",""articles_with_PRISMA_reasons!B2:B2113""))&lt;2),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$A414=IMPORTRANGE(""https://docs.google.com/spreadsheets/d/1qpEmbGH0JjaJbUdp21-y2cPbobDbMjr09BbtdKRO"&amp;"ZWc/edit#gid=1444865654"",""articles_with_PRISMA_reasons!B2:B2113""))&lt;2,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$A414=IMPOR"&amp;"TRANGE(""https://docs.google.com/spreadsheets/d/1qpEmbGH0JjaJbUdp21-y2cPbobDbMjr09BbtdKROZWc/edit#gid=1444865654"",""articles_with_PRISMA_reasons!B2:B2113""))&gt;=2),
""Exclude""
)"),"Exclude")</f>
        <v>Exclude</v>
      </c>
      <c r="F414" s="5" t="str">
        <f>IFERROR(__xludf.DUMMYFUNCTION("IFS(
E414=""Exclude"",""Exclude"",
AND(
COUNTIF(
IMPORTRANGE(""https://docs.google.com/spreadsheets/d/1kGrh75X1cNR1D7_FcY9zMnHP8iPO4M5RCRjy6nZY0TY/edit#gid=0"",""Table 1: Study characteristics!B4:B171""),A414)&gt;0,
COUNTIF(Studies!$A$2:$A$85,FILTER(IMPORTRA"&amp;"NGE(""https://docs.google.com/spreadsheets/d/1kGrh75X1cNR1D7_FcY9zMnHP8iPO4M5RCRjy6nZY0TY/edit#gid=0"",""Table 1: Study characteristics!A4:A171""), $A414=IMPORTRANGE(""https://docs.google.com/spreadsheets/d/1kGrh75X1cNR1D7_FcY9zMnHP8iPO4M5RCRjy6nZY0TY/edi"&amp;"t#gid=0"",""Table 1: Study characteristics!B4:B171"")))&gt;0
),
""Include""
)"),"Exclude")</f>
        <v>Exclude</v>
      </c>
      <c r="G414" s="5" t="str">
        <f>IFERROR(__xludf.DUMMYFUNCTION("IFS(
D414=""Exclude"",
FILTER(IMPORTRANGE(""https://docs.google.com/spreadsheets/d/1BJSV3WBYJGRhQ6zExamkszQ5VutGIcaQqmbD9ZTVXMQ/edit#gid=1251630045"",""articles_with_PRISMA_reasons!AB2:AB2113""), $A414=IMPORTRANGE(""https://docs.google.com/spreadsheets/d/"&amp;"1BJSV3WBYJGRhQ6zExamkszQ5VutGIcaQqmbD9ZTVXMQ/edit#gid=1251630045"",""articles_with_PRISMA_reasons!B2:B2113"")),
E414=""Exclude"",
FILTER(IMPORTRANGE(""https://docs.google.com/spreadsheets/d/1qpEmbGH0JjaJbUdp21-y2cPbobDbMjr09BbtdKROZWc/edit#gid=1444865654"&amp;""",""articles_with_PRISMA_reasons!Z2:Z2113""), $A414=IMPORTRANGE(""https://docs.google.com/spreadsheets/d/1qpEmbGH0JjaJbUdp21-y2cPbobDbMjr09BbtdKROZWc/edit#gid=1444865654"",""articles_with_PRISMA_reasons!B2:B2113"")),F414
=""Include"",FILTER(IMPORTRANGE("&amp;"""https://docs.google.com/spreadsheets/d/1kGrh75X1cNR1D7_FcY9zMnHP8iPO4M5RCRjy6nZY0TY/edit#gid=0"",""Table 1: Study characteristics!A4:A171""), $A414=IMPORTRANGE(""https://docs.google.com/spreadsheets/d/1kGrh75X1cNR1D7_FcY9zMnHP8iPO4M5RCRjy6nZY0TY/edit#gi"&amp;"d=0"",""Table 1: Study characteristics!B4:B171""))
)"),"wrong population")</f>
        <v>wrong population</v>
      </c>
    </row>
    <row r="415">
      <c r="A415" s="4" t="str">
        <f>IFERROR(__xludf.DUMMYFUNCTION("""COMPUTED_VALUE"""),"Changes of the eyes in the derived internal hydrocephalus")</f>
        <v>Changes of the eyes in the derived internal hydrocephalus</v>
      </c>
      <c r="B415" s="5" t="str">
        <f>IFERROR(__xludf.DUMMYFUNCTION("LEFT(FILTER(IMPORTRANGE(""https://docs.google.com/spreadsheets/d/1BJSV3WBYJGRhQ6zExamkszQ5VutGIcaQqmbD9ZTVXMQ/edit#gid=1251630045"",""articles_with_PRISMA_reasons!K2:K2113""), $A415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$A415=IMPORTRANGE(""https://docs.google.com/spreadsheets/d/1BJSV3WBYJGRhQ6zExamkszQ5VutGIcaQqmbD9ZTVXMQ/edit#gid=1251630045"",""articles_with_PRISMA_reasons!B2:B2113"")))-1)"),"Sternkopf")</f>
        <v>Sternkopf</v>
      </c>
      <c r="C415" s="6">
        <f>IFERROR(__xludf.DUMMYFUNCTION("FILTER(IMPORTRANGE(""https://docs.google.com/spreadsheets/d/1BJSV3WBYJGRhQ6zExamkszQ5VutGIcaQqmbD9ZTVXMQ/edit#gid=1251630045"",""articles_with_PRISMA_reasons!C2:C2113""), $A415=IMPORTRANGE(""https://docs.google.com/spreadsheets/d/1BJSV3WBYJGRhQ6zExamkszQ5"&amp;"VutGIcaQqmbD9ZTVXMQ/edit#gid=1251630045"",""articles_with_PRISMA_reasons!B2:B2113""))"),1984.0)</f>
        <v>1984</v>
      </c>
      <c r="D415" s="5" t="str">
        <f>IFERROR(__xludf.DUMMYFUNCTION("IFS(AND(
FILTER(IMPORTRANGE(""https://docs.google.com/spreadsheets/d/1BJSV3WBYJGRhQ6zExamkszQ5VutGIcaQqmbD9ZTVXMQ/edit#gid=1251630045"",""articles_with_PRISMA_reasons!Y2:Y2113""), $A415=IMPORTRANGE(""https://docs.google.com/spreadsheets/d/1BJSV3WBYJGRhQ6z"&amp;"ExamkszQ5VutGIcaQqmbD9ZTVXMQ/edit#gid=1251630045"",""articles_with_PRISMA_reasons!B2:B2113""))&gt;=2,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$A415=IMPORTRANGE(""https://docs.google.com/spreadsheets/d/1BJSV3WBYJGRhQ6zExamkszQ5VutGIcaQqmbD9ZTVXMQ/edit#gid=1251630045"",""articles_with_PRISMA_reasons!B2:B2113""))&lt;2),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$A415=IMPORTRANGE(""https://docs.google.com/spreadsheets/d/1BJSV3WBYJGRhQ6zExamkszQ5VutGIcaQqmbD9ZTVXMQ/edit#gid=1251630045"",""arti"&amp;"cles_with_PRISMA_reasons!B2:B2113""))&lt;2,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$A415=IMPORTRANGE(""https://docs.google.com"&amp;"/spreadsheets/d/1BJSV3WBYJGRhQ6zExamkszQ5VutGIcaQqmbD9ZTVXMQ/edit#gid=1251630045"",""articles_with_PRISMA_reasons!B2:B2113""))&gt;=2),
""Exclude""
)"),"Exclude")</f>
        <v>Exclude</v>
      </c>
      <c r="E415" s="5" t="str">
        <f>IFERROR(__xludf.DUMMYFUNCTION("IFS(
D415=""Exclude"",""Exclude"",
AND(
FILTER(IMPORTRANGE(""https://docs.google.com/spreadsheets/d/1qpEmbGH0JjaJbUdp21-y2cPbobDbMjr09BbtdKROZWc/edit#gid=1444865654"",""articles_with_PRISMA_reasons!W2:W2113""), $A415=IMPORTRANGE(""https://docs.google.com/"&amp;"spreadsheets/d/1qpEmbGH0JjaJbUdp21-y2cPbobDbMjr09BbtdKROZWc/edit#gid=1444865654"",""articles_with_PRISMA_reasons!B2:B2113""))&gt;=2,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$A415=IMPORTRANGE(""https://docs.google.com/spreadsheets/d/1qpEmbGH0JjaJbUdp21-y2cPbobDbMjr09BbtdKROZWc/edit#gid=1444865654"",""articles_with_PRISMA_reasons!B2:B2113""))&lt;2),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$A415=IMPORTRANGE(""https://docs.google.com/spreadsheets/d/1qpEmbGH0JjaJbUdp21-y2cPbobDbMjr09BbtdKRO"&amp;"ZWc/edit#gid=1444865654"",""articles_with_PRISMA_reasons!B2:B2113""))&lt;2,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$A415=IMPOR"&amp;"TRANGE(""https://docs.google.com/spreadsheets/d/1qpEmbGH0JjaJbUdp21-y2cPbobDbMjr09BbtdKROZWc/edit#gid=1444865654"",""articles_with_PRISMA_reasons!B2:B2113""))&gt;=2),
""Exclude""
)"),"Exclude")</f>
        <v>Exclude</v>
      </c>
      <c r="F415" s="5" t="str">
        <f>IFERROR(__xludf.DUMMYFUNCTION("IFS(
E415=""Exclude"",""Exclude"",
AND(
COUNTIF(
IMPORTRANGE(""https://docs.google.com/spreadsheets/d/1kGrh75X1cNR1D7_FcY9zMnHP8iPO4M5RCRjy6nZY0TY/edit#gid=0"",""Table 1: Study characteristics!B4:B171""),A415)&gt;0,
COUNTIF(Studies!$A$2:$A$85,FILTER(IMPORTRA"&amp;"NGE(""https://docs.google.com/spreadsheets/d/1kGrh75X1cNR1D7_FcY9zMnHP8iPO4M5RCRjy6nZY0TY/edit#gid=0"",""Table 1: Study characteristics!A4:A171""), $A415=IMPORTRANGE(""https://docs.google.com/spreadsheets/d/1kGrh75X1cNR1D7_FcY9zMnHP8iPO4M5RCRjy6nZY0TY/edi"&amp;"t#gid=0"",""Table 1: Study characteristics!B4:B171"")))&gt;0
),
""Include""
)"),"Exclude")</f>
        <v>Exclude</v>
      </c>
      <c r="G415" s="5" t="str">
        <f>IFERROR(__xludf.DUMMYFUNCTION("IFS(
D415=""Exclude"",
FILTER(IMPORTRANGE(""https://docs.google.com/spreadsheets/d/1BJSV3WBYJGRhQ6zExamkszQ5VutGIcaQqmbD9ZTVXMQ/edit#gid=1251630045"",""articles_with_PRISMA_reasons!AB2:AB2113""), $A415=IMPORTRANGE(""https://docs.google.com/spreadsheets/d/"&amp;"1BJSV3WBYJGRhQ6zExamkszQ5VutGIcaQqmbD9ZTVXMQ/edit#gid=1251630045"",""articles_with_PRISMA_reasons!B2:B2113"")),
E415=""Exclude"",
FILTER(IMPORTRANGE(""https://docs.google.com/spreadsheets/d/1qpEmbGH0JjaJbUdp21-y2cPbobDbMjr09BbtdKROZWc/edit#gid=1444865654"&amp;""",""articles_with_PRISMA_reasons!Z2:Z2113""), $A415=IMPORTRANGE(""https://docs.google.com/spreadsheets/d/1qpEmbGH0JjaJbUdp21-y2cPbobDbMjr09BbtdKROZWc/edit#gid=1444865654"",""articles_with_PRISMA_reasons!B2:B2113"")),F415
=""Include"",FILTER(IMPORTRANGE("&amp;"""https://docs.google.com/spreadsheets/d/1kGrh75X1cNR1D7_FcY9zMnHP8iPO4M5RCRjy6nZY0TY/edit#gid=0"",""Table 1: Study characteristics!A4:A171""), $A415=IMPORTRANGE(""https://docs.google.com/spreadsheets/d/1kGrh75X1cNR1D7_FcY9zMnHP8iPO4M5RCRjy6nZY0TY/edit#gi"&amp;"d=0"",""Table 1: Study characteristics!B4:B171""))
)"),"wrong study design")</f>
        <v>wrong study design</v>
      </c>
    </row>
    <row r="416">
      <c r="A416" s="4" t="str">
        <f>IFERROR(__xludf.DUMMYFUNCTION("""COMPUTED_VALUE"""),"Chapter 10. To treat or not to treat: a neurosurgeon's perspective of myelomeningocele")</f>
        <v>Chapter 10. To treat or not to treat: a neurosurgeon's perspective of myelomeningocele</v>
      </c>
      <c r="B416" s="5" t="str">
        <f>IFERROR(__xludf.DUMMYFUNCTION("LEFT(FILTER(IMPORTRANGE(""https://docs.google.com/spreadsheets/d/1BJSV3WBYJGRhQ6zExamkszQ5VutGIcaQqmbD9ZTVXMQ/edit#gid=1251630045"",""articles_with_PRISMA_reasons!K2:K2113""), $A416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$A416=IMPORTRANGE(""https://docs.google.com/spreadsheets/d/1BJSV3WBYJGRhQ6zExamkszQ5VutGIcaQqmbD9ZTVXMQ/edit#gid=1251630045"",""articles_with_PRISMA_reasons!B2:B2113"")))-1)"),"Foltz")</f>
        <v>Foltz</v>
      </c>
      <c r="C416" s="6">
        <f>IFERROR(__xludf.DUMMYFUNCTION("FILTER(IMPORTRANGE(""https://docs.google.com/spreadsheets/d/1BJSV3WBYJGRhQ6zExamkszQ5VutGIcaQqmbD9ZTVXMQ/edit#gid=1251630045"",""articles_with_PRISMA_reasons!C2:C2113""), $A416=IMPORTRANGE(""https://docs.google.com/spreadsheets/d/1BJSV3WBYJGRhQ6zExamkszQ5"&amp;"VutGIcaQqmbD9ZTVXMQ/edit#gid=1251630045"",""articles_with_PRISMA_reasons!B2:B2113""))"),1973.0)</f>
        <v>1973</v>
      </c>
      <c r="D416" s="5" t="str">
        <f>IFERROR(__xludf.DUMMYFUNCTION("IFS(AND(
FILTER(IMPORTRANGE(""https://docs.google.com/spreadsheets/d/1BJSV3WBYJGRhQ6zExamkszQ5VutGIcaQqmbD9ZTVXMQ/edit#gid=1251630045"",""articles_with_PRISMA_reasons!Y2:Y2113""), $A416=IMPORTRANGE(""https://docs.google.com/spreadsheets/d/1BJSV3WBYJGRhQ6z"&amp;"ExamkszQ5VutGIcaQqmbD9ZTVXMQ/edit#gid=1251630045"",""articles_with_PRISMA_reasons!B2:B2113""))&gt;=2,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$A416=IMPORTRANGE(""https://docs.google.com/spreadsheets/d/1BJSV3WBYJGRhQ6zExamkszQ5VutGIcaQqmbD9ZTVXMQ/edit#gid=1251630045"",""articles_with_PRISMA_reasons!B2:B2113""))&lt;2),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$A416=IMPORTRANGE(""https://docs.google.com/spreadsheets/d/1BJSV3WBYJGRhQ6zExamkszQ5VutGIcaQqmbD9ZTVXMQ/edit#gid=1251630045"",""arti"&amp;"cles_with_PRISMA_reasons!B2:B2113""))&lt;2,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$A416=IMPORTRANGE(""https://docs.google.com"&amp;"/spreadsheets/d/1BJSV3WBYJGRhQ6zExamkszQ5VutGIcaQqmbD9ZTVXMQ/edit#gid=1251630045"",""articles_with_PRISMA_reasons!B2:B2113""))&gt;=2),
""Exclude""
)"),"Exclude")</f>
        <v>Exclude</v>
      </c>
      <c r="E416" s="5" t="str">
        <f>IFERROR(__xludf.DUMMYFUNCTION("IFS(
D416=""Exclude"",""Exclude"",
AND(
FILTER(IMPORTRANGE(""https://docs.google.com/spreadsheets/d/1qpEmbGH0JjaJbUdp21-y2cPbobDbMjr09BbtdKROZWc/edit#gid=1444865654"",""articles_with_PRISMA_reasons!W2:W2113""), $A416=IMPORTRANGE(""https://docs.google.com/"&amp;"spreadsheets/d/1qpEmbGH0JjaJbUdp21-y2cPbobDbMjr09BbtdKROZWc/edit#gid=1444865654"",""articles_with_PRISMA_reasons!B2:B2113""))&gt;=2,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$A416=IMPORTRANGE(""https://docs.google.com/spreadsheets/d/1qpEmbGH0JjaJbUdp21-y2cPbobDbMjr09BbtdKROZWc/edit#gid=1444865654"",""articles_with_PRISMA_reasons!B2:B2113""))&lt;2),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$A416=IMPORTRANGE(""https://docs.google.com/spreadsheets/d/1qpEmbGH0JjaJbUdp21-y2cPbobDbMjr09BbtdKRO"&amp;"ZWc/edit#gid=1444865654"",""articles_with_PRISMA_reasons!B2:B2113""))&lt;2,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$A416=IMPOR"&amp;"TRANGE(""https://docs.google.com/spreadsheets/d/1qpEmbGH0JjaJbUdp21-y2cPbobDbMjr09BbtdKROZWc/edit#gid=1444865654"",""articles_with_PRISMA_reasons!B2:B2113""))&gt;=2),
""Exclude""
)"),"Exclude")</f>
        <v>Exclude</v>
      </c>
      <c r="F416" s="5" t="str">
        <f>IFERROR(__xludf.DUMMYFUNCTION("IFS(
E416=""Exclude"",""Exclude"",
AND(
COUNTIF(
IMPORTRANGE(""https://docs.google.com/spreadsheets/d/1kGrh75X1cNR1D7_FcY9zMnHP8iPO4M5RCRjy6nZY0TY/edit#gid=0"",""Table 1: Study characteristics!B4:B171""),A416)&gt;0,
COUNTIF(Studies!$A$2:$A$85,FILTER(IMPORTRA"&amp;"NGE(""https://docs.google.com/spreadsheets/d/1kGrh75X1cNR1D7_FcY9zMnHP8iPO4M5RCRjy6nZY0TY/edit#gid=0"",""Table 1: Study characteristics!A4:A171""), $A416=IMPORTRANGE(""https://docs.google.com/spreadsheets/d/1kGrh75X1cNR1D7_FcY9zMnHP8iPO4M5RCRjy6nZY0TY/edi"&amp;"t#gid=0"",""Table 1: Study characteristics!B4:B171"")))&gt;0
),
""Include""
)"),"Exclude")</f>
        <v>Exclude</v>
      </c>
      <c r="G416" s="5" t="str">
        <f>IFERROR(__xludf.DUMMYFUNCTION("IFS(
D416=""Exclude"",
FILTER(IMPORTRANGE(""https://docs.google.com/spreadsheets/d/1BJSV3WBYJGRhQ6zExamkszQ5VutGIcaQqmbD9ZTVXMQ/edit#gid=1251630045"",""articles_with_PRISMA_reasons!AB2:AB2113""), $A416=IMPORTRANGE(""https://docs.google.com/spreadsheets/d/"&amp;"1BJSV3WBYJGRhQ6zExamkszQ5VutGIcaQqmbD9ZTVXMQ/edit#gid=1251630045"",""articles_with_PRISMA_reasons!B2:B2113"")),
E416=""Exclude"",
FILTER(IMPORTRANGE(""https://docs.google.com/spreadsheets/d/1qpEmbGH0JjaJbUdp21-y2cPbobDbMjr09BbtdKROZWc/edit#gid=1444865654"&amp;""",""articles_with_PRISMA_reasons!Z2:Z2113""), $A416=IMPORTRANGE(""https://docs.google.com/spreadsheets/d/1qpEmbGH0JjaJbUdp21-y2cPbobDbMjr09BbtdKROZWc/edit#gid=1444865654"",""articles_with_PRISMA_reasons!B2:B2113"")),F416
=""Include"",FILTER(IMPORTRANGE("&amp;"""https://docs.google.com/spreadsheets/d/1kGrh75X1cNR1D7_FcY9zMnHP8iPO4M5RCRjy6nZY0TY/edit#gid=0"",""Table 1: Study characteristics!A4:A171""), $A416=IMPORTRANGE(""https://docs.google.com/spreadsheets/d/1kGrh75X1cNR1D7_FcY9zMnHP8iPO4M5RCRjy6nZY0TY/edit#gi"&amp;"d=0"",""Table 1: Study characteristics!B4:B171""))
)"),"wrong study design")</f>
        <v>wrong study design</v>
      </c>
    </row>
    <row r="417">
      <c r="A417" s="4" t="str">
        <f>IFERROR(__xludf.DUMMYFUNCTION("""COMPUTED_VALUE"""),"Chapter 9. To treat or not to treat: ethical dilemmas of the infant with a myelomeningocele")</f>
        <v>Chapter 9. To treat or not to treat: ethical dilemmas of the infant with a myelomeningocele</v>
      </c>
      <c r="B417" s="5" t="str">
        <f>IFERROR(__xludf.DUMMYFUNCTION("LEFT(FILTER(IMPORTRANGE(""https://docs.google.com/spreadsheets/d/1BJSV3WBYJGRhQ6zExamkszQ5VutGIcaQqmbD9ZTVXMQ/edit#gid=1251630045"",""articles_with_PRISMA_reasons!K2:K2113""), $A417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$A417=IMPORTRANGE(""https://docs.google.com/spreadsheets/d/1BJSV3WBYJGRhQ6zExamkszQ5VutGIcaQqmbD9ZTVXMQ/edit#gid=1251630045"",""articles_with_PRISMA_reasons!B2:B2113"")))-1)"),"Freeman")</f>
        <v>Freeman</v>
      </c>
      <c r="C417" s="6">
        <f>IFERROR(__xludf.DUMMYFUNCTION("FILTER(IMPORTRANGE(""https://docs.google.com/spreadsheets/d/1BJSV3WBYJGRhQ6zExamkszQ5VutGIcaQqmbD9ZTVXMQ/edit#gid=1251630045"",""articles_with_PRISMA_reasons!C2:C2113""), $A417=IMPORTRANGE(""https://docs.google.com/spreadsheets/d/1BJSV3WBYJGRhQ6zExamkszQ5"&amp;"VutGIcaQqmbD9ZTVXMQ/edit#gid=1251630045"",""articles_with_PRISMA_reasons!B2:B2113""))"),1973.0)</f>
        <v>1973</v>
      </c>
      <c r="D417" s="5" t="str">
        <f>IFERROR(__xludf.DUMMYFUNCTION("IFS(AND(
FILTER(IMPORTRANGE(""https://docs.google.com/spreadsheets/d/1BJSV3WBYJGRhQ6zExamkszQ5VutGIcaQqmbD9ZTVXMQ/edit#gid=1251630045"",""articles_with_PRISMA_reasons!Y2:Y2113""), $A417=IMPORTRANGE(""https://docs.google.com/spreadsheets/d/1BJSV3WBYJGRhQ6z"&amp;"ExamkszQ5VutGIcaQqmbD9ZTVXMQ/edit#gid=1251630045"",""articles_with_PRISMA_reasons!B2:B2113""))&gt;=2,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$A417=IMPORTRANGE(""https://docs.google.com/spreadsheets/d/1BJSV3WBYJGRhQ6zExamkszQ5VutGIcaQqmbD9ZTVXMQ/edit#gid=1251630045"",""articles_with_PRISMA_reasons!B2:B2113""))&lt;2),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$A417=IMPORTRANGE(""https://docs.google.com/spreadsheets/d/1BJSV3WBYJGRhQ6zExamkszQ5VutGIcaQqmbD9ZTVXMQ/edit#gid=1251630045"",""arti"&amp;"cles_with_PRISMA_reasons!B2:B2113""))&lt;2,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$A417=IMPORTRANGE(""https://docs.google.com"&amp;"/spreadsheets/d/1BJSV3WBYJGRhQ6zExamkszQ5VutGIcaQqmbD9ZTVXMQ/edit#gid=1251630045"",""articles_with_PRISMA_reasons!B2:B2113""))&gt;=2),
""Exclude""
)"),"Exclude")</f>
        <v>Exclude</v>
      </c>
      <c r="E417" s="5" t="str">
        <f>IFERROR(__xludf.DUMMYFUNCTION("IFS(
D417=""Exclude"",""Exclude"",
AND(
FILTER(IMPORTRANGE(""https://docs.google.com/spreadsheets/d/1qpEmbGH0JjaJbUdp21-y2cPbobDbMjr09BbtdKROZWc/edit#gid=1444865654"",""articles_with_PRISMA_reasons!W2:W2113""), $A417=IMPORTRANGE(""https://docs.google.com/"&amp;"spreadsheets/d/1qpEmbGH0JjaJbUdp21-y2cPbobDbMjr09BbtdKROZWc/edit#gid=1444865654"",""articles_with_PRISMA_reasons!B2:B2113""))&gt;=2,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$A417=IMPORTRANGE(""https://docs.google.com/spreadsheets/d/1qpEmbGH0JjaJbUdp21-y2cPbobDbMjr09BbtdKROZWc/edit#gid=1444865654"",""articles_with_PRISMA_reasons!B2:B2113""))&lt;2),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$A417=IMPORTRANGE(""https://docs.google.com/spreadsheets/d/1qpEmbGH0JjaJbUdp21-y2cPbobDbMjr09BbtdKRO"&amp;"ZWc/edit#gid=1444865654"",""articles_with_PRISMA_reasons!B2:B2113""))&lt;2,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$A417=IMPOR"&amp;"TRANGE(""https://docs.google.com/spreadsheets/d/1qpEmbGH0JjaJbUdp21-y2cPbobDbMjr09BbtdKROZWc/edit#gid=1444865654"",""articles_with_PRISMA_reasons!B2:B2113""))&gt;=2),
""Exclude""
)"),"Exclude")</f>
        <v>Exclude</v>
      </c>
      <c r="F417" s="5" t="str">
        <f>IFERROR(__xludf.DUMMYFUNCTION("IFS(
E417=""Exclude"",""Exclude"",
AND(
COUNTIF(
IMPORTRANGE(""https://docs.google.com/spreadsheets/d/1kGrh75X1cNR1D7_FcY9zMnHP8iPO4M5RCRjy6nZY0TY/edit#gid=0"",""Table 1: Study characteristics!B4:B171""),A417)&gt;0,
COUNTIF(Studies!$A$2:$A$85,FILTER(IMPORTRA"&amp;"NGE(""https://docs.google.com/spreadsheets/d/1kGrh75X1cNR1D7_FcY9zMnHP8iPO4M5RCRjy6nZY0TY/edit#gid=0"",""Table 1: Study characteristics!A4:A171""), $A417=IMPORTRANGE(""https://docs.google.com/spreadsheets/d/1kGrh75X1cNR1D7_FcY9zMnHP8iPO4M5RCRjy6nZY0TY/edi"&amp;"t#gid=0"",""Table 1: Study characteristics!B4:B171"")))&gt;0
),
""Include""
)"),"Exclude")</f>
        <v>Exclude</v>
      </c>
      <c r="G417" s="5" t="str">
        <f>IFERROR(__xludf.DUMMYFUNCTION("IFS(
D417=""Exclude"",
FILTER(IMPORTRANGE(""https://docs.google.com/spreadsheets/d/1BJSV3WBYJGRhQ6zExamkszQ5VutGIcaQqmbD9ZTVXMQ/edit#gid=1251630045"",""articles_with_PRISMA_reasons!AB2:AB2113""), $A417=IMPORTRANGE(""https://docs.google.com/spreadsheets/d/"&amp;"1BJSV3WBYJGRhQ6zExamkszQ5VutGIcaQqmbD9ZTVXMQ/edit#gid=1251630045"",""articles_with_PRISMA_reasons!B2:B2113"")),
E417=""Exclude"",
FILTER(IMPORTRANGE(""https://docs.google.com/spreadsheets/d/1qpEmbGH0JjaJbUdp21-y2cPbobDbMjr09BbtdKROZWc/edit#gid=1444865654"&amp;""",""articles_with_PRISMA_reasons!Z2:Z2113""), $A417=IMPORTRANGE(""https://docs.google.com/spreadsheets/d/1qpEmbGH0JjaJbUdp21-y2cPbobDbMjr09BbtdKROZWc/edit#gid=1444865654"",""articles_with_PRISMA_reasons!B2:B2113"")),F417
=""Include"",FILTER(IMPORTRANGE("&amp;"""https://docs.google.com/spreadsheets/d/1kGrh75X1cNR1D7_FcY9zMnHP8iPO4M5RCRjy6nZY0TY/edit#gid=0"",""Table 1: Study characteristics!A4:A171""), $A417=IMPORTRANGE(""https://docs.google.com/spreadsheets/d/1kGrh75X1cNR1D7_FcY9zMnHP8iPO4M5RCRjy6nZY0TY/edit#gi"&amp;"d=0"",""Table 1: Study characteristics!B4:B171""))
)"),"wrong study design")</f>
        <v>wrong study design</v>
      </c>
    </row>
    <row r="418">
      <c r="A418" s="4" t="str">
        <f>IFERROR(__xludf.DUMMYFUNCTION("""COMPUTED_VALUE"""),"Characteristics and surgery of cervical myelomeningocele")</f>
        <v>Characteristics and surgery of cervical myelomeningocele</v>
      </c>
      <c r="B418" s="5" t="str">
        <f>IFERROR(__xludf.DUMMYFUNCTION("LEFT(FILTER(IMPORTRANGE(""https://docs.google.com/spreadsheets/d/1BJSV3WBYJGRhQ6zExamkszQ5VutGIcaQqmbD9ZTVXMQ/edit#gid=1251630045"",""articles_with_PRISMA_reasons!K2:K2113""), $A418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$A418=IMPORTRANGE(""https://docs.google.com/spreadsheets/d/1BJSV3WBYJGRhQ6zExamkszQ5VutGIcaQqmbD9ZTVXMQ/edit#gid=1251630045"",""articles_with_PRISMA_reasons!B2:B2113"")))-1)"),"Huang")</f>
        <v>Huang</v>
      </c>
      <c r="C418" s="6">
        <f>IFERROR(__xludf.DUMMYFUNCTION("FILTER(IMPORTRANGE(""https://docs.google.com/spreadsheets/d/1BJSV3WBYJGRhQ6zExamkszQ5VutGIcaQqmbD9ZTVXMQ/edit#gid=1251630045"",""articles_with_PRISMA_reasons!C2:C2113""), $A418=IMPORTRANGE(""https://docs.google.com/spreadsheets/d/1BJSV3WBYJGRhQ6zExamkszQ5"&amp;"VutGIcaQqmbD9ZTVXMQ/edit#gid=1251630045"",""articles_with_PRISMA_reasons!B2:B2113""))"),2010.0)</f>
        <v>2010</v>
      </c>
      <c r="D418" s="5" t="str">
        <f>IFERROR(__xludf.DUMMYFUNCTION("IFS(AND(
FILTER(IMPORTRANGE(""https://docs.google.com/spreadsheets/d/1BJSV3WBYJGRhQ6zExamkszQ5VutGIcaQqmbD9ZTVXMQ/edit#gid=1251630045"",""articles_with_PRISMA_reasons!Y2:Y2113""), $A418=IMPORTRANGE(""https://docs.google.com/spreadsheets/d/1BJSV3WBYJGRhQ6z"&amp;"ExamkszQ5VutGIcaQqmbD9ZTVXMQ/edit#gid=1251630045"",""articles_with_PRISMA_reasons!B2:B2113""))&gt;=2,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$A418=IMPORTRANGE(""https://docs.google.com/spreadsheets/d/1BJSV3WBYJGRhQ6zExamkszQ5VutGIcaQqmbD9ZTVXMQ/edit#gid=1251630045"",""articles_with_PRISMA_reasons!B2:B2113""))&lt;2),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$A418=IMPORTRANGE(""https://docs.google.com/spreadsheets/d/1BJSV3WBYJGRhQ6zExamkszQ5VutGIcaQqmbD9ZTVXMQ/edit#gid=1251630045"",""arti"&amp;"cles_with_PRISMA_reasons!B2:B2113""))&lt;2,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$A418=IMPORTRANGE(""https://docs.google.com"&amp;"/spreadsheets/d/1BJSV3WBYJGRhQ6zExamkszQ5VutGIcaQqmbD9ZTVXMQ/edit#gid=1251630045"",""articles_with_PRISMA_reasons!B2:B2113""))&gt;=2),
""Exclude""
)"),"Include")</f>
        <v>Include</v>
      </c>
      <c r="E418" s="5" t="str">
        <f>IFERROR(__xludf.DUMMYFUNCTION("IFS(
D418=""Exclude"",""Exclude"",
AND(
FILTER(IMPORTRANGE(""https://docs.google.com/spreadsheets/d/1qpEmbGH0JjaJbUdp21-y2cPbobDbMjr09BbtdKROZWc/edit#gid=1444865654"",""articles_with_PRISMA_reasons!W2:W2113""), $A418=IMPORTRANGE(""https://docs.google.com/"&amp;"spreadsheets/d/1qpEmbGH0JjaJbUdp21-y2cPbobDbMjr09BbtdKROZWc/edit#gid=1444865654"",""articles_with_PRISMA_reasons!B2:B2113""))&gt;=2,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$A418=IMPORTRANGE(""https://docs.google.com/spreadsheets/d/1qpEmbGH0JjaJbUdp21-y2cPbobDbMjr09BbtdKROZWc/edit#gid=1444865654"",""articles_with_PRISMA_reasons!B2:B2113""))&lt;2),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$A418=IMPORTRANGE(""https://docs.google.com/spreadsheets/d/1qpEmbGH0JjaJbUdp21-y2cPbobDbMjr09BbtdKRO"&amp;"ZWc/edit#gid=1444865654"",""articles_with_PRISMA_reasons!B2:B2113""))&lt;2,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$A418=IMPOR"&amp;"TRANGE(""https://docs.google.com/spreadsheets/d/1qpEmbGH0JjaJbUdp21-y2cPbobDbMjr09BbtdKROZWc/edit#gid=1444865654"",""articles_with_PRISMA_reasons!B2:B2113""))&gt;=2),
""Exclude""
)"),"Exclude")</f>
        <v>Exclude</v>
      </c>
      <c r="F418" s="5" t="str">
        <f>IFERROR(__xludf.DUMMYFUNCTION("IFS(
E418=""Exclude"",""Exclude"",
AND(
COUNTIF(
IMPORTRANGE(""https://docs.google.com/spreadsheets/d/1kGrh75X1cNR1D7_FcY9zMnHP8iPO4M5RCRjy6nZY0TY/edit#gid=0"",""Table 1: Study characteristics!B4:B171""),A418)&gt;0,
COUNTIF(Studies!$A$2:$A$85,FILTER(IMPORTRA"&amp;"NGE(""https://docs.google.com/spreadsheets/d/1kGrh75X1cNR1D7_FcY9zMnHP8iPO4M5RCRjy6nZY0TY/edit#gid=0"",""Table 1: Study characteristics!A4:A171""), $A418=IMPORTRANGE(""https://docs.google.com/spreadsheets/d/1kGrh75X1cNR1D7_FcY9zMnHP8iPO4M5RCRjy6nZY0TY/edi"&amp;"t#gid=0"",""Table 1: Study characteristics!B4:B171"")))&gt;0
),
""Include""
)"),"Exclude")</f>
        <v>Exclude</v>
      </c>
      <c r="G418" s="5" t="str">
        <f>IFERROR(__xludf.DUMMYFUNCTION("IFS(
D418=""Exclude"",
FILTER(IMPORTRANGE(""https://docs.google.com/spreadsheets/d/1BJSV3WBYJGRhQ6zExamkszQ5VutGIcaQqmbD9ZTVXMQ/edit#gid=1251630045"",""articles_with_PRISMA_reasons!AB2:AB2113""), $A418=IMPORTRANGE(""https://docs.google.com/spreadsheets/d/"&amp;"1BJSV3WBYJGRhQ6zExamkszQ5VutGIcaQqmbD9ZTVXMQ/edit#gid=1251630045"",""articles_with_PRISMA_reasons!B2:B2113"")),
E418=""Exclude"",
FILTER(IMPORTRANGE(""https://docs.google.com/spreadsheets/d/1qpEmbGH0JjaJbUdp21-y2cPbobDbMjr09BbtdKROZWc/edit#gid=1444865654"&amp;""",""articles_with_PRISMA_reasons!Z2:Z2113""), $A418=IMPORTRANGE(""https://docs.google.com/spreadsheets/d/1qpEmbGH0JjaJbUdp21-y2cPbobDbMjr09BbtdKROZWc/edit#gid=1444865654"",""articles_with_PRISMA_reasons!B2:B2113"")),F418
=""Include"",FILTER(IMPORTRANGE("&amp;"""https://docs.google.com/spreadsheets/d/1kGrh75X1cNR1D7_FcY9zMnHP8iPO4M5RCRjy6nZY0TY/edit#gid=0"",""Table 1: Study characteristics!A4:A171""), $A418=IMPORTRANGE(""https://docs.google.com/spreadsheets/d/1kGrh75X1cNR1D7_FcY9zMnHP8iPO4M5RCRjy6nZY0TY/edit#gi"&amp;"d=0"",""Table 1: Study characteristics!B4:B171""))
)"),"wrong population")</f>
        <v>wrong population</v>
      </c>
    </row>
    <row r="419">
      <c r="A419" s="4" t="str">
        <f>IFERROR(__xludf.DUMMYFUNCTION("""COMPUTED_VALUE"""),"Characteristics of upper limb movements in a sample of meningomyelocele children")</f>
        <v>Characteristics of upper limb movements in a sample of meningomyelocele children</v>
      </c>
      <c r="B419" s="5" t="str">
        <f>IFERROR(__xludf.DUMMYFUNCTION("LEFT(FILTER(IMPORTRANGE(""https://docs.google.com/spreadsheets/d/1BJSV3WBYJGRhQ6zExamkszQ5VutGIcaQqmbD9ZTVXMQ/edit#gid=1251630045"",""articles_with_PRISMA_reasons!K2:K2113""), $A419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$A419=IMPORTRANGE(""https://docs.google.com/spreadsheets/d/1BJSV3WBYJGRhQ6zExamkszQ5VutGIcaQqmbD9ZTVXMQ/edit#gid=1251630045"",""articles_with_PRISMA_reasons!B2:B2113"")))-1)"),"Brunt")</f>
        <v>Brunt</v>
      </c>
      <c r="C419" s="6">
        <f>IFERROR(__xludf.DUMMYFUNCTION("FILTER(IMPORTRANGE(""https://docs.google.com/spreadsheets/d/1BJSV3WBYJGRhQ6zExamkszQ5VutGIcaQqmbD9ZTVXMQ/edit#gid=1251630045"",""articles_with_PRISMA_reasons!C2:C2113""), $A419=IMPORTRANGE(""https://docs.google.com/spreadsheets/d/1BJSV3WBYJGRhQ6zExamkszQ5"&amp;"VutGIcaQqmbD9ZTVXMQ/edit#gid=1251630045"",""articles_with_PRISMA_reasons!B2:B2113""))"),1980.0)</f>
        <v>1980</v>
      </c>
      <c r="D419" s="5" t="str">
        <f>IFERROR(__xludf.DUMMYFUNCTION("IFS(AND(
FILTER(IMPORTRANGE(""https://docs.google.com/spreadsheets/d/1BJSV3WBYJGRhQ6zExamkszQ5VutGIcaQqmbD9ZTVXMQ/edit#gid=1251630045"",""articles_with_PRISMA_reasons!Y2:Y2113""), $A419=IMPORTRANGE(""https://docs.google.com/spreadsheets/d/1BJSV3WBYJGRhQ6z"&amp;"ExamkszQ5VutGIcaQqmbD9ZTVXMQ/edit#gid=1251630045"",""articles_with_PRISMA_reasons!B2:B2113""))&gt;=2,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$A419=IMPORTRANGE(""https://docs.google.com/spreadsheets/d/1BJSV3WBYJGRhQ6zExamkszQ5VutGIcaQqmbD9ZTVXMQ/edit#gid=1251630045"",""articles_with_PRISMA_reasons!B2:B2113""))&lt;2),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$A419=IMPORTRANGE(""https://docs.google.com/spreadsheets/d/1BJSV3WBYJGRhQ6zExamkszQ5VutGIcaQqmbD9ZTVXMQ/edit#gid=1251630045"",""arti"&amp;"cles_with_PRISMA_reasons!B2:B2113""))&lt;2,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$A419=IMPORTRANGE(""https://docs.google.com"&amp;"/spreadsheets/d/1BJSV3WBYJGRhQ6zExamkszQ5VutGIcaQqmbD9ZTVXMQ/edit#gid=1251630045"",""articles_with_PRISMA_reasons!B2:B2113""))&gt;=2),
""Exclude""
)"),"Exclude")</f>
        <v>Exclude</v>
      </c>
      <c r="E419" s="5" t="str">
        <f>IFERROR(__xludf.DUMMYFUNCTION("IFS(
D419=""Exclude"",""Exclude"",
AND(
FILTER(IMPORTRANGE(""https://docs.google.com/spreadsheets/d/1qpEmbGH0JjaJbUdp21-y2cPbobDbMjr09BbtdKROZWc/edit#gid=1444865654"",""articles_with_PRISMA_reasons!W2:W2113""), $A419=IMPORTRANGE(""https://docs.google.com/"&amp;"spreadsheets/d/1qpEmbGH0JjaJbUdp21-y2cPbobDbMjr09BbtdKROZWc/edit#gid=1444865654"",""articles_with_PRISMA_reasons!B2:B2113""))&gt;=2,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$A419=IMPORTRANGE(""https://docs.google.com/spreadsheets/d/1qpEmbGH0JjaJbUdp21-y2cPbobDbMjr09BbtdKROZWc/edit#gid=1444865654"",""articles_with_PRISMA_reasons!B2:B2113""))&lt;2),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$A419=IMPORTRANGE(""https://docs.google.com/spreadsheets/d/1qpEmbGH0JjaJbUdp21-y2cPbobDbMjr09BbtdKRO"&amp;"ZWc/edit#gid=1444865654"",""articles_with_PRISMA_reasons!B2:B2113""))&lt;2,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$A419=IMPOR"&amp;"TRANGE(""https://docs.google.com/spreadsheets/d/1qpEmbGH0JjaJbUdp21-y2cPbobDbMjr09BbtdKROZWc/edit#gid=1444865654"",""articles_with_PRISMA_reasons!B2:B2113""))&gt;=2),
""Exclude""
)"),"Exclude")</f>
        <v>Exclude</v>
      </c>
      <c r="F419" s="5" t="str">
        <f>IFERROR(__xludf.DUMMYFUNCTION("IFS(
E419=""Exclude"",""Exclude"",
AND(
COUNTIF(
IMPORTRANGE(""https://docs.google.com/spreadsheets/d/1kGrh75X1cNR1D7_FcY9zMnHP8iPO4M5RCRjy6nZY0TY/edit#gid=0"",""Table 1: Study characteristics!B4:B171""),A419)&gt;0,
COUNTIF(Studies!$A$2:$A$85,FILTER(IMPORTRA"&amp;"NGE(""https://docs.google.com/spreadsheets/d/1kGrh75X1cNR1D7_FcY9zMnHP8iPO4M5RCRjy6nZY0TY/edit#gid=0"",""Table 1: Study characteristics!A4:A171""), $A419=IMPORTRANGE(""https://docs.google.com/spreadsheets/d/1kGrh75X1cNR1D7_FcY9zMnHP8iPO4M5RCRjy6nZY0TY/edi"&amp;"t#gid=0"",""Table 1: Study characteristics!B4:B171"")))&gt;0
),
""Include""
)"),"Exclude")</f>
        <v>Exclude</v>
      </c>
      <c r="G419" s="5" t="str">
        <f>IFERROR(__xludf.DUMMYFUNCTION("IFS(
D419=""Exclude"",
FILTER(IMPORTRANGE(""https://docs.google.com/spreadsheets/d/1BJSV3WBYJGRhQ6zExamkszQ5VutGIcaQqmbD9ZTVXMQ/edit#gid=1251630045"",""articles_with_PRISMA_reasons!AB2:AB2113""), $A419=IMPORTRANGE(""https://docs.google.com/spreadsheets/d/"&amp;"1BJSV3WBYJGRhQ6zExamkszQ5VutGIcaQqmbD9ZTVXMQ/edit#gid=1251630045"",""articles_with_PRISMA_reasons!B2:B2113"")),
E419=""Exclude"",
FILTER(IMPORTRANGE(""https://docs.google.com/spreadsheets/d/1qpEmbGH0JjaJbUdp21-y2cPbobDbMjr09BbtdKROZWc/edit#gid=1444865654"&amp;""",""articles_with_PRISMA_reasons!Z2:Z2113""), $A419=IMPORTRANGE(""https://docs.google.com/spreadsheets/d/1qpEmbGH0JjaJbUdp21-y2cPbobDbMjr09BbtdKROZWc/edit#gid=1444865654"",""articles_with_PRISMA_reasons!B2:B2113"")),F419
=""Include"",FILTER(IMPORTRANGE("&amp;"""https://docs.google.com/spreadsheets/d/1kGrh75X1cNR1D7_FcY9zMnHP8iPO4M5RCRjy6nZY0TY/edit#gid=0"",""Table 1: Study characteristics!A4:A171""), $A419=IMPORTRANGE(""https://docs.google.com/spreadsheets/d/1kGrh75X1cNR1D7_FcY9zMnHP8iPO4M5RCRjy6nZY0TY/edit#gi"&amp;"d=0"",""Table 1: Study characteristics!B4:B171""))
)"),"wrong study design")</f>
        <v>wrong study design</v>
      </c>
    </row>
    <row r="420">
      <c r="A420" s="4" t="str">
        <f>IFERROR(__xludf.DUMMYFUNCTION("""COMPUTED_VALUE"""),"Chiari 2 without spinal dysraphism: Does it blow a hole in the pathogenesis?")</f>
        <v>Chiari 2 without spinal dysraphism: Does it blow a hole in the pathogenesis?</v>
      </c>
      <c r="B420" s="5" t="str">
        <f>IFERROR(__xludf.DUMMYFUNCTION("LEFT(FILTER(IMPORTRANGE(""https://docs.google.com/spreadsheets/d/1BJSV3WBYJGRhQ6zExamkszQ5VutGIcaQqmbD9ZTVXMQ/edit#gid=1251630045"",""articles_with_PRISMA_reasons!K2:K2113""), $A420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$A420=IMPORTRANGE(""https://docs.google.com/spreadsheets/d/1BJSV3WBYJGRhQ6zExamkszQ5VutGIcaQqmbD9ZTVXMQ/edit#gid=1251630045"",""articles_with_PRISMA_reasons!B2:B2113"")))-1)"),"Citton")</f>
        <v>Citton</v>
      </c>
      <c r="C420" s="6">
        <f>IFERROR(__xludf.DUMMYFUNCTION("FILTER(IMPORTRANGE(""https://docs.google.com/spreadsheets/d/1BJSV3WBYJGRhQ6zExamkszQ5VutGIcaQqmbD9ZTVXMQ/edit#gid=1251630045"",""articles_with_PRISMA_reasons!C2:C2113""), $A420=IMPORTRANGE(""https://docs.google.com/spreadsheets/d/1BJSV3WBYJGRhQ6zExamkszQ5"&amp;"VutGIcaQqmbD9ZTVXMQ/edit#gid=1251630045"",""articles_with_PRISMA_reasons!B2:B2113""))"),2012.0)</f>
        <v>2012</v>
      </c>
      <c r="D420" s="5" t="str">
        <f>IFERROR(__xludf.DUMMYFUNCTION("IFS(AND(
FILTER(IMPORTRANGE(""https://docs.google.com/spreadsheets/d/1BJSV3WBYJGRhQ6zExamkszQ5VutGIcaQqmbD9ZTVXMQ/edit#gid=1251630045"",""articles_with_PRISMA_reasons!Y2:Y2113""), $A420=IMPORTRANGE(""https://docs.google.com/spreadsheets/d/1BJSV3WBYJGRhQ6z"&amp;"ExamkszQ5VutGIcaQqmbD9ZTVXMQ/edit#gid=1251630045"",""articles_with_PRISMA_reasons!B2:B2113""))&gt;=2,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$A420=IMPORTRANGE(""https://docs.google.com/spreadsheets/d/1BJSV3WBYJGRhQ6zExamkszQ5VutGIcaQqmbD9ZTVXMQ/edit#gid=1251630045"",""articles_with_PRISMA_reasons!B2:B2113""))&lt;2),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$A420=IMPORTRANGE(""https://docs.google.com/spreadsheets/d/1BJSV3WBYJGRhQ6zExamkszQ5VutGIcaQqmbD9ZTVXMQ/edit#gid=1251630045"",""arti"&amp;"cles_with_PRISMA_reasons!B2:B2113""))&lt;2,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$A420=IMPORTRANGE(""https://docs.google.com"&amp;"/spreadsheets/d/1BJSV3WBYJGRhQ6zExamkszQ5VutGIcaQqmbD9ZTVXMQ/edit#gid=1251630045"",""articles_with_PRISMA_reasons!B2:B2113""))&gt;=2),
""Exclude""
)"),"Exclude")</f>
        <v>Exclude</v>
      </c>
      <c r="E420" s="5" t="str">
        <f>IFERROR(__xludf.DUMMYFUNCTION("IFS(
D420=""Exclude"",""Exclude"",
AND(
FILTER(IMPORTRANGE(""https://docs.google.com/spreadsheets/d/1qpEmbGH0JjaJbUdp21-y2cPbobDbMjr09BbtdKROZWc/edit#gid=1444865654"",""articles_with_PRISMA_reasons!W2:W2113""), $A420=IMPORTRANGE(""https://docs.google.com/"&amp;"spreadsheets/d/1qpEmbGH0JjaJbUdp21-y2cPbobDbMjr09BbtdKROZWc/edit#gid=1444865654"",""articles_with_PRISMA_reasons!B2:B2113""))&gt;=2,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$A420=IMPORTRANGE(""https://docs.google.com/spreadsheets/d/1qpEmbGH0JjaJbUdp21-y2cPbobDbMjr09BbtdKROZWc/edit#gid=1444865654"",""articles_with_PRISMA_reasons!B2:B2113""))&lt;2),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$A420=IMPORTRANGE(""https://docs.google.com/spreadsheets/d/1qpEmbGH0JjaJbUdp21-y2cPbobDbMjr09BbtdKRO"&amp;"ZWc/edit#gid=1444865654"",""articles_with_PRISMA_reasons!B2:B2113""))&lt;2,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$A420=IMPOR"&amp;"TRANGE(""https://docs.google.com/spreadsheets/d/1qpEmbGH0JjaJbUdp21-y2cPbobDbMjr09BbtdKROZWc/edit#gid=1444865654"",""articles_with_PRISMA_reasons!B2:B2113""))&gt;=2),
""Exclude""
)"),"Exclude")</f>
        <v>Exclude</v>
      </c>
      <c r="F420" s="5" t="str">
        <f>IFERROR(__xludf.DUMMYFUNCTION("IFS(
E420=""Exclude"",""Exclude"",
AND(
COUNTIF(
IMPORTRANGE(""https://docs.google.com/spreadsheets/d/1kGrh75X1cNR1D7_FcY9zMnHP8iPO4M5RCRjy6nZY0TY/edit#gid=0"",""Table 1: Study characteristics!B4:B171""),A420)&gt;0,
COUNTIF(Studies!$A$2:$A$85,FILTER(IMPORTRA"&amp;"NGE(""https://docs.google.com/spreadsheets/d/1kGrh75X1cNR1D7_FcY9zMnHP8iPO4M5RCRjy6nZY0TY/edit#gid=0"",""Table 1: Study characteristics!A4:A171""), $A420=IMPORTRANGE(""https://docs.google.com/spreadsheets/d/1kGrh75X1cNR1D7_FcY9zMnHP8iPO4M5RCRjy6nZY0TY/edi"&amp;"t#gid=0"",""Table 1: Study characteristics!B4:B171"")))&gt;0
),
""Include""
)"),"Exclude")</f>
        <v>Exclude</v>
      </c>
      <c r="G420" s="5" t="str">
        <f>IFERROR(__xludf.DUMMYFUNCTION("IFS(
D420=""Exclude"",
FILTER(IMPORTRANGE(""https://docs.google.com/spreadsheets/d/1BJSV3WBYJGRhQ6zExamkszQ5VutGIcaQqmbD9ZTVXMQ/edit#gid=1251630045"",""articles_with_PRISMA_reasons!AB2:AB2113""), $A420=IMPORTRANGE(""https://docs.google.com/spreadsheets/d/"&amp;"1BJSV3WBYJGRhQ6zExamkszQ5VutGIcaQqmbD9ZTVXMQ/edit#gid=1251630045"",""articles_with_PRISMA_reasons!B2:B2113"")),
E420=""Exclude"",
FILTER(IMPORTRANGE(""https://docs.google.com/spreadsheets/d/1qpEmbGH0JjaJbUdp21-y2cPbobDbMjr09BbtdKROZWc/edit#gid=1444865654"&amp;""",""articles_with_PRISMA_reasons!Z2:Z2113""), $A420=IMPORTRANGE(""https://docs.google.com/spreadsheets/d/1qpEmbGH0JjaJbUdp21-y2cPbobDbMjr09BbtdKROZWc/edit#gid=1444865654"",""articles_with_PRISMA_reasons!B2:B2113"")),F420
=""Include"",FILTER(IMPORTRANGE("&amp;"""https://docs.google.com/spreadsheets/d/1kGrh75X1cNR1D7_FcY9zMnHP8iPO4M5RCRjy6nZY0TY/edit#gid=0"",""Table 1: Study characteristics!A4:A171""), $A420=IMPORTRANGE(""https://docs.google.com/spreadsheets/d/1kGrh75X1cNR1D7_FcY9zMnHP8iPO4M5RCRjy6nZY0TY/edit#gi"&amp;"d=0"",""Table 1: Study characteristics!B4:B171""))
)"),"wrong study design")</f>
        <v>wrong study design</v>
      </c>
    </row>
    <row r="421">
      <c r="A421" s="4" t="str">
        <f>IFERROR(__xludf.DUMMYFUNCTION("""COMPUTED_VALUE"""),"Chiari complex in children--neuroradiological diagnosis, neurosurgical treatment and proposal of a new classification (312 cases)")</f>
        <v>Chiari complex in children--neuroradiological diagnosis, neurosurgical treatment and proposal of a new classification (312 cases)</v>
      </c>
      <c r="B421" s="5" t="str">
        <f>IFERROR(__xludf.DUMMYFUNCTION("LEFT(FILTER(IMPORTRANGE(""https://docs.google.com/spreadsheets/d/1BJSV3WBYJGRhQ6zExamkszQ5VutGIcaQqmbD9ZTVXMQ/edit#gid=1251630045"",""articles_with_PRISMA_reasons!K2:K2113""), $A421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$A421=IMPORTRANGE(""https://docs.google.com/spreadsheets/d/1BJSV3WBYJGRhQ6zExamkszQ5VutGIcaQqmbD9ZTVXMQ/edit#gid=1251630045"",""articles_with_PRISMA_reasons!B2:B2113"")))-1)"),"Cama")</f>
        <v>Cama</v>
      </c>
      <c r="C421" s="6">
        <f>IFERROR(__xludf.DUMMYFUNCTION("FILTER(IMPORTRANGE(""https://docs.google.com/spreadsheets/d/1BJSV3WBYJGRhQ6zExamkszQ5VutGIcaQqmbD9ZTVXMQ/edit#gid=1251630045"",""articles_with_PRISMA_reasons!C2:C2113""), $A421=IMPORTRANGE(""https://docs.google.com/spreadsheets/d/1BJSV3WBYJGRhQ6zExamkszQ5"&amp;"VutGIcaQqmbD9ZTVXMQ/edit#gid=1251630045"",""articles_with_PRISMA_reasons!B2:B2113""))"),1995.0)</f>
        <v>1995</v>
      </c>
      <c r="D421" s="5" t="str">
        <f>IFERROR(__xludf.DUMMYFUNCTION("IFS(AND(
FILTER(IMPORTRANGE(""https://docs.google.com/spreadsheets/d/1BJSV3WBYJGRhQ6zExamkszQ5VutGIcaQqmbD9ZTVXMQ/edit#gid=1251630045"",""articles_with_PRISMA_reasons!Y2:Y2113""), $A421=IMPORTRANGE(""https://docs.google.com/spreadsheets/d/1BJSV3WBYJGRhQ6z"&amp;"ExamkszQ5VutGIcaQqmbD9ZTVXMQ/edit#gid=1251630045"",""articles_with_PRISMA_reasons!B2:B2113""))&gt;=2,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$A421=IMPORTRANGE(""https://docs.google.com/spreadsheets/d/1BJSV3WBYJGRhQ6zExamkszQ5VutGIcaQqmbD9ZTVXMQ/edit#gid=1251630045"",""articles_with_PRISMA_reasons!B2:B2113""))&lt;2),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$A421=IMPORTRANGE(""https://docs.google.com/spreadsheets/d/1BJSV3WBYJGRhQ6zExamkszQ5VutGIcaQqmbD9ZTVXMQ/edit#gid=1251630045"",""arti"&amp;"cles_with_PRISMA_reasons!B2:B2113""))&lt;2,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$A421=IMPORTRANGE(""https://docs.google.com"&amp;"/spreadsheets/d/1BJSV3WBYJGRhQ6zExamkszQ5VutGIcaQqmbD9ZTVXMQ/edit#gid=1251630045"",""articles_with_PRISMA_reasons!B2:B2113""))&gt;=2),
""Exclude""
)"),"Exclude")</f>
        <v>Exclude</v>
      </c>
      <c r="E421" s="5" t="str">
        <f>IFERROR(__xludf.DUMMYFUNCTION("IFS(
D421=""Exclude"",""Exclude"",
AND(
FILTER(IMPORTRANGE(""https://docs.google.com/spreadsheets/d/1qpEmbGH0JjaJbUdp21-y2cPbobDbMjr09BbtdKROZWc/edit#gid=1444865654"",""articles_with_PRISMA_reasons!W2:W2113""), $A421=IMPORTRANGE(""https://docs.google.com/"&amp;"spreadsheets/d/1qpEmbGH0JjaJbUdp21-y2cPbobDbMjr09BbtdKROZWc/edit#gid=1444865654"",""articles_with_PRISMA_reasons!B2:B2113""))&gt;=2,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$A421=IMPORTRANGE(""https://docs.google.com/spreadsheets/d/1qpEmbGH0JjaJbUdp21-y2cPbobDbMjr09BbtdKROZWc/edit#gid=1444865654"",""articles_with_PRISMA_reasons!B2:B2113""))&lt;2),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$A421=IMPORTRANGE(""https://docs.google.com/spreadsheets/d/1qpEmbGH0JjaJbUdp21-y2cPbobDbMjr09BbtdKRO"&amp;"ZWc/edit#gid=1444865654"",""articles_with_PRISMA_reasons!B2:B2113""))&lt;2,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$A421=IMPOR"&amp;"TRANGE(""https://docs.google.com/spreadsheets/d/1qpEmbGH0JjaJbUdp21-y2cPbobDbMjr09BbtdKROZWc/edit#gid=1444865654"",""articles_with_PRISMA_reasons!B2:B2113""))&gt;=2),
""Exclude""
)"),"Exclude")</f>
        <v>Exclude</v>
      </c>
      <c r="F421" s="5" t="str">
        <f>IFERROR(__xludf.DUMMYFUNCTION("IFS(
E421=""Exclude"",""Exclude"",
AND(
COUNTIF(
IMPORTRANGE(""https://docs.google.com/spreadsheets/d/1kGrh75X1cNR1D7_FcY9zMnHP8iPO4M5RCRjy6nZY0TY/edit#gid=0"",""Table 1: Study characteristics!B4:B171""),A421)&gt;0,
COUNTIF(Studies!$A$2:$A$85,FILTER(IMPORTRA"&amp;"NGE(""https://docs.google.com/spreadsheets/d/1kGrh75X1cNR1D7_FcY9zMnHP8iPO4M5RCRjy6nZY0TY/edit#gid=0"",""Table 1: Study characteristics!A4:A171""), $A421=IMPORTRANGE(""https://docs.google.com/spreadsheets/d/1kGrh75X1cNR1D7_FcY9zMnHP8iPO4M5RCRjy6nZY0TY/edi"&amp;"t#gid=0"",""Table 1: Study characteristics!B4:B171"")))&gt;0
),
""Include""
)"),"Exclude")</f>
        <v>Exclude</v>
      </c>
      <c r="G421" s="5" t="str">
        <f>IFERROR(__xludf.DUMMYFUNCTION("IFS(
D421=""Exclude"",
FILTER(IMPORTRANGE(""https://docs.google.com/spreadsheets/d/1BJSV3WBYJGRhQ6zExamkszQ5VutGIcaQqmbD9ZTVXMQ/edit#gid=1251630045"",""articles_with_PRISMA_reasons!AB2:AB2113""), $A421=IMPORTRANGE(""https://docs.google.com/spreadsheets/d/"&amp;"1BJSV3WBYJGRhQ6zExamkszQ5VutGIcaQqmbD9ZTVXMQ/edit#gid=1251630045"",""articles_with_PRISMA_reasons!B2:B2113"")),
E421=""Exclude"",
FILTER(IMPORTRANGE(""https://docs.google.com/spreadsheets/d/1qpEmbGH0JjaJbUdp21-y2cPbobDbMjr09BbtdKROZWc/edit#gid=1444865654"&amp;""",""articles_with_PRISMA_reasons!Z2:Z2113""), $A421=IMPORTRANGE(""https://docs.google.com/spreadsheets/d/1qpEmbGH0JjaJbUdp21-y2cPbobDbMjr09BbtdKROZWc/edit#gid=1444865654"",""articles_with_PRISMA_reasons!B2:B2113"")),F421
=""Include"",FILTER(IMPORTRANGE("&amp;"""https://docs.google.com/spreadsheets/d/1kGrh75X1cNR1D7_FcY9zMnHP8iPO4M5RCRjy6nZY0TY/edit#gid=0"",""Table 1: Study characteristics!A4:A171""), $A421=IMPORTRANGE(""https://docs.google.com/spreadsheets/d/1kGrh75X1cNR1D7_FcY9zMnHP8iPO4M5RCRjy6nZY0TY/edit#gi"&amp;"d=0"",""Table 1: Study characteristics!B4:B171""))
)"),"wrong population")</f>
        <v>wrong population</v>
      </c>
    </row>
    <row r="422">
      <c r="A422" s="4" t="str">
        <f>IFERROR(__xludf.DUMMYFUNCTION("""COMPUTED_VALUE"""),"Chiari i malformation associated with syringomyelia: Can foramen magnum decompression lead to restore cervical alignment?")</f>
        <v>Chiari i malformation associated with syringomyelia: Can foramen magnum decompression lead to restore cervical alignment?</v>
      </c>
      <c r="B422" s="5" t="str">
        <f>IFERROR(__xludf.DUMMYFUNCTION("LEFT(FILTER(IMPORTRANGE(""https://docs.google.com/spreadsheets/d/1BJSV3WBYJGRhQ6zExamkszQ5VutGIcaQqmbD9ZTVXMQ/edit#gid=1251630045"",""articles_with_PRISMA_reasons!K2:K2113""), $A422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$A422=IMPORTRANGE(""https://docs.google.com/spreadsheets/d/1BJSV3WBYJGRhQ6zExamkszQ5VutGIcaQqmbD9ZTVXMQ/edit#gid=1251630045"",""articles_with_PRISMA_reasons!B2:B2113"")))-1)"),"Hyun")</f>
        <v>Hyun</v>
      </c>
      <c r="C422" s="6">
        <f>IFERROR(__xludf.DUMMYFUNCTION("FILTER(IMPORTRANGE(""https://docs.google.com/spreadsheets/d/1BJSV3WBYJGRhQ6zExamkszQ5VutGIcaQqmbD9ZTVXMQ/edit#gid=1251630045"",""articles_with_PRISMA_reasons!C2:C2113""), $A422=IMPORTRANGE(""https://docs.google.com/spreadsheets/d/1BJSV3WBYJGRhQ6zExamkszQ5"&amp;"VutGIcaQqmbD9ZTVXMQ/edit#gid=1251630045"",""articles_with_PRISMA_reasons!B2:B2113""))"),2013.0)</f>
        <v>2013</v>
      </c>
      <c r="D422" s="5" t="str">
        <f>IFERROR(__xludf.DUMMYFUNCTION("IFS(AND(
FILTER(IMPORTRANGE(""https://docs.google.com/spreadsheets/d/1BJSV3WBYJGRhQ6zExamkszQ5VutGIcaQqmbD9ZTVXMQ/edit#gid=1251630045"",""articles_with_PRISMA_reasons!Y2:Y2113""), $A422=IMPORTRANGE(""https://docs.google.com/spreadsheets/d/1BJSV3WBYJGRhQ6z"&amp;"ExamkszQ5VutGIcaQqmbD9ZTVXMQ/edit#gid=1251630045"",""articles_with_PRISMA_reasons!B2:B2113""))&gt;=2,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$A422=IMPORTRANGE(""https://docs.google.com/spreadsheets/d/1BJSV3WBYJGRhQ6zExamkszQ5VutGIcaQqmbD9ZTVXMQ/edit#gid=1251630045"",""articles_with_PRISMA_reasons!B2:B2113""))&lt;2),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$A422=IMPORTRANGE(""https://docs.google.com/spreadsheets/d/1BJSV3WBYJGRhQ6zExamkszQ5VutGIcaQqmbD9ZTVXMQ/edit#gid=1251630045"",""arti"&amp;"cles_with_PRISMA_reasons!B2:B2113""))&lt;2,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$A422=IMPORTRANGE(""https://docs.google.com"&amp;"/spreadsheets/d/1BJSV3WBYJGRhQ6zExamkszQ5VutGIcaQqmbD9ZTVXMQ/edit#gid=1251630045"",""articles_with_PRISMA_reasons!B2:B2113""))&gt;=2),
""Exclude""
)"),"Exclude")</f>
        <v>Exclude</v>
      </c>
      <c r="E422" s="5" t="str">
        <f>IFERROR(__xludf.DUMMYFUNCTION("IFS(
D422=""Exclude"",""Exclude"",
AND(
FILTER(IMPORTRANGE(""https://docs.google.com/spreadsheets/d/1qpEmbGH0JjaJbUdp21-y2cPbobDbMjr09BbtdKROZWc/edit#gid=1444865654"",""articles_with_PRISMA_reasons!W2:W2113""), $A422=IMPORTRANGE(""https://docs.google.com/"&amp;"spreadsheets/d/1qpEmbGH0JjaJbUdp21-y2cPbobDbMjr09BbtdKROZWc/edit#gid=1444865654"",""articles_with_PRISMA_reasons!B2:B2113""))&gt;=2,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$A422=IMPORTRANGE(""https://docs.google.com/spreadsheets/d/1qpEmbGH0JjaJbUdp21-y2cPbobDbMjr09BbtdKROZWc/edit#gid=1444865654"",""articles_with_PRISMA_reasons!B2:B2113""))&lt;2),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$A422=IMPORTRANGE(""https://docs.google.com/spreadsheets/d/1qpEmbGH0JjaJbUdp21-y2cPbobDbMjr09BbtdKRO"&amp;"ZWc/edit#gid=1444865654"",""articles_with_PRISMA_reasons!B2:B2113""))&lt;2,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$A422=IMPOR"&amp;"TRANGE(""https://docs.google.com/spreadsheets/d/1qpEmbGH0JjaJbUdp21-y2cPbobDbMjr09BbtdKROZWc/edit#gid=1444865654"",""articles_with_PRISMA_reasons!B2:B2113""))&gt;=2),
""Exclude""
)"),"Exclude")</f>
        <v>Exclude</v>
      </c>
      <c r="F422" s="5" t="str">
        <f>IFERROR(__xludf.DUMMYFUNCTION("IFS(
E422=""Exclude"",""Exclude"",
AND(
COUNTIF(
IMPORTRANGE(""https://docs.google.com/spreadsheets/d/1kGrh75X1cNR1D7_FcY9zMnHP8iPO4M5RCRjy6nZY0TY/edit#gid=0"",""Table 1: Study characteristics!B4:B171""),A422)&gt;0,
COUNTIF(Studies!$A$2:$A$85,FILTER(IMPORTRA"&amp;"NGE(""https://docs.google.com/spreadsheets/d/1kGrh75X1cNR1D7_FcY9zMnHP8iPO4M5RCRjy6nZY0TY/edit#gid=0"",""Table 1: Study characteristics!A4:A171""), $A422=IMPORTRANGE(""https://docs.google.com/spreadsheets/d/1kGrh75X1cNR1D7_FcY9zMnHP8iPO4M5RCRjy6nZY0TY/edi"&amp;"t#gid=0"",""Table 1: Study characteristics!B4:B171"")))&gt;0
),
""Include""
)"),"Exclude")</f>
        <v>Exclude</v>
      </c>
      <c r="G422" s="5" t="str">
        <f>IFERROR(__xludf.DUMMYFUNCTION("IFS(
D422=""Exclude"",
FILTER(IMPORTRANGE(""https://docs.google.com/spreadsheets/d/1BJSV3WBYJGRhQ6zExamkszQ5VutGIcaQqmbD9ZTVXMQ/edit#gid=1251630045"",""articles_with_PRISMA_reasons!AB2:AB2113""), $A422=IMPORTRANGE(""https://docs.google.com/spreadsheets/d/"&amp;"1BJSV3WBYJGRhQ6zExamkszQ5VutGIcaQqmbD9ZTVXMQ/edit#gid=1251630045"",""articles_with_PRISMA_reasons!B2:B2113"")),
E422=""Exclude"",
FILTER(IMPORTRANGE(""https://docs.google.com/spreadsheets/d/1qpEmbGH0JjaJbUdp21-y2cPbobDbMjr09BbtdKROZWc/edit#gid=1444865654"&amp;""",""articles_with_PRISMA_reasons!Z2:Z2113""), $A422=IMPORTRANGE(""https://docs.google.com/spreadsheets/d/1qpEmbGH0JjaJbUdp21-y2cPbobDbMjr09BbtdKROZWc/edit#gid=1444865654"",""articles_with_PRISMA_reasons!B2:B2113"")),F422
=""Include"",FILTER(IMPORTRANGE("&amp;"""https://docs.google.com/spreadsheets/d/1kGrh75X1cNR1D7_FcY9zMnHP8iPO4M5RCRjy6nZY0TY/edit#gid=0"",""Table 1: Study characteristics!A4:A171""), $A422=IMPORTRANGE(""https://docs.google.com/spreadsheets/d/1kGrh75X1cNR1D7_FcY9zMnHP8iPO4M5RCRjy6nZY0TY/edit#gi"&amp;"d=0"",""Table 1: Study characteristics!B4:B171""))
)"),"wrong population")</f>
        <v>wrong population</v>
      </c>
    </row>
    <row r="423">
      <c r="A423" s="4" t="str">
        <f>IFERROR(__xludf.DUMMYFUNCTION("""COMPUTED_VALUE"""),"Chiari I malformation: clinical presentation and management")</f>
        <v>Chiari I malformation: clinical presentation and management</v>
      </c>
      <c r="B423" s="5" t="str">
        <f>IFERROR(__xludf.DUMMYFUNCTION("LEFT(FILTER(IMPORTRANGE(""https://docs.google.com/spreadsheets/d/1BJSV3WBYJGRhQ6zExamkszQ5VutGIcaQqmbD9ZTVXMQ/edit#gid=1251630045"",""articles_with_PRISMA_reasons!K2:K2113""), $A423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$A423=IMPORTRANGE(""https://docs.google.com/spreadsheets/d/1BJSV3WBYJGRhQ6zExamkszQ5VutGIcaQqmbD9ZTVXMQ/edit#gid=1251630045"",""articles_with_PRISMA_reasons!B2:B2113"")))-1)"),"Strayer")</f>
        <v>Strayer</v>
      </c>
      <c r="C423" s="6" t="str">
        <f>IFERROR(__xludf.DUMMYFUNCTION("FILTER(IMPORTRANGE(""https://docs.google.com/spreadsheets/d/1BJSV3WBYJGRhQ6zExamkszQ5VutGIcaQqmbD9ZTVXMQ/edit#gid=1251630045"",""articles_with_PRISMA_reasons!C2:C2113""), $A423=IMPORTRANGE(""https://docs.google.com/spreadsheets/d/1BJSV3WBYJGRhQ6zExamkszQ5"&amp;"VutGIcaQqmbD9ZTVXMQ/edit#gid=1251630045"",""articles_with_PRISMA_reasons!B2:B2113""))"),"Apr")</f>
        <v>Apr</v>
      </c>
      <c r="D423" s="5" t="str">
        <f>IFERROR(__xludf.DUMMYFUNCTION("IFS(AND(
FILTER(IMPORTRANGE(""https://docs.google.com/spreadsheets/d/1BJSV3WBYJGRhQ6zExamkszQ5VutGIcaQqmbD9ZTVXMQ/edit#gid=1251630045"",""articles_with_PRISMA_reasons!Y2:Y2113""), $A423=IMPORTRANGE(""https://docs.google.com/spreadsheets/d/1BJSV3WBYJGRhQ6z"&amp;"ExamkszQ5VutGIcaQqmbD9ZTVXMQ/edit#gid=1251630045"",""articles_with_PRISMA_reasons!B2:B2113""))&gt;=2,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$A423=IMPORTRANGE(""https://docs.google.com/spreadsheets/d/1BJSV3WBYJGRhQ6zExamkszQ5VutGIcaQqmbD9ZTVXMQ/edit#gid=1251630045"",""articles_with_PRISMA_reasons!B2:B2113""))&lt;2),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$A423=IMPORTRANGE(""https://docs.google.com/spreadsheets/d/1BJSV3WBYJGRhQ6zExamkszQ5VutGIcaQqmbD9ZTVXMQ/edit#gid=1251630045"",""arti"&amp;"cles_with_PRISMA_reasons!B2:B2113""))&lt;2,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$A423=IMPORTRANGE(""https://docs.google.com"&amp;"/spreadsheets/d/1BJSV3WBYJGRhQ6zExamkszQ5VutGIcaQqmbD9ZTVXMQ/edit#gid=1251630045"",""articles_with_PRISMA_reasons!B2:B2113""))&gt;=2),
""Exclude""
)"),"Exclude")</f>
        <v>Exclude</v>
      </c>
      <c r="E423" s="5" t="str">
        <f>IFERROR(__xludf.DUMMYFUNCTION("IFS(
D423=""Exclude"",""Exclude"",
AND(
FILTER(IMPORTRANGE(""https://docs.google.com/spreadsheets/d/1qpEmbGH0JjaJbUdp21-y2cPbobDbMjr09BbtdKROZWc/edit#gid=1444865654"",""articles_with_PRISMA_reasons!W2:W2113""), $A423=IMPORTRANGE(""https://docs.google.com/"&amp;"spreadsheets/d/1qpEmbGH0JjaJbUdp21-y2cPbobDbMjr09BbtdKROZWc/edit#gid=1444865654"",""articles_with_PRISMA_reasons!B2:B2113""))&gt;=2,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$A423=IMPORTRANGE(""https://docs.google.com/spreadsheets/d/1qpEmbGH0JjaJbUdp21-y2cPbobDbMjr09BbtdKROZWc/edit#gid=1444865654"",""articles_with_PRISMA_reasons!B2:B2113""))&lt;2),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$A423=IMPORTRANGE(""https://docs.google.com/spreadsheets/d/1qpEmbGH0JjaJbUdp21-y2cPbobDbMjr09BbtdKRO"&amp;"ZWc/edit#gid=1444865654"",""articles_with_PRISMA_reasons!B2:B2113""))&lt;2,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$A423=IMPOR"&amp;"TRANGE(""https://docs.google.com/spreadsheets/d/1qpEmbGH0JjaJbUdp21-y2cPbobDbMjr09BbtdKROZWc/edit#gid=1444865654"",""articles_with_PRISMA_reasons!B2:B2113""))&gt;=2),
""Exclude""
)"),"Exclude")</f>
        <v>Exclude</v>
      </c>
      <c r="F423" s="5" t="str">
        <f>IFERROR(__xludf.DUMMYFUNCTION("IFS(
E423=""Exclude"",""Exclude"",
AND(
COUNTIF(
IMPORTRANGE(""https://docs.google.com/spreadsheets/d/1kGrh75X1cNR1D7_FcY9zMnHP8iPO4M5RCRjy6nZY0TY/edit#gid=0"",""Table 1: Study characteristics!B4:B171""),A423)&gt;0,
COUNTIF(Studies!$A$2:$A$85,FILTER(IMPORTRA"&amp;"NGE(""https://docs.google.com/spreadsheets/d/1kGrh75X1cNR1D7_FcY9zMnHP8iPO4M5RCRjy6nZY0TY/edit#gid=0"",""Table 1: Study characteristics!A4:A171""), $A423=IMPORTRANGE(""https://docs.google.com/spreadsheets/d/1kGrh75X1cNR1D7_FcY9zMnHP8iPO4M5RCRjy6nZY0TY/edi"&amp;"t#gid=0"",""Table 1: Study characteristics!B4:B171"")))&gt;0
),
""Include""
)"),"Exclude")</f>
        <v>Exclude</v>
      </c>
      <c r="G423" s="5" t="str">
        <f>IFERROR(__xludf.DUMMYFUNCTION("IFS(
D423=""Exclude"",
FILTER(IMPORTRANGE(""https://docs.google.com/spreadsheets/d/1BJSV3WBYJGRhQ6zExamkszQ5VutGIcaQqmbD9ZTVXMQ/edit#gid=1251630045"",""articles_with_PRISMA_reasons!AB2:AB2113""), $A423=IMPORTRANGE(""https://docs.google.com/spreadsheets/d/"&amp;"1BJSV3WBYJGRhQ6zExamkszQ5VutGIcaQqmbD9ZTVXMQ/edit#gid=1251630045"",""articles_with_PRISMA_reasons!B2:B2113"")),
E423=""Exclude"",
FILTER(IMPORTRANGE(""https://docs.google.com/spreadsheets/d/1qpEmbGH0JjaJbUdp21-y2cPbobDbMjr09BbtdKROZWc/edit#gid=1444865654"&amp;""",""articles_with_PRISMA_reasons!Z2:Z2113""), $A423=IMPORTRANGE(""https://docs.google.com/spreadsheets/d/1qpEmbGH0JjaJbUdp21-y2cPbobDbMjr09BbtdKROZWc/edit#gid=1444865654"",""articles_with_PRISMA_reasons!B2:B2113"")),F423
=""Include"",FILTER(IMPORTRANGE("&amp;"""https://docs.google.com/spreadsheets/d/1kGrh75X1cNR1D7_FcY9zMnHP8iPO4M5RCRjy6nZY0TY/edit#gid=0"",""Table 1: Study characteristics!A4:A171""), $A423=IMPORTRANGE(""https://docs.google.com/spreadsheets/d/1kGrh75X1cNR1D7_FcY9zMnHP8iPO4M5RCRjy6nZY0TY/edit#gi"&amp;"d=0"",""Table 1: Study characteristics!B4:B171""))
)"),"wrong study design")</f>
        <v>wrong study design</v>
      </c>
    </row>
    <row r="424">
      <c r="A424" s="4" t="str">
        <f>IFERROR(__xludf.DUMMYFUNCTION("""COMPUTED_VALUE"""),"Chiari II malformation and occult spinal dysraphism: Case reports and a review of the literature")</f>
        <v>Chiari II malformation and occult spinal dysraphism: Case reports and a review of the literature</v>
      </c>
      <c r="B424" s="5" t="str">
        <f>IFERROR(__xludf.DUMMYFUNCTION("LEFT(FILTER(IMPORTRANGE(""https://docs.google.com/spreadsheets/d/1BJSV3WBYJGRhQ6zExamkszQ5VutGIcaQqmbD9ZTVXMQ/edit#gid=1251630045"",""articles_with_PRISMA_reasons!K2:K2113""), $A424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$A424=IMPORTRANGE(""https://docs.google.com/spreadsheets/d/1BJSV3WBYJGRhQ6zExamkszQ5VutGIcaQqmbD9ZTVXMQ/edit#gid=1251630045"",""articles_with_PRISMA_reasons!B2:B2113"")))-1)"),"Wellons Iii")</f>
        <v>Wellons Iii</v>
      </c>
      <c r="C424" s="6">
        <f>IFERROR(__xludf.DUMMYFUNCTION("FILTER(IMPORTRANGE(""https://docs.google.com/spreadsheets/d/1BJSV3WBYJGRhQ6zExamkszQ5VutGIcaQqmbD9ZTVXMQ/edit#gid=1251630045"",""articles_with_PRISMA_reasons!C2:C2113""), $A424=IMPORTRANGE(""https://docs.google.com/spreadsheets/d/1BJSV3WBYJGRhQ6zExamkszQ5"&amp;"VutGIcaQqmbD9ZTVXMQ/edit#gid=1251630045"",""articles_with_PRISMA_reasons!B2:B2113""))"),2003.0)</f>
        <v>2003</v>
      </c>
      <c r="D424" s="5" t="str">
        <f>IFERROR(__xludf.DUMMYFUNCTION("IFS(AND(
FILTER(IMPORTRANGE(""https://docs.google.com/spreadsheets/d/1BJSV3WBYJGRhQ6zExamkszQ5VutGIcaQqmbD9ZTVXMQ/edit#gid=1251630045"",""articles_with_PRISMA_reasons!Y2:Y2113""), $A424=IMPORTRANGE(""https://docs.google.com/spreadsheets/d/1BJSV3WBYJGRhQ6z"&amp;"ExamkszQ5VutGIcaQqmbD9ZTVXMQ/edit#gid=1251630045"",""articles_with_PRISMA_reasons!B2:B2113""))&gt;=2,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$A424=IMPORTRANGE(""https://docs.google.com/spreadsheets/d/1BJSV3WBYJGRhQ6zExamkszQ5VutGIcaQqmbD9ZTVXMQ/edit#gid=1251630045"",""articles_with_PRISMA_reasons!B2:B2113""))&lt;2),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$A424=IMPORTRANGE(""https://docs.google.com/spreadsheets/d/1BJSV3WBYJGRhQ6zExamkszQ5VutGIcaQqmbD9ZTVXMQ/edit#gid=1251630045"",""arti"&amp;"cles_with_PRISMA_reasons!B2:B2113""))&lt;2,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$A424=IMPORTRANGE(""https://docs.google.com"&amp;"/spreadsheets/d/1BJSV3WBYJGRhQ6zExamkszQ5VutGIcaQqmbD9ZTVXMQ/edit#gid=1251630045"",""articles_with_PRISMA_reasons!B2:B2113""))&gt;=2),
""Exclude""
)"),"Exclude")</f>
        <v>Exclude</v>
      </c>
      <c r="E424" s="5" t="str">
        <f>IFERROR(__xludf.DUMMYFUNCTION("IFS(
D424=""Exclude"",""Exclude"",
AND(
FILTER(IMPORTRANGE(""https://docs.google.com/spreadsheets/d/1qpEmbGH0JjaJbUdp21-y2cPbobDbMjr09BbtdKROZWc/edit#gid=1444865654"",""articles_with_PRISMA_reasons!W2:W2113""), $A424=IMPORTRANGE(""https://docs.google.com/"&amp;"spreadsheets/d/1qpEmbGH0JjaJbUdp21-y2cPbobDbMjr09BbtdKROZWc/edit#gid=1444865654"",""articles_with_PRISMA_reasons!B2:B2113""))&gt;=2,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$A424=IMPORTRANGE(""https://docs.google.com/spreadsheets/d/1qpEmbGH0JjaJbUdp21-y2cPbobDbMjr09BbtdKROZWc/edit#gid=1444865654"",""articles_with_PRISMA_reasons!B2:B2113""))&lt;2),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$A424=IMPORTRANGE(""https://docs.google.com/spreadsheets/d/1qpEmbGH0JjaJbUdp21-y2cPbobDbMjr09BbtdKRO"&amp;"ZWc/edit#gid=1444865654"",""articles_with_PRISMA_reasons!B2:B2113""))&lt;2,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$A424=IMPOR"&amp;"TRANGE(""https://docs.google.com/spreadsheets/d/1qpEmbGH0JjaJbUdp21-y2cPbobDbMjr09BbtdKROZWc/edit#gid=1444865654"",""articles_with_PRISMA_reasons!B2:B2113""))&gt;=2),
""Exclude""
)"),"Exclude")</f>
        <v>Exclude</v>
      </c>
      <c r="F424" s="5" t="str">
        <f>IFERROR(__xludf.DUMMYFUNCTION("IFS(
E424=""Exclude"",""Exclude"",
AND(
COUNTIF(
IMPORTRANGE(""https://docs.google.com/spreadsheets/d/1kGrh75X1cNR1D7_FcY9zMnHP8iPO4M5RCRjy6nZY0TY/edit#gid=0"",""Table 1: Study characteristics!B4:B171""),A424)&gt;0,
COUNTIF(Studies!$A$2:$A$85,FILTER(IMPORTRA"&amp;"NGE(""https://docs.google.com/spreadsheets/d/1kGrh75X1cNR1D7_FcY9zMnHP8iPO4M5RCRjy6nZY0TY/edit#gid=0"",""Table 1: Study characteristics!A4:A171""), $A424=IMPORTRANGE(""https://docs.google.com/spreadsheets/d/1kGrh75X1cNR1D7_FcY9zMnHP8iPO4M5RCRjy6nZY0TY/edi"&amp;"t#gid=0"",""Table 1: Study characteristics!B4:B171"")))&gt;0
),
""Include""
)"),"Exclude")</f>
        <v>Exclude</v>
      </c>
      <c r="G424" s="5" t="str">
        <f>IFERROR(__xludf.DUMMYFUNCTION("IFS(
D424=""Exclude"",
FILTER(IMPORTRANGE(""https://docs.google.com/spreadsheets/d/1BJSV3WBYJGRhQ6zExamkszQ5VutGIcaQqmbD9ZTVXMQ/edit#gid=1251630045"",""articles_with_PRISMA_reasons!AB2:AB2113""), $A424=IMPORTRANGE(""https://docs.google.com/spreadsheets/d/"&amp;"1BJSV3WBYJGRhQ6zExamkszQ5VutGIcaQqmbD9ZTVXMQ/edit#gid=1251630045"",""articles_with_PRISMA_reasons!B2:B2113"")),
E424=""Exclude"",
FILTER(IMPORTRANGE(""https://docs.google.com/spreadsheets/d/1qpEmbGH0JjaJbUdp21-y2cPbobDbMjr09BbtdKROZWc/edit#gid=1444865654"&amp;""",""articles_with_PRISMA_reasons!Z2:Z2113""), $A424=IMPORTRANGE(""https://docs.google.com/spreadsheets/d/1qpEmbGH0JjaJbUdp21-y2cPbobDbMjr09BbtdKROZWc/edit#gid=1444865654"",""articles_with_PRISMA_reasons!B2:B2113"")),F424
=""Include"",FILTER(IMPORTRANGE("&amp;"""https://docs.google.com/spreadsheets/d/1kGrh75X1cNR1D7_FcY9zMnHP8iPO4M5RCRjy6nZY0TY/edit#gid=0"",""Table 1: Study characteristics!A4:A171""), $A424=IMPORTRANGE(""https://docs.google.com/spreadsheets/d/1kGrh75X1cNR1D7_FcY9zMnHP8iPO4M5RCRjy6nZY0TY/edit#gi"&amp;"d=0"",""Table 1: Study characteristics!B4:B171""))
)"),"wrong publication type")</f>
        <v>wrong publication type</v>
      </c>
    </row>
    <row r="425">
      <c r="A425" s="4" t="str">
        <f>IFERROR(__xludf.DUMMYFUNCTION("""COMPUTED_VALUE"""),"Chiari II malformation mimicking partial rhombencephalosynapsis? A case report")</f>
        <v>Chiari II malformation mimicking partial rhombencephalosynapsis? A case report</v>
      </c>
      <c r="B425" s="5" t="str">
        <f>IFERROR(__xludf.DUMMYFUNCTION("LEFT(FILTER(IMPORTRANGE(""https://docs.google.com/spreadsheets/d/1BJSV3WBYJGRhQ6zExamkszQ5VutGIcaQqmbD9ZTVXMQ/edit#gid=1251630045"",""articles_with_PRISMA_reasons!K2:K2113""), $A425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$A425=IMPORTRANGE(""https://docs.google.com/spreadsheets/d/1BJSV3WBYJGRhQ6zExamkszQ5VutGIcaQqmbD9ZTVXMQ/edit#gid=1251630045"",""articles_with_PRISMA_reasons!B2:B2113"")))-1)"),"Guntur Ramkumar")</f>
        <v>Guntur Ramkumar</v>
      </c>
      <c r="C425" s="6">
        <f>IFERROR(__xludf.DUMMYFUNCTION("FILTER(IMPORTRANGE(""https://docs.google.com/spreadsheets/d/1BJSV3WBYJGRhQ6zExamkszQ5VutGIcaQqmbD9ZTVXMQ/edit#gid=1251630045"",""articles_with_PRISMA_reasons!C2:C2113""), $A425=IMPORTRANGE(""https://docs.google.com/spreadsheets/d/1BJSV3WBYJGRhQ6zExamkszQ5"&amp;"VutGIcaQqmbD9ZTVXMQ/edit#gid=1251630045"",""articles_with_PRISMA_reasons!B2:B2113""))"),2010.0)</f>
        <v>2010</v>
      </c>
      <c r="D425" s="5" t="str">
        <f>IFERROR(__xludf.DUMMYFUNCTION("IFS(AND(
FILTER(IMPORTRANGE(""https://docs.google.com/spreadsheets/d/1BJSV3WBYJGRhQ6zExamkszQ5VutGIcaQqmbD9ZTVXMQ/edit#gid=1251630045"",""articles_with_PRISMA_reasons!Y2:Y2113""), $A425=IMPORTRANGE(""https://docs.google.com/spreadsheets/d/1BJSV3WBYJGRhQ6z"&amp;"ExamkszQ5VutGIcaQqmbD9ZTVXMQ/edit#gid=1251630045"",""articles_with_PRISMA_reasons!B2:B2113""))&gt;=2,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$A425=IMPORTRANGE(""https://docs.google.com/spreadsheets/d/1BJSV3WBYJGRhQ6zExamkszQ5VutGIcaQqmbD9ZTVXMQ/edit#gid=1251630045"",""articles_with_PRISMA_reasons!B2:B2113""))&lt;2),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$A425=IMPORTRANGE(""https://docs.google.com/spreadsheets/d/1BJSV3WBYJGRhQ6zExamkszQ5VutGIcaQqmbD9ZTVXMQ/edit#gid=1251630045"",""arti"&amp;"cles_with_PRISMA_reasons!B2:B2113""))&lt;2,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$A425=IMPORTRANGE(""https://docs.google.com"&amp;"/spreadsheets/d/1BJSV3WBYJGRhQ6zExamkszQ5VutGIcaQqmbD9ZTVXMQ/edit#gid=1251630045"",""articles_with_PRISMA_reasons!B2:B2113""))&gt;=2),
""Exclude""
)"),"Exclude")</f>
        <v>Exclude</v>
      </c>
      <c r="E425" s="5" t="str">
        <f>IFERROR(__xludf.DUMMYFUNCTION("IFS(
D425=""Exclude"",""Exclude"",
AND(
FILTER(IMPORTRANGE(""https://docs.google.com/spreadsheets/d/1qpEmbGH0JjaJbUdp21-y2cPbobDbMjr09BbtdKROZWc/edit#gid=1444865654"",""articles_with_PRISMA_reasons!W2:W2113""), $A425=IMPORTRANGE(""https://docs.google.com/"&amp;"spreadsheets/d/1qpEmbGH0JjaJbUdp21-y2cPbobDbMjr09BbtdKROZWc/edit#gid=1444865654"",""articles_with_PRISMA_reasons!B2:B2113""))&gt;=2,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$A425=IMPORTRANGE(""https://docs.google.com/spreadsheets/d/1qpEmbGH0JjaJbUdp21-y2cPbobDbMjr09BbtdKROZWc/edit#gid=1444865654"",""articles_with_PRISMA_reasons!B2:B2113""))&lt;2),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$A425=IMPORTRANGE(""https://docs.google.com/spreadsheets/d/1qpEmbGH0JjaJbUdp21-y2cPbobDbMjr09BbtdKRO"&amp;"ZWc/edit#gid=1444865654"",""articles_with_PRISMA_reasons!B2:B2113""))&lt;2,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$A425=IMPOR"&amp;"TRANGE(""https://docs.google.com/spreadsheets/d/1qpEmbGH0JjaJbUdp21-y2cPbobDbMjr09BbtdKROZWc/edit#gid=1444865654"",""articles_with_PRISMA_reasons!B2:B2113""))&gt;=2),
""Exclude""
)"),"Exclude")</f>
        <v>Exclude</v>
      </c>
      <c r="F425" s="5" t="str">
        <f>IFERROR(__xludf.DUMMYFUNCTION("IFS(
E425=""Exclude"",""Exclude"",
AND(
COUNTIF(
IMPORTRANGE(""https://docs.google.com/spreadsheets/d/1kGrh75X1cNR1D7_FcY9zMnHP8iPO4M5RCRjy6nZY0TY/edit#gid=0"",""Table 1: Study characteristics!B4:B171""),A425)&gt;0,
COUNTIF(Studies!$A$2:$A$85,FILTER(IMPORTRA"&amp;"NGE(""https://docs.google.com/spreadsheets/d/1kGrh75X1cNR1D7_FcY9zMnHP8iPO4M5RCRjy6nZY0TY/edit#gid=0"",""Table 1: Study characteristics!A4:A171""), $A425=IMPORTRANGE(""https://docs.google.com/spreadsheets/d/1kGrh75X1cNR1D7_FcY9zMnHP8iPO4M5RCRjy6nZY0TY/edi"&amp;"t#gid=0"",""Table 1: Study characteristics!B4:B171"")))&gt;0
),
""Include""
)"),"Exclude")</f>
        <v>Exclude</v>
      </c>
      <c r="G425" s="5" t="str">
        <f>IFERROR(__xludf.DUMMYFUNCTION("IFS(
D425=""Exclude"",
FILTER(IMPORTRANGE(""https://docs.google.com/spreadsheets/d/1BJSV3WBYJGRhQ6zExamkszQ5VutGIcaQqmbD9ZTVXMQ/edit#gid=1251630045"",""articles_with_PRISMA_reasons!AB2:AB2113""), $A425=IMPORTRANGE(""https://docs.google.com/spreadsheets/d/"&amp;"1BJSV3WBYJGRhQ6zExamkszQ5VutGIcaQqmbD9ZTVXMQ/edit#gid=1251630045"",""articles_with_PRISMA_reasons!B2:B2113"")),
E425=""Exclude"",
FILTER(IMPORTRANGE(""https://docs.google.com/spreadsheets/d/1qpEmbGH0JjaJbUdp21-y2cPbobDbMjr09BbtdKROZWc/edit#gid=1444865654"&amp;""",""articles_with_PRISMA_reasons!Z2:Z2113""), $A425=IMPORTRANGE(""https://docs.google.com/spreadsheets/d/1qpEmbGH0JjaJbUdp21-y2cPbobDbMjr09BbtdKROZWc/edit#gid=1444865654"",""articles_with_PRISMA_reasons!B2:B2113"")),F425
=""Include"",FILTER(IMPORTRANGE("&amp;"""https://docs.google.com/spreadsheets/d/1kGrh75X1cNR1D7_FcY9zMnHP8iPO4M5RCRjy6nZY0TY/edit#gid=0"",""Table 1: Study characteristics!A4:A171""), $A425=IMPORTRANGE(""https://docs.google.com/spreadsheets/d/1kGrh75X1cNR1D7_FcY9zMnHP8iPO4M5RCRjy6nZY0TY/edit#gi"&amp;"d=0"",""Table 1: Study characteristics!B4:B171""))
)"),"wrong publication type")</f>
        <v>wrong publication type</v>
      </c>
    </row>
    <row r="426">
      <c r="A426" s="4" t="str">
        <f>IFERROR(__xludf.DUMMYFUNCTION("""COMPUTED_VALUE"""),"Chiari III malformation: Varieties of MRI appearances in two patients")</f>
        <v>Chiari III malformation: Varieties of MRI appearances in two patients</v>
      </c>
      <c r="B426" s="5" t="str">
        <f>IFERROR(__xludf.DUMMYFUNCTION("LEFT(FILTER(IMPORTRANGE(""https://docs.google.com/spreadsheets/d/1BJSV3WBYJGRhQ6zExamkszQ5VutGIcaQqmbD9ZTVXMQ/edit#gid=1251630045"",""articles_with_PRISMA_reasons!K2:K2113""), $A426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$A426=IMPORTRANGE(""https://docs.google.com/spreadsheets/d/1BJSV3WBYJGRhQ6zExamkszQ5VutGIcaQqmbD9ZTVXMQ/edit#gid=1251630045"",""articles_with_PRISMA_reasons!B2:B2113"")))-1)"),"Cakirer")</f>
        <v>Cakirer</v>
      </c>
      <c r="C426" s="6">
        <f>IFERROR(__xludf.DUMMYFUNCTION("FILTER(IMPORTRANGE(""https://docs.google.com/spreadsheets/d/1BJSV3WBYJGRhQ6zExamkszQ5VutGIcaQqmbD9ZTVXMQ/edit#gid=1251630045"",""articles_with_PRISMA_reasons!C2:C2113""), $A426=IMPORTRANGE(""https://docs.google.com/spreadsheets/d/1BJSV3WBYJGRhQ6zExamkszQ5"&amp;"VutGIcaQqmbD9ZTVXMQ/edit#gid=1251630045"",""articles_with_PRISMA_reasons!B2:B2113""))"),2003.0)</f>
        <v>2003</v>
      </c>
      <c r="D426" s="5" t="str">
        <f>IFERROR(__xludf.DUMMYFUNCTION("IFS(AND(
FILTER(IMPORTRANGE(""https://docs.google.com/spreadsheets/d/1BJSV3WBYJGRhQ6zExamkszQ5VutGIcaQqmbD9ZTVXMQ/edit#gid=1251630045"",""articles_with_PRISMA_reasons!Y2:Y2113""), $A426=IMPORTRANGE(""https://docs.google.com/spreadsheets/d/1BJSV3WBYJGRhQ6z"&amp;"ExamkszQ5VutGIcaQqmbD9ZTVXMQ/edit#gid=1251630045"",""articles_with_PRISMA_reasons!B2:B2113""))&gt;=2,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$A426=IMPORTRANGE(""https://docs.google.com/spreadsheets/d/1BJSV3WBYJGRhQ6zExamkszQ5VutGIcaQqmbD9ZTVXMQ/edit#gid=1251630045"",""articles_with_PRISMA_reasons!B2:B2113""))&lt;2),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$A426=IMPORTRANGE(""https://docs.google.com/spreadsheets/d/1BJSV3WBYJGRhQ6zExamkszQ5VutGIcaQqmbD9ZTVXMQ/edit#gid=1251630045"",""arti"&amp;"cles_with_PRISMA_reasons!B2:B2113""))&lt;2,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$A426=IMPORTRANGE(""https://docs.google.com"&amp;"/spreadsheets/d/1BJSV3WBYJGRhQ6zExamkszQ5VutGIcaQqmbD9ZTVXMQ/edit#gid=1251630045"",""articles_with_PRISMA_reasons!B2:B2113""))&gt;=2),
""Exclude""
)"),"Exclude")</f>
        <v>Exclude</v>
      </c>
      <c r="E426" s="5" t="str">
        <f>IFERROR(__xludf.DUMMYFUNCTION("IFS(
D426=""Exclude"",""Exclude"",
AND(
FILTER(IMPORTRANGE(""https://docs.google.com/spreadsheets/d/1qpEmbGH0JjaJbUdp21-y2cPbobDbMjr09BbtdKROZWc/edit#gid=1444865654"",""articles_with_PRISMA_reasons!W2:W2113""), $A426=IMPORTRANGE(""https://docs.google.com/"&amp;"spreadsheets/d/1qpEmbGH0JjaJbUdp21-y2cPbobDbMjr09BbtdKROZWc/edit#gid=1444865654"",""articles_with_PRISMA_reasons!B2:B2113""))&gt;=2,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$A426=IMPORTRANGE(""https://docs.google.com/spreadsheets/d/1qpEmbGH0JjaJbUdp21-y2cPbobDbMjr09BbtdKROZWc/edit#gid=1444865654"",""articles_with_PRISMA_reasons!B2:B2113""))&lt;2),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$A426=IMPORTRANGE(""https://docs.google.com/spreadsheets/d/1qpEmbGH0JjaJbUdp21-y2cPbobDbMjr09BbtdKRO"&amp;"ZWc/edit#gid=1444865654"",""articles_with_PRISMA_reasons!B2:B2113""))&lt;2,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$A426=IMPOR"&amp;"TRANGE(""https://docs.google.com/spreadsheets/d/1qpEmbGH0JjaJbUdp21-y2cPbobDbMjr09BbtdKROZWc/edit#gid=1444865654"",""articles_with_PRISMA_reasons!B2:B2113""))&gt;=2),
""Exclude""
)"),"Exclude")</f>
        <v>Exclude</v>
      </c>
      <c r="F426" s="5" t="str">
        <f>IFERROR(__xludf.DUMMYFUNCTION("IFS(
E426=""Exclude"",""Exclude"",
AND(
COUNTIF(
IMPORTRANGE(""https://docs.google.com/spreadsheets/d/1kGrh75X1cNR1D7_FcY9zMnHP8iPO4M5RCRjy6nZY0TY/edit#gid=0"",""Table 1: Study characteristics!B4:B171""),A426)&gt;0,
COUNTIF(Studies!$A$2:$A$85,FILTER(IMPORTRA"&amp;"NGE(""https://docs.google.com/spreadsheets/d/1kGrh75X1cNR1D7_FcY9zMnHP8iPO4M5RCRjy6nZY0TY/edit#gid=0"",""Table 1: Study characteristics!A4:A171""), $A426=IMPORTRANGE(""https://docs.google.com/spreadsheets/d/1kGrh75X1cNR1D7_FcY9zMnHP8iPO4M5RCRjy6nZY0TY/edi"&amp;"t#gid=0"",""Table 1: Study characteristics!B4:B171"")))&gt;0
),
""Include""
)"),"Exclude")</f>
        <v>Exclude</v>
      </c>
      <c r="G426" s="5" t="str">
        <f>IFERROR(__xludf.DUMMYFUNCTION("IFS(
D426=""Exclude"",
FILTER(IMPORTRANGE(""https://docs.google.com/spreadsheets/d/1BJSV3WBYJGRhQ6zExamkszQ5VutGIcaQqmbD9ZTVXMQ/edit#gid=1251630045"",""articles_with_PRISMA_reasons!AB2:AB2113""), $A426=IMPORTRANGE(""https://docs.google.com/spreadsheets/d/"&amp;"1BJSV3WBYJGRhQ6zExamkszQ5VutGIcaQqmbD9ZTVXMQ/edit#gid=1251630045"",""articles_with_PRISMA_reasons!B2:B2113"")),
E426=""Exclude"",
FILTER(IMPORTRANGE(""https://docs.google.com/spreadsheets/d/1qpEmbGH0JjaJbUdp21-y2cPbobDbMjr09BbtdKROZWc/edit#gid=1444865654"&amp;""",""articles_with_PRISMA_reasons!Z2:Z2113""), $A426=IMPORTRANGE(""https://docs.google.com/spreadsheets/d/1qpEmbGH0JjaJbUdp21-y2cPbobDbMjr09BbtdKROZWc/edit#gid=1444865654"",""articles_with_PRISMA_reasons!B2:B2113"")),F426
=""Include"",FILTER(IMPORTRANGE("&amp;"""https://docs.google.com/spreadsheets/d/1kGrh75X1cNR1D7_FcY9zMnHP8iPO4M5RCRjy6nZY0TY/edit#gid=0"",""Table 1: Study characteristics!A4:A171""), $A426=IMPORTRANGE(""https://docs.google.com/spreadsheets/d/1kGrh75X1cNR1D7_FcY9zMnHP8iPO4M5RCRjy6nZY0TY/edit#gi"&amp;"d=0"",""Table 1: Study characteristics!B4:B171""))
)"),"wrong study design")</f>
        <v>wrong study design</v>
      </c>
    </row>
    <row r="427">
      <c r="A427" s="4" t="str">
        <f>IFERROR(__xludf.DUMMYFUNCTION("""COMPUTED_VALUE"""),"Chiari malformations: Diagnosis, treatments and failures")</f>
        <v>Chiari malformations: Diagnosis, treatments and failures</v>
      </c>
      <c r="B427" s="5" t="str">
        <f>IFERROR(__xludf.DUMMYFUNCTION("LEFT(FILTER(IMPORTRANGE(""https://docs.google.com/spreadsheets/d/1BJSV3WBYJGRhQ6zExamkszQ5VutGIcaQqmbD9ZTVXMQ/edit#gid=1251630045"",""articles_with_PRISMA_reasons!K2:K2113""), $A427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$A427=IMPORTRANGE(""https://docs.google.com/spreadsheets/d/1BJSV3WBYJGRhQ6zExamkszQ5VutGIcaQqmbD9ZTVXMQ/edit#gid=1251630045"",""articles_with_PRISMA_reasons!B2:B2113"")))-1)"),"Abd-El-Barr")</f>
        <v>Abd-El-Barr</v>
      </c>
      <c r="C427" s="6">
        <f>IFERROR(__xludf.DUMMYFUNCTION("FILTER(IMPORTRANGE(""https://docs.google.com/spreadsheets/d/1BJSV3WBYJGRhQ6zExamkszQ5VutGIcaQqmbD9ZTVXMQ/edit#gid=1251630045"",""articles_with_PRISMA_reasons!C2:C2113""), $A427=IMPORTRANGE(""https://docs.google.com/spreadsheets/d/1BJSV3WBYJGRhQ6zExamkszQ5"&amp;"VutGIcaQqmbD9ZTVXMQ/edit#gid=1251630045"",""articles_with_PRISMA_reasons!B2:B2113""))"),2014.0)</f>
        <v>2014</v>
      </c>
      <c r="D427" s="5" t="str">
        <f>IFERROR(__xludf.DUMMYFUNCTION("IFS(AND(
FILTER(IMPORTRANGE(""https://docs.google.com/spreadsheets/d/1BJSV3WBYJGRhQ6zExamkszQ5VutGIcaQqmbD9ZTVXMQ/edit#gid=1251630045"",""articles_with_PRISMA_reasons!Y2:Y2113""), $A427=IMPORTRANGE(""https://docs.google.com/spreadsheets/d/1BJSV3WBYJGRhQ6z"&amp;"ExamkszQ5VutGIcaQqmbD9ZTVXMQ/edit#gid=1251630045"",""articles_with_PRISMA_reasons!B2:B2113""))&gt;=2,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$A427=IMPORTRANGE(""https://docs.google.com/spreadsheets/d/1BJSV3WBYJGRhQ6zExamkszQ5VutGIcaQqmbD9ZTVXMQ/edit#gid=1251630045"",""articles_with_PRISMA_reasons!B2:B2113""))&lt;2),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$A427=IMPORTRANGE(""https://docs.google.com/spreadsheets/d/1BJSV3WBYJGRhQ6zExamkszQ5VutGIcaQqmbD9ZTVXMQ/edit#gid=1251630045"",""arti"&amp;"cles_with_PRISMA_reasons!B2:B2113""))&lt;2,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$A427=IMPORTRANGE(""https://docs.google.com"&amp;"/spreadsheets/d/1BJSV3WBYJGRhQ6zExamkszQ5VutGIcaQqmbD9ZTVXMQ/edit#gid=1251630045"",""articles_with_PRISMA_reasons!B2:B2113""))&gt;=2),
""Exclude""
)"),"Exclude")</f>
        <v>Exclude</v>
      </c>
      <c r="E427" s="5" t="str">
        <f>IFERROR(__xludf.DUMMYFUNCTION("IFS(
D427=""Exclude"",""Exclude"",
AND(
FILTER(IMPORTRANGE(""https://docs.google.com/spreadsheets/d/1qpEmbGH0JjaJbUdp21-y2cPbobDbMjr09BbtdKROZWc/edit#gid=1444865654"",""articles_with_PRISMA_reasons!W2:W2113""), $A427=IMPORTRANGE(""https://docs.google.com/"&amp;"spreadsheets/d/1qpEmbGH0JjaJbUdp21-y2cPbobDbMjr09BbtdKROZWc/edit#gid=1444865654"",""articles_with_PRISMA_reasons!B2:B2113""))&gt;=2,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$A427=IMPORTRANGE(""https://docs.google.com/spreadsheets/d/1qpEmbGH0JjaJbUdp21-y2cPbobDbMjr09BbtdKROZWc/edit#gid=1444865654"",""articles_with_PRISMA_reasons!B2:B2113""))&lt;2),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$A427=IMPORTRANGE(""https://docs.google.com/spreadsheets/d/1qpEmbGH0JjaJbUdp21-y2cPbobDbMjr09BbtdKRO"&amp;"ZWc/edit#gid=1444865654"",""articles_with_PRISMA_reasons!B2:B2113""))&lt;2,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$A427=IMPOR"&amp;"TRANGE(""https://docs.google.com/spreadsheets/d/1qpEmbGH0JjaJbUdp21-y2cPbobDbMjr09BbtdKROZWc/edit#gid=1444865654"",""articles_with_PRISMA_reasons!B2:B2113""))&gt;=2),
""Exclude""
)"),"Exclude")</f>
        <v>Exclude</v>
      </c>
      <c r="F427" s="5" t="str">
        <f>IFERROR(__xludf.DUMMYFUNCTION("IFS(
E427=""Exclude"",""Exclude"",
AND(
COUNTIF(
IMPORTRANGE(""https://docs.google.com/spreadsheets/d/1kGrh75X1cNR1D7_FcY9zMnHP8iPO4M5RCRjy6nZY0TY/edit#gid=0"",""Table 1: Study characteristics!B4:B171""),A427)&gt;0,
COUNTIF(Studies!$A$2:$A$85,FILTER(IMPORTRA"&amp;"NGE(""https://docs.google.com/spreadsheets/d/1kGrh75X1cNR1D7_FcY9zMnHP8iPO4M5RCRjy6nZY0TY/edit#gid=0"",""Table 1: Study characteristics!A4:A171""), $A427=IMPORTRANGE(""https://docs.google.com/spreadsheets/d/1kGrh75X1cNR1D7_FcY9zMnHP8iPO4M5RCRjy6nZY0TY/edi"&amp;"t#gid=0"",""Table 1: Study characteristics!B4:B171"")))&gt;0
),
""Include""
)"),"Exclude")</f>
        <v>Exclude</v>
      </c>
      <c r="G427" s="5" t="str">
        <f>IFERROR(__xludf.DUMMYFUNCTION("IFS(
D427=""Exclude"",
FILTER(IMPORTRANGE(""https://docs.google.com/spreadsheets/d/1BJSV3WBYJGRhQ6zExamkszQ5VutGIcaQqmbD9ZTVXMQ/edit#gid=1251630045"",""articles_with_PRISMA_reasons!AB2:AB2113""), $A427=IMPORTRANGE(""https://docs.google.com/spreadsheets/d/"&amp;"1BJSV3WBYJGRhQ6zExamkszQ5VutGIcaQqmbD9ZTVXMQ/edit#gid=1251630045"",""articles_with_PRISMA_reasons!B2:B2113"")),
E427=""Exclude"",
FILTER(IMPORTRANGE(""https://docs.google.com/spreadsheets/d/1qpEmbGH0JjaJbUdp21-y2cPbobDbMjr09BbtdKROZWc/edit#gid=1444865654"&amp;""",""articles_with_PRISMA_reasons!Z2:Z2113""), $A427=IMPORTRANGE(""https://docs.google.com/spreadsheets/d/1qpEmbGH0JjaJbUdp21-y2cPbobDbMjr09BbtdKROZWc/edit#gid=1444865654"",""articles_with_PRISMA_reasons!B2:B2113"")),F427
=""Include"",FILTER(IMPORTRANGE("&amp;"""https://docs.google.com/spreadsheets/d/1kGrh75X1cNR1D7_FcY9zMnHP8iPO4M5RCRjy6nZY0TY/edit#gid=0"",""Table 1: Study characteristics!A4:A171""), $A427=IMPORTRANGE(""https://docs.google.com/spreadsheets/d/1kGrh75X1cNR1D7_FcY9zMnHP8iPO4M5RCRjy6nZY0TY/edit#gi"&amp;"d=0"",""Table 1: Study characteristics!B4:B171""))
)"),"wrong study design")</f>
        <v>wrong study design</v>
      </c>
    </row>
    <row r="428">
      <c r="A428" s="4" t="str">
        <f>IFERROR(__xludf.DUMMYFUNCTION("""COMPUTED_VALUE"""),"Chiari type II malformation: a case report and review of literature")</f>
        <v>Chiari type II malformation: a case report and review of literature</v>
      </c>
      <c r="B428" s="2" t="s">
        <v>18</v>
      </c>
      <c r="C428" s="6">
        <f>IFERROR(__xludf.DUMMYFUNCTION("FILTER(IMPORTRANGE(""https://docs.google.com/spreadsheets/d/1BJSV3WBYJGRhQ6zExamkszQ5VutGIcaQqmbD9ZTVXMQ/edit#gid=1251630045"",""articles_with_PRISMA_reasons!C2:C2113""), $A428=IMPORTRANGE(""https://docs.google.com/spreadsheets/d/1BJSV3WBYJGRhQ6zExamkszQ5"&amp;"VutGIcaQqmbD9ZTVXMQ/edit#gid=1251630045"",""articles_with_PRISMA_reasons!B2:B2113""))"),2006.0)</f>
        <v>2006</v>
      </c>
      <c r="D428" s="5" t="str">
        <f>IFERROR(__xludf.DUMMYFUNCTION("IFS(AND(
FILTER(IMPORTRANGE(""https://docs.google.com/spreadsheets/d/1BJSV3WBYJGRhQ6zExamkszQ5VutGIcaQqmbD9ZTVXMQ/edit#gid=1251630045"",""articles_with_PRISMA_reasons!Y2:Y2113""), $A428=IMPORTRANGE(""https://docs.google.com/spreadsheets/d/1BJSV3WBYJGRhQ6z"&amp;"ExamkszQ5VutGIcaQqmbD9ZTVXMQ/edit#gid=1251630045"",""articles_with_PRISMA_reasons!B2:B2113""))&gt;=2,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$A428=IMPORTRANGE(""https://docs.google.com/spreadsheets/d/1BJSV3WBYJGRhQ6zExamkszQ5VutGIcaQqmbD9ZTVXMQ/edit#gid=1251630045"",""articles_with_PRISMA_reasons!B2:B2113""))&lt;2),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$A428=IMPORTRANGE(""https://docs.google.com/spreadsheets/d/1BJSV3WBYJGRhQ6zExamkszQ5VutGIcaQqmbD9ZTVXMQ/edit#gid=1251630045"",""arti"&amp;"cles_with_PRISMA_reasons!B2:B2113""))&lt;2,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$A428=IMPORTRANGE(""https://docs.google.com"&amp;"/spreadsheets/d/1BJSV3WBYJGRhQ6zExamkszQ5VutGIcaQqmbD9ZTVXMQ/edit#gid=1251630045"",""articles_with_PRISMA_reasons!B2:B2113""))&gt;=2),
""Exclude""
)"),"Exclude")</f>
        <v>Exclude</v>
      </c>
      <c r="E428" s="5" t="str">
        <f>IFERROR(__xludf.DUMMYFUNCTION("IFS(
D428=""Exclude"",""Exclude"",
AND(
FILTER(IMPORTRANGE(""https://docs.google.com/spreadsheets/d/1qpEmbGH0JjaJbUdp21-y2cPbobDbMjr09BbtdKROZWc/edit#gid=1444865654"",""articles_with_PRISMA_reasons!W2:W2113""), $A428=IMPORTRANGE(""https://docs.google.com/"&amp;"spreadsheets/d/1qpEmbGH0JjaJbUdp21-y2cPbobDbMjr09BbtdKROZWc/edit#gid=1444865654"",""articles_with_PRISMA_reasons!B2:B2113""))&gt;=2,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$A428=IMPORTRANGE(""https://docs.google.com/spreadsheets/d/1qpEmbGH0JjaJbUdp21-y2cPbobDbMjr09BbtdKROZWc/edit#gid=1444865654"",""articles_with_PRISMA_reasons!B2:B2113""))&lt;2),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$A428=IMPORTRANGE(""https://docs.google.com/spreadsheets/d/1qpEmbGH0JjaJbUdp21-y2cPbobDbMjr09BbtdKRO"&amp;"ZWc/edit#gid=1444865654"",""articles_with_PRISMA_reasons!B2:B2113""))&lt;2,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$A428=IMPOR"&amp;"TRANGE(""https://docs.google.com/spreadsheets/d/1qpEmbGH0JjaJbUdp21-y2cPbobDbMjr09BbtdKROZWc/edit#gid=1444865654"",""articles_with_PRISMA_reasons!B2:B2113""))&gt;=2),
""Exclude""
)"),"Exclude")</f>
        <v>Exclude</v>
      </c>
      <c r="F428" s="5" t="str">
        <f>IFERROR(__xludf.DUMMYFUNCTION("IFS(
E428=""Exclude"",""Exclude"",
AND(
COUNTIF(
IMPORTRANGE(""https://docs.google.com/spreadsheets/d/1kGrh75X1cNR1D7_FcY9zMnHP8iPO4M5RCRjy6nZY0TY/edit#gid=0"",""Table 1: Study characteristics!B4:B171""),A428)&gt;0,
COUNTIF(Studies!$A$2:$A$85,FILTER(IMPORTRA"&amp;"NGE(""https://docs.google.com/spreadsheets/d/1kGrh75X1cNR1D7_FcY9zMnHP8iPO4M5RCRjy6nZY0TY/edit#gid=0"",""Table 1: Study characteristics!A4:A171""), $A428=IMPORTRANGE(""https://docs.google.com/spreadsheets/d/1kGrh75X1cNR1D7_FcY9zMnHP8iPO4M5RCRjy6nZY0TY/edi"&amp;"t#gid=0"",""Table 1: Study characteristics!B4:B171"")))&gt;0
),
""Include""
)"),"Exclude")</f>
        <v>Exclude</v>
      </c>
      <c r="G428" s="5" t="str">
        <f>IFERROR(__xludf.DUMMYFUNCTION("IFS(
D428=""Exclude"",
FILTER(IMPORTRANGE(""https://docs.google.com/spreadsheets/d/1BJSV3WBYJGRhQ6zExamkszQ5VutGIcaQqmbD9ZTVXMQ/edit#gid=1251630045"",""articles_with_PRISMA_reasons!AB2:AB2113""), $A428=IMPORTRANGE(""https://docs.google.com/spreadsheets/d/"&amp;"1BJSV3WBYJGRhQ6zExamkszQ5VutGIcaQqmbD9ZTVXMQ/edit#gid=1251630045"",""articles_with_PRISMA_reasons!B2:B2113"")),
E428=""Exclude"",
FILTER(IMPORTRANGE(""https://docs.google.com/spreadsheets/d/1qpEmbGH0JjaJbUdp21-y2cPbobDbMjr09BbtdKROZWc/edit#gid=1444865654"&amp;""",""articles_with_PRISMA_reasons!Z2:Z2113""), $A428=IMPORTRANGE(""https://docs.google.com/spreadsheets/d/1qpEmbGH0JjaJbUdp21-y2cPbobDbMjr09BbtdKROZWc/edit#gid=1444865654"",""articles_with_PRISMA_reasons!B2:B2113"")),F428
=""Include"",FILTER(IMPORTRANGE("&amp;"""https://docs.google.com/spreadsheets/d/1kGrh75X1cNR1D7_FcY9zMnHP8iPO4M5RCRjy6nZY0TY/edit#gid=0"",""Table 1: Study characteristics!A4:A171""), $A428=IMPORTRANGE(""https://docs.google.com/spreadsheets/d/1kGrh75X1cNR1D7_FcY9zMnHP8iPO4M5RCRjy6nZY0TY/edit#gi"&amp;"d=0"",""Table 1: Study characteristics!B4:B171""))
)"),"wrong study design")</f>
        <v>wrong study design</v>
      </c>
    </row>
    <row r="429">
      <c r="A429" s="4" t="str">
        <f>IFERROR(__xludf.DUMMYFUNCTION("""COMPUTED_VALUE"""),"Chiari Type II malformation: past, present, and future")</f>
        <v>Chiari Type II malformation: past, present, and future</v>
      </c>
      <c r="B429" s="5" t="str">
        <f>IFERROR(__xludf.DUMMYFUNCTION("LEFT(FILTER(IMPORTRANGE(""https://docs.google.com/spreadsheets/d/1BJSV3WBYJGRhQ6zExamkszQ5VutGIcaQqmbD9ZTVXMQ/edit#gid=1251630045"",""articles_with_PRISMA_reasons!K2:K2113""), $A429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$A429=IMPORTRANGE(""https://docs.google.com/spreadsheets/d/1BJSV3WBYJGRhQ6zExamkszQ5VutGIcaQqmbD9ZTVXMQ/edit#gid=1251630045"",""articles_with_PRISMA_reasons!B2:B2113"")))-1)"),"Stevenson")</f>
        <v>Stevenson</v>
      </c>
      <c r="C429" s="6">
        <f>IFERROR(__xludf.DUMMYFUNCTION("FILTER(IMPORTRANGE(""https://docs.google.com/spreadsheets/d/1BJSV3WBYJGRhQ6zExamkszQ5VutGIcaQqmbD9ZTVXMQ/edit#gid=1251630045"",""articles_with_PRISMA_reasons!C2:C2113""), $A429=IMPORTRANGE(""https://docs.google.com/spreadsheets/d/1BJSV3WBYJGRhQ6zExamkszQ5"&amp;"VutGIcaQqmbD9ZTVXMQ/edit#gid=1251630045"",""articles_with_PRISMA_reasons!B2:B2113""))"),2004.0)</f>
        <v>2004</v>
      </c>
      <c r="D429" s="5" t="str">
        <f>IFERROR(__xludf.DUMMYFUNCTION("IFS(AND(
FILTER(IMPORTRANGE(""https://docs.google.com/spreadsheets/d/1BJSV3WBYJGRhQ6zExamkszQ5VutGIcaQqmbD9ZTVXMQ/edit#gid=1251630045"",""articles_with_PRISMA_reasons!Y2:Y2113""), $A429=IMPORTRANGE(""https://docs.google.com/spreadsheets/d/1BJSV3WBYJGRhQ6z"&amp;"ExamkszQ5VutGIcaQqmbD9ZTVXMQ/edit#gid=1251630045"",""articles_with_PRISMA_reasons!B2:B2113""))&gt;=2,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$A429=IMPORTRANGE(""https://docs.google.com/spreadsheets/d/1BJSV3WBYJGRhQ6zExamkszQ5VutGIcaQqmbD9ZTVXMQ/edit#gid=1251630045"",""articles_with_PRISMA_reasons!B2:B2113""))&lt;2),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$A429=IMPORTRANGE(""https://docs.google.com/spreadsheets/d/1BJSV3WBYJGRhQ6zExamkszQ5VutGIcaQqmbD9ZTVXMQ/edit#gid=1251630045"",""arti"&amp;"cles_with_PRISMA_reasons!B2:B2113""))&lt;2,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$A429=IMPORTRANGE(""https://docs.google.com"&amp;"/spreadsheets/d/1BJSV3WBYJGRhQ6zExamkszQ5VutGIcaQqmbD9ZTVXMQ/edit#gid=1251630045"",""articles_with_PRISMA_reasons!B2:B2113""))&gt;=2),
""Exclude""
)"),"Exclude")</f>
        <v>Exclude</v>
      </c>
      <c r="E429" s="5" t="str">
        <f>IFERROR(__xludf.DUMMYFUNCTION("IFS(
D429=""Exclude"",""Exclude"",
AND(
FILTER(IMPORTRANGE(""https://docs.google.com/spreadsheets/d/1qpEmbGH0JjaJbUdp21-y2cPbobDbMjr09BbtdKROZWc/edit#gid=1444865654"",""articles_with_PRISMA_reasons!W2:W2113""), $A429=IMPORTRANGE(""https://docs.google.com/"&amp;"spreadsheets/d/1qpEmbGH0JjaJbUdp21-y2cPbobDbMjr09BbtdKROZWc/edit#gid=1444865654"",""articles_with_PRISMA_reasons!B2:B2113""))&gt;=2,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$A429=IMPORTRANGE(""https://docs.google.com/spreadsheets/d/1qpEmbGH0JjaJbUdp21-y2cPbobDbMjr09BbtdKROZWc/edit#gid=1444865654"",""articles_with_PRISMA_reasons!B2:B2113""))&lt;2),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$A429=IMPORTRANGE(""https://docs.google.com/spreadsheets/d/1qpEmbGH0JjaJbUdp21-y2cPbobDbMjr09BbtdKRO"&amp;"ZWc/edit#gid=1444865654"",""articles_with_PRISMA_reasons!B2:B2113""))&lt;2,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$A429=IMPOR"&amp;"TRANGE(""https://docs.google.com/spreadsheets/d/1qpEmbGH0JjaJbUdp21-y2cPbobDbMjr09BbtdKROZWc/edit#gid=1444865654"",""articles_with_PRISMA_reasons!B2:B2113""))&gt;=2),
""Exclude""
)"),"Exclude")</f>
        <v>Exclude</v>
      </c>
      <c r="F429" s="5" t="str">
        <f>IFERROR(__xludf.DUMMYFUNCTION("IFS(
E429=""Exclude"",""Exclude"",
AND(
COUNTIF(
IMPORTRANGE(""https://docs.google.com/spreadsheets/d/1kGrh75X1cNR1D7_FcY9zMnHP8iPO4M5RCRjy6nZY0TY/edit#gid=0"",""Table 1: Study characteristics!B4:B171""),A429)&gt;0,
COUNTIF(Studies!$A$2:$A$85,FILTER(IMPORTRA"&amp;"NGE(""https://docs.google.com/spreadsheets/d/1kGrh75X1cNR1D7_FcY9zMnHP8iPO4M5RCRjy6nZY0TY/edit#gid=0"",""Table 1: Study characteristics!A4:A171""), $A429=IMPORTRANGE(""https://docs.google.com/spreadsheets/d/1kGrh75X1cNR1D7_FcY9zMnHP8iPO4M5RCRjy6nZY0TY/edi"&amp;"t#gid=0"",""Table 1: Study characteristics!B4:B171"")))&gt;0
),
""Include""
)"),"Exclude")</f>
        <v>Exclude</v>
      </c>
      <c r="G429" s="5" t="str">
        <f>IFERROR(__xludf.DUMMYFUNCTION("IFS(
D429=""Exclude"",
FILTER(IMPORTRANGE(""https://docs.google.com/spreadsheets/d/1BJSV3WBYJGRhQ6zExamkszQ5VutGIcaQqmbD9ZTVXMQ/edit#gid=1251630045"",""articles_with_PRISMA_reasons!AB2:AB2113""), $A429=IMPORTRANGE(""https://docs.google.com/spreadsheets/d/"&amp;"1BJSV3WBYJGRhQ6zExamkszQ5VutGIcaQqmbD9ZTVXMQ/edit#gid=1251630045"",""articles_with_PRISMA_reasons!B2:B2113"")),
E429=""Exclude"",
FILTER(IMPORTRANGE(""https://docs.google.com/spreadsheets/d/1qpEmbGH0JjaJbUdp21-y2cPbobDbMjr09BbtdKROZWc/edit#gid=1444865654"&amp;""",""articles_with_PRISMA_reasons!Z2:Z2113""), $A429=IMPORTRANGE(""https://docs.google.com/spreadsheets/d/1qpEmbGH0JjaJbUdp21-y2cPbobDbMjr09BbtdKROZWc/edit#gid=1444865654"",""articles_with_PRISMA_reasons!B2:B2113"")),F429
=""Include"",FILTER(IMPORTRANGE("&amp;"""https://docs.google.com/spreadsheets/d/1kGrh75X1cNR1D7_FcY9zMnHP8iPO4M5RCRjy6nZY0TY/edit#gid=0"",""Table 1: Study characteristics!A4:A171""), $A429=IMPORTRANGE(""https://docs.google.com/spreadsheets/d/1kGrh75X1cNR1D7_FcY9zMnHP8iPO4M5RCRjy6nZY0TY/edit#gi"&amp;"d=0"",""Table 1: Study characteristics!B4:B171""))
)"),"wrong study design")</f>
        <v>wrong study design</v>
      </c>
    </row>
    <row r="430">
      <c r="A430" s="4" t="str">
        <f>IFERROR(__xludf.DUMMYFUNCTION("""COMPUTED_VALUE"""),"CHILD syndrome")</f>
        <v>CHILD syndrome</v>
      </c>
      <c r="B430" s="5" t="str">
        <f>IFERROR(__xludf.DUMMYFUNCTION("LEFT(FILTER(IMPORTRANGE(""https://docs.google.com/spreadsheets/d/1BJSV3WBYJGRhQ6zExamkszQ5VutGIcaQqmbD9ZTVXMQ/edit#gid=1251630045"",""articles_with_PRISMA_reasons!K2:K2113""), $A430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$A430=IMPORTRANGE(""https://docs.google.com/spreadsheets/d/1BJSV3WBYJGRhQ6zExamkszQ5VutGIcaQqmbD9ZTVXMQ/edit#gid=1251630045"",""articles_with_PRISMA_reasons!B2:B2113"")))-1)"),"Buheitel")</f>
        <v>Buheitel</v>
      </c>
      <c r="C430" s="6">
        <f>IFERROR(__xludf.DUMMYFUNCTION("FILTER(IMPORTRANGE(""https://docs.google.com/spreadsheets/d/1BJSV3WBYJGRhQ6zExamkszQ5VutGIcaQqmbD9ZTVXMQ/edit#gid=1251630045"",""articles_with_PRISMA_reasons!C2:C2113""), $A430=IMPORTRANGE(""https://docs.google.com/spreadsheets/d/1BJSV3WBYJGRhQ6zExamkszQ5"&amp;"VutGIcaQqmbD9ZTVXMQ/edit#gid=1251630045"",""articles_with_PRISMA_reasons!B2:B2113""))"),1995.0)</f>
        <v>1995</v>
      </c>
      <c r="D430" s="5" t="str">
        <f>IFERROR(__xludf.DUMMYFUNCTION("IFS(AND(
FILTER(IMPORTRANGE(""https://docs.google.com/spreadsheets/d/1BJSV3WBYJGRhQ6zExamkszQ5VutGIcaQqmbD9ZTVXMQ/edit#gid=1251630045"",""articles_with_PRISMA_reasons!Y2:Y2113""), $A430=IMPORTRANGE(""https://docs.google.com/spreadsheets/d/1BJSV3WBYJGRhQ6z"&amp;"ExamkszQ5VutGIcaQqmbD9ZTVXMQ/edit#gid=1251630045"",""articles_with_PRISMA_reasons!B2:B2113""))&gt;=2,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$A430=IMPORTRANGE(""https://docs.google.com/spreadsheets/d/1BJSV3WBYJGRhQ6zExamkszQ5VutGIcaQqmbD9ZTVXMQ/edit#gid=1251630045"",""articles_with_PRISMA_reasons!B2:B2113""))&lt;2),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$A430=IMPORTRANGE(""https://docs.google.com/spreadsheets/d/1BJSV3WBYJGRhQ6zExamkszQ5VutGIcaQqmbD9ZTVXMQ/edit#gid=1251630045"",""arti"&amp;"cles_with_PRISMA_reasons!B2:B2113""))&lt;2,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$A430=IMPORTRANGE(""https://docs.google.com"&amp;"/spreadsheets/d/1BJSV3WBYJGRhQ6zExamkszQ5VutGIcaQqmbD9ZTVXMQ/edit#gid=1251630045"",""articles_with_PRISMA_reasons!B2:B2113""))&gt;=2),
""Exclude""
)"),"Exclude")</f>
        <v>Exclude</v>
      </c>
      <c r="E430" s="5" t="str">
        <f>IFERROR(__xludf.DUMMYFUNCTION("IFS(
D430=""Exclude"",""Exclude"",
AND(
FILTER(IMPORTRANGE(""https://docs.google.com/spreadsheets/d/1qpEmbGH0JjaJbUdp21-y2cPbobDbMjr09BbtdKROZWc/edit#gid=1444865654"",""articles_with_PRISMA_reasons!W2:W2113""), $A430=IMPORTRANGE(""https://docs.google.com/"&amp;"spreadsheets/d/1qpEmbGH0JjaJbUdp21-y2cPbobDbMjr09BbtdKROZWc/edit#gid=1444865654"",""articles_with_PRISMA_reasons!B2:B2113""))&gt;=2,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$A430=IMPORTRANGE(""https://docs.google.com/spreadsheets/d/1qpEmbGH0JjaJbUdp21-y2cPbobDbMjr09BbtdKROZWc/edit#gid=1444865654"",""articles_with_PRISMA_reasons!B2:B2113""))&lt;2),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$A430=IMPORTRANGE(""https://docs.google.com/spreadsheets/d/1qpEmbGH0JjaJbUdp21-y2cPbobDbMjr09BbtdKRO"&amp;"ZWc/edit#gid=1444865654"",""articles_with_PRISMA_reasons!B2:B2113""))&lt;2,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$A430=IMPOR"&amp;"TRANGE(""https://docs.google.com/spreadsheets/d/1qpEmbGH0JjaJbUdp21-y2cPbobDbMjr09BbtdKROZWc/edit#gid=1444865654"",""articles_with_PRISMA_reasons!B2:B2113""))&gt;=2),
""Exclude""
)"),"Exclude")</f>
        <v>Exclude</v>
      </c>
      <c r="F430" s="5" t="str">
        <f>IFERROR(__xludf.DUMMYFUNCTION("IFS(
E430=""Exclude"",""Exclude"",
AND(
COUNTIF(
IMPORTRANGE(""https://docs.google.com/spreadsheets/d/1kGrh75X1cNR1D7_FcY9zMnHP8iPO4M5RCRjy6nZY0TY/edit#gid=0"",""Table 1: Study characteristics!B4:B171""),A430)&gt;0,
COUNTIF(Studies!$A$2:$A$85,FILTER(IMPORTRA"&amp;"NGE(""https://docs.google.com/spreadsheets/d/1kGrh75X1cNR1D7_FcY9zMnHP8iPO4M5RCRjy6nZY0TY/edit#gid=0"",""Table 1: Study characteristics!A4:A171""), $A430=IMPORTRANGE(""https://docs.google.com/spreadsheets/d/1kGrh75X1cNR1D7_FcY9zMnHP8iPO4M5RCRjy6nZY0TY/edi"&amp;"t#gid=0"",""Table 1: Study characteristics!B4:B171"")))&gt;0
),
""Include""
)"),"Exclude")</f>
        <v>Exclude</v>
      </c>
      <c r="G430" s="5" t="str">
        <f>IFERROR(__xludf.DUMMYFUNCTION("IFS(
D430=""Exclude"",
FILTER(IMPORTRANGE(""https://docs.google.com/spreadsheets/d/1BJSV3WBYJGRhQ6zExamkszQ5VutGIcaQqmbD9ZTVXMQ/edit#gid=1251630045"",""articles_with_PRISMA_reasons!AB2:AB2113""), $A430=IMPORTRANGE(""https://docs.google.com/spreadsheets/d/"&amp;"1BJSV3WBYJGRhQ6zExamkszQ5VutGIcaQqmbD9ZTVXMQ/edit#gid=1251630045"",""articles_with_PRISMA_reasons!B2:B2113"")),
E430=""Exclude"",
FILTER(IMPORTRANGE(""https://docs.google.com/spreadsheets/d/1qpEmbGH0JjaJbUdp21-y2cPbobDbMjr09BbtdKROZWc/edit#gid=1444865654"&amp;""",""articles_with_PRISMA_reasons!Z2:Z2113""), $A430=IMPORTRANGE(""https://docs.google.com/spreadsheets/d/1qpEmbGH0JjaJbUdp21-y2cPbobDbMjr09BbtdKROZWc/edit#gid=1444865654"",""articles_with_PRISMA_reasons!B2:B2113"")),F430
=""Include"",FILTER(IMPORTRANGE("&amp;"""https://docs.google.com/spreadsheets/d/1kGrh75X1cNR1D7_FcY9zMnHP8iPO4M5RCRjy6nZY0TY/edit#gid=0"",""Table 1: Study characteristics!A4:A171""), $A430=IMPORTRANGE(""https://docs.google.com/spreadsheets/d/1kGrh75X1cNR1D7_FcY9zMnHP8iPO4M5RCRjy6nZY0TY/edit#gi"&amp;"d=0"",""Table 1: Study characteristics!B4:B171""))
)"),"wrong study design")</f>
        <v>wrong study design</v>
      </c>
    </row>
    <row r="431">
      <c r="A431" s="4" t="str">
        <f>IFERROR(__xludf.DUMMYFUNCTION("""COMPUTED_VALUE"""),"Children with Spina Bifida: Key Clinical Issues")</f>
        <v>Children with Spina Bifida: Key Clinical Issues</v>
      </c>
      <c r="B431" s="5" t="str">
        <f>IFERROR(__xludf.DUMMYFUNCTION("LEFT(FILTER(IMPORTRANGE(""https://docs.google.com/spreadsheets/d/1BJSV3WBYJGRhQ6zExamkszQ5VutGIcaQqmbD9ZTVXMQ/edit#gid=1251630045"",""articles_with_PRISMA_reasons!K2:K2113""), $A431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$A431=IMPORTRANGE(""https://docs.google.com/spreadsheets/d/1BJSV3WBYJGRhQ6zExamkszQ5VutGIcaQqmbD9ZTVXMQ/edit#gid=1251630045"",""articles_with_PRISMA_reasons!B2:B2113"")))-1)"),"S and ler")</f>
        <v>S and ler</v>
      </c>
      <c r="C431" s="6">
        <f>IFERROR(__xludf.DUMMYFUNCTION("FILTER(IMPORTRANGE(""https://docs.google.com/spreadsheets/d/1BJSV3WBYJGRhQ6zExamkszQ5VutGIcaQqmbD9ZTVXMQ/edit#gid=1251630045"",""articles_with_PRISMA_reasons!C2:C2113""), $A431=IMPORTRANGE(""https://docs.google.com/spreadsheets/d/1BJSV3WBYJGRhQ6zExamkszQ5"&amp;"VutGIcaQqmbD9ZTVXMQ/edit#gid=1251630045"",""articles_with_PRISMA_reasons!B2:B2113""))"),2010.0)</f>
        <v>2010</v>
      </c>
      <c r="D431" s="5" t="str">
        <f>IFERROR(__xludf.DUMMYFUNCTION("IFS(AND(
FILTER(IMPORTRANGE(""https://docs.google.com/spreadsheets/d/1BJSV3WBYJGRhQ6zExamkszQ5VutGIcaQqmbD9ZTVXMQ/edit#gid=1251630045"",""articles_with_PRISMA_reasons!Y2:Y2113""), $A431=IMPORTRANGE(""https://docs.google.com/spreadsheets/d/1BJSV3WBYJGRhQ6z"&amp;"ExamkszQ5VutGIcaQqmbD9ZTVXMQ/edit#gid=1251630045"",""articles_with_PRISMA_reasons!B2:B2113""))&gt;=2,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$A431=IMPORTRANGE(""https://docs.google.com/spreadsheets/d/1BJSV3WBYJGRhQ6zExamkszQ5VutGIcaQqmbD9ZTVXMQ/edit#gid=1251630045"",""articles_with_PRISMA_reasons!B2:B2113""))&lt;2),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$A431=IMPORTRANGE(""https://docs.google.com/spreadsheets/d/1BJSV3WBYJGRhQ6zExamkszQ5VutGIcaQqmbD9ZTVXMQ/edit#gid=1251630045"",""arti"&amp;"cles_with_PRISMA_reasons!B2:B2113""))&lt;2,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$A431=IMPORTRANGE(""https://docs.google.com"&amp;"/spreadsheets/d/1BJSV3WBYJGRhQ6zExamkszQ5VutGIcaQqmbD9ZTVXMQ/edit#gid=1251630045"",""articles_with_PRISMA_reasons!B2:B2113""))&gt;=2),
""Exclude""
)"),"Exclude")</f>
        <v>Exclude</v>
      </c>
      <c r="E431" s="5" t="str">
        <f>IFERROR(__xludf.DUMMYFUNCTION("IFS(
D431=""Exclude"",""Exclude"",
AND(
FILTER(IMPORTRANGE(""https://docs.google.com/spreadsheets/d/1qpEmbGH0JjaJbUdp21-y2cPbobDbMjr09BbtdKROZWc/edit#gid=1444865654"",""articles_with_PRISMA_reasons!W2:W2113""), $A431=IMPORTRANGE(""https://docs.google.com/"&amp;"spreadsheets/d/1qpEmbGH0JjaJbUdp21-y2cPbobDbMjr09BbtdKROZWc/edit#gid=1444865654"",""articles_with_PRISMA_reasons!B2:B2113""))&gt;=2,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$A431=IMPORTRANGE(""https://docs.google.com/spreadsheets/d/1qpEmbGH0JjaJbUdp21-y2cPbobDbMjr09BbtdKROZWc/edit#gid=1444865654"",""articles_with_PRISMA_reasons!B2:B2113""))&lt;2),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$A431=IMPORTRANGE(""https://docs.google.com/spreadsheets/d/1qpEmbGH0JjaJbUdp21-y2cPbobDbMjr09BbtdKRO"&amp;"ZWc/edit#gid=1444865654"",""articles_with_PRISMA_reasons!B2:B2113""))&lt;2,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$A431=IMPOR"&amp;"TRANGE(""https://docs.google.com/spreadsheets/d/1qpEmbGH0JjaJbUdp21-y2cPbobDbMjr09BbtdKROZWc/edit#gid=1444865654"",""articles_with_PRISMA_reasons!B2:B2113""))&gt;=2),
""Exclude""
)"),"Exclude")</f>
        <v>Exclude</v>
      </c>
      <c r="F431" s="5" t="str">
        <f>IFERROR(__xludf.DUMMYFUNCTION("IFS(
E431=""Exclude"",""Exclude"",
AND(
COUNTIF(
IMPORTRANGE(""https://docs.google.com/spreadsheets/d/1kGrh75X1cNR1D7_FcY9zMnHP8iPO4M5RCRjy6nZY0TY/edit#gid=0"",""Table 1: Study characteristics!B4:B171""),A431)&gt;0,
COUNTIF(Studies!$A$2:$A$85,FILTER(IMPORTRA"&amp;"NGE(""https://docs.google.com/spreadsheets/d/1kGrh75X1cNR1D7_FcY9zMnHP8iPO4M5RCRjy6nZY0TY/edit#gid=0"",""Table 1: Study characteristics!A4:A171""), $A431=IMPORTRANGE(""https://docs.google.com/spreadsheets/d/1kGrh75X1cNR1D7_FcY9zMnHP8iPO4M5RCRjy6nZY0TY/edi"&amp;"t#gid=0"",""Table 1: Study characteristics!B4:B171"")))&gt;0
),
""Include""
)"),"Exclude")</f>
        <v>Exclude</v>
      </c>
      <c r="G431" s="5" t="str">
        <f>IFERROR(__xludf.DUMMYFUNCTION("IFS(
D431=""Exclude"",
FILTER(IMPORTRANGE(""https://docs.google.com/spreadsheets/d/1BJSV3WBYJGRhQ6zExamkszQ5VutGIcaQqmbD9ZTVXMQ/edit#gid=1251630045"",""articles_with_PRISMA_reasons!AB2:AB2113""), $A431=IMPORTRANGE(""https://docs.google.com/spreadsheets/d/"&amp;"1BJSV3WBYJGRhQ6zExamkszQ5VutGIcaQqmbD9ZTVXMQ/edit#gid=1251630045"",""articles_with_PRISMA_reasons!B2:B2113"")),
E431=""Exclude"",
FILTER(IMPORTRANGE(""https://docs.google.com/spreadsheets/d/1qpEmbGH0JjaJbUdp21-y2cPbobDbMjr09BbtdKROZWc/edit#gid=1444865654"&amp;""",""articles_with_PRISMA_reasons!Z2:Z2113""), $A431=IMPORTRANGE(""https://docs.google.com/spreadsheets/d/1qpEmbGH0JjaJbUdp21-y2cPbobDbMjr09BbtdKROZWc/edit#gid=1444865654"",""articles_with_PRISMA_reasons!B2:B2113"")),F431
=""Include"",FILTER(IMPORTRANGE("&amp;"""https://docs.google.com/spreadsheets/d/1kGrh75X1cNR1D7_FcY9zMnHP8iPO4M5RCRjy6nZY0TY/edit#gid=0"",""Table 1: Study characteristics!A4:A171""), $A431=IMPORTRANGE(""https://docs.google.com/spreadsheets/d/1kGrh75X1cNR1D7_FcY9zMnHP8iPO4M5RCRjy6nZY0TY/edit#gi"&amp;"d=0"",""Table 1: Study characteristics!B4:B171""))
)"),"wrong population")</f>
        <v>wrong population</v>
      </c>
    </row>
    <row r="432">
      <c r="A432" s="4" t="str">
        <f>IFERROR(__xludf.DUMMYFUNCTION("""COMPUTED_VALUE"""),"Children with spinal dysraphism: Transversus abdominis plane (TAP) catheters to the rescue")</f>
        <v>Children with spinal dysraphism: Transversus abdominis plane (TAP) catheters to the rescue</v>
      </c>
      <c r="B432" s="5" t="str">
        <f>IFERROR(__xludf.DUMMYFUNCTION("LEFT(FILTER(IMPORTRANGE(""https://docs.google.com/spreadsheets/d/1BJSV3WBYJGRhQ6zExamkszQ5VutGIcaQqmbD9ZTVXMQ/edit#gid=1251630045"",""articles_with_PRISMA_reasons!K2:K2113""), $A432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$A432=IMPORTRANGE(""https://docs.google.com/spreadsheets/d/1BJSV3WBYJGRhQ6zExamkszQ5VutGIcaQqmbD9ZTVXMQ/edit#gid=1251630045"",""articles_with_PRISMA_reasons!B2:B2113"")))-1)"),"Taylor")</f>
        <v>Taylor</v>
      </c>
      <c r="C432" s="6">
        <f>IFERROR(__xludf.DUMMYFUNCTION("FILTER(IMPORTRANGE(""https://docs.google.com/spreadsheets/d/1BJSV3WBYJGRhQ6zExamkszQ5VutGIcaQqmbD9ZTVXMQ/edit#gid=1251630045"",""articles_with_PRISMA_reasons!C2:C2113""), $A432=IMPORTRANGE(""https://docs.google.com/spreadsheets/d/1BJSV3WBYJGRhQ6zExamkszQ5"&amp;"VutGIcaQqmbD9ZTVXMQ/edit#gid=1251630045"",""articles_with_PRISMA_reasons!B2:B2113""))"),2010.0)</f>
        <v>2010</v>
      </c>
      <c r="D432" s="5" t="str">
        <f>IFERROR(__xludf.DUMMYFUNCTION("IFS(AND(
FILTER(IMPORTRANGE(""https://docs.google.com/spreadsheets/d/1BJSV3WBYJGRhQ6zExamkszQ5VutGIcaQqmbD9ZTVXMQ/edit#gid=1251630045"",""articles_with_PRISMA_reasons!Y2:Y2113""), $A432=IMPORTRANGE(""https://docs.google.com/spreadsheets/d/1BJSV3WBYJGRhQ6z"&amp;"ExamkszQ5VutGIcaQqmbD9ZTVXMQ/edit#gid=1251630045"",""articles_with_PRISMA_reasons!B2:B2113""))&gt;=2,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$A432=IMPORTRANGE(""https://docs.google.com/spreadsheets/d/1BJSV3WBYJGRhQ6zExamkszQ5VutGIcaQqmbD9ZTVXMQ/edit#gid=1251630045"",""articles_with_PRISMA_reasons!B2:B2113""))&lt;2),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$A432=IMPORTRANGE(""https://docs.google.com/spreadsheets/d/1BJSV3WBYJGRhQ6zExamkszQ5VutGIcaQqmbD9ZTVXMQ/edit#gid=1251630045"",""arti"&amp;"cles_with_PRISMA_reasons!B2:B2113""))&lt;2,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$A432=IMPORTRANGE(""https://docs.google.com"&amp;"/spreadsheets/d/1BJSV3WBYJGRhQ6zExamkszQ5VutGIcaQqmbD9ZTVXMQ/edit#gid=1251630045"",""articles_with_PRISMA_reasons!B2:B2113""))&gt;=2),
""Exclude""
)"),"Exclude")</f>
        <v>Exclude</v>
      </c>
      <c r="E432" s="5" t="str">
        <f>IFERROR(__xludf.DUMMYFUNCTION("IFS(
D432=""Exclude"",""Exclude"",
AND(
FILTER(IMPORTRANGE(""https://docs.google.com/spreadsheets/d/1qpEmbGH0JjaJbUdp21-y2cPbobDbMjr09BbtdKROZWc/edit#gid=1444865654"",""articles_with_PRISMA_reasons!W2:W2113""), $A432=IMPORTRANGE(""https://docs.google.com/"&amp;"spreadsheets/d/1qpEmbGH0JjaJbUdp21-y2cPbobDbMjr09BbtdKROZWc/edit#gid=1444865654"",""articles_with_PRISMA_reasons!B2:B2113""))&gt;=2,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$A432=IMPORTRANGE(""https://docs.google.com/spreadsheets/d/1qpEmbGH0JjaJbUdp21-y2cPbobDbMjr09BbtdKROZWc/edit#gid=1444865654"",""articles_with_PRISMA_reasons!B2:B2113""))&lt;2),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$A432=IMPORTRANGE(""https://docs.google.com/spreadsheets/d/1qpEmbGH0JjaJbUdp21-y2cPbobDbMjr09BbtdKRO"&amp;"ZWc/edit#gid=1444865654"",""articles_with_PRISMA_reasons!B2:B2113""))&lt;2,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$A432=IMPOR"&amp;"TRANGE(""https://docs.google.com/spreadsheets/d/1qpEmbGH0JjaJbUdp21-y2cPbobDbMjr09BbtdKROZWc/edit#gid=1444865654"",""articles_with_PRISMA_reasons!B2:B2113""))&gt;=2),
""Exclude""
)"),"Exclude")</f>
        <v>Exclude</v>
      </c>
      <c r="F432" s="5" t="str">
        <f>IFERROR(__xludf.DUMMYFUNCTION("IFS(
E432=""Exclude"",""Exclude"",
AND(
COUNTIF(
IMPORTRANGE(""https://docs.google.com/spreadsheets/d/1kGrh75X1cNR1D7_FcY9zMnHP8iPO4M5RCRjy6nZY0TY/edit#gid=0"",""Table 1: Study characteristics!B4:B171""),A432)&gt;0,
COUNTIF(Studies!$A$2:$A$85,FILTER(IMPORTRA"&amp;"NGE(""https://docs.google.com/spreadsheets/d/1kGrh75X1cNR1D7_FcY9zMnHP8iPO4M5RCRjy6nZY0TY/edit#gid=0"",""Table 1: Study characteristics!A4:A171""), $A432=IMPORTRANGE(""https://docs.google.com/spreadsheets/d/1kGrh75X1cNR1D7_FcY9zMnHP8iPO4M5RCRjy6nZY0TY/edi"&amp;"t#gid=0"",""Table 1: Study characteristics!B4:B171"")))&gt;0
),
""Include""
)"),"Exclude")</f>
        <v>Exclude</v>
      </c>
      <c r="G432" s="5" t="str">
        <f>IFERROR(__xludf.DUMMYFUNCTION("IFS(
D432=""Exclude"",
FILTER(IMPORTRANGE(""https://docs.google.com/spreadsheets/d/1BJSV3WBYJGRhQ6zExamkszQ5VutGIcaQqmbD9ZTVXMQ/edit#gid=1251630045"",""articles_with_PRISMA_reasons!AB2:AB2113""), $A432=IMPORTRANGE(""https://docs.google.com/spreadsheets/d/"&amp;"1BJSV3WBYJGRhQ6zExamkszQ5VutGIcaQqmbD9ZTVXMQ/edit#gid=1251630045"",""articles_with_PRISMA_reasons!B2:B2113"")),
E432=""Exclude"",
FILTER(IMPORTRANGE(""https://docs.google.com/spreadsheets/d/1qpEmbGH0JjaJbUdp21-y2cPbobDbMjr09BbtdKROZWc/edit#gid=1444865654"&amp;""",""articles_with_PRISMA_reasons!Z2:Z2113""), $A432=IMPORTRANGE(""https://docs.google.com/spreadsheets/d/1qpEmbGH0JjaJbUdp21-y2cPbobDbMjr09BbtdKROZWc/edit#gid=1444865654"",""articles_with_PRISMA_reasons!B2:B2113"")),F432
=""Include"",FILTER(IMPORTRANGE("&amp;"""https://docs.google.com/spreadsheets/d/1kGrh75X1cNR1D7_FcY9zMnHP8iPO4M5RCRjy6nZY0TY/edit#gid=0"",""Table 1: Study characteristics!A4:A171""), $A432=IMPORTRANGE(""https://docs.google.com/spreadsheets/d/1kGrh75X1cNR1D7_FcY9zMnHP8iPO4M5RCRjy6nZY0TY/edit#gi"&amp;"d=0"",""Table 1: Study characteristics!B4:B171""))
)"),"wrong population")</f>
        <v>wrong population</v>
      </c>
    </row>
    <row r="433">
      <c r="A433" s="4" t="str">
        <f>IFERROR(__xludf.DUMMYFUNCTION("""COMPUTED_VALUE"""),"Children with tethered cord syndrome of different etiology benefit from microsurgery-a single institution experience")</f>
        <v>Children with tethered cord syndrome of different etiology benefit from microsurgery-a single institution experience</v>
      </c>
      <c r="B433" s="5" t="str">
        <f>IFERROR(__xludf.DUMMYFUNCTION("LEFT(FILTER(IMPORTRANGE(""https://docs.google.com/spreadsheets/d/1BJSV3WBYJGRhQ6zExamkszQ5VutGIcaQqmbD9ZTVXMQ/edit#gid=1251630045"",""articles_with_PRISMA_reasons!K2:K2113""), $A433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$A433=IMPORTRANGE(""https://docs.google.com/spreadsheets/d/1BJSV3WBYJGRhQ6zExamkszQ5VutGIcaQqmbD9ZTVXMQ/edit#gid=1251630045"",""articles_with_PRISMA_reasons!B2:B2113"")))-1)"),"Kunz")</f>
        <v>Kunz</v>
      </c>
      <c r="C433" s="6">
        <f>IFERROR(__xludf.DUMMYFUNCTION("FILTER(IMPORTRANGE(""https://docs.google.com/spreadsheets/d/1BJSV3WBYJGRhQ6zExamkszQ5VutGIcaQqmbD9ZTVXMQ/edit#gid=1251630045"",""articles_with_PRISMA_reasons!C2:C2113""), $A433=IMPORTRANGE(""https://docs.google.com/spreadsheets/d/1BJSV3WBYJGRhQ6zExamkszQ5"&amp;"VutGIcaQqmbD9ZTVXMQ/edit#gid=1251630045"",""articles_with_PRISMA_reasons!B2:B2113""))"),2011.0)</f>
        <v>2011</v>
      </c>
      <c r="D433" s="5" t="str">
        <f>IFERROR(__xludf.DUMMYFUNCTION("IFS(AND(
FILTER(IMPORTRANGE(""https://docs.google.com/spreadsheets/d/1BJSV3WBYJGRhQ6zExamkszQ5VutGIcaQqmbD9ZTVXMQ/edit#gid=1251630045"",""articles_with_PRISMA_reasons!Y2:Y2113""), $A433=IMPORTRANGE(""https://docs.google.com/spreadsheets/d/1BJSV3WBYJGRhQ6z"&amp;"ExamkszQ5VutGIcaQqmbD9ZTVXMQ/edit#gid=1251630045"",""articles_with_PRISMA_reasons!B2:B2113""))&gt;=2,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$A433=IMPORTRANGE(""https://docs.google.com/spreadsheets/d/1BJSV3WBYJGRhQ6zExamkszQ5VutGIcaQqmbD9ZTVXMQ/edit#gid=1251630045"",""articles_with_PRISMA_reasons!B2:B2113""))&lt;2),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$A433=IMPORTRANGE(""https://docs.google.com/spreadsheets/d/1BJSV3WBYJGRhQ6zExamkszQ5VutGIcaQqmbD9ZTVXMQ/edit#gid=1251630045"",""arti"&amp;"cles_with_PRISMA_reasons!B2:B2113""))&lt;2,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$A433=IMPORTRANGE(""https://docs.google.com"&amp;"/spreadsheets/d/1BJSV3WBYJGRhQ6zExamkszQ5VutGIcaQqmbD9ZTVXMQ/edit#gid=1251630045"",""articles_with_PRISMA_reasons!B2:B2113""))&gt;=2),
""Exclude""
)"),"Exclude")</f>
        <v>Exclude</v>
      </c>
      <c r="E433" s="5" t="str">
        <f>IFERROR(__xludf.DUMMYFUNCTION("IFS(
D433=""Exclude"",""Exclude"",
AND(
FILTER(IMPORTRANGE(""https://docs.google.com/spreadsheets/d/1qpEmbGH0JjaJbUdp21-y2cPbobDbMjr09BbtdKROZWc/edit#gid=1444865654"",""articles_with_PRISMA_reasons!W2:W2113""), $A433=IMPORTRANGE(""https://docs.google.com/"&amp;"spreadsheets/d/1qpEmbGH0JjaJbUdp21-y2cPbobDbMjr09BbtdKROZWc/edit#gid=1444865654"",""articles_with_PRISMA_reasons!B2:B2113""))&gt;=2,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$A433=IMPORTRANGE(""https://docs.google.com/spreadsheets/d/1qpEmbGH0JjaJbUdp21-y2cPbobDbMjr09BbtdKROZWc/edit#gid=1444865654"",""articles_with_PRISMA_reasons!B2:B2113""))&lt;2),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$A433=IMPORTRANGE(""https://docs.google.com/spreadsheets/d/1qpEmbGH0JjaJbUdp21-y2cPbobDbMjr09BbtdKRO"&amp;"ZWc/edit#gid=1444865654"",""articles_with_PRISMA_reasons!B2:B2113""))&lt;2,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$A433=IMPOR"&amp;"TRANGE(""https://docs.google.com/spreadsheets/d/1qpEmbGH0JjaJbUdp21-y2cPbobDbMjr09BbtdKROZWc/edit#gid=1444865654"",""articles_with_PRISMA_reasons!B2:B2113""))&gt;=2),
""Exclude""
)"),"Exclude")</f>
        <v>Exclude</v>
      </c>
      <c r="F433" s="5" t="str">
        <f>IFERROR(__xludf.DUMMYFUNCTION("IFS(
E433=""Exclude"",""Exclude"",
AND(
COUNTIF(
IMPORTRANGE(""https://docs.google.com/spreadsheets/d/1kGrh75X1cNR1D7_FcY9zMnHP8iPO4M5RCRjy6nZY0TY/edit#gid=0"",""Table 1: Study characteristics!B4:B171""),A433)&gt;0,
COUNTIF(Studies!$A$2:$A$85,FILTER(IMPORTRA"&amp;"NGE(""https://docs.google.com/spreadsheets/d/1kGrh75X1cNR1D7_FcY9zMnHP8iPO4M5RCRjy6nZY0TY/edit#gid=0"",""Table 1: Study characteristics!A4:A171""), $A433=IMPORTRANGE(""https://docs.google.com/spreadsheets/d/1kGrh75X1cNR1D7_FcY9zMnHP8iPO4M5RCRjy6nZY0TY/edi"&amp;"t#gid=0"",""Table 1: Study characteristics!B4:B171"")))&gt;0
),
""Include""
)"),"Exclude")</f>
        <v>Exclude</v>
      </c>
      <c r="G433" s="5" t="str">
        <f>IFERROR(__xludf.DUMMYFUNCTION("IFS(
D433=""Exclude"",
FILTER(IMPORTRANGE(""https://docs.google.com/spreadsheets/d/1BJSV3WBYJGRhQ6zExamkszQ5VutGIcaQqmbD9ZTVXMQ/edit#gid=1251630045"",""articles_with_PRISMA_reasons!AB2:AB2113""), $A433=IMPORTRANGE(""https://docs.google.com/spreadsheets/d/"&amp;"1BJSV3WBYJGRhQ6zExamkszQ5VutGIcaQqmbD9ZTVXMQ/edit#gid=1251630045"",""articles_with_PRISMA_reasons!B2:B2113"")),
E433=""Exclude"",
FILTER(IMPORTRANGE(""https://docs.google.com/spreadsheets/d/1qpEmbGH0JjaJbUdp21-y2cPbobDbMjr09BbtdKROZWc/edit#gid=1444865654"&amp;""",""articles_with_PRISMA_reasons!Z2:Z2113""), $A433=IMPORTRANGE(""https://docs.google.com/spreadsheets/d/1qpEmbGH0JjaJbUdp21-y2cPbobDbMjr09BbtdKROZWc/edit#gid=1444865654"",""articles_with_PRISMA_reasons!B2:B2113"")),F433
=""Include"",FILTER(IMPORTRANGE("&amp;"""https://docs.google.com/spreadsheets/d/1kGrh75X1cNR1D7_FcY9zMnHP8iPO4M5RCRjy6nZY0TY/edit#gid=0"",""Table 1: Study characteristics!A4:A171""), $A433=IMPORTRANGE(""https://docs.google.com/spreadsheets/d/1kGrh75X1cNR1D7_FcY9zMnHP8iPO4M5RCRjy6nZY0TY/edit#gi"&amp;"d=0"",""Table 1: Study characteristics!B4:B171""))
)"),"wrong population")</f>
        <v>wrong population</v>
      </c>
    </row>
    <row r="434">
      <c r="A434" s="4" t="str">
        <f>IFERROR(__xludf.DUMMYFUNCTION("""COMPUTED_VALUE"""),"Chronology of neurological manifestations of prenatally diagnosed open neural tube defects")</f>
        <v>Chronology of neurological manifestations of prenatally diagnosed open neural tube defects</v>
      </c>
      <c r="B434" s="5" t="str">
        <f>IFERROR(__xludf.DUMMYFUNCTION("LEFT(FILTER(IMPORTRANGE(""https://docs.google.com/spreadsheets/d/1BJSV3WBYJGRhQ6zExamkszQ5VutGIcaQqmbD9ZTVXMQ/edit#gid=1251630045"",""articles_with_PRISMA_reasons!K2:K2113""), $A434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$A434=IMPORTRANGE(""https://docs.google.com/spreadsheets/d/1BJSV3WBYJGRhQ6zExamkszQ5VutGIcaQqmbD9ZTVXMQ/edit#gid=1251630045"",""articles_with_PRISMA_reasons!B2:B2113"")))-1)"),"Ramin")</f>
        <v>Ramin</v>
      </c>
      <c r="C434" s="6">
        <f>IFERROR(__xludf.DUMMYFUNCTION("FILTER(IMPORTRANGE(""https://docs.google.com/spreadsheets/d/1BJSV3WBYJGRhQ6zExamkszQ5VutGIcaQqmbD9ZTVXMQ/edit#gid=1251630045"",""articles_with_PRISMA_reasons!C2:C2113""), $A434=IMPORTRANGE(""https://docs.google.com/spreadsheets/d/1BJSV3WBYJGRhQ6zExamkszQ5"&amp;"VutGIcaQqmbD9ZTVXMQ/edit#gid=1251630045"",""articles_with_PRISMA_reasons!B2:B2113""))"),2002.0)</f>
        <v>2002</v>
      </c>
      <c r="D434" s="5" t="str">
        <f>IFERROR(__xludf.DUMMYFUNCTION("IFS(AND(
FILTER(IMPORTRANGE(""https://docs.google.com/spreadsheets/d/1BJSV3WBYJGRhQ6zExamkszQ5VutGIcaQqmbD9ZTVXMQ/edit#gid=1251630045"",""articles_with_PRISMA_reasons!Y2:Y2113""), $A434=IMPORTRANGE(""https://docs.google.com/spreadsheets/d/1BJSV3WBYJGRhQ6z"&amp;"ExamkszQ5VutGIcaQqmbD9ZTVXMQ/edit#gid=1251630045"",""articles_with_PRISMA_reasons!B2:B2113""))&gt;=2,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$A434=IMPORTRANGE(""https://docs.google.com/spreadsheets/d/1BJSV3WBYJGRhQ6zExamkszQ5VutGIcaQqmbD9ZTVXMQ/edit#gid=1251630045"",""articles_with_PRISMA_reasons!B2:B2113""))&lt;2),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$A434=IMPORTRANGE(""https://docs.google.com/spreadsheets/d/1BJSV3WBYJGRhQ6zExamkszQ5VutGIcaQqmbD9ZTVXMQ/edit#gid=1251630045"",""arti"&amp;"cles_with_PRISMA_reasons!B2:B2113""))&lt;2,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$A434=IMPORTRANGE(""https://docs.google.com"&amp;"/spreadsheets/d/1BJSV3WBYJGRhQ6zExamkszQ5VutGIcaQqmbD9ZTVXMQ/edit#gid=1251630045"",""articles_with_PRISMA_reasons!B2:B2113""))&gt;=2),
""Exclude""
)"),"Exclude")</f>
        <v>Exclude</v>
      </c>
      <c r="E434" s="5" t="str">
        <f>IFERROR(__xludf.DUMMYFUNCTION("IFS(
D434=""Exclude"",""Exclude"",
AND(
FILTER(IMPORTRANGE(""https://docs.google.com/spreadsheets/d/1qpEmbGH0JjaJbUdp21-y2cPbobDbMjr09BbtdKROZWc/edit#gid=1444865654"",""articles_with_PRISMA_reasons!W2:W2113""), $A434=IMPORTRANGE(""https://docs.google.com/"&amp;"spreadsheets/d/1qpEmbGH0JjaJbUdp21-y2cPbobDbMjr09BbtdKROZWc/edit#gid=1444865654"",""articles_with_PRISMA_reasons!B2:B2113""))&gt;=2,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$A434=IMPORTRANGE(""https://docs.google.com/spreadsheets/d/1qpEmbGH0JjaJbUdp21-y2cPbobDbMjr09BbtdKROZWc/edit#gid=1444865654"",""articles_with_PRISMA_reasons!B2:B2113""))&lt;2),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$A434=IMPORTRANGE(""https://docs.google.com/spreadsheets/d/1qpEmbGH0JjaJbUdp21-y2cPbobDbMjr09BbtdKRO"&amp;"ZWc/edit#gid=1444865654"",""articles_with_PRISMA_reasons!B2:B2113""))&lt;2,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$A434=IMPOR"&amp;"TRANGE(""https://docs.google.com/spreadsheets/d/1qpEmbGH0JjaJbUdp21-y2cPbobDbMjr09BbtdKROZWc/edit#gid=1444865654"",""articles_with_PRISMA_reasons!B2:B2113""))&gt;=2),
""Exclude""
)"),"Exclude")</f>
        <v>Exclude</v>
      </c>
      <c r="F434" s="5" t="str">
        <f>IFERROR(__xludf.DUMMYFUNCTION("IFS(
E434=""Exclude"",""Exclude"",
AND(
COUNTIF(
IMPORTRANGE(""https://docs.google.com/spreadsheets/d/1kGrh75X1cNR1D7_FcY9zMnHP8iPO4M5RCRjy6nZY0TY/edit#gid=0"",""Table 1: Study characteristics!B4:B171""),A434)&gt;0,
COUNTIF(Studies!$A$2:$A$85,FILTER(IMPORTRA"&amp;"NGE(""https://docs.google.com/spreadsheets/d/1kGrh75X1cNR1D7_FcY9zMnHP8iPO4M5RCRjy6nZY0TY/edit#gid=0"",""Table 1: Study characteristics!A4:A171""), $A434=IMPORTRANGE(""https://docs.google.com/spreadsheets/d/1kGrh75X1cNR1D7_FcY9zMnHP8iPO4M5RCRjy6nZY0TY/edi"&amp;"t#gid=0"",""Table 1: Study characteristics!B4:B171"")))&gt;0
),
""Include""
)"),"Exclude")</f>
        <v>Exclude</v>
      </c>
      <c r="G434" s="5" t="str">
        <f>IFERROR(__xludf.DUMMYFUNCTION("IFS(
D434=""Exclude"",
FILTER(IMPORTRANGE(""https://docs.google.com/spreadsheets/d/1BJSV3WBYJGRhQ6zExamkszQ5VutGIcaQqmbD9ZTVXMQ/edit#gid=1251630045"",""articles_with_PRISMA_reasons!AB2:AB2113""), $A434=IMPORTRANGE(""https://docs.google.com/spreadsheets/d/"&amp;"1BJSV3WBYJGRhQ6zExamkszQ5VutGIcaQqmbD9ZTVXMQ/edit#gid=1251630045"",""articles_with_PRISMA_reasons!B2:B2113"")),
E434=""Exclude"",
FILTER(IMPORTRANGE(""https://docs.google.com/spreadsheets/d/1qpEmbGH0JjaJbUdp21-y2cPbobDbMjr09BbtdKROZWc/edit#gid=1444865654"&amp;""",""articles_with_PRISMA_reasons!Z2:Z2113""), $A434=IMPORTRANGE(""https://docs.google.com/spreadsheets/d/1qpEmbGH0JjaJbUdp21-y2cPbobDbMjr09BbtdKROZWc/edit#gid=1444865654"",""articles_with_PRISMA_reasons!B2:B2113"")),F434
=""Include"",FILTER(IMPORTRANGE("&amp;"""https://docs.google.com/spreadsheets/d/1kGrh75X1cNR1D7_FcY9zMnHP8iPO4M5RCRjy6nZY0TY/edit#gid=0"",""Table 1: Study characteristics!A4:A171""), $A434=IMPORTRANGE(""https://docs.google.com/spreadsheets/d/1kGrh75X1cNR1D7_FcY9zMnHP8iPO4M5RCRjy6nZY0TY/edit#gi"&amp;"d=0"",""Table 1: Study characteristics!B4:B171""))
)"),"wrong population")</f>
        <v>wrong population</v>
      </c>
    </row>
    <row r="435">
      <c r="A435" s="4" t="str">
        <f>IFERROR(__xludf.DUMMYFUNCTION("""COMPUTED_VALUE"""),"Chyloperitoneum following open myelomeningocele repair: dealing with an extremely rare finding")</f>
        <v>Chyloperitoneum following open myelomeningocele repair: dealing with an extremely rare finding</v>
      </c>
      <c r="B435" s="5" t="str">
        <f>IFERROR(__xludf.DUMMYFUNCTION("LEFT(FILTER(IMPORTRANGE(""https://docs.google.com/spreadsheets/d/1BJSV3WBYJGRhQ6zExamkszQ5VutGIcaQqmbD9ZTVXMQ/edit#gid=1251630045"",""articles_with_PRISMA_reasons!K2:K2113""), $A435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$A435=IMPORTRANGE(""https://docs.google.com/spreadsheets/d/1BJSV3WBYJGRhQ6zExamkszQ5VutGIcaQqmbD9ZTVXMQ/edit#gid=1251630045"",""articles_with_PRISMA_reasons!B2:B2113"")))-1)"),"Mavridis")</f>
        <v>Mavridis</v>
      </c>
      <c r="C435" s="6">
        <f>IFERROR(__xludf.DUMMYFUNCTION("FILTER(IMPORTRANGE(""https://docs.google.com/spreadsheets/d/1BJSV3WBYJGRhQ6zExamkszQ5VutGIcaQqmbD9ZTVXMQ/edit#gid=1251630045"",""articles_with_PRISMA_reasons!C2:C2113""), $A435=IMPORTRANGE(""https://docs.google.com/spreadsheets/d/1BJSV3WBYJGRhQ6zExamkszQ5"&amp;"VutGIcaQqmbD9ZTVXMQ/edit#gid=1251630045"",""articles_with_PRISMA_reasons!B2:B2113""))"),2021.0)</f>
        <v>2021</v>
      </c>
      <c r="D435" s="5" t="str">
        <f>IFERROR(__xludf.DUMMYFUNCTION("IFS(AND(
FILTER(IMPORTRANGE(""https://docs.google.com/spreadsheets/d/1BJSV3WBYJGRhQ6zExamkszQ5VutGIcaQqmbD9ZTVXMQ/edit#gid=1251630045"",""articles_with_PRISMA_reasons!Y2:Y2113""), $A435=IMPORTRANGE(""https://docs.google.com/spreadsheets/d/1BJSV3WBYJGRhQ6z"&amp;"ExamkszQ5VutGIcaQqmbD9ZTVXMQ/edit#gid=1251630045"",""articles_with_PRISMA_reasons!B2:B2113""))&gt;=2,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$A435=IMPORTRANGE(""https://docs.google.com/spreadsheets/d/1BJSV3WBYJGRhQ6zExamkszQ5VutGIcaQqmbD9ZTVXMQ/edit#gid=1251630045"",""articles_with_PRISMA_reasons!B2:B2113""))&lt;2),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$A435=IMPORTRANGE(""https://docs.google.com/spreadsheets/d/1BJSV3WBYJGRhQ6zExamkszQ5VutGIcaQqmbD9ZTVXMQ/edit#gid=1251630045"",""arti"&amp;"cles_with_PRISMA_reasons!B2:B2113""))&lt;2,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$A435=IMPORTRANGE(""https://docs.google.com"&amp;"/spreadsheets/d/1BJSV3WBYJGRhQ6zExamkszQ5VutGIcaQqmbD9ZTVXMQ/edit#gid=1251630045"",""articles_with_PRISMA_reasons!B2:B2113""))&gt;=2),
""Exclude""
)"),"Exclude")</f>
        <v>Exclude</v>
      </c>
      <c r="E435" s="5" t="str">
        <f>IFERROR(__xludf.DUMMYFUNCTION("IFS(
D435=""Exclude"",""Exclude"",
AND(
FILTER(IMPORTRANGE(""https://docs.google.com/spreadsheets/d/1qpEmbGH0JjaJbUdp21-y2cPbobDbMjr09BbtdKROZWc/edit#gid=1444865654"",""articles_with_PRISMA_reasons!W2:W2113""), $A435=IMPORTRANGE(""https://docs.google.com/"&amp;"spreadsheets/d/1qpEmbGH0JjaJbUdp21-y2cPbobDbMjr09BbtdKROZWc/edit#gid=1444865654"",""articles_with_PRISMA_reasons!B2:B2113""))&gt;=2,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$A435=IMPORTRANGE(""https://docs.google.com/spreadsheets/d/1qpEmbGH0JjaJbUdp21-y2cPbobDbMjr09BbtdKROZWc/edit#gid=1444865654"",""articles_with_PRISMA_reasons!B2:B2113""))&lt;2),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$A435=IMPORTRANGE(""https://docs.google.com/spreadsheets/d/1qpEmbGH0JjaJbUdp21-y2cPbobDbMjr09BbtdKRO"&amp;"ZWc/edit#gid=1444865654"",""articles_with_PRISMA_reasons!B2:B2113""))&lt;2,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$A435=IMPOR"&amp;"TRANGE(""https://docs.google.com/spreadsheets/d/1qpEmbGH0JjaJbUdp21-y2cPbobDbMjr09BbtdKROZWc/edit#gid=1444865654"",""articles_with_PRISMA_reasons!B2:B2113""))&gt;=2),
""Exclude""
)"),"Exclude")</f>
        <v>Exclude</v>
      </c>
      <c r="F435" s="5" t="str">
        <f>IFERROR(__xludf.DUMMYFUNCTION("IFS(
E435=""Exclude"",""Exclude"",
AND(
COUNTIF(
IMPORTRANGE(""https://docs.google.com/spreadsheets/d/1kGrh75X1cNR1D7_FcY9zMnHP8iPO4M5RCRjy6nZY0TY/edit#gid=0"",""Table 1: Study characteristics!B4:B171""),A435)&gt;0,
COUNTIF(Studies!$A$2:$A$85,FILTER(IMPORTRA"&amp;"NGE(""https://docs.google.com/spreadsheets/d/1kGrh75X1cNR1D7_FcY9zMnHP8iPO4M5RCRjy6nZY0TY/edit#gid=0"",""Table 1: Study characteristics!A4:A171""), $A435=IMPORTRANGE(""https://docs.google.com/spreadsheets/d/1kGrh75X1cNR1D7_FcY9zMnHP8iPO4M5RCRjy6nZY0TY/edi"&amp;"t#gid=0"",""Table 1: Study characteristics!B4:B171"")))&gt;0
),
""Include""
)"),"Exclude")</f>
        <v>Exclude</v>
      </c>
      <c r="G435" s="5" t="str">
        <f>IFERROR(__xludf.DUMMYFUNCTION("IFS(
D435=""Exclude"",
FILTER(IMPORTRANGE(""https://docs.google.com/spreadsheets/d/1BJSV3WBYJGRhQ6zExamkszQ5VutGIcaQqmbD9ZTVXMQ/edit#gid=1251630045"",""articles_with_PRISMA_reasons!AB2:AB2113""), $A435=IMPORTRANGE(""https://docs.google.com/spreadsheets/d/"&amp;"1BJSV3WBYJGRhQ6zExamkszQ5VutGIcaQqmbD9ZTVXMQ/edit#gid=1251630045"",""articles_with_PRISMA_reasons!B2:B2113"")),
E435=""Exclude"",
FILTER(IMPORTRANGE(""https://docs.google.com/spreadsheets/d/1qpEmbGH0JjaJbUdp21-y2cPbobDbMjr09BbtdKROZWc/edit#gid=1444865654"&amp;""",""articles_with_PRISMA_reasons!Z2:Z2113""), $A435=IMPORTRANGE(""https://docs.google.com/spreadsheets/d/1qpEmbGH0JjaJbUdp21-y2cPbobDbMjr09BbtdKROZWc/edit#gid=1444865654"",""articles_with_PRISMA_reasons!B2:B2113"")),F435
=""Include"",FILTER(IMPORTRANGE("&amp;"""https://docs.google.com/spreadsheets/d/1kGrh75X1cNR1D7_FcY9zMnHP8iPO4M5RCRjy6nZY0TY/edit#gid=0"",""Table 1: Study characteristics!A4:A171""), $A435=IMPORTRANGE(""https://docs.google.com/spreadsheets/d/1kGrh75X1cNR1D7_FcY9zMnHP8iPO4M5RCRjy6nZY0TY/edit#gi"&amp;"d=0"",""Table 1: Study characteristics!B4:B171""))
)"),"wrong study design")</f>
        <v>wrong study design</v>
      </c>
    </row>
    <row r="436">
      <c r="A436" s="4" t="str">
        <f>IFERROR(__xludf.DUMMYFUNCTION("""COMPUTED_VALUE"""),"Cirugía fetoscópica en mielomeningocele")</f>
        <v>Cirugía fetoscópica en mielomeningocele</v>
      </c>
      <c r="B436" s="5" t="str">
        <f>IFERROR(__xludf.DUMMYFUNCTION("LEFT(FILTER(IMPORTRANGE(""https://docs.google.com/spreadsheets/d/1BJSV3WBYJGRhQ6zExamkszQ5VutGIcaQqmbD9ZTVXMQ/edit#gid=1251630045"",""articles_with_PRISMA_reasons!K2:K2113""), $A436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$A436=IMPORTRANGE(""https://docs.google.com/spreadsheets/d/1BJSV3WBYJGRhQ6zExamkszQ5VutGIcaQqmbD9ZTVXMQ/edit#gid=1251630045"",""articles_with_PRISMA_reasons!B2:B2113"")))-1)"),"Sepúlveda González")</f>
        <v>Sepúlveda González</v>
      </c>
      <c r="C436" s="6">
        <f>IFERROR(__xludf.DUMMYFUNCTION("FILTER(IMPORTRANGE(""https://docs.google.com/spreadsheets/d/1BJSV3WBYJGRhQ6zExamkszQ5VutGIcaQqmbD9ZTVXMQ/edit#gid=1251630045"",""articles_with_PRISMA_reasons!C2:C2113""), $A436=IMPORTRANGE(""https://docs.google.com/spreadsheets/d/1BJSV3WBYJGRhQ6zExamkszQ5"&amp;"VutGIcaQqmbD9ZTVXMQ/edit#gid=1251630045"",""articles_with_PRISMA_reasons!B2:B2113""))"),2018.0)</f>
        <v>2018</v>
      </c>
      <c r="D436" s="5" t="str">
        <f>IFERROR(__xludf.DUMMYFUNCTION("IFS(AND(
FILTER(IMPORTRANGE(""https://docs.google.com/spreadsheets/d/1BJSV3WBYJGRhQ6zExamkszQ5VutGIcaQqmbD9ZTVXMQ/edit#gid=1251630045"",""articles_with_PRISMA_reasons!Y2:Y2113""), $A436=IMPORTRANGE(""https://docs.google.com/spreadsheets/d/1BJSV3WBYJGRhQ6z"&amp;"ExamkszQ5VutGIcaQqmbD9ZTVXMQ/edit#gid=1251630045"",""articles_with_PRISMA_reasons!B2:B2113""))&gt;=2,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$A436=IMPORTRANGE(""https://docs.google.com/spreadsheets/d/1BJSV3WBYJGRhQ6zExamkszQ5VutGIcaQqmbD9ZTVXMQ/edit#gid=1251630045"",""articles_with_PRISMA_reasons!B2:B2113""))&lt;2),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$A436=IMPORTRANGE(""https://docs.google.com/spreadsheets/d/1BJSV3WBYJGRhQ6zExamkszQ5VutGIcaQqmbD9ZTVXMQ/edit#gid=1251630045"",""arti"&amp;"cles_with_PRISMA_reasons!B2:B2113""))&lt;2,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$A436=IMPORTRANGE(""https://docs.google.com"&amp;"/spreadsheets/d/1BJSV3WBYJGRhQ6zExamkszQ5VutGIcaQqmbD9ZTVXMQ/edit#gid=1251630045"",""articles_with_PRISMA_reasons!B2:B2113""))&gt;=2),
""Exclude""
)"),"Exclude")</f>
        <v>Exclude</v>
      </c>
      <c r="E436" s="5" t="str">
        <f>IFERROR(__xludf.DUMMYFUNCTION("IFS(
D436=""Exclude"",""Exclude"",
AND(
FILTER(IMPORTRANGE(""https://docs.google.com/spreadsheets/d/1qpEmbGH0JjaJbUdp21-y2cPbobDbMjr09BbtdKROZWc/edit#gid=1444865654"",""articles_with_PRISMA_reasons!W2:W2113""), $A436=IMPORTRANGE(""https://docs.google.com/"&amp;"spreadsheets/d/1qpEmbGH0JjaJbUdp21-y2cPbobDbMjr09BbtdKROZWc/edit#gid=1444865654"",""articles_with_PRISMA_reasons!B2:B2113""))&gt;=2,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$A436=IMPORTRANGE(""https://docs.google.com/spreadsheets/d/1qpEmbGH0JjaJbUdp21-y2cPbobDbMjr09BbtdKROZWc/edit#gid=1444865654"",""articles_with_PRISMA_reasons!B2:B2113""))&lt;2),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$A436=IMPORTRANGE(""https://docs.google.com/spreadsheets/d/1qpEmbGH0JjaJbUdp21-y2cPbobDbMjr09BbtdKRO"&amp;"ZWc/edit#gid=1444865654"",""articles_with_PRISMA_reasons!B2:B2113""))&lt;2,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$A436=IMPOR"&amp;"TRANGE(""https://docs.google.com/spreadsheets/d/1qpEmbGH0JjaJbUdp21-y2cPbobDbMjr09BbtdKROZWc/edit#gid=1444865654"",""articles_with_PRISMA_reasons!B2:B2113""))&gt;=2),
""Exclude""
)"),"Exclude")</f>
        <v>Exclude</v>
      </c>
      <c r="F436" s="5" t="str">
        <f>IFERROR(__xludf.DUMMYFUNCTION("IFS(
E436=""Exclude"",""Exclude"",
AND(
COUNTIF(
IMPORTRANGE(""https://docs.google.com/spreadsheets/d/1kGrh75X1cNR1D7_FcY9zMnHP8iPO4M5RCRjy6nZY0TY/edit#gid=0"",""Table 1: Study characteristics!B4:B171""),A436)&gt;0,
COUNTIF(Studies!$A$2:$A$85,FILTER(IMPORTRA"&amp;"NGE(""https://docs.google.com/spreadsheets/d/1kGrh75X1cNR1D7_FcY9zMnHP8iPO4M5RCRjy6nZY0TY/edit#gid=0"",""Table 1: Study characteristics!A4:A171""), $A436=IMPORTRANGE(""https://docs.google.com/spreadsheets/d/1kGrh75X1cNR1D7_FcY9zMnHP8iPO4M5RCRjy6nZY0TY/edi"&amp;"t#gid=0"",""Table 1: Study characteristics!B4:B171"")))&gt;0
),
""Include""
)"),"Exclude")</f>
        <v>Exclude</v>
      </c>
      <c r="G436" s="5" t="str">
        <f>IFERROR(__xludf.DUMMYFUNCTION("IFS(
D436=""Exclude"",
FILTER(IMPORTRANGE(""https://docs.google.com/spreadsheets/d/1BJSV3WBYJGRhQ6zExamkszQ5VutGIcaQqmbD9ZTVXMQ/edit#gid=1251630045"",""articles_with_PRISMA_reasons!AB2:AB2113""), $A436=IMPORTRANGE(""https://docs.google.com/spreadsheets/d/"&amp;"1BJSV3WBYJGRhQ6zExamkszQ5VutGIcaQqmbD9ZTVXMQ/edit#gid=1251630045"",""articles_with_PRISMA_reasons!B2:B2113"")),
E436=""Exclude"",
FILTER(IMPORTRANGE(""https://docs.google.com/spreadsheets/d/1qpEmbGH0JjaJbUdp21-y2cPbobDbMjr09BbtdKROZWc/edit#gid=1444865654"&amp;""",""articles_with_PRISMA_reasons!Z2:Z2113""), $A436=IMPORTRANGE(""https://docs.google.com/spreadsheets/d/1qpEmbGH0JjaJbUdp21-y2cPbobDbMjr09BbtdKROZWc/edit#gid=1444865654"",""articles_with_PRISMA_reasons!B2:B2113"")),F436
=""Include"",FILTER(IMPORTRANGE("&amp;"""https://docs.google.com/spreadsheets/d/1kGrh75X1cNR1D7_FcY9zMnHP8iPO4M5RCRjy6nZY0TY/edit#gid=0"",""Table 1: Study characteristics!A4:A171""), $A436=IMPORTRANGE(""https://docs.google.com/spreadsheets/d/1kGrh75X1cNR1D7_FcY9zMnHP8iPO4M5RCRjy6nZY0TY/edit#gi"&amp;"d=0"",""Table 1: Study characteristics!B4:B171""))
)"),"wrong study design")</f>
        <v>wrong study design</v>
      </c>
    </row>
    <row r="437">
      <c r="A437" s="4" t="str">
        <f>IFERROR(__xludf.DUMMYFUNCTION("""COMPUTED_VALUE"""),"Cisternography and ventriculography gadopentate dimeglumine-enhanced MR imaging in pediatric patients: preliminary report")</f>
        <v>Cisternography and ventriculography gadopentate dimeglumine-enhanced MR imaging in pediatric patients: preliminary report</v>
      </c>
      <c r="B437" s="5" t="str">
        <f>IFERROR(__xludf.DUMMYFUNCTION("LEFT(FILTER(IMPORTRANGE(""https://docs.google.com/spreadsheets/d/1BJSV3WBYJGRhQ6zExamkszQ5VutGIcaQqmbD9ZTVXMQ/edit#gid=1251630045"",""articles_with_PRISMA_reasons!K2:K2113""), $A437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$A437=IMPORTRANGE(""https://docs.google.com/spreadsheets/d/1BJSV3WBYJGRhQ6zExamkszQ5VutGIcaQqmbD9ZTVXMQ/edit#gid=1251630045"",""articles_with_PRISMA_reasons!B2:B2113"")))-1)"),"Munoz")</f>
        <v>Munoz</v>
      </c>
      <c r="C437" s="6">
        <f>IFERROR(__xludf.DUMMYFUNCTION("FILTER(IMPORTRANGE(""https://docs.google.com/spreadsheets/d/1BJSV3WBYJGRhQ6zExamkszQ5VutGIcaQqmbD9ZTVXMQ/edit#gid=1251630045"",""articles_with_PRISMA_reasons!C2:C2113""), $A437=IMPORTRANGE(""https://docs.google.com/spreadsheets/d/1BJSV3WBYJGRhQ6zExamkszQ5"&amp;"VutGIcaQqmbD9ZTVXMQ/edit#gid=1251630045"",""articles_with_PRISMA_reasons!B2:B2113""))"),2007.0)</f>
        <v>2007</v>
      </c>
      <c r="D437" s="5" t="str">
        <f>IFERROR(__xludf.DUMMYFUNCTION("IFS(AND(
FILTER(IMPORTRANGE(""https://docs.google.com/spreadsheets/d/1BJSV3WBYJGRhQ6zExamkszQ5VutGIcaQqmbD9ZTVXMQ/edit#gid=1251630045"",""articles_with_PRISMA_reasons!Y2:Y2113""), $A437=IMPORTRANGE(""https://docs.google.com/spreadsheets/d/1BJSV3WBYJGRhQ6z"&amp;"ExamkszQ5VutGIcaQqmbD9ZTVXMQ/edit#gid=1251630045"",""articles_with_PRISMA_reasons!B2:B2113""))&gt;=2,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$A437=IMPORTRANGE(""https://docs.google.com/spreadsheets/d/1BJSV3WBYJGRhQ6zExamkszQ5VutGIcaQqmbD9ZTVXMQ/edit#gid=1251630045"",""articles_with_PRISMA_reasons!B2:B2113""))&lt;2),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$A437=IMPORTRANGE(""https://docs.google.com/spreadsheets/d/1BJSV3WBYJGRhQ6zExamkszQ5VutGIcaQqmbD9ZTVXMQ/edit#gid=1251630045"",""arti"&amp;"cles_with_PRISMA_reasons!B2:B2113""))&lt;2,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$A437=IMPORTRANGE(""https://docs.google.com"&amp;"/spreadsheets/d/1BJSV3WBYJGRhQ6zExamkszQ5VutGIcaQqmbD9ZTVXMQ/edit#gid=1251630045"",""articles_with_PRISMA_reasons!B2:B2113""))&gt;=2),
""Exclude""
)"),"Exclude")</f>
        <v>Exclude</v>
      </c>
      <c r="E437" s="5" t="str">
        <f>IFERROR(__xludf.DUMMYFUNCTION("IFS(
D437=""Exclude"",""Exclude"",
AND(
FILTER(IMPORTRANGE(""https://docs.google.com/spreadsheets/d/1qpEmbGH0JjaJbUdp21-y2cPbobDbMjr09BbtdKROZWc/edit#gid=1444865654"",""articles_with_PRISMA_reasons!W2:W2113""), $A437=IMPORTRANGE(""https://docs.google.com/"&amp;"spreadsheets/d/1qpEmbGH0JjaJbUdp21-y2cPbobDbMjr09BbtdKROZWc/edit#gid=1444865654"",""articles_with_PRISMA_reasons!B2:B2113""))&gt;=2,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$A437=IMPORTRANGE(""https://docs.google.com/spreadsheets/d/1qpEmbGH0JjaJbUdp21-y2cPbobDbMjr09BbtdKROZWc/edit#gid=1444865654"",""articles_with_PRISMA_reasons!B2:B2113""))&lt;2),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$A437=IMPORTRANGE(""https://docs.google.com/spreadsheets/d/1qpEmbGH0JjaJbUdp21-y2cPbobDbMjr09BbtdKRO"&amp;"ZWc/edit#gid=1444865654"",""articles_with_PRISMA_reasons!B2:B2113""))&lt;2,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$A437=IMPOR"&amp;"TRANGE(""https://docs.google.com/spreadsheets/d/1qpEmbGH0JjaJbUdp21-y2cPbobDbMjr09BbtdKROZWc/edit#gid=1444865654"",""articles_with_PRISMA_reasons!B2:B2113""))&gt;=2),
""Exclude""
)"),"Exclude")</f>
        <v>Exclude</v>
      </c>
      <c r="F437" s="5" t="str">
        <f>IFERROR(__xludf.DUMMYFUNCTION("IFS(
E437=""Exclude"",""Exclude"",
AND(
COUNTIF(
IMPORTRANGE(""https://docs.google.com/spreadsheets/d/1kGrh75X1cNR1D7_FcY9zMnHP8iPO4M5RCRjy6nZY0TY/edit#gid=0"",""Table 1: Study characteristics!B4:B171""),A437)&gt;0,
COUNTIF(Studies!$A$2:$A$85,FILTER(IMPORTRA"&amp;"NGE(""https://docs.google.com/spreadsheets/d/1kGrh75X1cNR1D7_FcY9zMnHP8iPO4M5RCRjy6nZY0TY/edit#gid=0"",""Table 1: Study characteristics!A4:A171""), $A437=IMPORTRANGE(""https://docs.google.com/spreadsheets/d/1kGrh75X1cNR1D7_FcY9zMnHP8iPO4M5RCRjy6nZY0TY/edi"&amp;"t#gid=0"",""Table 1: Study characteristics!B4:B171"")))&gt;0
),
""Include""
)"),"Exclude")</f>
        <v>Exclude</v>
      </c>
      <c r="G437" s="5" t="str">
        <f>IFERROR(__xludf.DUMMYFUNCTION("IFS(
D437=""Exclude"",
FILTER(IMPORTRANGE(""https://docs.google.com/spreadsheets/d/1BJSV3WBYJGRhQ6zExamkszQ5VutGIcaQqmbD9ZTVXMQ/edit#gid=1251630045"",""articles_with_PRISMA_reasons!AB2:AB2113""), $A437=IMPORTRANGE(""https://docs.google.com/spreadsheets/d/"&amp;"1BJSV3WBYJGRhQ6zExamkszQ5VutGIcaQqmbD9ZTVXMQ/edit#gid=1251630045"",""articles_with_PRISMA_reasons!B2:B2113"")),
E437=""Exclude"",
FILTER(IMPORTRANGE(""https://docs.google.com/spreadsheets/d/1qpEmbGH0JjaJbUdp21-y2cPbobDbMjr09BbtdKROZWc/edit#gid=1444865654"&amp;""",""articles_with_PRISMA_reasons!Z2:Z2113""), $A437=IMPORTRANGE(""https://docs.google.com/spreadsheets/d/1qpEmbGH0JjaJbUdp21-y2cPbobDbMjr09BbtdKROZWc/edit#gid=1444865654"",""articles_with_PRISMA_reasons!B2:B2113"")),F437
=""Include"",FILTER(IMPORTRANGE("&amp;"""https://docs.google.com/spreadsheets/d/1kGrh75X1cNR1D7_FcY9zMnHP8iPO4M5RCRjy6nZY0TY/edit#gid=0"",""Table 1: Study characteristics!A4:A171""), $A437=IMPORTRANGE(""https://docs.google.com/spreadsheets/d/1kGrh75X1cNR1D7_FcY9zMnHP8iPO4M5RCRjy6nZY0TY/edit#gi"&amp;"d=0"",""Table 1: Study characteristics!B4:B171""))
)"),"wrong population")</f>
        <v>wrong population</v>
      </c>
    </row>
    <row r="438">
      <c r="A438" s="4" t="str">
        <f>IFERROR(__xludf.DUMMYFUNCTION("""COMPUTED_VALUE"""),"Citrobacter ventriculitis in a neonate responsive to trimethoprim sulfamethoxazole")</f>
        <v>Citrobacter ventriculitis in a neonate responsive to trimethoprim sulfamethoxazole</v>
      </c>
      <c r="B438" s="5" t="str">
        <f>IFERROR(__xludf.DUMMYFUNCTION("LEFT(FILTER(IMPORTRANGE(""https://docs.google.com/spreadsheets/d/1BJSV3WBYJGRhQ6zExamkszQ5VutGIcaQqmbD9ZTVXMQ/edit#gid=1251630045"",""articles_with_PRISMA_reasons!K2:K2113""), $A438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$A438=IMPORTRANGE(""https://docs.google.com/spreadsheets/d/1BJSV3WBYJGRhQ6zExamkszQ5VutGIcaQqmbD9ZTVXMQ/edit#gid=1251630045"",""articles_with_PRISMA_reasons!B2:B2113"")))-1)"),"Greene")</f>
        <v>Greene</v>
      </c>
      <c r="C438" s="6">
        <f>IFERROR(__xludf.DUMMYFUNCTION("FILTER(IMPORTRANGE(""https://docs.google.com/spreadsheets/d/1BJSV3WBYJGRhQ6zExamkszQ5VutGIcaQqmbD9ZTVXMQ/edit#gid=1251630045"",""articles_with_PRISMA_reasons!C2:C2113""), $A438=IMPORTRANGE(""https://docs.google.com/spreadsheets/d/1BJSV3WBYJGRhQ6zExamkszQ5"&amp;"VutGIcaQqmbD9ZTVXMQ/edit#gid=1251630045"",""articles_with_PRISMA_reasons!B2:B2113""))"),1983.0)</f>
        <v>1983</v>
      </c>
      <c r="D438" s="5" t="str">
        <f>IFERROR(__xludf.DUMMYFUNCTION("IFS(AND(
FILTER(IMPORTRANGE(""https://docs.google.com/spreadsheets/d/1BJSV3WBYJGRhQ6zExamkszQ5VutGIcaQqmbD9ZTVXMQ/edit#gid=1251630045"",""articles_with_PRISMA_reasons!Y2:Y2113""), $A438=IMPORTRANGE(""https://docs.google.com/spreadsheets/d/1BJSV3WBYJGRhQ6z"&amp;"ExamkszQ5VutGIcaQqmbD9ZTVXMQ/edit#gid=1251630045"",""articles_with_PRISMA_reasons!B2:B2113""))&gt;=2,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$A438=IMPORTRANGE(""https://docs.google.com/spreadsheets/d/1BJSV3WBYJGRhQ6zExamkszQ5VutGIcaQqmbD9ZTVXMQ/edit#gid=1251630045"",""articles_with_PRISMA_reasons!B2:B2113""))&lt;2),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$A438=IMPORTRANGE(""https://docs.google.com/spreadsheets/d/1BJSV3WBYJGRhQ6zExamkszQ5VutGIcaQqmbD9ZTVXMQ/edit#gid=1251630045"",""arti"&amp;"cles_with_PRISMA_reasons!B2:B2113""))&lt;2,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$A438=IMPORTRANGE(""https://docs.google.com"&amp;"/spreadsheets/d/1BJSV3WBYJGRhQ6zExamkszQ5VutGIcaQqmbD9ZTVXMQ/edit#gid=1251630045"",""articles_with_PRISMA_reasons!B2:B2113""))&gt;=2),
""Exclude""
)"),"Exclude")</f>
        <v>Exclude</v>
      </c>
      <c r="E438" s="5" t="str">
        <f>IFERROR(__xludf.DUMMYFUNCTION("IFS(
D438=""Exclude"",""Exclude"",
AND(
FILTER(IMPORTRANGE(""https://docs.google.com/spreadsheets/d/1qpEmbGH0JjaJbUdp21-y2cPbobDbMjr09BbtdKROZWc/edit#gid=1444865654"",""articles_with_PRISMA_reasons!W2:W2113""), $A438=IMPORTRANGE(""https://docs.google.com/"&amp;"spreadsheets/d/1qpEmbGH0JjaJbUdp21-y2cPbobDbMjr09BbtdKROZWc/edit#gid=1444865654"",""articles_with_PRISMA_reasons!B2:B2113""))&gt;=2,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$A438=IMPORTRANGE(""https://docs.google.com/spreadsheets/d/1qpEmbGH0JjaJbUdp21-y2cPbobDbMjr09BbtdKROZWc/edit#gid=1444865654"",""articles_with_PRISMA_reasons!B2:B2113""))&lt;2),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$A438=IMPORTRANGE(""https://docs.google.com/spreadsheets/d/1qpEmbGH0JjaJbUdp21-y2cPbobDbMjr09BbtdKRO"&amp;"ZWc/edit#gid=1444865654"",""articles_with_PRISMA_reasons!B2:B2113""))&lt;2,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$A438=IMPOR"&amp;"TRANGE(""https://docs.google.com/spreadsheets/d/1qpEmbGH0JjaJbUdp21-y2cPbobDbMjr09BbtdKROZWc/edit#gid=1444865654"",""articles_with_PRISMA_reasons!B2:B2113""))&gt;=2),
""Exclude""
)"),"Exclude")</f>
        <v>Exclude</v>
      </c>
      <c r="F438" s="5" t="str">
        <f>IFERROR(__xludf.DUMMYFUNCTION("IFS(
E438=""Exclude"",""Exclude"",
AND(
COUNTIF(
IMPORTRANGE(""https://docs.google.com/spreadsheets/d/1kGrh75X1cNR1D7_FcY9zMnHP8iPO4M5RCRjy6nZY0TY/edit#gid=0"",""Table 1: Study characteristics!B4:B171""),A438)&gt;0,
COUNTIF(Studies!$A$2:$A$85,FILTER(IMPORTRA"&amp;"NGE(""https://docs.google.com/spreadsheets/d/1kGrh75X1cNR1D7_FcY9zMnHP8iPO4M5RCRjy6nZY0TY/edit#gid=0"",""Table 1: Study characteristics!A4:A171""), $A438=IMPORTRANGE(""https://docs.google.com/spreadsheets/d/1kGrh75X1cNR1D7_FcY9zMnHP8iPO4M5RCRjy6nZY0TY/edi"&amp;"t#gid=0"",""Table 1: Study characteristics!B4:B171"")))&gt;0
),
""Include""
)"),"Exclude")</f>
        <v>Exclude</v>
      </c>
      <c r="G438" s="5" t="str">
        <f>IFERROR(__xludf.DUMMYFUNCTION("IFS(
D438=""Exclude"",
FILTER(IMPORTRANGE(""https://docs.google.com/spreadsheets/d/1BJSV3WBYJGRhQ6zExamkszQ5VutGIcaQqmbD9ZTVXMQ/edit#gid=1251630045"",""articles_with_PRISMA_reasons!AB2:AB2113""), $A438=IMPORTRANGE(""https://docs.google.com/spreadsheets/d/"&amp;"1BJSV3WBYJGRhQ6zExamkszQ5VutGIcaQqmbD9ZTVXMQ/edit#gid=1251630045"",""articles_with_PRISMA_reasons!B2:B2113"")),
E438=""Exclude"",
FILTER(IMPORTRANGE(""https://docs.google.com/spreadsheets/d/1qpEmbGH0JjaJbUdp21-y2cPbobDbMjr09BbtdKROZWc/edit#gid=1444865654"&amp;""",""articles_with_PRISMA_reasons!Z2:Z2113""), $A438=IMPORTRANGE(""https://docs.google.com/spreadsheets/d/1qpEmbGH0JjaJbUdp21-y2cPbobDbMjr09BbtdKROZWc/edit#gid=1444865654"",""articles_with_PRISMA_reasons!B2:B2113"")),F438
=""Include"",FILTER(IMPORTRANGE("&amp;"""https://docs.google.com/spreadsheets/d/1kGrh75X1cNR1D7_FcY9zMnHP8iPO4M5RCRjy6nZY0TY/edit#gid=0"",""Table 1: Study characteristics!A4:A171""), $A438=IMPORTRANGE(""https://docs.google.com/spreadsheets/d/1kGrh75X1cNR1D7_FcY9zMnHP8iPO4M5RCRjy6nZY0TY/edit#gi"&amp;"d=0"",""Table 1: Study characteristics!B4:B171""))
)"),"wrong study design")</f>
        <v>wrong study design</v>
      </c>
    </row>
    <row r="439">
      <c r="A439" s="4" t="str">
        <f>IFERROR(__xludf.DUMMYFUNCTION("""COMPUTED_VALUE"""),"Classification of the ""human tail"": Correlation between position, associated anomalies, and causes")</f>
        <v>Classification of the "human tail": Correlation between position, associated anomalies, and causes</v>
      </c>
      <c r="B439" s="5" t="str">
        <f>IFERROR(__xludf.DUMMYFUNCTION("LEFT(FILTER(IMPORTRANGE(""https://docs.google.com/spreadsheets/d/1BJSV3WBYJGRhQ6zExamkszQ5VutGIcaQqmbD9ZTVXMQ/edit#gid=1251630045"",""articles_with_PRISMA_reasons!K2:K2113""), $A439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$A439=IMPORTRANGE(""https://docs.google.com/spreadsheets/d/1BJSV3WBYJGRhQ6zExamkszQ5VutGIcaQqmbD9ZTVXMQ/edit#gid=1251630045"",""articles_with_PRISMA_reasons!B2:B2113"")))-1)"),"Tojima")</f>
        <v>Tojima</v>
      </c>
      <c r="C439" s="6">
        <f>IFERROR(__xludf.DUMMYFUNCTION("FILTER(IMPORTRANGE(""https://docs.google.com/spreadsheets/d/1BJSV3WBYJGRhQ6zExamkszQ5VutGIcaQqmbD9ZTVXMQ/edit#gid=1251630045"",""articles_with_PRISMA_reasons!C2:C2113""), $A439=IMPORTRANGE(""https://docs.google.com/spreadsheets/d/1BJSV3WBYJGRhQ6zExamkszQ5"&amp;"VutGIcaQqmbD9ZTVXMQ/edit#gid=1251630045"",""articles_with_PRISMA_reasons!B2:B2113""))"),2020.0)</f>
        <v>2020</v>
      </c>
      <c r="D439" s="5" t="str">
        <f>IFERROR(__xludf.DUMMYFUNCTION("IFS(AND(
FILTER(IMPORTRANGE(""https://docs.google.com/spreadsheets/d/1BJSV3WBYJGRhQ6zExamkszQ5VutGIcaQqmbD9ZTVXMQ/edit#gid=1251630045"",""articles_with_PRISMA_reasons!Y2:Y2113""), $A439=IMPORTRANGE(""https://docs.google.com/spreadsheets/d/1BJSV3WBYJGRhQ6z"&amp;"ExamkszQ5VutGIcaQqmbD9ZTVXMQ/edit#gid=1251630045"",""articles_with_PRISMA_reasons!B2:B2113""))&gt;=2,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$A439=IMPORTRANGE(""https://docs.google.com/spreadsheets/d/1BJSV3WBYJGRhQ6zExamkszQ5VutGIcaQqmbD9ZTVXMQ/edit#gid=1251630045"",""articles_with_PRISMA_reasons!B2:B2113""))&lt;2),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$A439=IMPORTRANGE(""https://docs.google.com/spreadsheets/d/1BJSV3WBYJGRhQ6zExamkszQ5VutGIcaQqmbD9ZTVXMQ/edit#gid=1251630045"",""arti"&amp;"cles_with_PRISMA_reasons!B2:B2113""))&lt;2,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$A439=IMPORTRANGE(""https://docs.google.com"&amp;"/spreadsheets/d/1BJSV3WBYJGRhQ6zExamkszQ5VutGIcaQqmbD9ZTVXMQ/edit#gid=1251630045"",""articles_with_PRISMA_reasons!B2:B2113""))&gt;=2),
""Exclude""
)"),"Exclude")</f>
        <v>Exclude</v>
      </c>
      <c r="E439" s="5" t="str">
        <f>IFERROR(__xludf.DUMMYFUNCTION("IFS(
D439=""Exclude"",""Exclude"",
AND(
FILTER(IMPORTRANGE(""https://docs.google.com/spreadsheets/d/1qpEmbGH0JjaJbUdp21-y2cPbobDbMjr09BbtdKROZWc/edit#gid=1444865654"",""articles_with_PRISMA_reasons!W2:W2113""), $A439=IMPORTRANGE(""https://docs.google.com/"&amp;"spreadsheets/d/1qpEmbGH0JjaJbUdp21-y2cPbobDbMjr09BbtdKROZWc/edit#gid=1444865654"",""articles_with_PRISMA_reasons!B2:B2113""))&gt;=2,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$A439=IMPORTRANGE(""https://docs.google.com/spreadsheets/d/1qpEmbGH0JjaJbUdp21-y2cPbobDbMjr09BbtdKROZWc/edit#gid=1444865654"",""articles_with_PRISMA_reasons!B2:B2113""))&lt;2),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$A439=IMPORTRANGE(""https://docs.google.com/spreadsheets/d/1qpEmbGH0JjaJbUdp21-y2cPbobDbMjr09BbtdKRO"&amp;"ZWc/edit#gid=1444865654"",""articles_with_PRISMA_reasons!B2:B2113""))&lt;2,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$A439=IMPOR"&amp;"TRANGE(""https://docs.google.com/spreadsheets/d/1qpEmbGH0JjaJbUdp21-y2cPbobDbMjr09BbtdKROZWc/edit#gid=1444865654"",""articles_with_PRISMA_reasons!B2:B2113""))&gt;=2),
""Exclude""
)"),"Exclude")</f>
        <v>Exclude</v>
      </c>
      <c r="F439" s="5" t="str">
        <f>IFERROR(__xludf.DUMMYFUNCTION("IFS(
E439=""Exclude"",""Exclude"",
AND(
COUNTIF(
IMPORTRANGE(""https://docs.google.com/spreadsheets/d/1kGrh75X1cNR1D7_FcY9zMnHP8iPO4M5RCRjy6nZY0TY/edit#gid=0"",""Table 1: Study characteristics!B4:B171""),A439)&gt;0,
COUNTIF(Studies!$A$2:$A$85,FILTER(IMPORTRA"&amp;"NGE(""https://docs.google.com/spreadsheets/d/1kGrh75X1cNR1D7_FcY9zMnHP8iPO4M5RCRjy6nZY0TY/edit#gid=0"",""Table 1: Study characteristics!A4:A171""), $A439=IMPORTRANGE(""https://docs.google.com/spreadsheets/d/1kGrh75X1cNR1D7_FcY9zMnHP8iPO4M5RCRjy6nZY0TY/edi"&amp;"t#gid=0"",""Table 1: Study characteristics!B4:B171"")))&gt;0
),
""Include""
)"),"Exclude")</f>
        <v>Exclude</v>
      </c>
      <c r="G439" s="5" t="str">
        <f>IFERROR(__xludf.DUMMYFUNCTION("IFS(
D439=""Exclude"",
FILTER(IMPORTRANGE(""https://docs.google.com/spreadsheets/d/1BJSV3WBYJGRhQ6zExamkszQ5VutGIcaQqmbD9ZTVXMQ/edit#gid=1251630045"",""articles_with_PRISMA_reasons!AB2:AB2113""), $A439=IMPORTRANGE(""https://docs.google.com/spreadsheets/d/"&amp;"1BJSV3WBYJGRhQ6zExamkszQ5VutGIcaQqmbD9ZTVXMQ/edit#gid=1251630045"",""articles_with_PRISMA_reasons!B2:B2113"")),
E439=""Exclude"",
FILTER(IMPORTRANGE(""https://docs.google.com/spreadsheets/d/1qpEmbGH0JjaJbUdp21-y2cPbobDbMjr09BbtdKROZWc/edit#gid=1444865654"&amp;""",""articles_with_PRISMA_reasons!Z2:Z2113""), $A439=IMPORTRANGE(""https://docs.google.com/spreadsheets/d/1qpEmbGH0JjaJbUdp21-y2cPbobDbMjr09BbtdKROZWc/edit#gid=1444865654"",""articles_with_PRISMA_reasons!B2:B2113"")),F439
=""Include"",FILTER(IMPORTRANGE("&amp;"""https://docs.google.com/spreadsheets/d/1kGrh75X1cNR1D7_FcY9zMnHP8iPO4M5RCRjy6nZY0TY/edit#gid=0"",""Table 1: Study characteristics!A4:A171""), $A439=IMPORTRANGE(""https://docs.google.com/spreadsheets/d/1kGrh75X1cNR1D7_FcY9zMnHP8iPO4M5RCRjy6nZY0TY/edit#gi"&amp;"d=0"",""Table 1: Study characteristics!B4:B171""))
)"),"wrong population")</f>
        <v>wrong population</v>
      </c>
    </row>
    <row r="440">
      <c r="A440" s="4" t="str">
        <f>IFERROR(__xludf.DUMMYFUNCTION("""COMPUTED_VALUE"""),"Clinical and MR Findings of Tethered Cord Syndrome")</f>
        <v>Clinical and MR Findings of Tethered Cord Syndrome</v>
      </c>
      <c r="B440" s="5" t="str">
        <f>IFERROR(__xludf.DUMMYFUNCTION("LEFT(FILTER(IMPORTRANGE(""https://docs.google.com/spreadsheets/d/1BJSV3WBYJGRhQ6zExamkszQ5VutGIcaQqmbD9ZTVXMQ/edit#gid=1251630045"",""articles_with_PRISMA_reasons!K2:K2113""), $A440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$A440=IMPORTRANGE(""https://docs.google.com/spreadsheets/d/1BJSV3WBYJGRhQ6zExamkszQ5VutGIcaQqmbD9ZTVXMQ/edit#gid=1251630045"",""articles_with_PRISMA_reasons!B2:B2113"")))-1)"),"Hyae-Young")</f>
        <v>Hyae-Young</v>
      </c>
      <c r="C440" s="6">
        <f>IFERROR(__xludf.DUMMYFUNCTION("FILTER(IMPORTRANGE(""https://docs.google.com/spreadsheets/d/1BJSV3WBYJGRhQ6zExamkszQ5VutGIcaQqmbD9ZTVXMQ/edit#gid=1251630045"",""articles_with_PRISMA_reasons!C2:C2113""), $A440=IMPORTRANGE(""https://docs.google.com/spreadsheets/d/1BJSV3WBYJGRhQ6zExamkszQ5"&amp;"VutGIcaQqmbD9ZTVXMQ/edit#gid=1251630045"",""articles_with_PRISMA_reasons!B2:B2113""))"),1994.0)</f>
        <v>1994</v>
      </c>
      <c r="D440" s="5" t="str">
        <f>IFERROR(__xludf.DUMMYFUNCTION("IFS(AND(
FILTER(IMPORTRANGE(""https://docs.google.com/spreadsheets/d/1BJSV3WBYJGRhQ6zExamkszQ5VutGIcaQqmbD9ZTVXMQ/edit#gid=1251630045"",""articles_with_PRISMA_reasons!Y2:Y2113""), $A440=IMPORTRANGE(""https://docs.google.com/spreadsheets/d/1BJSV3WBYJGRhQ6z"&amp;"ExamkszQ5VutGIcaQqmbD9ZTVXMQ/edit#gid=1251630045"",""articles_with_PRISMA_reasons!B2:B2113""))&gt;=2,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$A440=IMPORTRANGE(""https://docs.google.com/spreadsheets/d/1BJSV3WBYJGRhQ6zExamkszQ5VutGIcaQqmbD9ZTVXMQ/edit#gid=1251630045"",""articles_with_PRISMA_reasons!B2:B2113""))&lt;2),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$A440=IMPORTRANGE(""https://docs.google.com/spreadsheets/d/1BJSV3WBYJGRhQ6zExamkszQ5VutGIcaQqmbD9ZTVXMQ/edit#gid=1251630045"",""arti"&amp;"cles_with_PRISMA_reasons!B2:B2113""))&lt;2,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$A440=IMPORTRANGE(""https://docs.google.com"&amp;"/spreadsheets/d/1BJSV3WBYJGRhQ6zExamkszQ5VutGIcaQqmbD9ZTVXMQ/edit#gid=1251630045"",""articles_with_PRISMA_reasons!B2:B2113""))&gt;=2),
""Exclude""
)"),"Exclude")</f>
        <v>Exclude</v>
      </c>
      <c r="E440" s="5" t="str">
        <f>IFERROR(__xludf.DUMMYFUNCTION("IFS(
D440=""Exclude"",""Exclude"",
AND(
FILTER(IMPORTRANGE(""https://docs.google.com/spreadsheets/d/1qpEmbGH0JjaJbUdp21-y2cPbobDbMjr09BbtdKROZWc/edit#gid=1444865654"",""articles_with_PRISMA_reasons!W2:W2113""), $A440=IMPORTRANGE(""https://docs.google.com/"&amp;"spreadsheets/d/1qpEmbGH0JjaJbUdp21-y2cPbobDbMjr09BbtdKROZWc/edit#gid=1444865654"",""articles_with_PRISMA_reasons!B2:B2113""))&gt;=2,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$A440=IMPORTRANGE(""https://docs.google.com/spreadsheets/d/1qpEmbGH0JjaJbUdp21-y2cPbobDbMjr09BbtdKROZWc/edit#gid=1444865654"",""articles_with_PRISMA_reasons!B2:B2113""))&lt;2),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$A440=IMPORTRANGE(""https://docs.google.com/spreadsheets/d/1qpEmbGH0JjaJbUdp21-y2cPbobDbMjr09BbtdKRO"&amp;"ZWc/edit#gid=1444865654"",""articles_with_PRISMA_reasons!B2:B2113""))&lt;2,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$A440=IMPOR"&amp;"TRANGE(""https://docs.google.com/spreadsheets/d/1qpEmbGH0JjaJbUdp21-y2cPbobDbMjr09BbtdKROZWc/edit#gid=1444865654"",""articles_with_PRISMA_reasons!B2:B2113""))&gt;=2),
""Exclude""
)"),"Exclude")</f>
        <v>Exclude</v>
      </c>
      <c r="F440" s="5" t="str">
        <f>IFERROR(__xludf.DUMMYFUNCTION("IFS(
E440=""Exclude"",""Exclude"",
AND(
COUNTIF(
IMPORTRANGE(""https://docs.google.com/spreadsheets/d/1kGrh75X1cNR1D7_FcY9zMnHP8iPO4M5RCRjy6nZY0TY/edit#gid=0"",""Table 1: Study characteristics!B4:B171""),A440)&gt;0,
COUNTIF(Studies!$A$2:$A$85,FILTER(IMPORTRA"&amp;"NGE(""https://docs.google.com/spreadsheets/d/1kGrh75X1cNR1D7_FcY9zMnHP8iPO4M5RCRjy6nZY0TY/edit#gid=0"",""Table 1: Study characteristics!A4:A171""), $A440=IMPORTRANGE(""https://docs.google.com/spreadsheets/d/1kGrh75X1cNR1D7_FcY9zMnHP8iPO4M5RCRjy6nZY0TY/edi"&amp;"t#gid=0"",""Table 1: Study characteristics!B4:B171"")))&gt;0
),
""Include""
)"),"Exclude")</f>
        <v>Exclude</v>
      </c>
      <c r="G440" s="5" t="str">
        <f>IFERROR(__xludf.DUMMYFUNCTION("IFS(
D440=""Exclude"",
FILTER(IMPORTRANGE(""https://docs.google.com/spreadsheets/d/1BJSV3WBYJGRhQ6zExamkszQ5VutGIcaQqmbD9ZTVXMQ/edit#gid=1251630045"",""articles_with_PRISMA_reasons!AB2:AB2113""), $A440=IMPORTRANGE(""https://docs.google.com/spreadsheets/d/"&amp;"1BJSV3WBYJGRhQ6zExamkszQ5VutGIcaQqmbD9ZTVXMQ/edit#gid=1251630045"",""articles_with_PRISMA_reasons!B2:B2113"")),
E440=""Exclude"",
FILTER(IMPORTRANGE(""https://docs.google.com/spreadsheets/d/1qpEmbGH0JjaJbUdp21-y2cPbobDbMjr09BbtdKROZWc/edit#gid=1444865654"&amp;""",""articles_with_PRISMA_reasons!Z2:Z2113""), $A440=IMPORTRANGE(""https://docs.google.com/spreadsheets/d/1qpEmbGH0JjaJbUdp21-y2cPbobDbMjr09BbtdKROZWc/edit#gid=1444865654"",""articles_with_PRISMA_reasons!B2:B2113"")),F440
=""Include"",FILTER(IMPORTRANGE("&amp;"""https://docs.google.com/spreadsheets/d/1kGrh75X1cNR1D7_FcY9zMnHP8iPO4M5RCRjy6nZY0TY/edit#gid=0"",""Table 1: Study characteristics!A4:A171""), $A440=IMPORTRANGE(""https://docs.google.com/spreadsheets/d/1kGrh75X1cNR1D7_FcY9zMnHP8iPO4M5RCRjy6nZY0TY/edit#gi"&amp;"d=0"",""Table 1: Study characteristics!B4:B171""))
)"),"wrong population")</f>
        <v>wrong population</v>
      </c>
    </row>
    <row r="441">
      <c r="A441" s="4" t="str">
        <f>IFERROR(__xludf.DUMMYFUNCTION("""COMPUTED_VALUE"""),"Clinical and radiological predictors of ventriculoperitoneal shunt insertion in myelomeningocele patients")</f>
        <v>Clinical and radiological predictors of ventriculoperitoneal shunt insertion in myelomeningocele patients</v>
      </c>
      <c r="B441" s="5" t="str">
        <f>IFERROR(__xludf.DUMMYFUNCTION("LEFT(FILTER(IMPORTRANGE(""https://docs.google.com/spreadsheets/d/1BJSV3WBYJGRhQ6zExamkszQ5VutGIcaQqmbD9ZTVXMQ/edit#gid=1251630045"",""articles_with_PRISMA_reasons!K2:K2113""), $A441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$A441=IMPORTRANGE(""https://docs.google.com/spreadsheets/d/1BJSV3WBYJGRhQ6zExamkszQ5VutGIcaQqmbD9ZTVXMQ/edit#gid=1251630045"",""articles_with_PRISMA_reasons!B2:B2113"")))-1)"),"Ghoul")</f>
        <v>Ghoul</v>
      </c>
      <c r="C441" s="6">
        <f>IFERROR(__xludf.DUMMYFUNCTION("FILTER(IMPORTRANGE(""https://docs.google.com/spreadsheets/d/1BJSV3WBYJGRhQ6zExamkszQ5VutGIcaQqmbD9ZTVXMQ/edit#gid=1251630045"",""articles_with_PRISMA_reasons!C2:C2113""), $A441=IMPORTRANGE(""https://docs.google.com/spreadsheets/d/1BJSV3WBYJGRhQ6zExamkszQ5"&amp;"VutGIcaQqmbD9ZTVXMQ/edit#gid=1251630045"",""articles_with_PRISMA_reasons!B2:B2113""))"),2021.0)</f>
        <v>2021</v>
      </c>
      <c r="D441" s="5" t="str">
        <f>IFERROR(__xludf.DUMMYFUNCTION("IFS(AND(
FILTER(IMPORTRANGE(""https://docs.google.com/spreadsheets/d/1BJSV3WBYJGRhQ6zExamkszQ5VutGIcaQqmbD9ZTVXMQ/edit#gid=1251630045"",""articles_with_PRISMA_reasons!Y2:Y2113""), $A441=IMPORTRANGE(""https://docs.google.com/spreadsheets/d/1BJSV3WBYJGRhQ6z"&amp;"ExamkszQ5VutGIcaQqmbD9ZTVXMQ/edit#gid=1251630045"",""articles_with_PRISMA_reasons!B2:B2113""))&gt;=2,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$A441=IMPORTRANGE(""https://docs.google.com/spreadsheets/d/1BJSV3WBYJGRhQ6zExamkszQ5VutGIcaQqmbD9ZTVXMQ/edit#gid=1251630045"",""articles_with_PRISMA_reasons!B2:B2113""))&lt;2),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$A441=IMPORTRANGE(""https://docs.google.com/spreadsheets/d/1BJSV3WBYJGRhQ6zExamkszQ5VutGIcaQqmbD9ZTVXMQ/edit#gid=1251630045"",""arti"&amp;"cles_with_PRISMA_reasons!B2:B2113""))&lt;2,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$A441=IMPORTRANGE(""https://docs.google.com"&amp;"/spreadsheets/d/1BJSV3WBYJGRhQ6zExamkszQ5VutGIcaQqmbD9ZTVXMQ/edit#gid=1251630045"",""articles_with_PRISMA_reasons!B2:B2113""))&gt;=2),
""Exclude""
)"),"Include")</f>
        <v>Include</v>
      </c>
      <c r="E441" s="5" t="str">
        <f>IFERROR(__xludf.DUMMYFUNCTION("IFS(
D441=""Exclude"",""Exclude"",
AND(
FILTER(IMPORTRANGE(""https://docs.google.com/spreadsheets/d/1qpEmbGH0JjaJbUdp21-y2cPbobDbMjr09BbtdKROZWc/edit#gid=1444865654"",""articles_with_PRISMA_reasons!W2:W2113""), $A441=IMPORTRANGE(""https://docs.google.com/"&amp;"spreadsheets/d/1qpEmbGH0JjaJbUdp21-y2cPbobDbMjr09BbtdKROZWc/edit#gid=1444865654"",""articles_with_PRISMA_reasons!B2:B2113""))&gt;=2,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$A441=IMPORTRANGE(""https://docs.google.com/spreadsheets/d/1qpEmbGH0JjaJbUdp21-y2cPbobDbMjr09BbtdKROZWc/edit#gid=1444865654"",""articles_with_PRISMA_reasons!B2:B2113""))&lt;2),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$A441=IMPORTRANGE(""https://docs.google.com/spreadsheets/d/1qpEmbGH0JjaJbUdp21-y2cPbobDbMjr09BbtdKRO"&amp;"ZWc/edit#gid=1444865654"",""articles_with_PRISMA_reasons!B2:B2113""))&lt;2,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$A441=IMPOR"&amp;"TRANGE(""https://docs.google.com/spreadsheets/d/1qpEmbGH0JjaJbUdp21-y2cPbobDbMjr09BbtdKROZWc/edit#gid=1444865654"",""articles_with_PRISMA_reasons!B2:B2113""))&gt;=2),
""Exclude""
)"),"Include")</f>
        <v>Include</v>
      </c>
      <c r="F441" s="5" t="str">
        <f>IFERROR(__xludf.DUMMYFUNCTION("IFS(
E441=""Exclude"",""Exclude"",
AND(
COUNTIF(
IMPORTRANGE(""https://docs.google.com/spreadsheets/d/1kGrh75X1cNR1D7_FcY9zMnHP8iPO4M5RCRjy6nZY0TY/edit#gid=0"",""Table 1: Study characteristics!B4:B171""),A441)&gt;0,
COUNTIF(Studies!$A$2:$A$85,FILTER(IMPORTRA"&amp;"NGE(""https://docs.google.com/spreadsheets/d/1kGrh75X1cNR1D7_FcY9zMnHP8iPO4M5RCRjy6nZY0TY/edit#gid=0"",""Table 1: Study characteristics!A4:A171""), $A441=IMPORTRANGE(""https://docs.google.com/spreadsheets/d/1kGrh75X1cNR1D7_FcY9zMnHP8iPO4M5RCRjy6nZY0TY/edi"&amp;"t#gid=0"",""Table 1: Study characteristics!B4:B171"")))&gt;0
),
""Include""
)"),"Include")</f>
        <v>Include</v>
      </c>
      <c r="G441" s="5" t="str">
        <f>IFERROR(__xludf.DUMMYFUNCTION("IFS(
D441=""Exclude"",
FILTER(IMPORTRANGE(""https://docs.google.com/spreadsheets/d/1BJSV3WBYJGRhQ6zExamkszQ5VutGIcaQqmbD9ZTVXMQ/edit#gid=1251630045"",""articles_with_PRISMA_reasons!AB2:AB2113""), $A441=IMPORTRANGE(""https://docs.google.com/spreadsheets/d/"&amp;"1BJSV3WBYJGRhQ6zExamkszQ5VutGIcaQqmbD9ZTVXMQ/edit#gid=1251630045"",""articles_with_PRISMA_reasons!B2:B2113"")),
E441=""Exclude"",
FILTER(IMPORTRANGE(""https://docs.google.com/spreadsheets/d/1qpEmbGH0JjaJbUdp21-y2cPbobDbMjr09BbtdKROZWc/edit#gid=1444865654"&amp;""",""articles_with_PRISMA_reasons!Z2:Z2113""), $A441=IMPORTRANGE(""https://docs.google.com/spreadsheets/d/1qpEmbGH0JjaJbUdp21-y2cPbobDbMjr09BbtdKROZWc/edit#gid=1444865654"",""articles_with_PRISMA_reasons!B2:B2113"")),F441
=""Include"",FILTER(IMPORTRANGE("&amp;"""https://docs.google.com/spreadsheets/d/1kGrh75X1cNR1D7_FcY9zMnHP8iPO4M5RCRjy6nZY0TY/edit#gid=0"",""Table 1: Study characteristics!A4:A171""), $A441=IMPORTRANGE(""https://docs.google.com/spreadsheets/d/1kGrh75X1cNR1D7_FcY9zMnHP8iPO4M5RCRjy6nZY0TY/edit#gi"&amp;"d=0"",""Table 1: Study characteristics!B4:B171""))
)"),"ID 22")</f>
        <v>ID 22</v>
      </c>
    </row>
    <row r="442">
      <c r="A442" s="4" t="str">
        <f>IFERROR(__xludf.DUMMYFUNCTION("""COMPUTED_VALUE"""),"Clinical and ultrasonographic criteria for using ventriculoperitoneal shunts in newborns with myelomeningocele")</f>
        <v>Clinical and ultrasonographic criteria for using ventriculoperitoneal shunts in newborns with myelomeningocele</v>
      </c>
      <c r="B442" s="5" t="str">
        <f>IFERROR(__xludf.DUMMYFUNCTION("LEFT(FILTER(IMPORTRANGE(""https://docs.google.com/spreadsheets/d/1BJSV3WBYJGRhQ6zExamkszQ5VutGIcaQqmbD9ZTVXMQ/edit#gid=1251630045"",""articles_with_PRISMA_reasons!K2:K2113""), $A442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$A442=IMPORTRANGE(""https://docs.google.com/spreadsheets/d/1BJSV3WBYJGRhQ6zExamkszQ5VutGIcaQqmbD9ZTVXMQ/edit#gid=1251630045"",""articles_with_PRISMA_reasons!B2:B2113"")))-1)"),"Melo")</f>
        <v>Melo</v>
      </c>
      <c r="C442" s="6">
        <f>IFERROR(__xludf.DUMMYFUNCTION("FILTER(IMPORTRANGE(""https://docs.google.com/spreadsheets/d/1BJSV3WBYJGRhQ6zExamkszQ5VutGIcaQqmbD9ZTVXMQ/edit#gid=1251630045"",""articles_with_PRISMA_reasons!C2:C2113""), $A442=IMPORTRANGE(""https://docs.google.com/spreadsheets/d/1BJSV3WBYJGRhQ6zExamkszQ5"&amp;"VutGIcaQqmbD9ZTVXMQ/edit#gid=1251630045"",""articles_with_PRISMA_reasons!B2:B2113""))"),2015.0)</f>
        <v>2015</v>
      </c>
      <c r="D442" s="5" t="str">
        <f>IFERROR(__xludf.DUMMYFUNCTION("IFS(AND(
FILTER(IMPORTRANGE(""https://docs.google.com/spreadsheets/d/1BJSV3WBYJGRhQ6zExamkszQ5VutGIcaQqmbD9ZTVXMQ/edit#gid=1251630045"",""articles_with_PRISMA_reasons!Y2:Y2113""), $A442=IMPORTRANGE(""https://docs.google.com/spreadsheets/d/1BJSV3WBYJGRhQ6z"&amp;"ExamkszQ5VutGIcaQqmbD9ZTVXMQ/edit#gid=1251630045"",""articles_with_PRISMA_reasons!B2:B2113""))&gt;=2,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$A442=IMPORTRANGE(""https://docs.google.com/spreadsheets/d/1BJSV3WBYJGRhQ6zExamkszQ5VutGIcaQqmbD9ZTVXMQ/edit#gid=1251630045"",""articles_with_PRISMA_reasons!B2:B2113""))&lt;2),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$A442=IMPORTRANGE(""https://docs.google.com/spreadsheets/d/1BJSV3WBYJGRhQ6zExamkszQ5VutGIcaQqmbD9ZTVXMQ/edit#gid=1251630045"",""arti"&amp;"cles_with_PRISMA_reasons!B2:B2113""))&lt;2,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$A442=IMPORTRANGE(""https://docs.google.com"&amp;"/spreadsheets/d/1BJSV3WBYJGRhQ6zExamkszQ5VutGIcaQqmbD9ZTVXMQ/edit#gid=1251630045"",""articles_with_PRISMA_reasons!B2:B2113""))&gt;=2),
""Exclude""
)"),"Include")</f>
        <v>Include</v>
      </c>
      <c r="E442" s="5" t="str">
        <f>IFERROR(__xludf.DUMMYFUNCTION("IFS(
D442=""Exclude"",""Exclude"",
AND(
FILTER(IMPORTRANGE(""https://docs.google.com/spreadsheets/d/1qpEmbGH0JjaJbUdp21-y2cPbobDbMjr09BbtdKROZWc/edit#gid=1444865654"",""articles_with_PRISMA_reasons!W2:W2113""), $A442=IMPORTRANGE(""https://docs.google.com/"&amp;"spreadsheets/d/1qpEmbGH0JjaJbUdp21-y2cPbobDbMjr09BbtdKROZWc/edit#gid=1444865654"",""articles_with_PRISMA_reasons!B2:B2113""))&gt;=2,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$A442=IMPORTRANGE(""https://docs.google.com/spreadsheets/d/1qpEmbGH0JjaJbUdp21-y2cPbobDbMjr09BbtdKROZWc/edit#gid=1444865654"",""articles_with_PRISMA_reasons!B2:B2113""))&lt;2),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$A442=IMPORTRANGE(""https://docs.google.com/spreadsheets/d/1qpEmbGH0JjaJbUdp21-y2cPbobDbMjr09BbtdKRO"&amp;"ZWc/edit#gid=1444865654"",""articles_with_PRISMA_reasons!B2:B2113""))&lt;2,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$A442=IMPOR"&amp;"TRANGE(""https://docs.google.com/spreadsheets/d/1qpEmbGH0JjaJbUdp21-y2cPbobDbMjr09BbtdKROZWc/edit#gid=1444865654"",""articles_with_PRISMA_reasons!B2:B2113""))&gt;=2),
""Exclude""
)"),"Include")</f>
        <v>Include</v>
      </c>
      <c r="F442" s="5" t="str">
        <f>IFERROR(__xludf.DUMMYFUNCTION("IFS(
E442=""Exclude"",""Exclude"",
AND(
COUNTIF(
IMPORTRANGE(""https://docs.google.com/spreadsheets/d/1kGrh75X1cNR1D7_FcY9zMnHP8iPO4M5RCRjy6nZY0TY/edit#gid=0"",""Table 1: Study characteristics!B4:B171""),A442)&gt;0,
COUNTIF(Studies!$A$2:$A$85,FILTER(IMPORTRA"&amp;"NGE(""https://docs.google.com/spreadsheets/d/1kGrh75X1cNR1D7_FcY9zMnHP8iPO4M5RCRjy6nZY0TY/edit#gid=0"",""Table 1: Study characteristics!A4:A171""), $A442=IMPORTRANGE(""https://docs.google.com/spreadsheets/d/1kGrh75X1cNR1D7_FcY9zMnHP8iPO4M5RCRjy6nZY0TY/edi"&amp;"t#gid=0"",""Table 1: Study characteristics!B4:B171"")))&gt;0
),
""Include""
)"),"Include")</f>
        <v>Include</v>
      </c>
      <c r="G442" s="5" t="str">
        <f>IFERROR(__xludf.DUMMYFUNCTION("IFS(
D442=""Exclude"",
FILTER(IMPORTRANGE(""https://docs.google.com/spreadsheets/d/1BJSV3WBYJGRhQ6zExamkszQ5VutGIcaQqmbD9ZTVXMQ/edit#gid=1251630045"",""articles_with_PRISMA_reasons!AB2:AB2113""), $A442=IMPORTRANGE(""https://docs.google.com/spreadsheets/d/"&amp;"1BJSV3WBYJGRhQ6zExamkszQ5VutGIcaQqmbD9ZTVXMQ/edit#gid=1251630045"",""articles_with_PRISMA_reasons!B2:B2113"")),
E442=""Exclude"",
FILTER(IMPORTRANGE(""https://docs.google.com/spreadsheets/d/1qpEmbGH0JjaJbUdp21-y2cPbobDbMjr09BbtdKROZWc/edit#gid=1444865654"&amp;""",""articles_with_PRISMA_reasons!Z2:Z2113""), $A442=IMPORTRANGE(""https://docs.google.com/spreadsheets/d/1qpEmbGH0JjaJbUdp21-y2cPbobDbMjr09BbtdKROZWc/edit#gid=1444865654"",""articles_with_PRISMA_reasons!B2:B2113"")),F442
=""Include"",FILTER(IMPORTRANGE("&amp;"""https://docs.google.com/spreadsheets/d/1kGrh75X1cNR1D7_FcY9zMnHP8iPO4M5RCRjy6nZY0TY/edit#gid=0"",""Table 1: Study characteristics!A4:A171""), $A442=IMPORTRANGE(""https://docs.google.com/spreadsheets/d/1kGrh75X1cNR1D7_FcY9zMnHP8iPO4M5RCRjy6nZY0TY/edit#gi"&amp;"d=0"",""Table 1: Study characteristics!B4:B171""))
)"),"ID 23")</f>
        <v>ID 23</v>
      </c>
    </row>
    <row r="443">
      <c r="A443" s="4" t="str">
        <f>IFERROR(__xludf.DUMMYFUNCTION("""COMPUTED_VALUE"""),"Clinical aspects of spina bifida in our environment")</f>
        <v>Clinical aspects of spina bifida in our environment</v>
      </c>
      <c r="B443" s="5" t="str">
        <f>IFERROR(__xludf.DUMMYFUNCTION("LEFT(FILTER(IMPORTRANGE(""https://docs.google.com/spreadsheets/d/1BJSV3WBYJGRhQ6zExamkszQ5VutGIcaQqmbD9ZTVXMQ/edit#gid=1251630045"",""articles_with_PRISMA_reasons!K2:K2113""), $A443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$A443=IMPORTRANGE(""https://docs.google.com/spreadsheets/d/1BJSV3WBYJGRhQ6zExamkszQ5VutGIcaQqmbD9ZTVXMQ/edit#gid=1251630045"",""articles_with_PRISMA_reasons!B2:B2113"")))-1)"),"Castro-Gago")</f>
        <v>Castro-Gago</v>
      </c>
      <c r="C443" s="6">
        <f>IFERROR(__xludf.DUMMYFUNCTION("FILTER(IMPORTRANGE(""https://docs.google.com/spreadsheets/d/1BJSV3WBYJGRhQ6zExamkszQ5VutGIcaQqmbD9ZTVXMQ/edit#gid=1251630045"",""articles_with_PRISMA_reasons!C2:C2113""), $A443=IMPORTRANGE(""https://docs.google.com/spreadsheets/d/1BJSV3WBYJGRhQ6zExamkszQ5"&amp;"VutGIcaQqmbD9ZTVXMQ/edit#gid=1251630045"",""articles_with_PRISMA_reasons!B2:B2113""))"),1992.0)</f>
        <v>1992</v>
      </c>
      <c r="D443" s="5" t="str">
        <f>IFERROR(__xludf.DUMMYFUNCTION("IFS(AND(
FILTER(IMPORTRANGE(""https://docs.google.com/spreadsheets/d/1BJSV3WBYJGRhQ6zExamkszQ5VutGIcaQqmbD9ZTVXMQ/edit#gid=1251630045"",""articles_with_PRISMA_reasons!Y2:Y2113""), $A443=IMPORTRANGE(""https://docs.google.com/spreadsheets/d/1BJSV3WBYJGRhQ6z"&amp;"ExamkszQ5VutGIcaQqmbD9ZTVXMQ/edit#gid=1251630045"",""articles_with_PRISMA_reasons!B2:B2113""))&gt;=2,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$A443=IMPORTRANGE(""https://docs.google.com/spreadsheets/d/1BJSV3WBYJGRhQ6zExamkszQ5VutGIcaQqmbD9ZTVXMQ/edit#gid=1251630045"",""articles_with_PRISMA_reasons!B2:B2113""))&lt;2),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$A443=IMPORTRANGE(""https://docs.google.com/spreadsheets/d/1BJSV3WBYJGRhQ6zExamkszQ5VutGIcaQqmbD9ZTVXMQ/edit#gid=1251630045"",""arti"&amp;"cles_with_PRISMA_reasons!B2:B2113""))&lt;2,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$A443=IMPORTRANGE(""https://docs.google.com"&amp;"/spreadsheets/d/1BJSV3WBYJGRhQ6zExamkszQ5VutGIcaQqmbD9ZTVXMQ/edit#gid=1251630045"",""articles_with_PRISMA_reasons!B2:B2113""))&gt;=2),
""Exclude""
)"),"Exclude")</f>
        <v>Exclude</v>
      </c>
      <c r="E443" s="5" t="str">
        <f>IFERROR(__xludf.DUMMYFUNCTION("IFS(
D443=""Exclude"",""Exclude"",
AND(
FILTER(IMPORTRANGE(""https://docs.google.com/spreadsheets/d/1qpEmbGH0JjaJbUdp21-y2cPbobDbMjr09BbtdKROZWc/edit#gid=1444865654"",""articles_with_PRISMA_reasons!W2:W2113""), $A443=IMPORTRANGE(""https://docs.google.com/"&amp;"spreadsheets/d/1qpEmbGH0JjaJbUdp21-y2cPbobDbMjr09BbtdKROZWc/edit#gid=1444865654"",""articles_with_PRISMA_reasons!B2:B2113""))&gt;=2,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$A443=IMPORTRANGE(""https://docs.google.com/spreadsheets/d/1qpEmbGH0JjaJbUdp21-y2cPbobDbMjr09BbtdKROZWc/edit#gid=1444865654"",""articles_with_PRISMA_reasons!B2:B2113""))&lt;2),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$A443=IMPORTRANGE(""https://docs.google.com/spreadsheets/d/1qpEmbGH0JjaJbUdp21-y2cPbobDbMjr09BbtdKRO"&amp;"ZWc/edit#gid=1444865654"",""articles_with_PRISMA_reasons!B2:B2113""))&lt;2,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$A443=IMPOR"&amp;"TRANGE(""https://docs.google.com/spreadsheets/d/1qpEmbGH0JjaJbUdp21-y2cPbobDbMjr09BbtdKROZWc/edit#gid=1444865654"",""articles_with_PRISMA_reasons!B2:B2113""))&gt;=2),
""Exclude""
)"),"Exclude")</f>
        <v>Exclude</v>
      </c>
      <c r="F443" s="5" t="str">
        <f>IFERROR(__xludf.DUMMYFUNCTION("IFS(
E443=""Exclude"",""Exclude"",
AND(
COUNTIF(
IMPORTRANGE(""https://docs.google.com/spreadsheets/d/1kGrh75X1cNR1D7_FcY9zMnHP8iPO4M5RCRjy6nZY0TY/edit#gid=0"",""Table 1: Study characteristics!B4:B171""),A443)&gt;0,
COUNTIF(Studies!$A$2:$A$85,FILTER(IMPORTRA"&amp;"NGE(""https://docs.google.com/spreadsheets/d/1kGrh75X1cNR1D7_FcY9zMnHP8iPO4M5RCRjy6nZY0TY/edit#gid=0"",""Table 1: Study characteristics!A4:A171""), $A443=IMPORTRANGE(""https://docs.google.com/spreadsheets/d/1kGrh75X1cNR1D7_FcY9zMnHP8iPO4M5RCRjy6nZY0TY/edi"&amp;"t#gid=0"",""Table 1: Study characteristics!B4:B171"")))&gt;0
),
""Include""
)"),"Exclude")</f>
        <v>Exclude</v>
      </c>
      <c r="G443" s="5" t="str">
        <f>IFERROR(__xludf.DUMMYFUNCTION("IFS(
D443=""Exclude"",
FILTER(IMPORTRANGE(""https://docs.google.com/spreadsheets/d/1BJSV3WBYJGRhQ6zExamkszQ5VutGIcaQqmbD9ZTVXMQ/edit#gid=1251630045"",""articles_with_PRISMA_reasons!AB2:AB2113""), $A443=IMPORTRANGE(""https://docs.google.com/spreadsheets/d/"&amp;"1BJSV3WBYJGRhQ6zExamkszQ5VutGIcaQqmbD9ZTVXMQ/edit#gid=1251630045"",""articles_with_PRISMA_reasons!B2:B2113"")),
E443=""Exclude"",
FILTER(IMPORTRANGE(""https://docs.google.com/spreadsheets/d/1qpEmbGH0JjaJbUdp21-y2cPbobDbMjr09BbtdKROZWc/edit#gid=1444865654"&amp;""",""articles_with_PRISMA_reasons!Z2:Z2113""), $A443=IMPORTRANGE(""https://docs.google.com/spreadsheets/d/1qpEmbGH0JjaJbUdp21-y2cPbobDbMjr09BbtdKROZWc/edit#gid=1444865654"",""articles_with_PRISMA_reasons!B2:B2113"")),F443
=""Include"",FILTER(IMPORTRANGE("&amp;"""https://docs.google.com/spreadsheets/d/1kGrh75X1cNR1D7_FcY9zMnHP8iPO4M5RCRjy6nZY0TY/edit#gid=0"",""Table 1: Study characteristics!A4:A171""), $A443=IMPORTRANGE(""https://docs.google.com/spreadsheets/d/1kGrh75X1cNR1D7_FcY9zMnHP8iPO4M5RCRjy6nZY0TY/edit#gi"&amp;"d=0"",""Table 1: Study characteristics!B4:B171""))
)"),"wrong study design")</f>
        <v>wrong study design</v>
      </c>
    </row>
    <row r="444">
      <c r="A444" s="4" t="str">
        <f>IFERROR(__xludf.DUMMYFUNCTION("""COMPUTED_VALUE"""),"Clinical characteristics of neonatal meningomyelocele cases and effect of operation time on mortality and morbidity")</f>
        <v>Clinical characteristics of neonatal meningomyelocele cases and effect of operation time on mortality and morbidity</v>
      </c>
      <c r="B444" s="5" t="str">
        <f>IFERROR(__xludf.DUMMYFUNCTION("LEFT(FILTER(IMPORTRANGE(""https://docs.google.com/spreadsheets/d/1BJSV3WBYJGRhQ6zExamkszQ5VutGIcaQqmbD9ZTVXMQ/edit#gid=1251630045"",""articles_with_PRISMA_reasons!K2:K2113""), $A444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$A444=IMPORTRANGE(""https://docs.google.com/spreadsheets/d/1BJSV3WBYJGRhQ6zExamkszQ5VutGIcaQqmbD9ZTVXMQ/edit#gid=1251630045"",""articles_with_PRISMA_reasons!B2:B2113"")))-1)"),"Bulbul")</f>
        <v>Bulbul</v>
      </c>
      <c r="C444" s="6">
        <f>IFERROR(__xludf.DUMMYFUNCTION("FILTER(IMPORTRANGE(""https://docs.google.com/spreadsheets/d/1BJSV3WBYJGRhQ6zExamkszQ5VutGIcaQqmbD9ZTVXMQ/edit#gid=1251630045"",""articles_with_PRISMA_reasons!C2:C2113""), $A444=IMPORTRANGE(""https://docs.google.com/spreadsheets/d/1BJSV3WBYJGRhQ6zExamkszQ5"&amp;"VutGIcaQqmbD9ZTVXMQ/edit#gid=1251630045"",""articles_with_PRISMA_reasons!B2:B2113""))"),2010.0)</f>
        <v>2010</v>
      </c>
      <c r="D444" s="5" t="str">
        <f>IFERROR(__xludf.DUMMYFUNCTION("IFS(AND(
FILTER(IMPORTRANGE(""https://docs.google.com/spreadsheets/d/1BJSV3WBYJGRhQ6zExamkszQ5VutGIcaQqmbD9ZTVXMQ/edit#gid=1251630045"",""articles_with_PRISMA_reasons!Y2:Y2113""), $A444=IMPORTRANGE(""https://docs.google.com/spreadsheets/d/1BJSV3WBYJGRhQ6z"&amp;"ExamkszQ5VutGIcaQqmbD9ZTVXMQ/edit#gid=1251630045"",""articles_with_PRISMA_reasons!B2:B2113""))&gt;=2,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$A444=IMPORTRANGE(""https://docs.google.com/spreadsheets/d/1BJSV3WBYJGRhQ6zExamkszQ5VutGIcaQqmbD9ZTVXMQ/edit#gid=1251630045"",""articles_with_PRISMA_reasons!B2:B2113""))&lt;2),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$A444=IMPORTRANGE(""https://docs.google.com/spreadsheets/d/1BJSV3WBYJGRhQ6zExamkszQ5VutGIcaQqmbD9ZTVXMQ/edit#gid=1251630045"",""arti"&amp;"cles_with_PRISMA_reasons!B2:B2113""))&lt;2,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$A444=IMPORTRANGE(""https://docs.google.com"&amp;"/spreadsheets/d/1BJSV3WBYJGRhQ6zExamkszQ5VutGIcaQqmbD9ZTVXMQ/edit#gid=1251630045"",""articles_with_PRISMA_reasons!B2:B2113""))&gt;=2),
""Exclude""
)"),"Include")</f>
        <v>Include</v>
      </c>
      <c r="E444" s="5" t="str">
        <f>IFERROR(__xludf.DUMMYFUNCTION("IFS(
D444=""Exclude"",""Exclude"",
AND(
FILTER(IMPORTRANGE(""https://docs.google.com/spreadsheets/d/1qpEmbGH0JjaJbUdp21-y2cPbobDbMjr09BbtdKROZWc/edit#gid=1444865654"",""articles_with_PRISMA_reasons!W2:W2113""), $A444=IMPORTRANGE(""https://docs.google.com/"&amp;"spreadsheets/d/1qpEmbGH0JjaJbUdp21-y2cPbobDbMjr09BbtdKROZWc/edit#gid=1444865654"",""articles_with_PRISMA_reasons!B2:B2113""))&gt;=2,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$A444=IMPORTRANGE(""https://docs.google.com/spreadsheets/d/1qpEmbGH0JjaJbUdp21-y2cPbobDbMjr09BbtdKROZWc/edit#gid=1444865654"",""articles_with_PRISMA_reasons!B2:B2113""))&lt;2),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$A444=IMPORTRANGE(""https://docs.google.com/spreadsheets/d/1qpEmbGH0JjaJbUdp21-y2cPbobDbMjr09BbtdKRO"&amp;"ZWc/edit#gid=1444865654"",""articles_with_PRISMA_reasons!B2:B2113""))&lt;2,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$A444=IMPOR"&amp;"TRANGE(""https://docs.google.com/spreadsheets/d/1qpEmbGH0JjaJbUdp21-y2cPbobDbMjr09BbtdKROZWc/edit#gid=1444865654"",""articles_with_PRISMA_reasons!B2:B2113""))&gt;=2),
""Exclude""
)"),"Include")</f>
        <v>Include</v>
      </c>
      <c r="F444" s="5" t="str">
        <f>IFERROR(__xludf.DUMMYFUNCTION("IFS(
E444=""Exclude"",""Exclude"",
AND(
COUNTIF(
IMPORTRANGE(""https://docs.google.com/spreadsheets/d/1kGrh75X1cNR1D7_FcY9zMnHP8iPO4M5RCRjy6nZY0TY/edit#gid=0"",""Table 1: Study characteristics!B4:B171""),A444)&gt;0,
COUNTIF(Studies!$A$2:$A$85,FILTER(IMPORTRA"&amp;"NGE(""https://docs.google.com/spreadsheets/d/1kGrh75X1cNR1D7_FcY9zMnHP8iPO4M5RCRjy6nZY0TY/edit#gid=0"",""Table 1: Study characteristics!A4:A171""), $A444=IMPORTRANGE(""https://docs.google.com/spreadsheets/d/1kGrh75X1cNR1D7_FcY9zMnHP8iPO4M5RCRjy6nZY0TY/edi"&amp;"t#gid=0"",""Table 1: Study characteristics!B4:B171"")))&gt;0
),
""Include""
)"),"Include")</f>
        <v>Include</v>
      </c>
      <c r="G444" s="5" t="str">
        <f>IFERROR(__xludf.DUMMYFUNCTION("IFS(
D444=""Exclude"",
FILTER(IMPORTRANGE(""https://docs.google.com/spreadsheets/d/1BJSV3WBYJGRhQ6zExamkszQ5VutGIcaQqmbD9ZTVXMQ/edit#gid=1251630045"",""articles_with_PRISMA_reasons!AB2:AB2113""), $A444=IMPORTRANGE(""https://docs.google.com/spreadsheets/d/"&amp;"1BJSV3WBYJGRhQ6zExamkszQ5VutGIcaQqmbD9ZTVXMQ/edit#gid=1251630045"",""articles_with_PRISMA_reasons!B2:B2113"")),
E444=""Exclude"",
FILTER(IMPORTRANGE(""https://docs.google.com/spreadsheets/d/1qpEmbGH0JjaJbUdp21-y2cPbobDbMjr09BbtdKROZWc/edit#gid=1444865654"&amp;""",""articles_with_PRISMA_reasons!Z2:Z2113""), $A444=IMPORTRANGE(""https://docs.google.com/spreadsheets/d/1qpEmbGH0JjaJbUdp21-y2cPbobDbMjr09BbtdKROZWc/edit#gid=1444865654"",""articles_with_PRISMA_reasons!B2:B2113"")),F444
=""Include"",FILTER(IMPORTRANGE("&amp;"""https://docs.google.com/spreadsheets/d/1kGrh75X1cNR1D7_FcY9zMnHP8iPO4M5RCRjy6nZY0TY/edit#gid=0"",""Table 1: Study characteristics!A4:A171""), $A444=IMPORTRANGE(""https://docs.google.com/spreadsheets/d/1kGrh75X1cNR1D7_FcY9zMnHP8iPO4M5RCRjy6nZY0TY/edit#gi"&amp;"d=0"",""Table 1: Study characteristics!B4:B171""))
)"),"ID 24")</f>
        <v>ID 24</v>
      </c>
    </row>
    <row r="445">
      <c r="A445" s="4" t="str">
        <f>IFERROR(__xludf.DUMMYFUNCTION("""COMPUTED_VALUE"""),"Clinical characteristics of patients with neurogenic bladder due to myelomeningocele - Eighteen-year retrospective study; University Children's Hospital, Bialystok, Poland")</f>
        <v>Clinical characteristics of patients with neurogenic bladder due to myelomeningocele - Eighteen-year retrospective study; University Children's Hospital, Bialystok, Poland</v>
      </c>
      <c r="B445" s="5" t="str">
        <f>IFERROR(__xludf.DUMMYFUNCTION("LEFT(FILTER(IMPORTRANGE(""https://docs.google.com/spreadsheets/d/1BJSV3WBYJGRhQ6zExamkszQ5VutGIcaQqmbD9ZTVXMQ/edit#gid=1251630045"",""articles_with_PRISMA_reasons!K2:K2113""), $A445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$A445=IMPORTRANGE(""https://docs.google.com/spreadsheets/d/1BJSV3WBYJGRhQ6zExamkszQ5VutGIcaQqmbD9ZTVXMQ/edit#gid=1251630045"",""articles_with_PRISMA_reasons!B2:B2113"")))-1)"),"Korzeniecka-Kozerska")</f>
        <v>Korzeniecka-Kozerska</v>
      </c>
      <c r="C445" s="6">
        <f>IFERROR(__xludf.DUMMYFUNCTION("FILTER(IMPORTRANGE(""https://docs.google.com/spreadsheets/d/1BJSV3WBYJGRhQ6zExamkszQ5VutGIcaQqmbD9ZTVXMQ/edit#gid=1251630045"",""articles_with_PRISMA_reasons!C2:C2113""), $A445=IMPORTRANGE(""https://docs.google.com/spreadsheets/d/1BJSV3WBYJGRhQ6zExamkszQ5"&amp;"VutGIcaQqmbD9ZTVXMQ/edit#gid=1251630045"",""articles_with_PRISMA_reasons!B2:B2113""))"),2015.0)</f>
        <v>2015</v>
      </c>
      <c r="D445" s="5" t="str">
        <f>IFERROR(__xludf.DUMMYFUNCTION("IFS(AND(
FILTER(IMPORTRANGE(""https://docs.google.com/spreadsheets/d/1BJSV3WBYJGRhQ6zExamkszQ5VutGIcaQqmbD9ZTVXMQ/edit#gid=1251630045"",""articles_with_PRISMA_reasons!Y2:Y2113""), $A445=IMPORTRANGE(""https://docs.google.com/spreadsheets/d/1BJSV3WBYJGRhQ6z"&amp;"ExamkszQ5VutGIcaQqmbD9ZTVXMQ/edit#gid=1251630045"",""articles_with_PRISMA_reasons!B2:B2113""))&gt;=2,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$A445=IMPORTRANGE(""https://docs.google.com/spreadsheets/d/1BJSV3WBYJGRhQ6zExamkszQ5VutGIcaQqmbD9ZTVXMQ/edit#gid=1251630045"",""articles_with_PRISMA_reasons!B2:B2113""))&lt;2),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$A445=IMPORTRANGE(""https://docs.google.com/spreadsheets/d/1BJSV3WBYJGRhQ6zExamkszQ5VutGIcaQqmbD9ZTVXMQ/edit#gid=1251630045"",""arti"&amp;"cles_with_PRISMA_reasons!B2:B2113""))&lt;2,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$A445=IMPORTRANGE(""https://docs.google.com"&amp;"/spreadsheets/d/1BJSV3WBYJGRhQ6zExamkszQ5VutGIcaQqmbD9ZTVXMQ/edit#gid=1251630045"",""articles_with_PRISMA_reasons!B2:B2113""))&gt;=2),
""Exclude""
)"),"Exclude")</f>
        <v>Exclude</v>
      </c>
      <c r="E445" s="5" t="str">
        <f>IFERROR(__xludf.DUMMYFUNCTION("IFS(
D445=""Exclude"",""Exclude"",
AND(
FILTER(IMPORTRANGE(""https://docs.google.com/spreadsheets/d/1qpEmbGH0JjaJbUdp21-y2cPbobDbMjr09BbtdKROZWc/edit#gid=1444865654"",""articles_with_PRISMA_reasons!W2:W2113""), $A445=IMPORTRANGE(""https://docs.google.com/"&amp;"spreadsheets/d/1qpEmbGH0JjaJbUdp21-y2cPbobDbMjr09BbtdKROZWc/edit#gid=1444865654"",""articles_with_PRISMA_reasons!B2:B2113""))&gt;=2,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$A445=IMPORTRANGE(""https://docs.google.com/spreadsheets/d/1qpEmbGH0JjaJbUdp21-y2cPbobDbMjr09BbtdKROZWc/edit#gid=1444865654"",""articles_with_PRISMA_reasons!B2:B2113""))&lt;2),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$A445=IMPORTRANGE(""https://docs.google.com/spreadsheets/d/1qpEmbGH0JjaJbUdp21-y2cPbobDbMjr09BbtdKRO"&amp;"ZWc/edit#gid=1444865654"",""articles_with_PRISMA_reasons!B2:B2113""))&lt;2,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$A445=IMPOR"&amp;"TRANGE(""https://docs.google.com/spreadsheets/d/1qpEmbGH0JjaJbUdp21-y2cPbobDbMjr09BbtdKROZWc/edit#gid=1444865654"",""articles_with_PRISMA_reasons!B2:B2113""))&gt;=2),
""Exclude""
)"),"Exclude")</f>
        <v>Exclude</v>
      </c>
      <c r="F445" s="5" t="str">
        <f>IFERROR(__xludf.DUMMYFUNCTION("IFS(
E445=""Exclude"",""Exclude"",
AND(
COUNTIF(
IMPORTRANGE(""https://docs.google.com/spreadsheets/d/1kGrh75X1cNR1D7_FcY9zMnHP8iPO4M5RCRjy6nZY0TY/edit#gid=0"",""Table 1: Study characteristics!B4:B171""),A445)&gt;0,
COUNTIF(Studies!$A$2:$A$85,FILTER(IMPORTRA"&amp;"NGE(""https://docs.google.com/spreadsheets/d/1kGrh75X1cNR1D7_FcY9zMnHP8iPO4M5RCRjy6nZY0TY/edit#gid=0"",""Table 1: Study characteristics!A4:A171""), $A445=IMPORTRANGE(""https://docs.google.com/spreadsheets/d/1kGrh75X1cNR1D7_FcY9zMnHP8iPO4M5RCRjy6nZY0TY/edi"&amp;"t#gid=0"",""Table 1: Study characteristics!B4:B171"")))&gt;0
),
""Include""
)"),"Exclude")</f>
        <v>Exclude</v>
      </c>
      <c r="G445" s="5" t="str">
        <f>IFERROR(__xludf.DUMMYFUNCTION("IFS(
D445=""Exclude"",
FILTER(IMPORTRANGE(""https://docs.google.com/spreadsheets/d/1BJSV3WBYJGRhQ6zExamkszQ5VutGIcaQqmbD9ZTVXMQ/edit#gid=1251630045"",""articles_with_PRISMA_reasons!AB2:AB2113""), $A445=IMPORTRANGE(""https://docs.google.com/spreadsheets/d/"&amp;"1BJSV3WBYJGRhQ6zExamkszQ5VutGIcaQqmbD9ZTVXMQ/edit#gid=1251630045"",""articles_with_PRISMA_reasons!B2:B2113"")),
E445=""Exclude"",
FILTER(IMPORTRANGE(""https://docs.google.com/spreadsheets/d/1qpEmbGH0JjaJbUdp21-y2cPbobDbMjr09BbtdKROZWc/edit#gid=1444865654"&amp;""",""articles_with_PRISMA_reasons!Z2:Z2113""), $A445=IMPORTRANGE(""https://docs.google.com/spreadsheets/d/1qpEmbGH0JjaJbUdp21-y2cPbobDbMjr09BbtdKROZWc/edit#gid=1444865654"",""articles_with_PRISMA_reasons!B2:B2113"")),F445
=""Include"",FILTER(IMPORTRANGE("&amp;"""https://docs.google.com/spreadsheets/d/1kGrh75X1cNR1D7_FcY9zMnHP8iPO4M5RCRjy6nZY0TY/edit#gid=0"",""Table 1: Study characteristics!A4:A171""), $A445=IMPORTRANGE(""https://docs.google.com/spreadsheets/d/1kGrh75X1cNR1D7_FcY9zMnHP8iPO4M5RCRjy6nZY0TY/edit#gi"&amp;"d=0"",""Table 1: Study characteristics!B4:B171""))
)"),"wrong population")</f>
        <v>wrong population</v>
      </c>
    </row>
    <row r="446">
      <c r="A446" s="4" t="str">
        <f>IFERROR(__xludf.DUMMYFUNCTION("""COMPUTED_VALUE"""),"Clinical evaluation and surveillance imaging in children with spina bifida aperta and shunt-treated hydrocephalus: Clinical article")</f>
        <v>Clinical evaluation and surveillance imaging in children with spina bifida aperta and shunt-treated hydrocephalus: Clinical article</v>
      </c>
      <c r="B446" s="5" t="str">
        <f>IFERROR(__xludf.DUMMYFUNCTION("LEFT(FILTER(IMPORTRANGE(""https://docs.google.com/spreadsheets/d/1BJSV3WBYJGRhQ6zExamkszQ5VutGIcaQqmbD9ZTVXMQ/edit#gid=1251630045"",""articles_with_PRISMA_reasons!K2:K2113""), $A446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$A446=IMPORTRANGE(""https://docs.google.com/spreadsheets/d/1BJSV3WBYJGRhQ6zExamkszQ5VutGIcaQqmbD9ZTVXMQ/edit#gid=1251630045"",""articles_with_PRISMA_reasons!B2:B2113"")))-1)"),"Tubbs")</f>
        <v>Tubbs</v>
      </c>
      <c r="C446" s="6">
        <f>IFERROR(__xludf.DUMMYFUNCTION("FILTER(IMPORTRANGE(""https://docs.google.com/spreadsheets/d/1BJSV3WBYJGRhQ6zExamkszQ5VutGIcaQqmbD9ZTVXMQ/edit#gid=1251630045"",""articles_with_PRISMA_reasons!C2:C2113""), $A446=IMPORTRANGE(""https://docs.google.com/spreadsheets/d/1BJSV3WBYJGRhQ6zExamkszQ5"&amp;"VutGIcaQqmbD9ZTVXMQ/edit#gid=1251630045"",""articles_with_PRISMA_reasons!B2:B2113""))"),2012.0)</f>
        <v>2012</v>
      </c>
      <c r="D446" s="5" t="str">
        <f>IFERROR(__xludf.DUMMYFUNCTION("IFS(AND(
FILTER(IMPORTRANGE(""https://docs.google.com/spreadsheets/d/1BJSV3WBYJGRhQ6zExamkszQ5VutGIcaQqmbD9ZTVXMQ/edit#gid=1251630045"",""articles_with_PRISMA_reasons!Y2:Y2113""), $A446=IMPORTRANGE(""https://docs.google.com/spreadsheets/d/1BJSV3WBYJGRhQ6z"&amp;"ExamkszQ5VutGIcaQqmbD9ZTVXMQ/edit#gid=1251630045"",""articles_with_PRISMA_reasons!B2:B2113""))&gt;=2,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$A446=IMPORTRANGE(""https://docs.google.com/spreadsheets/d/1BJSV3WBYJGRhQ6zExamkszQ5VutGIcaQqmbD9ZTVXMQ/edit#gid=1251630045"",""articles_with_PRISMA_reasons!B2:B2113""))&lt;2),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$A446=IMPORTRANGE(""https://docs.google.com/spreadsheets/d/1BJSV3WBYJGRhQ6zExamkszQ5VutGIcaQqmbD9ZTVXMQ/edit#gid=1251630045"",""arti"&amp;"cles_with_PRISMA_reasons!B2:B2113""))&lt;2,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$A446=IMPORTRANGE(""https://docs.google.com"&amp;"/spreadsheets/d/1BJSV3WBYJGRhQ6zExamkszQ5VutGIcaQqmbD9ZTVXMQ/edit#gid=1251630045"",""articles_with_PRISMA_reasons!B2:B2113""))&gt;=2),
""Exclude""
)"),"Exclude")</f>
        <v>Exclude</v>
      </c>
      <c r="E446" s="5" t="str">
        <f>IFERROR(__xludf.DUMMYFUNCTION("IFS(
D446=""Exclude"",""Exclude"",
AND(
FILTER(IMPORTRANGE(""https://docs.google.com/spreadsheets/d/1qpEmbGH0JjaJbUdp21-y2cPbobDbMjr09BbtdKROZWc/edit#gid=1444865654"",""articles_with_PRISMA_reasons!W2:W2113""), $A446=IMPORTRANGE(""https://docs.google.com/"&amp;"spreadsheets/d/1qpEmbGH0JjaJbUdp21-y2cPbobDbMjr09BbtdKROZWc/edit#gid=1444865654"",""articles_with_PRISMA_reasons!B2:B2113""))&gt;=2,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$A446=IMPORTRANGE(""https://docs.google.com/spreadsheets/d/1qpEmbGH0JjaJbUdp21-y2cPbobDbMjr09BbtdKROZWc/edit#gid=1444865654"",""articles_with_PRISMA_reasons!B2:B2113""))&lt;2),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$A446=IMPORTRANGE(""https://docs.google.com/spreadsheets/d/1qpEmbGH0JjaJbUdp21-y2cPbobDbMjr09BbtdKRO"&amp;"ZWc/edit#gid=1444865654"",""articles_with_PRISMA_reasons!B2:B2113""))&lt;2,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$A446=IMPOR"&amp;"TRANGE(""https://docs.google.com/spreadsheets/d/1qpEmbGH0JjaJbUdp21-y2cPbobDbMjr09BbtdKROZWc/edit#gid=1444865654"",""articles_with_PRISMA_reasons!B2:B2113""))&gt;=2),
""Exclude""
)"),"Exclude")</f>
        <v>Exclude</v>
      </c>
      <c r="F446" s="5" t="str">
        <f>IFERROR(__xludf.DUMMYFUNCTION("IFS(
E446=""Exclude"",""Exclude"",
AND(
COUNTIF(
IMPORTRANGE(""https://docs.google.com/spreadsheets/d/1kGrh75X1cNR1D7_FcY9zMnHP8iPO4M5RCRjy6nZY0TY/edit#gid=0"",""Table 1: Study characteristics!B4:B171""),A446)&gt;0,
COUNTIF(Studies!$A$2:$A$85,FILTER(IMPORTRA"&amp;"NGE(""https://docs.google.com/spreadsheets/d/1kGrh75X1cNR1D7_FcY9zMnHP8iPO4M5RCRjy6nZY0TY/edit#gid=0"",""Table 1: Study characteristics!A4:A171""), $A446=IMPORTRANGE(""https://docs.google.com/spreadsheets/d/1kGrh75X1cNR1D7_FcY9zMnHP8iPO4M5RCRjy6nZY0TY/edi"&amp;"t#gid=0"",""Table 1: Study characteristics!B4:B171"")))&gt;0
),
""Include""
)"),"Exclude")</f>
        <v>Exclude</v>
      </c>
      <c r="G446" s="5" t="str">
        <f>IFERROR(__xludf.DUMMYFUNCTION("IFS(
D446=""Exclude"",
FILTER(IMPORTRANGE(""https://docs.google.com/spreadsheets/d/1BJSV3WBYJGRhQ6zExamkszQ5VutGIcaQqmbD9ZTVXMQ/edit#gid=1251630045"",""articles_with_PRISMA_reasons!AB2:AB2113""), $A446=IMPORTRANGE(""https://docs.google.com/spreadsheets/d/"&amp;"1BJSV3WBYJGRhQ6zExamkszQ5VutGIcaQqmbD9ZTVXMQ/edit#gid=1251630045"",""articles_with_PRISMA_reasons!B2:B2113"")),
E446=""Exclude"",
FILTER(IMPORTRANGE(""https://docs.google.com/spreadsheets/d/1qpEmbGH0JjaJbUdp21-y2cPbobDbMjr09BbtdKROZWc/edit#gid=1444865654"&amp;""",""articles_with_PRISMA_reasons!Z2:Z2113""), $A446=IMPORTRANGE(""https://docs.google.com/spreadsheets/d/1qpEmbGH0JjaJbUdp21-y2cPbobDbMjr09BbtdKROZWc/edit#gid=1444865654"",""articles_with_PRISMA_reasons!B2:B2113"")),F446
=""Include"",FILTER(IMPORTRANGE("&amp;"""https://docs.google.com/spreadsheets/d/1kGrh75X1cNR1D7_FcY9zMnHP8iPO4M5RCRjy6nZY0TY/edit#gid=0"",""Table 1: Study characteristics!A4:A171""), $A446=IMPORTRANGE(""https://docs.google.com/spreadsheets/d/1kGrh75X1cNR1D7_FcY9zMnHP8iPO4M5RCRjy6nZY0TY/edit#gi"&amp;"d=0"",""Table 1: Study characteristics!B4:B171""))
)"),"wrong population")</f>
        <v>wrong population</v>
      </c>
    </row>
    <row r="447">
      <c r="A447" s="4" t="str">
        <f>IFERROR(__xludf.DUMMYFUNCTION("""COMPUTED_VALUE"""),"Clinical evaluation and surveillance imaging of children with myelomeningocele and shunted hydrocephalus: A follow-up study")</f>
        <v>Clinical evaluation and surveillance imaging of children with myelomeningocele and shunted hydrocephalus: A follow-up study</v>
      </c>
      <c r="B447" s="5" t="str">
        <f>IFERROR(__xludf.DUMMYFUNCTION("LEFT(FILTER(IMPORTRANGE(""https://docs.google.com/spreadsheets/d/1BJSV3WBYJGRhQ6zExamkszQ5VutGIcaQqmbD9ZTVXMQ/edit#gid=1251630045"",""articles_with_PRISMA_reasons!K2:K2113""), $A447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$A447=IMPORTRANGE(""https://docs.google.com/spreadsheets/d/1BJSV3WBYJGRhQ6zExamkszQ5VutGIcaQqmbD9ZTVXMQ/edit#gid=1251630045"",""articles_with_PRISMA_reasons!B2:B2113"")))-1)"),"Wetzel")</f>
        <v>Wetzel</v>
      </c>
      <c r="C447" s="6">
        <f>IFERROR(__xludf.DUMMYFUNCTION("FILTER(IMPORTRANGE(""https://docs.google.com/spreadsheets/d/1BJSV3WBYJGRhQ6zExamkszQ5VutGIcaQqmbD9ZTVXMQ/edit#gid=1251630045"",""articles_with_PRISMA_reasons!C2:C2113""), $A447=IMPORTRANGE(""https://docs.google.com/spreadsheets/d/1BJSV3WBYJGRhQ6zExamkszQ5"&amp;"VutGIcaQqmbD9ZTVXMQ/edit#gid=1251630045"",""articles_with_PRISMA_reasons!B2:B2113""))"),2019.0)</f>
        <v>2019</v>
      </c>
      <c r="D447" s="5" t="str">
        <f>IFERROR(__xludf.DUMMYFUNCTION("IFS(AND(
FILTER(IMPORTRANGE(""https://docs.google.com/spreadsheets/d/1BJSV3WBYJGRhQ6zExamkszQ5VutGIcaQqmbD9ZTVXMQ/edit#gid=1251630045"",""articles_with_PRISMA_reasons!Y2:Y2113""), $A447=IMPORTRANGE(""https://docs.google.com/spreadsheets/d/1BJSV3WBYJGRhQ6z"&amp;"ExamkszQ5VutGIcaQqmbD9ZTVXMQ/edit#gid=1251630045"",""articles_with_PRISMA_reasons!B2:B2113""))&gt;=2,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$A447=IMPORTRANGE(""https://docs.google.com/spreadsheets/d/1BJSV3WBYJGRhQ6zExamkszQ5VutGIcaQqmbD9ZTVXMQ/edit#gid=1251630045"",""articles_with_PRISMA_reasons!B2:B2113""))&lt;2),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$A447=IMPORTRANGE(""https://docs.google.com/spreadsheets/d/1BJSV3WBYJGRhQ6zExamkszQ5VutGIcaQqmbD9ZTVXMQ/edit#gid=1251630045"",""arti"&amp;"cles_with_PRISMA_reasons!B2:B2113""))&lt;2,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$A447=IMPORTRANGE(""https://docs.google.com"&amp;"/spreadsheets/d/1BJSV3WBYJGRhQ6zExamkszQ5VutGIcaQqmbD9ZTVXMQ/edit#gid=1251630045"",""articles_with_PRISMA_reasons!B2:B2113""))&gt;=2),
""Exclude""
)"),"Include")</f>
        <v>Include</v>
      </c>
      <c r="E447" s="5" t="str">
        <f>IFERROR(__xludf.DUMMYFUNCTION("IFS(
D447=""Exclude"",""Exclude"",
AND(
FILTER(IMPORTRANGE(""https://docs.google.com/spreadsheets/d/1qpEmbGH0JjaJbUdp21-y2cPbobDbMjr09BbtdKROZWc/edit#gid=1444865654"",""articles_with_PRISMA_reasons!W2:W2113""), $A447=IMPORTRANGE(""https://docs.google.com/"&amp;"spreadsheets/d/1qpEmbGH0JjaJbUdp21-y2cPbobDbMjr09BbtdKROZWc/edit#gid=1444865654"",""articles_with_PRISMA_reasons!B2:B2113""))&gt;=2,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$A447=IMPORTRANGE(""https://docs.google.com/spreadsheets/d/1qpEmbGH0JjaJbUdp21-y2cPbobDbMjr09BbtdKROZWc/edit#gid=1444865654"",""articles_with_PRISMA_reasons!B2:B2113""))&lt;2),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$A447=IMPORTRANGE(""https://docs.google.com/spreadsheets/d/1qpEmbGH0JjaJbUdp21-y2cPbobDbMjr09BbtdKRO"&amp;"ZWc/edit#gid=1444865654"",""articles_with_PRISMA_reasons!B2:B2113""))&lt;2,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$A447=IMPOR"&amp;"TRANGE(""https://docs.google.com/spreadsheets/d/1qpEmbGH0JjaJbUdp21-y2cPbobDbMjr09BbtdKROZWc/edit#gid=1444865654"",""articles_with_PRISMA_reasons!B2:B2113""))&gt;=2),
""Exclude""
)"),"Include")</f>
        <v>Include</v>
      </c>
      <c r="F447" s="2" t="s">
        <v>8</v>
      </c>
      <c r="G447" s="2" t="s">
        <v>9</v>
      </c>
    </row>
    <row r="448">
      <c r="A448" s="4" t="str">
        <f>IFERROR(__xludf.DUMMYFUNCTION("""COMPUTED_VALUE"""),"Clinical experience with the use of a shunt with an adjustable valve in children with hydrocephalus")</f>
        <v>Clinical experience with the use of a shunt with an adjustable valve in children with hydrocephalus</v>
      </c>
      <c r="B448" s="5" t="str">
        <f>IFERROR(__xludf.DUMMYFUNCTION("LEFT(FILTER(IMPORTRANGE(""https://docs.google.com/spreadsheets/d/1BJSV3WBYJGRhQ6zExamkszQ5VutGIcaQqmbD9ZTVXMQ/edit#gid=1251630045"",""articles_with_PRISMA_reasons!K2:K2113""), $A448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$A448=IMPORTRANGE(""https://docs.google.com/spreadsheets/d/1BJSV3WBYJGRhQ6zExamkszQ5VutGIcaQqmbD9ZTVXMQ/edit#gid=1251630045"",""articles_with_PRISMA_reasons!B2:B2113"")))-1)"),"Zemack")</f>
        <v>Zemack</v>
      </c>
      <c r="C448" s="6">
        <f>IFERROR(__xludf.DUMMYFUNCTION("FILTER(IMPORTRANGE(""https://docs.google.com/spreadsheets/d/1BJSV3WBYJGRhQ6zExamkszQ5VutGIcaQqmbD9ZTVXMQ/edit#gid=1251630045"",""articles_with_PRISMA_reasons!C2:C2113""), $A448=IMPORTRANGE(""https://docs.google.com/spreadsheets/d/1BJSV3WBYJGRhQ6zExamkszQ5"&amp;"VutGIcaQqmbD9ZTVXMQ/edit#gid=1251630045"",""articles_with_PRISMA_reasons!B2:B2113""))"),2003.0)</f>
        <v>2003</v>
      </c>
      <c r="D448" s="5" t="str">
        <f>IFERROR(__xludf.DUMMYFUNCTION("IFS(AND(
FILTER(IMPORTRANGE(""https://docs.google.com/spreadsheets/d/1BJSV3WBYJGRhQ6zExamkszQ5VutGIcaQqmbD9ZTVXMQ/edit#gid=1251630045"",""articles_with_PRISMA_reasons!Y2:Y2113""), $A448=IMPORTRANGE(""https://docs.google.com/spreadsheets/d/1BJSV3WBYJGRhQ6z"&amp;"ExamkszQ5VutGIcaQqmbD9ZTVXMQ/edit#gid=1251630045"",""articles_with_PRISMA_reasons!B2:B2113""))&gt;=2,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$A448=IMPORTRANGE(""https://docs.google.com/spreadsheets/d/1BJSV3WBYJGRhQ6zExamkszQ5VutGIcaQqmbD9ZTVXMQ/edit#gid=1251630045"",""articles_with_PRISMA_reasons!B2:B2113""))&lt;2),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$A448=IMPORTRANGE(""https://docs.google.com/spreadsheets/d/1BJSV3WBYJGRhQ6zExamkszQ5VutGIcaQqmbD9ZTVXMQ/edit#gid=1251630045"",""arti"&amp;"cles_with_PRISMA_reasons!B2:B2113""))&lt;2,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$A448=IMPORTRANGE(""https://docs.google.com"&amp;"/spreadsheets/d/1BJSV3WBYJGRhQ6zExamkszQ5VutGIcaQqmbD9ZTVXMQ/edit#gid=1251630045"",""articles_with_PRISMA_reasons!B2:B2113""))&gt;=2),
""Exclude""
)"),"Exclude")</f>
        <v>Exclude</v>
      </c>
      <c r="E448" s="5" t="str">
        <f>IFERROR(__xludf.DUMMYFUNCTION("IFS(
D448=""Exclude"",""Exclude"",
AND(
FILTER(IMPORTRANGE(""https://docs.google.com/spreadsheets/d/1qpEmbGH0JjaJbUdp21-y2cPbobDbMjr09BbtdKROZWc/edit#gid=1444865654"",""articles_with_PRISMA_reasons!W2:W2113""), $A448=IMPORTRANGE(""https://docs.google.com/"&amp;"spreadsheets/d/1qpEmbGH0JjaJbUdp21-y2cPbobDbMjr09BbtdKROZWc/edit#gid=1444865654"",""articles_with_PRISMA_reasons!B2:B2113""))&gt;=2,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$A448=IMPORTRANGE(""https://docs.google.com/spreadsheets/d/1qpEmbGH0JjaJbUdp21-y2cPbobDbMjr09BbtdKROZWc/edit#gid=1444865654"",""articles_with_PRISMA_reasons!B2:B2113""))&lt;2),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$A448=IMPORTRANGE(""https://docs.google.com/spreadsheets/d/1qpEmbGH0JjaJbUdp21-y2cPbobDbMjr09BbtdKRO"&amp;"ZWc/edit#gid=1444865654"",""articles_with_PRISMA_reasons!B2:B2113""))&lt;2,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$A448=IMPOR"&amp;"TRANGE(""https://docs.google.com/spreadsheets/d/1qpEmbGH0JjaJbUdp21-y2cPbobDbMjr09BbtdKROZWc/edit#gid=1444865654"",""articles_with_PRISMA_reasons!B2:B2113""))&gt;=2),
""Exclude""
)"),"Exclude")</f>
        <v>Exclude</v>
      </c>
      <c r="F448" s="5" t="str">
        <f>IFERROR(__xludf.DUMMYFUNCTION("IFS(
E448=""Exclude"",""Exclude"",
AND(
COUNTIF(
IMPORTRANGE(""https://docs.google.com/spreadsheets/d/1kGrh75X1cNR1D7_FcY9zMnHP8iPO4M5RCRjy6nZY0TY/edit#gid=0"",""Table 1: Study characteristics!B4:B171""),A448)&gt;0,
COUNTIF(Studies!$A$2:$A$85,FILTER(IMPORTRA"&amp;"NGE(""https://docs.google.com/spreadsheets/d/1kGrh75X1cNR1D7_FcY9zMnHP8iPO4M5RCRjy6nZY0TY/edit#gid=0"",""Table 1: Study characteristics!A4:A171""), $A448=IMPORTRANGE(""https://docs.google.com/spreadsheets/d/1kGrh75X1cNR1D7_FcY9zMnHP8iPO4M5RCRjy6nZY0TY/edi"&amp;"t#gid=0"",""Table 1: Study characteristics!B4:B171"")))&gt;0
),
""Include""
)"),"Exclude")</f>
        <v>Exclude</v>
      </c>
      <c r="G448" s="5" t="str">
        <f>IFERROR(__xludf.DUMMYFUNCTION("IFS(
D448=""Exclude"",
FILTER(IMPORTRANGE(""https://docs.google.com/spreadsheets/d/1BJSV3WBYJGRhQ6zExamkszQ5VutGIcaQqmbD9ZTVXMQ/edit#gid=1251630045"",""articles_with_PRISMA_reasons!AB2:AB2113""), $A448=IMPORTRANGE(""https://docs.google.com/spreadsheets/d/"&amp;"1BJSV3WBYJGRhQ6zExamkszQ5VutGIcaQqmbD9ZTVXMQ/edit#gid=1251630045"",""articles_with_PRISMA_reasons!B2:B2113"")),
E448=""Exclude"",
FILTER(IMPORTRANGE(""https://docs.google.com/spreadsheets/d/1qpEmbGH0JjaJbUdp21-y2cPbobDbMjr09BbtdKROZWc/edit#gid=1444865654"&amp;""",""articles_with_PRISMA_reasons!Z2:Z2113""), $A448=IMPORTRANGE(""https://docs.google.com/spreadsheets/d/1qpEmbGH0JjaJbUdp21-y2cPbobDbMjr09BbtdKROZWc/edit#gid=1444865654"",""articles_with_PRISMA_reasons!B2:B2113"")),F448
=""Include"",FILTER(IMPORTRANGE("&amp;"""https://docs.google.com/spreadsheets/d/1kGrh75X1cNR1D7_FcY9zMnHP8iPO4M5RCRjy6nZY0TY/edit#gid=0"",""Table 1: Study characteristics!A4:A171""), $A448=IMPORTRANGE(""https://docs.google.com/spreadsheets/d/1kGrh75X1cNR1D7_FcY9zMnHP8iPO4M5RCRjy6nZY0TY/edit#gi"&amp;"d=0"",""Table 1: Study characteristics!B4:B171""))
)"),"wrong population")</f>
        <v>wrong population</v>
      </c>
    </row>
    <row r="449">
      <c r="A449" s="4" t="str">
        <f>IFERROR(__xludf.DUMMYFUNCTION("""COMPUTED_VALUE"""),"Clinical features and MR imaging in children with repaired myelomeningocele")</f>
        <v>Clinical features and MR imaging in children with repaired myelomeningocele</v>
      </c>
      <c r="B449" s="5" t="str">
        <f>IFERROR(__xludf.DUMMYFUNCTION("LEFT(FILTER(IMPORTRANGE(""https://docs.google.com/spreadsheets/d/1BJSV3WBYJGRhQ6zExamkszQ5VutGIcaQqmbD9ZTVXMQ/edit#gid=1251630045"",""articles_with_PRISMA_reasons!K2:K2113""), $A449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$A449=IMPORTRANGE(""https://docs.google.com/spreadsheets/d/1BJSV3WBYJGRhQ6zExamkszQ5VutGIcaQqmbD9ZTVXMQ/edit#gid=1251630045"",""articles_with_PRISMA_reasons!B2:B2113"")))-1)"),"Bono")</f>
        <v>Bono</v>
      </c>
      <c r="C449" s="6">
        <f>IFERROR(__xludf.DUMMYFUNCTION("FILTER(IMPORTRANGE(""https://docs.google.com/spreadsheets/d/1BJSV3WBYJGRhQ6zExamkszQ5VutGIcaQqmbD9ZTVXMQ/edit#gid=1251630045"",""articles_with_PRISMA_reasons!C2:C2113""), $A449=IMPORTRANGE(""https://docs.google.com/spreadsheets/d/1BJSV3WBYJGRhQ6zExamkszQ5"&amp;"VutGIcaQqmbD9ZTVXMQ/edit#gid=1251630045"",""articles_with_PRISMA_reasons!B2:B2113""))"),1993.0)</f>
        <v>1993</v>
      </c>
      <c r="D449" s="5" t="str">
        <f>IFERROR(__xludf.DUMMYFUNCTION("IFS(AND(
FILTER(IMPORTRANGE(""https://docs.google.com/spreadsheets/d/1BJSV3WBYJGRhQ6zExamkszQ5VutGIcaQqmbD9ZTVXMQ/edit#gid=1251630045"",""articles_with_PRISMA_reasons!Y2:Y2113""), $A449=IMPORTRANGE(""https://docs.google.com/spreadsheets/d/1BJSV3WBYJGRhQ6z"&amp;"ExamkszQ5VutGIcaQqmbD9ZTVXMQ/edit#gid=1251630045"",""articles_with_PRISMA_reasons!B2:B2113""))&gt;=2,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$A449=IMPORTRANGE(""https://docs.google.com/spreadsheets/d/1BJSV3WBYJGRhQ6zExamkszQ5VutGIcaQqmbD9ZTVXMQ/edit#gid=1251630045"",""articles_with_PRISMA_reasons!B2:B2113""))&lt;2),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$A449=IMPORTRANGE(""https://docs.google.com/spreadsheets/d/1BJSV3WBYJGRhQ6zExamkszQ5VutGIcaQqmbD9ZTVXMQ/edit#gid=1251630045"",""arti"&amp;"cles_with_PRISMA_reasons!B2:B2113""))&lt;2,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$A449=IMPORTRANGE(""https://docs.google.com"&amp;"/spreadsheets/d/1BJSV3WBYJGRhQ6zExamkszQ5VutGIcaQqmbD9ZTVXMQ/edit#gid=1251630045"",""articles_with_PRISMA_reasons!B2:B2113""))&gt;=2),
""Exclude""
)"),"Exclude")</f>
        <v>Exclude</v>
      </c>
      <c r="E449" s="5" t="str">
        <f>IFERROR(__xludf.DUMMYFUNCTION("IFS(
D449=""Exclude"",""Exclude"",
AND(
FILTER(IMPORTRANGE(""https://docs.google.com/spreadsheets/d/1qpEmbGH0JjaJbUdp21-y2cPbobDbMjr09BbtdKROZWc/edit#gid=1444865654"",""articles_with_PRISMA_reasons!W2:W2113""), $A449=IMPORTRANGE(""https://docs.google.com/"&amp;"spreadsheets/d/1qpEmbGH0JjaJbUdp21-y2cPbobDbMjr09BbtdKROZWc/edit#gid=1444865654"",""articles_with_PRISMA_reasons!B2:B2113""))&gt;=2,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$A449=IMPORTRANGE(""https://docs.google.com/spreadsheets/d/1qpEmbGH0JjaJbUdp21-y2cPbobDbMjr09BbtdKROZWc/edit#gid=1444865654"",""articles_with_PRISMA_reasons!B2:B2113""))&lt;2),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$A449=IMPORTRANGE(""https://docs.google.com/spreadsheets/d/1qpEmbGH0JjaJbUdp21-y2cPbobDbMjr09BbtdKRO"&amp;"ZWc/edit#gid=1444865654"",""articles_with_PRISMA_reasons!B2:B2113""))&lt;2,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$A449=IMPOR"&amp;"TRANGE(""https://docs.google.com/spreadsheets/d/1qpEmbGH0JjaJbUdp21-y2cPbobDbMjr09BbtdKROZWc/edit#gid=1444865654"",""articles_with_PRISMA_reasons!B2:B2113""))&gt;=2),
""Exclude""
)"),"Exclude")</f>
        <v>Exclude</v>
      </c>
      <c r="F449" s="5" t="str">
        <f>IFERROR(__xludf.DUMMYFUNCTION("IFS(
E449=""Exclude"",""Exclude"",
AND(
COUNTIF(
IMPORTRANGE(""https://docs.google.com/spreadsheets/d/1kGrh75X1cNR1D7_FcY9zMnHP8iPO4M5RCRjy6nZY0TY/edit#gid=0"",""Table 1: Study characteristics!B4:B171""),A449)&gt;0,
COUNTIF(Studies!$A$2:$A$85,FILTER(IMPORTRA"&amp;"NGE(""https://docs.google.com/spreadsheets/d/1kGrh75X1cNR1D7_FcY9zMnHP8iPO4M5RCRjy6nZY0TY/edit#gid=0"",""Table 1: Study characteristics!A4:A171""), $A449=IMPORTRANGE(""https://docs.google.com/spreadsheets/d/1kGrh75X1cNR1D7_FcY9zMnHP8iPO4M5RCRjy6nZY0TY/edi"&amp;"t#gid=0"",""Table 1: Study characteristics!B4:B171"")))&gt;0
),
""Include""
)"),"Exclude")</f>
        <v>Exclude</v>
      </c>
      <c r="G449" s="5" t="str">
        <f>IFERROR(__xludf.DUMMYFUNCTION("IFS(
D449=""Exclude"",
FILTER(IMPORTRANGE(""https://docs.google.com/spreadsheets/d/1BJSV3WBYJGRhQ6zExamkszQ5VutGIcaQqmbD9ZTVXMQ/edit#gid=1251630045"",""articles_with_PRISMA_reasons!AB2:AB2113""), $A449=IMPORTRANGE(""https://docs.google.com/spreadsheets/d/"&amp;"1BJSV3WBYJGRhQ6zExamkszQ5VutGIcaQqmbD9ZTVXMQ/edit#gid=1251630045"",""articles_with_PRISMA_reasons!B2:B2113"")),
E449=""Exclude"",
FILTER(IMPORTRANGE(""https://docs.google.com/spreadsheets/d/1qpEmbGH0JjaJbUdp21-y2cPbobDbMjr09BbtdKROZWc/edit#gid=1444865654"&amp;""",""articles_with_PRISMA_reasons!Z2:Z2113""), $A449=IMPORTRANGE(""https://docs.google.com/spreadsheets/d/1qpEmbGH0JjaJbUdp21-y2cPbobDbMjr09BbtdKROZWc/edit#gid=1444865654"",""articles_with_PRISMA_reasons!B2:B2113"")),F449
=""Include"",FILTER(IMPORTRANGE("&amp;"""https://docs.google.com/spreadsheets/d/1kGrh75X1cNR1D7_FcY9zMnHP8iPO4M5RCRjy6nZY0TY/edit#gid=0"",""Table 1: Study characteristics!A4:A171""), $A449=IMPORTRANGE(""https://docs.google.com/spreadsheets/d/1kGrh75X1cNR1D7_FcY9zMnHP8iPO4M5RCRjy6nZY0TY/edit#gi"&amp;"d=0"",""Table 1: Study characteristics!B4:B171""))
)"),"wrong population")</f>
        <v>wrong population</v>
      </c>
    </row>
    <row r="450">
      <c r="A450" s="4" t="str">
        <f>IFERROR(__xludf.DUMMYFUNCTION("""COMPUTED_VALUE"""),"Clinical features in patients requiring reoperation after failed endoscopic procedures for hydrocephalus")</f>
        <v>Clinical features in patients requiring reoperation after failed endoscopic procedures for hydrocephalus</v>
      </c>
      <c r="B450" s="5" t="str">
        <f>IFERROR(__xludf.DUMMYFUNCTION("LEFT(FILTER(IMPORTRANGE(""https://docs.google.com/spreadsheets/d/1BJSV3WBYJGRhQ6zExamkszQ5VutGIcaQqmbD9ZTVXMQ/edit#gid=1251630045"",""articles_with_PRISMA_reasons!K2:K2113""), $A450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$A450=IMPORTRANGE(""https://docs.google.com/spreadsheets/d/1BJSV3WBYJGRhQ6zExamkszQ5VutGIcaQqmbD9ZTVXMQ/edit#gid=1251630045"",""articles_with_PRISMA_reasons!B2:B2113"")))-1)"),"Hayashi")</f>
        <v>Hayashi</v>
      </c>
      <c r="C450" s="6">
        <f>IFERROR(__xludf.DUMMYFUNCTION("FILTER(IMPORTRANGE(""https://docs.google.com/spreadsheets/d/1BJSV3WBYJGRhQ6zExamkszQ5VutGIcaQqmbD9ZTVXMQ/edit#gid=1251630045"",""articles_with_PRISMA_reasons!C2:C2113""), $A450=IMPORTRANGE(""https://docs.google.com/spreadsheets/d/1BJSV3WBYJGRhQ6zExamkszQ5"&amp;"VutGIcaQqmbD9ZTVXMQ/edit#gid=1251630045"",""articles_with_PRISMA_reasons!B2:B2113""))"),2000.0)</f>
        <v>2000</v>
      </c>
      <c r="D450" s="5" t="str">
        <f>IFERROR(__xludf.DUMMYFUNCTION("IFS(AND(
FILTER(IMPORTRANGE(""https://docs.google.com/spreadsheets/d/1BJSV3WBYJGRhQ6zExamkszQ5VutGIcaQqmbD9ZTVXMQ/edit#gid=1251630045"",""articles_with_PRISMA_reasons!Y2:Y2113""), $A450=IMPORTRANGE(""https://docs.google.com/spreadsheets/d/1BJSV3WBYJGRhQ6z"&amp;"ExamkszQ5VutGIcaQqmbD9ZTVXMQ/edit#gid=1251630045"",""articles_with_PRISMA_reasons!B2:B2113""))&gt;=2,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$A450=IMPORTRANGE(""https://docs.google.com/spreadsheets/d/1BJSV3WBYJGRhQ6zExamkszQ5VutGIcaQqmbD9ZTVXMQ/edit#gid=1251630045"",""articles_with_PRISMA_reasons!B2:B2113""))&lt;2),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$A450=IMPORTRANGE(""https://docs.google.com/spreadsheets/d/1BJSV3WBYJGRhQ6zExamkszQ5VutGIcaQqmbD9ZTVXMQ/edit#gid=1251630045"",""arti"&amp;"cles_with_PRISMA_reasons!B2:B2113""))&lt;2,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$A450=IMPORTRANGE(""https://docs.google.com"&amp;"/spreadsheets/d/1BJSV3WBYJGRhQ6zExamkszQ5VutGIcaQqmbD9ZTVXMQ/edit#gid=1251630045"",""articles_with_PRISMA_reasons!B2:B2113""))&gt;=2),
""Exclude""
)"),"Include")</f>
        <v>Include</v>
      </c>
      <c r="E450" s="5" t="str">
        <f>IFERROR(__xludf.DUMMYFUNCTION("IFS(
D450=""Exclude"",""Exclude"",
AND(
FILTER(IMPORTRANGE(""https://docs.google.com/spreadsheets/d/1qpEmbGH0JjaJbUdp21-y2cPbobDbMjr09BbtdKROZWc/edit#gid=1444865654"",""articles_with_PRISMA_reasons!W2:W2113""), $A450=IMPORTRANGE(""https://docs.google.com/"&amp;"spreadsheets/d/1qpEmbGH0JjaJbUdp21-y2cPbobDbMjr09BbtdKROZWc/edit#gid=1444865654"",""articles_with_PRISMA_reasons!B2:B2113""))&gt;=2,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$A450=IMPORTRANGE(""https://docs.google.com/spreadsheets/d/1qpEmbGH0JjaJbUdp21-y2cPbobDbMjr09BbtdKROZWc/edit#gid=1444865654"",""articles_with_PRISMA_reasons!B2:B2113""))&lt;2),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$A450=IMPORTRANGE(""https://docs.google.com/spreadsheets/d/1qpEmbGH0JjaJbUdp21-y2cPbobDbMjr09BbtdKRO"&amp;"ZWc/edit#gid=1444865654"",""articles_with_PRISMA_reasons!B2:B2113""))&lt;2,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$A450=IMPOR"&amp;"TRANGE(""https://docs.google.com/spreadsheets/d/1qpEmbGH0JjaJbUdp21-y2cPbobDbMjr09BbtdKROZWc/edit#gid=1444865654"",""articles_with_PRISMA_reasons!B2:B2113""))&gt;=2),
""Exclude""
)"),"Exclude")</f>
        <v>Exclude</v>
      </c>
      <c r="F450" s="5" t="str">
        <f>IFERROR(__xludf.DUMMYFUNCTION("IFS(
E450=""Exclude"",""Exclude"",
AND(
COUNTIF(
IMPORTRANGE(""https://docs.google.com/spreadsheets/d/1kGrh75X1cNR1D7_FcY9zMnHP8iPO4M5RCRjy6nZY0TY/edit#gid=0"",""Table 1: Study characteristics!B4:B171""),A450)&gt;0,
COUNTIF(Studies!$A$2:$A$85,FILTER(IMPORTRA"&amp;"NGE(""https://docs.google.com/spreadsheets/d/1kGrh75X1cNR1D7_FcY9zMnHP8iPO4M5RCRjy6nZY0TY/edit#gid=0"",""Table 1: Study characteristics!A4:A171""), $A450=IMPORTRANGE(""https://docs.google.com/spreadsheets/d/1kGrh75X1cNR1D7_FcY9zMnHP8iPO4M5RCRjy6nZY0TY/edi"&amp;"t#gid=0"",""Table 1: Study characteristics!B4:B171"")))&gt;0
),
""Include""
)"),"Exclude")</f>
        <v>Exclude</v>
      </c>
      <c r="G450" s="5" t="str">
        <f>IFERROR(__xludf.DUMMYFUNCTION("IFS(
D450=""Exclude"",
FILTER(IMPORTRANGE(""https://docs.google.com/spreadsheets/d/1BJSV3WBYJGRhQ6zExamkszQ5VutGIcaQqmbD9ZTVXMQ/edit#gid=1251630045"",""articles_with_PRISMA_reasons!AB2:AB2113""), $A450=IMPORTRANGE(""https://docs.google.com/spreadsheets/d/"&amp;"1BJSV3WBYJGRhQ6zExamkszQ5VutGIcaQqmbD9ZTVXMQ/edit#gid=1251630045"",""articles_with_PRISMA_reasons!B2:B2113"")),
E450=""Exclude"",
FILTER(IMPORTRANGE(""https://docs.google.com/spreadsheets/d/1qpEmbGH0JjaJbUdp21-y2cPbobDbMjr09BbtdKROZWc/edit#gid=1444865654"&amp;""",""articles_with_PRISMA_reasons!Z2:Z2113""), $A450=IMPORTRANGE(""https://docs.google.com/spreadsheets/d/1qpEmbGH0JjaJbUdp21-y2cPbobDbMjr09BbtdKROZWc/edit#gid=1444865654"",""articles_with_PRISMA_reasons!B2:B2113"")),F450
=""Include"",FILTER(IMPORTRANGE("&amp;"""https://docs.google.com/spreadsheets/d/1kGrh75X1cNR1D7_FcY9zMnHP8iPO4M5RCRjy6nZY0TY/edit#gid=0"",""Table 1: Study characteristics!A4:A171""), $A450=IMPORTRANGE(""https://docs.google.com/spreadsheets/d/1kGrh75X1cNR1D7_FcY9zMnHP8iPO4M5RCRjy6nZY0TY/edit#gi"&amp;"d=0"",""Table 1: Study characteristics!B4:B171""))
)"),"wrong population")</f>
        <v>wrong population</v>
      </c>
    </row>
    <row r="451">
      <c r="A451" s="4" t="str">
        <f>IFERROR(__xludf.DUMMYFUNCTION("""COMPUTED_VALUE"""),"Clinical negligence and children")</f>
        <v>Clinical negligence and children</v>
      </c>
      <c r="B451" s="5" t="str">
        <f>IFERROR(__xludf.DUMMYFUNCTION("LEFT(FILTER(IMPORTRANGE(""https://docs.google.com/spreadsheets/d/1BJSV3WBYJGRhQ6zExamkszQ5VutGIcaQqmbD9ZTVXMQ/edit#gid=1251630045"",""articles_with_PRISMA_reasons!K2:K2113""), $A451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$A451=IMPORTRANGE(""https://docs.google.com/spreadsheets/d/1BJSV3WBYJGRhQ6zExamkszQ5VutGIcaQqmbD9ZTVXMQ/edit#gid=1251630045"",""articles_with_PRISMA_reasons!B2:B2113"")))-1)"),"Marcovitch")</f>
        <v>Marcovitch</v>
      </c>
      <c r="C451" s="6">
        <f>IFERROR(__xludf.DUMMYFUNCTION("FILTER(IMPORTRANGE(""https://docs.google.com/spreadsheets/d/1BJSV3WBYJGRhQ6zExamkszQ5VutGIcaQqmbD9ZTVXMQ/edit#gid=1251630045"",""articles_with_PRISMA_reasons!C2:C2113""), $A451=IMPORTRANGE(""https://docs.google.com/spreadsheets/d/1BJSV3WBYJGRhQ6zExamkszQ5"&amp;"VutGIcaQqmbD9ZTVXMQ/edit#gid=1251630045"",""articles_with_PRISMA_reasons!B2:B2113""))"),2004.0)</f>
        <v>2004</v>
      </c>
      <c r="D451" s="5" t="str">
        <f>IFERROR(__xludf.DUMMYFUNCTION("IFS(AND(
FILTER(IMPORTRANGE(""https://docs.google.com/spreadsheets/d/1BJSV3WBYJGRhQ6zExamkszQ5VutGIcaQqmbD9ZTVXMQ/edit#gid=1251630045"",""articles_with_PRISMA_reasons!Y2:Y2113""), $A451=IMPORTRANGE(""https://docs.google.com/spreadsheets/d/1BJSV3WBYJGRhQ6z"&amp;"ExamkszQ5VutGIcaQqmbD9ZTVXMQ/edit#gid=1251630045"",""articles_with_PRISMA_reasons!B2:B2113""))&gt;=2,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$A451=IMPORTRANGE(""https://docs.google.com/spreadsheets/d/1BJSV3WBYJGRhQ6zExamkszQ5VutGIcaQqmbD9ZTVXMQ/edit#gid=1251630045"",""articles_with_PRISMA_reasons!B2:B2113""))&lt;2),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$A451=IMPORTRANGE(""https://docs.google.com/spreadsheets/d/1BJSV3WBYJGRhQ6zExamkszQ5VutGIcaQqmbD9ZTVXMQ/edit#gid=1251630045"",""arti"&amp;"cles_with_PRISMA_reasons!B2:B2113""))&lt;2,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$A451=IMPORTRANGE(""https://docs.google.com"&amp;"/spreadsheets/d/1BJSV3WBYJGRhQ6zExamkszQ5VutGIcaQqmbD9ZTVXMQ/edit#gid=1251630045"",""articles_with_PRISMA_reasons!B2:B2113""))&gt;=2),
""Exclude""
)"),"Exclude")</f>
        <v>Exclude</v>
      </c>
      <c r="E451" s="5" t="str">
        <f>IFERROR(__xludf.DUMMYFUNCTION("IFS(
D451=""Exclude"",""Exclude"",
AND(
FILTER(IMPORTRANGE(""https://docs.google.com/spreadsheets/d/1qpEmbGH0JjaJbUdp21-y2cPbobDbMjr09BbtdKROZWc/edit#gid=1444865654"",""articles_with_PRISMA_reasons!W2:W2113""), $A451=IMPORTRANGE(""https://docs.google.com/"&amp;"spreadsheets/d/1qpEmbGH0JjaJbUdp21-y2cPbobDbMjr09BbtdKROZWc/edit#gid=1444865654"",""articles_with_PRISMA_reasons!B2:B2113""))&gt;=2,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$A451=IMPORTRANGE(""https://docs.google.com/spreadsheets/d/1qpEmbGH0JjaJbUdp21-y2cPbobDbMjr09BbtdKROZWc/edit#gid=1444865654"",""articles_with_PRISMA_reasons!B2:B2113""))&lt;2),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$A451=IMPORTRANGE(""https://docs.google.com/spreadsheets/d/1qpEmbGH0JjaJbUdp21-y2cPbobDbMjr09BbtdKRO"&amp;"ZWc/edit#gid=1444865654"",""articles_with_PRISMA_reasons!B2:B2113""))&lt;2,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$A451=IMPOR"&amp;"TRANGE(""https://docs.google.com/spreadsheets/d/1qpEmbGH0JjaJbUdp21-y2cPbobDbMjr09BbtdKROZWc/edit#gid=1444865654"",""articles_with_PRISMA_reasons!B2:B2113""))&gt;=2),
""Exclude""
)"),"Exclude")</f>
        <v>Exclude</v>
      </c>
      <c r="F451" s="5" t="str">
        <f>IFERROR(__xludf.DUMMYFUNCTION("IFS(
E451=""Exclude"",""Exclude"",
AND(
COUNTIF(
IMPORTRANGE(""https://docs.google.com/spreadsheets/d/1kGrh75X1cNR1D7_FcY9zMnHP8iPO4M5RCRjy6nZY0TY/edit#gid=0"",""Table 1: Study characteristics!B4:B171""),A451)&gt;0,
COUNTIF(Studies!$A$2:$A$85,FILTER(IMPORTRA"&amp;"NGE(""https://docs.google.com/spreadsheets/d/1kGrh75X1cNR1D7_FcY9zMnHP8iPO4M5RCRjy6nZY0TY/edit#gid=0"",""Table 1: Study characteristics!A4:A171""), $A451=IMPORTRANGE(""https://docs.google.com/spreadsheets/d/1kGrh75X1cNR1D7_FcY9zMnHP8iPO4M5RCRjy6nZY0TY/edi"&amp;"t#gid=0"",""Table 1: Study characteristics!B4:B171"")))&gt;0
),
""Include""
)"),"Exclude")</f>
        <v>Exclude</v>
      </c>
      <c r="G451" s="5" t="str">
        <f>IFERROR(__xludf.DUMMYFUNCTION("IFS(
D451=""Exclude"",
FILTER(IMPORTRANGE(""https://docs.google.com/spreadsheets/d/1BJSV3WBYJGRhQ6zExamkszQ5VutGIcaQqmbD9ZTVXMQ/edit#gid=1251630045"",""articles_with_PRISMA_reasons!AB2:AB2113""), $A451=IMPORTRANGE(""https://docs.google.com/spreadsheets/d/"&amp;"1BJSV3WBYJGRhQ6zExamkszQ5VutGIcaQqmbD9ZTVXMQ/edit#gid=1251630045"",""articles_with_PRISMA_reasons!B2:B2113"")),
E451=""Exclude"",
FILTER(IMPORTRANGE(""https://docs.google.com/spreadsheets/d/1qpEmbGH0JjaJbUdp21-y2cPbobDbMjr09BbtdKROZWc/edit#gid=1444865654"&amp;""",""articles_with_PRISMA_reasons!Z2:Z2113""), $A451=IMPORTRANGE(""https://docs.google.com/spreadsheets/d/1qpEmbGH0JjaJbUdp21-y2cPbobDbMjr09BbtdKROZWc/edit#gid=1444865654"",""articles_with_PRISMA_reasons!B2:B2113"")),F451
=""Include"",FILTER(IMPORTRANGE("&amp;"""https://docs.google.com/spreadsheets/d/1kGrh75X1cNR1D7_FcY9zMnHP8iPO4M5RCRjy6nZY0TY/edit#gid=0"",""Table 1: Study characteristics!A4:A171""), $A451=IMPORTRANGE(""https://docs.google.com/spreadsheets/d/1kGrh75X1cNR1D7_FcY9zMnHP8iPO4M5RCRjy6nZY0TY/edit#gi"&amp;"d=0"",""Table 1: Study characteristics!B4:B171""))
)"),"wrong study design")</f>
        <v>wrong study design</v>
      </c>
    </row>
    <row r="452">
      <c r="A452" s="4" t="str">
        <f>IFERROR(__xludf.DUMMYFUNCTION("""COMPUTED_VALUE"""),"Clinical outcome of V-Y flap with latissimus dorsi and gluteal advancement for treatment of large thoracolumbar myelomeningocele defects: A comparative study")</f>
        <v>Clinical outcome of V-Y flap with latissimus dorsi and gluteal advancement for treatment of large thoracolumbar myelomeningocele defects: A comparative study</v>
      </c>
      <c r="B452" s="5" t="str">
        <f>IFERROR(__xludf.DUMMYFUNCTION("LEFT(FILTER(IMPORTRANGE(""https://docs.google.com/spreadsheets/d/1BJSV3WBYJGRhQ6zExamkszQ5VutGIcaQqmbD9ZTVXMQ/edit#gid=1251630045"",""articles_with_PRISMA_reasons!K2:K2113""), $A452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$A452=IMPORTRANGE(""https://docs.google.com/spreadsheets/d/1BJSV3WBYJGRhQ6zExamkszQ5VutGIcaQqmbD9ZTVXMQ/edit#gid=1251630045"",""articles_with_PRISMA_reasons!B2:B2113"")))-1)"),"Masoudi")</f>
        <v>Masoudi</v>
      </c>
      <c r="C452" s="6">
        <f>IFERROR(__xludf.DUMMYFUNCTION("FILTER(IMPORTRANGE(""https://docs.google.com/spreadsheets/d/1BJSV3WBYJGRhQ6zExamkszQ5VutGIcaQqmbD9ZTVXMQ/edit#gid=1251630045"",""articles_with_PRISMA_reasons!C2:C2113""), $A452=IMPORTRANGE(""https://docs.google.com/spreadsheets/d/1BJSV3WBYJGRhQ6zExamkszQ5"&amp;"VutGIcaQqmbD9ZTVXMQ/edit#gid=1251630045"",""articles_with_PRISMA_reasons!B2:B2113""))"),2019.0)</f>
        <v>2019</v>
      </c>
      <c r="D452" s="5" t="str">
        <f>IFERROR(__xludf.DUMMYFUNCTION("IFS(AND(
FILTER(IMPORTRANGE(""https://docs.google.com/spreadsheets/d/1BJSV3WBYJGRhQ6zExamkszQ5VutGIcaQqmbD9ZTVXMQ/edit#gid=1251630045"",""articles_with_PRISMA_reasons!Y2:Y2113""), $A452=IMPORTRANGE(""https://docs.google.com/spreadsheets/d/1BJSV3WBYJGRhQ6z"&amp;"ExamkszQ5VutGIcaQqmbD9ZTVXMQ/edit#gid=1251630045"",""articles_with_PRISMA_reasons!B2:B2113""))&gt;=2,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$A452=IMPORTRANGE(""https://docs.google.com/spreadsheets/d/1BJSV3WBYJGRhQ6zExamkszQ5VutGIcaQqmbD9ZTVXMQ/edit#gid=1251630045"",""articles_with_PRISMA_reasons!B2:B2113""))&lt;2),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$A452=IMPORTRANGE(""https://docs.google.com/spreadsheets/d/1BJSV3WBYJGRhQ6zExamkszQ5VutGIcaQqmbD9ZTVXMQ/edit#gid=1251630045"",""arti"&amp;"cles_with_PRISMA_reasons!B2:B2113""))&lt;2,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$A452=IMPORTRANGE(""https://docs.google.com"&amp;"/spreadsheets/d/1BJSV3WBYJGRhQ6zExamkszQ5VutGIcaQqmbD9ZTVXMQ/edit#gid=1251630045"",""articles_with_PRISMA_reasons!B2:B2113""))&gt;=2),
""Exclude""
)"),"Exclude")</f>
        <v>Exclude</v>
      </c>
      <c r="E452" s="5" t="str">
        <f>IFERROR(__xludf.DUMMYFUNCTION("IFS(
D452=""Exclude"",""Exclude"",
AND(
FILTER(IMPORTRANGE(""https://docs.google.com/spreadsheets/d/1qpEmbGH0JjaJbUdp21-y2cPbobDbMjr09BbtdKROZWc/edit#gid=1444865654"",""articles_with_PRISMA_reasons!W2:W2113""), $A452=IMPORTRANGE(""https://docs.google.com/"&amp;"spreadsheets/d/1qpEmbGH0JjaJbUdp21-y2cPbobDbMjr09BbtdKROZWc/edit#gid=1444865654"",""articles_with_PRISMA_reasons!B2:B2113""))&gt;=2,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$A452=IMPORTRANGE(""https://docs.google.com/spreadsheets/d/1qpEmbGH0JjaJbUdp21-y2cPbobDbMjr09BbtdKROZWc/edit#gid=1444865654"",""articles_with_PRISMA_reasons!B2:B2113""))&lt;2),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$A452=IMPORTRANGE(""https://docs.google.com/spreadsheets/d/1qpEmbGH0JjaJbUdp21-y2cPbobDbMjr09BbtdKRO"&amp;"ZWc/edit#gid=1444865654"",""articles_with_PRISMA_reasons!B2:B2113""))&lt;2,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$A452=IMPOR"&amp;"TRANGE(""https://docs.google.com/spreadsheets/d/1qpEmbGH0JjaJbUdp21-y2cPbobDbMjr09BbtdKROZWc/edit#gid=1444865654"",""articles_with_PRISMA_reasons!B2:B2113""))&gt;=2),
""Exclude""
)"),"Exclude")</f>
        <v>Exclude</v>
      </c>
      <c r="F452" s="5" t="str">
        <f>IFERROR(__xludf.DUMMYFUNCTION("IFS(
E452=""Exclude"",""Exclude"",
AND(
COUNTIF(
IMPORTRANGE(""https://docs.google.com/spreadsheets/d/1kGrh75X1cNR1D7_FcY9zMnHP8iPO4M5RCRjy6nZY0TY/edit#gid=0"",""Table 1: Study characteristics!B4:B171""),A452)&gt;0,
COUNTIF(Studies!$A$2:$A$85,FILTER(IMPORTRA"&amp;"NGE(""https://docs.google.com/spreadsheets/d/1kGrh75X1cNR1D7_FcY9zMnHP8iPO4M5RCRjy6nZY0TY/edit#gid=0"",""Table 1: Study characteristics!A4:A171""), $A452=IMPORTRANGE(""https://docs.google.com/spreadsheets/d/1kGrh75X1cNR1D7_FcY9zMnHP8iPO4M5RCRjy6nZY0TY/edi"&amp;"t#gid=0"",""Table 1: Study characteristics!B4:B171"")))&gt;0
),
""Include""
)"),"Exclude")</f>
        <v>Exclude</v>
      </c>
      <c r="G452" s="5" t="str">
        <f>IFERROR(__xludf.DUMMYFUNCTION("IFS(
D452=""Exclude"",
FILTER(IMPORTRANGE(""https://docs.google.com/spreadsheets/d/1BJSV3WBYJGRhQ6zExamkszQ5VutGIcaQqmbD9ZTVXMQ/edit#gid=1251630045"",""articles_with_PRISMA_reasons!AB2:AB2113""), $A452=IMPORTRANGE(""https://docs.google.com/spreadsheets/d/"&amp;"1BJSV3WBYJGRhQ6zExamkszQ5VutGIcaQqmbD9ZTVXMQ/edit#gid=1251630045"",""articles_with_PRISMA_reasons!B2:B2113"")),
E452=""Exclude"",
FILTER(IMPORTRANGE(""https://docs.google.com/spreadsheets/d/1qpEmbGH0JjaJbUdp21-y2cPbobDbMjr09BbtdKROZWc/edit#gid=1444865654"&amp;""",""articles_with_PRISMA_reasons!Z2:Z2113""), $A452=IMPORTRANGE(""https://docs.google.com/spreadsheets/d/1qpEmbGH0JjaJbUdp21-y2cPbobDbMjr09BbtdKROZWc/edit#gid=1444865654"",""articles_with_PRISMA_reasons!B2:B2113"")),F452
=""Include"",FILTER(IMPORTRANGE("&amp;"""https://docs.google.com/spreadsheets/d/1kGrh75X1cNR1D7_FcY9zMnHP8iPO4M5RCRjy6nZY0TY/edit#gid=0"",""Table 1: Study characteristics!A4:A171""), $A452=IMPORTRANGE(""https://docs.google.com/spreadsheets/d/1kGrh75X1cNR1D7_FcY9zMnHP8iPO4M5RCRjy6nZY0TY/edit#gi"&amp;"d=0"",""Table 1: Study characteristics!B4:B171""))
)"),"wrong population")</f>
        <v>wrong population</v>
      </c>
    </row>
    <row r="453">
      <c r="A453" s="4" t="str">
        <f>IFERROR(__xludf.DUMMYFUNCTION("""COMPUTED_VALUE"""),"Clinical outcomes of myelomeningocele defect closure over 10 years")</f>
        <v>Clinical outcomes of myelomeningocele defect closure over 10 years</v>
      </c>
      <c r="B453" s="5" t="str">
        <f>IFERROR(__xludf.DUMMYFUNCTION("LEFT(FILTER(IMPORTRANGE(""https://docs.google.com/spreadsheets/d/1BJSV3WBYJGRhQ6zExamkszQ5VutGIcaQqmbD9ZTVXMQ/edit#gid=1251630045"",""articles_with_PRISMA_reasons!K2:K2113""), $A453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$A453=IMPORTRANGE(""https://docs.google.com/spreadsheets/d/1BJSV3WBYJGRhQ6zExamkszQ5VutGIcaQqmbD9ZTVXMQ/edit#gid=1251630045"",""articles_with_PRISMA_reasons!B2:B2113"")))-1)"),"Müslüman")</f>
        <v>Müslüman</v>
      </c>
      <c r="C453" s="6" t="str">
        <f>IFERROR(__xludf.DUMMYFUNCTION("FILTER(IMPORTRANGE(""https://docs.google.com/spreadsheets/d/1BJSV3WBYJGRhQ6zExamkszQ5VutGIcaQqmbD9ZTVXMQ/edit#gid=1251630045"",""articles_with_PRISMA_reasons!C2:C2113""), $A453=IMPORTRANGE(""https://docs.google.com/spreadsheets/d/1BJSV3WBYJGRhQ6zExamkszQ5"&amp;"VutGIcaQqmbD9ZTVXMQ/edit#gid=1251630045"",""articles_with_PRISMA_reasons!B2:B2113""))"),"Jul")</f>
        <v>Jul</v>
      </c>
      <c r="D453" s="5" t="str">
        <f>IFERROR(__xludf.DUMMYFUNCTION("IFS(AND(
FILTER(IMPORTRANGE(""https://docs.google.com/spreadsheets/d/1BJSV3WBYJGRhQ6zExamkszQ5VutGIcaQqmbD9ZTVXMQ/edit#gid=1251630045"",""articles_with_PRISMA_reasons!Y2:Y2113""), $A453=IMPORTRANGE(""https://docs.google.com/spreadsheets/d/1BJSV3WBYJGRhQ6z"&amp;"ExamkszQ5VutGIcaQqmbD9ZTVXMQ/edit#gid=1251630045"",""articles_with_PRISMA_reasons!B2:B2113""))&gt;=2,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$A453=IMPORTRANGE(""https://docs.google.com/spreadsheets/d/1BJSV3WBYJGRhQ6zExamkszQ5VutGIcaQqmbD9ZTVXMQ/edit#gid=1251630045"",""articles_with_PRISMA_reasons!B2:B2113""))&lt;2),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$A453=IMPORTRANGE(""https://docs.google.com/spreadsheets/d/1BJSV3WBYJGRhQ6zExamkszQ5VutGIcaQqmbD9ZTVXMQ/edit#gid=1251630045"",""arti"&amp;"cles_with_PRISMA_reasons!B2:B2113""))&lt;2,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$A453=IMPORTRANGE(""https://docs.google.com"&amp;"/spreadsheets/d/1BJSV3WBYJGRhQ6zExamkszQ5VutGIcaQqmbD9ZTVXMQ/edit#gid=1251630045"",""articles_with_PRISMA_reasons!B2:B2113""))&gt;=2),
""Exclude""
)"),"Exclude")</f>
        <v>Exclude</v>
      </c>
      <c r="E453" s="5" t="str">
        <f>IFERROR(__xludf.DUMMYFUNCTION("IFS(
D453=""Exclude"",""Exclude"",
AND(
FILTER(IMPORTRANGE(""https://docs.google.com/spreadsheets/d/1qpEmbGH0JjaJbUdp21-y2cPbobDbMjr09BbtdKROZWc/edit#gid=1444865654"",""articles_with_PRISMA_reasons!W2:W2113""), $A453=IMPORTRANGE(""https://docs.google.com/"&amp;"spreadsheets/d/1qpEmbGH0JjaJbUdp21-y2cPbobDbMjr09BbtdKROZWc/edit#gid=1444865654"",""articles_with_PRISMA_reasons!B2:B2113""))&gt;=2,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$A453=IMPORTRANGE(""https://docs.google.com/spreadsheets/d/1qpEmbGH0JjaJbUdp21-y2cPbobDbMjr09BbtdKROZWc/edit#gid=1444865654"",""articles_with_PRISMA_reasons!B2:B2113""))&lt;2),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$A453=IMPORTRANGE(""https://docs.google.com/spreadsheets/d/1qpEmbGH0JjaJbUdp21-y2cPbobDbMjr09BbtdKRO"&amp;"ZWc/edit#gid=1444865654"",""articles_with_PRISMA_reasons!B2:B2113""))&lt;2,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$A453=IMPOR"&amp;"TRANGE(""https://docs.google.com/spreadsheets/d/1qpEmbGH0JjaJbUdp21-y2cPbobDbMjr09BbtdKROZWc/edit#gid=1444865654"",""articles_with_PRISMA_reasons!B2:B2113""))&gt;=2),
""Exclude""
)"),"Exclude")</f>
        <v>Exclude</v>
      </c>
      <c r="F453" s="5" t="str">
        <f>IFERROR(__xludf.DUMMYFUNCTION("IFS(
E453=""Exclude"",""Exclude"",
AND(
COUNTIF(
IMPORTRANGE(""https://docs.google.com/spreadsheets/d/1kGrh75X1cNR1D7_FcY9zMnHP8iPO4M5RCRjy6nZY0TY/edit#gid=0"",""Table 1: Study characteristics!B4:B171""),A453)&gt;0,
COUNTIF(Studies!$A$2:$A$85,FILTER(IMPORTRA"&amp;"NGE(""https://docs.google.com/spreadsheets/d/1kGrh75X1cNR1D7_FcY9zMnHP8iPO4M5RCRjy6nZY0TY/edit#gid=0"",""Table 1: Study characteristics!A4:A171""), $A453=IMPORTRANGE(""https://docs.google.com/spreadsheets/d/1kGrh75X1cNR1D7_FcY9zMnHP8iPO4M5RCRjy6nZY0TY/edi"&amp;"t#gid=0"",""Table 1: Study characteristics!B4:B171"")))&gt;0
),
""Include""
)"),"Exclude")</f>
        <v>Exclude</v>
      </c>
      <c r="G453" s="5" t="str">
        <f>IFERROR(__xludf.DUMMYFUNCTION("IFS(
D453=""Exclude"",
FILTER(IMPORTRANGE(""https://docs.google.com/spreadsheets/d/1BJSV3WBYJGRhQ6zExamkszQ5VutGIcaQqmbD9ZTVXMQ/edit#gid=1251630045"",""articles_with_PRISMA_reasons!AB2:AB2113""), $A453=IMPORTRANGE(""https://docs.google.com/spreadsheets/d/"&amp;"1BJSV3WBYJGRhQ6zExamkszQ5VutGIcaQqmbD9ZTVXMQ/edit#gid=1251630045"",""articles_with_PRISMA_reasons!B2:B2113"")),
E453=""Exclude"",
FILTER(IMPORTRANGE(""https://docs.google.com/spreadsheets/d/1qpEmbGH0JjaJbUdp21-y2cPbobDbMjr09BbtdKROZWc/edit#gid=1444865654"&amp;""",""articles_with_PRISMA_reasons!Z2:Z2113""), $A453=IMPORTRANGE(""https://docs.google.com/spreadsheets/d/1qpEmbGH0JjaJbUdp21-y2cPbobDbMjr09BbtdKROZWc/edit#gid=1444865654"",""articles_with_PRISMA_reasons!B2:B2113"")),F453
=""Include"",FILTER(IMPORTRANGE("&amp;"""https://docs.google.com/spreadsheets/d/1kGrh75X1cNR1D7_FcY9zMnHP8iPO4M5RCRjy6nZY0TY/edit#gid=0"",""Table 1: Study characteristics!A4:A171""), $A453=IMPORTRANGE(""https://docs.google.com/spreadsheets/d/1kGrh75X1cNR1D7_FcY9zMnHP8iPO4M5RCRjy6nZY0TY/edit#gi"&amp;"d=0"",""Table 1: Study characteristics!B4:B171""))
)"),"wrong population")</f>
        <v>wrong population</v>
      </c>
    </row>
    <row r="454">
      <c r="A454" s="4" t="str">
        <f>IFERROR(__xludf.DUMMYFUNCTION("""COMPUTED_VALUE"""),"Clinical outcomes that fetal surgery for myelomeningocele needs to achieve")</f>
        <v>Clinical outcomes that fetal surgery for myelomeningocele needs to achieve</v>
      </c>
      <c r="B454" s="5" t="str">
        <f>IFERROR(__xludf.DUMMYFUNCTION("LEFT(FILTER(IMPORTRANGE(""https://docs.google.com/spreadsheets/d/1BJSV3WBYJGRhQ6zExamkszQ5VutGIcaQqmbD9ZTVXMQ/edit#gid=1251630045"",""articles_with_PRISMA_reasons!K2:K2113""), $A454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$A454=IMPORTRANGE(""https://docs.google.com/spreadsheets/d/1BJSV3WBYJGRhQ6zExamkszQ5VutGIcaQqmbD9ZTVXMQ/edit#gid=1251630045"",""articles_with_PRISMA_reasons!B2:B2113"")))-1)"),"Cochrane")</f>
        <v>Cochrane</v>
      </c>
      <c r="C454" s="6">
        <f>IFERROR(__xludf.DUMMYFUNCTION("FILTER(IMPORTRANGE(""https://docs.google.com/spreadsheets/d/1BJSV3WBYJGRhQ6zExamkszQ5VutGIcaQqmbD9ZTVXMQ/edit#gid=1251630045"",""articles_with_PRISMA_reasons!C2:C2113""), $A454=IMPORTRANGE(""https://docs.google.com/spreadsheets/d/1BJSV3WBYJGRhQ6zExamkszQ5"&amp;"VutGIcaQqmbD9ZTVXMQ/edit#gid=1251630045"",""articles_with_PRISMA_reasons!B2:B2113""))"),2001.0)</f>
        <v>2001</v>
      </c>
      <c r="D454" s="5" t="str">
        <f>IFERROR(__xludf.DUMMYFUNCTION("IFS(AND(
FILTER(IMPORTRANGE(""https://docs.google.com/spreadsheets/d/1BJSV3WBYJGRhQ6zExamkszQ5VutGIcaQqmbD9ZTVXMQ/edit#gid=1251630045"",""articles_with_PRISMA_reasons!Y2:Y2113""), $A454=IMPORTRANGE(""https://docs.google.com/spreadsheets/d/1BJSV3WBYJGRhQ6z"&amp;"ExamkszQ5VutGIcaQqmbD9ZTVXMQ/edit#gid=1251630045"",""articles_with_PRISMA_reasons!B2:B2113""))&gt;=2,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$A454=IMPORTRANGE(""https://docs.google.com/spreadsheets/d/1BJSV3WBYJGRhQ6zExamkszQ5VutGIcaQqmbD9ZTVXMQ/edit#gid=1251630045"",""articles_with_PRISMA_reasons!B2:B2113""))&lt;2),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$A454=IMPORTRANGE(""https://docs.google.com/spreadsheets/d/1BJSV3WBYJGRhQ6zExamkszQ5VutGIcaQqmbD9ZTVXMQ/edit#gid=1251630045"",""arti"&amp;"cles_with_PRISMA_reasons!B2:B2113""))&lt;2,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$A454=IMPORTRANGE(""https://docs.google.com"&amp;"/spreadsheets/d/1BJSV3WBYJGRhQ6zExamkszQ5VutGIcaQqmbD9ZTVXMQ/edit#gid=1251630045"",""articles_with_PRISMA_reasons!B2:B2113""))&gt;=2),
""Exclude""
)"),"Exclude")</f>
        <v>Exclude</v>
      </c>
      <c r="E454" s="5" t="str">
        <f>IFERROR(__xludf.DUMMYFUNCTION("IFS(
D454=""Exclude"",""Exclude"",
AND(
FILTER(IMPORTRANGE(""https://docs.google.com/spreadsheets/d/1qpEmbGH0JjaJbUdp21-y2cPbobDbMjr09BbtdKROZWc/edit#gid=1444865654"",""articles_with_PRISMA_reasons!W2:W2113""), $A454=IMPORTRANGE(""https://docs.google.com/"&amp;"spreadsheets/d/1qpEmbGH0JjaJbUdp21-y2cPbobDbMjr09BbtdKROZWc/edit#gid=1444865654"",""articles_with_PRISMA_reasons!B2:B2113""))&gt;=2,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$A454=IMPORTRANGE(""https://docs.google.com/spreadsheets/d/1qpEmbGH0JjaJbUdp21-y2cPbobDbMjr09BbtdKROZWc/edit#gid=1444865654"",""articles_with_PRISMA_reasons!B2:B2113""))&lt;2),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$A454=IMPORTRANGE(""https://docs.google.com/spreadsheets/d/1qpEmbGH0JjaJbUdp21-y2cPbobDbMjr09BbtdKRO"&amp;"ZWc/edit#gid=1444865654"",""articles_with_PRISMA_reasons!B2:B2113""))&lt;2,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$A454=IMPOR"&amp;"TRANGE(""https://docs.google.com/spreadsheets/d/1qpEmbGH0JjaJbUdp21-y2cPbobDbMjr09BbtdKROZWc/edit#gid=1444865654"",""articles_with_PRISMA_reasons!B2:B2113""))&gt;=2),
""Exclude""
)"),"Exclude")</f>
        <v>Exclude</v>
      </c>
      <c r="F454" s="5" t="str">
        <f>IFERROR(__xludf.DUMMYFUNCTION("IFS(
E454=""Exclude"",""Exclude"",
AND(
COUNTIF(
IMPORTRANGE(""https://docs.google.com/spreadsheets/d/1kGrh75X1cNR1D7_FcY9zMnHP8iPO4M5RCRjy6nZY0TY/edit#gid=0"",""Table 1: Study characteristics!B4:B171""),A454)&gt;0,
COUNTIF(Studies!$A$2:$A$85,FILTER(IMPORTRA"&amp;"NGE(""https://docs.google.com/spreadsheets/d/1kGrh75X1cNR1D7_FcY9zMnHP8iPO4M5RCRjy6nZY0TY/edit#gid=0"",""Table 1: Study characteristics!A4:A171""), $A454=IMPORTRANGE(""https://docs.google.com/spreadsheets/d/1kGrh75X1cNR1D7_FcY9zMnHP8iPO4M5RCRjy6nZY0TY/edi"&amp;"t#gid=0"",""Table 1: Study characteristics!B4:B171"")))&gt;0
),
""Include""
)"),"Exclude")</f>
        <v>Exclude</v>
      </c>
      <c r="G454" s="5" t="str">
        <f>IFERROR(__xludf.DUMMYFUNCTION("IFS(
D454=""Exclude"",
FILTER(IMPORTRANGE(""https://docs.google.com/spreadsheets/d/1BJSV3WBYJGRhQ6zExamkszQ5VutGIcaQqmbD9ZTVXMQ/edit#gid=1251630045"",""articles_with_PRISMA_reasons!AB2:AB2113""), $A454=IMPORTRANGE(""https://docs.google.com/spreadsheets/d/"&amp;"1BJSV3WBYJGRhQ6zExamkszQ5VutGIcaQqmbD9ZTVXMQ/edit#gid=1251630045"",""articles_with_PRISMA_reasons!B2:B2113"")),
E454=""Exclude"",
FILTER(IMPORTRANGE(""https://docs.google.com/spreadsheets/d/1qpEmbGH0JjaJbUdp21-y2cPbobDbMjr09BbtdKROZWc/edit#gid=1444865654"&amp;""",""articles_with_PRISMA_reasons!Z2:Z2113""), $A454=IMPORTRANGE(""https://docs.google.com/spreadsheets/d/1qpEmbGH0JjaJbUdp21-y2cPbobDbMjr09BbtdKROZWc/edit#gid=1444865654"",""articles_with_PRISMA_reasons!B2:B2113"")),F454
=""Include"",FILTER(IMPORTRANGE("&amp;"""https://docs.google.com/spreadsheets/d/1kGrh75X1cNR1D7_FcY9zMnHP8iPO4M5RCRjy6nZY0TY/edit#gid=0"",""Table 1: Study characteristics!A4:A171""), $A454=IMPORTRANGE(""https://docs.google.com/spreadsheets/d/1kGrh75X1cNR1D7_FcY9zMnHP8iPO4M5RCRjy6nZY0TY/edit#gi"&amp;"d=0"",""Table 1: Study characteristics!B4:B171""))
)"),"wrong intervention")</f>
        <v>wrong intervention</v>
      </c>
    </row>
    <row r="455">
      <c r="A455" s="4" t="str">
        <f>IFERROR(__xludf.DUMMYFUNCTION("""COMPUTED_VALUE"""),"Clinical predictors of developmental outcome in patients with cephaloceles: Clinical article")</f>
        <v>Clinical predictors of developmental outcome in patients with cephaloceles: Clinical article</v>
      </c>
      <c r="B455" s="2" t="s">
        <v>19</v>
      </c>
      <c r="C455" s="6">
        <f>IFERROR(__xludf.DUMMYFUNCTION("FILTER(IMPORTRANGE(""https://docs.google.com/spreadsheets/d/1BJSV3WBYJGRhQ6zExamkszQ5VutGIcaQqmbD9ZTVXMQ/edit#gid=1251630045"",""articles_with_PRISMA_reasons!C2:C2113""), $A455=IMPORTRANGE(""https://docs.google.com/spreadsheets/d/1BJSV3WBYJGRhQ6zExamkszQ5"&amp;"VutGIcaQqmbD9ZTVXMQ/edit#gid=1251630045"",""articles_with_PRISMA_reasons!B2:B2113""))"),2008.0)</f>
        <v>2008</v>
      </c>
      <c r="D455" s="5" t="str">
        <f>IFERROR(__xludf.DUMMYFUNCTION("IFS(AND(
FILTER(IMPORTRANGE(""https://docs.google.com/spreadsheets/d/1BJSV3WBYJGRhQ6zExamkszQ5VutGIcaQqmbD9ZTVXMQ/edit#gid=1251630045"",""articles_with_PRISMA_reasons!Y2:Y2113""), $A455=IMPORTRANGE(""https://docs.google.com/spreadsheets/d/1BJSV3WBYJGRhQ6z"&amp;"ExamkszQ5VutGIcaQqmbD9ZTVXMQ/edit#gid=1251630045"",""articles_with_PRISMA_reasons!B2:B2113""))&gt;=2,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$A455=IMPORTRANGE(""https://docs.google.com/spreadsheets/d/1BJSV3WBYJGRhQ6zExamkszQ5VutGIcaQqmbD9ZTVXMQ/edit#gid=1251630045"",""articles_with_PRISMA_reasons!B2:B2113""))&lt;2),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$A455=IMPORTRANGE(""https://docs.google.com/spreadsheets/d/1BJSV3WBYJGRhQ6zExamkszQ5VutGIcaQqmbD9ZTVXMQ/edit#gid=1251630045"",""arti"&amp;"cles_with_PRISMA_reasons!B2:B2113""))&lt;2,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$A455=IMPORTRANGE(""https://docs.google.com"&amp;"/spreadsheets/d/1BJSV3WBYJGRhQ6zExamkszQ5VutGIcaQqmbD9ZTVXMQ/edit#gid=1251630045"",""articles_with_PRISMA_reasons!B2:B2113""))&gt;=2),
""Exclude""
)"),"Exclude")</f>
        <v>Exclude</v>
      </c>
      <c r="E455" s="5" t="str">
        <f>IFERROR(__xludf.DUMMYFUNCTION("IFS(
D455=""Exclude"",""Exclude"",
AND(
FILTER(IMPORTRANGE(""https://docs.google.com/spreadsheets/d/1qpEmbGH0JjaJbUdp21-y2cPbobDbMjr09BbtdKROZWc/edit#gid=1444865654"",""articles_with_PRISMA_reasons!W2:W2113""), $A455=IMPORTRANGE(""https://docs.google.com/"&amp;"spreadsheets/d/1qpEmbGH0JjaJbUdp21-y2cPbobDbMjr09BbtdKROZWc/edit#gid=1444865654"",""articles_with_PRISMA_reasons!B2:B2113""))&gt;=2,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$A455=IMPORTRANGE(""https://docs.google.com/spreadsheets/d/1qpEmbGH0JjaJbUdp21-y2cPbobDbMjr09BbtdKROZWc/edit#gid=1444865654"",""articles_with_PRISMA_reasons!B2:B2113""))&lt;2),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$A455=IMPORTRANGE(""https://docs.google.com/spreadsheets/d/1qpEmbGH0JjaJbUdp21-y2cPbobDbMjr09BbtdKRO"&amp;"ZWc/edit#gid=1444865654"",""articles_with_PRISMA_reasons!B2:B2113""))&lt;2,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$A455=IMPOR"&amp;"TRANGE(""https://docs.google.com/spreadsheets/d/1qpEmbGH0JjaJbUdp21-y2cPbobDbMjr09BbtdKROZWc/edit#gid=1444865654"",""articles_with_PRISMA_reasons!B2:B2113""))&gt;=2),
""Exclude""
)"),"Exclude")</f>
        <v>Exclude</v>
      </c>
      <c r="F455" s="5" t="str">
        <f>IFERROR(__xludf.DUMMYFUNCTION("IFS(
E455=""Exclude"",""Exclude"",
AND(
COUNTIF(
IMPORTRANGE(""https://docs.google.com/spreadsheets/d/1kGrh75X1cNR1D7_FcY9zMnHP8iPO4M5RCRjy6nZY0TY/edit#gid=0"",""Table 1: Study characteristics!B4:B171""),A455)&gt;0,
COUNTIF(Studies!$A$2:$A$85,FILTER(IMPORTRA"&amp;"NGE(""https://docs.google.com/spreadsheets/d/1kGrh75X1cNR1D7_FcY9zMnHP8iPO4M5RCRjy6nZY0TY/edit#gid=0"",""Table 1: Study characteristics!A4:A171""), $A455=IMPORTRANGE(""https://docs.google.com/spreadsheets/d/1kGrh75X1cNR1D7_FcY9zMnHP8iPO4M5RCRjy6nZY0TY/edi"&amp;"t#gid=0"",""Table 1: Study characteristics!B4:B171"")))&gt;0
),
""Include""
)"),"Exclude")</f>
        <v>Exclude</v>
      </c>
      <c r="G455" s="5" t="str">
        <f>IFERROR(__xludf.DUMMYFUNCTION("IFS(
D455=""Exclude"",
FILTER(IMPORTRANGE(""https://docs.google.com/spreadsheets/d/1BJSV3WBYJGRhQ6zExamkszQ5VutGIcaQqmbD9ZTVXMQ/edit#gid=1251630045"",""articles_with_PRISMA_reasons!AB2:AB2113""), $A455=IMPORTRANGE(""https://docs.google.com/spreadsheets/d/"&amp;"1BJSV3WBYJGRhQ6zExamkszQ5VutGIcaQqmbD9ZTVXMQ/edit#gid=1251630045"",""articles_with_PRISMA_reasons!B2:B2113"")),
E455=""Exclude"",
FILTER(IMPORTRANGE(""https://docs.google.com/spreadsheets/d/1qpEmbGH0JjaJbUdp21-y2cPbobDbMjr09BbtdKROZWc/edit#gid=1444865654"&amp;""",""articles_with_PRISMA_reasons!Z2:Z2113""), $A455=IMPORTRANGE(""https://docs.google.com/spreadsheets/d/1qpEmbGH0JjaJbUdp21-y2cPbobDbMjr09BbtdKROZWc/edit#gid=1444865654"",""articles_with_PRISMA_reasons!B2:B2113"")),F455
=""Include"",FILTER(IMPORTRANGE("&amp;"""https://docs.google.com/spreadsheets/d/1kGrh75X1cNR1D7_FcY9zMnHP8iPO4M5RCRjy6nZY0TY/edit#gid=0"",""Table 1: Study characteristics!A4:A171""), $A455=IMPORTRANGE(""https://docs.google.com/spreadsheets/d/1kGrh75X1cNR1D7_FcY9zMnHP8iPO4M5RCRjy6nZY0TY/edit#gi"&amp;"d=0"",""Table 1: Study characteristics!B4:B171""))
)"),"wrong population")</f>
        <v>wrong population</v>
      </c>
    </row>
    <row r="456">
      <c r="A456" s="4" t="str">
        <f>IFERROR(__xludf.DUMMYFUNCTION("""COMPUTED_VALUE"""),"Clinical Significance of Prenatal and Postnatal Heavily T2-Weighted Magnetic Resonance Images in Patients with Myelomeningocele")</f>
        <v>Clinical Significance of Prenatal and Postnatal Heavily T2-Weighted Magnetic Resonance Images in Patients with Myelomeningocele</v>
      </c>
      <c r="B456" s="5" t="str">
        <f>IFERROR(__xludf.DUMMYFUNCTION("LEFT(FILTER(IMPORTRANGE(""https://docs.google.com/spreadsheets/d/1BJSV3WBYJGRhQ6zExamkszQ5VutGIcaQqmbD9ZTVXMQ/edit#gid=1251630045"",""articles_with_PRISMA_reasons!K2:K2113""), $A456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$A456=IMPORTRANGE(""https://docs.google.com/spreadsheets/d/1BJSV3WBYJGRhQ6zExamkszQ5VutGIcaQqmbD9ZTVXMQ/edit#gid=1251630045"",""articles_with_PRISMA_reasons!B2:B2113"")))-1)"),"Hashiguchi")</f>
        <v>Hashiguchi</v>
      </c>
      <c r="C456" s="3">
        <v>2015.0</v>
      </c>
      <c r="D456" s="5" t="str">
        <f>IFERROR(__xludf.DUMMYFUNCTION("IFS(AND(
FILTER(IMPORTRANGE(""https://docs.google.com/spreadsheets/d/1BJSV3WBYJGRhQ6zExamkszQ5VutGIcaQqmbD9ZTVXMQ/edit#gid=1251630045"",""articles_with_PRISMA_reasons!Y2:Y2113""), $A456=IMPORTRANGE(""https://docs.google.com/spreadsheets/d/1BJSV3WBYJGRhQ6z"&amp;"ExamkszQ5VutGIcaQqmbD9ZTVXMQ/edit#gid=1251630045"",""articles_with_PRISMA_reasons!B2:B2113""))&gt;=2,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$A456=IMPORTRANGE(""https://docs.google.com/spreadsheets/d/1BJSV3WBYJGRhQ6zExamkszQ5VutGIcaQqmbD9ZTVXMQ/edit#gid=1251630045"",""articles_with_PRISMA_reasons!B2:B2113""))&lt;2),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$A456=IMPORTRANGE(""https://docs.google.com/spreadsheets/d/1BJSV3WBYJGRhQ6zExamkszQ5VutGIcaQqmbD9ZTVXMQ/edit#gid=1251630045"",""arti"&amp;"cles_with_PRISMA_reasons!B2:B2113""))&lt;2,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$A456=IMPORTRANGE(""https://docs.google.com"&amp;"/spreadsheets/d/1BJSV3WBYJGRhQ6zExamkszQ5VutGIcaQqmbD9ZTVXMQ/edit#gid=1251630045"",""articles_with_PRISMA_reasons!B2:B2113""))&gt;=2),
""Exclude""
)"),"Exclude")</f>
        <v>Exclude</v>
      </c>
      <c r="E456" s="5" t="str">
        <f>IFERROR(__xludf.DUMMYFUNCTION("IFS(
D456=""Exclude"",""Exclude"",
AND(
FILTER(IMPORTRANGE(""https://docs.google.com/spreadsheets/d/1qpEmbGH0JjaJbUdp21-y2cPbobDbMjr09BbtdKROZWc/edit#gid=1444865654"",""articles_with_PRISMA_reasons!W2:W2113""), $A456=IMPORTRANGE(""https://docs.google.com/"&amp;"spreadsheets/d/1qpEmbGH0JjaJbUdp21-y2cPbobDbMjr09BbtdKROZWc/edit#gid=1444865654"",""articles_with_PRISMA_reasons!B2:B2113""))&gt;=2,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$A456=IMPORTRANGE(""https://docs.google.com/spreadsheets/d/1qpEmbGH0JjaJbUdp21-y2cPbobDbMjr09BbtdKROZWc/edit#gid=1444865654"",""articles_with_PRISMA_reasons!B2:B2113""))&lt;2),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$A456=IMPORTRANGE(""https://docs.google.com/spreadsheets/d/1qpEmbGH0JjaJbUdp21-y2cPbobDbMjr09BbtdKRO"&amp;"ZWc/edit#gid=1444865654"",""articles_with_PRISMA_reasons!B2:B2113""))&lt;2,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$A456=IMPOR"&amp;"TRANGE(""https://docs.google.com/spreadsheets/d/1qpEmbGH0JjaJbUdp21-y2cPbobDbMjr09BbtdKROZWc/edit#gid=1444865654"",""articles_with_PRISMA_reasons!B2:B2113""))&gt;=2),
""Exclude""
)"),"Exclude")</f>
        <v>Exclude</v>
      </c>
      <c r="F456" s="5" t="str">
        <f>IFERROR(__xludf.DUMMYFUNCTION("IFS(
E456=""Exclude"",""Exclude"",
AND(
COUNTIF(
IMPORTRANGE(""https://docs.google.com/spreadsheets/d/1kGrh75X1cNR1D7_FcY9zMnHP8iPO4M5RCRjy6nZY0TY/edit#gid=0"",""Table 1: Study characteristics!B4:B171""),A456)&gt;0,
COUNTIF(Studies!$A$2:$A$85,FILTER(IMPORTRA"&amp;"NGE(""https://docs.google.com/spreadsheets/d/1kGrh75X1cNR1D7_FcY9zMnHP8iPO4M5RCRjy6nZY0TY/edit#gid=0"",""Table 1: Study characteristics!A4:A171""), $A456=IMPORTRANGE(""https://docs.google.com/spreadsheets/d/1kGrh75X1cNR1D7_FcY9zMnHP8iPO4M5RCRjy6nZY0TY/edi"&amp;"t#gid=0"",""Table 1: Study characteristics!B4:B171"")))&gt;0
),
""Include""
)"),"Exclude")</f>
        <v>Exclude</v>
      </c>
      <c r="G456" s="2" t="s">
        <v>13</v>
      </c>
    </row>
    <row r="457">
      <c r="A457" s="4" t="str">
        <f>IFERROR(__xludf.DUMMYFUNCTION("""COMPUTED_VALUE"""),"Clinical Significance of Prenatal and Postnatal Heavily T2-Weighted Magnetic Resonance Images in Patients with Myelomeningocele")</f>
        <v>Clinical Significance of Prenatal and Postnatal Heavily T2-Weighted Magnetic Resonance Images in Patients with Myelomeningocele</v>
      </c>
      <c r="B457" s="5" t="str">
        <f>IFERROR(__xludf.DUMMYFUNCTION("LEFT(FILTER(IMPORTRANGE(""https://docs.google.com/spreadsheets/d/1BJSV3WBYJGRhQ6zExamkszQ5VutGIcaQqmbD9ZTVXMQ/edit#gid=1251630045"",""articles_with_PRISMA_reasons!K2:K2113""), $A457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$A457=IMPORTRANGE(""https://docs.google.com/spreadsheets/d/1BJSV3WBYJGRhQ6zExamkszQ5VutGIcaQqmbD9ZTVXMQ/edit#gid=1251630045"",""articles_with_PRISMA_reasons!B2:B2113"")))-1)"),"Hashiguchi")</f>
        <v>Hashiguchi</v>
      </c>
      <c r="C457" s="3">
        <v>2015.0</v>
      </c>
      <c r="D457" s="5" t="str">
        <f>IFERROR(__xludf.DUMMYFUNCTION("IFS(AND(
FILTER(IMPORTRANGE(""https://docs.google.com/spreadsheets/d/1BJSV3WBYJGRhQ6zExamkszQ5VutGIcaQqmbD9ZTVXMQ/edit#gid=1251630045"",""articles_with_PRISMA_reasons!Y2:Y2113""), $A457=IMPORTRANGE(""https://docs.google.com/spreadsheets/d/1BJSV3WBYJGRhQ6z"&amp;"ExamkszQ5VutGIcaQqmbD9ZTVXMQ/edit#gid=1251630045"",""articles_with_PRISMA_reasons!B2:B2113""))&gt;=2,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$A457=IMPORTRANGE(""https://docs.google.com/spreadsheets/d/1BJSV3WBYJGRhQ6zExamkszQ5VutGIcaQqmbD9ZTVXMQ/edit#gid=1251630045"",""articles_with_PRISMA_reasons!B2:B2113""))&lt;2),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$A457=IMPORTRANGE(""https://docs.google.com/spreadsheets/d/1BJSV3WBYJGRhQ6zExamkszQ5VutGIcaQqmbD9ZTVXMQ/edit#gid=1251630045"",""arti"&amp;"cles_with_PRISMA_reasons!B2:B2113""))&lt;2,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$A457=IMPORTRANGE(""https://docs.google.com"&amp;"/spreadsheets/d/1BJSV3WBYJGRhQ6zExamkszQ5VutGIcaQqmbD9ZTVXMQ/edit#gid=1251630045"",""articles_with_PRISMA_reasons!B2:B2113""))&gt;=2),
""Exclude""
)"),"Exclude")</f>
        <v>Exclude</v>
      </c>
      <c r="E457" s="5" t="str">
        <f>IFERROR(__xludf.DUMMYFUNCTION("IFS(
D457=""Exclude"",""Exclude"",
AND(
FILTER(IMPORTRANGE(""https://docs.google.com/spreadsheets/d/1qpEmbGH0JjaJbUdp21-y2cPbobDbMjr09BbtdKROZWc/edit#gid=1444865654"",""articles_with_PRISMA_reasons!W2:W2113""), $A457=IMPORTRANGE(""https://docs.google.com/"&amp;"spreadsheets/d/1qpEmbGH0JjaJbUdp21-y2cPbobDbMjr09BbtdKROZWc/edit#gid=1444865654"",""articles_with_PRISMA_reasons!B2:B2113""))&gt;=2,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$A457=IMPORTRANGE(""https://docs.google.com/spreadsheets/d/1qpEmbGH0JjaJbUdp21-y2cPbobDbMjr09BbtdKROZWc/edit#gid=1444865654"",""articles_with_PRISMA_reasons!B2:B2113""))&lt;2),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$A457=IMPORTRANGE(""https://docs.google.com/spreadsheets/d/1qpEmbGH0JjaJbUdp21-y2cPbobDbMjr09BbtdKRO"&amp;"ZWc/edit#gid=1444865654"",""articles_with_PRISMA_reasons!B2:B2113""))&lt;2,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$A457=IMPOR"&amp;"TRANGE(""https://docs.google.com/spreadsheets/d/1qpEmbGH0JjaJbUdp21-y2cPbobDbMjr09BbtdKROZWc/edit#gid=1444865654"",""articles_with_PRISMA_reasons!B2:B2113""))&gt;=2),
""Exclude""
)"),"Exclude")</f>
        <v>Exclude</v>
      </c>
      <c r="F457" s="5" t="str">
        <f>IFERROR(__xludf.DUMMYFUNCTION("IFS(
E457=""Exclude"",""Exclude"",
AND(
COUNTIF(
IMPORTRANGE(""https://docs.google.com/spreadsheets/d/1kGrh75X1cNR1D7_FcY9zMnHP8iPO4M5RCRjy6nZY0TY/edit#gid=0"",""Table 1: Study characteristics!B4:B171""),A457)&gt;0,
COUNTIF(Studies!$A$2:$A$85,FILTER(IMPORTRA"&amp;"NGE(""https://docs.google.com/spreadsheets/d/1kGrh75X1cNR1D7_FcY9zMnHP8iPO4M5RCRjy6nZY0TY/edit#gid=0"",""Table 1: Study characteristics!A4:A171""), $A457=IMPORTRANGE(""https://docs.google.com/spreadsheets/d/1kGrh75X1cNR1D7_FcY9zMnHP8iPO4M5RCRjy6nZY0TY/edi"&amp;"t#gid=0"",""Table 1: Study characteristics!B4:B171"")))&gt;0
),
""Include""
)"),"Exclude")</f>
        <v>Exclude</v>
      </c>
      <c r="G457" s="2" t="s">
        <v>20</v>
      </c>
    </row>
    <row r="458">
      <c r="A458" s="4" t="str">
        <f>IFERROR(__xludf.DUMMYFUNCTION("""COMPUTED_VALUE"""),"Clinical Study on Myelomeningocele")</f>
        <v>Clinical Study on Myelomeningocele</v>
      </c>
      <c r="B458" s="5" t="str">
        <f>IFERROR(__xludf.DUMMYFUNCTION("LEFT(FILTER(IMPORTRANGE(""https://docs.google.com/spreadsheets/d/1BJSV3WBYJGRhQ6zExamkszQ5VutGIcaQqmbD9ZTVXMQ/edit#gid=1251630045"",""articles_with_PRISMA_reasons!K2:K2113""), $A458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$A458=IMPORTRANGE(""https://docs.google.com/spreadsheets/d/1BJSV3WBYJGRhQ6zExamkszQ5VutGIcaQqmbD9ZTVXMQ/edit#gid=1251630045"",""articles_with_PRISMA_reasons!B2:B2113"")))-1)"),"Young-Gyu")</f>
        <v>Young-Gyu</v>
      </c>
      <c r="C458" s="6">
        <f>IFERROR(__xludf.DUMMYFUNCTION("FILTER(IMPORTRANGE(""https://docs.google.com/spreadsheets/d/1BJSV3WBYJGRhQ6zExamkszQ5VutGIcaQqmbD9ZTVXMQ/edit#gid=1251630045"",""articles_with_PRISMA_reasons!C2:C2113""), $A458=IMPORTRANGE(""https://docs.google.com/spreadsheets/d/1BJSV3WBYJGRhQ6zExamkszQ5"&amp;"VutGIcaQqmbD9ZTVXMQ/edit#gid=1251630045"",""articles_with_PRISMA_reasons!B2:B2113""))"),1986.0)</f>
        <v>1986</v>
      </c>
      <c r="D458" s="5" t="str">
        <f>IFERROR(__xludf.DUMMYFUNCTION("IFS(AND(
FILTER(IMPORTRANGE(""https://docs.google.com/spreadsheets/d/1BJSV3WBYJGRhQ6zExamkszQ5VutGIcaQqmbD9ZTVXMQ/edit#gid=1251630045"",""articles_with_PRISMA_reasons!Y2:Y2113""), $A458=IMPORTRANGE(""https://docs.google.com/spreadsheets/d/1BJSV3WBYJGRhQ6z"&amp;"ExamkszQ5VutGIcaQqmbD9ZTVXMQ/edit#gid=1251630045"",""articles_with_PRISMA_reasons!B2:B2113""))&gt;=2,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$A458=IMPORTRANGE(""https://docs.google.com/spreadsheets/d/1BJSV3WBYJGRhQ6zExamkszQ5VutGIcaQqmbD9ZTVXMQ/edit#gid=1251630045"",""articles_with_PRISMA_reasons!B2:B2113""))&lt;2),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$A458=IMPORTRANGE(""https://docs.google.com/spreadsheets/d/1BJSV3WBYJGRhQ6zExamkszQ5VutGIcaQqmbD9ZTVXMQ/edit#gid=1251630045"",""arti"&amp;"cles_with_PRISMA_reasons!B2:B2113""))&lt;2,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$A458=IMPORTRANGE(""https://docs.google.com"&amp;"/spreadsheets/d/1BJSV3WBYJGRhQ6zExamkszQ5VutGIcaQqmbD9ZTVXMQ/edit#gid=1251630045"",""articles_with_PRISMA_reasons!B2:B2113""))&gt;=2),
""Exclude""
)"),"Include")</f>
        <v>Include</v>
      </c>
      <c r="E458" s="5" t="str">
        <f>IFERROR(__xludf.DUMMYFUNCTION("IFS(
D458=""Exclude"",""Exclude"",
AND(
FILTER(IMPORTRANGE(""https://docs.google.com/spreadsheets/d/1qpEmbGH0JjaJbUdp21-y2cPbobDbMjr09BbtdKROZWc/edit#gid=1444865654"",""articles_with_PRISMA_reasons!W2:W2113""), $A458=IMPORTRANGE(""https://docs.google.com/"&amp;"spreadsheets/d/1qpEmbGH0JjaJbUdp21-y2cPbobDbMjr09BbtdKROZWc/edit#gid=1444865654"",""articles_with_PRISMA_reasons!B2:B2113""))&gt;=2,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$A458=IMPORTRANGE(""https://docs.google.com/spreadsheets/d/1qpEmbGH0JjaJbUdp21-y2cPbobDbMjr09BbtdKROZWc/edit#gid=1444865654"",""articles_with_PRISMA_reasons!B2:B2113""))&lt;2),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$A458=IMPORTRANGE(""https://docs.google.com/spreadsheets/d/1qpEmbGH0JjaJbUdp21-y2cPbobDbMjr09BbtdKRO"&amp;"ZWc/edit#gid=1444865654"",""articles_with_PRISMA_reasons!B2:B2113""))&lt;2,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$A458=IMPOR"&amp;"TRANGE(""https://docs.google.com/spreadsheets/d/1qpEmbGH0JjaJbUdp21-y2cPbobDbMjr09BbtdKROZWc/edit#gid=1444865654"",""articles_with_PRISMA_reasons!B2:B2113""))&gt;=2),
""Exclude""
)"),"Exclude")</f>
        <v>Exclude</v>
      </c>
      <c r="F458" s="5" t="str">
        <f>IFERROR(__xludf.DUMMYFUNCTION("IFS(
E458=""Exclude"",""Exclude"",
AND(
COUNTIF(
IMPORTRANGE(""https://docs.google.com/spreadsheets/d/1kGrh75X1cNR1D7_FcY9zMnHP8iPO4M5RCRjy6nZY0TY/edit#gid=0"",""Table 1: Study characteristics!B4:B171""),A458)&gt;0,
COUNTIF(Studies!$A$2:$A$85,FILTER(IMPORTRA"&amp;"NGE(""https://docs.google.com/spreadsheets/d/1kGrh75X1cNR1D7_FcY9zMnHP8iPO4M5RCRjy6nZY0TY/edit#gid=0"",""Table 1: Study characteristics!A4:A171""), $A458=IMPORTRANGE(""https://docs.google.com/spreadsheets/d/1kGrh75X1cNR1D7_FcY9zMnHP8iPO4M5RCRjy6nZY0TY/edi"&amp;"t#gid=0"",""Table 1: Study characteristics!B4:B171"")))&gt;0
),
""Include""
)"),"Exclude")</f>
        <v>Exclude</v>
      </c>
      <c r="G458" s="5" t="str">
        <f>IFERROR(__xludf.DUMMYFUNCTION("IFS(
D458=""Exclude"",
FILTER(IMPORTRANGE(""https://docs.google.com/spreadsheets/d/1BJSV3WBYJGRhQ6zExamkszQ5VutGIcaQqmbD9ZTVXMQ/edit#gid=1251630045"",""articles_with_PRISMA_reasons!AB2:AB2113""), $A458=IMPORTRANGE(""https://docs.google.com/spreadsheets/d/"&amp;"1BJSV3WBYJGRhQ6zExamkszQ5VutGIcaQqmbD9ZTVXMQ/edit#gid=1251630045"",""articles_with_PRISMA_reasons!B2:B2113"")),
E458=""Exclude"",
FILTER(IMPORTRANGE(""https://docs.google.com/spreadsheets/d/1qpEmbGH0JjaJbUdp21-y2cPbobDbMjr09BbtdKROZWc/edit#gid=1444865654"&amp;""",""articles_with_PRISMA_reasons!Z2:Z2113""), $A458=IMPORTRANGE(""https://docs.google.com/spreadsheets/d/1qpEmbGH0JjaJbUdp21-y2cPbobDbMjr09BbtdKROZWc/edit#gid=1444865654"",""articles_with_PRISMA_reasons!B2:B2113"")),F458
=""Include"",FILTER(IMPORTRANGE("&amp;"""https://docs.google.com/spreadsheets/d/1kGrh75X1cNR1D7_FcY9zMnHP8iPO4M5RCRjy6nZY0TY/edit#gid=0"",""Table 1: Study characteristics!A4:A171""), $A458=IMPORTRANGE(""https://docs.google.com/spreadsheets/d/1kGrh75X1cNR1D7_FcY9zMnHP8iPO4M5RCRjy6nZY0TY/edit#gi"&amp;"d=0"",""Table 1: Study characteristics!B4:B171""))
)"),"no full text")</f>
        <v>no full text</v>
      </c>
    </row>
    <row r="459">
      <c r="A459" s="4" t="str">
        <f>IFERROR(__xludf.DUMMYFUNCTION("""COMPUTED_VALUE"""),"Clinical study to evaluate prevalence of congenital anomalies in polyhydramnios")</f>
        <v>Clinical study to evaluate prevalence of congenital anomalies in polyhydramnios</v>
      </c>
      <c r="B459" s="5" t="str">
        <f>IFERROR(__xludf.DUMMYFUNCTION("LEFT(FILTER(IMPORTRANGE(""https://docs.google.com/spreadsheets/d/1BJSV3WBYJGRhQ6zExamkszQ5VutGIcaQqmbD9ZTVXMQ/edit#gid=1251630045"",""articles_with_PRISMA_reasons!K2:K2113""), $A459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$A459=IMPORTRANGE(""https://docs.google.com/spreadsheets/d/1BJSV3WBYJGRhQ6zExamkszQ5VutGIcaQqmbD9ZTVXMQ/edit#gid=1251630045"",""articles_with_PRISMA_reasons!B2:B2113"")))-1)"),"Nagar")</f>
        <v>Nagar</v>
      </c>
      <c r="C459" s="6">
        <f>IFERROR(__xludf.DUMMYFUNCTION("FILTER(IMPORTRANGE(""https://docs.google.com/spreadsheets/d/1BJSV3WBYJGRhQ6zExamkszQ5VutGIcaQqmbD9ZTVXMQ/edit#gid=1251630045"",""articles_with_PRISMA_reasons!C2:C2113""), $A459=IMPORTRANGE(""https://docs.google.com/spreadsheets/d/1BJSV3WBYJGRhQ6zExamkszQ5"&amp;"VutGIcaQqmbD9ZTVXMQ/edit#gid=1251630045"",""articles_with_PRISMA_reasons!B2:B2113""))"),2021.0)</f>
        <v>2021</v>
      </c>
      <c r="D459" s="5" t="str">
        <f>IFERROR(__xludf.DUMMYFUNCTION("IFS(AND(
FILTER(IMPORTRANGE(""https://docs.google.com/spreadsheets/d/1BJSV3WBYJGRhQ6zExamkszQ5VutGIcaQqmbD9ZTVXMQ/edit#gid=1251630045"",""articles_with_PRISMA_reasons!Y2:Y2113""), $A459=IMPORTRANGE(""https://docs.google.com/spreadsheets/d/1BJSV3WBYJGRhQ6z"&amp;"ExamkszQ5VutGIcaQqmbD9ZTVXMQ/edit#gid=1251630045"",""articles_with_PRISMA_reasons!B2:B2113""))&gt;=2,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$A459=IMPORTRANGE(""https://docs.google.com/spreadsheets/d/1BJSV3WBYJGRhQ6zExamkszQ5VutGIcaQqmbD9ZTVXMQ/edit#gid=1251630045"",""articles_with_PRISMA_reasons!B2:B2113""))&lt;2),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$A459=IMPORTRANGE(""https://docs.google.com/spreadsheets/d/1BJSV3WBYJGRhQ6zExamkszQ5VutGIcaQqmbD9ZTVXMQ/edit#gid=1251630045"",""arti"&amp;"cles_with_PRISMA_reasons!B2:B2113""))&lt;2,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$A459=IMPORTRANGE(""https://docs.google.com"&amp;"/spreadsheets/d/1BJSV3WBYJGRhQ6zExamkszQ5VutGIcaQqmbD9ZTVXMQ/edit#gid=1251630045"",""articles_with_PRISMA_reasons!B2:B2113""))&gt;=2),
""Exclude""
)"),"Exclude")</f>
        <v>Exclude</v>
      </c>
      <c r="E459" s="5" t="str">
        <f>IFERROR(__xludf.DUMMYFUNCTION("IFS(
D459=""Exclude"",""Exclude"",
AND(
FILTER(IMPORTRANGE(""https://docs.google.com/spreadsheets/d/1qpEmbGH0JjaJbUdp21-y2cPbobDbMjr09BbtdKROZWc/edit#gid=1444865654"",""articles_with_PRISMA_reasons!W2:W2113""), $A459=IMPORTRANGE(""https://docs.google.com/"&amp;"spreadsheets/d/1qpEmbGH0JjaJbUdp21-y2cPbobDbMjr09BbtdKROZWc/edit#gid=1444865654"",""articles_with_PRISMA_reasons!B2:B2113""))&gt;=2,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$A459=IMPORTRANGE(""https://docs.google.com/spreadsheets/d/1qpEmbGH0JjaJbUdp21-y2cPbobDbMjr09BbtdKROZWc/edit#gid=1444865654"",""articles_with_PRISMA_reasons!B2:B2113""))&lt;2),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$A459=IMPORTRANGE(""https://docs.google.com/spreadsheets/d/1qpEmbGH0JjaJbUdp21-y2cPbobDbMjr09BbtdKRO"&amp;"ZWc/edit#gid=1444865654"",""articles_with_PRISMA_reasons!B2:B2113""))&lt;2,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$A459=IMPOR"&amp;"TRANGE(""https://docs.google.com/spreadsheets/d/1qpEmbGH0JjaJbUdp21-y2cPbobDbMjr09BbtdKROZWc/edit#gid=1444865654"",""articles_with_PRISMA_reasons!B2:B2113""))&gt;=2),
""Exclude""
)"),"Exclude")</f>
        <v>Exclude</v>
      </c>
      <c r="F459" s="5" t="str">
        <f>IFERROR(__xludf.DUMMYFUNCTION("IFS(
E459=""Exclude"",""Exclude"",
AND(
COUNTIF(
IMPORTRANGE(""https://docs.google.com/spreadsheets/d/1kGrh75X1cNR1D7_FcY9zMnHP8iPO4M5RCRjy6nZY0TY/edit#gid=0"",""Table 1: Study characteristics!B4:B171""),A459)&gt;0,
COUNTIF(Studies!$A$2:$A$85,FILTER(IMPORTRA"&amp;"NGE(""https://docs.google.com/spreadsheets/d/1kGrh75X1cNR1D7_FcY9zMnHP8iPO4M5RCRjy6nZY0TY/edit#gid=0"",""Table 1: Study characteristics!A4:A171""), $A459=IMPORTRANGE(""https://docs.google.com/spreadsheets/d/1kGrh75X1cNR1D7_FcY9zMnHP8iPO4M5RCRjy6nZY0TY/edi"&amp;"t#gid=0"",""Table 1: Study characteristics!B4:B171"")))&gt;0
),
""Include""
)"),"Exclude")</f>
        <v>Exclude</v>
      </c>
      <c r="G459" s="5" t="str">
        <f>IFERROR(__xludf.DUMMYFUNCTION("IFS(
D459=""Exclude"",
FILTER(IMPORTRANGE(""https://docs.google.com/spreadsheets/d/1BJSV3WBYJGRhQ6zExamkszQ5VutGIcaQqmbD9ZTVXMQ/edit#gid=1251630045"",""articles_with_PRISMA_reasons!AB2:AB2113""), $A459=IMPORTRANGE(""https://docs.google.com/spreadsheets/d/"&amp;"1BJSV3WBYJGRhQ6zExamkszQ5VutGIcaQqmbD9ZTVXMQ/edit#gid=1251630045"",""articles_with_PRISMA_reasons!B2:B2113"")),
E459=""Exclude"",
FILTER(IMPORTRANGE(""https://docs.google.com/spreadsheets/d/1qpEmbGH0JjaJbUdp21-y2cPbobDbMjr09BbtdKROZWc/edit#gid=1444865654"&amp;""",""articles_with_PRISMA_reasons!Z2:Z2113""), $A459=IMPORTRANGE(""https://docs.google.com/spreadsheets/d/1qpEmbGH0JjaJbUdp21-y2cPbobDbMjr09BbtdKROZWc/edit#gid=1444865654"",""articles_with_PRISMA_reasons!B2:B2113"")),F459
=""Include"",FILTER(IMPORTRANGE("&amp;"""https://docs.google.com/spreadsheets/d/1kGrh75X1cNR1D7_FcY9zMnHP8iPO4M5RCRjy6nZY0TY/edit#gid=0"",""Table 1: Study characteristics!A4:A171""), $A459=IMPORTRANGE(""https://docs.google.com/spreadsheets/d/1kGrh75X1cNR1D7_FcY9zMnHP8iPO4M5RCRjy6nZY0TY/edit#gi"&amp;"d=0"",""Table 1: Study characteristics!B4:B171""))
)"),"wrong population")</f>
        <v>wrong population</v>
      </c>
    </row>
    <row r="460">
      <c r="A460" s="4" t="str">
        <f>IFERROR(__xludf.DUMMYFUNCTION("""COMPUTED_VALUE"""),"Clinical-electroencephalographic analysis of brain bioelectrical activity in children with myelomeningocele and internal hydrocephalus")</f>
        <v>Clinical-electroencephalographic analysis of brain bioelectrical activity in children with myelomeningocele and internal hydrocephalus</v>
      </c>
      <c r="B460" s="5" t="str">
        <f>IFERROR(__xludf.DUMMYFUNCTION("LEFT(FILTER(IMPORTRANGE(""https://docs.google.com/spreadsheets/d/1BJSV3WBYJGRhQ6zExamkszQ5VutGIcaQqmbD9ZTVXMQ/edit#gid=1251630045"",""articles_with_PRISMA_reasons!K2:K2113""), $A460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$A460=IMPORTRANGE(""https://docs.google.com/spreadsheets/d/1BJSV3WBYJGRhQ6zExamkszQ5VutGIcaQqmbD9ZTVXMQ/edit#gid=1251630045"",""articles_with_PRISMA_reasons!B2:B2113"")))-1)"),"Okurowska-Zawada")</f>
        <v>Okurowska-Zawada</v>
      </c>
      <c r="C460" s="6">
        <f>IFERROR(__xludf.DUMMYFUNCTION("FILTER(IMPORTRANGE(""https://docs.google.com/spreadsheets/d/1BJSV3WBYJGRhQ6zExamkszQ5VutGIcaQqmbD9ZTVXMQ/edit#gid=1251630045"",""articles_with_PRISMA_reasons!C2:C2113""), $A460=IMPORTRANGE(""https://docs.google.com/spreadsheets/d/1BJSV3WBYJGRhQ6zExamkszQ5"&amp;"VutGIcaQqmbD9ZTVXMQ/edit#gid=1251630045"",""articles_with_PRISMA_reasons!B2:B2113""))"),2007.0)</f>
        <v>2007</v>
      </c>
      <c r="D460" s="5" t="str">
        <f>IFERROR(__xludf.DUMMYFUNCTION("IFS(AND(
FILTER(IMPORTRANGE(""https://docs.google.com/spreadsheets/d/1BJSV3WBYJGRhQ6zExamkszQ5VutGIcaQqmbD9ZTVXMQ/edit#gid=1251630045"",""articles_with_PRISMA_reasons!Y2:Y2113""), $A460=IMPORTRANGE(""https://docs.google.com/spreadsheets/d/1BJSV3WBYJGRhQ6z"&amp;"ExamkszQ5VutGIcaQqmbD9ZTVXMQ/edit#gid=1251630045"",""articles_with_PRISMA_reasons!B2:B2113""))&gt;=2,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$A460=IMPORTRANGE(""https://docs.google.com/spreadsheets/d/1BJSV3WBYJGRhQ6zExamkszQ5VutGIcaQqmbD9ZTVXMQ/edit#gid=1251630045"",""articles_with_PRISMA_reasons!B2:B2113""))&lt;2),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$A460=IMPORTRANGE(""https://docs.google.com/spreadsheets/d/1BJSV3WBYJGRhQ6zExamkszQ5VutGIcaQqmbD9ZTVXMQ/edit#gid=1251630045"",""arti"&amp;"cles_with_PRISMA_reasons!B2:B2113""))&lt;2,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$A460=IMPORTRANGE(""https://docs.google.com"&amp;"/spreadsheets/d/1BJSV3WBYJGRhQ6zExamkszQ5VutGIcaQqmbD9ZTVXMQ/edit#gid=1251630045"",""articles_with_PRISMA_reasons!B2:B2113""))&gt;=2),
""Exclude""
)"),"Include")</f>
        <v>Include</v>
      </c>
      <c r="E460" s="5" t="str">
        <f>IFERROR(__xludf.DUMMYFUNCTION("IFS(
D460=""Exclude"",""Exclude"",
AND(
FILTER(IMPORTRANGE(""https://docs.google.com/spreadsheets/d/1qpEmbGH0JjaJbUdp21-y2cPbobDbMjr09BbtdKROZWc/edit#gid=1444865654"",""articles_with_PRISMA_reasons!W2:W2113""), $A460=IMPORTRANGE(""https://docs.google.com/"&amp;"spreadsheets/d/1qpEmbGH0JjaJbUdp21-y2cPbobDbMjr09BbtdKROZWc/edit#gid=1444865654"",""articles_with_PRISMA_reasons!B2:B2113""))&gt;=2,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$A460=IMPORTRANGE(""https://docs.google.com/spreadsheets/d/1qpEmbGH0JjaJbUdp21-y2cPbobDbMjr09BbtdKROZWc/edit#gid=1444865654"",""articles_with_PRISMA_reasons!B2:B2113""))&lt;2),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$A460=IMPORTRANGE(""https://docs.google.com/spreadsheets/d/1qpEmbGH0JjaJbUdp21-y2cPbobDbMjr09BbtdKRO"&amp;"ZWc/edit#gid=1444865654"",""articles_with_PRISMA_reasons!B2:B2113""))&lt;2,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$A460=IMPOR"&amp;"TRANGE(""https://docs.google.com/spreadsheets/d/1qpEmbGH0JjaJbUdp21-y2cPbobDbMjr09BbtdKROZWc/edit#gid=1444865654"",""articles_with_PRISMA_reasons!B2:B2113""))&gt;=2),
""Exclude""
)"),"Exclude")</f>
        <v>Exclude</v>
      </c>
      <c r="F460" s="5" t="str">
        <f>IFERROR(__xludf.DUMMYFUNCTION("IFS(
E460=""Exclude"",""Exclude"",
AND(
COUNTIF(
IMPORTRANGE(""https://docs.google.com/spreadsheets/d/1kGrh75X1cNR1D7_FcY9zMnHP8iPO4M5RCRjy6nZY0TY/edit#gid=0"",""Table 1: Study characteristics!B4:B171""),A460)&gt;0,
COUNTIF(Studies!$A$2:$A$85,FILTER(IMPORTRA"&amp;"NGE(""https://docs.google.com/spreadsheets/d/1kGrh75X1cNR1D7_FcY9zMnHP8iPO4M5RCRjy6nZY0TY/edit#gid=0"",""Table 1: Study characteristics!A4:A171""), $A460=IMPORTRANGE(""https://docs.google.com/spreadsheets/d/1kGrh75X1cNR1D7_FcY9zMnHP8iPO4M5RCRjy6nZY0TY/edi"&amp;"t#gid=0"",""Table 1: Study characteristics!B4:B171"")))&gt;0
),
""Include""
)"),"Exclude")</f>
        <v>Exclude</v>
      </c>
      <c r="G460" s="5" t="str">
        <f>IFERROR(__xludf.DUMMYFUNCTION("IFS(
D460=""Exclude"",
FILTER(IMPORTRANGE(""https://docs.google.com/spreadsheets/d/1BJSV3WBYJGRhQ6zExamkszQ5VutGIcaQqmbD9ZTVXMQ/edit#gid=1251630045"",""articles_with_PRISMA_reasons!AB2:AB2113""), $A460=IMPORTRANGE(""https://docs.google.com/spreadsheets/d/"&amp;"1BJSV3WBYJGRhQ6zExamkszQ5VutGIcaQqmbD9ZTVXMQ/edit#gid=1251630045"",""articles_with_PRISMA_reasons!B2:B2113"")),
E460=""Exclude"",
FILTER(IMPORTRANGE(""https://docs.google.com/spreadsheets/d/1qpEmbGH0JjaJbUdp21-y2cPbobDbMjr09BbtdKROZWc/edit#gid=1444865654"&amp;""",""articles_with_PRISMA_reasons!Z2:Z2113""), $A460=IMPORTRANGE(""https://docs.google.com/spreadsheets/d/1qpEmbGH0JjaJbUdp21-y2cPbobDbMjr09BbtdKROZWc/edit#gid=1444865654"",""articles_with_PRISMA_reasons!B2:B2113"")),F460
=""Include"",FILTER(IMPORTRANGE("&amp;"""https://docs.google.com/spreadsheets/d/1kGrh75X1cNR1D7_FcY9zMnHP8iPO4M5RCRjy6nZY0TY/edit#gid=0"",""Table 1: Study characteristics!A4:A171""), $A460=IMPORTRANGE(""https://docs.google.com/spreadsheets/d/1kGrh75X1cNR1D7_FcY9zMnHP8iPO4M5RCRjy6nZY0TY/edit#gi"&amp;"d=0"",""Table 1: Study characteristics!B4:B171""))
)"),"wrong population")</f>
        <v>wrong population</v>
      </c>
    </row>
    <row r="461">
      <c r="A461" s="4" t="str">
        <f>IFERROR(__xludf.DUMMYFUNCTION("""COMPUTED_VALUE"""),"Clinico-epidemiological profile and outcomes of babies with neural tube defects in a tertiary care center in Northern India")</f>
        <v>Clinico-epidemiological profile and outcomes of babies with neural tube defects in a tertiary care center in Northern India</v>
      </c>
      <c r="B461" s="5" t="str">
        <f>IFERROR(__xludf.DUMMYFUNCTION("LEFT(FILTER(IMPORTRANGE(""https://docs.google.com/spreadsheets/d/1BJSV3WBYJGRhQ6zExamkszQ5VutGIcaQqmbD9ZTVXMQ/edit#gid=1251630045"",""articles_with_PRISMA_reasons!K2:K2113""), $A461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$A461=IMPORTRANGE(""https://docs.google.com/spreadsheets/d/1BJSV3WBYJGRhQ6zExamkszQ5VutGIcaQqmbD9ZTVXMQ/edit#gid=1251630045"",""articles_with_PRISMA_reasons!B2:B2113"")))-1)"),"Singh")</f>
        <v>Singh</v>
      </c>
      <c r="C461" s="6">
        <f>IFERROR(__xludf.DUMMYFUNCTION("FILTER(IMPORTRANGE(""https://docs.google.com/spreadsheets/d/1BJSV3WBYJGRhQ6zExamkszQ5VutGIcaQqmbD9ZTVXMQ/edit#gid=1251630045"",""articles_with_PRISMA_reasons!C2:C2113""), $A461=IMPORTRANGE(""https://docs.google.com/spreadsheets/d/1BJSV3WBYJGRhQ6zExamkszQ5"&amp;"VutGIcaQqmbD9ZTVXMQ/edit#gid=1251630045"",""articles_with_PRISMA_reasons!B2:B2113""))"),2021.0)</f>
        <v>2021</v>
      </c>
      <c r="D461" s="5" t="str">
        <f>IFERROR(__xludf.DUMMYFUNCTION("IFS(AND(
FILTER(IMPORTRANGE(""https://docs.google.com/spreadsheets/d/1BJSV3WBYJGRhQ6zExamkszQ5VutGIcaQqmbD9ZTVXMQ/edit#gid=1251630045"",""articles_with_PRISMA_reasons!Y2:Y2113""), $A461=IMPORTRANGE(""https://docs.google.com/spreadsheets/d/1BJSV3WBYJGRhQ6z"&amp;"ExamkszQ5VutGIcaQqmbD9ZTVXMQ/edit#gid=1251630045"",""articles_with_PRISMA_reasons!B2:B2113""))&gt;=2,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$A461=IMPORTRANGE(""https://docs.google.com/spreadsheets/d/1BJSV3WBYJGRhQ6zExamkszQ5VutGIcaQqmbD9ZTVXMQ/edit#gid=1251630045"",""articles_with_PRISMA_reasons!B2:B2113""))&lt;2),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$A461=IMPORTRANGE(""https://docs.google.com/spreadsheets/d/1BJSV3WBYJGRhQ6zExamkszQ5VutGIcaQqmbD9ZTVXMQ/edit#gid=1251630045"",""arti"&amp;"cles_with_PRISMA_reasons!B2:B2113""))&lt;2,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$A461=IMPORTRANGE(""https://docs.google.com"&amp;"/spreadsheets/d/1BJSV3WBYJGRhQ6zExamkszQ5VutGIcaQqmbD9ZTVXMQ/edit#gid=1251630045"",""articles_with_PRISMA_reasons!B2:B2113""))&gt;=2),
""Exclude""
)"),"Exclude")</f>
        <v>Exclude</v>
      </c>
      <c r="E461" s="5" t="str">
        <f>IFERROR(__xludf.DUMMYFUNCTION("IFS(
D461=""Exclude"",""Exclude"",
AND(
FILTER(IMPORTRANGE(""https://docs.google.com/spreadsheets/d/1qpEmbGH0JjaJbUdp21-y2cPbobDbMjr09BbtdKROZWc/edit#gid=1444865654"",""articles_with_PRISMA_reasons!W2:W2113""), $A461=IMPORTRANGE(""https://docs.google.com/"&amp;"spreadsheets/d/1qpEmbGH0JjaJbUdp21-y2cPbobDbMjr09BbtdKROZWc/edit#gid=1444865654"",""articles_with_PRISMA_reasons!B2:B2113""))&gt;=2,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$A461=IMPORTRANGE(""https://docs.google.com/spreadsheets/d/1qpEmbGH0JjaJbUdp21-y2cPbobDbMjr09BbtdKROZWc/edit#gid=1444865654"",""articles_with_PRISMA_reasons!B2:B2113""))&lt;2),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$A461=IMPORTRANGE(""https://docs.google.com/spreadsheets/d/1qpEmbGH0JjaJbUdp21-y2cPbobDbMjr09BbtdKRO"&amp;"ZWc/edit#gid=1444865654"",""articles_with_PRISMA_reasons!B2:B2113""))&lt;2,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$A461=IMPOR"&amp;"TRANGE(""https://docs.google.com/spreadsheets/d/1qpEmbGH0JjaJbUdp21-y2cPbobDbMjr09BbtdKROZWc/edit#gid=1444865654"",""articles_with_PRISMA_reasons!B2:B2113""))&gt;=2),
""Exclude""
)"),"Exclude")</f>
        <v>Exclude</v>
      </c>
      <c r="F461" s="5" t="str">
        <f>IFERROR(__xludf.DUMMYFUNCTION("IFS(
E461=""Exclude"",""Exclude"",
AND(
COUNTIF(
IMPORTRANGE(""https://docs.google.com/spreadsheets/d/1kGrh75X1cNR1D7_FcY9zMnHP8iPO4M5RCRjy6nZY0TY/edit#gid=0"",""Table 1: Study characteristics!B4:B171""),A461)&gt;0,
COUNTIF(Studies!$A$2:$A$85,FILTER(IMPORTRA"&amp;"NGE(""https://docs.google.com/spreadsheets/d/1kGrh75X1cNR1D7_FcY9zMnHP8iPO4M5RCRjy6nZY0TY/edit#gid=0"",""Table 1: Study characteristics!A4:A171""), $A461=IMPORTRANGE(""https://docs.google.com/spreadsheets/d/1kGrh75X1cNR1D7_FcY9zMnHP8iPO4M5RCRjy6nZY0TY/edi"&amp;"t#gid=0"",""Table 1: Study characteristics!B4:B171"")))&gt;0
),
""Include""
)"),"Exclude")</f>
        <v>Exclude</v>
      </c>
      <c r="G461" s="5" t="str">
        <f>IFERROR(__xludf.DUMMYFUNCTION("IFS(
D461=""Exclude"",
FILTER(IMPORTRANGE(""https://docs.google.com/spreadsheets/d/1BJSV3WBYJGRhQ6zExamkszQ5VutGIcaQqmbD9ZTVXMQ/edit#gid=1251630045"",""articles_with_PRISMA_reasons!AB2:AB2113""), $A461=IMPORTRANGE(""https://docs.google.com/spreadsheets/d/"&amp;"1BJSV3WBYJGRhQ6zExamkszQ5VutGIcaQqmbD9ZTVXMQ/edit#gid=1251630045"",""articles_with_PRISMA_reasons!B2:B2113"")),
E461=""Exclude"",
FILTER(IMPORTRANGE(""https://docs.google.com/spreadsheets/d/1qpEmbGH0JjaJbUdp21-y2cPbobDbMjr09BbtdKROZWc/edit#gid=1444865654"&amp;""",""articles_with_PRISMA_reasons!Z2:Z2113""), $A461=IMPORTRANGE(""https://docs.google.com/spreadsheets/d/1qpEmbGH0JjaJbUdp21-y2cPbobDbMjr09BbtdKROZWc/edit#gid=1444865654"",""articles_with_PRISMA_reasons!B2:B2113"")),F461
=""Include"",FILTER(IMPORTRANGE("&amp;"""https://docs.google.com/spreadsheets/d/1kGrh75X1cNR1D7_FcY9zMnHP8iPO4M5RCRjy6nZY0TY/edit#gid=0"",""Table 1: Study characteristics!A4:A171""), $A461=IMPORTRANGE(""https://docs.google.com/spreadsheets/d/1kGrh75X1cNR1D7_FcY9zMnHP8iPO4M5RCRjy6nZY0TY/edit#gi"&amp;"d=0"",""Table 1: Study characteristics!B4:B171""))
)"),"wrong population")</f>
        <v>wrong population</v>
      </c>
    </row>
    <row r="462">
      <c r="A462" s="4" t="str">
        <f>IFERROR(__xludf.DUMMYFUNCTION("""COMPUTED_VALUE"""),"Cloacal exstrophy with extensive Chiari II malformation: Case report and review of the literature")</f>
        <v>Cloacal exstrophy with extensive Chiari II malformation: Case report and review of the literature</v>
      </c>
      <c r="B462" s="5" t="str">
        <f>IFERROR(__xludf.DUMMYFUNCTION("LEFT(FILTER(IMPORTRANGE(""https://docs.google.com/spreadsheets/d/1BJSV3WBYJGRhQ6zExamkszQ5VutGIcaQqmbD9ZTVXMQ/edit#gid=1251630045"",""articles_with_PRISMA_reasons!K2:K2113""), $A462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$A462=IMPORTRANGE(""https://docs.google.com/spreadsheets/d/1BJSV3WBYJGRhQ6zExamkszQ5VutGIcaQqmbD9ZTVXMQ/edit#gid=1251630045"",""articles_with_PRISMA_reasons!B2:B2113"")))-1)"),"Nyarenchi")</f>
        <v>Nyarenchi</v>
      </c>
      <c r="C462" s="6">
        <f>IFERROR(__xludf.DUMMYFUNCTION("FILTER(IMPORTRANGE(""https://docs.google.com/spreadsheets/d/1BJSV3WBYJGRhQ6zExamkszQ5VutGIcaQqmbD9ZTVXMQ/edit#gid=1251630045"",""articles_with_PRISMA_reasons!C2:C2113""), $A462=IMPORTRANGE(""https://docs.google.com/spreadsheets/d/1BJSV3WBYJGRhQ6zExamkszQ5"&amp;"VutGIcaQqmbD9ZTVXMQ/edit#gid=1251630045"",""articles_with_PRISMA_reasons!B2:B2113""))"),2014.0)</f>
        <v>2014</v>
      </c>
      <c r="D462" s="5" t="str">
        <f>IFERROR(__xludf.DUMMYFUNCTION("IFS(AND(
FILTER(IMPORTRANGE(""https://docs.google.com/spreadsheets/d/1BJSV3WBYJGRhQ6zExamkszQ5VutGIcaQqmbD9ZTVXMQ/edit#gid=1251630045"",""articles_with_PRISMA_reasons!Y2:Y2113""), $A462=IMPORTRANGE(""https://docs.google.com/spreadsheets/d/1BJSV3WBYJGRhQ6z"&amp;"ExamkszQ5VutGIcaQqmbD9ZTVXMQ/edit#gid=1251630045"",""articles_with_PRISMA_reasons!B2:B2113""))&gt;=2,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$A462=IMPORTRANGE(""https://docs.google.com/spreadsheets/d/1BJSV3WBYJGRhQ6zExamkszQ5VutGIcaQqmbD9ZTVXMQ/edit#gid=1251630045"",""articles_with_PRISMA_reasons!B2:B2113""))&lt;2),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$A462=IMPORTRANGE(""https://docs.google.com/spreadsheets/d/1BJSV3WBYJGRhQ6zExamkszQ5VutGIcaQqmbD9ZTVXMQ/edit#gid=1251630045"",""arti"&amp;"cles_with_PRISMA_reasons!B2:B2113""))&lt;2,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$A462=IMPORTRANGE(""https://docs.google.com"&amp;"/spreadsheets/d/1BJSV3WBYJGRhQ6zExamkszQ5VutGIcaQqmbD9ZTVXMQ/edit#gid=1251630045"",""articles_with_PRISMA_reasons!B2:B2113""))&gt;=2),
""Exclude""
)"),"Exclude")</f>
        <v>Exclude</v>
      </c>
      <c r="E462" s="5" t="str">
        <f>IFERROR(__xludf.DUMMYFUNCTION("IFS(
D462=""Exclude"",""Exclude"",
AND(
FILTER(IMPORTRANGE(""https://docs.google.com/spreadsheets/d/1qpEmbGH0JjaJbUdp21-y2cPbobDbMjr09BbtdKROZWc/edit#gid=1444865654"",""articles_with_PRISMA_reasons!W2:W2113""), $A462=IMPORTRANGE(""https://docs.google.com/"&amp;"spreadsheets/d/1qpEmbGH0JjaJbUdp21-y2cPbobDbMjr09BbtdKROZWc/edit#gid=1444865654"",""articles_with_PRISMA_reasons!B2:B2113""))&gt;=2,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$A462=IMPORTRANGE(""https://docs.google.com/spreadsheets/d/1qpEmbGH0JjaJbUdp21-y2cPbobDbMjr09BbtdKROZWc/edit#gid=1444865654"",""articles_with_PRISMA_reasons!B2:B2113""))&lt;2),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$A462=IMPORTRANGE(""https://docs.google.com/spreadsheets/d/1qpEmbGH0JjaJbUdp21-y2cPbobDbMjr09BbtdKRO"&amp;"ZWc/edit#gid=1444865654"",""articles_with_PRISMA_reasons!B2:B2113""))&lt;2,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$A462=IMPOR"&amp;"TRANGE(""https://docs.google.com/spreadsheets/d/1qpEmbGH0JjaJbUdp21-y2cPbobDbMjr09BbtdKROZWc/edit#gid=1444865654"",""articles_with_PRISMA_reasons!B2:B2113""))&gt;=2),
""Exclude""
)"),"Exclude")</f>
        <v>Exclude</v>
      </c>
      <c r="F462" s="5" t="str">
        <f>IFERROR(__xludf.DUMMYFUNCTION("IFS(
E462=""Exclude"",""Exclude"",
AND(
COUNTIF(
IMPORTRANGE(""https://docs.google.com/spreadsheets/d/1kGrh75X1cNR1D7_FcY9zMnHP8iPO4M5RCRjy6nZY0TY/edit#gid=0"",""Table 1: Study characteristics!B4:B171""),A462)&gt;0,
COUNTIF(Studies!$A$2:$A$85,FILTER(IMPORTRA"&amp;"NGE(""https://docs.google.com/spreadsheets/d/1kGrh75X1cNR1D7_FcY9zMnHP8iPO4M5RCRjy6nZY0TY/edit#gid=0"",""Table 1: Study characteristics!A4:A171""), $A462=IMPORTRANGE(""https://docs.google.com/spreadsheets/d/1kGrh75X1cNR1D7_FcY9zMnHP8iPO4M5RCRjy6nZY0TY/edi"&amp;"t#gid=0"",""Table 1: Study characteristics!B4:B171"")))&gt;0
),
""Include""
)"),"Exclude")</f>
        <v>Exclude</v>
      </c>
      <c r="G462" s="5" t="str">
        <f>IFERROR(__xludf.DUMMYFUNCTION("IFS(
D462=""Exclude"",
FILTER(IMPORTRANGE(""https://docs.google.com/spreadsheets/d/1BJSV3WBYJGRhQ6zExamkszQ5VutGIcaQqmbD9ZTVXMQ/edit#gid=1251630045"",""articles_with_PRISMA_reasons!AB2:AB2113""), $A462=IMPORTRANGE(""https://docs.google.com/spreadsheets/d/"&amp;"1BJSV3WBYJGRhQ6zExamkszQ5VutGIcaQqmbD9ZTVXMQ/edit#gid=1251630045"",""articles_with_PRISMA_reasons!B2:B2113"")),
E462=""Exclude"",
FILTER(IMPORTRANGE(""https://docs.google.com/spreadsheets/d/1qpEmbGH0JjaJbUdp21-y2cPbobDbMjr09BbtdKROZWc/edit#gid=1444865654"&amp;""",""articles_with_PRISMA_reasons!Z2:Z2113""), $A462=IMPORTRANGE(""https://docs.google.com/spreadsheets/d/1qpEmbGH0JjaJbUdp21-y2cPbobDbMjr09BbtdKROZWc/edit#gid=1444865654"",""articles_with_PRISMA_reasons!B2:B2113"")),F462
=""Include"",FILTER(IMPORTRANGE("&amp;"""https://docs.google.com/spreadsheets/d/1kGrh75X1cNR1D7_FcY9zMnHP8iPO4M5RCRjy6nZY0TY/edit#gid=0"",""Table 1: Study characteristics!A4:A171""), $A462=IMPORTRANGE(""https://docs.google.com/spreadsheets/d/1kGrh75X1cNR1D7_FcY9zMnHP8iPO4M5RCRjy6nZY0TY/edit#gi"&amp;"d=0"",""Table 1: Study characteristics!B4:B171""))
)"),"wrong publication type")</f>
        <v>wrong publication type</v>
      </c>
    </row>
    <row r="463">
      <c r="A463" s="4" t="str">
        <f>IFERROR(__xludf.DUMMYFUNCTION("""COMPUTED_VALUE"""),"Cloaking the newborn from suffering")</f>
        <v>Cloaking the newborn from suffering</v>
      </c>
      <c r="B463" s="5" t="str">
        <f>IFERROR(__xludf.DUMMYFUNCTION("LEFT(FILTER(IMPORTRANGE(""https://docs.google.com/spreadsheets/d/1BJSV3WBYJGRhQ6zExamkszQ5VutGIcaQqmbD9ZTVXMQ/edit#gid=1251630045"",""articles_with_PRISMA_reasons!K2:K2113""), $A463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$A463=IMPORTRANGE(""https://docs.google.com/spreadsheets/d/1BJSV3WBYJGRhQ6zExamkszQ5VutGIcaQqmbD9ZTVXMQ/edit#gid=1251630045"",""articles_with_PRISMA_reasons!B2:B2113"")))-1)"),"Greydanus")</f>
        <v>Greydanus</v>
      </c>
      <c r="C463" s="6">
        <f>IFERROR(__xludf.DUMMYFUNCTION("FILTER(IMPORTRANGE(""https://docs.google.com/spreadsheets/d/1BJSV3WBYJGRhQ6zExamkszQ5VutGIcaQqmbD9ZTVXMQ/edit#gid=1251630045"",""articles_with_PRISMA_reasons!C2:C2113""), $A463=IMPORTRANGE(""https://docs.google.com/spreadsheets/d/1BJSV3WBYJGRhQ6zExamkszQ5"&amp;"VutGIcaQqmbD9ZTVXMQ/edit#gid=1251630045"",""articles_with_PRISMA_reasons!B2:B2113""))"),2020.0)</f>
        <v>2020</v>
      </c>
      <c r="D463" s="5" t="str">
        <f>IFERROR(__xludf.DUMMYFUNCTION("IFS(AND(
FILTER(IMPORTRANGE(""https://docs.google.com/spreadsheets/d/1BJSV3WBYJGRhQ6zExamkszQ5VutGIcaQqmbD9ZTVXMQ/edit#gid=1251630045"",""articles_with_PRISMA_reasons!Y2:Y2113""), $A463=IMPORTRANGE(""https://docs.google.com/spreadsheets/d/1BJSV3WBYJGRhQ6z"&amp;"ExamkszQ5VutGIcaQqmbD9ZTVXMQ/edit#gid=1251630045"",""articles_with_PRISMA_reasons!B2:B2113""))&gt;=2,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$A463=IMPORTRANGE(""https://docs.google.com/spreadsheets/d/1BJSV3WBYJGRhQ6zExamkszQ5VutGIcaQqmbD9ZTVXMQ/edit#gid=1251630045"",""articles_with_PRISMA_reasons!B2:B2113""))&lt;2),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$A463=IMPORTRANGE(""https://docs.google.com/spreadsheets/d/1BJSV3WBYJGRhQ6zExamkszQ5VutGIcaQqmbD9ZTVXMQ/edit#gid=1251630045"",""arti"&amp;"cles_with_PRISMA_reasons!B2:B2113""))&lt;2,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$A463=IMPORTRANGE(""https://docs.google.com"&amp;"/spreadsheets/d/1BJSV3WBYJGRhQ6zExamkszQ5VutGIcaQqmbD9ZTVXMQ/edit#gid=1251630045"",""articles_with_PRISMA_reasons!B2:B2113""))&gt;=2),
""Exclude""
)"),"Exclude")</f>
        <v>Exclude</v>
      </c>
      <c r="E463" s="5" t="str">
        <f>IFERROR(__xludf.DUMMYFUNCTION("IFS(
D463=""Exclude"",""Exclude"",
AND(
FILTER(IMPORTRANGE(""https://docs.google.com/spreadsheets/d/1qpEmbGH0JjaJbUdp21-y2cPbobDbMjr09BbtdKROZWc/edit#gid=1444865654"",""articles_with_PRISMA_reasons!W2:W2113""), $A463=IMPORTRANGE(""https://docs.google.com/"&amp;"spreadsheets/d/1qpEmbGH0JjaJbUdp21-y2cPbobDbMjr09BbtdKROZWc/edit#gid=1444865654"",""articles_with_PRISMA_reasons!B2:B2113""))&gt;=2,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$A463=IMPORTRANGE(""https://docs.google.com/spreadsheets/d/1qpEmbGH0JjaJbUdp21-y2cPbobDbMjr09BbtdKROZWc/edit#gid=1444865654"",""articles_with_PRISMA_reasons!B2:B2113""))&lt;2),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$A463=IMPORTRANGE(""https://docs.google.com/spreadsheets/d/1qpEmbGH0JjaJbUdp21-y2cPbobDbMjr09BbtdKRO"&amp;"ZWc/edit#gid=1444865654"",""articles_with_PRISMA_reasons!B2:B2113""))&lt;2,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$A463=IMPOR"&amp;"TRANGE(""https://docs.google.com/spreadsheets/d/1qpEmbGH0JjaJbUdp21-y2cPbobDbMjr09BbtdKROZWc/edit#gid=1444865654"",""articles_with_PRISMA_reasons!B2:B2113""))&gt;=2),
""Exclude""
)"),"Exclude")</f>
        <v>Exclude</v>
      </c>
      <c r="F463" s="5" t="str">
        <f>IFERROR(__xludf.DUMMYFUNCTION("IFS(
E463=""Exclude"",""Exclude"",
AND(
COUNTIF(
IMPORTRANGE(""https://docs.google.com/spreadsheets/d/1kGrh75X1cNR1D7_FcY9zMnHP8iPO4M5RCRjy6nZY0TY/edit#gid=0"",""Table 1: Study characteristics!B4:B171""),A463)&gt;0,
COUNTIF(Studies!$A$2:$A$85,FILTER(IMPORTRA"&amp;"NGE(""https://docs.google.com/spreadsheets/d/1kGrh75X1cNR1D7_FcY9zMnHP8iPO4M5RCRjy6nZY0TY/edit#gid=0"",""Table 1: Study characteristics!A4:A171""), $A463=IMPORTRANGE(""https://docs.google.com/spreadsheets/d/1kGrh75X1cNR1D7_FcY9zMnHP8iPO4M5RCRjy6nZY0TY/edi"&amp;"t#gid=0"",""Table 1: Study characteristics!B4:B171"")))&gt;0
),
""Include""
)"),"Exclude")</f>
        <v>Exclude</v>
      </c>
      <c r="G463" s="5" t="str">
        <f>IFERROR(__xludf.DUMMYFUNCTION("IFS(
D463=""Exclude"",
FILTER(IMPORTRANGE(""https://docs.google.com/spreadsheets/d/1BJSV3WBYJGRhQ6zExamkszQ5VutGIcaQqmbD9ZTVXMQ/edit#gid=1251630045"",""articles_with_PRISMA_reasons!AB2:AB2113""), $A463=IMPORTRANGE(""https://docs.google.com/spreadsheets/d/"&amp;"1BJSV3WBYJGRhQ6zExamkszQ5VutGIcaQqmbD9ZTVXMQ/edit#gid=1251630045"",""articles_with_PRISMA_reasons!B2:B2113"")),
E463=""Exclude"",
FILTER(IMPORTRANGE(""https://docs.google.com/spreadsheets/d/1qpEmbGH0JjaJbUdp21-y2cPbobDbMjr09BbtdKROZWc/edit#gid=1444865654"&amp;""",""articles_with_PRISMA_reasons!Z2:Z2113""), $A463=IMPORTRANGE(""https://docs.google.com/spreadsheets/d/1qpEmbGH0JjaJbUdp21-y2cPbobDbMjr09BbtdKROZWc/edit#gid=1444865654"",""articles_with_PRISMA_reasons!B2:B2113"")),F463
=""Include"",FILTER(IMPORTRANGE("&amp;"""https://docs.google.com/spreadsheets/d/1kGrh75X1cNR1D7_FcY9zMnHP8iPO4M5RCRjy6nZY0TY/edit#gid=0"",""Table 1: Study characteristics!A4:A171""), $A463=IMPORTRANGE(""https://docs.google.com/spreadsheets/d/1kGrh75X1cNR1D7_FcY9zMnHP8iPO4M5RCRjy6nZY0TY/edit#gi"&amp;"d=0"",""Table 1: Study characteristics!B4:B171""))
)"),"wrong study design")</f>
        <v>wrong study design</v>
      </c>
    </row>
    <row r="464">
      <c r="A464" s="4" t="str">
        <f>IFERROR(__xludf.DUMMYFUNCTION("""COMPUTED_VALUE"""),"Clostridium difficile infections in young infants: Case presentations and literature review")</f>
        <v>Clostridium difficile infections in young infants: Case presentations and literature review</v>
      </c>
      <c r="B464" s="5" t="str">
        <f>IFERROR(__xludf.DUMMYFUNCTION("LEFT(FILTER(IMPORTRANGE(""https://docs.google.com/spreadsheets/d/1BJSV3WBYJGRhQ6zExamkszQ5VutGIcaQqmbD9ZTVXMQ/edit#gid=1251630045"",""articles_with_PRISMA_reasons!K2:K2113""), $A464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$A464=IMPORTRANGE(""https://docs.google.com/spreadsheets/d/1BJSV3WBYJGRhQ6zExamkszQ5VutGIcaQqmbD9ZTVXMQ/edit#gid=1251630045"",""articles_with_PRISMA_reasons!B2:B2113"")))-1)"),"Kuiper")</f>
        <v>Kuiper</v>
      </c>
      <c r="C464" s="6">
        <f>IFERROR(__xludf.DUMMYFUNCTION("FILTER(IMPORTRANGE(""https://docs.google.com/spreadsheets/d/1BJSV3WBYJGRhQ6zExamkszQ5VutGIcaQqmbD9ZTVXMQ/edit#gid=1251630045"",""articles_with_PRISMA_reasons!C2:C2113""), $A464=IMPORTRANGE(""https://docs.google.com/spreadsheets/d/1BJSV3WBYJGRhQ6zExamkszQ5"&amp;"VutGIcaQqmbD9ZTVXMQ/edit#gid=1251630045"",""articles_with_PRISMA_reasons!B2:B2113""))"),2017.0)</f>
        <v>2017</v>
      </c>
      <c r="D464" s="5" t="str">
        <f>IFERROR(__xludf.DUMMYFUNCTION("IFS(AND(
FILTER(IMPORTRANGE(""https://docs.google.com/spreadsheets/d/1BJSV3WBYJGRhQ6zExamkszQ5VutGIcaQqmbD9ZTVXMQ/edit#gid=1251630045"",""articles_with_PRISMA_reasons!Y2:Y2113""), $A464=IMPORTRANGE(""https://docs.google.com/spreadsheets/d/1BJSV3WBYJGRhQ6z"&amp;"ExamkszQ5VutGIcaQqmbD9ZTVXMQ/edit#gid=1251630045"",""articles_with_PRISMA_reasons!B2:B2113""))&gt;=2,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$A464=IMPORTRANGE(""https://docs.google.com/spreadsheets/d/1BJSV3WBYJGRhQ6zExamkszQ5VutGIcaQqmbD9ZTVXMQ/edit#gid=1251630045"",""articles_with_PRISMA_reasons!B2:B2113""))&lt;2),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$A464=IMPORTRANGE(""https://docs.google.com/spreadsheets/d/1BJSV3WBYJGRhQ6zExamkszQ5VutGIcaQqmbD9ZTVXMQ/edit#gid=1251630045"",""arti"&amp;"cles_with_PRISMA_reasons!B2:B2113""))&lt;2,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$A464=IMPORTRANGE(""https://docs.google.com"&amp;"/spreadsheets/d/1BJSV3WBYJGRhQ6zExamkszQ5VutGIcaQqmbD9ZTVXMQ/edit#gid=1251630045"",""articles_with_PRISMA_reasons!B2:B2113""))&gt;=2),
""Exclude""
)"),"Exclude")</f>
        <v>Exclude</v>
      </c>
      <c r="E464" s="5" t="str">
        <f>IFERROR(__xludf.DUMMYFUNCTION("IFS(
D464=""Exclude"",""Exclude"",
AND(
FILTER(IMPORTRANGE(""https://docs.google.com/spreadsheets/d/1qpEmbGH0JjaJbUdp21-y2cPbobDbMjr09BbtdKROZWc/edit#gid=1444865654"",""articles_with_PRISMA_reasons!W2:W2113""), $A464=IMPORTRANGE(""https://docs.google.com/"&amp;"spreadsheets/d/1qpEmbGH0JjaJbUdp21-y2cPbobDbMjr09BbtdKROZWc/edit#gid=1444865654"",""articles_with_PRISMA_reasons!B2:B2113""))&gt;=2,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$A464=IMPORTRANGE(""https://docs.google.com/spreadsheets/d/1qpEmbGH0JjaJbUdp21-y2cPbobDbMjr09BbtdKROZWc/edit#gid=1444865654"",""articles_with_PRISMA_reasons!B2:B2113""))&lt;2),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$A464=IMPORTRANGE(""https://docs.google.com/spreadsheets/d/1qpEmbGH0JjaJbUdp21-y2cPbobDbMjr09BbtdKRO"&amp;"ZWc/edit#gid=1444865654"",""articles_with_PRISMA_reasons!B2:B2113""))&lt;2,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$A464=IMPOR"&amp;"TRANGE(""https://docs.google.com/spreadsheets/d/1qpEmbGH0JjaJbUdp21-y2cPbobDbMjr09BbtdKROZWc/edit#gid=1444865654"",""articles_with_PRISMA_reasons!B2:B2113""))&gt;=2),
""Exclude""
)"),"Exclude")</f>
        <v>Exclude</v>
      </c>
      <c r="F464" s="5" t="str">
        <f>IFERROR(__xludf.DUMMYFUNCTION("IFS(
E464=""Exclude"",""Exclude"",
AND(
COUNTIF(
IMPORTRANGE(""https://docs.google.com/spreadsheets/d/1kGrh75X1cNR1D7_FcY9zMnHP8iPO4M5RCRjy6nZY0TY/edit#gid=0"",""Table 1: Study characteristics!B4:B171""),A464)&gt;0,
COUNTIF(Studies!$A$2:$A$85,FILTER(IMPORTRA"&amp;"NGE(""https://docs.google.com/spreadsheets/d/1kGrh75X1cNR1D7_FcY9zMnHP8iPO4M5RCRjy6nZY0TY/edit#gid=0"",""Table 1: Study characteristics!A4:A171""), $A464=IMPORTRANGE(""https://docs.google.com/spreadsheets/d/1kGrh75X1cNR1D7_FcY9zMnHP8iPO4M5RCRjy6nZY0TY/edi"&amp;"t#gid=0"",""Table 1: Study characteristics!B4:B171"")))&gt;0
),
""Include""
)"),"Exclude")</f>
        <v>Exclude</v>
      </c>
      <c r="G464" s="5" t="str">
        <f>IFERROR(__xludf.DUMMYFUNCTION("IFS(
D464=""Exclude"",
FILTER(IMPORTRANGE(""https://docs.google.com/spreadsheets/d/1BJSV3WBYJGRhQ6zExamkszQ5VutGIcaQqmbD9ZTVXMQ/edit#gid=1251630045"",""articles_with_PRISMA_reasons!AB2:AB2113""), $A464=IMPORTRANGE(""https://docs.google.com/spreadsheets/d/"&amp;"1BJSV3WBYJGRhQ6zExamkszQ5VutGIcaQqmbD9ZTVXMQ/edit#gid=1251630045"",""articles_with_PRISMA_reasons!B2:B2113"")),
E464=""Exclude"",
FILTER(IMPORTRANGE(""https://docs.google.com/spreadsheets/d/1qpEmbGH0JjaJbUdp21-y2cPbobDbMjr09BbtdKROZWc/edit#gid=1444865654"&amp;""",""articles_with_PRISMA_reasons!Z2:Z2113""), $A464=IMPORTRANGE(""https://docs.google.com/spreadsheets/d/1qpEmbGH0JjaJbUdp21-y2cPbobDbMjr09BbtdKROZWc/edit#gid=1444865654"",""articles_with_PRISMA_reasons!B2:B2113"")),F464
=""Include"",FILTER(IMPORTRANGE("&amp;"""https://docs.google.com/spreadsheets/d/1kGrh75X1cNR1D7_FcY9zMnHP8iPO4M5RCRjy6nZY0TY/edit#gid=0"",""Table 1: Study characteristics!A4:A171""), $A464=IMPORTRANGE(""https://docs.google.com/spreadsheets/d/1kGrh75X1cNR1D7_FcY9zMnHP8iPO4M5RCRjy6nZY0TY/edit#gi"&amp;"d=0"",""Table 1: Study characteristics!B4:B171""))
)"),"wrong study design")</f>
        <v>wrong study design</v>
      </c>
    </row>
    <row r="465">
      <c r="A465" s="4" t="str">
        <f>IFERROR(__xludf.DUMMYFUNCTION("""COMPUTED_VALUE"""),"Clostridium perfringens meningitis in an infant: Case report and literature review")</f>
        <v>Clostridium perfringens meningitis in an infant: Case report and literature review</v>
      </c>
      <c r="B465" s="5" t="str">
        <f>IFERROR(__xludf.DUMMYFUNCTION("LEFT(FILTER(IMPORTRANGE(""https://docs.google.com/spreadsheets/d/1BJSV3WBYJGRhQ6zExamkszQ5VutGIcaQqmbD9ZTVXMQ/edit#gid=1251630045"",""articles_with_PRISMA_reasons!K2:K2113""), $A465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$A465=IMPORTRANGE(""https://docs.google.com/spreadsheets/d/1BJSV3WBYJGRhQ6zExamkszQ5VutGIcaQqmbD9ZTVXMQ/edit#gid=1251630045"",""articles_with_PRISMA_reasons!B2:B2113"")))-1)"),"Long")</f>
        <v>Long</v>
      </c>
      <c r="C465" s="6">
        <f>IFERROR(__xludf.DUMMYFUNCTION("FILTER(IMPORTRANGE(""https://docs.google.com/spreadsheets/d/1BJSV3WBYJGRhQ6zExamkszQ5VutGIcaQqmbD9ZTVXMQ/edit#gid=1251630045"",""articles_with_PRISMA_reasons!C2:C2113""), $A465=IMPORTRANGE(""https://docs.google.com/spreadsheets/d/1BJSV3WBYJGRhQ6zExamkszQ5"&amp;"VutGIcaQqmbD9ZTVXMQ/edit#gid=1251630045"",""articles_with_PRISMA_reasons!B2:B2113""))"),1987.0)</f>
        <v>1987</v>
      </c>
      <c r="D465" s="5" t="str">
        <f>IFERROR(__xludf.DUMMYFUNCTION("IFS(AND(
FILTER(IMPORTRANGE(""https://docs.google.com/spreadsheets/d/1BJSV3WBYJGRhQ6zExamkszQ5VutGIcaQqmbD9ZTVXMQ/edit#gid=1251630045"",""articles_with_PRISMA_reasons!Y2:Y2113""), $A465=IMPORTRANGE(""https://docs.google.com/spreadsheets/d/1BJSV3WBYJGRhQ6z"&amp;"ExamkszQ5VutGIcaQqmbD9ZTVXMQ/edit#gid=1251630045"",""articles_with_PRISMA_reasons!B2:B2113""))&gt;=2,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$A465=IMPORTRANGE(""https://docs.google.com/spreadsheets/d/1BJSV3WBYJGRhQ6zExamkszQ5VutGIcaQqmbD9ZTVXMQ/edit#gid=1251630045"",""articles_with_PRISMA_reasons!B2:B2113""))&lt;2),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$A465=IMPORTRANGE(""https://docs.google.com/spreadsheets/d/1BJSV3WBYJGRhQ6zExamkszQ5VutGIcaQqmbD9ZTVXMQ/edit#gid=1251630045"",""arti"&amp;"cles_with_PRISMA_reasons!B2:B2113""))&lt;2,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$A465=IMPORTRANGE(""https://docs.google.com"&amp;"/spreadsheets/d/1BJSV3WBYJGRhQ6zExamkszQ5VutGIcaQqmbD9ZTVXMQ/edit#gid=1251630045"",""articles_with_PRISMA_reasons!B2:B2113""))&gt;=2),
""Exclude""
)"),"Exclude")</f>
        <v>Exclude</v>
      </c>
      <c r="E465" s="5" t="str">
        <f>IFERROR(__xludf.DUMMYFUNCTION("IFS(
D465=""Exclude"",""Exclude"",
AND(
FILTER(IMPORTRANGE(""https://docs.google.com/spreadsheets/d/1qpEmbGH0JjaJbUdp21-y2cPbobDbMjr09BbtdKROZWc/edit#gid=1444865654"",""articles_with_PRISMA_reasons!W2:W2113""), $A465=IMPORTRANGE(""https://docs.google.com/"&amp;"spreadsheets/d/1qpEmbGH0JjaJbUdp21-y2cPbobDbMjr09BbtdKROZWc/edit#gid=1444865654"",""articles_with_PRISMA_reasons!B2:B2113""))&gt;=2,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$A465=IMPORTRANGE(""https://docs.google.com/spreadsheets/d/1qpEmbGH0JjaJbUdp21-y2cPbobDbMjr09BbtdKROZWc/edit#gid=1444865654"",""articles_with_PRISMA_reasons!B2:B2113""))&lt;2),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$A465=IMPORTRANGE(""https://docs.google.com/spreadsheets/d/1qpEmbGH0JjaJbUdp21-y2cPbobDbMjr09BbtdKRO"&amp;"ZWc/edit#gid=1444865654"",""articles_with_PRISMA_reasons!B2:B2113""))&lt;2,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$A465=IMPOR"&amp;"TRANGE(""https://docs.google.com/spreadsheets/d/1qpEmbGH0JjaJbUdp21-y2cPbobDbMjr09BbtdKROZWc/edit#gid=1444865654"",""articles_with_PRISMA_reasons!B2:B2113""))&gt;=2),
""Exclude""
)"),"Exclude")</f>
        <v>Exclude</v>
      </c>
      <c r="F465" s="5" t="str">
        <f>IFERROR(__xludf.DUMMYFUNCTION("IFS(
E465=""Exclude"",""Exclude"",
AND(
COUNTIF(
IMPORTRANGE(""https://docs.google.com/spreadsheets/d/1kGrh75X1cNR1D7_FcY9zMnHP8iPO4M5RCRjy6nZY0TY/edit#gid=0"",""Table 1: Study characteristics!B4:B171""),A465)&gt;0,
COUNTIF(Studies!$A$2:$A$85,FILTER(IMPORTRA"&amp;"NGE(""https://docs.google.com/spreadsheets/d/1kGrh75X1cNR1D7_FcY9zMnHP8iPO4M5RCRjy6nZY0TY/edit#gid=0"",""Table 1: Study characteristics!A4:A171""), $A465=IMPORTRANGE(""https://docs.google.com/spreadsheets/d/1kGrh75X1cNR1D7_FcY9zMnHP8iPO4M5RCRjy6nZY0TY/edi"&amp;"t#gid=0"",""Table 1: Study characteristics!B4:B171"")))&gt;0
),
""Include""
)"),"Exclude")</f>
        <v>Exclude</v>
      </c>
      <c r="G465" s="5" t="str">
        <f>IFERROR(__xludf.DUMMYFUNCTION("IFS(
D465=""Exclude"",
FILTER(IMPORTRANGE(""https://docs.google.com/spreadsheets/d/1BJSV3WBYJGRhQ6zExamkszQ5VutGIcaQqmbD9ZTVXMQ/edit#gid=1251630045"",""articles_with_PRISMA_reasons!AB2:AB2113""), $A465=IMPORTRANGE(""https://docs.google.com/spreadsheets/d/"&amp;"1BJSV3WBYJGRhQ6zExamkszQ5VutGIcaQqmbD9ZTVXMQ/edit#gid=1251630045"",""articles_with_PRISMA_reasons!B2:B2113"")),
E465=""Exclude"",
FILTER(IMPORTRANGE(""https://docs.google.com/spreadsheets/d/1qpEmbGH0JjaJbUdp21-y2cPbobDbMjr09BbtdKROZWc/edit#gid=1444865654"&amp;""",""articles_with_PRISMA_reasons!Z2:Z2113""), $A465=IMPORTRANGE(""https://docs.google.com/spreadsheets/d/1qpEmbGH0JjaJbUdp21-y2cPbobDbMjr09BbtdKROZWc/edit#gid=1444865654"",""articles_with_PRISMA_reasons!B2:B2113"")),F465
=""Include"",FILTER(IMPORTRANGE("&amp;"""https://docs.google.com/spreadsheets/d/1kGrh75X1cNR1D7_FcY9zMnHP8iPO4M5RCRjy6nZY0TY/edit#gid=0"",""Table 1: Study characteristics!A4:A171""), $A465=IMPORTRANGE(""https://docs.google.com/spreadsheets/d/1kGrh75X1cNR1D7_FcY9zMnHP8iPO4M5RCRjy6nZY0TY/edit#gi"&amp;"d=0"",""Table 1: Study characteristics!B4:B171""))
)"),"wrong publication type")</f>
        <v>wrong publication type</v>
      </c>
    </row>
    <row r="466">
      <c r="A466" s="4" t="str">
        <f>IFERROR(__xludf.DUMMYFUNCTION("""COMPUTED_VALUE"""),"Closure of large myelomeningocele by lumbar artery perforator flaps")</f>
        <v>Closure of large myelomeningocele by lumbar artery perforator flaps</v>
      </c>
      <c r="B466" s="5" t="str">
        <f>IFERROR(__xludf.DUMMYFUNCTION("LEFT(FILTER(IMPORTRANGE(""https://docs.google.com/spreadsheets/d/1BJSV3WBYJGRhQ6zExamkszQ5VutGIcaQqmbD9ZTVXMQ/edit#gid=1251630045"",""articles_with_PRISMA_reasons!K2:K2113""), $A466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$A466=IMPORTRANGE(""https://docs.google.com/spreadsheets/d/1BJSV3WBYJGRhQ6zExamkszQ5VutGIcaQqmbD9ZTVXMQ/edit#gid=1251630045"",""articles_with_PRISMA_reasons!B2:B2113"")))-1)"),"El-Sabbagh")</f>
        <v>El-Sabbagh</v>
      </c>
      <c r="C466" s="6">
        <f>IFERROR(__xludf.DUMMYFUNCTION("FILTER(IMPORTRANGE(""https://docs.google.com/spreadsheets/d/1BJSV3WBYJGRhQ6zExamkszQ5VutGIcaQqmbD9ZTVXMQ/edit#gid=1251630045"",""articles_with_PRISMA_reasons!C2:C2113""), $A466=IMPORTRANGE(""https://docs.google.com/spreadsheets/d/1BJSV3WBYJGRhQ6zExamkszQ5"&amp;"VutGIcaQqmbD9ZTVXMQ/edit#gid=1251630045"",""articles_with_PRISMA_reasons!B2:B2113""))"),2011.0)</f>
        <v>2011</v>
      </c>
      <c r="D466" s="5" t="str">
        <f>IFERROR(__xludf.DUMMYFUNCTION("IFS(AND(
FILTER(IMPORTRANGE(""https://docs.google.com/spreadsheets/d/1BJSV3WBYJGRhQ6zExamkszQ5VutGIcaQqmbD9ZTVXMQ/edit#gid=1251630045"",""articles_with_PRISMA_reasons!Y2:Y2113""), $A466=IMPORTRANGE(""https://docs.google.com/spreadsheets/d/1BJSV3WBYJGRhQ6z"&amp;"ExamkszQ5VutGIcaQqmbD9ZTVXMQ/edit#gid=1251630045"",""articles_with_PRISMA_reasons!B2:B2113""))&gt;=2,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$A466=IMPORTRANGE(""https://docs.google.com/spreadsheets/d/1BJSV3WBYJGRhQ6zExamkszQ5VutGIcaQqmbD9ZTVXMQ/edit#gid=1251630045"",""articles_with_PRISMA_reasons!B2:B2113""))&lt;2),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$A466=IMPORTRANGE(""https://docs.google.com/spreadsheets/d/1BJSV3WBYJGRhQ6zExamkszQ5VutGIcaQqmbD9ZTVXMQ/edit#gid=1251630045"",""arti"&amp;"cles_with_PRISMA_reasons!B2:B2113""))&lt;2,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$A466=IMPORTRANGE(""https://docs.google.com"&amp;"/spreadsheets/d/1BJSV3WBYJGRhQ6zExamkszQ5VutGIcaQqmbD9ZTVXMQ/edit#gid=1251630045"",""articles_with_PRISMA_reasons!B2:B2113""))&gt;=2),
""Exclude""
)"),"Exclude")</f>
        <v>Exclude</v>
      </c>
      <c r="E466" s="5" t="str">
        <f>IFERROR(__xludf.DUMMYFUNCTION("IFS(
D466=""Exclude"",""Exclude"",
AND(
FILTER(IMPORTRANGE(""https://docs.google.com/spreadsheets/d/1qpEmbGH0JjaJbUdp21-y2cPbobDbMjr09BbtdKROZWc/edit#gid=1444865654"",""articles_with_PRISMA_reasons!W2:W2113""), $A466=IMPORTRANGE(""https://docs.google.com/"&amp;"spreadsheets/d/1qpEmbGH0JjaJbUdp21-y2cPbobDbMjr09BbtdKROZWc/edit#gid=1444865654"",""articles_with_PRISMA_reasons!B2:B2113""))&gt;=2,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$A466=IMPORTRANGE(""https://docs.google.com/spreadsheets/d/1qpEmbGH0JjaJbUdp21-y2cPbobDbMjr09BbtdKROZWc/edit#gid=1444865654"",""articles_with_PRISMA_reasons!B2:B2113""))&lt;2),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$A466=IMPORTRANGE(""https://docs.google.com/spreadsheets/d/1qpEmbGH0JjaJbUdp21-y2cPbobDbMjr09BbtdKRO"&amp;"ZWc/edit#gid=1444865654"",""articles_with_PRISMA_reasons!B2:B2113""))&lt;2,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$A466=IMPOR"&amp;"TRANGE(""https://docs.google.com/spreadsheets/d/1qpEmbGH0JjaJbUdp21-y2cPbobDbMjr09BbtdKROZWc/edit#gid=1444865654"",""articles_with_PRISMA_reasons!B2:B2113""))&gt;=2),
""Exclude""
)"),"Exclude")</f>
        <v>Exclude</v>
      </c>
      <c r="F466" s="5" t="str">
        <f>IFERROR(__xludf.DUMMYFUNCTION("IFS(
E466=""Exclude"",""Exclude"",
AND(
COUNTIF(
IMPORTRANGE(""https://docs.google.com/spreadsheets/d/1kGrh75X1cNR1D7_FcY9zMnHP8iPO4M5RCRjy6nZY0TY/edit#gid=0"",""Table 1: Study characteristics!B4:B171""),A466)&gt;0,
COUNTIF(Studies!$A$2:$A$85,FILTER(IMPORTRA"&amp;"NGE(""https://docs.google.com/spreadsheets/d/1kGrh75X1cNR1D7_FcY9zMnHP8iPO4M5RCRjy6nZY0TY/edit#gid=0"",""Table 1: Study characteristics!A4:A171""), $A466=IMPORTRANGE(""https://docs.google.com/spreadsheets/d/1kGrh75X1cNR1D7_FcY9zMnHP8iPO4M5RCRjy6nZY0TY/edi"&amp;"t#gid=0"",""Table 1: Study characteristics!B4:B171"")))&gt;0
),
""Include""
)"),"Exclude")</f>
        <v>Exclude</v>
      </c>
      <c r="G466" s="5" t="str">
        <f>IFERROR(__xludf.DUMMYFUNCTION("IFS(
D466=""Exclude"",
FILTER(IMPORTRANGE(""https://docs.google.com/spreadsheets/d/1BJSV3WBYJGRhQ6zExamkszQ5VutGIcaQqmbD9ZTVXMQ/edit#gid=1251630045"",""articles_with_PRISMA_reasons!AB2:AB2113""), $A466=IMPORTRANGE(""https://docs.google.com/spreadsheets/d/"&amp;"1BJSV3WBYJGRhQ6zExamkszQ5VutGIcaQqmbD9ZTVXMQ/edit#gid=1251630045"",""articles_with_PRISMA_reasons!B2:B2113"")),
E466=""Exclude"",
FILTER(IMPORTRANGE(""https://docs.google.com/spreadsheets/d/1qpEmbGH0JjaJbUdp21-y2cPbobDbMjr09BbtdKROZWc/edit#gid=1444865654"&amp;""",""articles_with_PRISMA_reasons!Z2:Z2113""), $A466=IMPORTRANGE(""https://docs.google.com/spreadsheets/d/1qpEmbGH0JjaJbUdp21-y2cPbobDbMjr09BbtdKROZWc/edit#gid=1444865654"",""articles_with_PRISMA_reasons!B2:B2113"")),F466
=""Include"",FILTER(IMPORTRANGE("&amp;"""https://docs.google.com/spreadsheets/d/1kGrh75X1cNR1D7_FcY9zMnHP8iPO4M5RCRjy6nZY0TY/edit#gid=0"",""Table 1: Study characteristics!A4:A171""), $A466=IMPORTRANGE(""https://docs.google.com/spreadsheets/d/1kGrh75X1cNR1D7_FcY9zMnHP8iPO4M5RCRjy6nZY0TY/edit#gi"&amp;"d=0"",""Table 1: Study characteristics!B4:B171""))
)"),"wrong population")</f>
        <v>wrong population</v>
      </c>
    </row>
    <row r="467">
      <c r="A467" s="4" t="str">
        <f>IFERROR(__xludf.DUMMYFUNCTION("""COMPUTED_VALUE"""),"Closure of myelomeningocele defects using a limberg flap or direct repair")</f>
        <v>Closure of myelomeningocele defects using a limberg flap or direct repair</v>
      </c>
      <c r="B467" s="5" t="str">
        <f>IFERROR(__xludf.DUMMYFUNCTION("LEFT(FILTER(IMPORTRANGE(""https://docs.google.com/spreadsheets/d/1BJSV3WBYJGRhQ6zExamkszQ5VutGIcaQqmbD9ZTVXMQ/edit#gid=1251630045"",""articles_with_PRISMA_reasons!K2:K2113""), $A467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$A467=IMPORTRANGE(""https://docs.google.com/spreadsheets/d/1BJSV3WBYJGRhQ6zExamkszQ5VutGIcaQqmbD9ZTVXMQ/edit#gid=1251630045"",""articles_with_PRISMA_reasons!B2:B2113"")))-1)"),"Shim")</f>
        <v>Shim</v>
      </c>
      <c r="C467" s="6">
        <f>IFERROR(__xludf.DUMMYFUNCTION("FILTER(IMPORTRANGE(""https://docs.google.com/spreadsheets/d/1BJSV3WBYJGRhQ6zExamkszQ5VutGIcaQqmbD9ZTVXMQ/edit#gid=1251630045"",""articles_with_PRISMA_reasons!C2:C2113""), $A467=IMPORTRANGE(""https://docs.google.com/spreadsheets/d/1BJSV3WBYJGRhQ6zExamkszQ5"&amp;"VutGIcaQqmbD9ZTVXMQ/edit#gid=1251630045"",""articles_with_PRISMA_reasons!B2:B2113""))"),2016.0)</f>
        <v>2016</v>
      </c>
      <c r="D467" s="5" t="str">
        <f>IFERROR(__xludf.DUMMYFUNCTION("IFS(AND(
FILTER(IMPORTRANGE(""https://docs.google.com/spreadsheets/d/1BJSV3WBYJGRhQ6zExamkszQ5VutGIcaQqmbD9ZTVXMQ/edit#gid=1251630045"",""articles_with_PRISMA_reasons!Y2:Y2113""), $A467=IMPORTRANGE(""https://docs.google.com/spreadsheets/d/1BJSV3WBYJGRhQ6z"&amp;"ExamkszQ5VutGIcaQqmbD9ZTVXMQ/edit#gid=1251630045"",""articles_with_PRISMA_reasons!B2:B2113""))&gt;=2,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$A467=IMPORTRANGE(""https://docs.google.com/spreadsheets/d/1BJSV3WBYJGRhQ6zExamkszQ5VutGIcaQqmbD9ZTVXMQ/edit#gid=1251630045"",""articles_with_PRISMA_reasons!B2:B2113""))&lt;2),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$A467=IMPORTRANGE(""https://docs.google.com/spreadsheets/d/1BJSV3WBYJGRhQ6zExamkszQ5VutGIcaQqmbD9ZTVXMQ/edit#gid=1251630045"",""arti"&amp;"cles_with_PRISMA_reasons!B2:B2113""))&lt;2,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$A467=IMPORTRANGE(""https://docs.google.com"&amp;"/spreadsheets/d/1BJSV3WBYJGRhQ6zExamkszQ5VutGIcaQqmbD9ZTVXMQ/edit#gid=1251630045"",""articles_with_PRISMA_reasons!B2:B2113""))&gt;=2),
""Exclude""
)"),"Exclude")</f>
        <v>Exclude</v>
      </c>
      <c r="E467" s="5" t="str">
        <f>IFERROR(__xludf.DUMMYFUNCTION("IFS(
D467=""Exclude"",""Exclude"",
AND(
FILTER(IMPORTRANGE(""https://docs.google.com/spreadsheets/d/1qpEmbGH0JjaJbUdp21-y2cPbobDbMjr09BbtdKROZWc/edit#gid=1444865654"",""articles_with_PRISMA_reasons!W2:W2113""), $A467=IMPORTRANGE(""https://docs.google.com/"&amp;"spreadsheets/d/1qpEmbGH0JjaJbUdp21-y2cPbobDbMjr09BbtdKROZWc/edit#gid=1444865654"",""articles_with_PRISMA_reasons!B2:B2113""))&gt;=2,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$A467=IMPORTRANGE(""https://docs.google.com/spreadsheets/d/1qpEmbGH0JjaJbUdp21-y2cPbobDbMjr09BbtdKROZWc/edit#gid=1444865654"",""articles_with_PRISMA_reasons!B2:B2113""))&lt;2),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$A467=IMPORTRANGE(""https://docs.google.com/spreadsheets/d/1qpEmbGH0JjaJbUdp21-y2cPbobDbMjr09BbtdKRO"&amp;"ZWc/edit#gid=1444865654"",""articles_with_PRISMA_reasons!B2:B2113""))&lt;2,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$A467=IMPOR"&amp;"TRANGE(""https://docs.google.com/spreadsheets/d/1qpEmbGH0JjaJbUdp21-y2cPbobDbMjr09BbtdKROZWc/edit#gid=1444865654"",""articles_with_PRISMA_reasons!B2:B2113""))&gt;=2),
""Exclude""
)"),"Exclude")</f>
        <v>Exclude</v>
      </c>
      <c r="F467" s="5" t="str">
        <f>IFERROR(__xludf.DUMMYFUNCTION("IFS(
E467=""Exclude"",""Exclude"",
AND(
COUNTIF(
IMPORTRANGE(""https://docs.google.com/spreadsheets/d/1kGrh75X1cNR1D7_FcY9zMnHP8iPO4M5RCRjy6nZY0TY/edit#gid=0"",""Table 1: Study characteristics!B4:B171""),A467)&gt;0,
COUNTIF(Studies!$A$2:$A$85,FILTER(IMPORTRA"&amp;"NGE(""https://docs.google.com/spreadsheets/d/1kGrh75X1cNR1D7_FcY9zMnHP8iPO4M5RCRjy6nZY0TY/edit#gid=0"",""Table 1: Study characteristics!A4:A171""), $A467=IMPORTRANGE(""https://docs.google.com/spreadsheets/d/1kGrh75X1cNR1D7_FcY9zMnHP8iPO4M5RCRjy6nZY0TY/edi"&amp;"t#gid=0"",""Table 1: Study characteristics!B4:B171"")))&gt;0
),
""Include""
)"),"Exclude")</f>
        <v>Exclude</v>
      </c>
      <c r="G467" s="5" t="str">
        <f>IFERROR(__xludf.DUMMYFUNCTION("IFS(
D467=""Exclude"",
FILTER(IMPORTRANGE(""https://docs.google.com/spreadsheets/d/1BJSV3WBYJGRhQ6zExamkszQ5VutGIcaQqmbD9ZTVXMQ/edit#gid=1251630045"",""articles_with_PRISMA_reasons!AB2:AB2113""), $A467=IMPORTRANGE(""https://docs.google.com/spreadsheets/d/"&amp;"1BJSV3WBYJGRhQ6zExamkszQ5VutGIcaQqmbD9ZTVXMQ/edit#gid=1251630045"",""articles_with_PRISMA_reasons!B2:B2113"")),
E467=""Exclude"",
FILTER(IMPORTRANGE(""https://docs.google.com/spreadsheets/d/1qpEmbGH0JjaJbUdp21-y2cPbobDbMjr09BbtdKROZWc/edit#gid=1444865654"&amp;""",""articles_with_PRISMA_reasons!Z2:Z2113""), $A467=IMPORTRANGE(""https://docs.google.com/spreadsheets/d/1qpEmbGH0JjaJbUdp21-y2cPbobDbMjr09BbtdKROZWc/edit#gid=1444865654"",""articles_with_PRISMA_reasons!B2:B2113"")),F467
=""Include"",FILTER(IMPORTRANGE("&amp;"""https://docs.google.com/spreadsheets/d/1kGrh75X1cNR1D7_FcY9zMnHP8iPO4M5RCRjy6nZY0TY/edit#gid=0"",""Table 1: Study characteristics!A4:A171""), $A467=IMPORTRANGE(""https://docs.google.com/spreadsheets/d/1kGrh75X1cNR1D7_FcY9zMnHP8iPO4M5RCRjy6nZY0TY/edit#gi"&amp;"d=0"",""Table 1: Study characteristics!B4:B171""))
)"),"wrong population")</f>
        <v>wrong population</v>
      </c>
    </row>
    <row r="468">
      <c r="A468" s="4" t="str">
        <f>IFERROR(__xludf.DUMMYFUNCTION("""COMPUTED_VALUE"""),"CNS malformations in the Krakow region. I. Birth prevalence and seasonal incidence during 1979-1981")</f>
        <v>CNS malformations in the Krakow region. I. Birth prevalence and seasonal incidence during 1979-1981</v>
      </c>
      <c r="B468" s="5" t="str">
        <f>IFERROR(__xludf.DUMMYFUNCTION("LEFT(FILTER(IMPORTRANGE(""https://docs.google.com/spreadsheets/d/1BJSV3WBYJGRhQ6zExamkszQ5VutGIcaQqmbD9ZTVXMQ/edit#gid=1251630045"",""articles_with_PRISMA_reasons!K2:K2113""), $A468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$A468=IMPORTRANGE(""https://docs.google.com/spreadsheets/d/1BJSV3WBYJGRhQ6zExamkszQ5VutGIcaQqmbD9ZTVXMQ/edit#gid=1251630045"",""articles_with_PRISMA_reasons!B2:B2113"")))-1)"),"Pietrzyk")</f>
        <v>Pietrzyk</v>
      </c>
      <c r="C468" s="6">
        <f>IFERROR(__xludf.DUMMYFUNCTION("FILTER(IMPORTRANGE(""https://docs.google.com/spreadsheets/d/1BJSV3WBYJGRhQ6zExamkszQ5VutGIcaQqmbD9ZTVXMQ/edit#gid=1251630045"",""articles_with_PRISMA_reasons!C2:C2113""), $A468=IMPORTRANGE(""https://docs.google.com/spreadsheets/d/1BJSV3WBYJGRhQ6zExamkszQ5"&amp;"VutGIcaQqmbD9ZTVXMQ/edit#gid=1251630045"",""articles_with_PRISMA_reasons!B2:B2113""))"),1983.0)</f>
        <v>1983</v>
      </c>
      <c r="D468" s="5" t="str">
        <f>IFERROR(__xludf.DUMMYFUNCTION("IFS(AND(
FILTER(IMPORTRANGE(""https://docs.google.com/spreadsheets/d/1BJSV3WBYJGRhQ6zExamkszQ5VutGIcaQqmbD9ZTVXMQ/edit#gid=1251630045"",""articles_with_PRISMA_reasons!Y2:Y2113""), $A468=IMPORTRANGE(""https://docs.google.com/spreadsheets/d/1BJSV3WBYJGRhQ6z"&amp;"ExamkszQ5VutGIcaQqmbD9ZTVXMQ/edit#gid=1251630045"",""articles_with_PRISMA_reasons!B2:B2113""))&gt;=2,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$A468=IMPORTRANGE(""https://docs.google.com/spreadsheets/d/1BJSV3WBYJGRhQ6zExamkszQ5VutGIcaQqmbD9ZTVXMQ/edit#gid=1251630045"",""articles_with_PRISMA_reasons!B2:B2113""))&lt;2),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$A468=IMPORTRANGE(""https://docs.google.com/spreadsheets/d/1BJSV3WBYJGRhQ6zExamkszQ5VutGIcaQqmbD9ZTVXMQ/edit#gid=1251630045"",""arti"&amp;"cles_with_PRISMA_reasons!B2:B2113""))&lt;2,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$A468=IMPORTRANGE(""https://docs.google.com"&amp;"/spreadsheets/d/1BJSV3WBYJGRhQ6zExamkszQ5VutGIcaQqmbD9ZTVXMQ/edit#gid=1251630045"",""articles_with_PRISMA_reasons!B2:B2113""))&gt;=2),
""Exclude""
)"),"Exclude")</f>
        <v>Exclude</v>
      </c>
      <c r="E468" s="5" t="str">
        <f>IFERROR(__xludf.DUMMYFUNCTION("IFS(
D468=""Exclude"",""Exclude"",
AND(
FILTER(IMPORTRANGE(""https://docs.google.com/spreadsheets/d/1qpEmbGH0JjaJbUdp21-y2cPbobDbMjr09BbtdKROZWc/edit#gid=1444865654"",""articles_with_PRISMA_reasons!W2:W2113""), $A468=IMPORTRANGE(""https://docs.google.com/"&amp;"spreadsheets/d/1qpEmbGH0JjaJbUdp21-y2cPbobDbMjr09BbtdKROZWc/edit#gid=1444865654"",""articles_with_PRISMA_reasons!B2:B2113""))&gt;=2,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$A468=IMPORTRANGE(""https://docs.google.com/spreadsheets/d/1qpEmbGH0JjaJbUdp21-y2cPbobDbMjr09BbtdKROZWc/edit#gid=1444865654"",""articles_with_PRISMA_reasons!B2:B2113""))&lt;2),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$A468=IMPORTRANGE(""https://docs.google.com/spreadsheets/d/1qpEmbGH0JjaJbUdp21-y2cPbobDbMjr09BbtdKRO"&amp;"ZWc/edit#gid=1444865654"",""articles_with_PRISMA_reasons!B2:B2113""))&lt;2,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$A468=IMPOR"&amp;"TRANGE(""https://docs.google.com/spreadsheets/d/1qpEmbGH0JjaJbUdp21-y2cPbobDbMjr09BbtdKROZWc/edit#gid=1444865654"",""articles_with_PRISMA_reasons!B2:B2113""))&gt;=2),
""Exclude""
)"),"Exclude")</f>
        <v>Exclude</v>
      </c>
      <c r="F468" s="5" t="str">
        <f>IFERROR(__xludf.DUMMYFUNCTION("IFS(
E468=""Exclude"",""Exclude"",
AND(
COUNTIF(
IMPORTRANGE(""https://docs.google.com/spreadsheets/d/1kGrh75X1cNR1D7_FcY9zMnHP8iPO4M5RCRjy6nZY0TY/edit#gid=0"",""Table 1: Study characteristics!B4:B171""),A468)&gt;0,
COUNTIF(Studies!$A$2:$A$85,FILTER(IMPORTRA"&amp;"NGE(""https://docs.google.com/spreadsheets/d/1kGrh75X1cNR1D7_FcY9zMnHP8iPO4M5RCRjy6nZY0TY/edit#gid=0"",""Table 1: Study characteristics!A4:A171""), $A468=IMPORTRANGE(""https://docs.google.com/spreadsheets/d/1kGrh75X1cNR1D7_FcY9zMnHP8iPO4M5RCRjy6nZY0TY/edi"&amp;"t#gid=0"",""Table 1: Study characteristics!B4:B171"")))&gt;0
),
""Include""
)"),"Exclude")</f>
        <v>Exclude</v>
      </c>
      <c r="G468" s="5" t="str">
        <f>IFERROR(__xludf.DUMMYFUNCTION("IFS(
D468=""Exclude"",
FILTER(IMPORTRANGE(""https://docs.google.com/spreadsheets/d/1BJSV3WBYJGRhQ6zExamkszQ5VutGIcaQqmbD9ZTVXMQ/edit#gid=1251630045"",""articles_with_PRISMA_reasons!AB2:AB2113""), $A468=IMPORTRANGE(""https://docs.google.com/spreadsheets/d/"&amp;"1BJSV3WBYJGRhQ6zExamkszQ5VutGIcaQqmbD9ZTVXMQ/edit#gid=1251630045"",""articles_with_PRISMA_reasons!B2:B2113"")),
E468=""Exclude"",
FILTER(IMPORTRANGE(""https://docs.google.com/spreadsheets/d/1qpEmbGH0JjaJbUdp21-y2cPbobDbMjr09BbtdKROZWc/edit#gid=1444865654"&amp;""",""articles_with_PRISMA_reasons!Z2:Z2113""), $A468=IMPORTRANGE(""https://docs.google.com/spreadsheets/d/1qpEmbGH0JjaJbUdp21-y2cPbobDbMjr09BbtdKROZWc/edit#gid=1444865654"",""articles_with_PRISMA_reasons!B2:B2113"")),F468
=""Include"",FILTER(IMPORTRANGE("&amp;"""https://docs.google.com/spreadsheets/d/1kGrh75X1cNR1D7_FcY9zMnHP8iPO4M5RCRjy6nZY0TY/edit#gid=0"",""Table 1: Study characteristics!A4:A171""), $A468=IMPORTRANGE(""https://docs.google.com/spreadsheets/d/1kGrh75X1cNR1D7_FcY9zMnHP8iPO4M5RCRjy6nZY0TY/edit#gi"&amp;"d=0"",""Table 1: Study characteristics!B4:B171""))
)"),"wrong population")</f>
        <v>wrong population</v>
      </c>
    </row>
    <row r="469">
      <c r="A469" s="4" t="str">
        <f>IFERROR(__xludf.DUMMYFUNCTION("""COMPUTED_VALUE"""),"Co-morbidities Associated With Early Mortality in Adults With Spina Bifida")</f>
        <v>Co-morbidities Associated With Early Mortality in Adults With Spina Bifida</v>
      </c>
      <c r="B469" s="5" t="str">
        <f>IFERROR(__xludf.DUMMYFUNCTION("LEFT(FILTER(IMPORTRANGE(""https://docs.google.com/spreadsheets/d/1BJSV3WBYJGRhQ6zExamkszQ5VutGIcaQqmbD9ZTVXMQ/edit#gid=1251630045"",""articles_with_PRISMA_reasons!K2:K2113""), $A469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$A469=IMPORTRANGE(""https://docs.google.com/spreadsheets/d/1BJSV3WBYJGRhQ6zExamkszQ5VutGIcaQqmbD9ZTVXMQ/edit#gid=1251630045"",""articles_with_PRISMA_reasons!B2:B2113"")))-1)"),"Dicianno")</f>
        <v>Dicianno</v>
      </c>
      <c r="C469" s="6">
        <f>IFERROR(__xludf.DUMMYFUNCTION("FILTER(IMPORTRANGE(""https://docs.google.com/spreadsheets/d/1BJSV3WBYJGRhQ6zExamkszQ5VutGIcaQqmbD9ZTVXMQ/edit#gid=1251630045"",""articles_with_PRISMA_reasons!C2:C2113""), $A469=IMPORTRANGE(""https://docs.google.com/spreadsheets/d/1BJSV3WBYJGRhQ6zExamkszQ5"&amp;"VutGIcaQqmbD9ZTVXMQ/edit#gid=1251630045"",""articles_with_PRISMA_reasons!B2:B2113""))"),2018.0)</f>
        <v>2018</v>
      </c>
      <c r="D469" s="5" t="str">
        <f>IFERROR(__xludf.DUMMYFUNCTION("IFS(AND(
FILTER(IMPORTRANGE(""https://docs.google.com/spreadsheets/d/1BJSV3WBYJGRhQ6zExamkszQ5VutGIcaQqmbD9ZTVXMQ/edit#gid=1251630045"",""articles_with_PRISMA_reasons!Y2:Y2113""), $A469=IMPORTRANGE(""https://docs.google.com/spreadsheets/d/1BJSV3WBYJGRhQ6z"&amp;"ExamkszQ5VutGIcaQqmbD9ZTVXMQ/edit#gid=1251630045"",""articles_with_PRISMA_reasons!B2:B2113""))&gt;=2,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$A469=IMPORTRANGE(""https://docs.google.com/spreadsheets/d/1BJSV3WBYJGRhQ6zExamkszQ5VutGIcaQqmbD9ZTVXMQ/edit#gid=1251630045"",""articles_with_PRISMA_reasons!B2:B2113""))&lt;2),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$A469=IMPORTRANGE(""https://docs.google.com/spreadsheets/d/1BJSV3WBYJGRhQ6zExamkszQ5VutGIcaQqmbD9ZTVXMQ/edit#gid=1251630045"",""arti"&amp;"cles_with_PRISMA_reasons!B2:B2113""))&lt;2,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$A469=IMPORTRANGE(""https://docs.google.com"&amp;"/spreadsheets/d/1BJSV3WBYJGRhQ6zExamkszQ5VutGIcaQqmbD9ZTVXMQ/edit#gid=1251630045"",""articles_with_PRISMA_reasons!B2:B2113""))&gt;=2),
""Exclude""
)"),"Exclude")</f>
        <v>Exclude</v>
      </c>
      <c r="E469" s="5" t="str">
        <f>IFERROR(__xludf.DUMMYFUNCTION("IFS(
D469=""Exclude"",""Exclude"",
AND(
FILTER(IMPORTRANGE(""https://docs.google.com/spreadsheets/d/1qpEmbGH0JjaJbUdp21-y2cPbobDbMjr09BbtdKROZWc/edit#gid=1444865654"",""articles_with_PRISMA_reasons!W2:W2113""), $A469=IMPORTRANGE(""https://docs.google.com/"&amp;"spreadsheets/d/1qpEmbGH0JjaJbUdp21-y2cPbobDbMjr09BbtdKROZWc/edit#gid=1444865654"",""articles_with_PRISMA_reasons!B2:B2113""))&gt;=2,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$A469=IMPORTRANGE(""https://docs.google.com/spreadsheets/d/1qpEmbGH0JjaJbUdp21-y2cPbobDbMjr09BbtdKROZWc/edit#gid=1444865654"",""articles_with_PRISMA_reasons!B2:B2113""))&lt;2),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$A469=IMPORTRANGE(""https://docs.google.com/spreadsheets/d/1qpEmbGH0JjaJbUdp21-y2cPbobDbMjr09BbtdKRO"&amp;"ZWc/edit#gid=1444865654"",""articles_with_PRISMA_reasons!B2:B2113""))&lt;2,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$A469=IMPOR"&amp;"TRANGE(""https://docs.google.com/spreadsheets/d/1qpEmbGH0JjaJbUdp21-y2cPbobDbMjr09BbtdKROZWc/edit#gid=1444865654"",""articles_with_PRISMA_reasons!B2:B2113""))&gt;=2),
""Exclude""
)"),"Exclude")</f>
        <v>Exclude</v>
      </c>
      <c r="F469" s="5" t="str">
        <f>IFERROR(__xludf.DUMMYFUNCTION("IFS(
E469=""Exclude"",""Exclude"",
AND(
COUNTIF(
IMPORTRANGE(""https://docs.google.com/spreadsheets/d/1kGrh75X1cNR1D7_FcY9zMnHP8iPO4M5RCRjy6nZY0TY/edit#gid=0"",""Table 1: Study characteristics!B4:B171""),A469)&gt;0,
COUNTIF(Studies!$A$2:$A$85,FILTER(IMPORTRA"&amp;"NGE(""https://docs.google.com/spreadsheets/d/1kGrh75X1cNR1D7_FcY9zMnHP8iPO4M5RCRjy6nZY0TY/edit#gid=0"",""Table 1: Study characteristics!A4:A171""), $A469=IMPORTRANGE(""https://docs.google.com/spreadsheets/d/1kGrh75X1cNR1D7_FcY9zMnHP8iPO4M5RCRjy6nZY0TY/edi"&amp;"t#gid=0"",""Table 1: Study characteristics!B4:B171"")))&gt;0
),
""Include""
)"),"Exclude")</f>
        <v>Exclude</v>
      </c>
      <c r="G469" s="5" t="str">
        <f>IFERROR(__xludf.DUMMYFUNCTION("IFS(
D469=""Exclude"",
FILTER(IMPORTRANGE(""https://docs.google.com/spreadsheets/d/1BJSV3WBYJGRhQ6zExamkszQ5VutGIcaQqmbD9ZTVXMQ/edit#gid=1251630045"",""articles_with_PRISMA_reasons!AB2:AB2113""), $A469=IMPORTRANGE(""https://docs.google.com/spreadsheets/d/"&amp;"1BJSV3WBYJGRhQ6zExamkszQ5VutGIcaQqmbD9ZTVXMQ/edit#gid=1251630045"",""articles_with_PRISMA_reasons!B2:B2113"")),
E469=""Exclude"",
FILTER(IMPORTRANGE(""https://docs.google.com/spreadsheets/d/1qpEmbGH0JjaJbUdp21-y2cPbobDbMjr09BbtdKROZWc/edit#gid=1444865654"&amp;""",""articles_with_PRISMA_reasons!Z2:Z2113""), $A469=IMPORTRANGE(""https://docs.google.com/spreadsheets/d/1qpEmbGH0JjaJbUdp21-y2cPbobDbMjr09BbtdKROZWc/edit#gid=1444865654"",""articles_with_PRISMA_reasons!B2:B2113"")),F469
=""Include"",FILTER(IMPORTRANGE("&amp;"""https://docs.google.com/spreadsheets/d/1kGrh75X1cNR1D7_FcY9zMnHP8iPO4M5RCRjy6nZY0TY/edit#gid=0"",""Table 1: Study characteristics!A4:A171""), $A469=IMPORTRANGE(""https://docs.google.com/spreadsheets/d/1kGrh75X1cNR1D7_FcY9zMnHP8iPO4M5RCRjy6nZY0TY/edit#gi"&amp;"d=0"",""Table 1: Study characteristics!B4:B171""))
)"),"wrong population")</f>
        <v>wrong population</v>
      </c>
    </row>
    <row r="470">
      <c r="A470" s="4" t="str">
        <f>IFERROR(__xludf.DUMMYFUNCTION("""COMPUTED_VALUE"""),"Co-occurrence of Chiari malformations and sickle cell disease-A diagnostic dilemma: A report of 4 cases and review of literature")</f>
        <v>Co-occurrence of Chiari malformations and sickle cell disease-A diagnostic dilemma: A report of 4 cases and review of literature</v>
      </c>
      <c r="B470" s="5" t="str">
        <f>IFERROR(__xludf.DUMMYFUNCTION("LEFT(FILTER(IMPORTRANGE(""https://docs.google.com/spreadsheets/d/1BJSV3WBYJGRhQ6zExamkszQ5VutGIcaQqmbD9ZTVXMQ/edit#gid=1251630045"",""articles_with_PRISMA_reasons!K2:K2113""), $A470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$A470=IMPORTRANGE(""https://docs.google.com/spreadsheets/d/1BJSV3WBYJGRhQ6zExamkszQ5VutGIcaQqmbD9ZTVXMQ/edit#gid=1251630045"",""articles_with_PRISMA_reasons!B2:B2113"")))-1)"),"Chonat")</f>
        <v>Chonat</v>
      </c>
      <c r="C470" s="6">
        <f>IFERROR(__xludf.DUMMYFUNCTION("FILTER(IMPORTRANGE(""https://docs.google.com/spreadsheets/d/1BJSV3WBYJGRhQ6zExamkszQ5VutGIcaQqmbD9ZTVXMQ/edit#gid=1251630045"",""articles_with_PRISMA_reasons!C2:C2113""), $A470=IMPORTRANGE(""https://docs.google.com/spreadsheets/d/1BJSV3WBYJGRhQ6zExamkszQ5"&amp;"VutGIcaQqmbD9ZTVXMQ/edit#gid=1251630045"",""articles_with_PRISMA_reasons!B2:B2113""))"),2011.0)</f>
        <v>2011</v>
      </c>
      <c r="D470" s="5" t="str">
        <f>IFERROR(__xludf.DUMMYFUNCTION("IFS(AND(
FILTER(IMPORTRANGE(""https://docs.google.com/spreadsheets/d/1BJSV3WBYJGRhQ6zExamkszQ5VutGIcaQqmbD9ZTVXMQ/edit#gid=1251630045"",""articles_with_PRISMA_reasons!Y2:Y2113""), $A470=IMPORTRANGE(""https://docs.google.com/spreadsheets/d/1BJSV3WBYJGRhQ6z"&amp;"ExamkszQ5VutGIcaQqmbD9ZTVXMQ/edit#gid=1251630045"",""articles_with_PRISMA_reasons!B2:B2113""))&gt;=2,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$A470=IMPORTRANGE(""https://docs.google.com/spreadsheets/d/1BJSV3WBYJGRhQ6zExamkszQ5VutGIcaQqmbD9ZTVXMQ/edit#gid=1251630045"",""articles_with_PRISMA_reasons!B2:B2113""))&lt;2),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$A470=IMPORTRANGE(""https://docs.google.com/spreadsheets/d/1BJSV3WBYJGRhQ6zExamkszQ5VutGIcaQqmbD9ZTVXMQ/edit#gid=1251630045"",""arti"&amp;"cles_with_PRISMA_reasons!B2:B2113""))&lt;2,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$A470=IMPORTRANGE(""https://docs.google.com"&amp;"/spreadsheets/d/1BJSV3WBYJGRhQ6zExamkszQ5VutGIcaQqmbD9ZTVXMQ/edit#gid=1251630045"",""articles_with_PRISMA_reasons!B2:B2113""))&gt;=2),
""Exclude""
)"),"Exclude")</f>
        <v>Exclude</v>
      </c>
      <c r="E470" s="5" t="str">
        <f>IFERROR(__xludf.DUMMYFUNCTION("IFS(
D470=""Exclude"",""Exclude"",
AND(
FILTER(IMPORTRANGE(""https://docs.google.com/spreadsheets/d/1qpEmbGH0JjaJbUdp21-y2cPbobDbMjr09BbtdKROZWc/edit#gid=1444865654"",""articles_with_PRISMA_reasons!W2:W2113""), $A470=IMPORTRANGE(""https://docs.google.com/"&amp;"spreadsheets/d/1qpEmbGH0JjaJbUdp21-y2cPbobDbMjr09BbtdKROZWc/edit#gid=1444865654"",""articles_with_PRISMA_reasons!B2:B2113""))&gt;=2,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$A470=IMPORTRANGE(""https://docs.google.com/spreadsheets/d/1qpEmbGH0JjaJbUdp21-y2cPbobDbMjr09BbtdKROZWc/edit#gid=1444865654"",""articles_with_PRISMA_reasons!B2:B2113""))&lt;2),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$A470=IMPORTRANGE(""https://docs.google.com/spreadsheets/d/1qpEmbGH0JjaJbUdp21-y2cPbobDbMjr09BbtdKRO"&amp;"ZWc/edit#gid=1444865654"",""articles_with_PRISMA_reasons!B2:B2113""))&lt;2,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$A470=IMPOR"&amp;"TRANGE(""https://docs.google.com/spreadsheets/d/1qpEmbGH0JjaJbUdp21-y2cPbobDbMjr09BbtdKROZWc/edit#gid=1444865654"",""articles_with_PRISMA_reasons!B2:B2113""))&gt;=2),
""Exclude""
)"),"Exclude")</f>
        <v>Exclude</v>
      </c>
      <c r="F470" s="5" t="str">
        <f>IFERROR(__xludf.DUMMYFUNCTION("IFS(
E470=""Exclude"",""Exclude"",
AND(
COUNTIF(
IMPORTRANGE(""https://docs.google.com/spreadsheets/d/1kGrh75X1cNR1D7_FcY9zMnHP8iPO4M5RCRjy6nZY0TY/edit#gid=0"",""Table 1: Study characteristics!B4:B171""),A470)&gt;0,
COUNTIF(Studies!$A$2:$A$85,FILTER(IMPORTRA"&amp;"NGE(""https://docs.google.com/spreadsheets/d/1kGrh75X1cNR1D7_FcY9zMnHP8iPO4M5RCRjy6nZY0TY/edit#gid=0"",""Table 1: Study characteristics!A4:A171""), $A470=IMPORTRANGE(""https://docs.google.com/spreadsheets/d/1kGrh75X1cNR1D7_FcY9zMnHP8iPO4M5RCRjy6nZY0TY/edi"&amp;"t#gid=0"",""Table 1: Study characteristics!B4:B171"")))&gt;0
),
""Include""
)"),"Exclude")</f>
        <v>Exclude</v>
      </c>
      <c r="G470" s="5" t="str">
        <f>IFERROR(__xludf.DUMMYFUNCTION("IFS(
D470=""Exclude"",
FILTER(IMPORTRANGE(""https://docs.google.com/spreadsheets/d/1BJSV3WBYJGRhQ6zExamkszQ5VutGIcaQqmbD9ZTVXMQ/edit#gid=1251630045"",""articles_with_PRISMA_reasons!AB2:AB2113""), $A470=IMPORTRANGE(""https://docs.google.com/spreadsheets/d/"&amp;"1BJSV3WBYJGRhQ6zExamkszQ5VutGIcaQqmbD9ZTVXMQ/edit#gid=1251630045"",""articles_with_PRISMA_reasons!B2:B2113"")),
E470=""Exclude"",
FILTER(IMPORTRANGE(""https://docs.google.com/spreadsheets/d/1qpEmbGH0JjaJbUdp21-y2cPbobDbMjr09BbtdKROZWc/edit#gid=1444865654"&amp;""",""articles_with_PRISMA_reasons!Z2:Z2113""), $A470=IMPORTRANGE(""https://docs.google.com/spreadsheets/d/1qpEmbGH0JjaJbUdp21-y2cPbobDbMjr09BbtdKROZWc/edit#gid=1444865654"",""articles_with_PRISMA_reasons!B2:B2113"")),F470
=""Include"",FILTER(IMPORTRANGE("&amp;"""https://docs.google.com/spreadsheets/d/1kGrh75X1cNR1D7_FcY9zMnHP8iPO4M5RCRjy6nZY0TY/edit#gid=0"",""Table 1: Study characteristics!A4:A171""), $A470=IMPORTRANGE(""https://docs.google.com/spreadsheets/d/1kGrh75X1cNR1D7_FcY9zMnHP8iPO4M5RCRjy6nZY0TY/edit#gi"&amp;"d=0"",""Table 1: Study characteristics!B4:B171""))
)"),"wrong study design")</f>
        <v>wrong study design</v>
      </c>
    </row>
    <row r="471">
      <c r="A471" s="4" t="str">
        <f>IFERROR(__xludf.DUMMYFUNCTION("""COMPUTED_VALUE"""),"Cognitive and achievement status of children with myelomeningocele")</f>
        <v>Cognitive and achievement status of children with myelomeningocele</v>
      </c>
      <c r="B471" s="5" t="str">
        <f>IFERROR(__xludf.DUMMYFUNCTION("LEFT(FILTER(IMPORTRANGE(""https://docs.google.com/spreadsheets/d/1BJSV3WBYJGRhQ6zExamkszQ5VutGIcaQqmbD9ZTVXMQ/edit#gid=1251630045"",""articles_with_PRISMA_reasons!K2:K2113""), $A471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$A471=IMPORTRANGE(""https://docs.google.com/spreadsheets/d/1BJSV3WBYJGRhQ6zExamkszQ5VutGIcaQqmbD9ZTVXMQ/edit#gid=1251630045"",""articles_with_PRISMA_reasons!B2:B2113"")))-1)"),"Shaffer")</f>
        <v>Shaffer</v>
      </c>
      <c r="C471" s="6">
        <f>IFERROR(__xludf.DUMMYFUNCTION("FILTER(IMPORTRANGE(""https://docs.google.com/spreadsheets/d/1BJSV3WBYJGRhQ6zExamkszQ5VutGIcaQqmbD9ZTVXMQ/edit#gid=1251630045"",""articles_with_PRISMA_reasons!C2:C2113""), $A471=IMPORTRANGE(""https://docs.google.com/spreadsheets/d/1BJSV3WBYJGRhQ6zExamkszQ5"&amp;"VutGIcaQqmbD9ZTVXMQ/edit#gid=1251630045"",""articles_with_PRISMA_reasons!B2:B2113""))"),1985.0)</f>
        <v>1985</v>
      </c>
      <c r="D471" s="5" t="str">
        <f>IFERROR(__xludf.DUMMYFUNCTION("IFS(AND(
FILTER(IMPORTRANGE(""https://docs.google.com/spreadsheets/d/1BJSV3WBYJGRhQ6zExamkszQ5VutGIcaQqmbD9ZTVXMQ/edit#gid=1251630045"",""articles_with_PRISMA_reasons!Y2:Y2113""), $A471=IMPORTRANGE(""https://docs.google.com/spreadsheets/d/1BJSV3WBYJGRhQ6z"&amp;"ExamkszQ5VutGIcaQqmbD9ZTVXMQ/edit#gid=1251630045"",""articles_with_PRISMA_reasons!B2:B2113""))&gt;=2,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$A471=IMPORTRANGE(""https://docs.google.com/spreadsheets/d/1BJSV3WBYJGRhQ6zExamkszQ5VutGIcaQqmbD9ZTVXMQ/edit#gid=1251630045"",""articles_with_PRISMA_reasons!B2:B2113""))&lt;2),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$A471=IMPORTRANGE(""https://docs.google.com/spreadsheets/d/1BJSV3WBYJGRhQ6zExamkszQ5VutGIcaQqmbD9ZTVXMQ/edit#gid=1251630045"",""arti"&amp;"cles_with_PRISMA_reasons!B2:B2113""))&lt;2,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$A471=IMPORTRANGE(""https://docs.google.com"&amp;"/spreadsheets/d/1BJSV3WBYJGRhQ6zExamkszQ5VutGIcaQqmbD9ZTVXMQ/edit#gid=1251630045"",""articles_with_PRISMA_reasons!B2:B2113""))&gt;=2),
""Exclude""
)"),"Exclude")</f>
        <v>Exclude</v>
      </c>
      <c r="E471" s="5" t="str">
        <f>IFERROR(__xludf.DUMMYFUNCTION("IFS(
D471=""Exclude"",""Exclude"",
AND(
FILTER(IMPORTRANGE(""https://docs.google.com/spreadsheets/d/1qpEmbGH0JjaJbUdp21-y2cPbobDbMjr09BbtdKROZWc/edit#gid=1444865654"",""articles_with_PRISMA_reasons!W2:W2113""), $A471=IMPORTRANGE(""https://docs.google.com/"&amp;"spreadsheets/d/1qpEmbGH0JjaJbUdp21-y2cPbobDbMjr09BbtdKROZWc/edit#gid=1444865654"",""articles_with_PRISMA_reasons!B2:B2113""))&gt;=2,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$A471=IMPORTRANGE(""https://docs.google.com/spreadsheets/d/1qpEmbGH0JjaJbUdp21-y2cPbobDbMjr09BbtdKROZWc/edit#gid=1444865654"",""articles_with_PRISMA_reasons!B2:B2113""))&lt;2),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$A471=IMPORTRANGE(""https://docs.google.com/spreadsheets/d/1qpEmbGH0JjaJbUdp21-y2cPbobDbMjr09BbtdKRO"&amp;"ZWc/edit#gid=1444865654"",""articles_with_PRISMA_reasons!B2:B2113""))&lt;2,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$A471=IMPOR"&amp;"TRANGE(""https://docs.google.com/spreadsheets/d/1qpEmbGH0JjaJbUdp21-y2cPbobDbMjr09BbtdKROZWc/edit#gid=1444865654"",""articles_with_PRISMA_reasons!B2:B2113""))&gt;=2),
""Exclude""
)"),"Exclude")</f>
        <v>Exclude</v>
      </c>
      <c r="F471" s="5" t="str">
        <f>IFERROR(__xludf.DUMMYFUNCTION("IFS(
E471=""Exclude"",""Exclude"",
AND(
COUNTIF(
IMPORTRANGE(""https://docs.google.com/spreadsheets/d/1kGrh75X1cNR1D7_FcY9zMnHP8iPO4M5RCRjy6nZY0TY/edit#gid=0"",""Table 1: Study characteristics!B4:B171""),A471)&gt;0,
COUNTIF(Studies!$A$2:$A$85,FILTER(IMPORTRA"&amp;"NGE(""https://docs.google.com/spreadsheets/d/1kGrh75X1cNR1D7_FcY9zMnHP8iPO4M5RCRjy6nZY0TY/edit#gid=0"",""Table 1: Study characteristics!A4:A171""), $A471=IMPORTRANGE(""https://docs.google.com/spreadsheets/d/1kGrh75X1cNR1D7_FcY9zMnHP8iPO4M5RCRjy6nZY0TY/edi"&amp;"t#gid=0"",""Table 1: Study characteristics!B4:B171"")))&gt;0
),
""Include""
)"),"Exclude")</f>
        <v>Exclude</v>
      </c>
      <c r="G471" s="5" t="str">
        <f>IFERROR(__xludf.DUMMYFUNCTION("IFS(
D471=""Exclude"",
FILTER(IMPORTRANGE(""https://docs.google.com/spreadsheets/d/1BJSV3WBYJGRhQ6zExamkszQ5VutGIcaQqmbD9ZTVXMQ/edit#gid=1251630045"",""articles_with_PRISMA_reasons!AB2:AB2113""), $A471=IMPORTRANGE(""https://docs.google.com/spreadsheets/d/"&amp;"1BJSV3WBYJGRhQ6zExamkszQ5VutGIcaQqmbD9ZTVXMQ/edit#gid=1251630045"",""articles_with_PRISMA_reasons!B2:B2113"")),
E471=""Exclude"",
FILTER(IMPORTRANGE(""https://docs.google.com/spreadsheets/d/1qpEmbGH0JjaJbUdp21-y2cPbobDbMjr09BbtdKROZWc/edit#gid=1444865654"&amp;""",""articles_with_PRISMA_reasons!Z2:Z2113""), $A471=IMPORTRANGE(""https://docs.google.com/spreadsheets/d/1qpEmbGH0JjaJbUdp21-y2cPbobDbMjr09BbtdKROZWc/edit#gid=1444865654"",""articles_with_PRISMA_reasons!B2:B2113"")),F471
=""Include"",FILTER(IMPORTRANGE("&amp;"""https://docs.google.com/spreadsheets/d/1kGrh75X1cNR1D7_FcY9zMnHP8iPO4M5RCRjy6nZY0TY/edit#gid=0"",""Table 1: Study characteristics!A4:A171""), $A471=IMPORTRANGE(""https://docs.google.com/spreadsheets/d/1kGrh75X1cNR1D7_FcY9zMnHP8iPO4M5RCRjy6nZY0TY/edit#gi"&amp;"d=0"",""Table 1: Study characteristics!B4:B171""))
)"),"wrong study design")</f>
        <v>wrong study design</v>
      </c>
    </row>
    <row r="472">
      <c r="A472" s="4" t="str">
        <f>IFERROR(__xludf.DUMMYFUNCTION("""COMPUTED_VALUE"""),"Cognitive and functional outcome in spina bifida-Chiari II malformation")</f>
        <v>Cognitive and functional outcome in spina bifida-Chiari II malformation</v>
      </c>
      <c r="B472" s="5" t="str">
        <f>IFERROR(__xludf.DUMMYFUNCTION("LEFT(FILTER(IMPORTRANGE(""https://docs.google.com/spreadsheets/d/1BJSV3WBYJGRhQ6zExamkszQ5VutGIcaQqmbD9ZTVXMQ/edit#gid=1251630045"",""articles_with_PRISMA_reasons!K2:K2113""), $A472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$A472=IMPORTRANGE(""https://docs.google.com/spreadsheets/d/1BJSV3WBYJGRhQ6zExamkszQ5VutGIcaQqmbD9ZTVXMQ/edit#gid=1251630045"",""articles_with_PRISMA_reasons!B2:B2113"")))-1)"),"Hayhurst")</f>
        <v>Hayhurst</v>
      </c>
      <c r="C472" s="6">
        <f>IFERROR(__xludf.DUMMYFUNCTION("FILTER(IMPORTRANGE(""https://docs.google.com/spreadsheets/d/1BJSV3WBYJGRhQ6zExamkszQ5VutGIcaQqmbD9ZTVXMQ/edit#gid=1251630045"",""articles_with_PRISMA_reasons!C2:C2113""), $A472=IMPORTRANGE(""https://docs.google.com/spreadsheets/d/1BJSV3WBYJGRhQ6zExamkszQ5"&amp;"VutGIcaQqmbD9ZTVXMQ/edit#gid=1251630045"",""articles_with_PRISMA_reasons!B2:B2113""))"),2011.0)</f>
        <v>2011</v>
      </c>
      <c r="D472" s="5" t="str">
        <f>IFERROR(__xludf.DUMMYFUNCTION("IFS(AND(
FILTER(IMPORTRANGE(""https://docs.google.com/spreadsheets/d/1BJSV3WBYJGRhQ6zExamkszQ5VutGIcaQqmbD9ZTVXMQ/edit#gid=1251630045"",""articles_with_PRISMA_reasons!Y2:Y2113""), $A472=IMPORTRANGE(""https://docs.google.com/spreadsheets/d/1BJSV3WBYJGRhQ6z"&amp;"ExamkszQ5VutGIcaQqmbD9ZTVXMQ/edit#gid=1251630045"",""articles_with_PRISMA_reasons!B2:B2113""))&gt;=2,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$A472=IMPORTRANGE(""https://docs.google.com/spreadsheets/d/1BJSV3WBYJGRhQ6zExamkszQ5VutGIcaQqmbD9ZTVXMQ/edit#gid=1251630045"",""articles_with_PRISMA_reasons!B2:B2113""))&lt;2),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$A472=IMPORTRANGE(""https://docs.google.com/spreadsheets/d/1BJSV3WBYJGRhQ6zExamkszQ5VutGIcaQqmbD9ZTVXMQ/edit#gid=1251630045"",""arti"&amp;"cles_with_PRISMA_reasons!B2:B2113""))&lt;2,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$A472=IMPORTRANGE(""https://docs.google.com"&amp;"/spreadsheets/d/1BJSV3WBYJGRhQ6zExamkszQ5VutGIcaQqmbD9ZTVXMQ/edit#gid=1251630045"",""articles_with_PRISMA_reasons!B2:B2113""))&gt;=2),
""Exclude""
)"),"Exclude")</f>
        <v>Exclude</v>
      </c>
      <c r="E472" s="5" t="str">
        <f>IFERROR(__xludf.DUMMYFUNCTION("IFS(
D472=""Exclude"",""Exclude"",
AND(
FILTER(IMPORTRANGE(""https://docs.google.com/spreadsheets/d/1qpEmbGH0JjaJbUdp21-y2cPbobDbMjr09BbtdKROZWc/edit#gid=1444865654"",""articles_with_PRISMA_reasons!W2:W2113""), $A472=IMPORTRANGE(""https://docs.google.com/"&amp;"spreadsheets/d/1qpEmbGH0JjaJbUdp21-y2cPbobDbMjr09BbtdKROZWc/edit#gid=1444865654"",""articles_with_PRISMA_reasons!B2:B2113""))&gt;=2,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$A472=IMPORTRANGE(""https://docs.google.com/spreadsheets/d/1qpEmbGH0JjaJbUdp21-y2cPbobDbMjr09BbtdKROZWc/edit#gid=1444865654"",""articles_with_PRISMA_reasons!B2:B2113""))&lt;2),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$A472=IMPORTRANGE(""https://docs.google.com/spreadsheets/d/1qpEmbGH0JjaJbUdp21-y2cPbobDbMjr09BbtdKRO"&amp;"ZWc/edit#gid=1444865654"",""articles_with_PRISMA_reasons!B2:B2113""))&lt;2,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$A472=IMPOR"&amp;"TRANGE(""https://docs.google.com/spreadsheets/d/1qpEmbGH0JjaJbUdp21-y2cPbobDbMjr09BbtdKROZWc/edit#gid=1444865654"",""articles_with_PRISMA_reasons!B2:B2113""))&gt;=2),
""Exclude""
)"),"Exclude")</f>
        <v>Exclude</v>
      </c>
      <c r="F472" s="5" t="str">
        <f>IFERROR(__xludf.DUMMYFUNCTION("IFS(
E472=""Exclude"",""Exclude"",
AND(
COUNTIF(
IMPORTRANGE(""https://docs.google.com/spreadsheets/d/1kGrh75X1cNR1D7_FcY9zMnHP8iPO4M5RCRjy6nZY0TY/edit#gid=0"",""Table 1: Study characteristics!B4:B171""),A472)&gt;0,
COUNTIF(Studies!$A$2:$A$85,FILTER(IMPORTRA"&amp;"NGE(""https://docs.google.com/spreadsheets/d/1kGrh75X1cNR1D7_FcY9zMnHP8iPO4M5RCRjy6nZY0TY/edit#gid=0"",""Table 1: Study characteristics!A4:A171""), $A472=IMPORTRANGE(""https://docs.google.com/spreadsheets/d/1kGrh75X1cNR1D7_FcY9zMnHP8iPO4M5RCRjy6nZY0TY/edi"&amp;"t#gid=0"",""Table 1: Study characteristics!B4:B171"")))&gt;0
),
""Include""
)"),"Exclude")</f>
        <v>Exclude</v>
      </c>
      <c r="G472" s="5" t="str">
        <f>IFERROR(__xludf.DUMMYFUNCTION("IFS(
D472=""Exclude"",
FILTER(IMPORTRANGE(""https://docs.google.com/spreadsheets/d/1BJSV3WBYJGRhQ6zExamkszQ5VutGIcaQqmbD9ZTVXMQ/edit#gid=1251630045"",""articles_with_PRISMA_reasons!AB2:AB2113""), $A472=IMPORTRANGE(""https://docs.google.com/spreadsheets/d/"&amp;"1BJSV3WBYJGRhQ6zExamkszQ5VutGIcaQqmbD9ZTVXMQ/edit#gid=1251630045"",""articles_with_PRISMA_reasons!B2:B2113"")),
E472=""Exclude"",
FILTER(IMPORTRANGE(""https://docs.google.com/spreadsheets/d/1qpEmbGH0JjaJbUdp21-y2cPbobDbMjr09BbtdKROZWc/edit#gid=1444865654"&amp;""",""articles_with_PRISMA_reasons!Z2:Z2113""), $A472=IMPORTRANGE(""https://docs.google.com/spreadsheets/d/1qpEmbGH0JjaJbUdp21-y2cPbobDbMjr09BbtdKROZWc/edit#gid=1444865654"",""articles_with_PRISMA_reasons!B2:B2113"")),F472
=""Include"",FILTER(IMPORTRANGE("&amp;"""https://docs.google.com/spreadsheets/d/1kGrh75X1cNR1D7_FcY9zMnHP8iPO4M5RCRjy6nZY0TY/edit#gid=0"",""Table 1: Study characteristics!A4:A171""), $A472=IMPORTRANGE(""https://docs.google.com/spreadsheets/d/1kGrh75X1cNR1D7_FcY9zMnHP8iPO4M5RCRjy6nZY0TY/edit#gi"&amp;"d=0"",""Table 1: Study characteristics!B4:B171""))
)"),"wrong population")</f>
        <v>wrong population</v>
      </c>
    </row>
    <row r="473">
      <c r="A473" s="4" t="str">
        <f>IFERROR(__xludf.DUMMYFUNCTION("""COMPUTED_VALUE"""),"Cognitive and motor abilities in preschool hydrocephalics")</f>
        <v>Cognitive and motor abilities in preschool hydrocephalics</v>
      </c>
      <c r="B473" s="5" t="str">
        <f>IFERROR(__xludf.DUMMYFUNCTION("LEFT(FILTER(IMPORTRANGE(""https://docs.google.com/spreadsheets/d/1BJSV3WBYJGRhQ6zExamkszQ5VutGIcaQqmbD9ZTVXMQ/edit#gid=1251630045"",""articles_with_PRISMA_reasons!K2:K2113""), $A473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$A473=IMPORTRANGE(""https://docs.google.com/spreadsheets/d/1BJSV3WBYJGRhQ6zExamkszQ5VutGIcaQqmbD9ZTVXMQ/edit#gid=1251630045"",""articles_with_PRISMA_reasons!B2:B2113"")))-1)"),"Thompson")</f>
        <v>Thompson</v>
      </c>
      <c r="C473" s="3">
        <v>1991.0</v>
      </c>
      <c r="D473" s="5" t="str">
        <f>IFERROR(__xludf.DUMMYFUNCTION("IFS(AND(
FILTER(IMPORTRANGE(""https://docs.google.com/spreadsheets/d/1BJSV3WBYJGRhQ6zExamkszQ5VutGIcaQqmbD9ZTVXMQ/edit#gid=1251630045"",""articles_with_PRISMA_reasons!Y2:Y2113""), $A473=IMPORTRANGE(""https://docs.google.com/spreadsheets/d/1BJSV3WBYJGRhQ6z"&amp;"ExamkszQ5VutGIcaQqmbD9ZTVXMQ/edit#gid=1251630045"",""articles_with_PRISMA_reasons!B2:B2113""))&gt;=2,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$A473=IMPORTRANGE(""https://docs.google.com/spreadsheets/d/1BJSV3WBYJGRhQ6zExamkszQ5VutGIcaQqmbD9ZTVXMQ/edit#gid=1251630045"",""articles_with_PRISMA_reasons!B2:B2113""))&lt;2),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$A473=IMPORTRANGE(""https://docs.google.com/spreadsheets/d/1BJSV3WBYJGRhQ6zExamkszQ5VutGIcaQqmbD9ZTVXMQ/edit#gid=1251630045"",""arti"&amp;"cles_with_PRISMA_reasons!B2:B2113""))&lt;2,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$A473=IMPORTRANGE(""https://docs.google.com"&amp;"/spreadsheets/d/1BJSV3WBYJGRhQ6zExamkszQ5VutGIcaQqmbD9ZTVXMQ/edit#gid=1251630045"",""articles_with_PRISMA_reasons!B2:B2113""))&gt;=2),
""Exclude""
)"),"Exclude")</f>
        <v>Exclude</v>
      </c>
      <c r="E473" s="5" t="str">
        <f>IFERROR(__xludf.DUMMYFUNCTION("IFS(
D473=""Exclude"",""Exclude"",
AND(
FILTER(IMPORTRANGE(""https://docs.google.com/spreadsheets/d/1qpEmbGH0JjaJbUdp21-y2cPbobDbMjr09BbtdKROZWc/edit#gid=1444865654"",""articles_with_PRISMA_reasons!W2:W2113""), $A473=IMPORTRANGE(""https://docs.google.com/"&amp;"spreadsheets/d/1qpEmbGH0JjaJbUdp21-y2cPbobDbMjr09BbtdKROZWc/edit#gid=1444865654"",""articles_with_PRISMA_reasons!B2:B2113""))&gt;=2,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$A473=IMPORTRANGE(""https://docs.google.com/spreadsheets/d/1qpEmbGH0JjaJbUdp21-y2cPbobDbMjr09BbtdKROZWc/edit#gid=1444865654"",""articles_with_PRISMA_reasons!B2:B2113""))&lt;2),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$A473=IMPORTRANGE(""https://docs.google.com/spreadsheets/d/1qpEmbGH0JjaJbUdp21-y2cPbobDbMjr09BbtdKRO"&amp;"ZWc/edit#gid=1444865654"",""articles_with_PRISMA_reasons!B2:B2113""))&lt;2,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$A473=IMPOR"&amp;"TRANGE(""https://docs.google.com/spreadsheets/d/1qpEmbGH0JjaJbUdp21-y2cPbobDbMjr09BbtdKROZWc/edit#gid=1444865654"",""articles_with_PRISMA_reasons!B2:B2113""))&gt;=2),
""Exclude""
)"),"Exclude")</f>
        <v>Exclude</v>
      </c>
      <c r="F473" s="5" t="str">
        <f>IFERROR(__xludf.DUMMYFUNCTION("IFS(
E473=""Exclude"",""Exclude"",
AND(
COUNTIF(
IMPORTRANGE(""https://docs.google.com/spreadsheets/d/1kGrh75X1cNR1D7_FcY9zMnHP8iPO4M5RCRjy6nZY0TY/edit#gid=0"",""Table 1: Study characteristics!B4:B171""),A473)&gt;0,
COUNTIF(Studies!$A$2:$A$85,FILTER(IMPORTRA"&amp;"NGE(""https://docs.google.com/spreadsheets/d/1kGrh75X1cNR1D7_FcY9zMnHP8iPO4M5RCRjy6nZY0TY/edit#gid=0"",""Table 1: Study characteristics!A4:A171""), $A473=IMPORTRANGE(""https://docs.google.com/spreadsheets/d/1kGrh75X1cNR1D7_FcY9zMnHP8iPO4M5RCRjy6nZY0TY/edi"&amp;"t#gid=0"",""Table 1: Study characteristics!B4:B171"")))&gt;0
),
""Include""
)"),"Exclude")</f>
        <v>Exclude</v>
      </c>
      <c r="G473" s="2" t="s">
        <v>13</v>
      </c>
    </row>
    <row r="474">
      <c r="A474" s="4" t="str">
        <f>IFERROR(__xludf.DUMMYFUNCTION("""COMPUTED_VALUE"""),"Cognitive and motor abilities in preschool hydrocephalics")</f>
        <v>Cognitive and motor abilities in preschool hydrocephalics</v>
      </c>
      <c r="B474" s="5" t="str">
        <f>IFERROR(__xludf.DUMMYFUNCTION("LEFT(FILTER(IMPORTRANGE(""https://docs.google.com/spreadsheets/d/1BJSV3WBYJGRhQ6zExamkszQ5VutGIcaQqmbD9ZTVXMQ/edit#gid=1251630045"",""articles_with_PRISMA_reasons!K2:K2113""), $A474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$A474=IMPORTRANGE(""https://docs.google.com/spreadsheets/d/1BJSV3WBYJGRhQ6zExamkszQ5VutGIcaQqmbD9ZTVXMQ/edit#gid=1251630045"",""articles_with_PRISMA_reasons!B2:B2113"")))-1)"),"Thompson")</f>
        <v>Thompson</v>
      </c>
      <c r="C474" s="3">
        <v>1991.0</v>
      </c>
      <c r="D474" s="5" t="str">
        <f>IFERROR(__xludf.DUMMYFUNCTION("IFS(AND(
FILTER(IMPORTRANGE(""https://docs.google.com/spreadsheets/d/1BJSV3WBYJGRhQ6zExamkszQ5VutGIcaQqmbD9ZTVXMQ/edit#gid=1251630045"",""articles_with_PRISMA_reasons!Y2:Y2113""), $A474=IMPORTRANGE(""https://docs.google.com/spreadsheets/d/1BJSV3WBYJGRhQ6z"&amp;"ExamkszQ5VutGIcaQqmbD9ZTVXMQ/edit#gid=1251630045"",""articles_with_PRISMA_reasons!B2:B2113""))&gt;=2,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$A474=IMPORTRANGE(""https://docs.google.com/spreadsheets/d/1BJSV3WBYJGRhQ6zExamkszQ5VutGIcaQqmbD9ZTVXMQ/edit#gid=1251630045"",""articles_with_PRISMA_reasons!B2:B2113""))&lt;2),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$A474=IMPORTRANGE(""https://docs.google.com/spreadsheets/d/1BJSV3WBYJGRhQ6zExamkszQ5VutGIcaQqmbD9ZTVXMQ/edit#gid=1251630045"",""arti"&amp;"cles_with_PRISMA_reasons!B2:B2113""))&lt;2,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$A474=IMPORTRANGE(""https://docs.google.com"&amp;"/spreadsheets/d/1BJSV3WBYJGRhQ6zExamkszQ5VutGIcaQqmbD9ZTVXMQ/edit#gid=1251630045"",""articles_with_PRISMA_reasons!B2:B2113""))&gt;=2),
""Exclude""
)"),"Exclude")</f>
        <v>Exclude</v>
      </c>
      <c r="E474" s="5" t="str">
        <f>IFERROR(__xludf.DUMMYFUNCTION("IFS(
D474=""Exclude"",""Exclude"",
AND(
FILTER(IMPORTRANGE(""https://docs.google.com/spreadsheets/d/1qpEmbGH0JjaJbUdp21-y2cPbobDbMjr09BbtdKROZWc/edit#gid=1444865654"",""articles_with_PRISMA_reasons!W2:W2113""), $A474=IMPORTRANGE(""https://docs.google.com/"&amp;"spreadsheets/d/1qpEmbGH0JjaJbUdp21-y2cPbobDbMjr09BbtdKROZWc/edit#gid=1444865654"",""articles_with_PRISMA_reasons!B2:B2113""))&gt;=2,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$A474=IMPORTRANGE(""https://docs.google.com/spreadsheets/d/1qpEmbGH0JjaJbUdp21-y2cPbobDbMjr09BbtdKROZWc/edit#gid=1444865654"",""articles_with_PRISMA_reasons!B2:B2113""))&lt;2),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$A474=IMPORTRANGE(""https://docs.google.com/spreadsheets/d/1qpEmbGH0JjaJbUdp21-y2cPbobDbMjr09BbtdKRO"&amp;"ZWc/edit#gid=1444865654"",""articles_with_PRISMA_reasons!B2:B2113""))&lt;2,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$A474=IMPOR"&amp;"TRANGE(""https://docs.google.com/spreadsheets/d/1qpEmbGH0JjaJbUdp21-y2cPbobDbMjr09BbtdKROZWc/edit#gid=1444865654"",""articles_with_PRISMA_reasons!B2:B2113""))&gt;=2),
""Exclude""
)"),"Exclude")</f>
        <v>Exclude</v>
      </c>
      <c r="F474" s="5" t="str">
        <f>IFERROR(__xludf.DUMMYFUNCTION("IFS(
E474=""Exclude"",""Exclude"",
AND(
COUNTIF(
IMPORTRANGE(""https://docs.google.com/spreadsheets/d/1kGrh75X1cNR1D7_FcY9zMnHP8iPO4M5RCRjy6nZY0TY/edit#gid=0"",""Table 1: Study characteristics!B4:B171""),A474)&gt;0,
COUNTIF(Studies!$A$2:$A$85,FILTER(IMPORTRA"&amp;"NGE(""https://docs.google.com/spreadsheets/d/1kGrh75X1cNR1D7_FcY9zMnHP8iPO4M5RCRjy6nZY0TY/edit#gid=0"",""Table 1: Study characteristics!A4:A171""), $A474=IMPORTRANGE(""https://docs.google.com/spreadsheets/d/1kGrh75X1cNR1D7_FcY9zMnHP8iPO4M5RCRjy6nZY0TY/edi"&amp;"t#gid=0"",""Table 1: Study characteristics!B4:B171"")))&gt;0
),
""Include""
)"),"Exclude")</f>
        <v>Exclude</v>
      </c>
      <c r="G474" s="5" t="s">
        <v>15</v>
      </c>
    </row>
    <row r="475">
      <c r="A475" s="4" t="str">
        <f>IFERROR(__xludf.DUMMYFUNCTION("""COMPUTED_VALUE"""),"Cognitive functions in children with myelomeningocele without hydrocephalus")</f>
        <v>Cognitive functions in children with myelomeningocele without hydrocephalus</v>
      </c>
      <c r="B475" s="5" t="str">
        <f>IFERROR(__xludf.DUMMYFUNCTION("LEFT(FILTER(IMPORTRANGE(""https://docs.google.com/spreadsheets/d/1BJSV3WBYJGRhQ6zExamkszQ5VutGIcaQqmbD9ZTVXMQ/edit#gid=1251630045"",""articles_with_PRISMA_reasons!K2:K2113""), $A475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$A475=IMPORTRANGE(""https://docs.google.com/spreadsheets/d/1BJSV3WBYJGRhQ6zExamkszQ5VutGIcaQqmbD9ZTVXMQ/edit#gid=1251630045"",""articles_with_PRISMA_reasons!B2:B2113"")))-1)"),"Lindquist")</f>
        <v>Lindquist</v>
      </c>
      <c r="C475" s="6">
        <f>IFERROR(__xludf.DUMMYFUNCTION("FILTER(IMPORTRANGE(""https://docs.google.com/spreadsheets/d/1BJSV3WBYJGRhQ6zExamkszQ5VutGIcaQqmbD9ZTVXMQ/edit#gid=1251630045"",""articles_with_PRISMA_reasons!C2:C2113""), $A475=IMPORTRANGE(""https://docs.google.com/spreadsheets/d/1BJSV3WBYJGRhQ6zExamkszQ5"&amp;"VutGIcaQqmbD9ZTVXMQ/edit#gid=1251630045"",""articles_with_PRISMA_reasons!B2:B2113""))"),2009.0)</f>
        <v>2009</v>
      </c>
      <c r="D475" s="5" t="str">
        <f>IFERROR(__xludf.DUMMYFUNCTION("IFS(AND(
FILTER(IMPORTRANGE(""https://docs.google.com/spreadsheets/d/1BJSV3WBYJGRhQ6zExamkszQ5VutGIcaQqmbD9ZTVXMQ/edit#gid=1251630045"",""articles_with_PRISMA_reasons!Y2:Y2113""), $A475=IMPORTRANGE(""https://docs.google.com/spreadsheets/d/1BJSV3WBYJGRhQ6z"&amp;"ExamkszQ5VutGIcaQqmbD9ZTVXMQ/edit#gid=1251630045"",""articles_with_PRISMA_reasons!B2:B2113""))&gt;=2,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$A475=IMPORTRANGE(""https://docs.google.com/spreadsheets/d/1BJSV3WBYJGRhQ6zExamkszQ5VutGIcaQqmbD9ZTVXMQ/edit#gid=1251630045"",""articles_with_PRISMA_reasons!B2:B2113""))&lt;2),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$A475=IMPORTRANGE(""https://docs.google.com/spreadsheets/d/1BJSV3WBYJGRhQ6zExamkszQ5VutGIcaQqmbD9ZTVXMQ/edit#gid=1251630045"",""arti"&amp;"cles_with_PRISMA_reasons!B2:B2113""))&lt;2,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$A475=IMPORTRANGE(""https://docs.google.com"&amp;"/spreadsheets/d/1BJSV3WBYJGRhQ6zExamkszQ5VutGIcaQqmbD9ZTVXMQ/edit#gid=1251630045"",""articles_with_PRISMA_reasons!B2:B2113""))&gt;=2),
""Exclude""
)"),"Exclude")</f>
        <v>Exclude</v>
      </c>
      <c r="E475" s="5" t="str">
        <f>IFERROR(__xludf.DUMMYFUNCTION("IFS(
D475=""Exclude"",""Exclude"",
AND(
FILTER(IMPORTRANGE(""https://docs.google.com/spreadsheets/d/1qpEmbGH0JjaJbUdp21-y2cPbobDbMjr09BbtdKROZWc/edit#gid=1444865654"",""articles_with_PRISMA_reasons!W2:W2113""), $A475=IMPORTRANGE(""https://docs.google.com/"&amp;"spreadsheets/d/1qpEmbGH0JjaJbUdp21-y2cPbobDbMjr09BbtdKROZWc/edit#gid=1444865654"",""articles_with_PRISMA_reasons!B2:B2113""))&gt;=2,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$A475=IMPORTRANGE(""https://docs.google.com/spreadsheets/d/1qpEmbGH0JjaJbUdp21-y2cPbobDbMjr09BbtdKROZWc/edit#gid=1444865654"",""articles_with_PRISMA_reasons!B2:B2113""))&lt;2),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$A475=IMPORTRANGE(""https://docs.google.com/spreadsheets/d/1qpEmbGH0JjaJbUdp21-y2cPbobDbMjr09BbtdKRO"&amp;"ZWc/edit#gid=1444865654"",""articles_with_PRISMA_reasons!B2:B2113""))&lt;2,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$A475=IMPOR"&amp;"TRANGE(""https://docs.google.com/spreadsheets/d/1qpEmbGH0JjaJbUdp21-y2cPbobDbMjr09BbtdKROZWc/edit#gid=1444865654"",""articles_with_PRISMA_reasons!B2:B2113""))&gt;=2),
""Exclude""
)"),"Exclude")</f>
        <v>Exclude</v>
      </c>
      <c r="F475" s="5" t="str">
        <f>IFERROR(__xludf.DUMMYFUNCTION("IFS(
E475=""Exclude"",""Exclude"",
AND(
COUNTIF(
IMPORTRANGE(""https://docs.google.com/spreadsheets/d/1kGrh75X1cNR1D7_FcY9zMnHP8iPO4M5RCRjy6nZY0TY/edit#gid=0"",""Table 1: Study characteristics!B4:B171""),A475)&gt;0,
COUNTIF(Studies!$A$2:$A$85,FILTER(IMPORTRA"&amp;"NGE(""https://docs.google.com/spreadsheets/d/1kGrh75X1cNR1D7_FcY9zMnHP8iPO4M5RCRjy6nZY0TY/edit#gid=0"",""Table 1: Study characteristics!A4:A171""), $A475=IMPORTRANGE(""https://docs.google.com/spreadsheets/d/1kGrh75X1cNR1D7_FcY9zMnHP8iPO4M5RCRjy6nZY0TY/edi"&amp;"t#gid=0"",""Table 1: Study characteristics!B4:B171"")))&gt;0
),
""Include""
)"),"Exclude")</f>
        <v>Exclude</v>
      </c>
      <c r="G475" s="5" t="str">
        <f>IFERROR(__xludf.DUMMYFUNCTION("IFS(
D475=""Exclude"",
FILTER(IMPORTRANGE(""https://docs.google.com/spreadsheets/d/1BJSV3WBYJGRhQ6zExamkszQ5VutGIcaQqmbD9ZTVXMQ/edit#gid=1251630045"",""articles_with_PRISMA_reasons!AB2:AB2113""), $A475=IMPORTRANGE(""https://docs.google.com/spreadsheets/d/"&amp;"1BJSV3WBYJGRhQ6zExamkszQ5VutGIcaQqmbD9ZTVXMQ/edit#gid=1251630045"",""articles_with_PRISMA_reasons!B2:B2113"")),
E475=""Exclude"",
FILTER(IMPORTRANGE(""https://docs.google.com/spreadsheets/d/1qpEmbGH0JjaJbUdp21-y2cPbobDbMjr09BbtdKROZWc/edit#gid=1444865654"&amp;""",""articles_with_PRISMA_reasons!Z2:Z2113""), $A475=IMPORTRANGE(""https://docs.google.com/spreadsheets/d/1qpEmbGH0JjaJbUdp21-y2cPbobDbMjr09BbtdKROZWc/edit#gid=1444865654"",""articles_with_PRISMA_reasons!B2:B2113"")),F475
=""Include"",FILTER(IMPORTRANGE("&amp;"""https://docs.google.com/spreadsheets/d/1kGrh75X1cNR1D7_FcY9zMnHP8iPO4M5RCRjy6nZY0TY/edit#gid=0"",""Table 1: Study characteristics!A4:A171""), $A475=IMPORTRANGE(""https://docs.google.com/spreadsheets/d/1kGrh75X1cNR1D7_FcY9zMnHP8iPO4M5RCRjy6nZY0TY/edit#gi"&amp;"d=0"",""Table 1: Study characteristics!B4:B171""))
)"),"wrong population")</f>
        <v>wrong population</v>
      </c>
    </row>
    <row r="476">
      <c r="A476" s="4" t="str">
        <f>IFERROR(__xludf.DUMMYFUNCTION("""COMPUTED_VALUE"""),"Cognitive profile of children with neurological disorders: II. Myelomeningocele")</f>
        <v>Cognitive profile of children with neurological disorders: II. Myelomeningocele</v>
      </c>
      <c r="B476" s="5" t="str">
        <f>IFERROR(__xludf.DUMMYFUNCTION("LEFT(FILTER(IMPORTRANGE(""https://docs.google.com/spreadsheets/d/1BJSV3WBYJGRhQ6zExamkszQ5VutGIcaQqmbD9ZTVXMQ/edit#gid=1251630045"",""articles_with_PRISMA_reasons!K2:K2113""), $A476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$A476=IMPORTRANGE(""https://docs.google.com/spreadsheets/d/1BJSV3WBYJGRhQ6zExamkszQ5VutGIcaQqmbD9ZTVXMQ/edit#gid=1251630045"",""articles_with_PRISMA_reasons!B2:B2113"")))-1)"),"Lopez Mora")</f>
        <v>Lopez Mora</v>
      </c>
      <c r="C476" s="6">
        <f>IFERROR(__xludf.DUMMYFUNCTION("FILTER(IMPORTRANGE(""https://docs.google.com/spreadsheets/d/1BJSV3WBYJGRhQ6zExamkszQ5VutGIcaQqmbD9ZTVXMQ/edit#gid=1251630045"",""articles_with_PRISMA_reasons!C2:C2113""), $A476=IMPORTRANGE(""https://docs.google.com/spreadsheets/d/1BJSV3WBYJGRhQ6zExamkszQ5"&amp;"VutGIcaQqmbD9ZTVXMQ/edit#gid=1251630045"",""articles_with_PRISMA_reasons!B2:B2113""))"),1996.0)</f>
        <v>1996</v>
      </c>
      <c r="D476" s="5" t="str">
        <f>IFERROR(__xludf.DUMMYFUNCTION("IFS(AND(
FILTER(IMPORTRANGE(""https://docs.google.com/spreadsheets/d/1BJSV3WBYJGRhQ6zExamkszQ5VutGIcaQqmbD9ZTVXMQ/edit#gid=1251630045"",""articles_with_PRISMA_reasons!Y2:Y2113""), $A476=IMPORTRANGE(""https://docs.google.com/spreadsheets/d/1BJSV3WBYJGRhQ6z"&amp;"ExamkszQ5VutGIcaQqmbD9ZTVXMQ/edit#gid=1251630045"",""articles_with_PRISMA_reasons!B2:B2113""))&gt;=2,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$A476=IMPORTRANGE(""https://docs.google.com/spreadsheets/d/1BJSV3WBYJGRhQ6zExamkszQ5VutGIcaQqmbD9ZTVXMQ/edit#gid=1251630045"",""articles_with_PRISMA_reasons!B2:B2113""))&lt;2),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$A476=IMPORTRANGE(""https://docs.google.com/spreadsheets/d/1BJSV3WBYJGRhQ6zExamkszQ5VutGIcaQqmbD9ZTVXMQ/edit#gid=1251630045"",""arti"&amp;"cles_with_PRISMA_reasons!B2:B2113""))&lt;2,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$A476=IMPORTRANGE(""https://docs.google.com"&amp;"/spreadsheets/d/1BJSV3WBYJGRhQ6zExamkszQ5VutGIcaQqmbD9ZTVXMQ/edit#gid=1251630045"",""articles_with_PRISMA_reasons!B2:B2113""))&gt;=2),
""Exclude""
)"),"Exclude")</f>
        <v>Exclude</v>
      </c>
      <c r="E476" s="5" t="str">
        <f>IFERROR(__xludf.DUMMYFUNCTION("IFS(
D476=""Exclude"",""Exclude"",
AND(
FILTER(IMPORTRANGE(""https://docs.google.com/spreadsheets/d/1qpEmbGH0JjaJbUdp21-y2cPbobDbMjr09BbtdKROZWc/edit#gid=1444865654"",""articles_with_PRISMA_reasons!W2:W2113""), $A476=IMPORTRANGE(""https://docs.google.com/"&amp;"spreadsheets/d/1qpEmbGH0JjaJbUdp21-y2cPbobDbMjr09BbtdKROZWc/edit#gid=1444865654"",""articles_with_PRISMA_reasons!B2:B2113""))&gt;=2,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$A476=IMPORTRANGE(""https://docs.google.com/spreadsheets/d/1qpEmbGH0JjaJbUdp21-y2cPbobDbMjr09BbtdKROZWc/edit#gid=1444865654"",""articles_with_PRISMA_reasons!B2:B2113""))&lt;2),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$A476=IMPORTRANGE(""https://docs.google.com/spreadsheets/d/1qpEmbGH0JjaJbUdp21-y2cPbobDbMjr09BbtdKRO"&amp;"ZWc/edit#gid=1444865654"",""articles_with_PRISMA_reasons!B2:B2113""))&lt;2,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$A476=IMPOR"&amp;"TRANGE(""https://docs.google.com/spreadsheets/d/1qpEmbGH0JjaJbUdp21-y2cPbobDbMjr09BbtdKROZWc/edit#gid=1444865654"",""articles_with_PRISMA_reasons!B2:B2113""))&gt;=2),
""Exclude""
)"),"Exclude")</f>
        <v>Exclude</v>
      </c>
      <c r="F476" s="5" t="str">
        <f>IFERROR(__xludf.DUMMYFUNCTION("IFS(
E476=""Exclude"",""Exclude"",
AND(
COUNTIF(
IMPORTRANGE(""https://docs.google.com/spreadsheets/d/1kGrh75X1cNR1D7_FcY9zMnHP8iPO4M5RCRjy6nZY0TY/edit#gid=0"",""Table 1: Study characteristics!B4:B171""),A476)&gt;0,
COUNTIF(Studies!$A$2:$A$85,FILTER(IMPORTRA"&amp;"NGE(""https://docs.google.com/spreadsheets/d/1kGrh75X1cNR1D7_FcY9zMnHP8iPO4M5RCRjy6nZY0TY/edit#gid=0"",""Table 1: Study characteristics!A4:A171""), $A476=IMPORTRANGE(""https://docs.google.com/spreadsheets/d/1kGrh75X1cNR1D7_FcY9zMnHP8iPO4M5RCRjy6nZY0TY/edi"&amp;"t#gid=0"",""Table 1: Study characteristics!B4:B171"")))&gt;0
),
""Include""
)"),"Exclude")</f>
        <v>Exclude</v>
      </c>
      <c r="G476" s="5" t="str">
        <f>IFERROR(__xludf.DUMMYFUNCTION("IFS(
D476=""Exclude"",
FILTER(IMPORTRANGE(""https://docs.google.com/spreadsheets/d/1BJSV3WBYJGRhQ6zExamkszQ5VutGIcaQqmbD9ZTVXMQ/edit#gid=1251630045"",""articles_with_PRISMA_reasons!AB2:AB2113""), $A476=IMPORTRANGE(""https://docs.google.com/spreadsheets/d/"&amp;"1BJSV3WBYJGRhQ6zExamkszQ5VutGIcaQqmbD9ZTVXMQ/edit#gid=1251630045"",""articles_with_PRISMA_reasons!B2:B2113"")),
E476=""Exclude"",
FILTER(IMPORTRANGE(""https://docs.google.com/spreadsheets/d/1qpEmbGH0JjaJbUdp21-y2cPbobDbMjr09BbtdKROZWc/edit#gid=1444865654"&amp;""",""articles_with_PRISMA_reasons!Z2:Z2113""), $A476=IMPORTRANGE(""https://docs.google.com/spreadsheets/d/1qpEmbGH0JjaJbUdp21-y2cPbobDbMjr09BbtdKROZWc/edit#gid=1444865654"",""articles_with_PRISMA_reasons!B2:B2113"")),F476
=""Include"",FILTER(IMPORTRANGE("&amp;"""https://docs.google.com/spreadsheets/d/1kGrh75X1cNR1D7_FcY9zMnHP8iPO4M5RCRjy6nZY0TY/edit#gid=0"",""Table 1: Study characteristics!A4:A171""), $A476=IMPORTRANGE(""https://docs.google.com/spreadsheets/d/1kGrh75X1cNR1D7_FcY9zMnHP8iPO4M5RCRjy6nZY0TY/edit#gi"&amp;"d=0"",""Table 1: Study characteristics!B4:B171""))
)"),"wrong population")</f>
        <v>wrong population</v>
      </c>
    </row>
    <row r="477">
      <c r="A477" s="4" t="str">
        <f>IFERROR(__xludf.DUMMYFUNCTION("""COMPUTED_VALUE"""),"Cohort comparison study of neurosurgical procedures after closure of myelomeningocele by fetal surgery versus by neonatal surgery in patients in the national spina bifida patient registry")</f>
        <v>Cohort comparison study of neurosurgical procedures after closure of myelomeningocele by fetal surgery versus by neonatal surgery in patients in the national spina bifida patient registry</v>
      </c>
      <c r="B477" s="2" t="s">
        <v>21</v>
      </c>
      <c r="C477" s="6">
        <f>IFERROR(__xludf.DUMMYFUNCTION("FILTER(IMPORTRANGE(""https://docs.google.com/spreadsheets/d/1BJSV3WBYJGRhQ6zExamkszQ5VutGIcaQqmbD9ZTVXMQ/edit#gid=1251630045"",""articles_with_PRISMA_reasons!C2:C2113""), $A477=IMPORTRANGE(""https://docs.google.com/spreadsheets/d/1BJSV3WBYJGRhQ6zExamkszQ5"&amp;"VutGIcaQqmbD9ZTVXMQ/edit#gid=1251630045"",""articles_with_PRISMA_reasons!B2:B2113""))"),2018.0)</f>
        <v>2018</v>
      </c>
      <c r="D477" s="5" t="str">
        <f>IFERROR(__xludf.DUMMYFUNCTION("IFS(AND(
FILTER(IMPORTRANGE(""https://docs.google.com/spreadsheets/d/1BJSV3WBYJGRhQ6zExamkszQ5VutGIcaQqmbD9ZTVXMQ/edit#gid=1251630045"",""articles_with_PRISMA_reasons!Y2:Y2113""), $A477=IMPORTRANGE(""https://docs.google.com/spreadsheets/d/1BJSV3WBYJGRhQ6z"&amp;"ExamkszQ5VutGIcaQqmbD9ZTVXMQ/edit#gid=1251630045"",""articles_with_PRISMA_reasons!B2:B2113""))&gt;=2,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$A477=IMPORTRANGE(""https://docs.google.com/spreadsheets/d/1BJSV3WBYJGRhQ6zExamkszQ5VutGIcaQqmbD9ZTVXMQ/edit#gid=1251630045"",""articles_with_PRISMA_reasons!B2:B2113""))&lt;2),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$A477=IMPORTRANGE(""https://docs.google.com/spreadsheets/d/1BJSV3WBYJGRhQ6zExamkszQ5VutGIcaQqmbD9ZTVXMQ/edit#gid=1251630045"",""arti"&amp;"cles_with_PRISMA_reasons!B2:B2113""))&lt;2,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$A477=IMPORTRANGE(""https://docs.google.com"&amp;"/spreadsheets/d/1BJSV3WBYJGRhQ6zExamkszQ5VutGIcaQqmbD9ZTVXMQ/edit#gid=1251630045"",""articles_with_PRISMA_reasons!B2:B2113""))&gt;=2),
""Exclude""
)"),"Include")</f>
        <v>Include</v>
      </c>
      <c r="E477" s="5" t="str">
        <f>IFERROR(__xludf.DUMMYFUNCTION("IFS(
D477=""Exclude"",""Exclude"",
AND(
FILTER(IMPORTRANGE(""https://docs.google.com/spreadsheets/d/1qpEmbGH0JjaJbUdp21-y2cPbobDbMjr09BbtdKROZWc/edit#gid=1444865654"",""articles_with_PRISMA_reasons!W2:W2113""), $A477=IMPORTRANGE(""https://docs.google.com/"&amp;"spreadsheets/d/1qpEmbGH0JjaJbUdp21-y2cPbobDbMjr09BbtdKROZWc/edit#gid=1444865654"",""articles_with_PRISMA_reasons!B2:B2113""))&gt;=2,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$A477=IMPORTRANGE(""https://docs.google.com/spreadsheets/d/1qpEmbGH0JjaJbUdp21-y2cPbobDbMjr09BbtdKROZWc/edit#gid=1444865654"",""articles_with_PRISMA_reasons!B2:B2113""))&lt;2),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$A477=IMPORTRANGE(""https://docs.google.com/spreadsheets/d/1qpEmbGH0JjaJbUdp21-y2cPbobDbMjr09BbtdKRO"&amp;"ZWc/edit#gid=1444865654"",""articles_with_PRISMA_reasons!B2:B2113""))&lt;2,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$A477=IMPOR"&amp;"TRANGE(""https://docs.google.com/spreadsheets/d/1qpEmbGH0JjaJbUdp21-y2cPbobDbMjr09BbtdKROZWc/edit#gid=1444865654"",""articles_with_PRISMA_reasons!B2:B2113""))&gt;=2),
""Exclude""
)"),"Exclude")</f>
        <v>Exclude</v>
      </c>
      <c r="F477" s="5" t="str">
        <f>IFERROR(__xludf.DUMMYFUNCTION("IFS(
E477=""Exclude"",""Exclude"",
AND(
COUNTIF(
IMPORTRANGE(""https://docs.google.com/spreadsheets/d/1kGrh75X1cNR1D7_FcY9zMnHP8iPO4M5RCRjy6nZY0TY/edit#gid=0"",""Table 1: Study characteristics!B4:B171""),A477)&gt;0,
COUNTIF(Studies!$A$2:$A$85,FILTER(IMPORTRA"&amp;"NGE(""https://docs.google.com/spreadsheets/d/1kGrh75X1cNR1D7_FcY9zMnHP8iPO4M5RCRjy6nZY0TY/edit#gid=0"",""Table 1: Study characteristics!A4:A171""), $A477=IMPORTRANGE(""https://docs.google.com/spreadsheets/d/1kGrh75X1cNR1D7_FcY9zMnHP8iPO4M5RCRjy6nZY0TY/edi"&amp;"t#gid=0"",""Table 1: Study characteristics!B4:B171"")))&gt;0
),
""Include""
)"),"Exclude")</f>
        <v>Exclude</v>
      </c>
      <c r="G477" s="5" t="str">
        <f>IFERROR(__xludf.DUMMYFUNCTION("IFS(
D477=""Exclude"",
FILTER(IMPORTRANGE(""https://docs.google.com/spreadsheets/d/1BJSV3WBYJGRhQ6zExamkszQ5VutGIcaQqmbD9ZTVXMQ/edit#gid=1251630045"",""articles_with_PRISMA_reasons!AB2:AB2113""), $A477=IMPORTRANGE(""https://docs.google.com/spreadsheets/d/"&amp;"1BJSV3WBYJGRhQ6zExamkszQ5VutGIcaQqmbD9ZTVXMQ/edit#gid=1251630045"",""articles_with_PRISMA_reasons!B2:B2113"")),
E477=""Exclude"",
FILTER(IMPORTRANGE(""https://docs.google.com/spreadsheets/d/1qpEmbGH0JjaJbUdp21-y2cPbobDbMjr09BbtdKROZWc/edit#gid=1444865654"&amp;""",""articles_with_PRISMA_reasons!Z2:Z2113""), $A477=IMPORTRANGE(""https://docs.google.com/spreadsheets/d/1qpEmbGH0JjaJbUdp21-y2cPbobDbMjr09BbtdKROZWc/edit#gid=1444865654"",""articles_with_PRISMA_reasons!B2:B2113"")),F477
=""Include"",FILTER(IMPORTRANGE("&amp;"""https://docs.google.com/spreadsheets/d/1kGrh75X1cNR1D7_FcY9zMnHP8iPO4M5RCRjy6nZY0TY/edit#gid=0"",""Table 1: Study characteristics!A4:A171""), $A477=IMPORTRANGE(""https://docs.google.com/spreadsheets/d/1kGrh75X1cNR1D7_FcY9zMnHP8iPO4M5RCRjy6nZY0TY/edit#gi"&amp;"d=0"",""Table 1: Study characteristics!B4:B171""))
)"),"wrong study design")</f>
        <v>wrong study design</v>
      </c>
    </row>
    <row r="478">
      <c r="A478" s="4" t="str">
        <f>IFERROR(__xludf.DUMMYFUNCTION("""COMPUTED_VALUE"""),"Coiling and migration of peritoneal catheter into the breast: a very rare complication of ventriculoperitoneal shunt")</f>
        <v>Coiling and migration of peritoneal catheter into the breast: a very rare complication of ventriculoperitoneal shunt</v>
      </c>
      <c r="B478" s="5" t="str">
        <f>IFERROR(__xludf.DUMMYFUNCTION("LEFT(FILTER(IMPORTRANGE(""https://docs.google.com/spreadsheets/d/1BJSV3WBYJGRhQ6zExamkszQ5VutGIcaQqmbD9ZTVXMQ/edit#gid=1251630045"",""articles_with_PRISMA_reasons!K2:K2113""), $A478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$A478=IMPORTRANGE(""https://docs.google.com/spreadsheets/d/1BJSV3WBYJGRhQ6zExamkszQ5VutGIcaQqmbD9ZTVXMQ/edit#gid=1251630045"",""articles_with_PRISMA_reasons!B2:B2113"")))-1)"),"Shafiee")</f>
        <v>Shafiee</v>
      </c>
      <c r="C478" s="6">
        <f>IFERROR(__xludf.DUMMYFUNCTION("FILTER(IMPORTRANGE(""https://docs.google.com/spreadsheets/d/1BJSV3WBYJGRhQ6zExamkszQ5VutGIcaQqmbD9ZTVXMQ/edit#gid=1251630045"",""articles_with_PRISMA_reasons!C2:C2113""), $A478=IMPORTRANGE(""https://docs.google.com/spreadsheets/d/1BJSV3WBYJGRhQ6zExamkszQ5"&amp;"VutGIcaQqmbD9ZTVXMQ/edit#gid=1251630045"",""articles_with_PRISMA_reasons!B2:B2113""))"),2011.0)</f>
        <v>2011</v>
      </c>
      <c r="D478" s="5" t="str">
        <f>IFERROR(__xludf.DUMMYFUNCTION("IFS(AND(
FILTER(IMPORTRANGE(""https://docs.google.com/spreadsheets/d/1BJSV3WBYJGRhQ6zExamkszQ5VutGIcaQqmbD9ZTVXMQ/edit#gid=1251630045"",""articles_with_PRISMA_reasons!Y2:Y2113""), $A478=IMPORTRANGE(""https://docs.google.com/spreadsheets/d/1BJSV3WBYJGRhQ6z"&amp;"ExamkszQ5VutGIcaQqmbD9ZTVXMQ/edit#gid=1251630045"",""articles_with_PRISMA_reasons!B2:B2113""))&gt;=2,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$A478=IMPORTRANGE(""https://docs.google.com/spreadsheets/d/1BJSV3WBYJGRhQ6zExamkszQ5VutGIcaQqmbD9ZTVXMQ/edit#gid=1251630045"",""articles_with_PRISMA_reasons!B2:B2113""))&lt;2),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$A478=IMPORTRANGE(""https://docs.google.com/spreadsheets/d/1BJSV3WBYJGRhQ6zExamkszQ5VutGIcaQqmbD9ZTVXMQ/edit#gid=1251630045"",""arti"&amp;"cles_with_PRISMA_reasons!B2:B2113""))&lt;2,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$A478=IMPORTRANGE(""https://docs.google.com"&amp;"/spreadsheets/d/1BJSV3WBYJGRhQ6zExamkszQ5VutGIcaQqmbD9ZTVXMQ/edit#gid=1251630045"",""articles_with_PRISMA_reasons!B2:B2113""))&gt;=2),
""Exclude""
)"),"Exclude")</f>
        <v>Exclude</v>
      </c>
      <c r="E478" s="5" t="str">
        <f>IFERROR(__xludf.DUMMYFUNCTION("IFS(
D478=""Exclude"",""Exclude"",
AND(
FILTER(IMPORTRANGE(""https://docs.google.com/spreadsheets/d/1qpEmbGH0JjaJbUdp21-y2cPbobDbMjr09BbtdKROZWc/edit#gid=1444865654"",""articles_with_PRISMA_reasons!W2:W2113""), $A478=IMPORTRANGE(""https://docs.google.com/"&amp;"spreadsheets/d/1qpEmbGH0JjaJbUdp21-y2cPbobDbMjr09BbtdKROZWc/edit#gid=1444865654"",""articles_with_PRISMA_reasons!B2:B2113""))&gt;=2,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$A478=IMPORTRANGE(""https://docs.google.com/spreadsheets/d/1qpEmbGH0JjaJbUdp21-y2cPbobDbMjr09BbtdKROZWc/edit#gid=1444865654"",""articles_with_PRISMA_reasons!B2:B2113""))&lt;2),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$A478=IMPORTRANGE(""https://docs.google.com/spreadsheets/d/1qpEmbGH0JjaJbUdp21-y2cPbobDbMjr09BbtdKRO"&amp;"ZWc/edit#gid=1444865654"",""articles_with_PRISMA_reasons!B2:B2113""))&lt;2,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$A478=IMPOR"&amp;"TRANGE(""https://docs.google.com/spreadsheets/d/1qpEmbGH0JjaJbUdp21-y2cPbobDbMjr09BbtdKROZWc/edit#gid=1444865654"",""articles_with_PRISMA_reasons!B2:B2113""))&gt;=2),
""Exclude""
)"),"Exclude")</f>
        <v>Exclude</v>
      </c>
      <c r="F478" s="5" t="str">
        <f>IFERROR(__xludf.DUMMYFUNCTION("IFS(
E478=""Exclude"",""Exclude"",
AND(
COUNTIF(
IMPORTRANGE(""https://docs.google.com/spreadsheets/d/1kGrh75X1cNR1D7_FcY9zMnHP8iPO4M5RCRjy6nZY0TY/edit#gid=0"",""Table 1: Study characteristics!B4:B171""),A478)&gt;0,
COUNTIF(Studies!$A$2:$A$85,FILTER(IMPORTRA"&amp;"NGE(""https://docs.google.com/spreadsheets/d/1kGrh75X1cNR1D7_FcY9zMnHP8iPO4M5RCRjy6nZY0TY/edit#gid=0"",""Table 1: Study characteristics!A4:A171""), $A478=IMPORTRANGE(""https://docs.google.com/spreadsheets/d/1kGrh75X1cNR1D7_FcY9zMnHP8iPO4M5RCRjy6nZY0TY/edi"&amp;"t#gid=0"",""Table 1: Study characteristics!B4:B171"")))&gt;0
),
""Include""
)"),"Exclude")</f>
        <v>Exclude</v>
      </c>
      <c r="G478" s="5" t="str">
        <f>IFERROR(__xludf.DUMMYFUNCTION("IFS(
D478=""Exclude"",
FILTER(IMPORTRANGE(""https://docs.google.com/spreadsheets/d/1BJSV3WBYJGRhQ6zExamkszQ5VutGIcaQqmbD9ZTVXMQ/edit#gid=1251630045"",""articles_with_PRISMA_reasons!AB2:AB2113""), $A478=IMPORTRANGE(""https://docs.google.com/spreadsheets/d/"&amp;"1BJSV3WBYJGRhQ6zExamkszQ5VutGIcaQqmbD9ZTVXMQ/edit#gid=1251630045"",""articles_with_PRISMA_reasons!B2:B2113"")),
E478=""Exclude"",
FILTER(IMPORTRANGE(""https://docs.google.com/spreadsheets/d/1qpEmbGH0JjaJbUdp21-y2cPbobDbMjr09BbtdKROZWc/edit#gid=1444865654"&amp;""",""articles_with_PRISMA_reasons!Z2:Z2113""), $A478=IMPORTRANGE(""https://docs.google.com/spreadsheets/d/1qpEmbGH0JjaJbUdp21-y2cPbobDbMjr09BbtdKROZWc/edit#gid=1444865654"",""articles_with_PRISMA_reasons!B2:B2113"")),F478
=""Include"",FILTER(IMPORTRANGE("&amp;"""https://docs.google.com/spreadsheets/d/1kGrh75X1cNR1D7_FcY9zMnHP8iPO4M5RCRjy6nZY0TY/edit#gid=0"",""Table 1: Study characteristics!A4:A171""), $A478=IMPORTRANGE(""https://docs.google.com/spreadsheets/d/1kGrh75X1cNR1D7_FcY9zMnHP8iPO4M5RCRjy6nZY0TY/edit#gi"&amp;"d=0"",""Table 1: Study characteristics!B4:B171""))
)"),"wrong study design")</f>
        <v>wrong study design</v>
      </c>
    </row>
    <row r="479">
      <c r="A479" s="4" t="str">
        <f>IFERROR(__xludf.DUMMYFUNCTION("""COMPUTED_VALUE"""),"Coincident myelomeningocele and gastroschisis: Report of 2 cases")</f>
        <v>Coincident myelomeningocele and gastroschisis: Report of 2 cases</v>
      </c>
      <c r="B479" s="5" t="str">
        <f>IFERROR(__xludf.DUMMYFUNCTION("LEFT(FILTER(IMPORTRANGE(""https://docs.google.com/spreadsheets/d/1BJSV3WBYJGRhQ6zExamkszQ5VutGIcaQqmbD9ZTVXMQ/edit#gid=1251630045"",""articles_with_PRISMA_reasons!K2:K2113""), $A479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$A479=IMPORTRANGE(""https://docs.google.com/spreadsheets/d/1BJSV3WBYJGRhQ6zExamkszQ5VutGIcaQqmbD9ZTVXMQ/edit#gid=1251630045"",""articles_with_PRISMA_reasons!B2:B2113"")))-1)"),"Bollo")</f>
        <v>Bollo</v>
      </c>
      <c r="C479" s="6">
        <f>IFERROR(__xludf.DUMMYFUNCTION("FILTER(IMPORTRANGE(""https://docs.google.com/spreadsheets/d/1BJSV3WBYJGRhQ6zExamkszQ5VutGIcaQqmbD9ZTVXMQ/edit#gid=1251630045"",""articles_with_PRISMA_reasons!C2:C2113""), $A479=IMPORTRANGE(""https://docs.google.com/spreadsheets/d/1BJSV3WBYJGRhQ6zExamkszQ5"&amp;"VutGIcaQqmbD9ZTVXMQ/edit#gid=1251630045"",""articles_with_PRISMA_reasons!B2:B2113""))"),2018.0)</f>
        <v>2018</v>
      </c>
      <c r="D479" s="5" t="str">
        <f>IFERROR(__xludf.DUMMYFUNCTION("IFS(AND(
FILTER(IMPORTRANGE(""https://docs.google.com/spreadsheets/d/1BJSV3WBYJGRhQ6zExamkszQ5VutGIcaQqmbD9ZTVXMQ/edit#gid=1251630045"",""articles_with_PRISMA_reasons!Y2:Y2113""), $A479=IMPORTRANGE(""https://docs.google.com/spreadsheets/d/1BJSV3WBYJGRhQ6z"&amp;"ExamkszQ5VutGIcaQqmbD9ZTVXMQ/edit#gid=1251630045"",""articles_with_PRISMA_reasons!B2:B2113""))&gt;=2,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$A479=IMPORTRANGE(""https://docs.google.com/spreadsheets/d/1BJSV3WBYJGRhQ6zExamkszQ5VutGIcaQqmbD9ZTVXMQ/edit#gid=1251630045"",""articles_with_PRISMA_reasons!B2:B2113""))&lt;2),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$A479=IMPORTRANGE(""https://docs.google.com/spreadsheets/d/1BJSV3WBYJGRhQ6zExamkszQ5VutGIcaQqmbD9ZTVXMQ/edit#gid=1251630045"",""arti"&amp;"cles_with_PRISMA_reasons!B2:B2113""))&lt;2,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$A479=IMPORTRANGE(""https://docs.google.com"&amp;"/spreadsheets/d/1BJSV3WBYJGRhQ6zExamkszQ5VutGIcaQqmbD9ZTVXMQ/edit#gid=1251630045"",""articles_with_PRISMA_reasons!B2:B2113""))&gt;=2),
""Exclude""
)"),"Exclude")</f>
        <v>Exclude</v>
      </c>
      <c r="E479" s="5" t="str">
        <f>IFERROR(__xludf.DUMMYFUNCTION("IFS(
D479=""Exclude"",""Exclude"",
AND(
FILTER(IMPORTRANGE(""https://docs.google.com/spreadsheets/d/1qpEmbGH0JjaJbUdp21-y2cPbobDbMjr09BbtdKROZWc/edit#gid=1444865654"",""articles_with_PRISMA_reasons!W2:W2113""), $A479=IMPORTRANGE(""https://docs.google.com/"&amp;"spreadsheets/d/1qpEmbGH0JjaJbUdp21-y2cPbobDbMjr09BbtdKROZWc/edit#gid=1444865654"",""articles_with_PRISMA_reasons!B2:B2113""))&gt;=2,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$A479=IMPORTRANGE(""https://docs.google.com/spreadsheets/d/1qpEmbGH0JjaJbUdp21-y2cPbobDbMjr09BbtdKROZWc/edit#gid=1444865654"",""articles_with_PRISMA_reasons!B2:B2113""))&lt;2),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$A479=IMPORTRANGE(""https://docs.google.com/spreadsheets/d/1qpEmbGH0JjaJbUdp21-y2cPbobDbMjr09BbtdKRO"&amp;"ZWc/edit#gid=1444865654"",""articles_with_PRISMA_reasons!B2:B2113""))&lt;2,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$A479=IMPOR"&amp;"TRANGE(""https://docs.google.com/spreadsheets/d/1qpEmbGH0JjaJbUdp21-y2cPbobDbMjr09BbtdKROZWc/edit#gid=1444865654"",""articles_with_PRISMA_reasons!B2:B2113""))&gt;=2),
""Exclude""
)"),"Exclude")</f>
        <v>Exclude</v>
      </c>
      <c r="F479" s="5" t="str">
        <f>IFERROR(__xludf.DUMMYFUNCTION("IFS(
E479=""Exclude"",""Exclude"",
AND(
COUNTIF(
IMPORTRANGE(""https://docs.google.com/spreadsheets/d/1kGrh75X1cNR1D7_FcY9zMnHP8iPO4M5RCRjy6nZY0TY/edit#gid=0"",""Table 1: Study characteristics!B4:B171""),A479)&gt;0,
COUNTIF(Studies!$A$2:$A$85,FILTER(IMPORTRA"&amp;"NGE(""https://docs.google.com/spreadsheets/d/1kGrh75X1cNR1D7_FcY9zMnHP8iPO4M5RCRjy6nZY0TY/edit#gid=0"",""Table 1: Study characteristics!A4:A171""), $A479=IMPORTRANGE(""https://docs.google.com/spreadsheets/d/1kGrh75X1cNR1D7_FcY9zMnHP8iPO4M5RCRjy6nZY0TY/edi"&amp;"t#gid=0"",""Table 1: Study characteristics!B4:B171"")))&gt;0
),
""Include""
)"),"Exclude")</f>
        <v>Exclude</v>
      </c>
      <c r="G479" s="5" t="str">
        <f>IFERROR(__xludf.DUMMYFUNCTION("IFS(
D479=""Exclude"",
FILTER(IMPORTRANGE(""https://docs.google.com/spreadsheets/d/1BJSV3WBYJGRhQ6zExamkszQ5VutGIcaQqmbD9ZTVXMQ/edit#gid=1251630045"",""articles_with_PRISMA_reasons!AB2:AB2113""), $A479=IMPORTRANGE(""https://docs.google.com/spreadsheets/d/"&amp;"1BJSV3WBYJGRhQ6zExamkszQ5VutGIcaQqmbD9ZTVXMQ/edit#gid=1251630045"",""articles_with_PRISMA_reasons!B2:B2113"")),
E479=""Exclude"",
FILTER(IMPORTRANGE(""https://docs.google.com/spreadsheets/d/1qpEmbGH0JjaJbUdp21-y2cPbobDbMjr09BbtdKROZWc/edit#gid=1444865654"&amp;""",""articles_with_PRISMA_reasons!Z2:Z2113""), $A479=IMPORTRANGE(""https://docs.google.com/spreadsheets/d/1qpEmbGH0JjaJbUdp21-y2cPbobDbMjr09BbtdKROZWc/edit#gid=1444865654"",""articles_with_PRISMA_reasons!B2:B2113"")),F479
=""Include"",FILTER(IMPORTRANGE("&amp;"""https://docs.google.com/spreadsheets/d/1kGrh75X1cNR1D7_FcY9zMnHP8iPO4M5RCRjy6nZY0TY/edit#gid=0"",""Table 1: Study characteristics!A4:A171""), $A479=IMPORTRANGE(""https://docs.google.com/spreadsheets/d/1kGrh75X1cNR1D7_FcY9zMnHP8iPO4M5RCRjy6nZY0TY/edit#gi"&amp;"d=0"",""Table 1: Study characteristics!B4:B171""))
)"),"wrong publication type")</f>
        <v>wrong publication type</v>
      </c>
    </row>
    <row r="480">
      <c r="A480" s="4" t="str">
        <f>IFERROR(__xludf.DUMMYFUNCTION("""COMPUTED_VALUE"""),"Combined endoscopic third ventriculostomy and choroid plexus cauterization as primary treatment for infant hydrocephalus: a prospective North American series")</f>
        <v>Combined endoscopic third ventriculostomy and choroid plexus cauterization as primary treatment for infant hydrocephalus: a prospective North American series</v>
      </c>
      <c r="B480" s="5" t="str">
        <f>IFERROR(__xludf.DUMMYFUNCTION("LEFT(FILTER(IMPORTRANGE(""https://docs.google.com/spreadsheets/d/1BJSV3WBYJGRhQ6zExamkszQ5VutGIcaQqmbD9ZTVXMQ/edit#gid=1251630045"",""articles_with_PRISMA_reasons!K2:K2113""), $A480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$A480=IMPORTRANGE(""https://docs.google.com/spreadsheets/d/1BJSV3WBYJGRhQ6zExamkszQ5VutGIcaQqmbD9ZTVXMQ/edit#gid=1251630045"",""articles_with_PRISMA_reasons!B2:B2113"")))-1)"),"Stone")</f>
        <v>Stone</v>
      </c>
      <c r="C480" s="6" t="str">
        <f>IFERROR(__xludf.DUMMYFUNCTION("FILTER(IMPORTRANGE(""https://docs.google.com/spreadsheets/d/1BJSV3WBYJGRhQ6zExamkszQ5VutGIcaQqmbD9ZTVXMQ/edit#gid=1251630045"",""articles_with_PRISMA_reasons!C2:C2113""), $A480=IMPORTRANGE(""https://docs.google.com/spreadsheets/d/1BJSV3WBYJGRhQ6zExamkszQ5"&amp;"VutGIcaQqmbD9ZTVXMQ/edit#gid=1251630045"",""articles_with_PRISMA_reasons!B2:B2113""))"),"Nov")</f>
        <v>Nov</v>
      </c>
      <c r="D480" s="5" t="str">
        <f>IFERROR(__xludf.DUMMYFUNCTION("IFS(AND(
FILTER(IMPORTRANGE(""https://docs.google.com/spreadsheets/d/1BJSV3WBYJGRhQ6zExamkszQ5VutGIcaQqmbD9ZTVXMQ/edit#gid=1251630045"",""articles_with_PRISMA_reasons!Y2:Y2113""), $A480=IMPORTRANGE(""https://docs.google.com/spreadsheets/d/1BJSV3WBYJGRhQ6z"&amp;"ExamkszQ5VutGIcaQqmbD9ZTVXMQ/edit#gid=1251630045"",""articles_with_PRISMA_reasons!B2:B2113""))&gt;=2,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$A480=IMPORTRANGE(""https://docs.google.com/spreadsheets/d/1BJSV3WBYJGRhQ6zExamkszQ5VutGIcaQqmbD9ZTVXMQ/edit#gid=1251630045"",""articles_with_PRISMA_reasons!B2:B2113""))&lt;2),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$A480=IMPORTRANGE(""https://docs.google.com/spreadsheets/d/1BJSV3WBYJGRhQ6zExamkszQ5VutGIcaQqmbD9ZTVXMQ/edit#gid=1251630045"",""arti"&amp;"cles_with_PRISMA_reasons!B2:B2113""))&lt;2,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$A480=IMPORTRANGE(""https://docs.google.com"&amp;"/spreadsheets/d/1BJSV3WBYJGRhQ6zExamkszQ5VutGIcaQqmbD9ZTVXMQ/edit#gid=1251630045"",""articles_with_PRISMA_reasons!B2:B2113""))&gt;=2),
""Exclude""
)"),"Include")</f>
        <v>Include</v>
      </c>
      <c r="E480" s="5" t="str">
        <f>IFERROR(__xludf.DUMMYFUNCTION("IFS(
D480=""Exclude"",""Exclude"",
AND(
FILTER(IMPORTRANGE(""https://docs.google.com/spreadsheets/d/1qpEmbGH0JjaJbUdp21-y2cPbobDbMjr09BbtdKROZWc/edit#gid=1444865654"",""articles_with_PRISMA_reasons!W2:W2113""), $A480=IMPORTRANGE(""https://docs.google.com/"&amp;"spreadsheets/d/1qpEmbGH0JjaJbUdp21-y2cPbobDbMjr09BbtdKROZWc/edit#gid=1444865654"",""articles_with_PRISMA_reasons!B2:B2113""))&gt;=2,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$A480=IMPORTRANGE(""https://docs.google.com/spreadsheets/d/1qpEmbGH0JjaJbUdp21-y2cPbobDbMjr09BbtdKROZWc/edit#gid=1444865654"",""articles_with_PRISMA_reasons!B2:B2113""))&lt;2),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$A480=IMPORTRANGE(""https://docs.google.com/spreadsheets/d/1qpEmbGH0JjaJbUdp21-y2cPbobDbMjr09BbtdKRO"&amp;"ZWc/edit#gid=1444865654"",""articles_with_PRISMA_reasons!B2:B2113""))&lt;2,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$A480=IMPOR"&amp;"TRANGE(""https://docs.google.com/spreadsheets/d/1qpEmbGH0JjaJbUdp21-y2cPbobDbMjr09BbtdKROZWc/edit#gid=1444865654"",""articles_with_PRISMA_reasons!B2:B2113""))&gt;=2),
""Exclude""
)"),"Include")</f>
        <v>Include</v>
      </c>
      <c r="F480" s="2" t="s">
        <v>8</v>
      </c>
      <c r="G480" s="2" t="s">
        <v>17</v>
      </c>
    </row>
    <row r="481">
      <c r="A481" s="4" t="str">
        <f>IFERROR(__xludf.DUMMYFUNCTION("""COMPUTED_VALUE"""),"Combined endoscopic third ventriculostomy and choroid plexus cauterization as primary treatment of hydrocephalus for infants with myelomeningocele: Long-term results of a prospective intent-to-treat study in 115 East African infants")</f>
        <v>Combined endoscopic third ventriculostomy and choroid plexus cauterization as primary treatment of hydrocephalus for infants with myelomeningocele: Long-term results of a prospective intent-to-treat study in 115 East African infants</v>
      </c>
      <c r="B481" s="2" t="s">
        <v>22</v>
      </c>
      <c r="C481" s="6">
        <f>IFERROR(__xludf.DUMMYFUNCTION("FILTER(IMPORTRANGE(""https://docs.google.com/spreadsheets/d/1BJSV3WBYJGRhQ6zExamkszQ5VutGIcaQqmbD9ZTVXMQ/edit#gid=1251630045"",""articles_with_PRISMA_reasons!C2:C2113""), $A481=IMPORTRANGE(""https://docs.google.com/spreadsheets/d/1BJSV3WBYJGRhQ6zExamkszQ5"&amp;"VutGIcaQqmbD9ZTVXMQ/edit#gid=1251630045"",""articles_with_PRISMA_reasons!B2:B2113""))"),2008.0)</f>
        <v>2008</v>
      </c>
      <c r="D481" s="5" t="str">
        <f>IFERROR(__xludf.DUMMYFUNCTION("IFS(AND(
FILTER(IMPORTRANGE(""https://docs.google.com/spreadsheets/d/1BJSV3WBYJGRhQ6zExamkszQ5VutGIcaQqmbD9ZTVXMQ/edit#gid=1251630045"",""articles_with_PRISMA_reasons!Y2:Y2113""), $A481=IMPORTRANGE(""https://docs.google.com/spreadsheets/d/1BJSV3WBYJGRhQ6z"&amp;"ExamkszQ5VutGIcaQqmbD9ZTVXMQ/edit#gid=1251630045"",""articles_with_PRISMA_reasons!B2:B2113""))&gt;=2,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$A481=IMPORTRANGE(""https://docs.google.com/spreadsheets/d/1BJSV3WBYJGRhQ6zExamkszQ5VutGIcaQqmbD9ZTVXMQ/edit#gid=1251630045"",""articles_with_PRISMA_reasons!B2:B2113""))&lt;2),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$A481=IMPORTRANGE(""https://docs.google.com/spreadsheets/d/1BJSV3WBYJGRhQ6zExamkszQ5VutGIcaQqmbD9ZTVXMQ/edit#gid=1251630045"",""arti"&amp;"cles_with_PRISMA_reasons!B2:B2113""))&lt;2,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$A481=IMPORTRANGE(""https://docs.google.com"&amp;"/spreadsheets/d/1BJSV3WBYJGRhQ6zExamkszQ5VutGIcaQqmbD9ZTVXMQ/edit#gid=1251630045"",""articles_with_PRISMA_reasons!B2:B2113""))&gt;=2),
""Exclude""
)"),"Include")</f>
        <v>Include</v>
      </c>
      <c r="E481" s="5" t="str">
        <f>IFERROR(__xludf.DUMMYFUNCTION("IFS(
D481=""Exclude"",""Exclude"",
AND(
FILTER(IMPORTRANGE(""https://docs.google.com/spreadsheets/d/1qpEmbGH0JjaJbUdp21-y2cPbobDbMjr09BbtdKROZWc/edit#gid=1444865654"",""articles_with_PRISMA_reasons!W2:W2113""), $A481=IMPORTRANGE(""https://docs.google.com/"&amp;"spreadsheets/d/1qpEmbGH0JjaJbUdp21-y2cPbobDbMjr09BbtdKROZWc/edit#gid=1444865654"",""articles_with_PRISMA_reasons!B2:B2113""))&gt;=2,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$A481=IMPORTRANGE(""https://docs.google.com/spreadsheets/d/1qpEmbGH0JjaJbUdp21-y2cPbobDbMjr09BbtdKROZWc/edit#gid=1444865654"",""articles_with_PRISMA_reasons!B2:B2113""))&lt;2),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$A481=IMPORTRANGE(""https://docs.google.com/spreadsheets/d/1qpEmbGH0JjaJbUdp21-y2cPbobDbMjr09BbtdKRO"&amp;"ZWc/edit#gid=1444865654"",""articles_with_PRISMA_reasons!B2:B2113""))&lt;2,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$A481=IMPOR"&amp;"TRANGE(""https://docs.google.com/spreadsheets/d/1qpEmbGH0JjaJbUdp21-y2cPbobDbMjr09BbtdKROZWc/edit#gid=1444865654"",""articles_with_PRISMA_reasons!B2:B2113""))&gt;=2),
""Exclude""
)"),"Include")</f>
        <v>Include</v>
      </c>
      <c r="F481" s="5" t="str">
        <f>IFERROR(__xludf.DUMMYFUNCTION("IFS(
E481=""Exclude"",""Exclude"",
AND(
COUNTIF(
IMPORTRANGE(""https://docs.google.com/spreadsheets/d/1kGrh75X1cNR1D7_FcY9zMnHP8iPO4M5RCRjy6nZY0TY/edit#gid=0"",""Table 1: Study characteristics!B4:B171""),A481)&gt;0,
COUNTIF(Studies!$A$2:$A$85,FILTER(IMPORTRA"&amp;"NGE(""https://docs.google.com/spreadsheets/d/1kGrh75X1cNR1D7_FcY9zMnHP8iPO4M5RCRjy6nZY0TY/edit#gid=0"",""Table 1: Study characteristics!A4:A171""), $A481=IMPORTRANGE(""https://docs.google.com/spreadsheets/d/1kGrh75X1cNR1D7_FcY9zMnHP8iPO4M5RCRjy6nZY0TY/edi"&amp;"t#gid=0"",""Table 1: Study characteristics!B4:B171"")))&gt;0
),
""Include""
)"),"Include")</f>
        <v>Include</v>
      </c>
      <c r="G481" s="5" t="str">
        <f>IFERROR(__xludf.DUMMYFUNCTION("IFS(
D481=""Exclude"",
FILTER(IMPORTRANGE(""https://docs.google.com/spreadsheets/d/1BJSV3WBYJGRhQ6zExamkszQ5VutGIcaQqmbD9ZTVXMQ/edit#gid=1251630045"",""articles_with_PRISMA_reasons!AB2:AB2113""), $A481=IMPORTRANGE(""https://docs.google.com/spreadsheets/d/"&amp;"1BJSV3WBYJGRhQ6zExamkszQ5VutGIcaQqmbD9ZTVXMQ/edit#gid=1251630045"",""articles_with_PRISMA_reasons!B2:B2113"")),
E481=""Exclude"",
FILTER(IMPORTRANGE(""https://docs.google.com/spreadsheets/d/1qpEmbGH0JjaJbUdp21-y2cPbobDbMjr09BbtdKROZWc/edit#gid=1444865654"&amp;""",""articles_with_PRISMA_reasons!Z2:Z2113""), $A481=IMPORTRANGE(""https://docs.google.com/spreadsheets/d/1qpEmbGH0JjaJbUdp21-y2cPbobDbMjr09BbtdKROZWc/edit#gid=1444865654"",""articles_with_PRISMA_reasons!B2:B2113"")),F481
=""Include"",FILTER(IMPORTRANGE("&amp;"""https://docs.google.com/spreadsheets/d/1kGrh75X1cNR1D7_FcY9zMnHP8iPO4M5RCRjy6nZY0TY/edit#gid=0"",""Table 1: Study characteristics!A4:A171""), $A481=IMPORTRANGE(""https://docs.google.com/spreadsheets/d/1kGrh75X1cNR1D7_FcY9zMnHP8iPO4M5RCRjy6nZY0TY/edit#gi"&amp;"d=0"",""Table 1: Study characteristics!B4:B171""))
)"),"ID 27")</f>
        <v>ID 27</v>
      </c>
    </row>
    <row r="482">
      <c r="A482" s="4" t="str">
        <f>IFERROR(__xludf.DUMMYFUNCTION("""COMPUTED_VALUE"""),"Commentary")</f>
        <v>Commentary</v>
      </c>
      <c r="B482" s="5" t="str">
        <f>IFERROR(__xludf.DUMMYFUNCTION("LEFT(FILTER(IMPORTRANGE(""https://docs.google.com/spreadsheets/d/1BJSV3WBYJGRhQ6zExamkszQ5VutGIcaQqmbD9ZTVXMQ/edit#gid=1251630045"",""articles_with_PRISMA_reasons!K2:K2113""), $A482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$A482=IMPORTRANGE(""https://docs.google.com/spreadsheets/d/1BJSV3WBYJGRhQ6zExamkszQ5VutGIcaQqmbD9ZTVXMQ/edit#gid=1251630045"",""articles_with_PRISMA_reasons!B2:B2113"")))-1)"),"Kumar")</f>
        <v>Kumar</v>
      </c>
      <c r="C482" s="6">
        <f>IFERROR(__xludf.DUMMYFUNCTION("FILTER(IMPORTRANGE(""https://docs.google.com/spreadsheets/d/1BJSV3WBYJGRhQ6zExamkszQ5VutGIcaQqmbD9ZTVXMQ/edit#gid=1251630045"",""articles_with_PRISMA_reasons!C2:C2113""), $A482=IMPORTRANGE(""https://docs.google.com/spreadsheets/d/1BJSV3WBYJGRhQ6zExamkszQ5"&amp;"VutGIcaQqmbD9ZTVXMQ/edit#gid=1251630045"",""articles_with_PRISMA_reasons!B2:B2113""))"),2009.0)</f>
        <v>2009</v>
      </c>
      <c r="D482" s="5" t="str">
        <f>IFERROR(__xludf.DUMMYFUNCTION("IFS(AND(
FILTER(IMPORTRANGE(""https://docs.google.com/spreadsheets/d/1BJSV3WBYJGRhQ6zExamkszQ5VutGIcaQqmbD9ZTVXMQ/edit#gid=1251630045"",""articles_with_PRISMA_reasons!Y2:Y2113""), $A482=IMPORTRANGE(""https://docs.google.com/spreadsheets/d/1BJSV3WBYJGRhQ6z"&amp;"ExamkszQ5VutGIcaQqmbD9ZTVXMQ/edit#gid=1251630045"",""articles_with_PRISMA_reasons!B2:B2113""))&gt;=2,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$A482=IMPORTRANGE(""https://docs.google.com/spreadsheets/d/1BJSV3WBYJGRhQ6zExamkszQ5VutGIcaQqmbD9ZTVXMQ/edit#gid=1251630045"",""articles_with_PRISMA_reasons!B2:B2113""))&lt;2),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$A482=IMPORTRANGE(""https://docs.google.com/spreadsheets/d/1BJSV3WBYJGRhQ6zExamkszQ5VutGIcaQqmbD9ZTVXMQ/edit#gid=1251630045"",""arti"&amp;"cles_with_PRISMA_reasons!B2:B2113""))&lt;2,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$A482=IMPORTRANGE(""https://docs.google.com"&amp;"/spreadsheets/d/1BJSV3WBYJGRhQ6zExamkszQ5VutGIcaQqmbD9ZTVXMQ/edit#gid=1251630045"",""articles_with_PRISMA_reasons!B2:B2113""))&gt;=2),
""Exclude""
)"),"Exclude")</f>
        <v>Exclude</v>
      </c>
      <c r="E482" s="5" t="str">
        <f>IFERROR(__xludf.DUMMYFUNCTION("IFS(
D482=""Exclude"",""Exclude"",
AND(
FILTER(IMPORTRANGE(""https://docs.google.com/spreadsheets/d/1qpEmbGH0JjaJbUdp21-y2cPbobDbMjr09BbtdKROZWc/edit#gid=1444865654"",""articles_with_PRISMA_reasons!W2:W2113""), $A482=IMPORTRANGE(""https://docs.google.com/"&amp;"spreadsheets/d/1qpEmbGH0JjaJbUdp21-y2cPbobDbMjr09BbtdKROZWc/edit#gid=1444865654"",""articles_with_PRISMA_reasons!B2:B2113""))&gt;=2,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$A482=IMPORTRANGE(""https://docs.google.com/spreadsheets/d/1qpEmbGH0JjaJbUdp21-y2cPbobDbMjr09BbtdKROZWc/edit#gid=1444865654"",""articles_with_PRISMA_reasons!B2:B2113""))&lt;2),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$A482=IMPORTRANGE(""https://docs.google.com/spreadsheets/d/1qpEmbGH0JjaJbUdp21-y2cPbobDbMjr09BbtdKRO"&amp;"ZWc/edit#gid=1444865654"",""articles_with_PRISMA_reasons!B2:B2113""))&lt;2,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$A482=IMPOR"&amp;"TRANGE(""https://docs.google.com/spreadsheets/d/1qpEmbGH0JjaJbUdp21-y2cPbobDbMjr09BbtdKROZWc/edit#gid=1444865654"",""articles_with_PRISMA_reasons!B2:B2113""))&gt;=2),
""Exclude""
)"),"Exclude")</f>
        <v>Exclude</v>
      </c>
      <c r="F482" s="5" t="str">
        <f>IFERROR(__xludf.DUMMYFUNCTION("IFS(
E482=""Exclude"",""Exclude"",
AND(
COUNTIF(
IMPORTRANGE(""https://docs.google.com/spreadsheets/d/1kGrh75X1cNR1D7_FcY9zMnHP8iPO4M5RCRjy6nZY0TY/edit#gid=0"",""Table 1: Study characteristics!B4:B171""),A482)&gt;0,
COUNTIF(Studies!$A$2:$A$85,FILTER(IMPORTRA"&amp;"NGE(""https://docs.google.com/spreadsheets/d/1kGrh75X1cNR1D7_FcY9zMnHP8iPO4M5RCRjy6nZY0TY/edit#gid=0"",""Table 1: Study characteristics!A4:A171""), $A482=IMPORTRANGE(""https://docs.google.com/spreadsheets/d/1kGrh75X1cNR1D7_FcY9zMnHP8iPO4M5RCRjy6nZY0TY/edi"&amp;"t#gid=0"",""Table 1: Study characteristics!B4:B171"")))&gt;0
),
""Include""
)"),"Exclude")</f>
        <v>Exclude</v>
      </c>
      <c r="G482" s="5" t="str">
        <f>IFERROR(__xludf.DUMMYFUNCTION("IFS(
D482=""Exclude"",
FILTER(IMPORTRANGE(""https://docs.google.com/spreadsheets/d/1BJSV3WBYJGRhQ6zExamkszQ5VutGIcaQqmbD9ZTVXMQ/edit#gid=1251630045"",""articles_with_PRISMA_reasons!AB2:AB2113""), $A482=IMPORTRANGE(""https://docs.google.com/spreadsheets/d/"&amp;"1BJSV3WBYJGRhQ6zExamkszQ5VutGIcaQqmbD9ZTVXMQ/edit#gid=1251630045"",""articles_with_PRISMA_reasons!B2:B2113"")),
E482=""Exclude"",
FILTER(IMPORTRANGE(""https://docs.google.com/spreadsheets/d/1qpEmbGH0JjaJbUdp21-y2cPbobDbMjr09BbtdKROZWc/edit#gid=1444865654"&amp;""",""articles_with_PRISMA_reasons!Z2:Z2113""), $A482=IMPORTRANGE(""https://docs.google.com/spreadsheets/d/1qpEmbGH0JjaJbUdp21-y2cPbobDbMjr09BbtdKROZWc/edit#gid=1444865654"",""articles_with_PRISMA_reasons!B2:B2113"")),F482
=""Include"",FILTER(IMPORTRANGE("&amp;"""https://docs.google.com/spreadsheets/d/1kGrh75X1cNR1D7_FcY9zMnHP8iPO4M5RCRjy6nZY0TY/edit#gid=0"",""Table 1: Study characteristics!A4:A171""), $A482=IMPORTRANGE(""https://docs.google.com/spreadsheets/d/1kGrh75X1cNR1D7_FcY9zMnHP8iPO4M5RCRjy6nZY0TY/edit#gi"&amp;"d=0"",""Table 1: Study characteristics!B4:B171""))
)"),"wrong study design")</f>
        <v>wrong study design</v>
      </c>
    </row>
    <row r="483">
      <c r="A483" s="4" t="str">
        <f>IFERROR(__xludf.DUMMYFUNCTION("""COMPUTED_VALUE"""),"Commentary on 'quality of life and myelomeningocele: An ethical and evidence-based analysis of the Groningen protocol' by Sean Barry, pediatr neurosurg 2010;46:409-414")</f>
        <v>Commentary on 'quality of life and myelomeningocele: An ethical and evidence-based analysis of the Groningen protocol' by Sean Barry, pediatr neurosurg 2010;46:409-414</v>
      </c>
      <c r="B483" s="5" t="str">
        <f>IFERROR(__xludf.DUMMYFUNCTION("LEFT(FILTER(IMPORTRANGE(""https://docs.google.com/spreadsheets/d/1BJSV3WBYJGRhQ6zExamkszQ5VutGIcaQqmbD9ZTVXMQ/edit#gid=1251630045"",""articles_with_PRISMA_reasons!K2:K2113""), $A483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$A483=IMPORTRANGE(""https://docs.google.com/spreadsheets/d/1BJSV3WBYJGRhQ6zExamkszQ5VutGIcaQqmbD9ZTVXMQ/edit#gid=1251630045"",""articles_with_PRISMA_reasons!B2:B2113"")))-1)"),"Aronin")</f>
        <v>Aronin</v>
      </c>
      <c r="C483" s="6">
        <f>IFERROR(__xludf.DUMMYFUNCTION("FILTER(IMPORTRANGE(""https://docs.google.com/spreadsheets/d/1BJSV3WBYJGRhQ6zExamkszQ5VutGIcaQqmbD9ZTVXMQ/edit#gid=1251630045"",""articles_with_PRISMA_reasons!C2:C2113""), $A483=IMPORTRANGE(""https://docs.google.com/spreadsheets/d/1BJSV3WBYJGRhQ6zExamkszQ5"&amp;"VutGIcaQqmbD9ZTVXMQ/edit#gid=1251630045"",""articles_with_PRISMA_reasons!B2:B2113""))"),2010.0)</f>
        <v>2010</v>
      </c>
      <c r="D483" s="5" t="str">
        <f>IFERROR(__xludf.DUMMYFUNCTION("IFS(AND(
FILTER(IMPORTRANGE(""https://docs.google.com/spreadsheets/d/1BJSV3WBYJGRhQ6zExamkszQ5VutGIcaQqmbD9ZTVXMQ/edit#gid=1251630045"",""articles_with_PRISMA_reasons!Y2:Y2113""), $A483=IMPORTRANGE(""https://docs.google.com/spreadsheets/d/1BJSV3WBYJGRhQ6z"&amp;"ExamkszQ5VutGIcaQqmbD9ZTVXMQ/edit#gid=1251630045"",""articles_with_PRISMA_reasons!B2:B2113""))&gt;=2,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$A483=IMPORTRANGE(""https://docs.google.com/spreadsheets/d/1BJSV3WBYJGRhQ6zExamkszQ5VutGIcaQqmbD9ZTVXMQ/edit#gid=1251630045"",""articles_with_PRISMA_reasons!B2:B2113""))&lt;2),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$A483=IMPORTRANGE(""https://docs.google.com/spreadsheets/d/1BJSV3WBYJGRhQ6zExamkszQ5VutGIcaQqmbD9ZTVXMQ/edit#gid=1251630045"",""arti"&amp;"cles_with_PRISMA_reasons!B2:B2113""))&lt;2,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$A483=IMPORTRANGE(""https://docs.google.com"&amp;"/spreadsheets/d/1BJSV3WBYJGRhQ6zExamkszQ5VutGIcaQqmbD9ZTVXMQ/edit#gid=1251630045"",""articles_with_PRISMA_reasons!B2:B2113""))&gt;=2),
""Exclude""
)"),"Exclude")</f>
        <v>Exclude</v>
      </c>
      <c r="E483" s="5" t="str">
        <f>IFERROR(__xludf.DUMMYFUNCTION("IFS(
D483=""Exclude"",""Exclude"",
AND(
FILTER(IMPORTRANGE(""https://docs.google.com/spreadsheets/d/1qpEmbGH0JjaJbUdp21-y2cPbobDbMjr09BbtdKROZWc/edit#gid=1444865654"",""articles_with_PRISMA_reasons!W2:W2113""), $A483=IMPORTRANGE(""https://docs.google.com/"&amp;"spreadsheets/d/1qpEmbGH0JjaJbUdp21-y2cPbobDbMjr09BbtdKROZWc/edit#gid=1444865654"",""articles_with_PRISMA_reasons!B2:B2113""))&gt;=2,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$A483=IMPORTRANGE(""https://docs.google.com/spreadsheets/d/1qpEmbGH0JjaJbUdp21-y2cPbobDbMjr09BbtdKROZWc/edit#gid=1444865654"",""articles_with_PRISMA_reasons!B2:B2113""))&lt;2),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$A483=IMPORTRANGE(""https://docs.google.com/spreadsheets/d/1qpEmbGH0JjaJbUdp21-y2cPbobDbMjr09BbtdKRO"&amp;"ZWc/edit#gid=1444865654"",""articles_with_PRISMA_reasons!B2:B2113""))&lt;2,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$A483=IMPOR"&amp;"TRANGE(""https://docs.google.com/spreadsheets/d/1qpEmbGH0JjaJbUdp21-y2cPbobDbMjr09BbtdKROZWc/edit#gid=1444865654"",""articles_with_PRISMA_reasons!B2:B2113""))&gt;=2),
""Exclude""
)"),"Exclude")</f>
        <v>Exclude</v>
      </c>
      <c r="F483" s="5" t="str">
        <f>IFERROR(__xludf.DUMMYFUNCTION("IFS(
E483=""Exclude"",""Exclude"",
AND(
COUNTIF(
IMPORTRANGE(""https://docs.google.com/spreadsheets/d/1kGrh75X1cNR1D7_FcY9zMnHP8iPO4M5RCRjy6nZY0TY/edit#gid=0"",""Table 1: Study characteristics!B4:B171""),A483)&gt;0,
COUNTIF(Studies!$A$2:$A$85,FILTER(IMPORTRA"&amp;"NGE(""https://docs.google.com/spreadsheets/d/1kGrh75X1cNR1D7_FcY9zMnHP8iPO4M5RCRjy6nZY0TY/edit#gid=0"",""Table 1: Study characteristics!A4:A171""), $A483=IMPORTRANGE(""https://docs.google.com/spreadsheets/d/1kGrh75X1cNR1D7_FcY9zMnHP8iPO4M5RCRjy6nZY0TY/edi"&amp;"t#gid=0"",""Table 1: Study characteristics!B4:B171"")))&gt;0
),
""Include""
)"),"Exclude")</f>
        <v>Exclude</v>
      </c>
      <c r="G483" s="5" t="str">
        <f>IFERROR(__xludf.DUMMYFUNCTION("IFS(
D483=""Exclude"",
FILTER(IMPORTRANGE(""https://docs.google.com/spreadsheets/d/1BJSV3WBYJGRhQ6zExamkszQ5VutGIcaQqmbD9ZTVXMQ/edit#gid=1251630045"",""articles_with_PRISMA_reasons!AB2:AB2113""), $A483=IMPORTRANGE(""https://docs.google.com/spreadsheets/d/"&amp;"1BJSV3WBYJGRhQ6zExamkszQ5VutGIcaQqmbD9ZTVXMQ/edit#gid=1251630045"",""articles_with_PRISMA_reasons!B2:B2113"")),
E483=""Exclude"",
FILTER(IMPORTRANGE(""https://docs.google.com/spreadsheets/d/1qpEmbGH0JjaJbUdp21-y2cPbobDbMjr09BbtdKROZWc/edit#gid=1444865654"&amp;""",""articles_with_PRISMA_reasons!Z2:Z2113""), $A483=IMPORTRANGE(""https://docs.google.com/spreadsheets/d/1qpEmbGH0JjaJbUdp21-y2cPbobDbMjr09BbtdKROZWc/edit#gid=1444865654"",""articles_with_PRISMA_reasons!B2:B2113"")),F483
=""Include"",FILTER(IMPORTRANGE("&amp;"""https://docs.google.com/spreadsheets/d/1kGrh75X1cNR1D7_FcY9zMnHP8iPO4M5RCRjy6nZY0TY/edit#gid=0"",""Table 1: Study characteristics!A4:A171""), $A483=IMPORTRANGE(""https://docs.google.com/spreadsheets/d/1kGrh75X1cNR1D7_FcY9zMnHP8iPO4M5RCRjy6nZY0TY/edit#gi"&amp;"d=0"",""Table 1: Study characteristics!B4:B171""))
)"),"wrong study design")</f>
        <v>wrong study design</v>
      </c>
    </row>
    <row r="484">
      <c r="A484" s="4" t="str">
        <f>IFERROR(__xludf.DUMMYFUNCTION("""COMPUTED_VALUE"""),"Commentary: Congress of Neurological Surgeons Systematic Review and Evidence-Based Guidelines for Pediatric Myelomeningocele: Executive Summary")</f>
        <v>Commentary: Congress of Neurological Surgeons Systematic Review and Evidence-Based Guidelines for Pediatric Myelomeningocele: Executive Summary</v>
      </c>
      <c r="B484" s="5" t="str">
        <f>IFERROR(__xludf.DUMMYFUNCTION("LEFT(FILTER(IMPORTRANGE(""https://docs.google.com/spreadsheets/d/1BJSV3WBYJGRhQ6zExamkszQ5VutGIcaQqmbD9ZTVXMQ/edit#gid=1251630045"",""articles_with_PRISMA_reasons!K2:K2113""), $A484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$A484=IMPORTRANGE(""https://docs.google.com/spreadsheets/d/1BJSV3WBYJGRhQ6zExamkszQ5VutGIcaQqmbD9ZTVXMQ/edit#gid=1251630045"",""articles_with_PRISMA_reasons!B2:B2113"")))-1)"),"Heuer")</f>
        <v>Heuer</v>
      </c>
      <c r="C484" s="3">
        <v>2019.0</v>
      </c>
      <c r="D484" s="5" t="str">
        <f>IFERROR(__xludf.DUMMYFUNCTION("IFS(AND(
FILTER(IMPORTRANGE(""https://docs.google.com/spreadsheets/d/1BJSV3WBYJGRhQ6zExamkszQ5VutGIcaQqmbD9ZTVXMQ/edit#gid=1251630045"",""articles_with_PRISMA_reasons!Y2:Y2113""), $A484=IMPORTRANGE(""https://docs.google.com/spreadsheets/d/1BJSV3WBYJGRhQ6z"&amp;"ExamkszQ5VutGIcaQqmbD9ZTVXMQ/edit#gid=1251630045"",""articles_with_PRISMA_reasons!B2:B2113""))&gt;=2,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$A484=IMPORTRANGE(""https://docs.google.com/spreadsheets/d/1BJSV3WBYJGRhQ6zExamkszQ5VutGIcaQqmbD9ZTVXMQ/edit#gid=1251630045"",""articles_with_PRISMA_reasons!B2:B2113""))&lt;2),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$A484=IMPORTRANGE(""https://docs.google.com/spreadsheets/d/1BJSV3WBYJGRhQ6zExamkszQ5VutGIcaQqmbD9ZTVXMQ/edit#gid=1251630045"",""arti"&amp;"cles_with_PRISMA_reasons!B2:B2113""))&lt;2,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$A484=IMPORTRANGE(""https://docs.google.com"&amp;"/spreadsheets/d/1BJSV3WBYJGRhQ6zExamkszQ5VutGIcaQqmbD9ZTVXMQ/edit#gid=1251630045"",""articles_with_PRISMA_reasons!B2:B2113""))&gt;=2),
""Exclude""
)"),"Exclude")</f>
        <v>Exclude</v>
      </c>
      <c r="E484" s="5" t="str">
        <f>IFERROR(__xludf.DUMMYFUNCTION("IFS(
D484=""Exclude"",""Exclude"",
AND(
FILTER(IMPORTRANGE(""https://docs.google.com/spreadsheets/d/1qpEmbGH0JjaJbUdp21-y2cPbobDbMjr09BbtdKROZWc/edit#gid=1444865654"",""articles_with_PRISMA_reasons!W2:W2113""), $A484=IMPORTRANGE(""https://docs.google.com/"&amp;"spreadsheets/d/1qpEmbGH0JjaJbUdp21-y2cPbobDbMjr09BbtdKROZWc/edit#gid=1444865654"",""articles_with_PRISMA_reasons!B2:B2113""))&gt;=2,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$A484=IMPORTRANGE(""https://docs.google.com/spreadsheets/d/1qpEmbGH0JjaJbUdp21-y2cPbobDbMjr09BbtdKROZWc/edit#gid=1444865654"",""articles_with_PRISMA_reasons!B2:B2113""))&lt;2),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$A484=IMPORTRANGE(""https://docs.google.com/spreadsheets/d/1qpEmbGH0JjaJbUdp21-y2cPbobDbMjr09BbtdKRO"&amp;"ZWc/edit#gid=1444865654"",""articles_with_PRISMA_reasons!B2:B2113""))&lt;2,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$A484=IMPOR"&amp;"TRANGE(""https://docs.google.com/spreadsheets/d/1qpEmbGH0JjaJbUdp21-y2cPbobDbMjr09BbtdKROZWc/edit#gid=1444865654"",""articles_with_PRISMA_reasons!B2:B2113""))&gt;=2),
""Exclude""
)"),"Exclude")</f>
        <v>Exclude</v>
      </c>
      <c r="F484" s="5" t="str">
        <f>IFERROR(__xludf.DUMMYFUNCTION("IFS(
E484=""Exclude"",""Exclude"",
AND(
COUNTIF(
IMPORTRANGE(""https://docs.google.com/spreadsheets/d/1kGrh75X1cNR1D7_FcY9zMnHP8iPO4M5RCRjy6nZY0TY/edit#gid=0"",""Table 1: Study characteristics!B4:B171""),A484)&gt;0,
COUNTIF(Studies!$A$2:$A$85,FILTER(IMPORTRA"&amp;"NGE(""https://docs.google.com/spreadsheets/d/1kGrh75X1cNR1D7_FcY9zMnHP8iPO4M5RCRjy6nZY0TY/edit#gid=0"",""Table 1: Study characteristics!A4:A171""), $A484=IMPORTRANGE(""https://docs.google.com/spreadsheets/d/1kGrh75X1cNR1D7_FcY9zMnHP8iPO4M5RCRjy6nZY0TY/edi"&amp;"t#gid=0"",""Table 1: Study characteristics!B4:B171"")))&gt;0
),
""Include""
)"),"Exclude")</f>
        <v>Exclude</v>
      </c>
      <c r="G484" s="5" t="s">
        <v>7</v>
      </c>
    </row>
    <row r="485">
      <c r="A485" s="4" t="str">
        <f>IFERROR(__xludf.DUMMYFUNCTION("""COMPUTED_VALUE"""),"Commentary: Congress of Neurological Surgeons Systematic Review and Evidence-Based Guidelines for Pediatric Myelomeningocele: Executive Summary")</f>
        <v>Commentary: Congress of Neurological Surgeons Systematic Review and Evidence-Based Guidelines for Pediatric Myelomeningocele: Executive Summary</v>
      </c>
      <c r="B485" s="5" t="str">
        <f>IFERROR(__xludf.DUMMYFUNCTION("LEFT(FILTER(IMPORTRANGE(""https://docs.google.com/spreadsheets/d/1BJSV3WBYJGRhQ6zExamkszQ5VutGIcaQqmbD9ZTVXMQ/edit#gid=1251630045"",""articles_with_PRISMA_reasons!K2:K2113""), $A485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$A485=IMPORTRANGE(""https://docs.google.com/spreadsheets/d/1BJSV3WBYJGRhQ6zExamkszQ5VutGIcaQqmbD9ZTVXMQ/edit#gid=1251630045"",""articles_with_PRISMA_reasons!B2:B2113"")))-1)"),"Heuer")</f>
        <v>Heuer</v>
      </c>
      <c r="C485" s="3">
        <v>2019.0</v>
      </c>
      <c r="D485" s="5" t="str">
        <f>IFERROR(__xludf.DUMMYFUNCTION("IFS(AND(
FILTER(IMPORTRANGE(""https://docs.google.com/spreadsheets/d/1BJSV3WBYJGRhQ6zExamkszQ5VutGIcaQqmbD9ZTVXMQ/edit#gid=1251630045"",""articles_with_PRISMA_reasons!Y2:Y2113""), $A485=IMPORTRANGE(""https://docs.google.com/spreadsheets/d/1BJSV3WBYJGRhQ6z"&amp;"ExamkszQ5VutGIcaQqmbD9ZTVXMQ/edit#gid=1251630045"",""articles_with_PRISMA_reasons!B2:B2113""))&gt;=2,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$A485=IMPORTRANGE(""https://docs.google.com/spreadsheets/d/1BJSV3WBYJGRhQ6zExamkszQ5VutGIcaQqmbD9ZTVXMQ/edit#gid=1251630045"",""articles_with_PRISMA_reasons!B2:B2113""))&lt;2),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$A485=IMPORTRANGE(""https://docs.google.com/spreadsheets/d/1BJSV3WBYJGRhQ6zExamkszQ5VutGIcaQqmbD9ZTVXMQ/edit#gid=1251630045"",""arti"&amp;"cles_with_PRISMA_reasons!B2:B2113""))&lt;2,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$A485=IMPORTRANGE(""https://docs.google.com"&amp;"/spreadsheets/d/1BJSV3WBYJGRhQ6zExamkszQ5VutGIcaQqmbD9ZTVXMQ/edit#gid=1251630045"",""articles_with_PRISMA_reasons!B2:B2113""))&gt;=2),
""Exclude""
)"),"Exclude")</f>
        <v>Exclude</v>
      </c>
      <c r="E485" s="5" t="str">
        <f>IFERROR(__xludf.DUMMYFUNCTION("IFS(
D485=""Exclude"",""Exclude"",
AND(
FILTER(IMPORTRANGE(""https://docs.google.com/spreadsheets/d/1qpEmbGH0JjaJbUdp21-y2cPbobDbMjr09BbtdKROZWc/edit#gid=1444865654"",""articles_with_PRISMA_reasons!W2:W2113""), $A485=IMPORTRANGE(""https://docs.google.com/"&amp;"spreadsheets/d/1qpEmbGH0JjaJbUdp21-y2cPbobDbMjr09BbtdKROZWc/edit#gid=1444865654"",""articles_with_PRISMA_reasons!B2:B2113""))&gt;=2,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$A485=IMPORTRANGE(""https://docs.google.com/spreadsheets/d/1qpEmbGH0JjaJbUdp21-y2cPbobDbMjr09BbtdKROZWc/edit#gid=1444865654"",""articles_with_PRISMA_reasons!B2:B2113""))&lt;2),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$A485=IMPORTRANGE(""https://docs.google.com/spreadsheets/d/1qpEmbGH0JjaJbUdp21-y2cPbobDbMjr09BbtdKRO"&amp;"ZWc/edit#gid=1444865654"",""articles_with_PRISMA_reasons!B2:B2113""))&lt;2,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$A485=IMPOR"&amp;"TRANGE(""https://docs.google.com/spreadsheets/d/1qpEmbGH0JjaJbUdp21-y2cPbobDbMjr09BbtdKROZWc/edit#gid=1444865654"",""articles_with_PRISMA_reasons!B2:B2113""))&gt;=2),
""Exclude""
)"),"Exclude")</f>
        <v>Exclude</v>
      </c>
      <c r="F485" s="5" t="str">
        <f>IFERROR(__xludf.DUMMYFUNCTION("IFS(
E485=""Exclude"",""Exclude"",
AND(
COUNTIF(
IMPORTRANGE(""https://docs.google.com/spreadsheets/d/1kGrh75X1cNR1D7_FcY9zMnHP8iPO4M5RCRjy6nZY0TY/edit#gid=0"",""Table 1: Study characteristics!B4:B171""),A485)&gt;0,
COUNTIF(Studies!$A$2:$A$85,FILTER(IMPORTRA"&amp;"NGE(""https://docs.google.com/spreadsheets/d/1kGrh75X1cNR1D7_FcY9zMnHP8iPO4M5RCRjy6nZY0TY/edit#gid=0"",""Table 1: Study characteristics!A4:A171""), $A485=IMPORTRANGE(""https://docs.google.com/spreadsheets/d/1kGrh75X1cNR1D7_FcY9zMnHP8iPO4M5RCRjy6nZY0TY/edi"&amp;"t#gid=0"",""Table 1: Study characteristics!B4:B171"")))&gt;0
),
""Include""
)"),"Exclude")</f>
        <v>Exclude</v>
      </c>
      <c r="G485" s="2" t="s">
        <v>13</v>
      </c>
    </row>
    <row r="486">
      <c r="A486" s="4" t="str">
        <f>IFERROR(__xludf.DUMMYFUNCTION("""COMPUTED_VALUE"""),"Comments on the management of newborn with spina bifida cystica--active treatment or no treatment")</f>
        <v>Comments on the management of newborn with spina bifida cystica--active treatment or no treatment</v>
      </c>
      <c r="B486" s="5" t="str">
        <f>IFERROR(__xludf.DUMMYFUNCTION("LEFT(FILTER(IMPORTRANGE(""https://docs.google.com/spreadsheets/d/1BJSV3WBYJGRhQ6zExamkszQ5VutGIcaQqmbD9ZTVXMQ/edit#gid=1251630045"",""articles_with_PRISMA_reasons!K2:K2113""), $A486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$A486=IMPORTRANGE(""https://docs.google.com/spreadsheets/d/1BJSV3WBYJGRhQ6zExamkszQ5VutGIcaQqmbD9ZTVXMQ/edit#gid=1251630045"",""articles_with_PRISMA_reasons!B2:B2113"")))-1)"),"Kaiser")</f>
        <v>Kaiser</v>
      </c>
      <c r="C486" s="6" t="str">
        <f>IFERROR(__xludf.DUMMYFUNCTION("FILTER(IMPORTRANGE(""https://docs.google.com/spreadsheets/d/1BJSV3WBYJGRhQ6zExamkszQ5VutGIcaQqmbD9ZTVXMQ/edit#gid=1251630045"",""articles_with_PRISMA_reasons!C2:C2113""), $A486=IMPORTRANGE(""https://docs.google.com/spreadsheets/d/1BJSV3WBYJGRhQ6zExamkszQ5"&amp;"VutGIcaQqmbD9ZTVXMQ/edit#gid=1251630045"",""articles_with_PRISMA_reasons!B2:B2113""))"),"Jun")</f>
        <v>Jun</v>
      </c>
      <c r="D486" s="5" t="str">
        <f>IFERROR(__xludf.DUMMYFUNCTION("IFS(AND(
FILTER(IMPORTRANGE(""https://docs.google.com/spreadsheets/d/1BJSV3WBYJGRhQ6zExamkszQ5VutGIcaQqmbD9ZTVXMQ/edit#gid=1251630045"",""articles_with_PRISMA_reasons!Y2:Y2113""), $A486=IMPORTRANGE(""https://docs.google.com/spreadsheets/d/1BJSV3WBYJGRhQ6z"&amp;"ExamkszQ5VutGIcaQqmbD9ZTVXMQ/edit#gid=1251630045"",""articles_with_PRISMA_reasons!B2:B2113""))&gt;=2,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$A486=IMPORTRANGE(""https://docs.google.com/spreadsheets/d/1BJSV3WBYJGRhQ6zExamkszQ5VutGIcaQqmbD9ZTVXMQ/edit#gid=1251630045"",""articles_with_PRISMA_reasons!B2:B2113""))&lt;2),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$A486=IMPORTRANGE(""https://docs.google.com/spreadsheets/d/1BJSV3WBYJGRhQ6zExamkszQ5VutGIcaQqmbD9ZTVXMQ/edit#gid=1251630045"",""arti"&amp;"cles_with_PRISMA_reasons!B2:B2113""))&lt;2,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$A486=IMPORTRANGE(""https://docs.google.com"&amp;"/spreadsheets/d/1BJSV3WBYJGRhQ6zExamkszQ5VutGIcaQqmbD9ZTVXMQ/edit#gid=1251630045"",""articles_with_PRISMA_reasons!B2:B2113""))&gt;=2),
""Exclude""
)"),"Include")</f>
        <v>Include</v>
      </c>
      <c r="E486" s="5" t="str">
        <f>IFERROR(__xludf.DUMMYFUNCTION("IFS(
D486=""Exclude"",""Exclude"",
AND(
FILTER(IMPORTRANGE(""https://docs.google.com/spreadsheets/d/1qpEmbGH0JjaJbUdp21-y2cPbobDbMjr09BbtdKROZWc/edit#gid=1444865654"",""articles_with_PRISMA_reasons!W2:W2113""), $A486=IMPORTRANGE(""https://docs.google.com/"&amp;"spreadsheets/d/1qpEmbGH0JjaJbUdp21-y2cPbobDbMjr09BbtdKROZWc/edit#gid=1444865654"",""articles_with_PRISMA_reasons!B2:B2113""))&gt;=2,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$A486=IMPORTRANGE(""https://docs.google.com/spreadsheets/d/1qpEmbGH0JjaJbUdp21-y2cPbobDbMjr09BbtdKROZWc/edit#gid=1444865654"",""articles_with_PRISMA_reasons!B2:B2113""))&lt;2),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$A486=IMPORTRANGE(""https://docs.google.com/spreadsheets/d/1qpEmbGH0JjaJbUdp21-y2cPbobDbMjr09BbtdKRO"&amp;"ZWc/edit#gid=1444865654"",""articles_with_PRISMA_reasons!B2:B2113""))&lt;2,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$A486=IMPOR"&amp;"TRANGE(""https://docs.google.com/spreadsheets/d/1qpEmbGH0JjaJbUdp21-y2cPbobDbMjr09BbtdKROZWc/edit#gid=1444865654"",""articles_with_PRISMA_reasons!B2:B2113""))&gt;=2),
""Exclude""
)"),"Include")</f>
        <v>Include</v>
      </c>
      <c r="F486" s="5" t="str">
        <f>IFERROR(__xludf.DUMMYFUNCTION("IFS(
E486=""Exclude"",""Exclude"",
AND(
COUNTIF(
IMPORTRANGE(""https://docs.google.com/spreadsheets/d/1kGrh75X1cNR1D7_FcY9zMnHP8iPO4M5RCRjy6nZY0TY/edit#gid=0"",""Table 1: Study characteristics!B4:B171""),A486)&gt;0,
COUNTIF(Studies!$A$2:$A$85,FILTER(IMPORTRA"&amp;"NGE(""https://docs.google.com/spreadsheets/d/1kGrh75X1cNR1D7_FcY9zMnHP8iPO4M5RCRjy6nZY0TY/edit#gid=0"",""Table 1: Study characteristics!A4:A171""), $A486=IMPORTRANGE(""https://docs.google.com/spreadsheets/d/1kGrh75X1cNR1D7_FcY9zMnHP8iPO4M5RCRjy6nZY0TY/edi"&amp;"t#gid=0"",""Table 1: Study characteristics!B4:B171"")))&gt;0
),
""Include""
)"),"Include")</f>
        <v>Include</v>
      </c>
      <c r="G486" s="5" t="str">
        <f>IFERROR(__xludf.DUMMYFUNCTION("IFS(
D486=""Exclude"",
FILTER(IMPORTRANGE(""https://docs.google.com/spreadsheets/d/1BJSV3WBYJGRhQ6zExamkszQ5VutGIcaQqmbD9ZTVXMQ/edit#gid=1251630045"",""articles_with_PRISMA_reasons!AB2:AB2113""), $A486=IMPORTRANGE(""https://docs.google.com/spreadsheets/d/"&amp;"1BJSV3WBYJGRhQ6zExamkszQ5VutGIcaQqmbD9ZTVXMQ/edit#gid=1251630045"",""articles_with_PRISMA_reasons!B2:B2113"")),
E486=""Exclude"",
FILTER(IMPORTRANGE(""https://docs.google.com/spreadsheets/d/1qpEmbGH0JjaJbUdp21-y2cPbobDbMjr09BbtdKROZWc/edit#gid=1444865654"&amp;""",""articles_with_PRISMA_reasons!Z2:Z2113""), $A486=IMPORTRANGE(""https://docs.google.com/spreadsheets/d/1qpEmbGH0JjaJbUdp21-y2cPbobDbMjr09BbtdKROZWc/edit#gid=1444865654"",""articles_with_PRISMA_reasons!B2:B2113"")),F486
=""Include"",FILTER(IMPORTRANGE("&amp;"""https://docs.google.com/spreadsheets/d/1kGrh75X1cNR1D7_FcY9zMnHP8iPO4M5RCRjy6nZY0TY/edit#gid=0"",""Table 1: Study characteristics!A4:A171""), $A486=IMPORTRANGE(""https://docs.google.com/spreadsheets/d/1kGrh75X1cNR1D7_FcY9zMnHP8iPO4M5RCRjy6nZY0TY/edit#gi"&amp;"d=0"",""Table 1: Study characteristics!B4:B171""))
)"),"ID 28")</f>
        <v>ID 28</v>
      </c>
    </row>
    <row r="487">
      <c r="A487" s="4" t="str">
        <f>IFERROR(__xludf.DUMMYFUNCTION("""COMPUTED_VALUE"""),"Common lesions with neurosurgical implications appearing in the newborn")</f>
        <v>Common lesions with neurosurgical implications appearing in the newborn</v>
      </c>
      <c r="B487" s="5" t="str">
        <f>IFERROR(__xludf.DUMMYFUNCTION("LEFT(FILTER(IMPORTRANGE(""https://docs.google.com/spreadsheets/d/1BJSV3WBYJGRhQ6zExamkszQ5VutGIcaQqmbD9ZTVXMQ/edit#gid=1251630045"",""articles_with_PRISMA_reasons!K2:K2113""), $A487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$A487=IMPORTRANGE(""https://docs.google.com/spreadsheets/d/1BJSV3WBYJGRhQ6zExamkszQ5VutGIcaQqmbD9ZTVXMQ/edit#gid=1251630045"",""articles_with_PRISMA_reasons!B2:B2113"")))-1)"),"Cotter")</f>
        <v>Cotter</v>
      </c>
      <c r="C487" s="6">
        <f>IFERROR(__xludf.DUMMYFUNCTION("FILTER(IMPORTRANGE(""https://docs.google.com/spreadsheets/d/1BJSV3WBYJGRhQ6zExamkszQ5VutGIcaQqmbD9ZTVXMQ/edit#gid=1251630045"",""articles_with_PRISMA_reasons!C2:C2113""), $A487=IMPORTRANGE(""https://docs.google.com/spreadsheets/d/1BJSV3WBYJGRhQ6zExamkszQ5"&amp;"VutGIcaQqmbD9ZTVXMQ/edit#gid=1251630045"",""articles_with_PRISMA_reasons!B2:B2113""))"),1962.0)</f>
        <v>1962</v>
      </c>
      <c r="D487" s="5" t="str">
        <f>IFERROR(__xludf.DUMMYFUNCTION("IFS(AND(
FILTER(IMPORTRANGE(""https://docs.google.com/spreadsheets/d/1BJSV3WBYJGRhQ6zExamkszQ5VutGIcaQqmbD9ZTVXMQ/edit#gid=1251630045"",""articles_with_PRISMA_reasons!Y2:Y2113""), $A487=IMPORTRANGE(""https://docs.google.com/spreadsheets/d/1BJSV3WBYJGRhQ6z"&amp;"ExamkszQ5VutGIcaQqmbD9ZTVXMQ/edit#gid=1251630045"",""articles_with_PRISMA_reasons!B2:B2113""))&gt;=2,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$A487=IMPORTRANGE(""https://docs.google.com/spreadsheets/d/1BJSV3WBYJGRhQ6zExamkszQ5VutGIcaQqmbD9ZTVXMQ/edit#gid=1251630045"",""articles_with_PRISMA_reasons!B2:B2113""))&lt;2),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$A487=IMPORTRANGE(""https://docs.google.com/spreadsheets/d/1BJSV3WBYJGRhQ6zExamkszQ5VutGIcaQqmbD9ZTVXMQ/edit#gid=1251630045"",""arti"&amp;"cles_with_PRISMA_reasons!B2:B2113""))&lt;2,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$A487=IMPORTRANGE(""https://docs.google.com"&amp;"/spreadsheets/d/1BJSV3WBYJGRhQ6zExamkszQ5VutGIcaQqmbD9ZTVXMQ/edit#gid=1251630045"",""articles_with_PRISMA_reasons!B2:B2113""))&gt;=2),
""Exclude""
)"),"Exclude")</f>
        <v>Exclude</v>
      </c>
      <c r="E487" s="5" t="str">
        <f>IFERROR(__xludf.DUMMYFUNCTION("IFS(
D487=""Exclude"",""Exclude"",
AND(
FILTER(IMPORTRANGE(""https://docs.google.com/spreadsheets/d/1qpEmbGH0JjaJbUdp21-y2cPbobDbMjr09BbtdKROZWc/edit#gid=1444865654"",""articles_with_PRISMA_reasons!W2:W2113""), $A487=IMPORTRANGE(""https://docs.google.com/"&amp;"spreadsheets/d/1qpEmbGH0JjaJbUdp21-y2cPbobDbMjr09BbtdKROZWc/edit#gid=1444865654"",""articles_with_PRISMA_reasons!B2:B2113""))&gt;=2,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$A487=IMPORTRANGE(""https://docs.google.com/spreadsheets/d/1qpEmbGH0JjaJbUdp21-y2cPbobDbMjr09BbtdKROZWc/edit#gid=1444865654"",""articles_with_PRISMA_reasons!B2:B2113""))&lt;2),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$A487=IMPORTRANGE(""https://docs.google.com/spreadsheets/d/1qpEmbGH0JjaJbUdp21-y2cPbobDbMjr09BbtdKRO"&amp;"ZWc/edit#gid=1444865654"",""articles_with_PRISMA_reasons!B2:B2113""))&lt;2,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$A487=IMPOR"&amp;"TRANGE(""https://docs.google.com/spreadsheets/d/1qpEmbGH0JjaJbUdp21-y2cPbobDbMjr09BbtdKROZWc/edit#gid=1444865654"",""articles_with_PRISMA_reasons!B2:B2113""))&gt;=2),
""Exclude""
)"),"Exclude")</f>
        <v>Exclude</v>
      </c>
      <c r="F487" s="5" t="str">
        <f>IFERROR(__xludf.DUMMYFUNCTION("IFS(
E487=""Exclude"",""Exclude"",
AND(
COUNTIF(
IMPORTRANGE(""https://docs.google.com/spreadsheets/d/1kGrh75X1cNR1D7_FcY9zMnHP8iPO4M5RCRjy6nZY0TY/edit#gid=0"",""Table 1: Study characteristics!B4:B171""),A487)&gt;0,
COUNTIF(Studies!$A$2:$A$85,FILTER(IMPORTRA"&amp;"NGE(""https://docs.google.com/spreadsheets/d/1kGrh75X1cNR1D7_FcY9zMnHP8iPO4M5RCRjy6nZY0TY/edit#gid=0"",""Table 1: Study characteristics!A4:A171""), $A487=IMPORTRANGE(""https://docs.google.com/spreadsheets/d/1kGrh75X1cNR1D7_FcY9zMnHP8iPO4M5RCRjy6nZY0TY/edi"&amp;"t#gid=0"",""Table 1: Study characteristics!B4:B171"")))&gt;0
),
""Include""
)"),"Exclude")</f>
        <v>Exclude</v>
      </c>
      <c r="G487" s="5" t="str">
        <f>IFERROR(__xludf.DUMMYFUNCTION("IFS(
D487=""Exclude"",
FILTER(IMPORTRANGE(""https://docs.google.com/spreadsheets/d/1BJSV3WBYJGRhQ6zExamkszQ5VutGIcaQqmbD9ZTVXMQ/edit#gid=1251630045"",""articles_with_PRISMA_reasons!AB2:AB2113""), $A487=IMPORTRANGE(""https://docs.google.com/spreadsheets/d/"&amp;"1BJSV3WBYJGRhQ6zExamkszQ5VutGIcaQqmbD9ZTVXMQ/edit#gid=1251630045"",""articles_with_PRISMA_reasons!B2:B2113"")),
E487=""Exclude"",
FILTER(IMPORTRANGE(""https://docs.google.com/spreadsheets/d/1qpEmbGH0JjaJbUdp21-y2cPbobDbMjr09BbtdKROZWc/edit#gid=1444865654"&amp;""",""articles_with_PRISMA_reasons!Z2:Z2113""), $A487=IMPORTRANGE(""https://docs.google.com/spreadsheets/d/1qpEmbGH0JjaJbUdp21-y2cPbobDbMjr09BbtdKROZWc/edit#gid=1444865654"",""articles_with_PRISMA_reasons!B2:B2113"")),F487
=""Include"",FILTER(IMPORTRANGE("&amp;"""https://docs.google.com/spreadsheets/d/1kGrh75X1cNR1D7_FcY9zMnHP8iPO4M5RCRjy6nZY0TY/edit#gid=0"",""Table 1: Study characteristics!A4:A171""), $A487=IMPORTRANGE(""https://docs.google.com/spreadsheets/d/1kGrh75X1cNR1D7_FcY9zMnHP8iPO4M5RCRjy6nZY0TY/edit#gi"&amp;"d=0"",""Table 1: Study characteristics!B4:B171""))
)"),"wrong study design")</f>
        <v>wrong study design</v>
      </c>
    </row>
    <row r="488">
      <c r="A488" s="4" t="str">
        <f>IFERROR(__xludf.DUMMYFUNCTION("""COMPUTED_VALUE"""),"Communicating Syringomyelia")</f>
        <v>Communicating Syringomyelia</v>
      </c>
      <c r="B488" s="5" t="str">
        <f>IFERROR(__xludf.DUMMYFUNCTION("LEFT(FILTER(IMPORTRANGE(""https://docs.google.com/spreadsheets/d/1BJSV3WBYJGRhQ6zExamkszQ5VutGIcaQqmbD9ZTVXMQ/edit#gid=1251630045"",""articles_with_PRISMA_reasons!K2:K2113""), $A488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$A488=IMPORTRANGE(""https://docs.google.com/spreadsheets/d/1BJSV3WBYJGRhQ6zExamkszQ5VutGIcaQqmbD9ZTVXMQ/edit#gid=1251630045"",""articles_with_PRISMA_reasons!B2:B2113"")))-1)"),"Yokota")</f>
        <v>Yokota</v>
      </c>
      <c r="C488" s="6">
        <f>IFERROR(__xludf.DUMMYFUNCTION("FILTER(IMPORTRANGE(""https://docs.google.com/spreadsheets/d/1BJSV3WBYJGRhQ6zExamkszQ5VutGIcaQqmbD9ZTVXMQ/edit#gid=1251630045"",""articles_with_PRISMA_reasons!C2:C2113""), $A488=IMPORTRANGE(""https://docs.google.com/spreadsheets/d/1BJSV3WBYJGRhQ6zExamkszQ5"&amp;"VutGIcaQqmbD9ZTVXMQ/edit#gid=1251630045"",""articles_with_PRISMA_reasons!B2:B2113""))"),2020.0)</f>
        <v>2020</v>
      </c>
      <c r="D488" s="5" t="str">
        <f>IFERROR(__xludf.DUMMYFUNCTION("IFS(AND(
FILTER(IMPORTRANGE(""https://docs.google.com/spreadsheets/d/1BJSV3WBYJGRhQ6zExamkszQ5VutGIcaQqmbD9ZTVXMQ/edit#gid=1251630045"",""articles_with_PRISMA_reasons!Y2:Y2113""), $A488=IMPORTRANGE(""https://docs.google.com/spreadsheets/d/1BJSV3WBYJGRhQ6z"&amp;"ExamkszQ5VutGIcaQqmbD9ZTVXMQ/edit#gid=1251630045"",""articles_with_PRISMA_reasons!B2:B2113""))&gt;=2,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$A488=IMPORTRANGE(""https://docs.google.com/spreadsheets/d/1BJSV3WBYJGRhQ6zExamkszQ5VutGIcaQqmbD9ZTVXMQ/edit#gid=1251630045"",""articles_with_PRISMA_reasons!B2:B2113""))&lt;2),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$A488=IMPORTRANGE(""https://docs.google.com/spreadsheets/d/1BJSV3WBYJGRhQ6zExamkszQ5VutGIcaQqmbD9ZTVXMQ/edit#gid=1251630045"",""arti"&amp;"cles_with_PRISMA_reasons!B2:B2113""))&lt;2,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$A488=IMPORTRANGE(""https://docs.google.com"&amp;"/spreadsheets/d/1BJSV3WBYJGRhQ6zExamkszQ5VutGIcaQqmbD9ZTVXMQ/edit#gid=1251630045"",""articles_with_PRISMA_reasons!B2:B2113""))&gt;=2),
""Exclude""
)"),"Exclude")</f>
        <v>Exclude</v>
      </c>
      <c r="E488" s="5" t="str">
        <f>IFERROR(__xludf.DUMMYFUNCTION("IFS(
D488=""Exclude"",""Exclude"",
AND(
FILTER(IMPORTRANGE(""https://docs.google.com/spreadsheets/d/1qpEmbGH0JjaJbUdp21-y2cPbobDbMjr09BbtdKROZWc/edit#gid=1444865654"",""articles_with_PRISMA_reasons!W2:W2113""), $A488=IMPORTRANGE(""https://docs.google.com/"&amp;"spreadsheets/d/1qpEmbGH0JjaJbUdp21-y2cPbobDbMjr09BbtdKROZWc/edit#gid=1444865654"",""articles_with_PRISMA_reasons!B2:B2113""))&gt;=2,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$A488=IMPORTRANGE(""https://docs.google.com/spreadsheets/d/1qpEmbGH0JjaJbUdp21-y2cPbobDbMjr09BbtdKROZWc/edit#gid=1444865654"",""articles_with_PRISMA_reasons!B2:B2113""))&lt;2),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$A488=IMPORTRANGE(""https://docs.google.com/spreadsheets/d/1qpEmbGH0JjaJbUdp21-y2cPbobDbMjr09BbtdKRO"&amp;"ZWc/edit#gid=1444865654"",""articles_with_PRISMA_reasons!B2:B2113""))&lt;2,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$A488=IMPOR"&amp;"TRANGE(""https://docs.google.com/spreadsheets/d/1qpEmbGH0JjaJbUdp21-y2cPbobDbMjr09BbtdKROZWc/edit#gid=1444865654"",""articles_with_PRISMA_reasons!B2:B2113""))&gt;=2),
""Exclude""
)"),"Exclude")</f>
        <v>Exclude</v>
      </c>
      <c r="F488" s="5" t="str">
        <f>IFERROR(__xludf.DUMMYFUNCTION("IFS(
E488=""Exclude"",""Exclude"",
AND(
COUNTIF(
IMPORTRANGE(""https://docs.google.com/spreadsheets/d/1kGrh75X1cNR1D7_FcY9zMnHP8iPO4M5RCRjy6nZY0TY/edit#gid=0"",""Table 1: Study characteristics!B4:B171""),A488)&gt;0,
COUNTIF(Studies!$A$2:$A$85,FILTER(IMPORTRA"&amp;"NGE(""https://docs.google.com/spreadsheets/d/1kGrh75X1cNR1D7_FcY9zMnHP8iPO4M5RCRjy6nZY0TY/edit#gid=0"",""Table 1: Study characteristics!A4:A171""), $A488=IMPORTRANGE(""https://docs.google.com/spreadsheets/d/1kGrh75X1cNR1D7_FcY9zMnHP8iPO4M5RCRjy6nZY0TY/edi"&amp;"t#gid=0"",""Table 1: Study characteristics!B4:B171"")))&gt;0
),
""Include""
)"),"Exclude")</f>
        <v>Exclude</v>
      </c>
      <c r="G488" s="5" t="str">
        <f>IFERROR(__xludf.DUMMYFUNCTION("IFS(
D488=""Exclude"",
FILTER(IMPORTRANGE(""https://docs.google.com/spreadsheets/d/1BJSV3WBYJGRhQ6zExamkszQ5VutGIcaQqmbD9ZTVXMQ/edit#gid=1251630045"",""articles_with_PRISMA_reasons!AB2:AB2113""), $A488=IMPORTRANGE(""https://docs.google.com/spreadsheets/d/"&amp;"1BJSV3WBYJGRhQ6zExamkszQ5VutGIcaQqmbD9ZTVXMQ/edit#gid=1251630045"",""articles_with_PRISMA_reasons!B2:B2113"")),
E488=""Exclude"",
FILTER(IMPORTRANGE(""https://docs.google.com/spreadsheets/d/1qpEmbGH0JjaJbUdp21-y2cPbobDbMjr09BbtdKROZWc/edit#gid=1444865654"&amp;""",""articles_with_PRISMA_reasons!Z2:Z2113""), $A488=IMPORTRANGE(""https://docs.google.com/spreadsheets/d/1qpEmbGH0JjaJbUdp21-y2cPbobDbMjr09BbtdKROZWc/edit#gid=1444865654"",""articles_with_PRISMA_reasons!B2:B2113"")),F488
=""Include"",FILTER(IMPORTRANGE("&amp;"""https://docs.google.com/spreadsheets/d/1kGrh75X1cNR1D7_FcY9zMnHP8iPO4M5RCRjy6nZY0TY/edit#gid=0"",""Table 1: Study characteristics!A4:A171""), $A488=IMPORTRANGE(""https://docs.google.com/spreadsheets/d/1kGrh75X1cNR1D7_FcY9zMnHP8iPO4M5RCRjy6nZY0TY/edit#gi"&amp;"d=0"",""Table 1: Study characteristics!B4:B171""))
)"),"wrong study design")</f>
        <v>wrong study design</v>
      </c>
    </row>
    <row r="489">
      <c r="A489" s="4" t="str">
        <f>IFERROR(__xludf.DUMMYFUNCTION("""COMPUTED_VALUE"""),"Communicating syringomyelia associated with ventriculoperitoneal shunt malfunction verified with a cerebrospinal fluid dynamic study: case report")</f>
        <v>Communicating syringomyelia associated with ventriculoperitoneal shunt malfunction verified with a cerebrospinal fluid dynamic study: case report</v>
      </c>
      <c r="B489" s="5" t="str">
        <f>IFERROR(__xludf.DUMMYFUNCTION("LEFT(FILTER(IMPORTRANGE(""https://docs.google.com/spreadsheets/d/1BJSV3WBYJGRhQ6zExamkszQ5VutGIcaQqmbD9ZTVXMQ/edit#gid=1251630045"",""articles_with_PRISMA_reasons!K2:K2113""), $A489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$A489=IMPORTRANGE(""https://docs.google.com/spreadsheets/d/1BJSV3WBYJGRhQ6zExamkszQ5VutGIcaQqmbD9ZTVXMQ/edit#gid=1251630045"",""articles_with_PRISMA_reasons!B2:B2113"")))-1)"),"Matsumoto")</f>
        <v>Matsumoto</v>
      </c>
      <c r="C489" s="6">
        <f>IFERROR(__xludf.DUMMYFUNCTION("FILTER(IMPORTRANGE(""https://docs.google.com/spreadsheets/d/1BJSV3WBYJGRhQ6zExamkszQ5VutGIcaQqmbD9ZTVXMQ/edit#gid=1251630045"",""articles_with_PRISMA_reasons!C2:C2113""), $A489=IMPORTRANGE(""https://docs.google.com/spreadsheets/d/1BJSV3WBYJGRhQ6zExamkszQ5"&amp;"VutGIcaQqmbD9ZTVXMQ/edit#gid=1251630045"",""articles_with_PRISMA_reasons!B2:B2113""))"),2013.0)</f>
        <v>2013</v>
      </c>
      <c r="D489" s="5" t="str">
        <f>IFERROR(__xludf.DUMMYFUNCTION("IFS(AND(
FILTER(IMPORTRANGE(""https://docs.google.com/spreadsheets/d/1BJSV3WBYJGRhQ6zExamkszQ5VutGIcaQqmbD9ZTVXMQ/edit#gid=1251630045"",""articles_with_PRISMA_reasons!Y2:Y2113""), $A489=IMPORTRANGE(""https://docs.google.com/spreadsheets/d/1BJSV3WBYJGRhQ6z"&amp;"ExamkszQ5VutGIcaQqmbD9ZTVXMQ/edit#gid=1251630045"",""articles_with_PRISMA_reasons!B2:B2113""))&gt;=2,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$A489=IMPORTRANGE(""https://docs.google.com/spreadsheets/d/1BJSV3WBYJGRhQ6zExamkszQ5VutGIcaQqmbD9ZTVXMQ/edit#gid=1251630045"",""articles_with_PRISMA_reasons!B2:B2113""))&lt;2),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$A489=IMPORTRANGE(""https://docs.google.com/spreadsheets/d/1BJSV3WBYJGRhQ6zExamkszQ5VutGIcaQqmbD9ZTVXMQ/edit#gid=1251630045"",""arti"&amp;"cles_with_PRISMA_reasons!B2:B2113""))&lt;2,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$A489=IMPORTRANGE(""https://docs.google.com"&amp;"/spreadsheets/d/1BJSV3WBYJGRhQ6zExamkszQ5VutGIcaQqmbD9ZTVXMQ/edit#gid=1251630045"",""articles_with_PRISMA_reasons!B2:B2113""))&gt;=2),
""Exclude""
)"),"Exclude")</f>
        <v>Exclude</v>
      </c>
      <c r="E489" s="5" t="str">
        <f>IFERROR(__xludf.DUMMYFUNCTION("IFS(
D489=""Exclude"",""Exclude"",
AND(
FILTER(IMPORTRANGE(""https://docs.google.com/spreadsheets/d/1qpEmbGH0JjaJbUdp21-y2cPbobDbMjr09BbtdKROZWc/edit#gid=1444865654"",""articles_with_PRISMA_reasons!W2:W2113""), $A489=IMPORTRANGE(""https://docs.google.com/"&amp;"spreadsheets/d/1qpEmbGH0JjaJbUdp21-y2cPbobDbMjr09BbtdKROZWc/edit#gid=1444865654"",""articles_with_PRISMA_reasons!B2:B2113""))&gt;=2,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$A489=IMPORTRANGE(""https://docs.google.com/spreadsheets/d/1qpEmbGH0JjaJbUdp21-y2cPbobDbMjr09BbtdKROZWc/edit#gid=1444865654"",""articles_with_PRISMA_reasons!B2:B2113""))&lt;2),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$A489=IMPORTRANGE(""https://docs.google.com/spreadsheets/d/1qpEmbGH0JjaJbUdp21-y2cPbobDbMjr09BbtdKRO"&amp;"ZWc/edit#gid=1444865654"",""articles_with_PRISMA_reasons!B2:B2113""))&lt;2,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$A489=IMPOR"&amp;"TRANGE(""https://docs.google.com/spreadsheets/d/1qpEmbGH0JjaJbUdp21-y2cPbobDbMjr09BbtdKROZWc/edit#gid=1444865654"",""articles_with_PRISMA_reasons!B2:B2113""))&gt;=2),
""Exclude""
)"),"Exclude")</f>
        <v>Exclude</v>
      </c>
      <c r="F489" s="5" t="str">
        <f>IFERROR(__xludf.DUMMYFUNCTION("IFS(
E489=""Exclude"",""Exclude"",
AND(
COUNTIF(
IMPORTRANGE(""https://docs.google.com/spreadsheets/d/1kGrh75X1cNR1D7_FcY9zMnHP8iPO4M5RCRjy6nZY0TY/edit#gid=0"",""Table 1: Study characteristics!B4:B171""),A489)&gt;0,
COUNTIF(Studies!$A$2:$A$85,FILTER(IMPORTRA"&amp;"NGE(""https://docs.google.com/spreadsheets/d/1kGrh75X1cNR1D7_FcY9zMnHP8iPO4M5RCRjy6nZY0TY/edit#gid=0"",""Table 1: Study characteristics!A4:A171""), $A489=IMPORTRANGE(""https://docs.google.com/spreadsheets/d/1kGrh75X1cNR1D7_FcY9zMnHP8iPO4M5RCRjy6nZY0TY/edi"&amp;"t#gid=0"",""Table 1: Study characteristics!B4:B171"")))&gt;0
),
""Include""
)"),"Exclude")</f>
        <v>Exclude</v>
      </c>
      <c r="G489" s="5" t="str">
        <f>IFERROR(__xludf.DUMMYFUNCTION("IFS(
D489=""Exclude"",
FILTER(IMPORTRANGE(""https://docs.google.com/spreadsheets/d/1BJSV3WBYJGRhQ6zExamkszQ5VutGIcaQqmbD9ZTVXMQ/edit#gid=1251630045"",""articles_with_PRISMA_reasons!AB2:AB2113""), $A489=IMPORTRANGE(""https://docs.google.com/spreadsheets/d/"&amp;"1BJSV3WBYJGRhQ6zExamkszQ5VutGIcaQqmbD9ZTVXMQ/edit#gid=1251630045"",""articles_with_PRISMA_reasons!B2:B2113"")),
E489=""Exclude"",
FILTER(IMPORTRANGE(""https://docs.google.com/spreadsheets/d/1qpEmbGH0JjaJbUdp21-y2cPbobDbMjr09BbtdKROZWc/edit#gid=1444865654"&amp;""",""articles_with_PRISMA_reasons!Z2:Z2113""), $A489=IMPORTRANGE(""https://docs.google.com/spreadsheets/d/1qpEmbGH0JjaJbUdp21-y2cPbobDbMjr09BbtdKROZWc/edit#gid=1444865654"",""articles_with_PRISMA_reasons!B2:B2113"")),F489
=""Include"",FILTER(IMPORTRANGE("&amp;"""https://docs.google.com/spreadsheets/d/1kGrh75X1cNR1D7_FcY9zMnHP8iPO4M5RCRjy6nZY0TY/edit#gid=0"",""Table 1: Study characteristics!A4:A171""), $A489=IMPORTRANGE(""https://docs.google.com/spreadsheets/d/1kGrh75X1cNR1D7_FcY9zMnHP8iPO4M5RCRjy6nZY0TY/edit#gi"&amp;"d=0"",""Table 1: Study characteristics!B4:B171""))
)"),"wrong publication type")</f>
        <v>wrong publication type</v>
      </c>
    </row>
    <row r="490">
      <c r="A490" s="4" t="str">
        <f>IFERROR(__xludf.DUMMYFUNCTION("""COMPUTED_VALUE"""),"Comparative effectiveness of flexible versus rigid neuroendoscopy for endoscopic third ventriculostomy and choroid plexus cauterization: A propensity score-matched cohort and survival analysis")</f>
        <v>Comparative effectiveness of flexible versus rigid neuroendoscopy for endoscopic third ventriculostomy and choroid plexus cauterization: A propensity score-matched cohort and survival analysis</v>
      </c>
      <c r="B490" s="5" t="str">
        <f>IFERROR(__xludf.DUMMYFUNCTION("LEFT(FILTER(IMPORTRANGE(""https://docs.google.com/spreadsheets/d/1BJSV3WBYJGRhQ6zExamkszQ5VutGIcaQqmbD9ZTVXMQ/edit#gid=1251630045"",""articles_with_PRISMA_reasons!K2:K2113""), $A490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$A490=IMPORTRANGE(""https://docs.google.com/spreadsheets/d/1BJSV3WBYJGRhQ6zExamkszQ5VutGIcaQqmbD9ZTVXMQ/edit#gid=1251630045"",""articles_with_PRISMA_reasons!B2:B2113"")))-1)"),"Wang")</f>
        <v>Wang</v>
      </c>
      <c r="C490" s="6">
        <f>IFERROR(__xludf.DUMMYFUNCTION("FILTER(IMPORTRANGE(""https://docs.google.com/spreadsheets/d/1BJSV3WBYJGRhQ6zExamkszQ5VutGIcaQqmbD9ZTVXMQ/edit#gid=1251630045"",""articles_with_PRISMA_reasons!C2:C2113""), $A490=IMPORTRANGE(""https://docs.google.com/spreadsheets/d/1BJSV3WBYJGRhQ6zExamkszQ5"&amp;"VutGIcaQqmbD9ZTVXMQ/edit#gid=1251630045"",""articles_with_PRISMA_reasons!B2:B2113""))"),2017.0)</f>
        <v>2017</v>
      </c>
      <c r="D490" s="5" t="str">
        <f>IFERROR(__xludf.DUMMYFUNCTION("IFS(AND(
FILTER(IMPORTRANGE(""https://docs.google.com/spreadsheets/d/1BJSV3WBYJGRhQ6zExamkszQ5VutGIcaQqmbD9ZTVXMQ/edit#gid=1251630045"",""articles_with_PRISMA_reasons!Y2:Y2113""), $A490=IMPORTRANGE(""https://docs.google.com/spreadsheets/d/1BJSV3WBYJGRhQ6z"&amp;"ExamkszQ5VutGIcaQqmbD9ZTVXMQ/edit#gid=1251630045"",""articles_with_PRISMA_reasons!B2:B2113""))&gt;=2,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$A490=IMPORTRANGE(""https://docs.google.com/spreadsheets/d/1BJSV3WBYJGRhQ6zExamkszQ5VutGIcaQqmbD9ZTVXMQ/edit#gid=1251630045"",""articles_with_PRISMA_reasons!B2:B2113""))&lt;2),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$A490=IMPORTRANGE(""https://docs.google.com/spreadsheets/d/1BJSV3WBYJGRhQ6zExamkszQ5VutGIcaQqmbD9ZTVXMQ/edit#gid=1251630045"",""arti"&amp;"cles_with_PRISMA_reasons!B2:B2113""))&lt;2,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$A490=IMPORTRANGE(""https://docs.google.com"&amp;"/spreadsheets/d/1BJSV3WBYJGRhQ6zExamkszQ5VutGIcaQqmbD9ZTVXMQ/edit#gid=1251630045"",""articles_with_PRISMA_reasons!B2:B2113""))&gt;=2),
""Exclude""
)"),"Include")</f>
        <v>Include</v>
      </c>
      <c r="E490" s="5" t="str">
        <f>IFERROR(__xludf.DUMMYFUNCTION("IFS(
D490=""Exclude"",""Exclude"",
AND(
FILTER(IMPORTRANGE(""https://docs.google.com/spreadsheets/d/1qpEmbGH0JjaJbUdp21-y2cPbobDbMjr09BbtdKROZWc/edit#gid=1444865654"",""articles_with_PRISMA_reasons!W2:W2113""), $A490=IMPORTRANGE(""https://docs.google.com/"&amp;"spreadsheets/d/1qpEmbGH0JjaJbUdp21-y2cPbobDbMjr09BbtdKROZWc/edit#gid=1444865654"",""articles_with_PRISMA_reasons!B2:B2113""))&gt;=2,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$A490=IMPORTRANGE(""https://docs.google.com/spreadsheets/d/1qpEmbGH0JjaJbUdp21-y2cPbobDbMjr09BbtdKROZWc/edit#gid=1444865654"",""articles_with_PRISMA_reasons!B2:B2113""))&lt;2),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$A490=IMPORTRANGE(""https://docs.google.com/spreadsheets/d/1qpEmbGH0JjaJbUdp21-y2cPbobDbMjr09BbtdKRO"&amp;"ZWc/edit#gid=1444865654"",""articles_with_PRISMA_reasons!B2:B2113""))&lt;2,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$A490=IMPOR"&amp;"TRANGE(""https://docs.google.com/spreadsheets/d/1qpEmbGH0JjaJbUdp21-y2cPbobDbMjr09BbtdKROZWc/edit#gid=1444865654"",""articles_with_PRISMA_reasons!B2:B2113""))&gt;=2),
""Exclude""
)"),"Include")</f>
        <v>Include</v>
      </c>
      <c r="F490" s="2" t="s">
        <v>8</v>
      </c>
      <c r="G490" s="2" t="s">
        <v>17</v>
      </c>
    </row>
    <row r="491">
      <c r="A491" s="4" t="str">
        <f>IFERROR(__xludf.DUMMYFUNCTION("""COMPUTED_VALUE"""),"Comparative study of complex spina bifida and split cord malformation")</f>
        <v>Comparative study of complex spina bifida and split cord malformation</v>
      </c>
      <c r="B491" s="5" t="str">
        <f>IFERROR(__xludf.DUMMYFUNCTION("LEFT(FILTER(IMPORTRANGE(""https://docs.google.com/spreadsheets/d/1BJSV3WBYJGRhQ6zExamkszQ5VutGIcaQqmbD9ZTVXMQ/edit#gid=1251630045"",""articles_with_PRISMA_reasons!K2:K2113""), $A491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$A491=IMPORTRANGE(""https://docs.google.com/spreadsheets/d/1BJSV3WBYJGRhQ6zExamkszQ5VutGIcaQqmbD9ZTVXMQ/edit#gid=1251630045"",""articles_with_PRISMA_reasons!B2:B2113"")))-1)"),"Singh")</f>
        <v>Singh</v>
      </c>
      <c r="C491" s="6">
        <f>IFERROR(__xludf.DUMMYFUNCTION("FILTER(IMPORTRANGE(""https://docs.google.com/spreadsheets/d/1BJSV3WBYJGRhQ6zExamkszQ5VutGIcaQqmbD9ZTVXMQ/edit#gid=1251630045"",""articles_with_PRISMA_reasons!C2:C2113""), $A491=IMPORTRANGE(""https://docs.google.com/spreadsheets/d/1BJSV3WBYJGRhQ6zExamkszQ5"&amp;"VutGIcaQqmbD9ZTVXMQ/edit#gid=1251630045"",""articles_with_PRISMA_reasons!B2:B2113""))"),2005.0)</f>
        <v>2005</v>
      </c>
      <c r="D491" s="5" t="str">
        <f>IFERROR(__xludf.DUMMYFUNCTION("IFS(AND(
FILTER(IMPORTRANGE(""https://docs.google.com/spreadsheets/d/1BJSV3WBYJGRhQ6zExamkszQ5VutGIcaQqmbD9ZTVXMQ/edit#gid=1251630045"",""articles_with_PRISMA_reasons!Y2:Y2113""), $A491=IMPORTRANGE(""https://docs.google.com/spreadsheets/d/1BJSV3WBYJGRhQ6z"&amp;"ExamkszQ5VutGIcaQqmbD9ZTVXMQ/edit#gid=1251630045"",""articles_with_PRISMA_reasons!B2:B2113""))&gt;=2,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$A491=IMPORTRANGE(""https://docs.google.com/spreadsheets/d/1BJSV3WBYJGRhQ6zExamkszQ5VutGIcaQqmbD9ZTVXMQ/edit#gid=1251630045"",""articles_with_PRISMA_reasons!B2:B2113""))&lt;2),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$A491=IMPORTRANGE(""https://docs.google.com/spreadsheets/d/1BJSV3WBYJGRhQ6zExamkszQ5VutGIcaQqmbD9ZTVXMQ/edit#gid=1251630045"",""arti"&amp;"cles_with_PRISMA_reasons!B2:B2113""))&lt;2,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$A491=IMPORTRANGE(""https://docs.google.com"&amp;"/spreadsheets/d/1BJSV3WBYJGRhQ6zExamkszQ5VutGIcaQqmbD9ZTVXMQ/edit#gid=1251630045"",""articles_with_PRISMA_reasons!B2:B2113""))&gt;=2),
""Exclude""
)"),"Include")</f>
        <v>Include</v>
      </c>
      <c r="E491" s="5" t="str">
        <f>IFERROR(__xludf.DUMMYFUNCTION("IFS(
D491=""Exclude"",""Exclude"",
AND(
FILTER(IMPORTRANGE(""https://docs.google.com/spreadsheets/d/1qpEmbGH0JjaJbUdp21-y2cPbobDbMjr09BbtdKROZWc/edit#gid=1444865654"",""articles_with_PRISMA_reasons!W2:W2113""), $A491=IMPORTRANGE(""https://docs.google.com/"&amp;"spreadsheets/d/1qpEmbGH0JjaJbUdp21-y2cPbobDbMjr09BbtdKROZWc/edit#gid=1444865654"",""articles_with_PRISMA_reasons!B2:B2113""))&gt;=2,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$A491=IMPORTRANGE(""https://docs.google.com/spreadsheets/d/1qpEmbGH0JjaJbUdp21-y2cPbobDbMjr09BbtdKROZWc/edit#gid=1444865654"",""articles_with_PRISMA_reasons!B2:B2113""))&lt;2),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$A491=IMPORTRANGE(""https://docs.google.com/spreadsheets/d/1qpEmbGH0JjaJbUdp21-y2cPbobDbMjr09BbtdKRO"&amp;"ZWc/edit#gid=1444865654"",""articles_with_PRISMA_reasons!B2:B2113""))&lt;2,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$A491=IMPOR"&amp;"TRANGE(""https://docs.google.com/spreadsheets/d/1qpEmbGH0JjaJbUdp21-y2cPbobDbMjr09BbtdKROZWc/edit#gid=1444865654"",""articles_with_PRISMA_reasons!B2:B2113""))&gt;=2),
""Exclude""
)"),"Include")</f>
        <v>Include</v>
      </c>
      <c r="F491" s="2" t="s">
        <v>8</v>
      </c>
      <c r="G491" s="2" t="s">
        <v>16</v>
      </c>
    </row>
    <row r="492">
      <c r="A492" s="4" t="str">
        <f>IFERROR(__xludf.DUMMYFUNCTION("""COMPUTED_VALUE"""),"Comparative study of meningomyelocele repair or cerebrospinal fluid shunt as primary treatment in spina bifida")</f>
        <v>Comparative study of meningomyelocele repair or cerebrospinal fluid shunt as primary treatment in spina bifida</v>
      </c>
      <c r="B492" s="5" t="str">
        <f>IFERROR(__xludf.DUMMYFUNCTION("LEFT(FILTER(IMPORTRANGE(""https://docs.google.com/spreadsheets/d/1BJSV3WBYJGRhQ6zExamkszQ5VutGIcaQqmbD9ZTVXMQ/edit#gid=1251630045"",""articles_with_PRISMA_reasons!K2:K2113""), $A492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$A492=IMPORTRANGE(""https://docs.google.com/spreadsheets/d/1BJSV3WBYJGRhQ6zExamkszQ5VutGIcaQqmbD9ZTVXMQ/edit#gid=1251630045"",""articles_with_PRISMA_reasons!B2:B2113"")))-1)"),"Shurtleff")</f>
        <v>Shurtleff</v>
      </c>
      <c r="C492" s="6">
        <f>IFERROR(__xludf.DUMMYFUNCTION("FILTER(IMPORTRANGE(""https://docs.google.com/spreadsheets/d/1BJSV3WBYJGRhQ6zExamkszQ5VutGIcaQqmbD9ZTVXMQ/edit#gid=1251630045"",""articles_with_PRISMA_reasons!C2:C2113""), $A492=IMPORTRANGE(""https://docs.google.com/spreadsheets/d/1BJSV3WBYJGRhQ6zExamkszQ5"&amp;"VutGIcaQqmbD9ZTVXMQ/edit#gid=1251630045"",""articles_with_PRISMA_reasons!B2:B2113""))"),1967.0)</f>
        <v>1967</v>
      </c>
      <c r="D492" s="5" t="str">
        <f>IFERROR(__xludf.DUMMYFUNCTION("IFS(AND(
FILTER(IMPORTRANGE(""https://docs.google.com/spreadsheets/d/1BJSV3WBYJGRhQ6zExamkszQ5VutGIcaQqmbD9ZTVXMQ/edit#gid=1251630045"",""articles_with_PRISMA_reasons!Y2:Y2113""), $A492=IMPORTRANGE(""https://docs.google.com/spreadsheets/d/1BJSV3WBYJGRhQ6z"&amp;"ExamkszQ5VutGIcaQqmbD9ZTVXMQ/edit#gid=1251630045"",""articles_with_PRISMA_reasons!B2:B2113""))&gt;=2,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$A492=IMPORTRANGE(""https://docs.google.com/spreadsheets/d/1BJSV3WBYJGRhQ6zExamkszQ5VutGIcaQqmbD9ZTVXMQ/edit#gid=1251630045"",""articles_with_PRISMA_reasons!B2:B2113""))&lt;2),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$A492=IMPORTRANGE(""https://docs.google.com/spreadsheets/d/1BJSV3WBYJGRhQ6zExamkszQ5VutGIcaQqmbD9ZTVXMQ/edit#gid=1251630045"",""arti"&amp;"cles_with_PRISMA_reasons!B2:B2113""))&lt;2,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$A492=IMPORTRANGE(""https://docs.google.com"&amp;"/spreadsheets/d/1BJSV3WBYJGRhQ6zExamkszQ5VutGIcaQqmbD9ZTVXMQ/edit#gid=1251630045"",""articles_with_PRISMA_reasons!B2:B2113""))&gt;=2),
""Exclude""
)"),"Exclude")</f>
        <v>Exclude</v>
      </c>
      <c r="E492" s="5" t="str">
        <f>IFERROR(__xludf.DUMMYFUNCTION("IFS(
D492=""Exclude"",""Exclude"",
AND(
FILTER(IMPORTRANGE(""https://docs.google.com/spreadsheets/d/1qpEmbGH0JjaJbUdp21-y2cPbobDbMjr09BbtdKROZWc/edit#gid=1444865654"",""articles_with_PRISMA_reasons!W2:W2113""), $A492=IMPORTRANGE(""https://docs.google.com/"&amp;"spreadsheets/d/1qpEmbGH0JjaJbUdp21-y2cPbobDbMjr09BbtdKROZWc/edit#gid=1444865654"",""articles_with_PRISMA_reasons!B2:B2113""))&gt;=2,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$A492=IMPORTRANGE(""https://docs.google.com/spreadsheets/d/1qpEmbGH0JjaJbUdp21-y2cPbobDbMjr09BbtdKROZWc/edit#gid=1444865654"",""articles_with_PRISMA_reasons!B2:B2113""))&lt;2),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$A492=IMPORTRANGE(""https://docs.google.com/spreadsheets/d/1qpEmbGH0JjaJbUdp21-y2cPbobDbMjr09BbtdKRO"&amp;"ZWc/edit#gid=1444865654"",""articles_with_PRISMA_reasons!B2:B2113""))&lt;2,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$A492=IMPOR"&amp;"TRANGE(""https://docs.google.com/spreadsheets/d/1qpEmbGH0JjaJbUdp21-y2cPbobDbMjr09BbtdKROZWc/edit#gid=1444865654"",""articles_with_PRISMA_reasons!B2:B2113""))&gt;=2),
""Exclude""
)"),"Exclude")</f>
        <v>Exclude</v>
      </c>
      <c r="F492" s="5" t="str">
        <f>IFERROR(__xludf.DUMMYFUNCTION("IFS(
E492=""Exclude"",""Exclude"",
AND(
COUNTIF(
IMPORTRANGE(""https://docs.google.com/spreadsheets/d/1kGrh75X1cNR1D7_FcY9zMnHP8iPO4M5RCRjy6nZY0TY/edit#gid=0"",""Table 1: Study characteristics!B4:B171""),A492)&gt;0,
COUNTIF(Studies!$A$2:$A$85,FILTER(IMPORTRA"&amp;"NGE(""https://docs.google.com/spreadsheets/d/1kGrh75X1cNR1D7_FcY9zMnHP8iPO4M5RCRjy6nZY0TY/edit#gid=0"",""Table 1: Study characteristics!A4:A171""), $A492=IMPORTRANGE(""https://docs.google.com/spreadsheets/d/1kGrh75X1cNR1D7_FcY9zMnHP8iPO4M5RCRjy6nZY0TY/edi"&amp;"t#gid=0"",""Table 1: Study characteristics!B4:B171"")))&gt;0
),
""Include""
)"),"Exclude")</f>
        <v>Exclude</v>
      </c>
      <c r="G492" s="5" t="str">
        <f>IFERROR(__xludf.DUMMYFUNCTION("IFS(
D492=""Exclude"",
FILTER(IMPORTRANGE(""https://docs.google.com/spreadsheets/d/1BJSV3WBYJGRhQ6zExamkszQ5VutGIcaQqmbD9ZTVXMQ/edit#gid=1251630045"",""articles_with_PRISMA_reasons!AB2:AB2113""), $A492=IMPORTRANGE(""https://docs.google.com/spreadsheets/d/"&amp;"1BJSV3WBYJGRhQ6zExamkszQ5VutGIcaQqmbD9ZTVXMQ/edit#gid=1251630045"",""articles_with_PRISMA_reasons!B2:B2113"")),
E492=""Exclude"",
FILTER(IMPORTRANGE(""https://docs.google.com/spreadsheets/d/1qpEmbGH0JjaJbUdp21-y2cPbobDbMjr09BbtdKROZWc/edit#gid=1444865654"&amp;""",""articles_with_PRISMA_reasons!Z2:Z2113""), $A492=IMPORTRANGE(""https://docs.google.com/spreadsheets/d/1qpEmbGH0JjaJbUdp21-y2cPbobDbMjr09BbtdKROZWc/edit#gid=1444865654"",""articles_with_PRISMA_reasons!B2:B2113"")),F492
=""Include"",FILTER(IMPORTRANGE("&amp;"""https://docs.google.com/spreadsheets/d/1kGrh75X1cNR1D7_FcY9zMnHP8iPO4M5RCRjy6nZY0TY/edit#gid=0"",""Table 1: Study characteristics!A4:A171""), $A492=IMPORTRANGE(""https://docs.google.com/spreadsheets/d/1kGrh75X1cNR1D7_FcY9zMnHP8iPO4M5RCRjy6nZY0TY/edit#gi"&amp;"d=0"",""Table 1: Study characteristics!B4:B171""))
)"),"wrong study design")</f>
        <v>wrong study design</v>
      </c>
    </row>
    <row r="493">
      <c r="A493" s="4" t="str">
        <f>IFERROR(__xludf.DUMMYFUNCTION("""COMPUTED_VALUE"""),"Comparing fourth ventricle shunt survival after placement via stereotactic transtentorial and suboccipital approaches")</f>
        <v>Comparing fourth ventricle shunt survival after placement via stereotactic transtentorial and suboccipital approaches</v>
      </c>
      <c r="B493" s="5" t="str">
        <f>IFERROR(__xludf.DUMMYFUNCTION("LEFT(FILTER(IMPORTRANGE(""https://docs.google.com/spreadsheets/d/1BJSV3WBYJGRhQ6zExamkszQ5VutGIcaQqmbD9ZTVXMQ/edit#gid=1251630045"",""articles_with_PRISMA_reasons!K2:K2113""), $A493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$A493=IMPORTRANGE(""https://docs.google.com/spreadsheets/d/1BJSV3WBYJGRhQ6zExamkszQ5VutGIcaQqmbD9ZTVXMQ/edit#gid=1251630045"",""articles_with_PRISMA_reasons!B2:B2113"")))-1)"),"Garber")</f>
        <v>Garber</v>
      </c>
      <c r="C493" s="6">
        <f>IFERROR(__xludf.DUMMYFUNCTION("FILTER(IMPORTRANGE(""https://docs.google.com/spreadsheets/d/1BJSV3WBYJGRhQ6zExamkszQ5VutGIcaQqmbD9ZTVXMQ/edit#gid=1251630045"",""articles_with_PRISMA_reasons!C2:C2113""), $A493=IMPORTRANGE(""https://docs.google.com/spreadsheets/d/1BJSV3WBYJGRhQ6zExamkszQ5"&amp;"VutGIcaQqmbD9ZTVXMQ/edit#gid=1251630045"",""articles_with_PRISMA_reasons!B2:B2113""))"),2013.0)</f>
        <v>2013</v>
      </c>
      <c r="D493" s="5" t="str">
        <f>IFERROR(__xludf.DUMMYFUNCTION("IFS(AND(
FILTER(IMPORTRANGE(""https://docs.google.com/spreadsheets/d/1BJSV3WBYJGRhQ6zExamkszQ5VutGIcaQqmbD9ZTVXMQ/edit#gid=1251630045"",""articles_with_PRISMA_reasons!Y2:Y2113""), $A493=IMPORTRANGE(""https://docs.google.com/spreadsheets/d/1BJSV3WBYJGRhQ6z"&amp;"ExamkszQ5VutGIcaQqmbD9ZTVXMQ/edit#gid=1251630045"",""articles_with_PRISMA_reasons!B2:B2113""))&gt;=2,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$A493=IMPORTRANGE(""https://docs.google.com/spreadsheets/d/1BJSV3WBYJGRhQ6zExamkszQ5VutGIcaQqmbD9ZTVXMQ/edit#gid=1251630045"",""articles_with_PRISMA_reasons!B2:B2113""))&lt;2),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$A493=IMPORTRANGE(""https://docs.google.com/spreadsheets/d/1BJSV3WBYJGRhQ6zExamkszQ5VutGIcaQqmbD9ZTVXMQ/edit#gid=1251630045"",""arti"&amp;"cles_with_PRISMA_reasons!B2:B2113""))&lt;2,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$A493=IMPORTRANGE(""https://docs.google.com"&amp;"/spreadsheets/d/1BJSV3WBYJGRhQ6zExamkszQ5VutGIcaQqmbD9ZTVXMQ/edit#gid=1251630045"",""articles_with_PRISMA_reasons!B2:B2113""))&gt;=2),
""Exclude""
)"),"Exclude")</f>
        <v>Exclude</v>
      </c>
      <c r="E493" s="5" t="str">
        <f>IFERROR(__xludf.DUMMYFUNCTION("IFS(
D493=""Exclude"",""Exclude"",
AND(
FILTER(IMPORTRANGE(""https://docs.google.com/spreadsheets/d/1qpEmbGH0JjaJbUdp21-y2cPbobDbMjr09BbtdKROZWc/edit#gid=1444865654"",""articles_with_PRISMA_reasons!W2:W2113""), $A493=IMPORTRANGE(""https://docs.google.com/"&amp;"spreadsheets/d/1qpEmbGH0JjaJbUdp21-y2cPbobDbMjr09BbtdKROZWc/edit#gid=1444865654"",""articles_with_PRISMA_reasons!B2:B2113""))&gt;=2,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$A493=IMPORTRANGE(""https://docs.google.com/spreadsheets/d/1qpEmbGH0JjaJbUdp21-y2cPbobDbMjr09BbtdKROZWc/edit#gid=1444865654"",""articles_with_PRISMA_reasons!B2:B2113""))&lt;2),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$A493=IMPORTRANGE(""https://docs.google.com/spreadsheets/d/1qpEmbGH0JjaJbUdp21-y2cPbobDbMjr09BbtdKRO"&amp;"ZWc/edit#gid=1444865654"",""articles_with_PRISMA_reasons!B2:B2113""))&lt;2,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$A493=IMPOR"&amp;"TRANGE(""https://docs.google.com/spreadsheets/d/1qpEmbGH0JjaJbUdp21-y2cPbobDbMjr09BbtdKROZWc/edit#gid=1444865654"",""articles_with_PRISMA_reasons!B2:B2113""))&gt;=2),
""Exclude""
)"),"Exclude")</f>
        <v>Exclude</v>
      </c>
      <c r="F493" s="5" t="str">
        <f>IFERROR(__xludf.DUMMYFUNCTION("IFS(
E493=""Exclude"",""Exclude"",
AND(
COUNTIF(
IMPORTRANGE(""https://docs.google.com/spreadsheets/d/1kGrh75X1cNR1D7_FcY9zMnHP8iPO4M5RCRjy6nZY0TY/edit#gid=0"",""Table 1: Study characteristics!B4:B171""),A493)&gt;0,
COUNTIF(Studies!$A$2:$A$85,FILTER(IMPORTRA"&amp;"NGE(""https://docs.google.com/spreadsheets/d/1kGrh75X1cNR1D7_FcY9zMnHP8iPO4M5RCRjy6nZY0TY/edit#gid=0"",""Table 1: Study characteristics!A4:A171""), $A493=IMPORTRANGE(""https://docs.google.com/spreadsheets/d/1kGrh75X1cNR1D7_FcY9zMnHP8iPO4M5RCRjy6nZY0TY/edi"&amp;"t#gid=0"",""Table 1: Study characteristics!B4:B171"")))&gt;0
),
""Include""
)"),"Exclude")</f>
        <v>Exclude</v>
      </c>
      <c r="G493" s="5" t="str">
        <f>IFERROR(__xludf.DUMMYFUNCTION("IFS(
D493=""Exclude"",
FILTER(IMPORTRANGE(""https://docs.google.com/spreadsheets/d/1BJSV3WBYJGRhQ6zExamkszQ5VutGIcaQqmbD9ZTVXMQ/edit#gid=1251630045"",""articles_with_PRISMA_reasons!AB2:AB2113""), $A493=IMPORTRANGE(""https://docs.google.com/spreadsheets/d/"&amp;"1BJSV3WBYJGRhQ6zExamkszQ5VutGIcaQqmbD9ZTVXMQ/edit#gid=1251630045"",""articles_with_PRISMA_reasons!B2:B2113"")),
E493=""Exclude"",
FILTER(IMPORTRANGE(""https://docs.google.com/spreadsheets/d/1qpEmbGH0JjaJbUdp21-y2cPbobDbMjr09BbtdKROZWc/edit#gid=1444865654"&amp;""",""articles_with_PRISMA_reasons!Z2:Z2113""), $A493=IMPORTRANGE(""https://docs.google.com/spreadsheets/d/1qpEmbGH0JjaJbUdp21-y2cPbobDbMjr09BbtdKROZWc/edit#gid=1444865654"",""articles_with_PRISMA_reasons!B2:B2113"")),F493
=""Include"",FILTER(IMPORTRANGE("&amp;"""https://docs.google.com/spreadsheets/d/1kGrh75X1cNR1D7_FcY9zMnHP8iPO4M5RCRjy6nZY0TY/edit#gid=0"",""Table 1: Study characteristics!A4:A171""), $A493=IMPORTRANGE(""https://docs.google.com/spreadsheets/d/1kGrh75X1cNR1D7_FcY9zMnHP8iPO4M5RCRjy6nZY0TY/edit#gi"&amp;"d=0"",""Table 1: Study characteristics!B4:B171""))
)"),"wrong population")</f>
        <v>wrong population</v>
      </c>
    </row>
    <row r="494">
      <c r="A494" s="4" t="str">
        <f>IFERROR(__xludf.DUMMYFUNCTION("""COMPUTED_VALUE"""),"Comparing neurodevelopmental outcomes at 30 months by presence of hydrocephalus and shunt status among children enrolled in the MOMS trial")</f>
        <v>Comparing neurodevelopmental outcomes at 30 months by presence of hydrocephalus and shunt status among children enrolled in the MOMS trial</v>
      </c>
      <c r="B494" s="5" t="str">
        <f>IFERROR(__xludf.DUMMYFUNCTION("LEFT(FILTER(IMPORTRANGE(""https://docs.google.com/spreadsheets/d/1BJSV3WBYJGRhQ6zExamkszQ5VutGIcaQqmbD9ZTVXMQ/edit#gid=1251630045"",""articles_with_PRISMA_reasons!K2:K2113""), $A494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$A494=IMPORTRANGE(""https://docs.google.com/spreadsheets/d/1BJSV3WBYJGRhQ6zExamkszQ5VutGIcaQqmbD9ZTVXMQ/edit#gid=1251630045"",""articles_with_PRISMA_reasons!B2:B2113"")))-1)"),"Houtrow")</f>
        <v>Houtrow</v>
      </c>
      <c r="C494" s="6">
        <f>IFERROR(__xludf.DUMMYFUNCTION("FILTER(IMPORTRANGE(""https://docs.google.com/spreadsheets/d/1BJSV3WBYJGRhQ6zExamkszQ5VutGIcaQqmbD9ZTVXMQ/edit#gid=1251630045"",""articles_with_PRISMA_reasons!C2:C2113""), $A494=IMPORTRANGE(""https://docs.google.com/spreadsheets/d/1BJSV3WBYJGRhQ6zExamkszQ5"&amp;"VutGIcaQqmbD9ZTVXMQ/edit#gid=1251630045"",""articles_with_PRISMA_reasons!B2:B2113""))"),2018.0)</f>
        <v>2018</v>
      </c>
      <c r="D494" s="5" t="str">
        <f>IFERROR(__xludf.DUMMYFUNCTION("IFS(AND(
FILTER(IMPORTRANGE(""https://docs.google.com/spreadsheets/d/1BJSV3WBYJGRhQ6zExamkszQ5VutGIcaQqmbD9ZTVXMQ/edit#gid=1251630045"",""articles_with_PRISMA_reasons!Y2:Y2113""), $A494=IMPORTRANGE(""https://docs.google.com/spreadsheets/d/1BJSV3WBYJGRhQ6z"&amp;"ExamkszQ5VutGIcaQqmbD9ZTVXMQ/edit#gid=1251630045"",""articles_with_PRISMA_reasons!B2:B2113""))&gt;=2,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$A494=IMPORTRANGE(""https://docs.google.com/spreadsheets/d/1BJSV3WBYJGRhQ6zExamkszQ5VutGIcaQqmbD9ZTVXMQ/edit#gid=1251630045"",""articles_with_PRISMA_reasons!B2:B2113""))&lt;2),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$A494=IMPORTRANGE(""https://docs.google.com/spreadsheets/d/1BJSV3WBYJGRhQ6zExamkszQ5VutGIcaQqmbD9ZTVXMQ/edit#gid=1251630045"",""arti"&amp;"cles_with_PRISMA_reasons!B2:B2113""))&lt;2,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$A494=IMPORTRANGE(""https://docs.google.com"&amp;"/spreadsheets/d/1BJSV3WBYJGRhQ6zExamkszQ5VutGIcaQqmbD9ZTVXMQ/edit#gid=1251630045"",""articles_with_PRISMA_reasons!B2:B2113""))&gt;=2),
""Exclude""
)"),"Exclude")</f>
        <v>Exclude</v>
      </c>
      <c r="E494" s="5" t="str">
        <f>IFERROR(__xludf.DUMMYFUNCTION("IFS(
D494=""Exclude"",""Exclude"",
AND(
FILTER(IMPORTRANGE(""https://docs.google.com/spreadsheets/d/1qpEmbGH0JjaJbUdp21-y2cPbobDbMjr09BbtdKROZWc/edit#gid=1444865654"",""articles_with_PRISMA_reasons!W2:W2113""), $A494=IMPORTRANGE(""https://docs.google.com/"&amp;"spreadsheets/d/1qpEmbGH0JjaJbUdp21-y2cPbobDbMjr09BbtdKROZWc/edit#gid=1444865654"",""articles_with_PRISMA_reasons!B2:B2113""))&gt;=2,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$A494=IMPORTRANGE(""https://docs.google.com/spreadsheets/d/1qpEmbGH0JjaJbUdp21-y2cPbobDbMjr09BbtdKROZWc/edit#gid=1444865654"",""articles_with_PRISMA_reasons!B2:B2113""))&lt;2),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$A494=IMPORTRANGE(""https://docs.google.com/spreadsheets/d/1qpEmbGH0JjaJbUdp21-y2cPbobDbMjr09BbtdKRO"&amp;"ZWc/edit#gid=1444865654"",""articles_with_PRISMA_reasons!B2:B2113""))&lt;2,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$A494=IMPOR"&amp;"TRANGE(""https://docs.google.com/spreadsheets/d/1qpEmbGH0JjaJbUdp21-y2cPbobDbMjr09BbtdKROZWc/edit#gid=1444865654"",""articles_with_PRISMA_reasons!B2:B2113""))&gt;=2),
""Exclude""
)"),"Exclude")</f>
        <v>Exclude</v>
      </c>
      <c r="F494" s="5" t="str">
        <f>IFERROR(__xludf.DUMMYFUNCTION("IFS(
E494=""Exclude"",""Exclude"",
AND(
COUNTIF(
IMPORTRANGE(""https://docs.google.com/spreadsheets/d/1kGrh75X1cNR1D7_FcY9zMnHP8iPO4M5RCRjy6nZY0TY/edit#gid=0"",""Table 1: Study characteristics!B4:B171""),A494)&gt;0,
COUNTIF(Studies!$A$2:$A$85,FILTER(IMPORTRA"&amp;"NGE(""https://docs.google.com/spreadsheets/d/1kGrh75X1cNR1D7_FcY9zMnHP8iPO4M5RCRjy6nZY0TY/edit#gid=0"",""Table 1: Study characteristics!A4:A171""), $A494=IMPORTRANGE(""https://docs.google.com/spreadsheets/d/1kGrh75X1cNR1D7_FcY9zMnHP8iPO4M5RCRjy6nZY0TY/edi"&amp;"t#gid=0"",""Table 1: Study characteristics!B4:B171"")))&gt;0
),
""Include""
)"),"Exclude")</f>
        <v>Exclude</v>
      </c>
      <c r="G494" s="5" t="str">
        <f>IFERROR(__xludf.DUMMYFUNCTION("IFS(
D494=""Exclude"",
FILTER(IMPORTRANGE(""https://docs.google.com/spreadsheets/d/1BJSV3WBYJGRhQ6zExamkszQ5VutGIcaQqmbD9ZTVXMQ/edit#gid=1251630045"",""articles_with_PRISMA_reasons!AB2:AB2113""), $A494=IMPORTRANGE(""https://docs.google.com/spreadsheets/d/"&amp;"1BJSV3WBYJGRhQ6zExamkszQ5VutGIcaQqmbD9ZTVXMQ/edit#gid=1251630045"",""articles_with_PRISMA_reasons!B2:B2113"")),
E494=""Exclude"",
FILTER(IMPORTRANGE(""https://docs.google.com/spreadsheets/d/1qpEmbGH0JjaJbUdp21-y2cPbobDbMjr09BbtdKROZWc/edit#gid=1444865654"&amp;""",""articles_with_PRISMA_reasons!Z2:Z2113""), $A494=IMPORTRANGE(""https://docs.google.com/spreadsheets/d/1qpEmbGH0JjaJbUdp21-y2cPbobDbMjr09BbtdKROZWc/edit#gid=1444865654"",""articles_with_PRISMA_reasons!B2:B2113"")),F494
=""Include"",FILTER(IMPORTRANGE("&amp;"""https://docs.google.com/spreadsheets/d/1kGrh75X1cNR1D7_FcY9zMnHP8iPO4M5RCRjy6nZY0TY/edit#gid=0"",""Table 1: Study characteristics!A4:A171""), $A494=IMPORTRANGE(""https://docs.google.com/spreadsheets/d/1kGrh75X1cNR1D7_FcY9zMnHP8iPO4M5RCRjy6nZY0TY/edit#gi"&amp;"d=0"",""Table 1: Study characteristics!B4:B171""))
)"),"wrong intervention")</f>
        <v>wrong intervention</v>
      </c>
    </row>
    <row r="495">
      <c r="A495" s="4" t="str">
        <f>IFERROR(__xludf.DUMMYFUNCTION("""COMPUTED_VALUE"""),"Comparison of dorsal intercostal perforator artery flap and primary closure in myelomeningocele repair")</f>
        <v>Comparison of dorsal intercostal perforator artery flap and primary closure in myelomeningocele repair</v>
      </c>
      <c r="B495" s="5" t="str">
        <f>IFERROR(__xludf.DUMMYFUNCTION("LEFT(FILTER(IMPORTRANGE(""https://docs.google.com/spreadsheets/d/1BJSV3WBYJGRhQ6zExamkszQ5VutGIcaQqmbD9ZTVXMQ/edit#gid=1251630045"",""articles_with_PRISMA_reasons!K2:K2113""), $A495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$A495=IMPORTRANGE(""https://docs.google.com/spreadsheets/d/1BJSV3WBYJGRhQ6zExamkszQ5VutGIcaQqmbD9ZTVXMQ/edit#gid=1251630045"",""articles_with_PRISMA_reasons!B2:B2113"")))-1)"),"Atalay")</f>
        <v>Atalay</v>
      </c>
      <c r="C495" s="6">
        <f>IFERROR(__xludf.DUMMYFUNCTION("FILTER(IMPORTRANGE(""https://docs.google.com/spreadsheets/d/1BJSV3WBYJGRhQ6zExamkszQ5VutGIcaQqmbD9ZTVXMQ/edit#gid=1251630045"",""articles_with_PRISMA_reasons!C2:C2113""), $A495=IMPORTRANGE(""https://docs.google.com/spreadsheets/d/1BJSV3WBYJGRhQ6zExamkszQ5"&amp;"VutGIcaQqmbD9ZTVXMQ/edit#gid=1251630045"",""articles_with_PRISMA_reasons!B2:B2113""))"),2021.0)</f>
        <v>2021</v>
      </c>
      <c r="D495" s="5" t="str">
        <f>IFERROR(__xludf.DUMMYFUNCTION("IFS(AND(
FILTER(IMPORTRANGE(""https://docs.google.com/spreadsheets/d/1BJSV3WBYJGRhQ6zExamkszQ5VutGIcaQqmbD9ZTVXMQ/edit#gid=1251630045"",""articles_with_PRISMA_reasons!Y2:Y2113""), $A495=IMPORTRANGE(""https://docs.google.com/spreadsheets/d/1BJSV3WBYJGRhQ6z"&amp;"ExamkszQ5VutGIcaQqmbD9ZTVXMQ/edit#gid=1251630045"",""articles_with_PRISMA_reasons!B2:B2113""))&gt;=2,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$A495=IMPORTRANGE(""https://docs.google.com/spreadsheets/d/1BJSV3WBYJGRhQ6zExamkszQ5VutGIcaQqmbD9ZTVXMQ/edit#gid=1251630045"",""articles_with_PRISMA_reasons!B2:B2113""))&lt;2),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$A495=IMPORTRANGE(""https://docs.google.com/spreadsheets/d/1BJSV3WBYJGRhQ6zExamkszQ5VutGIcaQqmbD9ZTVXMQ/edit#gid=1251630045"",""arti"&amp;"cles_with_PRISMA_reasons!B2:B2113""))&lt;2,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$A495=IMPORTRANGE(""https://docs.google.com"&amp;"/spreadsheets/d/1BJSV3WBYJGRhQ6zExamkszQ5VutGIcaQqmbD9ZTVXMQ/edit#gid=1251630045"",""articles_with_PRISMA_reasons!B2:B2113""))&gt;=2),
""Exclude""
)"),"Include")</f>
        <v>Include</v>
      </c>
      <c r="E495" s="5" t="str">
        <f>IFERROR(__xludf.DUMMYFUNCTION("IFS(
D495=""Exclude"",""Exclude"",
AND(
FILTER(IMPORTRANGE(""https://docs.google.com/spreadsheets/d/1qpEmbGH0JjaJbUdp21-y2cPbobDbMjr09BbtdKROZWc/edit#gid=1444865654"",""articles_with_PRISMA_reasons!W2:W2113""), $A495=IMPORTRANGE(""https://docs.google.com/"&amp;"spreadsheets/d/1qpEmbGH0JjaJbUdp21-y2cPbobDbMjr09BbtdKROZWc/edit#gid=1444865654"",""articles_with_PRISMA_reasons!B2:B2113""))&gt;=2,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$A495=IMPORTRANGE(""https://docs.google.com/spreadsheets/d/1qpEmbGH0JjaJbUdp21-y2cPbobDbMjr09BbtdKROZWc/edit#gid=1444865654"",""articles_with_PRISMA_reasons!B2:B2113""))&lt;2),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$A495=IMPORTRANGE(""https://docs.google.com/spreadsheets/d/1qpEmbGH0JjaJbUdp21-y2cPbobDbMjr09BbtdKRO"&amp;"ZWc/edit#gid=1444865654"",""articles_with_PRISMA_reasons!B2:B2113""))&lt;2,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$A495=IMPOR"&amp;"TRANGE(""https://docs.google.com/spreadsheets/d/1qpEmbGH0JjaJbUdp21-y2cPbobDbMjr09BbtdKROZWc/edit#gid=1444865654"",""articles_with_PRISMA_reasons!B2:B2113""))&gt;=2),
""Exclude""
)"),"Include")</f>
        <v>Include</v>
      </c>
      <c r="F495" s="5" t="str">
        <f>IFERROR(__xludf.DUMMYFUNCTION("IFS(
E495=""Exclude"",""Exclude"",
AND(
COUNTIF(
IMPORTRANGE(""https://docs.google.com/spreadsheets/d/1kGrh75X1cNR1D7_FcY9zMnHP8iPO4M5RCRjy6nZY0TY/edit#gid=0"",""Table 1: Study characteristics!B4:B171""),A495)&gt;0,
COUNTIF(Studies!$A$2:$A$85,FILTER(IMPORTRA"&amp;"NGE(""https://docs.google.com/spreadsheets/d/1kGrh75X1cNR1D7_FcY9zMnHP8iPO4M5RCRjy6nZY0TY/edit#gid=0"",""Table 1: Study characteristics!A4:A171""), $A495=IMPORTRANGE(""https://docs.google.com/spreadsheets/d/1kGrh75X1cNR1D7_FcY9zMnHP8iPO4M5RCRjy6nZY0TY/edi"&amp;"t#gid=0"",""Table 1: Study characteristics!B4:B171"")))&gt;0
),
""Include""
)"),"Include")</f>
        <v>Include</v>
      </c>
      <c r="G495" s="5" t="str">
        <f>IFERROR(__xludf.DUMMYFUNCTION("IFS(
D495=""Exclude"",
FILTER(IMPORTRANGE(""https://docs.google.com/spreadsheets/d/1BJSV3WBYJGRhQ6zExamkszQ5VutGIcaQqmbD9ZTVXMQ/edit#gid=1251630045"",""articles_with_PRISMA_reasons!AB2:AB2113""), $A495=IMPORTRANGE(""https://docs.google.com/spreadsheets/d/"&amp;"1BJSV3WBYJGRhQ6zExamkszQ5VutGIcaQqmbD9ZTVXMQ/edit#gid=1251630045"",""articles_with_PRISMA_reasons!B2:B2113"")),
E495=""Exclude"",
FILTER(IMPORTRANGE(""https://docs.google.com/spreadsheets/d/1qpEmbGH0JjaJbUdp21-y2cPbobDbMjr09BbtdKROZWc/edit#gid=1444865654"&amp;""",""articles_with_PRISMA_reasons!Z2:Z2113""), $A495=IMPORTRANGE(""https://docs.google.com/spreadsheets/d/1qpEmbGH0JjaJbUdp21-y2cPbobDbMjr09BbtdKROZWc/edit#gid=1444865654"",""articles_with_PRISMA_reasons!B2:B2113"")),F495
=""Include"",FILTER(IMPORTRANGE("&amp;"""https://docs.google.com/spreadsheets/d/1kGrh75X1cNR1D7_FcY9zMnHP8iPO4M5RCRjy6nZY0TY/edit#gid=0"",""Table 1: Study characteristics!A4:A171""), $A495=IMPORTRANGE(""https://docs.google.com/spreadsheets/d/1kGrh75X1cNR1D7_FcY9zMnHP8iPO4M5RCRjy6nZY0TY/edit#gi"&amp;"d=0"",""Table 1: Study characteristics!B4:B171""))
)"),"ID 31")</f>
        <v>ID 31</v>
      </c>
    </row>
    <row r="496">
      <c r="A496" s="4" t="str">
        <f>IFERROR(__xludf.DUMMYFUNCTION("""COMPUTED_VALUE"""),"Comparison of endoscopic third ventriculostomy alone and combined with choroid plexus cauterization in infants younger than 1 year of age: a prospective study in 550 African children")</f>
        <v>Comparison of endoscopic third ventriculostomy alone and combined with choroid plexus cauterization in infants younger than 1 year of age: a prospective study in 550 African children</v>
      </c>
      <c r="B496" s="5" t="str">
        <f>IFERROR(__xludf.DUMMYFUNCTION("LEFT(FILTER(IMPORTRANGE(""https://docs.google.com/spreadsheets/d/1BJSV3WBYJGRhQ6zExamkszQ5VutGIcaQqmbD9ZTVXMQ/edit#gid=1251630045"",""articles_with_PRISMA_reasons!K2:K2113""), $A496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$A496=IMPORTRANGE(""https://docs.google.com/spreadsheets/d/1BJSV3WBYJGRhQ6zExamkszQ5VutGIcaQqmbD9ZTVXMQ/edit#gid=1251630045"",""articles_with_PRISMA_reasons!B2:B2113"")))-1)"),"Warf")</f>
        <v>Warf</v>
      </c>
      <c r="C496" s="6" t="str">
        <f>IFERROR(__xludf.DUMMYFUNCTION("FILTER(IMPORTRANGE(""https://docs.google.com/spreadsheets/d/1BJSV3WBYJGRhQ6zExamkszQ5VutGIcaQqmbD9ZTVXMQ/edit#gid=1251630045"",""articles_with_PRISMA_reasons!C2:C2113""), $A496=IMPORTRANGE(""https://docs.google.com/spreadsheets/d/1BJSV3WBYJGRhQ6zExamkszQ5"&amp;"VutGIcaQqmbD9ZTVXMQ/edit#gid=1251630045"",""articles_with_PRISMA_reasons!B2:B2113""))"),"Dec")</f>
        <v>Dec</v>
      </c>
      <c r="D496" s="5" t="str">
        <f>IFERROR(__xludf.DUMMYFUNCTION("IFS(AND(
FILTER(IMPORTRANGE(""https://docs.google.com/spreadsheets/d/1BJSV3WBYJGRhQ6zExamkszQ5VutGIcaQqmbD9ZTVXMQ/edit#gid=1251630045"",""articles_with_PRISMA_reasons!Y2:Y2113""), $A496=IMPORTRANGE(""https://docs.google.com/spreadsheets/d/1BJSV3WBYJGRhQ6z"&amp;"ExamkszQ5VutGIcaQqmbD9ZTVXMQ/edit#gid=1251630045"",""articles_with_PRISMA_reasons!B2:B2113""))&gt;=2,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$A496=IMPORTRANGE(""https://docs.google.com/spreadsheets/d/1BJSV3WBYJGRhQ6zExamkszQ5VutGIcaQqmbD9ZTVXMQ/edit#gid=1251630045"",""articles_with_PRISMA_reasons!B2:B2113""))&lt;2),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$A496=IMPORTRANGE(""https://docs.google.com/spreadsheets/d/1BJSV3WBYJGRhQ6zExamkszQ5VutGIcaQqmbD9ZTVXMQ/edit#gid=1251630045"",""arti"&amp;"cles_with_PRISMA_reasons!B2:B2113""))&lt;2,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$A496=IMPORTRANGE(""https://docs.google.com"&amp;"/spreadsheets/d/1BJSV3WBYJGRhQ6zExamkszQ5VutGIcaQqmbD9ZTVXMQ/edit#gid=1251630045"",""articles_with_PRISMA_reasons!B2:B2113""))&gt;=2),
""Exclude""
)"),"Include")</f>
        <v>Include</v>
      </c>
      <c r="E496" s="5" t="str">
        <f>IFERROR(__xludf.DUMMYFUNCTION("IFS(
D496=""Exclude"",""Exclude"",
AND(
FILTER(IMPORTRANGE(""https://docs.google.com/spreadsheets/d/1qpEmbGH0JjaJbUdp21-y2cPbobDbMjr09BbtdKROZWc/edit#gid=1444865654"",""articles_with_PRISMA_reasons!W2:W2113""), $A496=IMPORTRANGE(""https://docs.google.com/"&amp;"spreadsheets/d/1qpEmbGH0JjaJbUdp21-y2cPbobDbMjr09BbtdKROZWc/edit#gid=1444865654"",""articles_with_PRISMA_reasons!B2:B2113""))&gt;=2,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$A496=IMPORTRANGE(""https://docs.google.com/spreadsheets/d/1qpEmbGH0JjaJbUdp21-y2cPbobDbMjr09BbtdKROZWc/edit#gid=1444865654"",""articles_with_PRISMA_reasons!B2:B2113""))&lt;2),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$A496=IMPORTRANGE(""https://docs.google.com/spreadsheets/d/1qpEmbGH0JjaJbUdp21-y2cPbobDbMjr09BbtdKRO"&amp;"ZWc/edit#gid=1444865654"",""articles_with_PRISMA_reasons!B2:B2113""))&lt;2,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$A496=IMPOR"&amp;"TRANGE(""https://docs.google.com/spreadsheets/d/1qpEmbGH0JjaJbUdp21-y2cPbobDbMjr09BbtdKROZWc/edit#gid=1444865654"",""articles_with_PRISMA_reasons!B2:B2113""))&gt;=2),
""Exclude""
)"),"Include")</f>
        <v>Include</v>
      </c>
      <c r="F496" s="5" t="str">
        <f>IFERROR(__xludf.DUMMYFUNCTION("IFS(
E496=""Exclude"",""Exclude"",
AND(
COUNTIF(
IMPORTRANGE(""https://docs.google.com/spreadsheets/d/1kGrh75X1cNR1D7_FcY9zMnHP8iPO4M5RCRjy6nZY0TY/edit#gid=0"",""Table 1: Study characteristics!B4:B171""),A496)&gt;0,
COUNTIF(Studies!$A$2:$A$85,FILTER(IMPORTRA"&amp;"NGE(""https://docs.google.com/spreadsheets/d/1kGrh75X1cNR1D7_FcY9zMnHP8iPO4M5RCRjy6nZY0TY/edit#gid=0"",""Table 1: Study characteristics!A4:A171""), $A496=IMPORTRANGE(""https://docs.google.com/spreadsheets/d/1kGrh75X1cNR1D7_FcY9zMnHP8iPO4M5RCRjy6nZY0TY/edi"&amp;"t#gid=0"",""Table 1: Study characteristics!B4:B171"")))&gt;0
),
""Include""
)"),"Include")</f>
        <v>Include</v>
      </c>
      <c r="G496" s="5" t="str">
        <f>IFERROR(__xludf.DUMMYFUNCTION("IFS(
D496=""Exclude"",
FILTER(IMPORTRANGE(""https://docs.google.com/spreadsheets/d/1BJSV3WBYJGRhQ6zExamkszQ5VutGIcaQqmbD9ZTVXMQ/edit#gid=1251630045"",""articles_with_PRISMA_reasons!AB2:AB2113""), $A496=IMPORTRANGE(""https://docs.google.com/spreadsheets/d/"&amp;"1BJSV3WBYJGRhQ6zExamkszQ5VutGIcaQqmbD9ZTVXMQ/edit#gid=1251630045"",""articles_with_PRISMA_reasons!B2:B2113"")),
E496=""Exclude"",
FILTER(IMPORTRANGE(""https://docs.google.com/spreadsheets/d/1qpEmbGH0JjaJbUdp21-y2cPbobDbMjr09BbtdKROZWc/edit#gid=1444865654"&amp;""",""articles_with_PRISMA_reasons!Z2:Z2113""), $A496=IMPORTRANGE(""https://docs.google.com/spreadsheets/d/1qpEmbGH0JjaJbUdp21-y2cPbobDbMjr09BbtdKROZWc/edit#gid=1444865654"",""articles_with_PRISMA_reasons!B2:B2113"")),F496
=""Include"",FILTER(IMPORTRANGE("&amp;"""https://docs.google.com/spreadsheets/d/1kGrh75X1cNR1D7_FcY9zMnHP8iPO4M5RCRjy6nZY0TY/edit#gid=0"",""Table 1: Study characteristics!A4:A171""), $A496=IMPORTRANGE(""https://docs.google.com/spreadsheets/d/1kGrh75X1cNR1D7_FcY9zMnHP8iPO4M5RCRjy6nZY0TY/edit#gi"&amp;"d=0"",""Table 1: Study characteristics!B4:B171""))
)"),"ID 32")</f>
        <v>ID 32</v>
      </c>
    </row>
    <row r="497">
      <c r="A497" s="4" t="str">
        <f>IFERROR(__xludf.DUMMYFUNCTION("""COMPUTED_VALUE"""),"Comparison of endoscopic third ventriculostomy with or without choroid plexus cauterization in pediatric hydrocephalus: A systematic review and meta-analysis")</f>
        <v>Comparison of endoscopic third ventriculostomy with or without choroid plexus cauterization in pediatric hydrocephalus: A systematic review and meta-analysis</v>
      </c>
      <c r="B497" s="5" t="str">
        <f>IFERROR(__xludf.DUMMYFUNCTION("LEFT(FILTER(IMPORTRANGE(""https://docs.google.com/spreadsheets/d/1BJSV3WBYJGRhQ6zExamkszQ5VutGIcaQqmbD9ZTVXMQ/edit#gid=1251630045"",""articles_with_PRISMA_reasons!K2:K2113""), $A497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$A497=IMPORTRANGE(""https://docs.google.com/spreadsheets/d/1BJSV3WBYJGRhQ6zExamkszQ5VutGIcaQqmbD9ZTVXMQ/edit#gid=1251630045"",""articles_with_PRISMA_reasons!B2:B2113"")))-1)"),"Ellenbogen")</f>
        <v>Ellenbogen</v>
      </c>
      <c r="C497" s="6">
        <f>IFERROR(__xludf.DUMMYFUNCTION("FILTER(IMPORTRANGE(""https://docs.google.com/spreadsheets/d/1BJSV3WBYJGRhQ6zExamkszQ5VutGIcaQqmbD9ZTVXMQ/edit#gid=1251630045"",""articles_with_PRISMA_reasons!C2:C2113""), $A497=IMPORTRANGE(""https://docs.google.com/spreadsheets/d/1BJSV3WBYJGRhQ6zExamkszQ5"&amp;"VutGIcaQqmbD9ZTVXMQ/edit#gid=1251630045"",""articles_with_PRISMA_reasons!B2:B2113""))"),2020.0)</f>
        <v>2020</v>
      </c>
      <c r="D497" s="5" t="str">
        <f>IFERROR(__xludf.DUMMYFUNCTION("IFS(AND(
FILTER(IMPORTRANGE(""https://docs.google.com/spreadsheets/d/1BJSV3WBYJGRhQ6zExamkszQ5VutGIcaQqmbD9ZTVXMQ/edit#gid=1251630045"",""articles_with_PRISMA_reasons!Y2:Y2113""), $A497=IMPORTRANGE(""https://docs.google.com/spreadsheets/d/1BJSV3WBYJGRhQ6z"&amp;"ExamkszQ5VutGIcaQqmbD9ZTVXMQ/edit#gid=1251630045"",""articles_with_PRISMA_reasons!B2:B2113""))&gt;=2,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$A497=IMPORTRANGE(""https://docs.google.com/spreadsheets/d/1BJSV3WBYJGRhQ6zExamkszQ5VutGIcaQqmbD9ZTVXMQ/edit#gid=1251630045"",""articles_with_PRISMA_reasons!B2:B2113""))&lt;2),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$A497=IMPORTRANGE(""https://docs.google.com/spreadsheets/d/1BJSV3WBYJGRhQ6zExamkszQ5VutGIcaQqmbD9ZTVXMQ/edit#gid=1251630045"",""arti"&amp;"cles_with_PRISMA_reasons!B2:B2113""))&lt;2,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$A497=IMPORTRANGE(""https://docs.google.com"&amp;"/spreadsheets/d/1BJSV3WBYJGRhQ6zExamkszQ5VutGIcaQqmbD9ZTVXMQ/edit#gid=1251630045"",""articles_with_PRISMA_reasons!B2:B2113""))&gt;=2),
""Exclude""
)"),"Exclude")</f>
        <v>Exclude</v>
      </c>
      <c r="E497" s="5" t="str">
        <f>IFERROR(__xludf.DUMMYFUNCTION("IFS(
D497=""Exclude"",""Exclude"",
AND(
FILTER(IMPORTRANGE(""https://docs.google.com/spreadsheets/d/1qpEmbGH0JjaJbUdp21-y2cPbobDbMjr09BbtdKROZWc/edit#gid=1444865654"",""articles_with_PRISMA_reasons!W2:W2113""), $A497=IMPORTRANGE(""https://docs.google.com/"&amp;"spreadsheets/d/1qpEmbGH0JjaJbUdp21-y2cPbobDbMjr09BbtdKROZWc/edit#gid=1444865654"",""articles_with_PRISMA_reasons!B2:B2113""))&gt;=2,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$A497=IMPORTRANGE(""https://docs.google.com/spreadsheets/d/1qpEmbGH0JjaJbUdp21-y2cPbobDbMjr09BbtdKROZWc/edit#gid=1444865654"",""articles_with_PRISMA_reasons!B2:B2113""))&lt;2),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$A497=IMPORTRANGE(""https://docs.google.com/spreadsheets/d/1qpEmbGH0JjaJbUdp21-y2cPbobDbMjr09BbtdKRO"&amp;"ZWc/edit#gid=1444865654"",""articles_with_PRISMA_reasons!B2:B2113""))&lt;2,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$A497=IMPOR"&amp;"TRANGE(""https://docs.google.com/spreadsheets/d/1qpEmbGH0JjaJbUdp21-y2cPbobDbMjr09BbtdKROZWc/edit#gid=1444865654"",""articles_with_PRISMA_reasons!B2:B2113""))&gt;=2),
""Exclude""
)"),"Exclude")</f>
        <v>Exclude</v>
      </c>
      <c r="F497" s="5" t="str">
        <f>IFERROR(__xludf.DUMMYFUNCTION("IFS(
E497=""Exclude"",""Exclude"",
AND(
COUNTIF(
IMPORTRANGE(""https://docs.google.com/spreadsheets/d/1kGrh75X1cNR1D7_FcY9zMnHP8iPO4M5RCRjy6nZY0TY/edit#gid=0"",""Table 1: Study characteristics!B4:B171""),A497)&gt;0,
COUNTIF(Studies!$A$2:$A$85,FILTER(IMPORTRA"&amp;"NGE(""https://docs.google.com/spreadsheets/d/1kGrh75X1cNR1D7_FcY9zMnHP8iPO4M5RCRjy6nZY0TY/edit#gid=0"",""Table 1: Study characteristics!A4:A171""), $A497=IMPORTRANGE(""https://docs.google.com/spreadsheets/d/1kGrh75X1cNR1D7_FcY9zMnHP8iPO4M5RCRjy6nZY0TY/edi"&amp;"t#gid=0"",""Table 1: Study characteristics!B4:B171"")))&gt;0
),
""Include""
)"),"Exclude")</f>
        <v>Exclude</v>
      </c>
      <c r="G497" s="5" t="str">
        <f>IFERROR(__xludf.DUMMYFUNCTION("IFS(
D497=""Exclude"",
FILTER(IMPORTRANGE(""https://docs.google.com/spreadsheets/d/1BJSV3WBYJGRhQ6zExamkszQ5VutGIcaQqmbD9ZTVXMQ/edit#gid=1251630045"",""articles_with_PRISMA_reasons!AB2:AB2113""), $A497=IMPORTRANGE(""https://docs.google.com/spreadsheets/d/"&amp;"1BJSV3WBYJGRhQ6zExamkszQ5VutGIcaQqmbD9ZTVXMQ/edit#gid=1251630045"",""articles_with_PRISMA_reasons!B2:B2113"")),
E497=""Exclude"",
FILTER(IMPORTRANGE(""https://docs.google.com/spreadsheets/d/1qpEmbGH0JjaJbUdp21-y2cPbobDbMjr09BbtdKROZWc/edit#gid=1444865654"&amp;""",""articles_with_PRISMA_reasons!Z2:Z2113""), $A497=IMPORTRANGE(""https://docs.google.com/spreadsheets/d/1qpEmbGH0JjaJbUdp21-y2cPbobDbMjr09BbtdKROZWc/edit#gid=1444865654"",""articles_with_PRISMA_reasons!B2:B2113"")),F497
=""Include"",FILTER(IMPORTRANGE("&amp;"""https://docs.google.com/spreadsheets/d/1kGrh75X1cNR1D7_FcY9zMnHP8iPO4M5RCRjy6nZY0TY/edit#gid=0"",""Table 1: Study characteristics!A4:A171""), $A497=IMPORTRANGE(""https://docs.google.com/spreadsheets/d/1kGrh75X1cNR1D7_FcY9zMnHP8iPO4M5RCRjy6nZY0TY/edit#gi"&amp;"d=0"",""Table 1: Study characteristics!B4:B171""))
)"),"wrong study design")</f>
        <v>wrong study design</v>
      </c>
    </row>
    <row r="498">
      <c r="A498" s="4" t="str">
        <f>IFERROR(__xludf.DUMMYFUNCTION("""COMPUTED_VALUE"""),"Comparison of Follow-Up Length-Matched Single-Center Myelomeningocele Postnatal Closure Cohort to the Management of Myelomeningocele Study (MOMS) Trial Results")</f>
        <v>Comparison of Follow-Up Length-Matched Single-Center Myelomeningocele Postnatal Closure Cohort to the Management of Myelomeningocele Study (MOMS) Trial Results</v>
      </c>
      <c r="B498" s="5" t="str">
        <f>IFERROR(__xludf.DUMMYFUNCTION("LEFT(FILTER(IMPORTRANGE(""https://docs.google.com/spreadsheets/d/1BJSV3WBYJGRhQ6zExamkszQ5VutGIcaQqmbD9ZTVXMQ/edit#gid=1251630045"",""articles_with_PRISMA_reasons!K2:K2113""), $A498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$A498=IMPORTRANGE(""https://docs.google.com/spreadsheets/d/1BJSV3WBYJGRhQ6zExamkszQ5VutGIcaQqmbD9ZTVXMQ/edit#gid=1251630045"",""articles_with_PRISMA_reasons!B2:B2113"")))-1)"),"Weaver")</f>
        <v>Weaver</v>
      </c>
      <c r="C498" s="6">
        <f>IFERROR(__xludf.DUMMYFUNCTION("FILTER(IMPORTRANGE(""https://docs.google.com/spreadsheets/d/1BJSV3WBYJGRhQ6zExamkszQ5VutGIcaQqmbD9ZTVXMQ/edit#gid=1251630045"",""articles_with_PRISMA_reasons!C2:C2113""), $A498=IMPORTRANGE(""https://docs.google.com/spreadsheets/d/1BJSV3WBYJGRhQ6zExamkszQ5"&amp;"VutGIcaQqmbD9ZTVXMQ/edit#gid=1251630045"",""articles_with_PRISMA_reasons!B2:B2113""))"),2021.0)</f>
        <v>2021</v>
      </c>
      <c r="D498" s="5" t="str">
        <f>IFERROR(__xludf.DUMMYFUNCTION("IFS(AND(
FILTER(IMPORTRANGE(""https://docs.google.com/spreadsheets/d/1BJSV3WBYJGRhQ6zExamkszQ5VutGIcaQqmbD9ZTVXMQ/edit#gid=1251630045"",""articles_with_PRISMA_reasons!Y2:Y2113""), $A498=IMPORTRANGE(""https://docs.google.com/spreadsheets/d/1BJSV3WBYJGRhQ6z"&amp;"ExamkszQ5VutGIcaQqmbD9ZTVXMQ/edit#gid=1251630045"",""articles_with_PRISMA_reasons!B2:B2113""))&gt;=2,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$A498=IMPORTRANGE(""https://docs.google.com/spreadsheets/d/1BJSV3WBYJGRhQ6zExamkszQ5VutGIcaQqmbD9ZTVXMQ/edit#gid=1251630045"",""articles_with_PRISMA_reasons!B2:B2113""))&lt;2),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$A498=IMPORTRANGE(""https://docs.google.com/spreadsheets/d/1BJSV3WBYJGRhQ6zExamkszQ5VutGIcaQqmbD9ZTVXMQ/edit#gid=1251630045"",""arti"&amp;"cles_with_PRISMA_reasons!B2:B2113""))&lt;2,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$A498=IMPORTRANGE(""https://docs.google.com"&amp;"/spreadsheets/d/1BJSV3WBYJGRhQ6zExamkszQ5VutGIcaQqmbD9ZTVXMQ/edit#gid=1251630045"",""articles_with_PRISMA_reasons!B2:B2113""))&gt;=2),
""Exclude""
)"),"Exclude")</f>
        <v>Exclude</v>
      </c>
      <c r="E498" s="5" t="str">
        <f>IFERROR(__xludf.DUMMYFUNCTION("IFS(
D498=""Exclude"",""Exclude"",
AND(
FILTER(IMPORTRANGE(""https://docs.google.com/spreadsheets/d/1qpEmbGH0JjaJbUdp21-y2cPbobDbMjr09BbtdKROZWc/edit#gid=1444865654"",""articles_with_PRISMA_reasons!W2:W2113""), $A498=IMPORTRANGE(""https://docs.google.com/"&amp;"spreadsheets/d/1qpEmbGH0JjaJbUdp21-y2cPbobDbMjr09BbtdKROZWc/edit#gid=1444865654"",""articles_with_PRISMA_reasons!B2:B2113""))&gt;=2,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$A498=IMPORTRANGE(""https://docs.google.com/spreadsheets/d/1qpEmbGH0JjaJbUdp21-y2cPbobDbMjr09BbtdKROZWc/edit#gid=1444865654"",""articles_with_PRISMA_reasons!B2:B2113""))&lt;2),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$A498=IMPORTRANGE(""https://docs.google.com/spreadsheets/d/1qpEmbGH0JjaJbUdp21-y2cPbobDbMjr09BbtdKRO"&amp;"ZWc/edit#gid=1444865654"",""articles_with_PRISMA_reasons!B2:B2113""))&lt;2,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$A498=IMPOR"&amp;"TRANGE(""https://docs.google.com/spreadsheets/d/1qpEmbGH0JjaJbUdp21-y2cPbobDbMjr09BbtdKROZWc/edit#gid=1444865654"",""articles_with_PRISMA_reasons!B2:B2113""))&gt;=2),
""Exclude""
)"),"Exclude")</f>
        <v>Exclude</v>
      </c>
      <c r="F498" s="5" t="str">
        <f>IFERROR(__xludf.DUMMYFUNCTION("IFS(
E498=""Exclude"",""Exclude"",
AND(
COUNTIF(
IMPORTRANGE(""https://docs.google.com/spreadsheets/d/1kGrh75X1cNR1D7_FcY9zMnHP8iPO4M5RCRjy6nZY0TY/edit#gid=0"",""Table 1: Study characteristics!B4:B171""),A498)&gt;0,
COUNTIF(Studies!$A$2:$A$85,FILTER(IMPORTRA"&amp;"NGE(""https://docs.google.com/spreadsheets/d/1kGrh75X1cNR1D7_FcY9zMnHP8iPO4M5RCRjy6nZY0TY/edit#gid=0"",""Table 1: Study characteristics!A4:A171""), $A498=IMPORTRANGE(""https://docs.google.com/spreadsheets/d/1kGrh75X1cNR1D7_FcY9zMnHP8iPO4M5RCRjy6nZY0TY/edi"&amp;"t#gid=0"",""Table 1: Study characteristics!B4:B171"")))&gt;0
),
""Include""
)"),"Exclude")</f>
        <v>Exclude</v>
      </c>
      <c r="G498" s="5" t="str">
        <f>IFERROR(__xludf.DUMMYFUNCTION("IFS(
D498=""Exclude"",
FILTER(IMPORTRANGE(""https://docs.google.com/spreadsheets/d/1BJSV3WBYJGRhQ6zExamkszQ5VutGIcaQqmbD9ZTVXMQ/edit#gid=1251630045"",""articles_with_PRISMA_reasons!AB2:AB2113""), $A498=IMPORTRANGE(""https://docs.google.com/spreadsheets/d/"&amp;"1BJSV3WBYJGRhQ6zExamkszQ5VutGIcaQqmbD9ZTVXMQ/edit#gid=1251630045"",""articles_with_PRISMA_reasons!B2:B2113"")),
E498=""Exclude"",
FILTER(IMPORTRANGE(""https://docs.google.com/spreadsheets/d/1qpEmbGH0JjaJbUdp21-y2cPbobDbMjr09BbtdKROZWc/edit#gid=1444865654"&amp;""",""articles_with_PRISMA_reasons!Z2:Z2113""), $A498=IMPORTRANGE(""https://docs.google.com/spreadsheets/d/1qpEmbGH0JjaJbUdp21-y2cPbobDbMjr09BbtdKROZWc/edit#gid=1444865654"",""articles_with_PRISMA_reasons!B2:B2113"")),F498
=""Include"",FILTER(IMPORTRANGE("&amp;"""https://docs.google.com/spreadsheets/d/1kGrh75X1cNR1D7_FcY9zMnHP8iPO4M5RCRjy6nZY0TY/edit#gid=0"",""Table 1: Study characteristics!A4:A171""), $A498=IMPORTRANGE(""https://docs.google.com/spreadsheets/d/1kGrh75X1cNR1D7_FcY9zMnHP8iPO4M5RCRjy6nZY0TY/edit#gi"&amp;"d=0"",""Table 1: Study characteristics!B4:B171""))
)"),"wrong intervention")</f>
        <v>wrong intervention</v>
      </c>
    </row>
    <row r="499">
      <c r="A499" s="4" t="str">
        <f>IFERROR(__xludf.DUMMYFUNCTION("""COMPUTED_VALUE"""),"Comparison of hydrocephalus appearance at spinaldysraphia")</f>
        <v>Comparison of hydrocephalus appearance at spinaldysraphia</v>
      </c>
      <c r="B499" s="5" t="str">
        <f>IFERROR(__xludf.DUMMYFUNCTION("LEFT(FILTER(IMPORTRANGE(""https://docs.google.com/spreadsheets/d/1BJSV3WBYJGRhQ6zExamkszQ5VutGIcaQqmbD9ZTVXMQ/edit#gid=1251630045"",""articles_with_PRISMA_reasons!K2:K2113""), $A499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$A499=IMPORTRANGE(""https://docs.google.com/spreadsheets/d/1BJSV3WBYJGRhQ6zExamkszQ5VutGIcaQqmbD9ZTVXMQ/edit#gid=1251630045"",""articles_with_PRISMA_reasons!B2:B2113"")))-1)"),"Elshani")</f>
        <v>Elshani</v>
      </c>
      <c r="C499" s="6">
        <f>IFERROR(__xludf.DUMMYFUNCTION("FILTER(IMPORTRANGE(""https://docs.google.com/spreadsheets/d/1BJSV3WBYJGRhQ6zExamkszQ5VutGIcaQqmbD9ZTVXMQ/edit#gid=1251630045"",""articles_with_PRISMA_reasons!C2:C2113""), $A499=IMPORTRANGE(""https://docs.google.com/spreadsheets/d/1BJSV3WBYJGRhQ6zExamkszQ5"&amp;"VutGIcaQqmbD9ZTVXMQ/edit#gid=1251630045"",""articles_with_PRISMA_reasons!B2:B2113""))"),2013.0)</f>
        <v>2013</v>
      </c>
      <c r="D499" s="5" t="str">
        <f>IFERROR(__xludf.DUMMYFUNCTION("IFS(AND(
FILTER(IMPORTRANGE(""https://docs.google.com/spreadsheets/d/1BJSV3WBYJGRhQ6zExamkszQ5VutGIcaQqmbD9ZTVXMQ/edit#gid=1251630045"",""articles_with_PRISMA_reasons!Y2:Y2113""), $A499=IMPORTRANGE(""https://docs.google.com/spreadsheets/d/1BJSV3WBYJGRhQ6z"&amp;"ExamkszQ5VutGIcaQqmbD9ZTVXMQ/edit#gid=1251630045"",""articles_with_PRISMA_reasons!B2:B2113""))&gt;=2,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$A499=IMPORTRANGE(""https://docs.google.com/spreadsheets/d/1BJSV3WBYJGRhQ6zExamkszQ5VutGIcaQqmbD9ZTVXMQ/edit#gid=1251630045"",""articles_with_PRISMA_reasons!B2:B2113""))&lt;2),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$A499=IMPORTRANGE(""https://docs.google.com/spreadsheets/d/1BJSV3WBYJGRhQ6zExamkszQ5VutGIcaQqmbD9ZTVXMQ/edit#gid=1251630045"",""arti"&amp;"cles_with_PRISMA_reasons!B2:B2113""))&lt;2,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$A499=IMPORTRANGE(""https://docs.google.com"&amp;"/spreadsheets/d/1BJSV3WBYJGRhQ6zExamkszQ5VutGIcaQqmbD9ZTVXMQ/edit#gid=1251630045"",""articles_with_PRISMA_reasons!B2:B2113""))&gt;=2),
""Exclude""
)"),"Include")</f>
        <v>Include</v>
      </c>
      <c r="E499" s="5" t="str">
        <f>IFERROR(__xludf.DUMMYFUNCTION("IFS(
D499=""Exclude"",""Exclude"",
AND(
FILTER(IMPORTRANGE(""https://docs.google.com/spreadsheets/d/1qpEmbGH0JjaJbUdp21-y2cPbobDbMjr09BbtdKROZWc/edit#gid=1444865654"",""articles_with_PRISMA_reasons!W2:W2113""), $A499=IMPORTRANGE(""https://docs.google.com/"&amp;"spreadsheets/d/1qpEmbGH0JjaJbUdp21-y2cPbobDbMjr09BbtdKROZWc/edit#gid=1444865654"",""articles_with_PRISMA_reasons!B2:B2113""))&gt;=2,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$A499=IMPORTRANGE(""https://docs.google.com/spreadsheets/d/1qpEmbGH0JjaJbUdp21-y2cPbobDbMjr09BbtdKROZWc/edit#gid=1444865654"",""articles_with_PRISMA_reasons!B2:B2113""))&lt;2),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$A499=IMPORTRANGE(""https://docs.google.com/spreadsheets/d/1qpEmbGH0JjaJbUdp21-y2cPbobDbMjr09BbtdKRO"&amp;"ZWc/edit#gid=1444865654"",""articles_with_PRISMA_reasons!B2:B2113""))&lt;2,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$A499=IMPOR"&amp;"TRANGE(""https://docs.google.com/spreadsheets/d/1qpEmbGH0JjaJbUdp21-y2cPbobDbMjr09BbtdKROZWc/edit#gid=1444865654"",""articles_with_PRISMA_reasons!B2:B2113""))&gt;=2),
""Exclude""
)"),"Include")</f>
        <v>Include</v>
      </c>
      <c r="F499" s="2" t="s">
        <v>8</v>
      </c>
      <c r="G499" s="2" t="s">
        <v>17</v>
      </c>
    </row>
    <row r="500">
      <c r="A500" s="4" t="str">
        <f>IFERROR(__xludf.DUMMYFUNCTION("""COMPUTED_VALUE"""),"Comparison of hydrocephalus metrics between infants successfully treated with endoscopic third ventriculostomy with choroid plexus cauterization and those treated with a ventriculoperitoneal shunt: A multicenter matched-cohort analysis")</f>
        <v>Comparison of hydrocephalus metrics between infants successfully treated with endoscopic third ventriculostomy with choroid plexus cauterization and those treated with a ventriculoperitoneal shunt: A multicenter matched-cohort analysis</v>
      </c>
      <c r="B500" s="5" t="str">
        <f>IFERROR(__xludf.DUMMYFUNCTION("LEFT(FILTER(IMPORTRANGE(""https://docs.google.com/spreadsheets/d/1BJSV3WBYJGRhQ6zExamkszQ5VutGIcaQqmbD9ZTVXMQ/edit#gid=1251630045"",""articles_with_PRISMA_reasons!K2:K2113""), $A500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$A500=IMPORTRANGE(""https://docs.google.com/spreadsheets/d/1BJSV3WBYJGRhQ6zExamkszQ5VutGIcaQqmbD9ZTVXMQ/edit#gid=1251630045"",""articles_with_PRISMA_reasons!B2:B2113"")))-1)"),"Dewan")</f>
        <v>Dewan</v>
      </c>
      <c r="C500" s="6">
        <f>IFERROR(__xludf.DUMMYFUNCTION("FILTER(IMPORTRANGE(""https://docs.google.com/spreadsheets/d/1BJSV3WBYJGRhQ6zExamkszQ5VutGIcaQqmbD9ZTVXMQ/edit#gid=1251630045"",""articles_with_PRISMA_reasons!C2:C2113""), $A500=IMPORTRANGE(""https://docs.google.com/spreadsheets/d/1BJSV3WBYJGRhQ6zExamkszQ5"&amp;"VutGIcaQqmbD9ZTVXMQ/edit#gid=1251630045"",""articles_with_PRISMA_reasons!B2:B2113""))"),2018.0)</f>
        <v>2018</v>
      </c>
      <c r="D500" s="5" t="str">
        <f>IFERROR(__xludf.DUMMYFUNCTION("IFS(AND(
FILTER(IMPORTRANGE(""https://docs.google.com/spreadsheets/d/1BJSV3WBYJGRhQ6zExamkszQ5VutGIcaQqmbD9ZTVXMQ/edit#gid=1251630045"",""articles_with_PRISMA_reasons!Y2:Y2113""), $A500=IMPORTRANGE(""https://docs.google.com/spreadsheets/d/1BJSV3WBYJGRhQ6z"&amp;"ExamkszQ5VutGIcaQqmbD9ZTVXMQ/edit#gid=1251630045"",""articles_with_PRISMA_reasons!B2:B2113""))&gt;=2,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$A500=IMPORTRANGE(""https://docs.google.com/spreadsheets/d/1BJSV3WBYJGRhQ6zExamkszQ5VutGIcaQqmbD9ZTVXMQ/edit#gid=1251630045"",""articles_with_PRISMA_reasons!B2:B2113""))&lt;2),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$A500=IMPORTRANGE(""https://docs.google.com/spreadsheets/d/1BJSV3WBYJGRhQ6zExamkszQ5VutGIcaQqmbD9ZTVXMQ/edit#gid=1251630045"",""arti"&amp;"cles_with_PRISMA_reasons!B2:B2113""))&lt;2,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$A500=IMPORTRANGE(""https://docs.google.com"&amp;"/spreadsheets/d/1BJSV3WBYJGRhQ6zExamkszQ5VutGIcaQqmbD9ZTVXMQ/edit#gid=1251630045"",""articles_with_PRISMA_reasons!B2:B2113""))&gt;=2),
""Exclude""
)"),"Include")</f>
        <v>Include</v>
      </c>
      <c r="E500" s="5" t="str">
        <f>IFERROR(__xludf.DUMMYFUNCTION("IFS(
D500=""Exclude"",""Exclude"",
AND(
FILTER(IMPORTRANGE(""https://docs.google.com/spreadsheets/d/1qpEmbGH0JjaJbUdp21-y2cPbobDbMjr09BbtdKROZWc/edit#gid=1444865654"",""articles_with_PRISMA_reasons!W2:W2113""), $A500=IMPORTRANGE(""https://docs.google.com/"&amp;"spreadsheets/d/1qpEmbGH0JjaJbUdp21-y2cPbobDbMjr09BbtdKROZWc/edit#gid=1444865654"",""articles_with_PRISMA_reasons!B2:B2113""))&gt;=2,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$A500=IMPORTRANGE(""https://docs.google.com/spreadsheets/d/1qpEmbGH0JjaJbUdp21-y2cPbobDbMjr09BbtdKROZWc/edit#gid=1444865654"",""articles_with_PRISMA_reasons!B2:B2113""))&lt;2),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$A500=IMPORTRANGE(""https://docs.google.com/spreadsheets/d/1qpEmbGH0JjaJbUdp21-y2cPbobDbMjr09BbtdKRO"&amp;"ZWc/edit#gid=1444865654"",""articles_with_PRISMA_reasons!B2:B2113""))&lt;2,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$A500=IMPOR"&amp;"TRANGE(""https://docs.google.com/spreadsheets/d/1qpEmbGH0JjaJbUdp21-y2cPbobDbMjr09BbtdKROZWc/edit#gid=1444865654"",""articles_with_PRISMA_reasons!B2:B2113""))&gt;=2),
""Exclude""
)"),"Include")</f>
        <v>Include</v>
      </c>
      <c r="F500" s="2" t="s">
        <v>8</v>
      </c>
      <c r="G500" s="2" t="s">
        <v>17</v>
      </c>
    </row>
    <row r="501">
      <c r="A501" s="4" t="str">
        <f>IFERROR(__xludf.DUMMYFUNCTION("""COMPUTED_VALUE"""),"Comparison of inherited neural tube defects in companion animals and livestock")</f>
        <v>Comparison of inherited neural tube defects in companion animals and livestock</v>
      </c>
      <c r="B501" s="5" t="str">
        <f>IFERROR(__xludf.DUMMYFUNCTION("LEFT(FILTER(IMPORTRANGE(""https://docs.google.com/spreadsheets/d/1BJSV3WBYJGRhQ6zExamkszQ5VutGIcaQqmbD9ZTVXMQ/edit#gid=1251630045"",""articles_with_PRISMA_reasons!K2:K2113""), $A501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$A501=IMPORTRANGE(""https://docs.google.com/spreadsheets/d/1BJSV3WBYJGRhQ6zExamkszQ5VutGIcaQqmbD9ZTVXMQ/edit#gid=1251630045"",""articles_with_PRISMA_reasons!B2:B2113"")))-1)"),"Zarzycki")</f>
        <v>Zarzycki</v>
      </c>
      <c r="C501" s="6">
        <f>IFERROR(__xludf.DUMMYFUNCTION("FILTER(IMPORTRANGE(""https://docs.google.com/spreadsheets/d/1BJSV3WBYJGRhQ6zExamkszQ5VutGIcaQqmbD9ZTVXMQ/edit#gid=1251630045"",""articles_with_PRISMA_reasons!C2:C2113""), $A501=IMPORTRANGE(""https://docs.google.com/spreadsheets/d/1BJSV3WBYJGRhQ6zExamkszQ5"&amp;"VutGIcaQqmbD9ZTVXMQ/edit#gid=1251630045"",""articles_with_PRISMA_reasons!B2:B2113""))"),2021.0)</f>
        <v>2021</v>
      </c>
      <c r="D501" s="5" t="str">
        <f>IFERROR(__xludf.DUMMYFUNCTION("IFS(AND(
FILTER(IMPORTRANGE(""https://docs.google.com/spreadsheets/d/1BJSV3WBYJGRhQ6zExamkszQ5VutGIcaQqmbD9ZTVXMQ/edit#gid=1251630045"",""articles_with_PRISMA_reasons!Y2:Y2113""), $A501=IMPORTRANGE(""https://docs.google.com/spreadsheets/d/1BJSV3WBYJGRhQ6z"&amp;"ExamkszQ5VutGIcaQqmbD9ZTVXMQ/edit#gid=1251630045"",""articles_with_PRISMA_reasons!B2:B2113""))&gt;=2,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$A501=IMPORTRANGE(""https://docs.google.com/spreadsheets/d/1BJSV3WBYJGRhQ6zExamkszQ5VutGIcaQqmbD9ZTVXMQ/edit#gid=1251630045"",""articles_with_PRISMA_reasons!B2:B2113""))&lt;2),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$A501=IMPORTRANGE(""https://docs.google.com/spreadsheets/d/1BJSV3WBYJGRhQ6zExamkszQ5VutGIcaQqmbD9ZTVXMQ/edit#gid=1251630045"",""arti"&amp;"cles_with_PRISMA_reasons!B2:B2113""))&lt;2,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$A501=IMPORTRANGE(""https://docs.google.com"&amp;"/spreadsheets/d/1BJSV3WBYJGRhQ6zExamkszQ5VutGIcaQqmbD9ZTVXMQ/edit#gid=1251630045"",""articles_with_PRISMA_reasons!B2:B2113""))&gt;=2),
""Exclude""
)"),"Exclude")</f>
        <v>Exclude</v>
      </c>
      <c r="E501" s="5" t="str">
        <f>IFERROR(__xludf.DUMMYFUNCTION("IFS(
D501=""Exclude"",""Exclude"",
AND(
FILTER(IMPORTRANGE(""https://docs.google.com/spreadsheets/d/1qpEmbGH0JjaJbUdp21-y2cPbobDbMjr09BbtdKROZWc/edit#gid=1444865654"",""articles_with_PRISMA_reasons!W2:W2113""), $A501=IMPORTRANGE(""https://docs.google.com/"&amp;"spreadsheets/d/1qpEmbGH0JjaJbUdp21-y2cPbobDbMjr09BbtdKROZWc/edit#gid=1444865654"",""articles_with_PRISMA_reasons!B2:B2113""))&gt;=2,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$A501=IMPORTRANGE(""https://docs.google.com/spreadsheets/d/1qpEmbGH0JjaJbUdp21-y2cPbobDbMjr09BbtdKROZWc/edit#gid=1444865654"",""articles_with_PRISMA_reasons!B2:B2113""))&lt;2),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$A501=IMPORTRANGE(""https://docs.google.com/spreadsheets/d/1qpEmbGH0JjaJbUdp21-y2cPbobDbMjr09BbtdKRO"&amp;"ZWc/edit#gid=1444865654"",""articles_with_PRISMA_reasons!B2:B2113""))&lt;2,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$A501=IMPOR"&amp;"TRANGE(""https://docs.google.com/spreadsheets/d/1qpEmbGH0JjaJbUdp21-y2cPbobDbMjr09BbtdKROZWc/edit#gid=1444865654"",""articles_with_PRISMA_reasons!B2:B2113""))&gt;=2),
""Exclude""
)"),"Exclude")</f>
        <v>Exclude</v>
      </c>
      <c r="F501" s="5" t="str">
        <f>IFERROR(__xludf.DUMMYFUNCTION("IFS(
E501=""Exclude"",""Exclude"",
AND(
COUNTIF(
IMPORTRANGE(""https://docs.google.com/spreadsheets/d/1kGrh75X1cNR1D7_FcY9zMnHP8iPO4M5RCRjy6nZY0TY/edit#gid=0"",""Table 1: Study characteristics!B4:B171""),A501)&gt;0,
COUNTIF(Studies!$A$2:$A$85,FILTER(IMPORTRA"&amp;"NGE(""https://docs.google.com/spreadsheets/d/1kGrh75X1cNR1D7_FcY9zMnHP8iPO4M5RCRjy6nZY0TY/edit#gid=0"",""Table 1: Study characteristics!A4:A171""), $A501=IMPORTRANGE(""https://docs.google.com/spreadsheets/d/1kGrh75X1cNR1D7_FcY9zMnHP8iPO4M5RCRjy6nZY0TY/edi"&amp;"t#gid=0"",""Table 1: Study characteristics!B4:B171"")))&gt;0
),
""Include""
)"),"Exclude")</f>
        <v>Exclude</v>
      </c>
      <c r="G501" s="5" t="str">
        <f>IFERROR(__xludf.DUMMYFUNCTION("IFS(
D501=""Exclude"",
FILTER(IMPORTRANGE(""https://docs.google.com/spreadsheets/d/1BJSV3WBYJGRhQ6zExamkszQ5VutGIcaQqmbD9ZTVXMQ/edit#gid=1251630045"",""articles_with_PRISMA_reasons!AB2:AB2113""), $A501=IMPORTRANGE(""https://docs.google.com/spreadsheets/d/"&amp;"1BJSV3WBYJGRhQ6zExamkszQ5VutGIcaQqmbD9ZTVXMQ/edit#gid=1251630045"",""articles_with_PRISMA_reasons!B2:B2113"")),
E501=""Exclude"",
FILTER(IMPORTRANGE(""https://docs.google.com/spreadsheets/d/1qpEmbGH0JjaJbUdp21-y2cPbobDbMjr09BbtdKROZWc/edit#gid=1444865654"&amp;""",""articles_with_PRISMA_reasons!Z2:Z2113""), $A501=IMPORTRANGE(""https://docs.google.com/spreadsheets/d/1qpEmbGH0JjaJbUdp21-y2cPbobDbMjr09BbtdKROZWc/edit#gid=1444865654"",""articles_with_PRISMA_reasons!B2:B2113"")),F501
=""Include"",FILTER(IMPORTRANGE("&amp;"""https://docs.google.com/spreadsheets/d/1kGrh75X1cNR1D7_FcY9zMnHP8iPO4M5RCRjy6nZY0TY/edit#gid=0"",""Table 1: Study characteristics!A4:A171""), $A501=IMPORTRANGE(""https://docs.google.com/spreadsheets/d/1kGrh75X1cNR1D7_FcY9zMnHP8iPO4M5RCRjy6nZY0TY/edit#gi"&amp;"d=0"",""Table 1: Study characteristics!B4:B171""))
)"),"wrong study design")</f>
        <v>wrong study design</v>
      </c>
    </row>
    <row r="502">
      <c r="A502" s="4" t="str">
        <f>IFERROR(__xludf.DUMMYFUNCTION("""COMPUTED_VALUE"""),"Comparison of Prenatal and Postnatal Management of Patients with Myelomeningocele")</f>
        <v>Comparison of Prenatal and Postnatal Management of Patients with Myelomeningocele</v>
      </c>
      <c r="B502" s="5" t="str">
        <f>IFERROR(__xludf.DUMMYFUNCTION("LEFT(FILTER(IMPORTRANGE(""https://docs.google.com/spreadsheets/d/1BJSV3WBYJGRhQ6zExamkszQ5VutGIcaQqmbD9ZTVXMQ/edit#gid=1251630045"",""articles_with_PRISMA_reasons!K2:K2113""), $A502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$A502=IMPORTRANGE(""https://docs.google.com/spreadsheets/d/1BJSV3WBYJGRhQ6zExamkszQ5VutGIcaQqmbD9ZTVXMQ/edit#gid=1251630045"",""articles_with_PRISMA_reasons!B2:B2113"")))-1)"),"Cavalheiro")</f>
        <v>Cavalheiro</v>
      </c>
      <c r="C502" s="6">
        <f>IFERROR(__xludf.DUMMYFUNCTION("FILTER(IMPORTRANGE(""https://docs.google.com/spreadsheets/d/1BJSV3WBYJGRhQ6zExamkszQ5VutGIcaQqmbD9ZTVXMQ/edit#gid=1251630045"",""articles_with_PRISMA_reasons!C2:C2113""), $A502=IMPORTRANGE(""https://docs.google.com/spreadsheets/d/1BJSV3WBYJGRhQ6zExamkszQ5"&amp;"VutGIcaQqmbD9ZTVXMQ/edit#gid=1251630045"",""articles_with_PRISMA_reasons!B2:B2113""))"),2017.0)</f>
        <v>2017</v>
      </c>
      <c r="D502" s="5" t="str">
        <f>IFERROR(__xludf.DUMMYFUNCTION("IFS(AND(
FILTER(IMPORTRANGE(""https://docs.google.com/spreadsheets/d/1BJSV3WBYJGRhQ6zExamkszQ5VutGIcaQqmbD9ZTVXMQ/edit#gid=1251630045"",""articles_with_PRISMA_reasons!Y2:Y2113""), $A502=IMPORTRANGE(""https://docs.google.com/spreadsheets/d/1BJSV3WBYJGRhQ6z"&amp;"ExamkszQ5VutGIcaQqmbD9ZTVXMQ/edit#gid=1251630045"",""articles_with_PRISMA_reasons!B2:B2113""))&gt;=2,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$A502=IMPORTRANGE(""https://docs.google.com/spreadsheets/d/1BJSV3WBYJGRhQ6zExamkszQ5VutGIcaQqmbD9ZTVXMQ/edit#gid=1251630045"",""articles_with_PRISMA_reasons!B2:B2113""))&lt;2),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$A502=IMPORTRANGE(""https://docs.google.com/spreadsheets/d/1BJSV3WBYJGRhQ6zExamkszQ5VutGIcaQqmbD9ZTVXMQ/edit#gid=1251630045"",""arti"&amp;"cles_with_PRISMA_reasons!B2:B2113""))&lt;2,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$A502=IMPORTRANGE(""https://docs.google.com"&amp;"/spreadsheets/d/1BJSV3WBYJGRhQ6zExamkszQ5VutGIcaQqmbD9ZTVXMQ/edit#gid=1251630045"",""articles_with_PRISMA_reasons!B2:B2113""))&gt;=2),
""Exclude""
)"),"Exclude")</f>
        <v>Exclude</v>
      </c>
      <c r="E502" s="5" t="str">
        <f>IFERROR(__xludf.DUMMYFUNCTION("IFS(
D502=""Exclude"",""Exclude"",
AND(
FILTER(IMPORTRANGE(""https://docs.google.com/spreadsheets/d/1qpEmbGH0JjaJbUdp21-y2cPbobDbMjr09BbtdKROZWc/edit#gid=1444865654"",""articles_with_PRISMA_reasons!W2:W2113""), $A502=IMPORTRANGE(""https://docs.google.com/"&amp;"spreadsheets/d/1qpEmbGH0JjaJbUdp21-y2cPbobDbMjr09BbtdKROZWc/edit#gid=1444865654"",""articles_with_PRISMA_reasons!B2:B2113""))&gt;=2,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$A502=IMPORTRANGE(""https://docs.google.com/spreadsheets/d/1qpEmbGH0JjaJbUdp21-y2cPbobDbMjr09BbtdKROZWc/edit#gid=1444865654"",""articles_with_PRISMA_reasons!B2:B2113""))&lt;2),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$A502=IMPORTRANGE(""https://docs.google.com/spreadsheets/d/1qpEmbGH0JjaJbUdp21-y2cPbobDbMjr09BbtdKRO"&amp;"ZWc/edit#gid=1444865654"",""articles_with_PRISMA_reasons!B2:B2113""))&lt;2,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$A502=IMPOR"&amp;"TRANGE(""https://docs.google.com/spreadsheets/d/1qpEmbGH0JjaJbUdp21-y2cPbobDbMjr09BbtdKROZWc/edit#gid=1444865654"",""articles_with_PRISMA_reasons!B2:B2113""))&gt;=2),
""Exclude""
)"),"Exclude")</f>
        <v>Exclude</v>
      </c>
      <c r="F502" s="5" t="str">
        <f>IFERROR(__xludf.DUMMYFUNCTION("IFS(
E502=""Exclude"",""Exclude"",
AND(
COUNTIF(
IMPORTRANGE(""https://docs.google.com/spreadsheets/d/1kGrh75X1cNR1D7_FcY9zMnHP8iPO4M5RCRjy6nZY0TY/edit#gid=0"",""Table 1: Study characteristics!B4:B171""),A502)&gt;0,
COUNTIF(Studies!$A$2:$A$85,FILTER(IMPORTRA"&amp;"NGE(""https://docs.google.com/spreadsheets/d/1kGrh75X1cNR1D7_FcY9zMnHP8iPO4M5RCRjy6nZY0TY/edit#gid=0"",""Table 1: Study characteristics!A4:A171""), $A502=IMPORTRANGE(""https://docs.google.com/spreadsheets/d/1kGrh75X1cNR1D7_FcY9zMnHP8iPO4M5RCRjy6nZY0TY/edi"&amp;"t#gid=0"",""Table 1: Study characteristics!B4:B171"")))&gt;0
),
""Include""
)"),"Exclude")</f>
        <v>Exclude</v>
      </c>
      <c r="G502" s="5" t="str">
        <f>IFERROR(__xludf.DUMMYFUNCTION("IFS(
D502=""Exclude"",
FILTER(IMPORTRANGE(""https://docs.google.com/spreadsheets/d/1BJSV3WBYJGRhQ6zExamkszQ5VutGIcaQqmbD9ZTVXMQ/edit#gid=1251630045"",""articles_with_PRISMA_reasons!AB2:AB2113""), $A502=IMPORTRANGE(""https://docs.google.com/spreadsheets/d/"&amp;"1BJSV3WBYJGRhQ6zExamkszQ5VutGIcaQqmbD9ZTVXMQ/edit#gid=1251630045"",""articles_with_PRISMA_reasons!B2:B2113"")),
E502=""Exclude"",
FILTER(IMPORTRANGE(""https://docs.google.com/spreadsheets/d/1qpEmbGH0JjaJbUdp21-y2cPbobDbMjr09BbtdKROZWc/edit#gid=1444865654"&amp;""",""articles_with_PRISMA_reasons!Z2:Z2113""), $A502=IMPORTRANGE(""https://docs.google.com/spreadsheets/d/1qpEmbGH0JjaJbUdp21-y2cPbobDbMjr09BbtdKROZWc/edit#gid=1444865654"",""articles_with_PRISMA_reasons!B2:B2113"")),F502
=""Include"",FILTER(IMPORTRANGE("&amp;"""https://docs.google.com/spreadsheets/d/1kGrh75X1cNR1D7_FcY9zMnHP8iPO4M5RCRjy6nZY0TY/edit#gid=0"",""Table 1: Study characteristics!A4:A171""), $A502=IMPORTRANGE(""https://docs.google.com/spreadsheets/d/1kGrh75X1cNR1D7_FcY9zMnHP8iPO4M5RCRjy6nZY0TY/edit#gi"&amp;"d=0"",""Table 1: Study characteristics!B4:B171""))
)"),"wrong study design")</f>
        <v>wrong study design</v>
      </c>
    </row>
    <row r="503">
      <c r="A503" s="4" t="str">
        <f>IFERROR(__xludf.DUMMYFUNCTION("""COMPUTED_VALUE"""),"Comparison of prenatal and postnatal MRI findings in the evaluation of intrauterine CNS anomalies requiring postnatal neurosurgical treatment")</f>
        <v>Comparison of prenatal and postnatal MRI findings in the evaluation of intrauterine CNS anomalies requiring postnatal neurosurgical treatment</v>
      </c>
      <c r="B503" s="5" t="str">
        <f>IFERROR(__xludf.DUMMYFUNCTION("LEFT(FILTER(IMPORTRANGE(""https://docs.google.com/spreadsheets/d/1BJSV3WBYJGRhQ6zExamkszQ5VutGIcaQqmbD9ZTVXMQ/edit#gid=1251630045"",""articles_with_PRISMA_reasons!K2:K2113""), $A503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$A503=IMPORTRANGE(""https://docs.google.com/spreadsheets/d/1BJSV3WBYJGRhQ6zExamkszQ5VutGIcaQqmbD9ZTVXMQ/edit#gid=1251630045"",""articles_with_PRISMA_reasons!B2:B2113"")))-1)"),"Papadias")</f>
        <v>Papadias</v>
      </c>
      <c r="C503" s="6">
        <f>IFERROR(__xludf.DUMMYFUNCTION("FILTER(IMPORTRANGE(""https://docs.google.com/spreadsheets/d/1BJSV3WBYJGRhQ6zExamkszQ5VutGIcaQqmbD9ZTVXMQ/edit#gid=1251630045"",""articles_with_PRISMA_reasons!C2:C2113""), $A503=IMPORTRANGE(""https://docs.google.com/spreadsheets/d/1BJSV3WBYJGRhQ6zExamkszQ5"&amp;"VutGIcaQqmbD9ZTVXMQ/edit#gid=1251630045"",""articles_with_PRISMA_reasons!B2:B2113""))"),2008.0)</f>
        <v>2008</v>
      </c>
      <c r="D503" s="5" t="str">
        <f>IFERROR(__xludf.DUMMYFUNCTION("IFS(AND(
FILTER(IMPORTRANGE(""https://docs.google.com/spreadsheets/d/1BJSV3WBYJGRhQ6zExamkszQ5VutGIcaQqmbD9ZTVXMQ/edit#gid=1251630045"",""articles_with_PRISMA_reasons!Y2:Y2113""), $A503=IMPORTRANGE(""https://docs.google.com/spreadsheets/d/1BJSV3WBYJGRhQ6z"&amp;"ExamkszQ5VutGIcaQqmbD9ZTVXMQ/edit#gid=1251630045"",""articles_with_PRISMA_reasons!B2:B2113""))&gt;=2,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$A503=IMPORTRANGE(""https://docs.google.com/spreadsheets/d/1BJSV3WBYJGRhQ6zExamkszQ5VutGIcaQqmbD9ZTVXMQ/edit#gid=1251630045"",""articles_with_PRISMA_reasons!B2:B2113""))&lt;2),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$A503=IMPORTRANGE(""https://docs.google.com/spreadsheets/d/1BJSV3WBYJGRhQ6zExamkszQ5VutGIcaQqmbD9ZTVXMQ/edit#gid=1251630045"",""arti"&amp;"cles_with_PRISMA_reasons!B2:B2113""))&lt;2,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$A503=IMPORTRANGE(""https://docs.google.com"&amp;"/spreadsheets/d/1BJSV3WBYJGRhQ6zExamkszQ5VutGIcaQqmbD9ZTVXMQ/edit#gid=1251630045"",""articles_with_PRISMA_reasons!B2:B2113""))&gt;=2),
""Exclude""
)"),"Exclude")</f>
        <v>Exclude</v>
      </c>
      <c r="E503" s="5" t="str">
        <f>IFERROR(__xludf.DUMMYFUNCTION("IFS(
D503=""Exclude"",""Exclude"",
AND(
FILTER(IMPORTRANGE(""https://docs.google.com/spreadsheets/d/1qpEmbGH0JjaJbUdp21-y2cPbobDbMjr09BbtdKROZWc/edit#gid=1444865654"",""articles_with_PRISMA_reasons!W2:W2113""), $A503=IMPORTRANGE(""https://docs.google.com/"&amp;"spreadsheets/d/1qpEmbGH0JjaJbUdp21-y2cPbobDbMjr09BbtdKROZWc/edit#gid=1444865654"",""articles_with_PRISMA_reasons!B2:B2113""))&gt;=2,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$A503=IMPORTRANGE(""https://docs.google.com/spreadsheets/d/1qpEmbGH0JjaJbUdp21-y2cPbobDbMjr09BbtdKROZWc/edit#gid=1444865654"",""articles_with_PRISMA_reasons!B2:B2113""))&lt;2),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$A503=IMPORTRANGE(""https://docs.google.com/spreadsheets/d/1qpEmbGH0JjaJbUdp21-y2cPbobDbMjr09BbtdKRO"&amp;"ZWc/edit#gid=1444865654"",""articles_with_PRISMA_reasons!B2:B2113""))&lt;2,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$A503=IMPOR"&amp;"TRANGE(""https://docs.google.com/spreadsheets/d/1qpEmbGH0JjaJbUdp21-y2cPbobDbMjr09BbtdKROZWc/edit#gid=1444865654"",""articles_with_PRISMA_reasons!B2:B2113""))&gt;=2),
""Exclude""
)"),"Exclude")</f>
        <v>Exclude</v>
      </c>
      <c r="F503" s="5" t="str">
        <f>IFERROR(__xludf.DUMMYFUNCTION("IFS(
E503=""Exclude"",""Exclude"",
AND(
COUNTIF(
IMPORTRANGE(""https://docs.google.com/spreadsheets/d/1kGrh75X1cNR1D7_FcY9zMnHP8iPO4M5RCRjy6nZY0TY/edit#gid=0"",""Table 1: Study characteristics!B4:B171""),A503)&gt;0,
COUNTIF(Studies!$A$2:$A$85,FILTER(IMPORTRA"&amp;"NGE(""https://docs.google.com/spreadsheets/d/1kGrh75X1cNR1D7_FcY9zMnHP8iPO4M5RCRjy6nZY0TY/edit#gid=0"",""Table 1: Study characteristics!A4:A171""), $A503=IMPORTRANGE(""https://docs.google.com/spreadsheets/d/1kGrh75X1cNR1D7_FcY9zMnHP8iPO4M5RCRjy6nZY0TY/edi"&amp;"t#gid=0"",""Table 1: Study characteristics!B4:B171"")))&gt;0
),
""Include""
)"),"Exclude")</f>
        <v>Exclude</v>
      </c>
      <c r="G503" s="5" t="str">
        <f>IFERROR(__xludf.DUMMYFUNCTION("IFS(
D503=""Exclude"",
FILTER(IMPORTRANGE(""https://docs.google.com/spreadsheets/d/1BJSV3WBYJGRhQ6zExamkszQ5VutGIcaQqmbD9ZTVXMQ/edit#gid=1251630045"",""articles_with_PRISMA_reasons!AB2:AB2113""), $A503=IMPORTRANGE(""https://docs.google.com/spreadsheets/d/"&amp;"1BJSV3WBYJGRhQ6zExamkszQ5VutGIcaQqmbD9ZTVXMQ/edit#gid=1251630045"",""articles_with_PRISMA_reasons!B2:B2113"")),
E503=""Exclude"",
FILTER(IMPORTRANGE(""https://docs.google.com/spreadsheets/d/1qpEmbGH0JjaJbUdp21-y2cPbobDbMjr09BbtdKROZWc/edit#gid=1444865654"&amp;""",""articles_with_PRISMA_reasons!Z2:Z2113""), $A503=IMPORTRANGE(""https://docs.google.com/spreadsheets/d/1qpEmbGH0JjaJbUdp21-y2cPbobDbMjr09BbtdKROZWc/edit#gid=1444865654"",""articles_with_PRISMA_reasons!B2:B2113"")),F503
=""Include"",FILTER(IMPORTRANGE("&amp;"""https://docs.google.com/spreadsheets/d/1kGrh75X1cNR1D7_FcY9zMnHP8iPO4M5RCRjy6nZY0TY/edit#gid=0"",""Table 1: Study characteristics!A4:A171""), $A503=IMPORTRANGE(""https://docs.google.com/spreadsheets/d/1kGrh75X1cNR1D7_FcY9zMnHP8iPO4M5RCRjy6nZY0TY/edit#gi"&amp;"d=0"",""Table 1: Study characteristics!B4:B171""))
)"),"wrong population")</f>
        <v>wrong population</v>
      </c>
    </row>
    <row r="504">
      <c r="A504" s="4" t="str">
        <f>IFERROR(__xludf.DUMMYFUNCTION("""COMPUTED_VALUE"""),"Comparison of prenatal and postnatal treatments of spina bifida in Poland-a non-randomized, single-center study")</f>
        <v>Comparison of prenatal and postnatal treatments of spina bifida in Poland-a non-randomized, single-center study</v>
      </c>
      <c r="B504" s="5" t="str">
        <f>IFERROR(__xludf.DUMMYFUNCTION("LEFT(FILTER(IMPORTRANGE(""https://docs.google.com/spreadsheets/d/1BJSV3WBYJGRhQ6zExamkszQ5VutGIcaQqmbD9ZTVXMQ/edit#gid=1251630045"",""articles_with_PRISMA_reasons!K2:K2113""), $A504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$A504=IMPORTRANGE(""https://docs.google.com/spreadsheets/d/1BJSV3WBYJGRhQ6zExamkszQ5VutGIcaQqmbD9ZTVXMQ/edit#gid=1251630045"",""articles_with_PRISMA_reasons!B2:B2113"")))-1)"),"Zamlynski")</f>
        <v>Zamlynski</v>
      </c>
      <c r="C504" s="6">
        <f>IFERROR(__xludf.DUMMYFUNCTION("FILTER(IMPORTRANGE(""https://docs.google.com/spreadsheets/d/1BJSV3WBYJGRhQ6zExamkszQ5VutGIcaQqmbD9ZTVXMQ/edit#gid=1251630045"",""articles_with_PRISMA_reasons!C2:C2113""), $A504=IMPORTRANGE(""https://docs.google.com/spreadsheets/d/1BJSV3WBYJGRhQ6zExamkszQ5"&amp;"VutGIcaQqmbD9ZTVXMQ/edit#gid=1251630045"",""articles_with_PRISMA_reasons!B2:B2113""))"),2014.0)</f>
        <v>2014</v>
      </c>
      <c r="D504" s="5" t="str">
        <f>IFERROR(__xludf.DUMMYFUNCTION("IFS(AND(
FILTER(IMPORTRANGE(""https://docs.google.com/spreadsheets/d/1BJSV3WBYJGRhQ6zExamkszQ5VutGIcaQqmbD9ZTVXMQ/edit#gid=1251630045"",""articles_with_PRISMA_reasons!Y2:Y2113""), $A504=IMPORTRANGE(""https://docs.google.com/spreadsheets/d/1BJSV3WBYJGRhQ6z"&amp;"ExamkszQ5VutGIcaQqmbD9ZTVXMQ/edit#gid=1251630045"",""articles_with_PRISMA_reasons!B2:B2113""))&gt;=2,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$A504=IMPORTRANGE(""https://docs.google.com/spreadsheets/d/1BJSV3WBYJGRhQ6zExamkszQ5VutGIcaQqmbD9ZTVXMQ/edit#gid=1251630045"",""articles_with_PRISMA_reasons!B2:B2113""))&lt;2),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$A504=IMPORTRANGE(""https://docs.google.com/spreadsheets/d/1BJSV3WBYJGRhQ6zExamkszQ5VutGIcaQqmbD9ZTVXMQ/edit#gid=1251630045"",""arti"&amp;"cles_with_PRISMA_reasons!B2:B2113""))&lt;2,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$A504=IMPORTRANGE(""https://docs.google.com"&amp;"/spreadsheets/d/1BJSV3WBYJGRhQ6zExamkszQ5VutGIcaQqmbD9ZTVXMQ/edit#gid=1251630045"",""articles_with_PRISMA_reasons!B2:B2113""))&gt;=2),
""Exclude""
)"),"Exclude")</f>
        <v>Exclude</v>
      </c>
      <c r="E504" s="5" t="str">
        <f>IFERROR(__xludf.DUMMYFUNCTION("IFS(
D504=""Exclude"",""Exclude"",
AND(
FILTER(IMPORTRANGE(""https://docs.google.com/spreadsheets/d/1qpEmbGH0JjaJbUdp21-y2cPbobDbMjr09BbtdKROZWc/edit#gid=1444865654"",""articles_with_PRISMA_reasons!W2:W2113""), $A504=IMPORTRANGE(""https://docs.google.com/"&amp;"spreadsheets/d/1qpEmbGH0JjaJbUdp21-y2cPbobDbMjr09BbtdKROZWc/edit#gid=1444865654"",""articles_with_PRISMA_reasons!B2:B2113""))&gt;=2,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$A504=IMPORTRANGE(""https://docs.google.com/spreadsheets/d/1qpEmbGH0JjaJbUdp21-y2cPbobDbMjr09BbtdKROZWc/edit#gid=1444865654"",""articles_with_PRISMA_reasons!B2:B2113""))&lt;2),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$A504=IMPORTRANGE(""https://docs.google.com/spreadsheets/d/1qpEmbGH0JjaJbUdp21-y2cPbobDbMjr09BbtdKRO"&amp;"ZWc/edit#gid=1444865654"",""articles_with_PRISMA_reasons!B2:B2113""))&lt;2,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$A504=IMPOR"&amp;"TRANGE(""https://docs.google.com/spreadsheets/d/1qpEmbGH0JjaJbUdp21-y2cPbobDbMjr09BbtdKROZWc/edit#gid=1444865654"",""articles_with_PRISMA_reasons!B2:B2113""))&gt;=2),
""Exclude""
)"),"Exclude")</f>
        <v>Exclude</v>
      </c>
      <c r="F504" s="5" t="str">
        <f>IFERROR(__xludf.DUMMYFUNCTION("IFS(
E504=""Exclude"",""Exclude"",
AND(
COUNTIF(
IMPORTRANGE(""https://docs.google.com/spreadsheets/d/1kGrh75X1cNR1D7_FcY9zMnHP8iPO4M5RCRjy6nZY0TY/edit#gid=0"",""Table 1: Study characteristics!B4:B171""),A504)&gt;0,
COUNTIF(Studies!$A$2:$A$85,FILTER(IMPORTRA"&amp;"NGE(""https://docs.google.com/spreadsheets/d/1kGrh75X1cNR1D7_FcY9zMnHP8iPO4M5RCRjy6nZY0TY/edit#gid=0"",""Table 1: Study characteristics!A4:A171""), $A504=IMPORTRANGE(""https://docs.google.com/spreadsheets/d/1kGrh75X1cNR1D7_FcY9zMnHP8iPO4M5RCRjy6nZY0TY/edi"&amp;"t#gid=0"",""Table 1: Study characteristics!B4:B171"")))&gt;0
),
""Include""
)"),"Exclude")</f>
        <v>Exclude</v>
      </c>
      <c r="G504" s="5" t="str">
        <f>IFERROR(__xludf.DUMMYFUNCTION("IFS(
D504=""Exclude"",
FILTER(IMPORTRANGE(""https://docs.google.com/spreadsheets/d/1BJSV3WBYJGRhQ6zExamkszQ5VutGIcaQqmbD9ZTVXMQ/edit#gid=1251630045"",""articles_with_PRISMA_reasons!AB2:AB2113""), $A504=IMPORTRANGE(""https://docs.google.com/spreadsheets/d/"&amp;"1BJSV3WBYJGRhQ6zExamkszQ5VutGIcaQqmbD9ZTVXMQ/edit#gid=1251630045"",""articles_with_PRISMA_reasons!B2:B2113"")),
E504=""Exclude"",
FILTER(IMPORTRANGE(""https://docs.google.com/spreadsheets/d/1qpEmbGH0JjaJbUdp21-y2cPbobDbMjr09BbtdKROZWc/edit#gid=1444865654"&amp;""",""articles_with_PRISMA_reasons!Z2:Z2113""), $A504=IMPORTRANGE(""https://docs.google.com/spreadsheets/d/1qpEmbGH0JjaJbUdp21-y2cPbobDbMjr09BbtdKROZWc/edit#gid=1444865654"",""articles_with_PRISMA_reasons!B2:B2113"")),F504
=""Include"",FILTER(IMPORTRANGE("&amp;"""https://docs.google.com/spreadsheets/d/1kGrh75X1cNR1D7_FcY9zMnHP8iPO4M5RCRjy6nZY0TY/edit#gid=0"",""Table 1: Study characteristics!A4:A171""), $A504=IMPORTRANGE(""https://docs.google.com/spreadsheets/d/1kGrh75X1cNR1D7_FcY9zMnHP8iPO4M5RCRjy6nZY0TY/edit#gi"&amp;"d=0"",""Table 1: Study characteristics!B4:B171""))
)"),"wrong population")</f>
        <v>wrong population</v>
      </c>
    </row>
    <row r="505">
      <c r="A505" s="4" t="str">
        <f>IFERROR(__xludf.DUMMYFUNCTION("""COMPUTED_VALUE"""),"Comparison of risk of anticholinergic utilization for treatment of neurogenic bladder between in utero or postnatal myelomeningocele repair")</f>
        <v>Comparison of risk of anticholinergic utilization for treatment of neurogenic bladder between in utero or postnatal myelomeningocele repair</v>
      </c>
      <c r="B505" s="5" t="str">
        <f>IFERROR(__xludf.DUMMYFUNCTION("LEFT(FILTER(IMPORTRANGE(""https://docs.google.com/spreadsheets/d/1BJSV3WBYJGRhQ6zExamkszQ5VutGIcaQqmbD9ZTVXMQ/edit#gid=1251630045"",""articles_with_PRISMA_reasons!K2:K2113""), $A505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$A505=IMPORTRANGE(""https://docs.google.com/spreadsheets/d/1BJSV3WBYJGRhQ6zExamkszQ5VutGIcaQqmbD9ZTVXMQ/edit#gid=1251630045"",""articles_with_PRISMA_reasons!B2:B2113"")))-1)"),"Zaccaria")</f>
        <v>Zaccaria</v>
      </c>
      <c r="C505" s="6">
        <f>IFERROR(__xludf.DUMMYFUNCTION("FILTER(IMPORTRANGE(""https://docs.google.com/spreadsheets/d/1BJSV3WBYJGRhQ6zExamkszQ5VutGIcaQqmbD9ZTVXMQ/edit#gid=1251630045"",""articles_with_PRISMA_reasons!C2:C2113""), $A505=IMPORTRANGE(""https://docs.google.com/spreadsheets/d/1BJSV3WBYJGRhQ6zExamkszQ5"&amp;"VutGIcaQqmbD9ZTVXMQ/edit#gid=1251630045"",""articles_with_PRISMA_reasons!B2:B2113""))"),2021.0)</f>
        <v>2021</v>
      </c>
      <c r="D505" s="5" t="str">
        <f>IFERROR(__xludf.DUMMYFUNCTION("IFS(AND(
FILTER(IMPORTRANGE(""https://docs.google.com/spreadsheets/d/1BJSV3WBYJGRhQ6zExamkszQ5VutGIcaQqmbD9ZTVXMQ/edit#gid=1251630045"",""articles_with_PRISMA_reasons!Y2:Y2113""), $A505=IMPORTRANGE(""https://docs.google.com/spreadsheets/d/1BJSV3WBYJGRhQ6z"&amp;"ExamkszQ5VutGIcaQqmbD9ZTVXMQ/edit#gid=1251630045"",""articles_with_PRISMA_reasons!B2:B2113""))&gt;=2,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$A505=IMPORTRANGE(""https://docs.google.com/spreadsheets/d/1BJSV3WBYJGRhQ6zExamkszQ5VutGIcaQqmbD9ZTVXMQ/edit#gid=1251630045"",""articles_with_PRISMA_reasons!B2:B2113""))&lt;2),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$A505=IMPORTRANGE(""https://docs.google.com/spreadsheets/d/1BJSV3WBYJGRhQ6zExamkszQ5VutGIcaQqmbD9ZTVXMQ/edit#gid=1251630045"",""arti"&amp;"cles_with_PRISMA_reasons!B2:B2113""))&lt;2,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$A505=IMPORTRANGE(""https://docs.google.com"&amp;"/spreadsheets/d/1BJSV3WBYJGRhQ6zExamkszQ5VutGIcaQqmbD9ZTVXMQ/edit#gid=1251630045"",""articles_with_PRISMA_reasons!B2:B2113""))&gt;=2),
""Exclude""
)"),"Exclude")</f>
        <v>Exclude</v>
      </c>
      <c r="E505" s="5" t="str">
        <f>IFERROR(__xludf.DUMMYFUNCTION("IFS(
D505=""Exclude"",""Exclude"",
AND(
FILTER(IMPORTRANGE(""https://docs.google.com/spreadsheets/d/1qpEmbGH0JjaJbUdp21-y2cPbobDbMjr09BbtdKROZWc/edit#gid=1444865654"",""articles_with_PRISMA_reasons!W2:W2113""), $A505=IMPORTRANGE(""https://docs.google.com/"&amp;"spreadsheets/d/1qpEmbGH0JjaJbUdp21-y2cPbobDbMjr09BbtdKROZWc/edit#gid=1444865654"",""articles_with_PRISMA_reasons!B2:B2113""))&gt;=2,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$A505=IMPORTRANGE(""https://docs.google.com/spreadsheets/d/1qpEmbGH0JjaJbUdp21-y2cPbobDbMjr09BbtdKROZWc/edit#gid=1444865654"",""articles_with_PRISMA_reasons!B2:B2113""))&lt;2),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$A505=IMPORTRANGE(""https://docs.google.com/spreadsheets/d/1qpEmbGH0JjaJbUdp21-y2cPbobDbMjr09BbtdKRO"&amp;"ZWc/edit#gid=1444865654"",""articles_with_PRISMA_reasons!B2:B2113""))&lt;2,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$A505=IMPOR"&amp;"TRANGE(""https://docs.google.com/spreadsheets/d/1qpEmbGH0JjaJbUdp21-y2cPbobDbMjr09BbtdKROZWc/edit#gid=1444865654"",""articles_with_PRISMA_reasons!B2:B2113""))&gt;=2),
""Exclude""
)"),"Exclude")</f>
        <v>Exclude</v>
      </c>
      <c r="F505" s="5" t="str">
        <f>IFERROR(__xludf.DUMMYFUNCTION("IFS(
E505=""Exclude"",""Exclude"",
AND(
COUNTIF(
IMPORTRANGE(""https://docs.google.com/spreadsheets/d/1kGrh75X1cNR1D7_FcY9zMnHP8iPO4M5RCRjy6nZY0TY/edit#gid=0"",""Table 1: Study characteristics!B4:B171""),A505)&gt;0,
COUNTIF(Studies!$A$2:$A$85,FILTER(IMPORTRA"&amp;"NGE(""https://docs.google.com/spreadsheets/d/1kGrh75X1cNR1D7_FcY9zMnHP8iPO4M5RCRjy6nZY0TY/edit#gid=0"",""Table 1: Study characteristics!A4:A171""), $A505=IMPORTRANGE(""https://docs.google.com/spreadsheets/d/1kGrh75X1cNR1D7_FcY9zMnHP8iPO4M5RCRjy6nZY0TY/edi"&amp;"t#gid=0"",""Table 1: Study characteristics!B4:B171"")))&gt;0
),
""Include""
)"),"Exclude")</f>
        <v>Exclude</v>
      </c>
      <c r="G505" s="5" t="str">
        <f>IFERROR(__xludf.DUMMYFUNCTION("IFS(
D505=""Exclude"",
FILTER(IMPORTRANGE(""https://docs.google.com/spreadsheets/d/1BJSV3WBYJGRhQ6zExamkszQ5VutGIcaQqmbD9ZTVXMQ/edit#gid=1251630045"",""articles_with_PRISMA_reasons!AB2:AB2113""), $A505=IMPORTRANGE(""https://docs.google.com/spreadsheets/d/"&amp;"1BJSV3WBYJGRhQ6zExamkszQ5VutGIcaQqmbD9ZTVXMQ/edit#gid=1251630045"",""articles_with_PRISMA_reasons!B2:B2113"")),
E505=""Exclude"",
FILTER(IMPORTRANGE(""https://docs.google.com/spreadsheets/d/1qpEmbGH0JjaJbUdp21-y2cPbobDbMjr09BbtdKROZWc/edit#gid=1444865654"&amp;""",""articles_with_PRISMA_reasons!Z2:Z2113""), $A505=IMPORTRANGE(""https://docs.google.com/spreadsheets/d/1qpEmbGH0JjaJbUdp21-y2cPbobDbMjr09BbtdKROZWc/edit#gid=1444865654"",""articles_with_PRISMA_reasons!B2:B2113"")),F505
=""Include"",FILTER(IMPORTRANGE("&amp;"""https://docs.google.com/spreadsheets/d/1kGrh75X1cNR1D7_FcY9zMnHP8iPO4M5RCRjy6nZY0TY/edit#gid=0"",""Table 1: Study characteristics!A4:A171""), $A505=IMPORTRANGE(""https://docs.google.com/spreadsheets/d/1kGrh75X1cNR1D7_FcY9zMnHP8iPO4M5RCRjy6nZY0TY/edit#gi"&amp;"d=0"",""Table 1: Study characteristics!B4:B171""))
)"),"wrong study design")</f>
        <v>wrong study design</v>
      </c>
    </row>
    <row r="506">
      <c r="A506" s="4" t="str">
        <f>IFERROR(__xludf.DUMMYFUNCTION("""COMPUTED_VALUE"""),"Comparison of simultaneous shunting to delayed shunting in infants with myelomeningocele in terms of shunt infection rate")</f>
        <v>Comparison of simultaneous shunting to delayed shunting in infants with myelomeningocele in terms of shunt infection rate</v>
      </c>
      <c r="B506" s="5" t="str">
        <f>IFERROR(__xludf.DUMMYFUNCTION("LEFT(FILTER(IMPORTRANGE(""https://docs.google.com/spreadsheets/d/1BJSV3WBYJGRhQ6zExamkszQ5VutGIcaQqmbD9ZTVXMQ/edit#gid=1251630045"",""articles_with_PRISMA_reasons!K2:K2113""), $A506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$A506=IMPORTRANGE(""https://docs.google.com/spreadsheets/d/1BJSV3WBYJGRhQ6zExamkszQ5VutGIcaQqmbD9ZTVXMQ/edit#gid=1251630045"",""articles_with_PRISMA_reasons!B2:B2113"")))-1)"),"Arslan")</f>
        <v>Arslan</v>
      </c>
      <c r="C506" s="6">
        <f>IFERROR(__xludf.DUMMYFUNCTION("FILTER(IMPORTRANGE(""https://docs.google.com/spreadsheets/d/1BJSV3WBYJGRhQ6zExamkszQ5VutGIcaQqmbD9ZTVXMQ/edit#gid=1251630045"",""articles_with_PRISMA_reasons!C2:C2113""), $A506=IMPORTRANGE(""https://docs.google.com/spreadsheets/d/1BJSV3WBYJGRhQ6zExamkszQ5"&amp;"VutGIcaQqmbD9ZTVXMQ/edit#gid=1251630045"",""articles_with_PRISMA_reasons!B2:B2113""))"),2011.0)</f>
        <v>2011</v>
      </c>
      <c r="D506" s="5" t="str">
        <f>IFERROR(__xludf.DUMMYFUNCTION("IFS(AND(
FILTER(IMPORTRANGE(""https://docs.google.com/spreadsheets/d/1BJSV3WBYJGRhQ6zExamkszQ5VutGIcaQqmbD9ZTVXMQ/edit#gid=1251630045"",""articles_with_PRISMA_reasons!Y2:Y2113""), $A506=IMPORTRANGE(""https://docs.google.com/spreadsheets/d/1BJSV3WBYJGRhQ6z"&amp;"ExamkszQ5VutGIcaQqmbD9ZTVXMQ/edit#gid=1251630045"",""articles_with_PRISMA_reasons!B2:B2113""))&gt;=2,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$A506=IMPORTRANGE(""https://docs.google.com/spreadsheets/d/1BJSV3WBYJGRhQ6zExamkszQ5VutGIcaQqmbD9ZTVXMQ/edit#gid=1251630045"",""articles_with_PRISMA_reasons!B2:B2113""))&lt;2),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$A506=IMPORTRANGE(""https://docs.google.com/spreadsheets/d/1BJSV3WBYJGRhQ6zExamkszQ5VutGIcaQqmbD9ZTVXMQ/edit#gid=1251630045"",""arti"&amp;"cles_with_PRISMA_reasons!B2:B2113""))&lt;2,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$A506=IMPORTRANGE(""https://docs.google.com"&amp;"/spreadsheets/d/1BJSV3WBYJGRhQ6zExamkszQ5VutGIcaQqmbD9ZTVXMQ/edit#gid=1251630045"",""articles_with_PRISMA_reasons!B2:B2113""))&gt;=2),
""Exclude""
)"),"Include")</f>
        <v>Include</v>
      </c>
      <c r="E506" s="5" t="str">
        <f>IFERROR(__xludf.DUMMYFUNCTION("IFS(
D506=""Exclude"",""Exclude"",
AND(
FILTER(IMPORTRANGE(""https://docs.google.com/spreadsheets/d/1qpEmbGH0JjaJbUdp21-y2cPbobDbMjr09BbtdKROZWc/edit#gid=1444865654"",""articles_with_PRISMA_reasons!W2:W2113""), $A506=IMPORTRANGE(""https://docs.google.com/"&amp;"spreadsheets/d/1qpEmbGH0JjaJbUdp21-y2cPbobDbMjr09BbtdKROZWc/edit#gid=1444865654"",""articles_with_PRISMA_reasons!B2:B2113""))&gt;=2,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$A506=IMPORTRANGE(""https://docs.google.com/spreadsheets/d/1qpEmbGH0JjaJbUdp21-y2cPbobDbMjr09BbtdKROZWc/edit#gid=1444865654"",""articles_with_PRISMA_reasons!B2:B2113""))&lt;2),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$A506=IMPORTRANGE(""https://docs.google.com/spreadsheets/d/1qpEmbGH0JjaJbUdp21-y2cPbobDbMjr09BbtdKRO"&amp;"ZWc/edit#gid=1444865654"",""articles_with_PRISMA_reasons!B2:B2113""))&lt;2,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$A506=IMPOR"&amp;"TRANGE(""https://docs.google.com/spreadsheets/d/1qpEmbGH0JjaJbUdp21-y2cPbobDbMjr09BbtdKROZWc/edit#gid=1444865654"",""articles_with_PRISMA_reasons!B2:B2113""))&gt;=2),
""Exclude""
)"),"Include")</f>
        <v>Include</v>
      </c>
      <c r="F506" s="5" t="str">
        <f>IFERROR(__xludf.DUMMYFUNCTION("IFS(
E506=""Exclude"",""Exclude"",
AND(
COUNTIF(
IMPORTRANGE(""https://docs.google.com/spreadsheets/d/1kGrh75X1cNR1D7_FcY9zMnHP8iPO4M5RCRjy6nZY0TY/edit#gid=0"",""Table 1: Study characteristics!B4:B171""),A506)&gt;0,
COUNTIF(Studies!$A$2:$A$85,FILTER(IMPORTRA"&amp;"NGE(""https://docs.google.com/spreadsheets/d/1kGrh75X1cNR1D7_FcY9zMnHP8iPO4M5RCRjy6nZY0TY/edit#gid=0"",""Table 1: Study characteristics!A4:A171""), $A506=IMPORTRANGE(""https://docs.google.com/spreadsheets/d/1kGrh75X1cNR1D7_FcY9zMnHP8iPO4M5RCRjy6nZY0TY/edi"&amp;"t#gid=0"",""Table 1: Study characteristics!B4:B171"")))&gt;0
),
""Include""
)"),"Include")</f>
        <v>Include</v>
      </c>
      <c r="G506" s="5" t="str">
        <f>IFERROR(__xludf.DUMMYFUNCTION("IFS(
D506=""Exclude"",
FILTER(IMPORTRANGE(""https://docs.google.com/spreadsheets/d/1BJSV3WBYJGRhQ6zExamkszQ5VutGIcaQqmbD9ZTVXMQ/edit#gid=1251630045"",""articles_with_PRISMA_reasons!AB2:AB2113""), $A506=IMPORTRANGE(""https://docs.google.com/spreadsheets/d/"&amp;"1BJSV3WBYJGRhQ6zExamkszQ5VutGIcaQqmbD9ZTVXMQ/edit#gid=1251630045"",""articles_with_PRISMA_reasons!B2:B2113"")),
E506=""Exclude"",
FILTER(IMPORTRANGE(""https://docs.google.com/spreadsheets/d/1qpEmbGH0JjaJbUdp21-y2cPbobDbMjr09BbtdKROZWc/edit#gid=1444865654"&amp;""",""articles_with_PRISMA_reasons!Z2:Z2113""), $A506=IMPORTRANGE(""https://docs.google.com/spreadsheets/d/1qpEmbGH0JjaJbUdp21-y2cPbobDbMjr09BbtdKROZWc/edit#gid=1444865654"",""articles_with_PRISMA_reasons!B2:B2113"")),F506
=""Include"",FILTER(IMPORTRANGE("&amp;"""https://docs.google.com/spreadsheets/d/1kGrh75X1cNR1D7_FcY9zMnHP8iPO4M5RCRjy6nZY0TY/edit#gid=0"",""Table 1: Study characteristics!A4:A171""), $A506=IMPORTRANGE(""https://docs.google.com/spreadsheets/d/1kGrh75X1cNR1D7_FcY9zMnHP8iPO4M5RCRjy6nZY0TY/edit#gi"&amp;"d=0"",""Table 1: Study characteristics!B4:B171""))
)"),"ID 35")</f>
        <v>ID 35</v>
      </c>
    </row>
    <row r="507">
      <c r="A507" s="4" t="str">
        <f>IFERROR(__xludf.DUMMYFUNCTION("""COMPUTED_VALUE"""),"Comparison of simultaneous versus delayed ventriculoperitoneal shunt insertion in children undergoing myelomeningocele repair")</f>
        <v>Comparison of simultaneous versus delayed ventriculoperitoneal shunt insertion in children undergoing myelomeningocele repair</v>
      </c>
      <c r="B507" s="5" t="str">
        <f>IFERROR(__xludf.DUMMYFUNCTION("LEFT(FILTER(IMPORTRANGE(""https://docs.google.com/spreadsheets/d/1BJSV3WBYJGRhQ6zExamkszQ5VutGIcaQqmbD9ZTVXMQ/edit#gid=1251630045"",""articles_with_PRISMA_reasons!K2:K2113""), $A507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$A507=IMPORTRANGE(""https://docs.google.com/spreadsheets/d/1BJSV3WBYJGRhQ6zExamkszQ5VutGIcaQqmbD9ZTVXMQ/edit#gid=1251630045"",""articles_with_PRISMA_reasons!B2:B2113"")))-1)"),"Miller")</f>
        <v>Miller</v>
      </c>
      <c r="C507" s="6">
        <f>IFERROR(__xludf.DUMMYFUNCTION("FILTER(IMPORTRANGE(""https://docs.google.com/spreadsheets/d/1BJSV3WBYJGRhQ6zExamkszQ5VutGIcaQqmbD9ZTVXMQ/edit#gid=1251630045"",""articles_with_PRISMA_reasons!C2:C2113""), $A507=IMPORTRANGE(""https://docs.google.com/spreadsheets/d/1BJSV3WBYJGRhQ6zExamkszQ5"&amp;"VutGIcaQqmbD9ZTVXMQ/edit#gid=1251630045"",""articles_with_PRISMA_reasons!B2:B2113""))"),1996.0)</f>
        <v>1996</v>
      </c>
      <c r="D507" s="5" t="str">
        <f>IFERROR(__xludf.DUMMYFUNCTION("IFS(AND(
FILTER(IMPORTRANGE(""https://docs.google.com/spreadsheets/d/1BJSV3WBYJGRhQ6zExamkszQ5VutGIcaQqmbD9ZTVXMQ/edit#gid=1251630045"",""articles_with_PRISMA_reasons!Y2:Y2113""), $A507=IMPORTRANGE(""https://docs.google.com/spreadsheets/d/1BJSV3WBYJGRhQ6z"&amp;"ExamkszQ5VutGIcaQqmbD9ZTVXMQ/edit#gid=1251630045"",""articles_with_PRISMA_reasons!B2:B2113""))&gt;=2,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$A507=IMPORTRANGE(""https://docs.google.com/spreadsheets/d/1BJSV3WBYJGRhQ6zExamkszQ5VutGIcaQqmbD9ZTVXMQ/edit#gid=1251630045"",""articles_with_PRISMA_reasons!B2:B2113""))&lt;2),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$A507=IMPORTRANGE(""https://docs.google.com/spreadsheets/d/1BJSV3WBYJGRhQ6zExamkszQ5VutGIcaQqmbD9ZTVXMQ/edit#gid=1251630045"",""arti"&amp;"cles_with_PRISMA_reasons!B2:B2113""))&lt;2,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$A507=IMPORTRANGE(""https://docs.google.com"&amp;"/spreadsheets/d/1BJSV3WBYJGRhQ6zExamkszQ5VutGIcaQqmbD9ZTVXMQ/edit#gid=1251630045"",""articles_with_PRISMA_reasons!B2:B2113""))&gt;=2),
""Exclude""
)"),"Include")</f>
        <v>Include</v>
      </c>
      <c r="E507" s="5" t="str">
        <f>IFERROR(__xludf.DUMMYFUNCTION("IFS(
D507=""Exclude"",""Exclude"",
AND(
FILTER(IMPORTRANGE(""https://docs.google.com/spreadsheets/d/1qpEmbGH0JjaJbUdp21-y2cPbobDbMjr09BbtdKROZWc/edit#gid=1444865654"",""articles_with_PRISMA_reasons!W2:W2113""), $A507=IMPORTRANGE(""https://docs.google.com/"&amp;"spreadsheets/d/1qpEmbGH0JjaJbUdp21-y2cPbobDbMjr09BbtdKROZWc/edit#gid=1444865654"",""articles_with_PRISMA_reasons!B2:B2113""))&gt;=2,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$A507=IMPORTRANGE(""https://docs.google.com/spreadsheets/d/1qpEmbGH0JjaJbUdp21-y2cPbobDbMjr09BbtdKROZWc/edit#gid=1444865654"",""articles_with_PRISMA_reasons!B2:B2113""))&lt;2),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$A507=IMPORTRANGE(""https://docs.google.com/spreadsheets/d/1qpEmbGH0JjaJbUdp21-y2cPbobDbMjr09BbtdKRO"&amp;"ZWc/edit#gid=1444865654"",""articles_with_PRISMA_reasons!B2:B2113""))&lt;2,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$A507=IMPOR"&amp;"TRANGE(""https://docs.google.com/spreadsheets/d/1qpEmbGH0JjaJbUdp21-y2cPbobDbMjr09BbtdKROZWc/edit#gid=1444865654"",""articles_with_PRISMA_reasons!B2:B2113""))&gt;=2),
""Exclude""
)"),"Include")</f>
        <v>Include</v>
      </c>
      <c r="F507" s="5" t="str">
        <f>IFERROR(__xludf.DUMMYFUNCTION("IFS(
E507=""Exclude"",""Exclude"",
AND(
COUNTIF(
IMPORTRANGE(""https://docs.google.com/spreadsheets/d/1kGrh75X1cNR1D7_FcY9zMnHP8iPO4M5RCRjy6nZY0TY/edit#gid=0"",""Table 1: Study characteristics!B4:B171""),A507)&gt;0,
COUNTIF(Studies!$A$2:$A$85,FILTER(IMPORTRA"&amp;"NGE(""https://docs.google.com/spreadsheets/d/1kGrh75X1cNR1D7_FcY9zMnHP8iPO4M5RCRjy6nZY0TY/edit#gid=0"",""Table 1: Study characteristics!A4:A171""), $A507=IMPORTRANGE(""https://docs.google.com/spreadsheets/d/1kGrh75X1cNR1D7_FcY9zMnHP8iPO4M5RCRjy6nZY0TY/edi"&amp;"t#gid=0"",""Table 1: Study characteristics!B4:B171"")))&gt;0
),
""Include""
)"),"Include")</f>
        <v>Include</v>
      </c>
      <c r="G507" s="5" t="str">
        <f>IFERROR(__xludf.DUMMYFUNCTION("IFS(
D507=""Exclude"",
FILTER(IMPORTRANGE(""https://docs.google.com/spreadsheets/d/1BJSV3WBYJGRhQ6zExamkszQ5VutGIcaQqmbD9ZTVXMQ/edit#gid=1251630045"",""articles_with_PRISMA_reasons!AB2:AB2113""), $A507=IMPORTRANGE(""https://docs.google.com/spreadsheets/d/"&amp;"1BJSV3WBYJGRhQ6zExamkszQ5VutGIcaQqmbD9ZTVXMQ/edit#gid=1251630045"",""articles_with_PRISMA_reasons!B2:B2113"")),
E507=""Exclude"",
FILTER(IMPORTRANGE(""https://docs.google.com/spreadsheets/d/1qpEmbGH0JjaJbUdp21-y2cPbobDbMjr09BbtdKROZWc/edit#gid=1444865654"&amp;""",""articles_with_PRISMA_reasons!Z2:Z2113""), $A507=IMPORTRANGE(""https://docs.google.com/spreadsheets/d/1qpEmbGH0JjaJbUdp21-y2cPbobDbMjr09BbtdKROZWc/edit#gid=1444865654"",""articles_with_PRISMA_reasons!B2:B2113"")),F507
=""Include"",FILTER(IMPORTRANGE("&amp;"""https://docs.google.com/spreadsheets/d/1kGrh75X1cNR1D7_FcY9zMnHP8iPO4M5RCRjy6nZY0TY/edit#gid=0"",""Table 1: Study characteristics!A4:A171""), $A507=IMPORTRANGE(""https://docs.google.com/spreadsheets/d/1kGrh75X1cNR1D7_FcY9zMnHP8iPO4M5RCRjy6nZY0TY/edit#gi"&amp;"d=0"",""Table 1: Study characteristics!B4:B171""))
)"),"ID 36")</f>
        <v>ID 36</v>
      </c>
    </row>
    <row r="508">
      <c r="A508" s="4" t="str">
        <f>IFERROR(__xludf.DUMMYFUNCTION("""COMPUTED_VALUE"""),"Comparison Of Simultaneous Versus Delayed Ventriculoperitoneal Shunting In Patients Undergoing Meningocoele Repair In Terms Of Infection")</f>
        <v>Comparison Of Simultaneous Versus Delayed Ventriculoperitoneal Shunting In Patients Undergoing Meningocoele Repair In Terms Of Infection</v>
      </c>
      <c r="B508" s="5" t="str">
        <f>IFERROR(__xludf.DUMMYFUNCTION("LEFT(FILTER(IMPORTRANGE(""https://docs.google.com/spreadsheets/d/1BJSV3WBYJGRhQ6zExamkszQ5VutGIcaQqmbD9ZTVXMQ/edit#gid=1251630045"",""articles_with_PRISMA_reasons!K2:K2113""), $A508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$A508=IMPORTRANGE(""https://docs.google.com/spreadsheets/d/1BJSV3WBYJGRhQ6zExamkszQ5VutGIcaQqmbD9ZTVXMQ/edit#gid=1251630045"",""articles_with_PRISMA_reasons!B2:B2113"")))-1)"),"Khattak")</f>
        <v>Khattak</v>
      </c>
      <c r="C508" s="6">
        <f>IFERROR(__xludf.DUMMYFUNCTION("FILTER(IMPORTRANGE(""https://docs.google.com/spreadsheets/d/1BJSV3WBYJGRhQ6zExamkszQ5VutGIcaQqmbD9ZTVXMQ/edit#gid=1251630045"",""articles_with_PRISMA_reasons!C2:C2113""), $A508=IMPORTRANGE(""https://docs.google.com/spreadsheets/d/1BJSV3WBYJGRhQ6zExamkszQ5"&amp;"VutGIcaQqmbD9ZTVXMQ/edit#gid=1251630045"",""articles_with_PRISMA_reasons!B2:B2113""))"),2018.0)</f>
        <v>2018</v>
      </c>
      <c r="D508" s="5" t="str">
        <f>IFERROR(__xludf.DUMMYFUNCTION("IFS(AND(
FILTER(IMPORTRANGE(""https://docs.google.com/spreadsheets/d/1BJSV3WBYJGRhQ6zExamkszQ5VutGIcaQqmbD9ZTVXMQ/edit#gid=1251630045"",""articles_with_PRISMA_reasons!Y2:Y2113""), $A508=IMPORTRANGE(""https://docs.google.com/spreadsheets/d/1BJSV3WBYJGRhQ6z"&amp;"ExamkszQ5VutGIcaQqmbD9ZTVXMQ/edit#gid=1251630045"",""articles_with_PRISMA_reasons!B2:B2113""))&gt;=2,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$A508=IMPORTRANGE(""https://docs.google.com/spreadsheets/d/1BJSV3WBYJGRhQ6zExamkszQ5VutGIcaQqmbD9ZTVXMQ/edit#gid=1251630045"",""articles_with_PRISMA_reasons!B2:B2113""))&lt;2),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$A508=IMPORTRANGE(""https://docs.google.com/spreadsheets/d/1BJSV3WBYJGRhQ6zExamkszQ5VutGIcaQqmbD9ZTVXMQ/edit#gid=1251630045"",""arti"&amp;"cles_with_PRISMA_reasons!B2:B2113""))&lt;2,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$A508=IMPORTRANGE(""https://docs.google.com"&amp;"/spreadsheets/d/1BJSV3WBYJGRhQ6zExamkszQ5VutGIcaQqmbD9ZTVXMQ/edit#gid=1251630045"",""articles_with_PRISMA_reasons!B2:B2113""))&gt;=2),
""Exclude""
)"),"Include")</f>
        <v>Include</v>
      </c>
      <c r="E508" s="5" t="str">
        <f>IFERROR(__xludf.DUMMYFUNCTION("IFS(
D508=""Exclude"",""Exclude"",
AND(
FILTER(IMPORTRANGE(""https://docs.google.com/spreadsheets/d/1qpEmbGH0JjaJbUdp21-y2cPbobDbMjr09BbtdKROZWc/edit#gid=1444865654"",""articles_with_PRISMA_reasons!W2:W2113""), $A508=IMPORTRANGE(""https://docs.google.com/"&amp;"spreadsheets/d/1qpEmbGH0JjaJbUdp21-y2cPbobDbMjr09BbtdKROZWc/edit#gid=1444865654"",""articles_with_PRISMA_reasons!B2:B2113""))&gt;=2,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$A508=IMPORTRANGE(""https://docs.google.com/spreadsheets/d/1qpEmbGH0JjaJbUdp21-y2cPbobDbMjr09BbtdKROZWc/edit#gid=1444865654"",""articles_with_PRISMA_reasons!B2:B2113""))&lt;2),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$A508=IMPORTRANGE(""https://docs.google.com/spreadsheets/d/1qpEmbGH0JjaJbUdp21-y2cPbobDbMjr09BbtdKRO"&amp;"ZWc/edit#gid=1444865654"",""articles_with_PRISMA_reasons!B2:B2113""))&lt;2,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$A508=IMPOR"&amp;"TRANGE(""https://docs.google.com/spreadsheets/d/1qpEmbGH0JjaJbUdp21-y2cPbobDbMjr09BbtdKROZWc/edit#gid=1444865654"",""articles_with_PRISMA_reasons!B2:B2113""))&gt;=2),
""Exclude""
)"),"Include")</f>
        <v>Include</v>
      </c>
      <c r="F508" s="5" t="str">
        <f>IFERROR(__xludf.DUMMYFUNCTION("IFS(
E508=""Exclude"",""Exclude"",
AND(
COUNTIF(
IMPORTRANGE(""https://docs.google.com/spreadsheets/d/1kGrh75X1cNR1D7_FcY9zMnHP8iPO4M5RCRjy6nZY0TY/edit#gid=0"",""Table 1: Study characteristics!B4:B171""),A508)&gt;0,
COUNTIF(Studies!$A$2:$A$85,FILTER(IMPORTRA"&amp;"NGE(""https://docs.google.com/spreadsheets/d/1kGrh75X1cNR1D7_FcY9zMnHP8iPO4M5RCRjy6nZY0TY/edit#gid=0"",""Table 1: Study characteristics!A4:A171""), $A508=IMPORTRANGE(""https://docs.google.com/spreadsheets/d/1kGrh75X1cNR1D7_FcY9zMnHP8iPO4M5RCRjy6nZY0TY/edi"&amp;"t#gid=0"",""Table 1: Study characteristics!B4:B171"")))&gt;0
),
""Include""
)"),"Include")</f>
        <v>Include</v>
      </c>
      <c r="G508" s="5" t="str">
        <f>IFERROR(__xludf.DUMMYFUNCTION("IFS(
D508=""Exclude"",
FILTER(IMPORTRANGE(""https://docs.google.com/spreadsheets/d/1BJSV3WBYJGRhQ6zExamkszQ5VutGIcaQqmbD9ZTVXMQ/edit#gid=1251630045"",""articles_with_PRISMA_reasons!AB2:AB2113""), $A508=IMPORTRANGE(""https://docs.google.com/spreadsheets/d/"&amp;"1BJSV3WBYJGRhQ6zExamkszQ5VutGIcaQqmbD9ZTVXMQ/edit#gid=1251630045"",""articles_with_PRISMA_reasons!B2:B2113"")),
E508=""Exclude"",
FILTER(IMPORTRANGE(""https://docs.google.com/spreadsheets/d/1qpEmbGH0JjaJbUdp21-y2cPbobDbMjr09BbtdKROZWc/edit#gid=1444865654"&amp;""",""articles_with_PRISMA_reasons!Z2:Z2113""), $A508=IMPORTRANGE(""https://docs.google.com/spreadsheets/d/1qpEmbGH0JjaJbUdp21-y2cPbobDbMjr09BbtdKROZWc/edit#gid=1444865654"",""articles_with_PRISMA_reasons!B2:B2113"")),F508
=""Include"",FILTER(IMPORTRANGE("&amp;"""https://docs.google.com/spreadsheets/d/1kGrh75X1cNR1D7_FcY9zMnHP8iPO4M5RCRjy6nZY0TY/edit#gid=0"",""Table 1: Study characteristics!A4:A171""), $A508=IMPORTRANGE(""https://docs.google.com/spreadsheets/d/1kGrh75X1cNR1D7_FcY9zMnHP8iPO4M5RCRjy6nZY0TY/edit#gi"&amp;"d=0"",""Table 1: Study characteristics!B4:B171""))
)"),"ID 37")</f>
        <v>ID 37</v>
      </c>
    </row>
    <row r="509">
      <c r="A509" s="4" t="str">
        <f>IFERROR(__xludf.DUMMYFUNCTION("""COMPUTED_VALUE"""),"Comparison of the Ramirez technique for the closure of large open myelomeningocele defects with alternative methods")</f>
        <v>Comparison of the Ramirez technique for the closure of large open myelomeningocele defects with alternative methods</v>
      </c>
      <c r="B509" s="5" t="str">
        <f>IFERROR(__xludf.DUMMYFUNCTION("LEFT(FILTER(IMPORTRANGE(""https://docs.google.com/spreadsheets/d/1BJSV3WBYJGRhQ6zExamkszQ5VutGIcaQqmbD9ZTVXMQ/edit#gid=1251630045"",""articles_with_PRISMA_reasons!K2:K2113""), $A509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$A509=IMPORTRANGE(""https://docs.google.com/spreadsheets/d/1BJSV3WBYJGRhQ6zExamkszQ5VutGIcaQqmbD9ZTVXMQ/edit#gid=1251630045"",""articles_with_PRISMA_reasons!B2:B2113"")))-1)"),"Kneser")</f>
        <v>Kneser</v>
      </c>
      <c r="C509" s="6">
        <f>IFERROR(__xludf.DUMMYFUNCTION("FILTER(IMPORTRANGE(""https://docs.google.com/spreadsheets/d/1BJSV3WBYJGRhQ6zExamkszQ5VutGIcaQqmbD9ZTVXMQ/edit#gid=1251630045"",""articles_with_PRISMA_reasons!C2:C2113""), $A509=IMPORTRANGE(""https://docs.google.com/spreadsheets/d/1BJSV3WBYJGRhQ6zExamkszQ5"&amp;"VutGIcaQqmbD9ZTVXMQ/edit#gid=1251630045"",""articles_with_PRISMA_reasons!B2:B2113""))"),2015.0)</f>
        <v>2015</v>
      </c>
      <c r="D509" s="5" t="str">
        <f>IFERROR(__xludf.DUMMYFUNCTION("IFS(AND(
FILTER(IMPORTRANGE(""https://docs.google.com/spreadsheets/d/1BJSV3WBYJGRhQ6zExamkszQ5VutGIcaQqmbD9ZTVXMQ/edit#gid=1251630045"",""articles_with_PRISMA_reasons!Y2:Y2113""), $A509=IMPORTRANGE(""https://docs.google.com/spreadsheets/d/1BJSV3WBYJGRhQ6z"&amp;"ExamkszQ5VutGIcaQqmbD9ZTVXMQ/edit#gid=1251630045"",""articles_with_PRISMA_reasons!B2:B2113""))&gt;=2,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$A509=IMPORTRANGE(""https://docs.google.com/spreadsheets/d/1BJSV3WBYJGRhQ6zExamkszQ5VutGIcaQqmbD9ZTVXMQ/edit#gid=1251630045"",""articles_with_PRISMA_reasons!B2:B2113""))&lt;2),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$A509=IMPORTRANGE(""https://docs.google.com/spreadsheets/d/1BJSV3WBYJGRhQ6zExamkszQ5VutGIcaQqmbD9ZTVXMQ/edit#gid=1251630045"",""arti"&amp;"cles_with_PRISMA_reasons!B2:B2113""))&lt;2,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$A509=IMPORTRANGE(""https://docs.google.com"&amp;"/spreadsheets/d/1BJSV3WBYJGRhQ6zExamkszQ5VutGIcaQqmbD9ZTVXMQ/edit#gid=1251630045"",""articles_with_PRISMA_reasons!B2:B2113""))&gt;=2),
""Exclude""
)"),"Exclude")</f>
        <v>Exclude</v>
      </c>
      <c r="E509" s="5" t="str">
        <f>IFERROR(__xludf.DUMMYFUNCTION("IFS(
D509=""Exclude"",""Exclude"",
AND(
FILTER(IMPORTRANGE(""https://docs.google.com/spreadsheets/d/1qpEmbGH0JjaJbUdp21-y2cPbobDbMjr09BbtdKROZWc/edit#gid=1444865654"",""articles_with_PRISMA_reasons!W2:W2113""), $A509=IMPORTRANGE(""https://docs.google.com/"&amp;"spreadsheets/d/1qpEmbGH0JjaJbUdp21-y2cPbobDbMjr09BbtdKROZWc/edit#gid=1444865654"",""articles_with_PRISMA_reasons!B2:B2113""))&gt;=2,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$A509=IMPORTRANGE(""https://docs.google.com/spreadsheets/d/1qpEmbGH0JjaJbUdp21-y2cPbobDbMjr09BbtdKROZWc/edit#gid=1444865654"",""articles_with_PRISMA_reasons!B2:B2113""))&lt;2),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$A509=IMPORTRANGE(""https://docs.google.com/spreadsheets/d/1qpEmbGH0JjaJbUdp21-y2cPbobDbMjr09BbtdKRO"&amp;"ZWc/edit#gid=1444865654"",""articles_with_PRISMA_reasons!B2:B2113""))&lt;2,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$A509=IMPOR"&amp;"TRANGE(""https://docs.google.com/spreadsheets/d/1qpEmbGH0JjaJbUdp21-y2cPbobDbMjr09BbtdKROZWc/edit#gid=1444865654"",""articles_with_PRISMA_reasons!B2:B2113""))&gt;=2),
""Exclude""
)"),"Exclude")</f>
        <v>Exclude</v>
      </c>
      <c r="F509" s="5" t="str">
        <f>IFERROR(__xludf.DUMMYFUNCTION("IFS(
E509=""Exclude"",""Exclude"",
AND(
COUNTIF(
IMPORTRANGE(""https://docs.google.com/spreadsheets/d/1kGrh75X1cNR1D7_FcY9zMnHP8iPO4M5RCRjy6nZY0TY/edit#gid=0"",""Table 1: Study characteristics!B4:B171""),A509)&gt;0,
COUNTIF(Studies!$A$2:$A$85,FILTER(IMPORTRA"&amp;"NGE(""https://docs.google.com/spreadsheets/d/1kGrh75X1cNR1D7_FcY9zMnHP8iPO4M5RCRjy6nZY0TY/edit#gid=0"",""Table 1: Study characteristics!A4:A171""), $A509=IMPORTRANGE(""https://docs.google.com/spreadsheets/d/1kGrh75X1cNR1D7_FcY9zMnHP8iPO4M5RCRjy6nZY0TY/edi"&amp;"t#gid=0"",""Table 1: Study characteristics!B4:B171"")))&gt;0
),
""Include""
)"),"Exclude")</f>
        <v>Exclude</v>
      </c>
      <c r="G509" s="5" t="str">
        <f>IFERROR(__xludf.DUMMYFUNCTION("IFS(
D509=""Exclude"",
FILTER(IMPORTRANGE(""https://docs.google.com/spreadsheets/d/1BJSV3WBYJGRhQ6zExamkszQ5VutGIcaQqmbD9ZTVXMQ/edit#gid=1251630045"",""articles_with_PRISMA_reasons!AB2:AB2113""), $A509=IMPORTRANGE(""https://docs.google.com/spreadsheets/d/"&amp;"1BJSV3WBYJGRhQ6zExamkszQ5VutGIcaQqmbD9ZTVXMQ/edit#gid=1251630045"",""articles_with_PRISMA_reasons!B2:B2113"")),
E509=""Exclude"",
FILTER(IMPORTRANGE(""https://docs.google.com/spreadsheets/d/1qpEmbGH0JjaJbUdp21-y2cPbobDbMjr09BbtdKROZWc/edit#gid=1444865654"&amp;""",""articles_with_PRISMA_reasons!Z2:Z2113""), $A509=IMPORTRANGE(""https://docs.google.com/spreadsheets/d/1qpEmbGH0JjaJbUdp21-y2cPbobDbMjr09BbtdKROZWc/edit#gid=1444865654"",""articles_with_PRISMA_reasons!B2:B2113"")),F509
=""Include"",FILTER(IMPORTRANGE("&amp;"""https://docs.google.com/spreadsheets/d/1kGrh75X1cNR1D7_FcY9zMnHP8iPO4M5RCRjy6nZY0TY/edit#gid=0"",""Table 1: Study characteristics!A4:A171""), $A509=IMPORTRANGE(""https://docs.google.com/spreadsheets/d/1kGrh75X1cNR1D7_FcY9zMnHP8iPO4M5RCRjy6nZY0TY/edit#gi"&amp;"d=0"",""Table 1: Study characteristics!B4:B171""))
)"),"wrong study design")</f>
        <v>wrong study design</v>
      </c>
    </row>
    <row r="510">
      <c r="A510" s="4" t="str">
        <f>IFERROR(__xludf.DUMMYFUNCTION("""COMPUTED_VALUE"""),"Comparison of two fetoscopic open neural tube defect repair techniques: single- vs three-layer closure")</f>
        <v>Comparison of two fetoscopic open neural tube defect repair techniques: single- vs three-layer closure</v>
      </c>
      <c r="B510" s="5" t="str">
        <f>IFERROR(__xludf.DUMMYFUNCTION("LEFT(FILTER(IMPORTRANGE(""https://docs.google.com/spreadsheets/d/1BJSV3WBYJGRhQ6zExamkszQ5VutGIcaQqmbD9ZTVXMQ/edit#gid=1251630045"",""articles_with_PRISMA_reasons!K2:K2113""), $A510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$A510=IMPORTRANGE(""https://docs.google.com/spreadsheets/d/1BJSV3WBYJGRhQ6zExamkszQ5VutGIcaQqmbD9ZTVXMQ/edit#gid=1251630045"",""articles_with_PRISMA_reasons!B2:B2113"")))-1)"),"Espinoza")</f>
        <v>Espinoza</v>
      </c>
      <c r="C510" s="6">
        <f>IFERROR(__xludf.DUMMYFUNCTION("FILTER(IMPORTRANGE(""https://docs.google.com/spreadsheets/d/1BJSV3WBYJGRhQ6zExamkszQ5VutGIcaQqmbD9ZTVXMQ/edit#gid=1251630045"",""articles_with_PRISMA_reasons!C2:C2113""), $A510=IMPORTRANGE(""https://docs.google.com/spreadsheets/d/1BJSV3WBYJGRhQ6zExamkszQ5"&amp;"VutGIcaQqmbD9ZTVXMQ/edit#gid=1251630045"",""articles_with_PRISMA_reasons!B2:B2113""))"),2020.0)</f>
        <v>2020</v>
      </c>
      <c r="D510" s="5" t="str">
        <f>IFERROR(__xludf.DUMMYFUNCTION("IFS(AND(
FILTER(IMPORTRANGE(""https://docs.google.com/spreadsheets/d/1BJSV3WBYJGRhQ6zExamkszQ5VutGIcaQqmbD9ZTVXMQ/edit#gid=1251630045"",""articles_with_PRISMA_reasons!Y2:Y2113""), $A510=IMPORTRANGE(""https://docs.google.com/spreadsheets/d/1BJSV3WBYJGRhQ6z"&amp;"ExamkszQ5VutGIcaQqmbD9ZTVXMQ/edit#gid=1251630045"",""articles_with_PRISMA_reasons!B2:B2113""))&gt;=2,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$A510=IMPORTRANGE(""https://docs.google.com/spreadsheets/d/1BJSV3WBYJGRhQ6zExamkszQ5VutGIcaQqmbD9ZTVXMQ/edit#gid=1251630045"",""articles_with_PRISMA_reasons!B2:B2113""))&lt;2),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$A510=IMPORTRANGE(""https://docs.google.com/spreadsheets/d/1BJSV3WBYJGRhQ6zExamkszQ5VutGIcaQqmbD9ZTVXMQ/edit#gid=1251630045"",""arti"&amp;"cles_with_PRISMA_reasons!B2:B2113""))&lt;2,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$A510=IMPORTRANGE(""https://docs.google.com"&amp;"/spreadsheets/d/1BJSV3WBYJGRhQ6zExamkszQ5VutGIcaQqmbD9ZTVXMQ/edit#gid=1251630045"",""articles_with_PRISMA_reasons!B2:B2113""))&gt;=2),
""Exclude""
)"),"Exclude")</f>
        <v>Exclude</v>
      </c>
      <c r="E510" s="5" t="str">
        <f>IFERROR(__xludf.DUMMYFUNCTION("IFS(
D510=""Exclude"",""Exclude"",
AND(
FILTER(IMPORTRANGE(""https://docs.google.com/spreadsheets/d/1qpEmbGH0JjaJbUdp21-y2cPbobDbMjr09BbtdKROZWc/edit#gid=1444865654"",""articles_with_PRISMA_reasons!W2:W2113""), $A510=IMPORTRANGE(""https://docs.google.com/"&amp;"spreadsheets/d/1qpEmbGH0JjaJbUdp21-y2cPbobDbMjr09BbtdKROZWc/edit#gid=1444865654"",""articles_with_PRISMA_reasons!B2:B2113""))&gt;=2,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$A510=IMPORTRANGE(""https://docs.google.com/spreadsheets/d/1qpEmbGH0JjaJbUdp21-y2cPbobDbMjr09BbtdKROZWc/edit#gid=1444865654"",""articles_with_PRISMA_reasons!B2:B2113""))&lt;2),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$A510=IMPORTRANGE(""https://docs.google.com/spreadsheets/d/1qpEmbGH0JjaJbUdp21-y2cPbobDbMjr09BbtdKRO"&amp;"ZWc/edit#gid=1444865654"",""articles_with_PRISMA_reasons!B2:B2113""))&lt;2,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$A510=IMPOR"&amp;"TRANGE(""https://docs.google.com/spreadsheets/d/1qpEmbGH0JjaJbUdp21-y2cPbobDbMjr09BbtdKROZWc/edit#gid=1444865654"",""articles_with_PRISMA_reasons!B2:B2113""))&gt;=2),
""Exclude""
)"),"Exclude")</f>
        <v>Exclude</v>
      </c>
      <c r="F510" s="5" t="str">
        <f>IFERROR(__xludf.DUMMYFUNCTION("IFS(
E510=""Exclude"",""Exclude"",
AND(
COUNTIF(
IMPORTRANGE(""https://docs.google.com/spreadsheets/d/1kGrh75X1cNR1D7_FcY9zMnHP8iPO4M5RCRjy6nZY0TY/edit#gid=0"",""Table 1: Study characteristics!B4:B171""),A510)&gt;0,
COUNTIF(Studies!$A$2:$A$85,FILTER(IMPORTRA"&amp;"NGE(""https://docs.google.com/spreadsheets/d/1kGrh75X1cNR1D7_FcY9zMnHP8iPO4M5RCRjy6nZY0TY/edit#gid=0"",""Table 1: Study characteristics!A4:A171""), $A510=IMPORTRANGE(""https://docs.google.com/spreadsheets/d/1kGrh75X1cNR1D7_FcY9zMnHP8iPO4M5RCRjy6nZY0TY/edi"&amp;"t#gid=0"",""Table 1: Study characteristics!B4:B171"")))&gt;0
),
""Include""
)"),"Exclude")</f>
        <v>Exclude</v>
      </c>
      <c r="G510" s="5" t="str">
        <f>IFERROR(__xludf.DUMMYFUNCTION("IFS(
D510=""Exclude"",
FILTER(IMPORTRANGE(""https://docs.google.com/spreadsheets/d/1BJSV3WBYJGRhQ6zExamkszQ5VutGIcaQqmbD9ZTVXMQ/edit#gid=1251630045"",""articles_with_PRISMA_reasons!AB2:AB2113""), $A510=IMPORTRANGE(""https://docs.google.com/spreadsheets/d/"&amp;"1BJSV3WBYJGRhQ6zExamkszQ5VutGIcaQqmbD9ZTVXMQ/edit#gid=1251630045"",""articles_with_PRISMA_reasons!B2:B2113"")),
E510=""Exclude"",
FILTER(IMPORTRANGE(""https://docs.google.com/spreadsheets/d/1qpEmbGH0JjaJbUdp21-y2cPbobDbMjr09BbtdKROZWc/edit#gid=1444865654"&amp;""",""articles_with_PRISMA_reasons!Z2:Z2113""), $A510=IMPORTRANGE(""https://docs.google.com/spreadsheets/d/1qpEmbGH0JjaJbUdp21-y2cPbobDbMjr09BbtdKROZWc/edit#gid=1444865654"",""articles_with_PRISMA_reasons!B2:B2113"")),F510
=""Include"",FILTER(IMPORTRANGE("&amp;"""https://docs.google.com/spreadsheets/d/1kGrh75X1cNR1D7_FcY9zMnHP8iPO4M5RCRjy6nZY0TY/edit#gid=0"",""Table 1: Study characteristics!A4:A171""), $A510=IMPORTRANGE(""https://docs.google.com/spreadsheets/d/1kGrh75X1cNR1D7_FcY9zMnHP8iPO4M5RCRjy6nZY0TY/edit#gi"&amp;"d=0"",""Table 1: Study characteristics!B4:B171""))
)"),"Ante-natal intervention")</f>
        <v>Ante-natal intervention</v>
      </c>
    </row>
    <row r="511">
      <c r="A511" s="4" t="str">
        <f>IFERROR(__xludf.DUMMYFUNCTION("""COMPUTED_VALUE"""),"Compartmental analysis of cerebrospinal fluid transfer and absorption in simulated hydrocephalus")</f>
        <v>Compartmental analysis of cerebrospinal fluid transfer and absorption in simulated hydrocephalus</v>
      </c>
      <c r="B511" s="5" t="str">
        <f>IFERROR(__xludf.DUMMYFUNCTION("LEFT(FILTER(IMPORTRANGE(""https://docs.google.com/spreadsheets/d/1BJSV3WBYJGRhQ6zExamkszQ5VutGIcaQqmbD9ZTVXMQ/edit#gid=1251630045"",""articles_with_PRISMA_reasons!K2:K2113""), $A511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$A511=IMPORTRANGE(""https://docs.google.com/spreadsheets/d/1BJSV3WBYJGRhQ6zExamkszQ5VutGIcaQqmbD9ZTVXMQ/edit#gid=1251630045"",""articles_with_PRISMA_reasons!B2:B2113"")))-1)"),"Brown")</f>
        <v>Brown</v>
      </c>
      <c r="C511" s="6">
        <f>IFERROR(__xludf.DUMMYFUNCTION("FILTER(IMPORTRANGE(""https://docs.google.com/spreadsheets/d/1BJSV3WBYJGRhQ6zExamkszQ5VutGIcaQqmbD9ZTVXMQ/edit#gid=1251630045"",""articles_with_PRISMA_reasons!C2:C2113""), $A511=IMPORTRANGE(""https://docs.google.com/spreadsheets/d/1BJSV3WBYJGRhQ6zExamkszQ5"&amp;"VutGIcaQqmbD9ZTVXMQ/edit#gid=1251630045"",""articles_with_PRISMA_reasons!B2:B2113""))"),1985.0)</f>
        <v>1985</v>
      </c>
      <c r="D511" s="5" t="str">
        <f>IFERROR(__xludf.DUMMYFUNCTION("IFS(AND(
FILTER(IMPORTRANGE(""https://docs.google.com/spreadsheets/d/1BJSV3WBYJGRhQ6zExamkszQ5VutGIcaQqmbD9ZTVXMQ/edit#gid=1251630045"",""articles_with_PRISMA_reasons!Y2:Y2113""), $A511=IMPORTRANGE(""https://docs.google.com/spreadsheets/d/1BJSV3WBYJGRhQ6z"&amp;"ExamkszQ5VutGIcaQqmbD9ZTVXMQ/edit#gid=1251630045"",""articles_with_PRISMA_reasons!B2:B2113""))&gt;=2,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$A511=IMPORTRANGE(""https://docs.google.com/spreadsheets/d/1BJSV3WBYJGRhQ6zExamkszQ5VutGIcaQqmbD9ZTVXMQ/edit#gid=1251630045"",""articles_with_PRISMA_reasons!B2:B2113""))&lt;2),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$A511=IMPORTRANGE(""https://docs.google.com/spreadsheets/d/1BJSV3WBYJGRhQ6zExamkszQ5VutGIcaQqmbD9ZTVXMQ/edit#gid=1251630045"",""arti"&amp;"cles_with_PRISMA_reasons!B2:B2113""))&lt;2,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$A511=IMPORTRANGE(""https://docs.google.com"&amp;"/spreadsheets/d/1BJSV3WBYJGRhQ6zExamkszQ5VutGIcaQqmbD9ZTVXMQ/edit#gid=1251630045"",""articles_with_PRISMA_reasons!B2:B2113""))&gt;=2),
""Exclude""
)"),"Exclude")</f>
        <v>Exclude</v>
      </c>
      <c r="E511" s="5" t="str">
        <f>IFERROR(__xludf.DUMMYFUNCTION("IFS(
D511=""Exclude"",""Exclude"",
AND(
FILTER(IMPORTRANGE(""https://docs.google.com/spreadsheets/d/1qpEmbGH0JjaJbUdp21-y2cPbobDbMjr09BbtdKROZWc/edit#gid=1444865654"",""articles_with_PRISMA_reasons!W2:W2113""), $A511=IMPORTRANGE(""https://docs.google.com/"&amp;"spreadsheets/d/1qpEmbGH0JjaJbUdp21-y2cPbobDbMjr09BbtdKROZWc/edit#gid=1444865654"",""articles_with_PRISMA_reasons!B2:B2113""))&gt;=2,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$A511=IMPORTRANGE(""https://docs.google.com/spreadsheets/d/1qpEmbGH0JjaJbUdp21-y2cPbobDbMjr09BbtdKROZWc/edit#gid=1444865654"",""articles_with_PRISMA_reasons!B2:B2113""))&lt;2),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$A511=IMPORTRANGE(""https://docs.google.com/spreadsheets/d/1qpEmbGH0JjaJbUdp21-y2cPbobDbMjr09BbtdKRO"&amp;"ZWc/edit#gid=1444865654"",""articles_with_PRISMA_reasons!B2:B2113""))&lt;2,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$A511=IMPOR"&amp;"TRANGE(""https://docs.google.com/spreadsheets/d/1qpEmbGH0JjaJbUdp21-y2cPbobDbMjr09BbtdKROZWc/edit#gid=1444865654"",""articles_with_PRISMA_reasons!B2:B2113""))&gt;=2),
""Exclude""
)"),"Exclude")</f>
        <v>Exclude</v>
      </c>
      <c r="F511" s="5" t="str">
        <f>IFERROR(__xludf.DUMMYFUNCTION("IFS(
E511=""Exclude"",""Exclude"",
AND(
COUNTIF(
IMPORTRANGE(""https://docs.google.com/spreadsheets/d/1kGrh75X1cNR1D7_FcY9zMnHP8iPO4M5RCRjy6nZY0TY/edit#gid=0"",""Table 1: Study characteristics!B4:B171""),A511)&gt;0,
COUNTIF(Studies!$A$2:$A$85,FILTER(IMPORTRA"&amp;"NGE(""https://docs.google.com/spreadsheets/d/1kGrh75X1cNR1D7_FcY9zMnHP8iPO4M5RCRjy6nZY0TY/edit#gid=0"",""Table 1: Study characteristics!A4:A171""), $A511=IMPORTRANGE(""https://docs.google.com/spreadsheets/d/1kGrh75X1cNR1D7_FcY9zMnHP8iPO4M5RCRjy6nZY0TY/edi"&amp;"t#gid=0"",""Table 1: Study characteristics!B4:B171"")))&gt;0
),
""Include""
)"),"Exclude")</f>
        <v>Exclude</v>
      </c>
      <c r="G511" s="5" t="str">
        <f>IFERROR(__xludf.DUMMYFUNCTION("IFS(
D511=""Exclude"",
FILTER(IMPORTRANGE(""https://docs.google.com/spreadsheets/d/1BJSV3WBYJGRhQ6zExamkszQ5VutGIcaQqmbD9ZTVXMQ/edit#gid=1251630045"",""articles_with_PRISMA_reasons!AB2:AB2113""), $A511=IMPORTRANGE(""https://docs.google.com/spreadsheets/d/"&amp;"1BJSV3WBYJGRhQ6zExamkszQ5VutGIcaQqmbD9ZTVXMQ/edit#gid=1251630045"",""articles_with_PRISMA_reasons!B2:B2113"")),
E511=""Exclude"",
FILTER(IMPORTRANGE(""https://docs.google.com/spreadsheets/d/1qpEmbGH0JjaJbUdp21-y2cPbobDbMjr09BbtdKROZWc/edit#gid=1444865654"&amp;""",""articles_with_PRISMA_reasons!Z2:Z2113""), $A511=IMPORTRANGE(""https://docs.google.com/spreadsheets/d/1qpEmbGH0JjaJbUdp21-y2cPbobDbMjr09BbtdKROZWc/edit#gid=1444865654"",""articles_with_PRISMA_reasons!B2:B2113"")),F511
=""Include"",FILTER(IMPORTRANGE("&amp;"""https://docs.google.com/spreadsheets/d/1kGrh75X1cNR1D7_FcY9zMnHP8iPO4M5RCRjy6nZY0TY/edit#gid=0"",""Table 1: Study characteristics!A4:A171""), $A511=IMPORTRANGE(""https://docs.google.com/spreadsheets/d/1kGrh75X1cNR1D7_FcY9zMnHP8iPO4M5RCRjy6nZY0TY/edit#gi"&amp;"d=0"",""Table 1: Study characteristics!B4:B171""))
)"),"wrong study design")</f>
        <v>wrong study design</v>
      </c>
    </row>
    <row r="512">
      <c r="A512" s="4" t="str">
        <f>IFERROR(__xludf.DUMMYFUNCTION("""COMPUTED_VALUE"""),"Complete Reversibility of the Chiari Type II Malformation After Postnatal Repair of Myelomeningocele")</f>
        <v>Complete Reversibility of the Chiari Type II Malformation After Postnatal Repair of Myelomeningocele</v>
      </c>
      <c r="B512" s="5" t="str">
        <f>IFERROR(__xludf.DUMMYFUNCTION("LEFT(FILTER(IMPORTRANGE(""https://docs.google.com/spreadsheets/d/1BJSV3WBYJGRhQ6zExamkszQ5VutGIcaQqmbD9ZTVXMQ/edit#gid=1251630045"",""articles_with_PRISMA_reasons!K2:K2113""), $A512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$A512=IMPORTRANGE(""https://docs.google.com/spreadsheets/d/1BJSV3WBYJGRhQ6zExamkszQ5VutGIcaQqmbD9ZTVXMQ/edit#gid=1251630045"",""articles_with_PRISMA_reasons!B2:B2113"")))-1)"),"Beuriat")</f>
        <v>Beuriat</v>
      </c>
      <c r="C512" s="6">
        <f>IFERROR(__xludf.DUMMYFUNCTION("FILTER(IMPORTRANGE(""https://docs.google.com/spreadsheets/d/1BJSV3WBYJGRhQ6zExamkszQ5VutGIcaQqmbD9ZTVXMQ/edit#gid=1251630045"",""articles_with_PRISMA_reasons!C2:C2113""), $A512=IMPORTRANGE(""https://docs.google.com/spreadsheets/d/1BJSV3WBYJGRhQ6zExamkszQ5"&amp;"VutGIcaQqmbD9ZTVXMQ/edit#gid=1251630045"",""articles_with_PRISMA_reasons!B2:B2113""))"),2017.0)</f>
        <v>2017</v>
      </c>
      <c r="D512" s="5" t="str">
        <f>IFERROR(__xludf.DUMMYFUNCTION("IFS(AND(
FILTER(IMPORTRANGE(""https://docs.google.com/spreadsheets/d/1BJSV3WBYJGRhQ6zExamkszQ5VutGIcaQqmbD9ZTVXMQ/edit#gid=1251630045"",""articles_with_PRISMA_reasons!Y2:Y2113""), $A512=IMPORTRANGE(""https://docs.google.com/spreadsheets/d/1BJSV3WBYJGRhQ6z"&amp;"ExamkszQ5VutGIcaQqmbD9ZTVXMQ/edit#gid=1251630045"",""articles_with_PRISMA_reasons!B2:B2113""))&gt;=2,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$A512=IMPORTRANGE(""https://docs.google.com/spreadsheets/d/1BJSV3WBYJGRhQ6zExamkszQ5VutGIcaQqmbD9ZTVXMQ/edit#gid=1251630045"",""articles_with_PRISMA_reasons!B2:B2113""))&lt;2),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$A512=IMPORTRANGE(""https://docs.google.com/spreadsheets/d/1BJSV3WBYJGRhQ6zExamkszQ5VutGIcaQqmbD9ZTVXMQ/edit#gid=1251630045"",""arti"&amp;"cles_with_PRISMA_reasons!B2:B2113""))&lt;2,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$A512=IMPORTRANGE(""https://docs.google.com"&amp;"/spreadsheets/d/1BJSV3WBYJGRhQ6zExamkszQ5VutGIcaQqmbD9ZTVXMQ/edit#gid=1251630045"",""articles_with_PRISMA_reasons!B2:B2113""))&gt;=2),
""Exclude""
)"),"Exclude")</f>
        <v>Exclude</v>
      </c>
      <c r="E512" s="5" t="str">
        <f>IFERROR(__xludf.DUMMYFUNCTION("IFS(
D512=""Exclude"",""Exclude"",
AND(
FILTER(IMPORTRANGE(""https://docs.google.com/spreadsheets/d/1qpEmbGH0JjaJbUdp21-y2cPbobDbMjr09BbtdKROZWc/edit#gid=1444865654"",""articles_with_PRISMA_reasons!W2:W2113""), $A512=IMPORTRANGE(""https://docs.google.com/"&amp;"spreadsheets/d/1qpEmbGH0JjaJbUdp21-y2cPbobDbMjr09BbtdKROZWc/edit#gid=1444865654"",""articles_with_PRISMA_reasons!B2:B2113""))&gt;=2,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$A512=IMPORTRANGE(""https://docs.google.com/spreadsheets/d/1qpEmbGH0JjaJbUdp21-y2cPbobDbMjr09BbtdKROZWc/edit#gid=1444865654"",""articles_with_PRISMA_reasons!B2:B2113""))&lt;2),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$A512=IMPORTRANGE(""https://docs.google.com/spreadsheets/d/1qpEmbGH0JjaJbUdp21-y2cPbobDbMjr09BbtdKRO"&amp;"ZWc/edit#gid=1444865654"",""articles_with_PRISMA_reasons!B2:B2113""))&lt;2,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$A512=IMPOR"&amp;"TRANGE(""https://docs.google.com/spreadsheets/d/1qpEmbGH0JjaJbUdp21-y2cPbobDbMjr09BbtdKROZWc/edit#gid=1444865654"",""articles_with_PRISMA_reasons!B2:B2113""))&gt;=2),
""Exclude""
)"),"Exclude")</f>
        <v>Exclude</v>
      </c>
      <c r="F512" s="5" t="str">
        <f>IFERROR(__xludf.DUMMYFUNCTION("IFS(
E512=""Exclude"",""Exclude"",
AND(
COUNTIF(
IMPORTRANGE(""https://docs.google.com/spreadsheets/d/1kGrh75X1cNR1D7_FcY9zMnHP8iPO4M5RCRjy6nZY0TY/edit#gid=0"",""Table 1: Study characteristics!B4:B171""),A512)&gt;0,
COUNTIF(Studies!$A$2:$A$85,FILTER(IMPORTRA"&amp;"NGE(""https://docs.google.com/spreadsheets/d/1kGrh75X1cNR1D7_FcY9zMnHP8iPO4M5RCRjy6nZY0TY/edit#gid=0"",""Table 1: Study characteristics!A4:A171""), $A512=IMPORTRANGE(""https://docs.google.com/spreadsheets/d/1kGrh75X1cNR1D7_FcY9zMnHP8iPO4M5RCRjy6nZY0TY/edi"&amp;"t#gid=0"",""Table 1: Study characteristics!B4:B171"")))&gt;0
),
""Include""
)"),"Exclude")</f>
        <v>Exclude</v>
      </c>
      <c r="G512" s="5" t="str">
        <f>IFERROR(__xludf.DUMMYFUNCTION("IFS(
D512=""Exclude"",
FILTER(IMPORTRANGE(""https://docs.google.com/spreadsheets/d/1BJSV3WBYJGRhQ6zExamkszQ5VutGIcaQqmbD9ZTVXMQ/edit#gid=1251630045"",""articles_with_PRISMA_reasons!AB2:AB2113""), $A512=IMPORTRANGE(""https://docs.google.com/spreadsheets/d/"&amp;"1BJSV3WBYJGRhQ6zExamkszQ5VutGIcaQqmbD9ZTVXMQ/edit#gid=1251630045"",""articles_with_PRISMA_reasons!B2:B2113"")),
E512=""Exclude"",
FILTER(IMPORTRANGE(""https://docs.google.com/spreadsheets/d/1qpEmbGH0JjaJbUdp21-y2cPbobDbMjr09BbtdKROZWc/edit#gid=1444865654"&amp;""",""articles_with_PRISMA_reasons!Z2:Z2113""), $A512=IMPORTRANGE(""https://docs.google.com/spreadsheets/d/1qpEmbGH0JjaJbUdp21-y2cPbobDbMjr09BbtdKROZWc/edit#gid=1444865654"",""articles_with_PRISMA_reasons!B2:B2113"")),F512
=""Include"",FILTER(IMPORTRANGE("&amp;"""https://docs.google.com/spreadsheets/d/1kGrh75X1cNR1D7_FcY9zMnHP8iPO4M5RCRjy6nZY0TY/edit#gid=0"",""Table 1: Study characteristics!A4:A171""), $A512=IMPORTRANGE(""https://docs.google.com/spreadsheets/d/1kGrh75X1cNR1D7_FcY9zMnHP8iPO4M5RCRjy6nZY0TY/edit#gi"&amp;"d=0"",""Table 1: Study characteristics!B4:B171""))
)"),"wrong population")</f>
        <v>wrong population</v>
      </c>
    </row>
    <row r="513">
      <c r="A513" s="4" t="str">
        <f>IFERROR(__xludf.DUMMYFUNCTION("""COMPUTED_VALUE"""),"Complex Cervicomedullary Junction Malformation and Hypoplastic Cerebellar Tonsils following Fetal Repair of Myelomeningocele: Case Report and Literature Review")</f>
        <v>Complex Cervicomedullary Junction Malformation and Hypoplastic Cerebellar Tonsils following Fetal Repair of Myelomeningocele: Case Report and Literature Review</v>
      </c>
      <c r="B513" s="5" t="str">
        <f>IFERROR(__xludf.DUMMYFUNCTION("LEFT(FILTER(IMPORTRANGE(""https://docs.google.com/spreadsheets/d/1BJSV3WBYJGRhQ6zExamkszQ5VutGIcaQqmbD9ZTVXMQ/edit#gid=1251630045"",""articles_with_PRISMA_reasons!K2:K2113""), $A513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$A513=IMPORTRANGE(""https://docs.google.com/spreadsheets/d/1BJSV3WBYJGRhQ6zExamkszQ5VutGIcaQqmbD9ZTVXMQ/edit#gid=1251630045"",""articles_with_PRISMA_reasons!B2:B2113"")))-1)"),"Pettorini")</f>
        <v>Pettorini</v>
      </c>
      <c r="C513" s="6">
        <f>IFERROR(__xludf.DUMMYFUNCTION("FILTER(IMPORTRANGE(""https://docs.google.com/spreadsheets/d/1BJSV3WBYJGRhQ6zExamkszQ5VutGIcaQqmbD9ZTVXMQ/edit#gid=1251630045"",""articles_with_PRISMA_reasons!C2:C2113""), $A513=IMPORTRANGE(""https://docs.google.com/spreadsheets/d/1BJSV3WBYJGRhQ6zExamkszQ5"&amp;"VutGIcaQqmbD9ZTVXMQ/edit#gid=1251630045"",""articles_with_PRISMA_reasons!B2:B2113""))"),2020.0)</f>
        <v>2020</v>
      </c>
      <c r="D513" s="5" t="str">
        <f>IFERROR(__xludf.DUMMYFUNCTION("IFS(AND(
FILTER(IMPORTRANGE(""https://docs.google.com/spreadsheets/d/1BJSV3WBYJGRhQ6zExamkszQ5VutGIcaQqmbD9ZTVXMQ/edit#gid=1251630045"",""articles_with_PRISMA_reasons!Y2:Y2113""), $A513=IMPORTRANGE(""https://docs.google.com/spreadsheets/d/1BJSV3WBYJGRhQ6z"&amp;"ExamkszQ5VutGIcaQqmbD9ZTVXMQ/edit#gid=1251630045"",""articles_with_PRISMA_reasons!B2:B2113""))&gt;=2,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$A513=IMPORTRANGE(""https://docs.google.com/spreadsheets/d/1BJSV3WBYJGRhQ6zExamkszQ5VutGIcaQqmbD9ZTVXMQ/edit#gid=1251630045"",""articles_with_PRISMA_reasons!B2:B2113""))&lt;2),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$A513=IMPORTRANGE(""https://docs.google.com/spreadsheets/d/1BJSV3WBYJGRhQ6zExamkszQ5VutGIcaQqmbD9ZTVXMQ/edit#gid=1251630045"",""arti"&amp;"cles_with_PRISMA_reasons!B2:B2113""))&lt;2,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$A513=IMPORTRANGE(""https://docs.google.com"&amp;"/spreadsheets/d/1BJSV3WBYJGRhQ6zExamkszQ5VutGIcaQqmbD9ZTVXMQ/edit#gid=1251630045"",""articles_with_PRISMA_reasons!B2:B2113""))&gt;=2),
""Exclude""
)"),"Exclude")</f>
        <v>Exclude</v>
      </c>
      <c r="E513" s="5" t="str">
        <f>IFERROR(__xludf.DUMMYFUNCTION("IFS(
D513=""Exclude"",""Exclude"",
AND(
FILTER(IMPORTRANGE(""https://docs.google.com/spreadsheets/d/1qpEmbGH0JjaJbUdp21-y2cPbobDbMjr09BbtdKROZWc/edit#gid=1444865654"",""articles_with_PRISMA_reasons!W2:W2113""), $A513=IMPORTRANGE(""https://docs.google.com/"&amp;"spreadsheets/d/1qpEmbGH0JjaJbUdp21-y2cPbobDbMjr09BbtdKROZWc/edit#gid=1444865654"",""articles_with_PRISMA_reasons!B2:B2113""))&gt;=2,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$A513=IMPORTRANGE(""https://docs.google.com/spreadsheets/d/1qpEmbGH0JjaJbUdp21-y2cPbobDbMjr09BbtdKROZWc/edit#gid=1444865654"",""articles_with_PRISMA_reasons!B2:B2113""))&lt;2),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$A513=IMPORTRANGE(""https://docs.google.com/spreadsheets/d/1qpEmbGH0JjaJbUdp21-y2cPbobDbMjr09BbtdKRO"&amp;"ZWc/edit#gid=1444865654"",""articles_with_PRISMA_reasons!B2:B2113""))&lt;2,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$A513=IMPOR"&amp;"TRANGE(""https://docs.google.com/spreadsheets/d/1qpEmbGH0JjaJbUdp21-y2cPbobDbMjr09BbtdKROZWc/edit#gid=1444865654"",""articles_with_PRISMA_reasons!B2:B2113""))&gt;=2),
""Exclude""
)"),"Exclude")</f>
        <v>Exclude</v>
      </c>
      <c r="F513" s="5" t="str">
        <f>IFERROR(__xludf.DUMMYFUNCTION("IFS(
E513=""Exclude"",""Exclude"",
AND(
COUNTIF(
IMPORTRANGE(""https://docs.google.com/spreadsheets/d/1kGrh75X1cNR1D7_FcY9zMnHP8iPO4M5RCRjy6nZY0TY/edit#gid=0"",""Table 1: Study characteristics!B4:B171""),A513)&gt;0,
COUNTIF(Studies!$A$2:$A$85,FILTER(IMPORTRA"&amp;"NGE(""https://docs.google.com/spreadsheets/d/1kGrh75X1cNR1D7_FcY9zMnHP8iPO4M5RCRjy6nZY0TY/edit#gid=0"",""Table 1: Study characteristics!A4:A171""), $A513=IMPORTRANGE(""https://docs.google.com/spreadsheets/d/1kGrh75X1cNR1D7_FcY9zMnHP8iPO4M5RCRjy6nZY0TY/edi"&amp;"t#gid=0"",""Table 1: Study characteristics!B4:B171"")))&gt;0
),
""Include""
)"),"Exclude")</f>
        <v>Exclude</v>
      </c>
      <c r="G513" s="5" t="str">
        <f>IFERROR(__xludf.DUMMYFUNCTION("IFS(
D513=""Exclude"",
FILTER(IMPORTRANGE(""https://docs.google.com/spreadsheets/d/1BJSV3WBYJGRhQ6zExamkszQ5VutGIcaQqmbD9ZTVXMQ/edit#gid=1251630045"",""articles_with_PRISMA_reasons!AB2:AB2113""), $A513=IMPORTRANGE(""https://docs.google.com/spreadsheets/d/"&amp;"1BJSV3WBYJGRhQ6zExamkszQ5VutGIcaQqmbD9ZTVXMQ/edit#gid=1251630045"",""articles_with_PRISMA_reasons!B2:B2113"")),
E513=""Exclude"",
FILTER(IMPORTRANGE(""https://docs.google.com/spreadsheets/d/1qpEmbGH0JjaJbUdp21-y2cPbobDbMjr09BbtdKROZWc/edit#gid=1444865654"&amp;""",""articles_with_PRISMA_reasons!Z2:Z2113""), $A513=IMPORTRANGE(""https://docs.google.com/spreadsheets/d/1qpEmbGH0JjaJbUdp21-y2cPbobDbMjr09BbtdKROZWc/edit#gid=1444865654"",""articles_with_PRISMA_reasons!B2:B2113"")),F513
=""Include"",FILTER(IMPORTRANGE("&amp;"""https://docs.google.com/spreadsheets/d/1kGrh75X1cNR1D7_FcY9zMnHP8iPO4M5RCRjy6nZY0TY/edit#gid=0"",""Table 1: Study characteristics!A4:A171""), $A513=IMPORTRANGE(""https://docs.google.com/spreadsheets/d/1kGrh75X1cNR1D7_FcY9zMnHP8iPO4M5RCRjy6nZY0TY/edit#gi"&amp;"d=0"",""Table 1: Study characteristics!B4:B171""))
)"),"wrong study design")</f>
        <v>wrong study design</v>
      </c>
    </row>
    <row r="514">
      <c r="A514" s="4" t="str">
        <f>IFERROR(__xludf.DUMMYFUNCTION("""COMPUTED_VALUE"""),"Complex forms of spinal dysraphism")</f>
        <v>Complex forms of spinal dysraphism</v>
      </c>
      <c r="B514" s="5" t="str">
        <f>IFERROR(__xludf.DUMMYFUNCTION("LEFT(FILTER(IMPORTRANGE(""https://docs.google.com/spreadsheets/d/1BJSV3WBYJGRhQ6zExamkszQ5VutGIcaQqmbD9ZTVXMQ/edit#gid=1251630045"",""articles_with_PRISMA_reasons!K2:K2113""), $A514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$A514=IMPORTRANGE(""https://docs.google.com/spreadsheets/d/1BJSV3WBYJGRhQ6zExamkszQ5VutGIcaQqmbD9ZTVXMQ/edit#gid=1251630045"",""articles_with_PRISMA_reasons!B2:B2113"")))-1)"),"Patnaik")</f>
        <v>Patnaik</v>
      </c>
      <c r="C514" s="6">
        <f>IFERROR(__xludf.DUMMYFUNCTION("FILTER(IMPORTRANGE(""https://docs.google.com/spreadsheets/d/1BJSV3WBYJGRhQ6zExamkszQ5VutGIcaQqmbD9ZTVXMQ/edit#gid=1251630045"",""articles_with_PRISMA_reasons!C2:C2113""), $A514=IMPORTRANGE(""https://docs.google.com/spreadsheets/d/1BJSV3WBYJGRhQ6zExamkszQ5"&amp;"VutGIcaQqmbD9ZTVXMQ/edit#gid=1251630045"",""articles_with_PRISMA_reasons!B2:B2113""))"),2013.0)</f>
        <v>2013</v>
      </c>
      <c r="D514" s="5" t="str">
        <f>IFERROR(__xludf.DUMMYFUNCTION("IFS(AND(
FILTER(IMPORTRANGE(""https://docs.google.com/spreadsheets/d/1BJSV3WBYJGRhQ6zExamkszQ5VutGIcaQqmbD9ZTVXMQ/edit#gid=1251630045"",""articles_with_PRISMA_reasons!Y2:Y2113""), $A514=IMPORTRANGE(""https://docs.google.com/spreadsheets/d/1BJSV3WBYJGRhQ6z"&amp;"ExamkszQ5VutGIcaQqmbD9ZTVXMQ/edit#gid=1251630045"",""articles_with_PRISMA_reasons!B2:B2113""))&gt;=2,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$A514=IMPORTRANGE(""https://docs.google.com/spreadsheets/d/1BJSV3WBYJGRhQ6zExamkszQ5VutGIcaQqmbD9ZTVXMQ/edit#gid=1251630045"",""articles_with_PRISMA_reasons!B2:B2113""))&lt;2),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$A514=IMPORTRANGE(""https://docs.google.com/spreadsheets/d/1BJSV3WBYJGRhQ6zExamkszQ5VutGIcaQqmbD9ZTVXMQ/edit#gid=1251630045"",""arti"&amp;"cles_with_PRISMA_reasons!B2:B2113""))&lt;2,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$A514=IMPORTRANGE(""https://docs.google.com"&amp;"/spreadsheets/d/1BJSV3WBYJGRhQ6zExamkszQ5VutGIcaQqmbD9ZTVXMQ/edit#gid=1251630045"",""articles_with_PRISMA_reasons!B2:B2113""))&gt;=2),
""Exclude""
)"),"Exclude")</f>
        <v>Exclude</v>
      </c>
      <c r="E514" s="5" t="str">
        <f>IFERROR(__xludf.DUMMYFUNCTION("IFS(
D514=""Exclude"",""Exclude"",
AND(
FILTER(IMPORTRANGE(""https://docs.google.com/spreadsheets/d/1qpEmbGH0JjaJbUdp21-y2cPbobDbMjr09BbtdKROZWc/edit#gid=1444865654"",""articles_with_PRISMA_reasons!W2:W2113""), $A514=IMPORTRANGE(""https://docs.google.com/"&amp;"spreadsheets/d/1qpEmbGH0JjaJbUdp21-y2cPbobDbMjr09BbtdKROZWc/edit#gid=1444865654"",""articles_with_PRISMA_reasons!B2:B2113""))&gt;=2,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$A514=IMPORTRANGE(""https://docs.google.com/spreadsheets/d/1qpEmbGH0JjaJbUdp21-y2cPbobDbMjr09BbtdKROZWc/edit#gid=1444865654"",""articles_with_PRISMA_reasons!B2:B2113""))&lt;2),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$A514=IMPORTRANGE(""https://docs.google.com/spreadsheets/d/1qpEmbGH0JjaJbUdp21-y2cPbobDbMjr09BbtdKRO"&amp;"ZWc/edit#gid=1444865654"",""articles_with_PRISMA_reasons!B2:B2113""))&lt;2,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$A514=IMPOR"&amp;"TRANGE(""https://docs.google.com/spreadsheets/d/1qpEmbGH0JjaJbUdp21-y2cPbobDbMjr09BbtdKROZWc/edit#gid=1444865654"",""articles_with_PRISMA_reasons!B2:B2113""))&gt;=2),
""Exclude""
)"),"Exclude")</f>
        <v>Exclude</v>
      </c>
      <c r="F514" s="5" t="str">
        <f>IFERROR(__xludf.DUMMYFUNCTION("IFS(
E514=""Exclude"",""Exclude"",
AND(
COUNTIF(
IMPORTRANGE(""https://docs.google.com/spreadsheets/d/1kGrh75X1cNR1D7_FcY9zMnHP8iPO4M5RCRjy6nZY0TY/edit#gid=0"",""Table 1: Study characteristics!B4:B171""),A514)&gt;0,
COUNTIF(Studies!$A$2:$A$85,FILTER(IMPORTRA"&amp;"NGE(""https://docs.google.com/spreadsheets/d/1kGrh75X1cNR1D7_FcY9zMnHP8iPO4M5RCRjy6nZY0TY/edit#gid=0"",""Table 1: Study characteristics!A4:A171""), $A514=IMPORTRANGE(""https://docs.google.com/spreadsheets/d/1kGrh75X1cNR1D7_FcY9zMnHP8iPO4M5RCRjy6nZY0TY/edi"&amp;"t#gid=0"",""Table 1: Study characteristics!B4:B171"")))&gt;0
),
""Include""
)"),"Exclude")</f>
        <v>Exclude</v>
      </c>
      <c r="G514" s="5" t="str">
        <f>IFERROR(__xludf.DUMMYFUNCTION("IFS(
D514=""Exclude"",
FILTER(IMPORTRANGE(""https://docs.google.com/spreadsheets/d/1BJSV3WBYJGRhQ6zExamkszQ5VutGIcaQqmbD9ZTVXMQ/edit#gid=1251630045"",""articles_with_PRISMA_reasons!AB2:AB2113""), $A514=IMPORTRANGE(""https://docs.google.com/spreadsheets/d/"&amp;"1BJSV3WBYJGRhQ6zExamkszQ5VutGIcaQqmbD9ZTVXMQ/edit#gid=1251630045"",""articles_with_PRISMA_reasons!B2:B2113"")),
E514=""Exclude"",
FILTER(IMPORTRANGE(""https://docs.google.com/spreadsheets/d/1qpEmbGH0JjaJbUdp21-y2cPbobDbMjr09BbtdKROZWc/edit#gid=1444865654"&amp;""",""articles_with_PRISMA_reasons!Z2:Z2113""), $A514=IMPORTRANGE(""https://docs.google.com/spreadsheets/d/1qpEmbGH0JjaJbUdp21-y2cPbobDbMjr09BbtdKROZWc/edit#gid=1444865654"",""articles_with_PRISMA_reasons!B2:B2113"")),F514
=""Include"",FILTER(IMPORTRANGE("&amp;"""https://docs.google.com/spreadsheets/d/1kGrh75X1cNR1D7_FcY9zMnHP8iPO4M5RCRjy6nZY0TY/edit#gid=0"",""Table 1: Study characteristics!A4:A171""), $A514=IMPORTRANGE(""https://docs.google.com/spreadsheets/d/1kGrh75X1cNR1D7_FcY9zMnHP8iPO4M5RCRjy6nZY0TY/edit#gi"&amp;"d=0"",""Table 1: Study characteristics!B4:B171""))
)"),"wrong population")</f>
        <v>wrong population</v>
      </c>
    </row>
    <row r="515">
      <c r="A515" s="4" t="str">
        <f>IFERROR(__xludf.DUMMYFUNCTION("""COMPUTED_VALUE"""),"Complexities of intraventricular abnormalities")</f>
        <v>Complexities of intraventricular abnormalities</v>
      </c>
      <c r="B515" s="5" t="str">
        <f>IFERROR(__xludf.DUMMYFUNCTION("LEFT(FILTER(IMPORTRANGE(""https://docs.google.com/spreadsheets/d/1BJSV3WBYJGRhQ6zExamkszQ5VutGIcaQqmbD9ZTVXMQ/edit#gid=1251630045"",""articles_with_PRISMA_reasons!K2:K2113""), $A515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$A515=IMPORTRANGE(""https://docs.google.com/spreadsheets/d/1BJSV3WBYJGRhQ6zExamkszQ5VutGIcaQqmbD9ZTVXMQ/edit#gid=1251630045"",""articles_with_PRISMA_reasons!B2:B2113"")))-1)"),"Pober")</f>
        <v>Pober</v>
      </c>
      <c r="C515" s="6">
        <f>IFERROR(__xludf.DUMMYFUNCTION("FILTER(IMPORTRANGE(""https://docs.google.com/spreadsheets/d/1BJSV3WBYJGRhQ6zExamkszQ5VutGIcaQqmbD9ZTVXMQ/edit#gid=1251630045"",""articles_with_PRISMA_reasons!C2:C2113""), $A515=IMPORTRANGE(""https://docs.google.com/spreadsheets/d/1BJSV3WBYJGRhQ6zExamkszQ5"&amp;"VutGIcaQqmbD9ZTVXMQ/edit#gid=1251630045"",""articles_with_PRISMA_reasons!B2:B2113""))"),1986.0)</f>
        <v>1986</v>
      </c>
      <c r="D515" s="5" t="str">
        <f>IFERROR(__xludf.DUMMYFUNCTION("IFS(AND(
FILTER(IMPORTRANGE(""https://docs.google.com/spreadsheets/d/1BJSV3WBYJGRhQ6zExamkszQ5VutGIcaQqmbD9ZTVXMQ/edit#gid=1251630045"",""articles_with_PRISMA_reasons!Y2:Y2113""), $A515=IMPORTRANGE(""https://docs.google.com/spreadsheets/d/1BJSV3WBYJGRhQ6z"&amp;"ExamkszQ5VutGIcaQqmbD9ZTVXMQ/edit#gid=1251630045"",""articles_with_PRISMA_reasons!B2:B2113""))&gt;=2,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$A515=IMPORTRANGE(""https://docs.google.com/spreadsheets/d/1BJSV3WBYJGRhQ6zExamkszQ5VutGIcaQqmbD9ZTVXMQ/edit#gid=1251630045"",""articles_with_PRISMA_reasons!B2:B2113""))&lt;2),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$A515=IMPORTRANGE(""https://docs.google.com/spreadsheets/d/1BJSV3WBYJGRhQ6zExamkszQ5VutGIcaQqmbD9ZTVXMQ/edit#gid=1251630045"",""arti"&amp;"cles_with_PRISMA_reasons!B2:B2113""))&lt;2,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$A515=IMPORTRANGE(""https://docs.google.com"&amp;"/spreadsheets/d/1BJSV3WBYJGRhQ6zExamkszQ5VutGIcaQqmbD9ZTVXMQ/edit#gid=1251630045"",""articles_with_PRISMA_reasons!B2:B2113""))&gt;=2),
""Exclude""
)"),"Exclude")</f>
        <v>Exclude</v>
      </c>
      <c r="E515" s="5" t="str">
        <f>IFERROR(__xludf.DUMMYFUNCTION("IFS(
D515=""Exclude"",""Exclude"",
AND(
FILTER(IMPORTRANGE(""https://docs.google.com/spreadsheets/d/1qpEmbGH0JjaJbUdp21-y2cPbobDbMjr09BbtdKROZWc/edit#gid=1444865654"",""articles_with_PRISMA_reasons!W2:W2113""), $A515=IMPORTRANGE(""https://docs.google.com/"&amp;"spreadsheets/d/1qpEmbGH0JjaJbUdp21-y2cPbobDbMjr09BbtdKROZWc/edit#gid=1444865654"",""articles_with_PRISMA_reasons!B2:B2113""))&gt;=2,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$A515=IMPORTRANGE(""https://docs.google.com/spreadsheets/d/1qpEmbGH0JjaJbUdp21-y2cPbobDbMjr09BbtdKROZWc/edit#gid=1444865654"",""articles_with_PRISMA_reasons!B2:B2113""))&lt;2),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$A515=IMPORTRANGE(""https://docs.google.com/spreadsheets/d/1qpEmbGH0JjaJbUdp21-y2cPbobDbMjr09BbtdKRO"&amp;"ZWc/edit#gid=1444865654"",""articles_with_PRISMA_reasons!B2:B2113""))&lt;2,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$A515=IMPOR"&amp;"TRANGE(""https://docs.google.com/spreadsheets/d/1qpEmbGH0JjaJbUdp21-y2cPbobDbMjr09BbtdKROZWc/edit#gid=1444865654"",""articles_with_PRISMA_reasons!B2:B2113""))&gt;=2),
""Exclude""
)"),"Exclude")</f>
        <v>Exclude</v>
      </c>
      <c r="F515" s="5" t="str">
        <f>IFERROR(__xludf.DUMMYFUNCTION("IFS(
E515=""Exclude"",""Exclude"",
AND(
COUNTIF(
IMPORTRANGE(""https://docs.google.com/spreadsheets/d/1kGrh75X1cNR1D7_FcY9zMnHP8iPO4M5RCRjy6nZY0TY/edit#gid=0"",""Table 1: Study characteristics!B4:B171""),A515)&gt;0,
COUNTIF(Studies!$A$2:$A$85,FILTER(IMPORTRA"&amp;"NGE(""https://docs.google.com/spreadsheets/d/1kGrh75X1cNR1D7_FcY9zMnHP8iPO4M5RCRjy6nZY0TY/edit#gid=0"",""Table 1: Study characteristics!A4:A171""), $A515=IMPORTRANGE(""https://docs.google.com/spreadsheets/d/1kGrh75X1cNR1D7_FcY9zMnHP8iPO4M5RCRjy6nZY0TY/edi"&amp;"t#gid=0"",""Table 1: Study characteristics!B4:B171"")))&gt;0
),
""Include""
)"),"Exclude")</f>
        <v>Exclude</v>
      </c>
      <c r="G515" s="5" t="str">
        <f>IFERROR(__xludf.DUMMYFUNCTION("IFS(
D515=""Exclude"",
FILTER(IMPORTRANGE(""https://docs.google.com/spreadsheets/d/1BJSV3WBYJGRhQ6zExamkszQ5VutGIcaQqmbD9ZTVXMQ/edit#gid=1251630045"",""articles_with_PRISMA_reasons!AB2:AB2113""), $A515=IMPORTRANGE(""https://docs.google.com/spreadsheets/d/"&amp;"1BJSV3WBYJGRhQ6zExamkszQ5VutGIcaQqmbD9ZTVXMQ/edit#gid=1251630045"",""articles_with_PRISMA_reasons!B2:B2113"")),
E515=""Exclude"",
FILTER(IMPORTRANGE(""https://docs.google.com/spreadsheets/d/1qpEmbGH0JjaJbUdp21-y2cPbobDbMjr09BbtdKROZWc/edit#gid=1444865654"&amp;""",""articles_with_PRISMA_reasons!Z2:Z2113""), $A515=IMPORTRANGE(""https://docs.google.com/spreadsheets/d/1qpEmbGH0JjaJbUdp21-y2cPbobDbMjr09BbtdKROZWc/edit#gid=1444865654"",""articles_with_PRISMA_reasons!B2:B2113"")),F515
=""Include"",FILTER(IMPORTRANGE("&amp;"""https://docs.google.com/spreadsheets/d/1kGrh75X1cNR1D7_FcY9zMnHP8iPO4M5RCRjy6nZY0TY/edit#gid=0"",""Table 1: Study characteristics!A4:A171""), $A515=IMPORTRANGE(""https://docs.google.com/spreadsheets/d/1kGrh75X1cNR1D7_FcY9zMnHP8iPO4M5RCRjy6nZY0TY/edit#gi"&amp;"d=0"",""Table 1: Study characteristics!B4:B171""))
)"),"wrong population")</f>
        <v>wrong population</v>
      </c>
    </row>
    <row r="516">
      <c r="A516" s="4" t="str">
        <f>IFERROR(__xludf.DUMMYFUNCTION("""COMPUTED_VALUE"""),"Complicaciones peritoneales infrecuentes de las derivativas ventrículo peritoneales")</f>
        <v>Complicaciones peritoneales infrecuentes de las derivativas ventrículo peritoneales</v>
      </c>
      <c r="B516" s="5" t="str">
        <f>IFERROR(__xludf.DUMMYFUNCTION("LEFT(FILTER(IMPORTRANGE(""https://docs.google.com/spreadsheets/d/1BJSV3WBYJGRhQ6zExamkszQ5VutGIcaQqmbD9ZTVXMQ/edit#gid=1251630045"",""articles_with_PRISMA_reasons!K2:K2113""), $A516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$A516=IMPORTRANGE(""https://docs.google.com/spreadsheets/d/1BJSV3WBYJGRhQ6zExamkszQ5VutGIcaQqmbD9ZTVXMQ/edit#gid=1251630045"",""articles_with_PRISMA_reasons!B2:B2113"")))-1)"),"Salazar Zencovich")</f>
        <v>Salazar Zencovich</v>
      </c>
      <c r="C516" s="6">
        <f>IFERROR(__xludf.DUMMYFUNCTION("FILTER(IMPORTRANGE(""https://docs.google.com/spreadsheets/d/1BJSV3WBYJGRhQ6zExamkszQ5VutGIcaQqmbD9ZTVXMQ/edit#gid=1251630045"",""articles_with_PRISMA_reasons!C2:C2113""), $A516=IMPORTRANGE(""https://docs.google.com/spreadsheets/d/1BJSV3WBYJGRhQ6zExamkszQ5"&amp;"VutGIcaQqmbD9ZTVXMQ/edit#gid=1251630045"",""articles_with_PRISMA_reasons!B2:B2113""))"),2000.0)</f>
        <v>2000</v>
      </c>
      <c r="D516" s="5" t="str">
        <f>IFERROR(__xludf.DUMMYFUNCTION("IFS(AND(
FILTER(IMPORTRANGE(""https://docs.google.com/spreadsheets/d/1BJSV3WBYJGRhQ6zExamkszQ5VutGIcaQqmbD9ZTVXMQ/edit#gid=1251630045"",""articles_with_PRISMA_reasons!Y2:Y2113""), $A516=IMPORTRANGE(""https://docs.google.com/spreadsheets/d/1BJSV3WBYJGRhQ6z"&amp;"ExamkszQ5VutGIcaQqmbD9ZTVXMQ/edit#gid=1251630045"",""articles_with_PRISMA_reasons!B2:B2113""))&gt;=2,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$A516=IMPORTRANGE(""https://docs.google.com/spreadsheets/d/1BJSV3WBYJGRhQ6zExamkszQ5VutGIcaQqmbD9ZTVXMQ/edit#gid=1251630045"",""articles_with_PRISMA_reasons!B2:B2113""))&lt;2),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$A516=IMPORTRANGE(""https://docs.google.com/spreadsheets/d/1BJSV3WBYJGRhQ6zExamkszQ5VutGIcaQqmbD9ZTVXMQ/edit#gid=1251630045"",""arti"&amp;"cles_with_PRISMA_reasons!B2:B2113""))&lt;2,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$A516=IMPORTRANGE(""https://docs.google.com"&amp;"/spreadsheets/d/1BJSV3WBYJGRhQ6zExamkszQ5VutGIcaQqmbD9ZTVXMQ/edit#gid=1251630045"",""articles_with_PRISMA_reasons!B2:B2113""))&gt;=2),
""Exclude""
)"),"Exclude")</f>
        <v>Exclude</v>
      </c>
      <c r="E516" s="5" t="str">
        <f>IFERROR(__xludf.DUMMYFUNCTION("IFS(
D516=""Exclude"",""Exclude"",
AND(
FILTER(IMPORTRANGE(""https://docs.google.com/spreadsheets/d/1qpEmbGH0JjaJbUdp21-y2cPbobDbMjr09BbtdKROZWc/edit#gid=1444865654"",""articles_with_PRISMA_reasons!W2:W2113""), $A516=IMPORTRANGE(""https://docs.google.com/"&amp;"spreadsheets/d/1qpEmbGH0JjaJbUdp21-y2cPbobDbMjr09BbtdKROZWc/edit#gid=1444865654"",""articles_with_PRISMA_reasons!B2:B2113""))&gt;=2,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$A516=IMPORTRANGE(""https://docs.google.com/spreadsheets/d/1qpEmbGH0JjaJbUdp21-y2cPbobDbMjr09BbtdKROZWc/edit#gid=1444865654"",""articles_with_PRISMA_reasons!B2:B2113""))&lt;2),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$A516=IMPORTRANGE(""https://docs.google.com/spreadsheets/d/1qpEmbGH0JjaJbUdp21-y2cPbobDbMjr09BbtdKRO"&amp;"ZWc/edit#gid=1444865654"",""articles_with_PRISMA_reasons!B2:B2113""))&lt;2,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$A516=IMPOR"&amp;"TRANGE(""https://docs.google.com/spreadsheets/d/1qpEmbGH0JjaJbUdp21-y2cPbobDbMjr09BbtdKROZWc/edit#gid=1444865654"",""articles_with_PRISMA_reasons!B2:B2113""))&gt;=2),
""Exclude""
)"),"Exclude")</f>
        <v>Exclude</v>
      </c>
      <c r="F516" s="5" t="str">
        <f>IFERROR(__xludf.DUMMYFUNCTION("IFS(
E516=""Exclude"",""Exclude"",
AND(
COUNTIF(
IMPORTRANGE(""https://docs.google.com/spreadsheets/d/1kGrh75X1cNR1D7_FcY9zMnHP8iPO4M5RCRjy6nZY0TY/edit#gid=0"",""Table 1: Study characteristics!B4:B171""),A516)&gt;0,
COUNTIF(Studies!$A$2:$A$85,FILTER(IMPORTRA"&amp;"NGE(""https://docs.google.com/spreadsheets/d/1kGrh75X1cNR1D7_FcY9zMnHP8iPO4M5RCRjy6nZY0TY/edit#gid=0"",""Table 1: Study characteristics!A4:A171""), $A516=IMPORTRANGE(""https://docs.google.com/spreadsheets/d/1kGrh75X1cNR1D7_FcY9zMnHP8iPO4M5RCRjy6nZY0TY/edi"&amp;"t#gid=0"",""Table 1: Study characteristics!B4:B171"")))&gt;0
),
""Include""
)"),"Exclude")</f>
        <v>Exclude</v>
      </c>
      <c r="G516" s="5" t="str">
        <f>IFERROR(__xludf.DUMMYFUNCTION("IFS(
D516=""Exclude"",
FILTER(IMPORTRANGE(""https://docs.google.com/spreadsheets/d/1BJSV3WBYJGRhQ6zExamkszQ5VutGIcaQqmbD9ZTVXMQ/edit#gid=1251630045"",""articles_with_PRISMA_reasons!AB2:AB2113""), $A516=IMPORTRANGE(""https://docs.google.com/spreadsheets/d/"&amp;"1BJSV3WBYJGRhQ6zExamkszQ5VutGIcaQqmbD9ZTVXMQ/edit#gid=1251630045"",""articles_with_PRISMA_reasons!B2:B2113"")),
E516=""Exclude"",
FILTER(IMPORTRANGE(""https://docs.google.com/spreadsheets/d/1qpEmbGH0JjaJbUdp21-y2cPbobDbMjr09BbtdKROZWc/edit#gid=1444865654"&amp;""",""articles_with_PRISMA_reasons!Z2:Z2113""), $A516=IMPORTRANGE(""https://docs.google.com/spreadsheets/d/1qpEmbGH0JjaJbUdp21-y2cPbobDbMjr09BbtdKROZWc/edit#gid=1444865654"",""articles_with_PRISMA_reasons!B2:B2113"")),F516
=""Include"",FILTER(IMPORTRANGE("&amp;"""https://docs.google.com/spreadsheets/d/1kGrh75X1cNR1D7_FcY9zMnHP8iPO4M5RCRjy6nZY0TY/edit#gid=0"",""Table 1: Study characteristics!A4:A171""), $A516=IMPORTRANGE(""https://docs.google.com/spreadsheets/d/1kGrh75X1cNR1D7_FcY9zMnHP8iPO4M5RCRjy6nZY0TY/edit#gi"&amp;"d=0"",""Table 1: Study characteristics!B4:B171""))
)"),"wrong population")</f>
        <v>wrong population</v>
      </c>
    </row>
    <row r="517">
      <c r="A517" s="4" t="str">
        <f>IFERROR(__xludf.DUMMYFUNCTION("""COMPUTED_VALUE"""),"Complications associated with myelomeningocele")</f>
        <v>Complications associated with myelomeningocele</v>
      </c>
      <c r="B517" s="5" t="str">
        <f>IFERROR(__xludf.DUMMYFUNCTION("LEFT(FILTER(IMPORTRANGE(""https://docs.google.com/spreadsheets/d/1BJSV3WBYJGRhQ6zExamkszQ5VutGIcaQqmbD9ZTVXMQ/edit#gid=1251630045"",""articles_with_PRISMA_reasons!K2:K2113""), $A517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$A517=IMPORTRANGE(""https://docs.google.com/spreadsheets/d/1BJSV3WBYJGRhQ6zExamkszQ5VutGIcaQqmbD9ZTVXMQ/edit#gid=1251630045"",""articles_with_PRISMA_reasons!B2:B2113"")))-1)"),"Lenkiewicz")</f>
        <v>Lenkiewicz</v>
      </c>
      <c r="C517" s="6">
        <f>IFERROR(__xludf.DUMMYFUNCTION("FILTER(IMPORTRANGE(""https://docs.google.com/spreadsheets/d/1BJSV3WBYJGRhQ6zExamkszQ5VutGIcaQqmbD9ZTVXMQ/edit#gid=1251630045"",""articles_with_PRISMA_reasons!C2:C2113""), $A517=IMPORTRANGE(""https://docs.google.com/spreadsheets/d/1BJSV3WBYJGRhQ6zExamkszQ5"&amp;"VutGIcaQqmbD9ZTVXMQ/edit#gid=1251630045"",""articles_with_PRISMA_reasons!B2:B2113""))"),2007.0)</f>
        <v>2007</v>
      </c>
      <c r="D517" s="5" t="str">
        <f>IFERROR(__xludf.DUMMYFUNCTION("IFS(AND(
FILTER(IMPORTRANGE(""https://docs.google.com/spreadsheets/d/1BJSV3WBYJGRhQ6zExamkszQ5VutGIcaQqmbD9ZTVXMQ/edit#gid=1251630045"",""articles_with_PRISMA_reasons!Y2:Y2113""), $A517=IMPORTRANGE(""https://docs.google.com/spreadsheets/d/1BJSV3WBYJGRhQ6z"&amp;"ExamkszQ5VutGIcaQqmbD9ZTVXMQ/edit#gid=1251630045"",""articles_with_PRISMA_reasons!B2:B2113""))&gt;=2,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$A517=IMPORTRANGE(""https://docs.google.com/spreadsheets/d/1BJSV3WBYJGRhQ6zExamkszQ5VutGIcaQqmbD9ZTVXMQ/edit#gid=1251630045"",""articles_with_PRISMA_reasons!B2:B2113""))&lt;2),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$A517=IMPORTRANGE(""https://docs.google.com/spreadsheets/d/1BJSV3WBYJGRhQ6zExamkszQ5VutGIcaQqmbD9ZTVXMQ/edit#gid=1251630045"",""arti"&amp;"cles_with_PRISMA_reasons!B2:B2113""))&lt;2,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$A517=IMPORTRANGE(""https://docs.google.com"&amp;"/spreadsheets/d/1BJSV3WBYJGRhQ6zExamkszQ5VutGIcaQqmbD9ZTVXMQ/edit#gid=1251630045"",""articles_with_PRISMA_reasons!B2:B2113""))&gt;=2),
""Exclude""
)"),"Exclude")</f>
        <v>Exclude</v>
      </c>
      <c r="E517" s="5" t="str">
        <f>IFERROR(__xludf.DUMMYFUNCTION("IFS(
D517=""Exclude"",""Exclude"",
AND(
FILTER(IMPORTRANGE(""https://docs.google.com/spreadsheets/d/1qpEmbGH0JjaJbUdp21-y2cPbobDbMjr09BbtdKROZWc/edit#gid=1444865654"",""articles_with_PRISMA_reasons!W2:W2113""), $A517=IMPORTRANGE(""https://docs.google.com/"&amp;"spreadsheets/d/1qpEmbGH0JjaJbUdp21-y2cPbobDbMjr09BbtdKROZWc/edit#gid=1444865654"",""articles_with_PRISMA_reasons!B2:B2113""))&gt;=2,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$A517=IMPORTRANGE(""https://docs.google.com/spreadsheets/d/1qpEmbGH0JjaJbUdp21-y2cPbobDbMjr09BbtdKROZWc/edit#gid=1444865654"",""articles_with_PRISMA_reasons!B2:B2113""))&lt;2),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$A517=IMPORTRANGE(""https://docs.google.com/spreadsheets/d/1qpEmbGH0JjaJbUdp21-y2cPbobDbMjr09BbtdKRO"&amp;"ZWc/edit#gid=1444865654"",""articles_with_PRISMA_reasons!B2:B2113""))&lt;2,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$A517=IMPOR"&amp;"TRANGE(""https://docs.google.com/spreadsheets/d/1qpEmbGH0JjaJbUdp21-y2cPbobDbMjr09BbtdKROZWc/edit#gid=1444865654"",""articles_with_PRISMA_reasons!B2:B2113""))&gt;=2),
""Exclude""
)"),"Exclude")</f>
        <v>Exclude</v>
      </c>
      <c r="F517" s="5" t="str">
        <f>IFERROR(__xludf.DUMMYFUNCTION("IFS(
E517=""Exclude"",""Exclude"",
AND(
COUNTIF(
IMPORTRANGE(""https://docs.google.com/spreadsheets/d/1kGrh75X1cNR1D7_FcY9zMnHP8iPO4M5RCRjy6nZY0TY/edit#gid=0"",""Table 1: Study characteristics!B4:B171""),A517)&gt;0,
COUNTIF(Studies!$A$2:$A$85,FILTER(IMPORTRA"&amp;"NGE(""https://docs.google.com/spreadsheets/d/1kGrh75X1cNR1D7_FcY9zMnHP8iPO4M5RCRjy6nZY0TY/edit#gid=0"",""Table 1: Study characteristics!A4:A171""), $A517=IMPORTRANGE(""https://docs.google.com/spreadsheets/d/1kGrh75X1cNR1D7_FcY9zMnHP8iPO4M5RCRjy6nZY0TY/edi"&amp;"t#gid=0"",""Table 1: Study characteristics!B4:B171"")))&gt;0
),
""Include""
)"),"Exclude")</f>
        <v>Exclude</v>
      </c>
      <c r="G517" s="5" t="str">
        <f>IFERROR(__xludf.DUMMYFUNCTION("IFS(
D517=""Exclude"",
FILTER(IMPORTRANGE(""https://docs.google.com/spreadsheets/d/1BJSV3WBYJGRhQ6zExamkszQ5VutGIcaQqmbD9ZTVXMQ/edit#gid=1251630045"",""articles_with_PRISMA_reasons!AB2:AB2113""), $A517=IMPORTRANGE(""https://docs.google.com/spreadsheets/d/"&amp;"1BJSV3WBYJGRhQ6zExamkszQ5VutGIcaQqmbD9ZTVXMQ/edit#gid=1251630045"",""articles_with_PRISMA_reasons!B2:B2113"")),
E517=""Exclude"",
FILTER(IMPORTRANGE(""https://docs.google.com/spreadsheets/d/1qpEmbGH0JjaJbUdp21-y2cPbobDbMjr09BbtdKROZWc/edit#gid=1444865654"&amp;""",""articles_with_PRISMA_reasons!Z2:Z2113""), $A517=IMPORTRANGE(""https://docs.google.com/spreadsheets/d/1qpEmbGH0JjaJbUdp21-y2cPbobDbMjr09BbtdKROZWc/edit#gid=1444865654"",""articles_with_PRISMA_reasons!B2:B2113"")),F517
=""Include"",FILTER(IMPORTRANGE("&amp;"""https://docs.google.com/spreadsheets/d/1kGrh75X1cNR1D7_FcY9zMnHP8iPO4M5RCRjy6nZY0TY/edit#gid=0"",""Table 1: Study characteristics!A4:A171""), $A517=IMPORTRANGE(""https://docs.google.com/spreadsheets/d/1kGrh75X1cNR1D7_FcY9zMnHP8iPO4M5RCRjy6nZY0TY/edit#gi"&amp;"d=0"",""Table 1: Study characteristics!B4:B171""))
)"),"wrong population")</f>
        <v>wrong population</v>
      </c>
    </row>
    <row r="518">
      <c r="A518" s="4" t="str">
        <f>IFERROR(__xludf.DUMMYFUNCTION("""COMPUTED_VALUE"""),"Complications of cerebrospinal fluid shunt antisiphon devices")</f>
        <v>Complications of cerebrospinal fluid shunt antisiphon devices</v>
      </c>
      <c r="B518" s="5" t="str">
        <f>IFERROR(__xludf.DUMMYFUNCTION("LEFT(FILTER(IMPORTRANGE(""https://docs.google.com/spreadsheets/d/1BJSV3WBYJGRhQ6zExamkszQ5VutGIcaQqmbD9ZTVXMQ/edit#gid=1251630045"",""articles_with_PRISMA_reasons!K2:K2113""), $A518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$A518=IMPORTRANGE(""https://docs.google.com/spreadsheets/d/1BJSV3WBYJGRhQ6zExamkszQ5VutGIcaQqmbD9ZTVXMQ/edit#gid=1251630045"",""articles_with_PRISMA_reasons!B2:B2113"")))-1)"),"da Silva")</f>
        <v>da Silva</v>
      </c>
      <c r="C518" s="6">
        <f>IFERROR(__xludf.DUMMYFUNCTION("FILTER(IMPORTRANGE(""https://docs.google.com/spreadsheets/d/1BJSV3WBYJGRhQ6zExamkszQ5VutGIcaQqmbD9ZTVXMQ/edit#gid=1251630045"",""articles_with_PRISMA_reasons!C2:C2113""), $A518=IMPORTRANGE(""https://docs.google.com/spreadsheets/d/1BJSV3WBYJGRhQ6zExamkszQ5"&amp;"VutGIcaQqmbD9ZTVXMQ/edit#gid=1251630045"",""articles_with_PRISMA_reasons!B2:B2113""))"),1991.0)</f>
        <v>1991</v>
      </c>
      <c r="D518" s="5" t="str">
        <f>IFERROR(__xludf.DUMMYFUNCTION("IFS(AND(
FILTER(IMPORTRANGE(""https://docs.google.com/spreadsheets/d/1BJSV3WBYJGRhQ6zExamkszQ5VutGIcaQqmbD9ZTVXMQ/edit#gid=1251630045"",""articles_with_PRISMA_reasons!Y2:Y2113""), $A518=IMPORTRANGE(""https://docs.google.com/spreadsheets/d/1BJSV3WBYJGRhQ6z"&amp;"ExamkszQ5VutGIcaQqmbD9ZTVXMQ/edit#gid=1251630045"",""articles_with_PRISMA_reasons!B2:B2113""))&gt;=2,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$A518=IMPORTRANGE(""https://docs.google.com/spreadsheets/d/1BJSV3WBYJGRhQ6zExamkszQ5VutGIcaQqmbD9ZTVXMQ/edit#gid=1251630045"",""articles_with_PRISMA_reasons!B2:B2113""))&lt;2),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$A518=IMPORTRANGE(""https://docs.google.com/spreadsheets/d/1BJSV3WBYJGRhQ6zExamkszQ5VutGIcaQqmbD9ZTVXMQ/edit#gid=1251630045"",""arti"&amp;"cles_with_PRISMA_reasons!B2:B2113""))&lt;2,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$A518=IMPORTRANGE(""https://docs.google.com"&amp;"/spreadsheets/d/1BJSV3WBYJGRhQ6zExamkszQ5VutGIcaQqmbD9ZTVXMQ/edit#gid=1251630045"",""articles_with_PRISMA_reasons!B2:B2113""))&gt;=2),
""Exclude""
)"),"Exclude")</f>
        <v>Exclude</v>
      </c>
      <c r="E518" s="5" t="str">
        <f>IFERROR(__xludf.DUMMYFUNCTION("IFS(
D518=""Exclude"",""Exclude"",
AND(
FILTER(IMPORTRANGE(""https://docs.google.com/spreadsheets/d/1qpEmbGH0JjaJbUdp21-y2cPbobDbMjr09BbtdKROZWc/edit#gid=1444865654"",""articles_with_PRISMA_reasons!W2:W2113""), $A518=IMPORTRANGE(""https://docs.google.com/"&amp;"spreadsheets/d/1qpEmbGH0JjaJbUdp21-y2cPbobDbMjr09BbtdKROZWc/edit#gid=1444865654"",""articles_with_PRISMA_reasons!B2:B2113""))&gt;=2,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$A518=IMPORTRANGE(""https://docs.google.com/spreadsheets/d/1qpEmbGH0JjaJbUdp21-y2cPbobDbMjr09BbtdKROZWc/edit#gid=1444865654"",""articles_with_PRISMA_reasons!B2:B2113""))&lt;2),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$A518=IMPORTRANGE(""https://docs.google.com/spreadsheets/d/1qpEmbGH0JjaJbUdp21-y2cPbobDbMjr09BbtdKRO"&amp;"ZWc/edit#gid=1444865654"",""articles_with_PRISMA_reasons!B2:B2113""))&lt;2,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$A518=IMPOR"&amp;"TRANGE(""https://docs.google.com/spreadsheets/d/1qpEmbGH0JjaJbUdp21-y2cPbobDbMjr09BbtdKROZWc/edit#gid=1444865654"",""articles_with_PRISMA_reasons!B2:B2113""))&gt;=2),
""Exclude""
)"),"Exclude")</f>
        <v>Exclude</v>
      </c>
      <c r="F518" s="5" t="str">
        <f>IFERROR(__xludf.DUMMYFUNCTION("IFS(
E518=""Exclude"",""Exclude"",
AND(
COUNTIF(
IMPORTRANGE(""https://docs.google.com/spreadsheets/d/1kGrh75X1cNR1D7_FcY9zMnHP8iPO4M5RCRjy6nZY0TY/edit#gid=0"",""Table 1: Study characteristics!B4:B171""),A518)&gt;0,
COUNTIF(Studies!$A$2:$A$85,FILTER(IMPORTRA"&amp;"NGE(""https://docs.google.com/spreadsheets/d/1kGrh75X1cNR1D7_FcY9zMnHP8iPO4M5RCRjy6nZY0TY/edit#gid=0"",""Table 1: Study characteristics!A4:A171""), $A518=IMPORTRANGE(""https://docs.google.com/spreadsheets/d/1kGrh75X1cNR1D7_FcY9zMnHP8iPO4M5RCRjy6nZY0TY/edi"&amp;"t#gid=0"",""Table 1: Study characteristics!B4:B171"")))&gt;0
),
""Include""
)"),"Exclude")</f>
        <v>Exclude</v>
      </c>
      <c r="G518" s="5" t="str">
        <f>IFERROR(__xludf.DUMMYFUNCTION("IFS(
D518=""Exclude"",
FILTER(IMPORTRANGE(""https://docs.google.com/spreadsheets/d/1BJSV3WBYJGRhQ6zExamkszQ5VutGIcaQqmbD9ZTVXMQ/edit#gid=1251630045"",""articles_with_PRISMA_reasons!AB2:AB2113""), $A518=IMPORTRANGE(""https://docs.google.com/spreadsheets/d/"&amp;"1BJSV3WBYJGRhQ6zExamkszQ5VutGIcaQqmbD9ZTVXMQ/edit#gid=1251630045"",""articles_with_PRISMA_reasons!B2:B2113"")),
E518=""Exclude"",
FILTER(IMPORTRANGE(""https://docs.google.com/spreadsheets/d/1qpEmbGH0JjaJbUdp21-y2cPbobDbMjr09BbtdKROZWc/edit#gid=1444865654"&amp;""",""articles_with_PRISMA_reasons!Z2:Z2113""), $A518=IMPORTRANGE(""https://docs.google.com/spreadsheets/d/1qpEmbGH0JjaJbUdp21-y2cPbobDbMjr09BbtdKROZWc/edit#gid=1444865654"",""articles_with_PRISMA_reasons!B2:B2113"")),F518
=""Include"",FILTER(IMPORTRANGE("&amp;"""https://docs.google.com/spreadsheets/d/1kGrh75X1cNR1D7_FcY9zMnHP8iPO4M5RCRjy6nZY0TY/edit#gid=0"",""Table 1: Study characteristics!A4:A171""), $A518=IMPORTRANGE(""https://docs.google.com/spreadsheets/d/1kGrh75X1cNR1D7_FcY9zMnHP8iPO4M5RCRjy6nZY0TY/edit#gi"&amp;"d=0"",""Table 1: Study characteristics!B4:B171""))
)"),"wrong population")</f>
        <v>wrong population</v>
      </c>
    </row>
    <row r="519">
      <c r="A519" s="4" t="str">
        <f>IFERROR(__xludf.DUMMYFUNCTION("""COMPUTED_VALUE"""),"Complications of endoscopic third ventriculostomy")</f>
        <v>Complications of endoscopic third ventriculostomy</v>
      </c>
      <c r="B519" s="5" t="str">
        <f>IFERROR(__xludf.DUMMYFUNCTION("LEFT(FILTER(IMPORTRANGE(""https://docs.google.com/spreadsheets/d/1BJSV3WBYJGRhQ6zExamkszQ5VutGIcaQqmbD9ZTVXMQ/edit#gid=1251630045"",""articles_with_PRISMA_reasons!K2:K2113""), $A519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$A519=IMPORTRANGE(""https://docs.google.com/spreadsheets/d/1BJSV3WBYJGRhQ6zExamkszQ5VutGIcaQqmbD9ZTVXMQ/edit#gid=1251630045"",""articles_with_PRISMA_reasons!B2:B2113"")))-1)"),"Bouras")</f>
        <v>Bouras</v>
      </c>
      <c r="C519" s="6">
        <f>IFERROR(__xludf.DUMMYFUNCTION("FILTER(IMPORTRANGE(""https://docs.google.com/spreadsheets/d/1BJSV3WBYJGRhQ6zExamkszQ5VutGIcaQqmbD9ZTVXMQ/edit#gid=1251630045"",""articles_with_PRISMA_reasons!C2:C2113""), $A519=IMPORTRANGE(""https://docs.google.com/spreadsheets/d/1BJSV3WBYJGRhQ6zExamkszQ5"&amp;"VutGIcaQqmbD9ZTVXMQ/edit#gid=1251630045"",""articles_with_PRISMA_reasons!B2:B2113""))"),2011.0)</f>
        <v>2011</v>
      </c>
      <c r="D519" s="5" t="str">
        <f>IFERROR(__xludf.DUMMYFUNCTION("IFS(AND(
FILTER(IMPORTRANGE(""https://docs.google.com/spreadsheets/d/1BJSV3WBYJGRhQ6zExamkszQ5VutGIcaQqmbD9ZTVXMQ/edit#gid=1251630045"",""articles_with_PRISMA_reasons!Y2:Y2113""), $A519=IMPORTRANGE(""https://docs.google.com/spreadsheets/d/1BJSV3WBYJGRhQ6z"&amp;"ExamkszQ5VutGIcaQqmbD9ZTVXMQ/edit#gid=1251630045"",""articles_with_PRISMA_reasons!B2:B2113""))&gt;=2,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$A519=IMPORTRANGE(""https://docs.google.com/spreadsheets/d/1BJSV3WBYJGRhQ6zExamkszQ5VutGIcaQqmbD9ZTVXMQ/edit#gid=1251630045"",""articles_with_PRISMA_reasons!B2:B2113""))&lt;2),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$A519=IMPORTRANGE(""https://docs.google.com/spreadsheets/d/1BJSV3WBYJGRhQ6zExamkszQ5VutGIcaQqmbD9ZTVXMQ/edit#gid=1251630045"",""arti"&amp;"cles_with_PRISMA_reasons!B2:B2113""))&lt;2,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$A519=IMPORTRANGE(""https://docs.google.com"&amp;"/spreadsheets/d/1BJSV3WBYJGRhQ6zExamkszQ5VutGIcaQqmbD9ZTVXMQ/edit#gid=1251630045"",""articles_with_PRISMA_reasons!B2:B2113""))&gt;=2),
""Exclude""
)"),"Exclude")</f>
        <v>Exclude</v>
      </c>
      <c r="E519" s="5" t="str">
        <f>IFERROR(__xludf.DUMMYFUNCTION("IFS(
D519=""Exclude"",""Exclude"",
AND(
FILTER(IMPORTRANGE(""https://docs.google.com/spreadsheets/d/1qpEmbGH0JjaJbUdp21-y2cPbobDbMjr09BbtdKROZWc/edit#gid=1444865654"",""articles_with_PRISMA_reasons!W2:W2113""), $A519=IMPORTRANGE(""https://docs.google.com/"&amp;"spreadsheets/d/1qpEmbGH0JjaJbUdp21-y2cPbobDbMjr09BbtdKROZWc/edit#gid=1444865654"",""articles_with_PRISMA_reasons!B2:B2113""))&gt;=2,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$A519=IMPORTRANGE(""https://docs.google.com/spreadsheets/d/1qpEmbGH0JjaJbUdp21-y2cPbobDbMjr09BbtdKROZWc/edit#gid=1444865654"",""articles_with_PRISMA_reasons!B2:B2113""))&lt;2),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$A519=IMPORTRANGE(""https://docs.google.com/spreadsheets/d/1qpEmbGH0JjaJbUdp21-y2cPbobDbMjr09BbtdKRO"&amp;"ZWc/edit#gid=1444865654"",""articles_with_PRISMA_reasons!B2:B2113""))&lt;2,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$A519=IMPOR"&amp;"TRANGE(""https://docs.google.com/spreadsheets/d/1qpEmbGH0JjaJbUdp21-y2cPbobDbMjr09BbtdKROZWc/edit#gid=1444865654"",""articles_with_PRISMA_reasons!B2:B2113""))&gt;=2),
""Exclude""
)"),"Exclude")</f>
        <v>Exclude</v>
      </c>
      <c r="F519" s="5" t="str">
        <f>IFERROR(__xludf.DUMMYFUNCTION("IFS(
E519=""Exclude"",""Exclude"",
AND(
COUNTIF(
IMPORTRANGE(""https://docs.google.com/spreadsheets/d/1kGrh75X1cNR1D7_FcY9zMnHP8iPO4M5RCRjy6nZY0TY/edit#gid=0"",""Table 1: Study characteristics!B4:B171""),A519)&gt;0,
COUNTIF(Studies!$A$2:$A$85,FILTER(IMPORTRA"&amp;"NGE(""https://docs.google.com/spreadsheets/d/1kGrh75X1cNR1D7_FcY9zMnHP8iPO4M5RCRjy6nZY0TY/edit#gid=0"",""Table 1: Study characteristics!A4:A171""), $A519=IMPORTRANGE(""https://docs.google.com/spreadsheets/d/1kGrh75X1cNR1D7_FcY9zMnHP8iPO4M5RCRjy6nZY0TY/edi"&amp;"t#gid=0"",""Table 1: Study characteristics!B4:B171"")))&gt;0
),
""Include""
)"),"Exclude")</f>
        <v>Exclude</v>
      </c>
      <c r="G519" s="5" t="str">
        <f>IFERROR(__xludf.DUMMYFUNCTION("IFS(
D519=""Exclude"",
FILTER(IMPORTRANGE(""https://docs.google.com/spreadsheets/d/1BJSV3WBYJGRhQ6zExamkszQ5VutGIcaQqmbD9ZTVXMQ/edit#gid=1251630045"",""articles_with_PRISMA_reasons!AB2:AB2113""), $A519=IMPORTRANGE(""https://docs.google.com/spreadsheets/d/"&amp;"1BJSV3WBYJGRhQ6zExamkszQ5VutGIcaQqmbD9ZTVXMQ/edit#gid=1251630045"",""articles_with_PRISMA_reasons!B2:B2113"")),
E519=""Exclude"",
FILTER(IMPORTRANGE(""https://docs.google.com/spreadsheets/d/1qpEmbGH0JjaJbUdp21-y2cPbobDbMjr09BbtdKROZWc/edit#gid=1444865654"&amp;""",""articles_with_PRISMA_reasons!Z2:Z2113""), $A519=IMPORTRANGE(""https://docs.google.com/spreadsheets/d/1qpEmbGH0JjaJbUdp21-y2cPbobDbMjr09BbtdKROZWc/edit#gid=1444865654"",""articles_with_PRISMA_reasons!B2:B2113"")),F519
=""Include"",FILTER(IMPORTRANGE("&amp;"""https://docs.google.com/spreadsheets/d/1kGrh75X1cNR1D7_FcY9zMnHP8iPO4M5RCRjy6nZY0TY/edit#gid=0"",""Table 1: Study characteristics!A4:A171""), $A519=IMPORTRANGE(""https://docs.google.com/spreadsheets/d/1kGrh75X1cNR1D7_FcY9zMnHP8iPO4M5RCRjy6nZY0TY/edit#gi"&amp;"d=0"",""Table 1: Study characteristics!B4:B171""))
)"),"wrong study design")</f>
        <v>wrong study design</v>
      </c>
    </row>
    <row r="520">
      <c r="A520" s="4" t="str">
        <f>IFERROR(__xludf.DUMMYFUNCTION("""COMPUTED_VALUE"""),"Complications of endoscopic third ventriculostomy: A review")</f>
        <v>Complications of endoscopic third ventriculostomy: A review</v>
      </c>
      <c r="B520" s="5" t="str">
        <f>IFERROR(__xludf.DUMMYFUNCTION("LEFT(FILTER(IMPORTRANGE(""https://docs.google.com/spreadsheets/d/1BJSV3WBYJGRhQ6zExamkszQ5VutGIcaQqmbD9ZTVXMQ/edit#gid=1251630045"",""articles_with_PRISMA_reasons!K2:K2113""), $A520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$A520=IMPORTRANGE(""https://docs.google.com/spreadsheets/d/1BJSV3WBYJGRhQ6zExamkszQ5VutGIcaQqmbD9ZTVXMQ/edit#gid=1251630045"",""articles_with_PRISMA_reasons!B2:B2113"")))-1)"),"Bouras")</f>
        <v>Bouras</v>
      </c>
      <c r="C520" s="6">
        <f>IFERROR(__xludf.DUMMYFUNCTION("FILTER(IMPORTRANGE(""https://docs.google.com/spreadsheets/d/1BJSV3WBYJGRhQ6zExamkszQ5VutGIcaQqmbD9ZTVXMQ/edit#gid=1251630045"",""articles_with_PRISMA_reasons!C2:C2113""), $A520=IMPORTRANGE(""https://docs.google.com/spreadsheets/d/1BJSV3WBYJGRhQ6zExamkszQ5"&amp;"VutGIcaQqmbD9ZTVXMQ/edit#gid=1251630045"",""articles_with_PRISMA_reasons!B2:B2113""))"),2011.0)</f>
        <v>2011</v>
      </c>
      <c r="D520" s="5" t="str">
        <f>IFERROR(__xludf.DUMMYFUNCTION("IFS(AND(
FILTER(IMPORTRANGE(""https://docs.google.com/spreadsheets/d/1BJSV3WBYJGRhQ6zExamkszQ5VutGIcaQqmbD9ZTVXMQ/edit#gid=1251630045"",""articles_with_PRISMA_reasons!Y2:Y2113""), $A520=IMPORTRANGE(""https://docs.google.com/spreadsheets/d/1BJSV3WBYJGRhQ6z"&amp;"ExamkszQ5VutGIcaQqmbD9ZTVXMQ/edit#gid=1251630045"",""articles_with_PRISMA_reasons!B2:B2113""))&gt;=2,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$A520=IMPORTRANGE(""https://docs.google.com/spreadsheets/d/1BJSV3WBYJGRhQ6zExamkszQ5VutGIcaQqmbD9ZTVXMQ/edit#gid=1251630045"",""articles_with_PRISMA_reasons!B2:B2113""))&lt;2),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$A520=IMPORTRANGE(""https://docs.google.com/spreadsheets/d/1BJSV3WBYJGRhQ6zExamkszQ5VutGIcaQqmbD9ZTVXMQ/edit#gid=1251630045"",""arti"&amp;"cles_with_PRISMA_reasons!B2:B2113""))&lt;2,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$A520=IMPORTRANGE(""https://docs.google.com"&amp;"/spreadsheets/d/1BJSV3WBYJGRhQ6zExamkszQ5VutGIcaQqmbD9ZTVXMQ/edit#gid=1251630045"",""articles_with_PRISMA_reasons!B2:B2113""))&gt;=2),
""Exclude""
)"),"Exclude")</f>
        <v>Exclude</v>
      </c>
      <c r="E520" s="5" t="str">
        <f>IFERROR(__xludf.DUMMYFUNCTION("IFS(
D520=""Exclude"",""Exclude"",
AND(
FILTER(IMPORTRANGE(""https://docs.google.com/spreadsheets/d/1qpEmbGH0JjaJbUdp21-y2cPbobDbMjr09BbtdKROZWc/edit#gid=1444865654"",""articles_with_PRISMA_reasons!W2:W2113""), $A520=IMPORTRANGE(""https://docs.google.com/"&amp;"spreadsheets/d/1qpEmbGH0JjaJbUdp21-y2cPbobDbMjr09BbtdKROZWc/edit#gid=1444865654"",""articles_with_PRISMA_reasons!B2:B2113""))&gt;=2,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$A520=IMPORTRANGE(""https://docs.google.com/spreadsheets/d/1qpEmbGH0JjaJbUdp21-y2cPbobDbMjr09BbtdKROZWc/edit#gid=1444865654"",""articles_with_PRISMA_reasons!B2:B2113""))&lt;2),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$A520=IMPORTRANGE(""https://docs.google.com/spreadsheets/d/1qpEmbGH0JjaJbUdp21-y2cPbobDbMjr09BbtdKRO"&amp;"ZWc/edit#gid=1444865654"",""articles_with_PRISMA_reasons!B2:B2113""))&lt;2,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$A520=IMPOR"&amp;"TRANGE(""https://docs.google.com/spreadsheets/d/1qpEmbGH0JjaJbUdp21-y2cPbobDbMjr09BbtdKROZWc/edit#gid=1444865654"",""articles_with_PRISMA_reasons!B2:B2113""))&gt;=2),
""Exclude""
)"),"Exclude")</f>
        <v>Exclude</v>
      </c>
      <c r="F520" s="5" t="str">
        <f>IFERROR(__xludf.DUMMYFUNCTION("IFS(
E520=""Exclude"",""Exclude"",
AND(
COUNTIF(
IMPORTRANGE(""https://docs.google.com/spreadsheets/d/1kGrh75X1cNR1D7_FcY9zMnHP8iPO4M5RCRjy6nZY0TY/edit#gid=0"",""Table 1: Study characteristics!B4:B171""),A520)&gt;0,
COUNTIF(Studies!$A$2:$A$85,FILTER(IMPORTRA"&amp;"NGE(""https://docs.google.com/spreadsheets/d/1kGrh75X1cNR1D7_FcY9zMnHP8iPO4M5RCRjy6nZY0TY/edit#gid=0"",""Table 1: Study characteristics!A4:A171""), $A520=IMPORTRANGE(""https://docs.google.com/spreadsheets/d/1kGrh75X1cNR1D7_FcY9zMnHP8iPO4M5RCRjy6nZY0TY/edi"&amp;"t#gid=0"",""Table 1: Study characteristics!B4:B171"")))&gt;0
),
""Include""
)"),"Exclude")</f>
        <v>Exclude</v>
      </c>
      <c r="G520" s="5" t="str">
        <f>IFERROR(__xludf.DUMMYFUNCTION("IFS(
D520=""Exclude"",
FILTER(IMPORTRANGE(""https://docs.google.com/spreadsheets/d/1BJSV3WBYJGRhQ6zExamkszQ5VutGIcaQqmbD9ZTVXMQ/edit#gid=1251630045"",""articles_with_PRISMA_reasons!AB2:AB2113""), $A520=IMPORTRANGE(""https://docs.google.com/spreadsheets/d/"&amp;"1BJSV3WBYJGRhQ6zExamkszQ5VutGIcaQqmbD9ZTVXMQ/edit#gid=1251630045"",""articles_with_PRISMA_reasons!B2:B2113"")),
E520=""Exclude"",
FILTER(IMPORTRANGE(""https://docs.google.com/spreadsheets/d/1qpEmbGH0JjaJbUdp21-y2cPbobDbMjr09BbtdKROZWc/edit#gid=1444865654"&amp;""",""articles_with_PRISMA_reasons!Z2:Z2113""), $A520=IMPORTRANGE(""https://docs.google.com/spreadsheets/d/1qpEmbGH0JjaJbUdp21-y2cPbobDbMjr09BbtdKROZWc/edit#gid=1444865654"",""articles_with_PRISMA_reasons!B2:B2113"")),F520
=""Include"",FILTER(IMPORTRANGE("&amp;"""https://docs.google.com/spreadsheets/d/1kGrh75X1cNR1D7_FcY9zMnHP8iPO4M5RCRjy6nZY0TY/edit#gid=0"",""Table 1: Study characteristics!A4:A171""), $A520=IMPORTRANGE(""https://docs.google.com/spreadsheets/d/1kGrh75X1cNR1D7_FcY9zMnHP8iPO4M5RCRjy6nZY0TY/edit#gi"&amp;"d=0"",""Table 1: Study characteristics!B4:B171""))
)"),"wrong study design")</f>
        <v>wrong study design</v>
      </c>
    </row>
    <row r="521">
      <c r="A521" s="4" t="str">
        <f>IFERROR(__xludf.DUMMYFUNCTION("""COMPUTED_VALUE"""),"Complications of endoscopic third ventriculostomy: a systematic review")</f>
        <v>Complications of endoscopic third ventriculostomy: a systematic review</v>
      </c>
      <c r="B521" s="5" t="str">
        <f>IFERROR(__xludf.DUMMYFUNCTION("LEFT(FILTER(IMPORTRANGE(""https://docs.google.com/spreadsheets/d/1BJSV3WBYJGRhQ6zExamkszQ5VutGIcaQqmbD9ZTVXMQ/edit#gid=1251630045"",""articles_with_PRISMA_reasons!K2:K2113""), $A521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$A521=IMPORTRANGE(""https://docs.google.com/spreadsheets/d/1BJSV3WBYJGRhQ6zExamkszQ5VutGIcaQqmbD9ZTVXMQ/edit#gid=1251630045"",""articles_with_PRISMA_reasons!B2:B2113"")))-1)"),"Bouras")</f>
        <v>Bouras</v>
      </c>
      <c r="C521" s="6">
        <f>IFERROR(__xludf.DUMMYFUNCTION("FILTER(IMPORTRANGE(""https://docs.google.com/spreadsheets/d/1BJSV3WBYJGRhQ6zExamkszQ5VutGIcaQqmbD9ZTVXMQ/edit#gid=1251630045"",""articles_with_PRISMA_reasons!C2:C2113""), $A521=IMPORTRANGE(""https://docs.google.com/spreadsheets/d/1BJSV3WBYJGRhQ6zExamkszQ5"&amp;"VutGIcaQqmbD9ZTVXMQ/edit#gid=1251630045"",""articles_with_PRISMA_reasons!B2:B2113""))"),2012.0)</f>
        <v>2012</v>
      </c>
      <c r="D521" s="5" t="str">
        <f>IFERROR(__xludf.DUMMYFUNCTION("IFS(AND(
FILTER(IMPORTRANGE(""https://docs.google.com/spreadsheets/d/1BJSV3WBYJGRhQ6zExamkszQ5VutGIcaQqmbD9ZTVXMQ/edit#gid=1251630045"",""articles_with_PRISMA_reasons!Y2:Y2113""), $A521=IMPORTRANGE(""https://docs.google.com/spreadsheets/d/1BJSV3WBYJGRhQ6z"&amp;"ExamkszQ5VutGIcaQqmbD9ZTVXMQ/edit#gid=1251630045"",""articles_with_PRISMA_reasons!B2:B2113""))&gt;=2,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$A521=IMPORTRANGE(""https://docs.google.com/spreadsheets/d/1BJSV3WBYJGRhQ6zExamkszQ5VutGIcaQqmbD9ZTVXMQ/edit#gid=1251630045"",""articles_with_PRISMA_reasons!B2:B2113""))&lt;2),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$A521=IMPORTRANGE(""https://docs.google.com/spreadsheets/d/1BJSV3WBYJGRhQ6zExamkszQ5VutGIcaQqmbD9ZTVXMQ/edit#gid=1251630045"",""arti"&amp;"cles_with_PRISMA_reasons!B2:B2113""))&lt;2,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$A521=IMPORTRANGE(""https://docs.google.com"&amp;"/spreadsheets/d/1BJSV3WBYJGRhQ6zExamkszQ5VutGIcaQqmbD9ZTVXMQ/edit#gid=1251630045"",""articles_with_PRISMA_reasons!B2:B2113""))&gt;=2),
""Exclude""
)"),"Exclude")</f>
        <v>Exclude</v>
      </c>
      <c r="E521" s="5" t="str">
        <f>IFERROR(__xludf.DUMMYFUNCTION("IFS(
D521=""Exclude"",""Exclude"",
AND(
FILTER(IMPORTRANGE(""https://docs.google.com/spreadsheets/d/1qpEmbGH0JjaJbUdp21-y2cPbobDbMjr09BbtdKROZWc/edit#gid=1444865654"",""articles_with_PRISMA_reasons!W2:W2113""), $A521=IMPORTRANGE(""https://docs.google.com/"&amp;"spreadsheets/d/1qpEmbGH0JjaJbUdp21-y2cPbobDbMjr09BbtdKROZWc/edit#gid=1444865654"",""articles_with_PRISMA_reasons!B2:B2113""))&gt;=2,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$A521=IMPORTRANGE(""https://docs.google.com/spreadsheets/d/1qpEmbGH0JjaJbUdp21-y2cPbobDbMjr09BbtdKROZWc/edit#gid=1444865654"",""articles_with_PRISMA_reasons!B2:B2113""))&lt;2),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$A521=IMPORTRANGE(""https://docs.google.com/spreadsheets/d/1qpEmbGH0JjaJbUdp21-y2cPbobDbMjr09BbtdKRO"&amp;"ZWc/edit#gid=1444865654"",""articles_with_PRISMA_reasons!B2:B2113""))&lt;2,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$A521=IMPOR"&amp;"TRANGE(""https://docs.google.com/spreadsheets/d/1qpEmbGH0JjaJbUdp21-y2cPbobDbMjr09BbtdKROZWc/edit#gid=1444865654"",""articles_with_PRISMA_reasons!B2:B2113""))&gt;=2),
""Exclude""
)"),"Exclude")</f>
        <v>Exclude</v>
      </c>
      <c r="F521" s="5" t="str">
        <f>IFERROR(__xludf.DUMMYFUNCTION("IFS(
E521=""Exclude"",""Exclude"",
AND(
COUNTIF(
IMPORTRANGE(""https://docs.google.com/spreadsheets/d/1kGrh75X1cNR1D7_FcY9zMnHP8iPO4M5RCRjy6nZY0TY/edit#gid=0"",""Table 1: Study characteristics!B4:B171""),A521)&gt;0,
COUNTIF(Studies!$A$2:$A$85,FILTER(IMPORTRA"&amp;"NGE(""https://docs.google.com/spreadsheets/d/1kGrh75X1cNR1D7_FcY9zMnHP8iPO4M5RCRjy6nZY0TY/edit#gid=0"",""Table 1: Study characteristics!A4:A171""), $A521=IMPORTRANGE(""https://docs.google.com/spreadsheets/d/1kGrh75X1cNR1D7_FcY9zMnHP8iPO4M5RCRjy6nZY0TY/edi"&amp;"t#gid=0"",""Table 1: Study characteristics!B4:B171"")))&gt;0
),
""Include""
)"),"Exclude")</f>
        <v>Exclude</v>
      </c>
      <c r="G521" s="5" t="str">
        <f>IFERROR(__xludf.DUMMYFUNCTION("IFS(
D521=""Exclude"",
FILTER(IMPORTRANGE(""https://docs.google.com/spreadsheets/d/1BJSV3WBYJGRhQ6zExamkszQ5VutGIcaQqmbD9ZTVXMQ/edit#gid=1251630045"",""articles_with_PRISMA_reasons!AB2:AB2113""), $A521=IMPORTRANGE(""https://docs.google.com/spreadsheets/d/"&amp;"1BJSV3WBYJGRhQ6zExamkszQ5VutGIcaQqmbD9ZTVXMQ/edit#gid=1251630045"",""articles_with_PRISMA_reasons!B2:B2113"")),
E521=""Exclude"",
FILTER(IMPORTRANGE(""https://docs.google.com/spreadsheets/d/1qpEmbGH0JjaJbUdp21-y2cPbobDbMjr09BbtdKROZWc/edit#gid=1444865654"&amp;""",""articles_with_PRISMA_reasons!Z2:Z2113""), $A521=IMPORTRANGE(""https://docs.google.com/spreadsheets/d/1qpEmbGH0JjaJbUdp21-y2cPbobDbMjr09BbtdKROZWc/edit#gid=1444865654"",""articles_with_PRISMA_reasons!B2:B2113"")),F521
=""Include"",FILTER(IMPORTRANGE("&amp;"""https://docs.google.com/spreadsheets/d/1kGrh75X1cNR1D7_FcY9zMnHP8iPO4M5RCRjy6nZY0TY/edit#gid=0"",""Table 1: Study characteristics!A4:A171""), $A521=IMPORTRANGE(""https://docs.google.com/spreadsheets/d/1kGrh75X1cNR1D7_FcY9zMnHP8iPO4M5RCRjy6nZY0TY/edit#gi"&amp;"d=0"",""Table 1: Study characteristics!B4:B171""))
)"),"wrong study design")</f>
        <v>wrong study design</v>
      </c>
    </row>
    <row r="522">
      <c r="A522" s="4" t="str">
        <f>IFERROR(__xludf.DUMMYFUNCTION("""COMPUTED_VALUE"""),"Complications of myelomeningocele closure")</f>
        <v>Complications of myelomeningocele closure</v>
      </c>
      <c r="B522" s="5" t="str">
        <f>IFERROR(__xludf.DUMMYFUNCTION("LEFT(FILTER(IMPORTRANGE(""https://docs.google.com/spreadsheets/d/1BJSV3WBYJGRhQ6zExamkszQ5VutGIcaQqmbD9ZTVXMQ/edit#gid=1251630045"",""articles_with_PRISMA_reasons!K2:K2113""), $A522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$A522=IMPORTRANGE(""https://docs.google.com/spreadsheets/d/1BJSV3WBYJGRhQ6zExamkszQ5VutGIcaQqmbD9ZTVXMQ/edit#gid=1251630045"",""articles_with_PRISMA_reasons!B2:B2113"")))-1)"),"McLone")</f>
        <v>McLone</v>
      </c>
      <c r="C522" s="6">
        <f>IFERROR(__xludf.DUMMYFUNCTION("FILTER(IMPORTRANGE(""https://docs.google.com/spreadsheets/d/1BJSV3WBYJGRhQ6zExamkszQ5VutGIcaQqmbD9ZTVXMQ/edit#gid=1251630045"",""articles_with_PRISMA_reasons!C2:C2113""), $A522=IMPORTRANGE(""https://docs.google.com/spreadsheets/d/1BJSV3WBYJGRhQ6zExamkszQ5"&amp;"VutGIcaQqmbD9ZTVXMQ/edit#gid=1251630045"",""articles_with_PRISMA_reasons!B2:B2113""))"),1991.0)</f>
        <v>1991</v>
      </c>
      <c r="D522" s="5" t="str">
        <f>IFERROR(__xludf.DUMMYFUNCTION("IFS(AND(
FILTER(IMPORTRANGE(""https://docs.google.com/spreadsheets/d/1BJSV3WBYJGRhQ6zExamkszQ5VutGIcaQqmbD9ZTVXMQ/edit#gid=1251630045"",""articles_with_PRISMA_reasons!Y2:Y2113""), $A522=IMPORTRANGE(""https://docs.google.com/spreadsheets/d/1BJSV3WBYJGRhQ6z"&amp;"ExamkszQ5VutGIcaQqmbD9ZTVXMQ/edit#gid=1251630045"",""articles_with_PRISMA_reasons!B2:B2113""))&gt;=2,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$A522=IMPORTRANGE(""https://docs.google.com/spreadsheets/d/1BJSV3WBYJGRhQ6zExamkszQ5VutGIcaQqmbD9ZTVXMQ/edit#gid=1251630045"",""articles_with_PRISMA_reasons!B2:B2113""))&lt;2),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$A522=IMPORTRANGE(""https://docs.google.com/spreadsheets/d/1BJSV3WBYJGRhQ6zExamkszQ5VutGIcaQqmbD9ZTVXMQ/edit#gid=1251630045"",""arti"&amp;"cles_with_PRISMA_reasons!B2:B2113""))&lt;2,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$A522=IMPORTRANGE(""https://docs.google.com"&amp;"/spreadsheets/d/1BJSV3WBYJGRhQ6zExamkszQ5VutGIcaQqmbD9ZTVXMQ/edit#gid=1251630045"",""articles_with_PRISMA_reasons!B2:B2113""))&gt;=2),
""Exclude""
)"),"Exclude")</f>
        <v>Exclude</v>
      </c>
      <c r="E522" s="5" t="str">
        <f>IFERROR(__xludf.DUMMYFUNCTION("IFS(
D522=""Exclude"",""Exclude"",
AND(
FILTER(IMPORTRANGE(""https://docs.google.com/spreadsheets/d/1qpEmbGH0JjaJbUdp21-y2cPbobDbMjr09BbtdKROZWc/edit#gid=1444865654"",""articles_with_PRISMA_reasons!W2:W2113""), $A522=IMPORTRANGE(""https://docs.google.com/"&amp;"spreadsheets/d/1qpEmbGH0JjaJbUdp21-y2cPbobDbMjr09BbtdKROZWc/edit#gid=1444865654"",""articles_with_PRISMA_reasons!B2:B2113""))&gt;=2,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$A522=IMPORTRANGE(""https://docs.google.com/spreadsheets/d/1qpEmbGH0JjaJbUdp21-y2cPbobDbMjr09BbtdKROZWc/edit#gid=1444865654"",""articles_with_PRISMA_reasons!B2:B2113""))&lt;2),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$A522=IMPORTRANGE(""https://docs.google.com/spreadsheets/d/1qpEmbGH0JjaJbUdp21-y2cPbobDbMjr09BbtdKRO"&amp;"ZWc/edit#gid=1444865654"",""articles_with_PRISMA_reasons!B2:B2113""))&lt;2,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$A522=IMPOR"&amp;"TRANGE(""https://docs.google.com/spreadsheets/d/1qpEmbGH0JjaJbUdp21-y2cPbobDbMjr09BbtdKROZWc/edit#gid=1444865654"",""articles_with_PRISMA_reasons!B2:B2113""))&gt;=2),
""Exclude""
)"),"Exclude")</f>
        <v>Exclude</v>
      </c>
      <c r="F522" s="5" t="str">
        <f>IFERROR(__xludf.DUMMYFUNCTION("IFS(
E522=""Exclude"",""Exclude"",
AND(
COUNTIF(
IMPORTRANGE(""https://docs.google.com/spreadsheets/d/1kGrh75X1cNR1D7_FcY9zMnHP8iPO4M5RCRjy6nZY0TY/edit#gid=0"",""Table 1: Study characteristics!B4:B171""),A522)&gt;0,
COUNTIF(Studies!$A$2:$A$85,FILTER(IMPORTRA"&amp;"NGE(""https://docs.google.com/spreadsheets/d/1kGrh75X1cNR1D7_FcY9zMnHP8iPO4M5RCRjy6nZY0TY/edit#gid=0"",""Table 1: Study characteristics!A4:A171""), $A522=IMPORTRANGE(""https://docs.google.com/spreadsheets/d/1kGrh75X1cNR1D7_FcY9zMnHP8iPO4M5RCRjy6nZY0TY/edi"&amp;"t#gid=0"",""Table 1: Study characteristics!B4:B171"")))&gt;0
),
""Include""
)"),"Exclude")</f>
        <v>Exclude</v>
      </c>
      <c r="G522" s="5" t="str">
        <f>IFERROR(__xludf.DUMMYFUNCTION("IFS(
D522=""Exclude"",
FILTER(IMPORTRANGE(""https://docs.google.com/spreadsheets/d/1BJSV3WBYJGRhQ6zExamkszQ5VutGIcaQqmbD9ZTVXMQ/edit#gid=1251630045"",""articles_with_PRISMA_reasons!AB2:AB2113""), $A522=IMPORTRANGE(""https://docs.google.com/spreadsheets/d/"&amp;"1BJSV3WBYJGRhQ6zExamkszQ5VutGIcaQqmbD9ZTVXMQ/edit#gid=1251630045"",""articles_with_PRISMA_reasons!B2:B2113"")),
E522=""Exclude"",
FILTER(IMPORTRANGE(""https://docs.google.com/spreadsheets/d/1qpEmbGH0JjaJbUdp21-y2cPbobDbMjr09BbtdKROZWc/edit#gid=1444865654"&amp;""",""articles_with_PRISMA_reasons!Z2:Z2113""), $A522=IMPORTRANGE(""https://docs.google.com/spreadsheets/d/1qpEmbGH0JjaJbUdp21-y2cPbobDbMjr09BbtdKROZWc/edit#gid=1444865654"",""articles_with_PRISMA_reasons!B2:B2113"")),F522
=""Include"",FILTER(IMPORTRANGE("&amp;"""https://docs.google.com/spreadsheets/d/1kGrh75X1cNR1D7_FcY9zMnHP8iPO4M5RCRjy6nZY0TY/edit#gid=0"",""Table 1: Study characteristics!A4:A171""), $A522=IMPORTRANGE(""https://docs.google.com/spreadsheets/d/1kGrh75X1cNR1D7_FcY9zMnHP8iPO4M5RCRjy6nZY0TY/edit#gi"&amp;"d=0"",""Table 1: Study characteristics!B4:B171""))
)"),"wrong population")</f>
        <v>wrong population</v>
      </c>
    </row>
    <row r="523">
      <c r="A523" s="4" t="str">
        <f>IFERROR(__xludf.DUMMYFUNCTION("""COMPUTED_VALUE"""),"Complications of scoliosis surgery in children with myelomeningocele")</f>
        <v>Complications of scoliosis surgery in children with myelomeningocele</v>
      </c>
      <c r="B523" s="5" t="str">
        <f>IFERROR(__xludf.DUMMYFUNCTION("LEFT(FILTER(IMPORTRANGE(""https://docs.google.com/spreadsheets/d/1BJSV3WBYJGRhQ6zExamkszQ5VutGIcaQqmbD9ZTVXMQ/edit#gid=1251630045"",""articles_with_PRISMA_reasons!K2:K2113""), $A523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$A523=IMPORTRANGE(""https://docs.google.com/spreadsheets/d/1BJSV3WBYJGRhQ6zExamkszQ5VutGIcaQqmbD9ZTVXMQ/edit#gid=1251630045"",""articles_with_PRISMA_reasons!B2:B2113"")))-1)"),"Parsch")</f>
        <v>Parsch</v>
      </c>
      <c r="C523" s="6">
        <f>IFERROR(__xludf.DUMMYFUNCTION("FILTER(IMPORTRANGE(""https://docs.google.com/spreadsheets/d/1BJSV3WBYJGRhQ6zExamkszQ5VutGIcaQqmbD9ZTVXMQ/edit#gid=1251630045"",""articles_with_PRISMA_reasons!C2:C2113""), $A523=IMPORTRANGE(""https://docs.google.com/spreadsheets/d/1BJSV3WBYJGRhQ6zExamkszQ5"&amp;"VutGIcaQqmbD9ZTVXMQ/edit#gid=1251630045"",""articles_with_PRISMA_reasons!B2:B2113""))"),1999.0)</f>
        <v>1999</v>
      </c>
      <c r="D523" s="5" t="str">
        <f>IFERROR(__xludf.DUMMYFUNCTION("IFS(AND(
FILTER(IMPORTRANGE(""https://docs.google.com/spreadsheets/d/1BJSV3WBYJGRhQ6zExamkszQ5VutGIcaQqmbD9ZTVXMQ/edit#gid=1251630045"",""articles_with_PRISMA_reasons!Y2:Y2113""), $A523=IMPORTRANGE(""https://docs.google.com/spreadsheets/d/1BJSV3WBYJGRhQ6z"&amp;"ExamkszQ5VutGIcaQqmbD9ZTVXMQ/edit#gid=1251630045"",""articles_with_PRISMA_reasons!B2:B2113""))&gt;=2,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$A523=IMPORTRANGE(""https://docs.google.com/spreadsheets/d/1BJSV3WBYJGRhQ6zExamkszQ5VutGIcaQqmbD9ZTVXMQ/edit#gid=1251630045"",""articles_with_PRISMA_reasons!B2:B2113""))&lt;2),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$A523=IMPORTRANGE(""https://docs.google.com/spreadsheets/d/1BJSV3WBYJGRhQ6zExamkszQ5VutGIcaQqmbD9ZTVXMQ/edit#gid=1251630045"",""arti"&amp;"cles_with_PRISMA_reasons!B2:B2113""))&lt;2,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$A523=IMPORTRANGE(""https://docs.google.com"&amp;"/spreadsheets/d/1BJSV3WBYJGRhQ6zExamkszQ5VutGIcaQqmbD9ZTVXMQ/edit#gid=1251630045"",""articles_with_PRISMA_reasons!B2:B2113""))&gt;=2),
""Exclude""
)"),"Exclude")</f>
        <v>Exclude</v>
      </c>
      <c r="E523" s="5" t="str">
        <f>IFERROR(__xludf.DUMMYFUNCTION("IFS(
D523=""Exclude"",""Exclude"",
AND(
FILTER(IMPORTRANGE(""https://docs.google.com/spreadsheets/d/1qpEmbGH0JjaJbUdp21-y2cPbobDbMjr09BbtdKROZWc/edit#gid=1444865654"",""articles_with_PRISMA_reasons!W2:W2113""), $A523=IMPORTRANGE(""https://docs.google.com/"&amp;"spreadsheets/d/1qpEmbGH0JjaJbUdp21-y2cPbobDbMjr09BbtdKROZWc/edit#gid=1444865654"",""articles_with_PRISMA_reasons!B2:B2113""))&gt;=2,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$A523=IMPORTRANGE(""https://docs.google.com/spreadsheets/d/1qpEmbGH0JjaJbUdp21-y2cPbobDbMjr09BbtdKROZWc/edit#gid=1444865654"",""articles_with_PRISMA_reasons!B2:B2113""))&lt;2),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$A523=IMPORTRANGE(""https://docs.google.com/spreadsheets/d/1qpEmbGH0JjaJbUdp21-y2cPbobDbMjr09BbtdKRO"&amp;"ZWc/edit#gid=1444865654"",""articles_with_PRISMA_reasons!B2:B2113""))&lt;2,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$A523=IMPOR"&amp;"TRANGE(""https://docs.google.com/spreadsheets/d/1qpEmbGH0JjaJbUdp21-y2cPbobDbMjr09BbtdKROZWc/edit#gid=1444865654"",""articles_with_PRISMA_reasons!B2:B2113""))&gt;=2),
""Exclude""
)"),"Exclude")</f>
        <v>Exclude</v>
      </c>
      <c r="F523" s="5" t="str">
        <f>IFERROR(__xludf.DUMMYFUNCTION("IFS(
E523=""Exclude"",""Exclude"",
AND(
COUNTIF(
IMPORTRANGE(""https://docs.google.com/spreadsheets/d/1kGrh75X1cNR1D7_FcY9zMnHP8iPO4M5RCRjy6nZY0TY/edit#gid=0"",""Table 1: Study characteristics!B4:B171""),A523)&gt;0,
COUNTIF(Studies!$A$2:$A$85,FILTER(IMPORTRA"&amp;"NGE(""https://docs.google.com/spreadsheets/d/1kGrh75X1cNR1D7_FcY9zMnHP8iPO4M5RCRjy6nZY0TY/edit#gid=0"",""Table 1: Study characteristics!A4:A171""), $A523=IMPORTRANGE(""https://docs.google.com/spreadsheets/d/1kGrh75X1cNR1D7_FcY9zMnHP8iPO4M5RCRjy6nZY0TY/edi"&amp;"t#gid=0"",""Table 1: Study characteristics!B4:B171"")))&gt;0
),
""Include""
)"),"Exclude")</f>
        <v>Exclude</v>
      </c>
      <c r="G523" s="5" t="str">
        <f>IFERROR(__xludf.DUMMYFUNCTION("IFS(
D523=""Exclude"",
FILTER(IMPORTRANGE(""https://docs.google.com/spreadsheets/d/1BJSV3WBYJGRhQ6zExamkszQ5VutGIcaQqmbD9ZTVXMQ/edit#gid=1251630045"",""articles_with_PRISMA_reasons!AB2:AB2113""), $A523=IMPORTRANGE(""https://docs.google.com/spreadsheets/d/"&amp;"1BJSV3WBYJGRhQ6zExamkszQ5VutGIcaQqmbD9ZTVXMQ/edit#gid=1251630045"",""articles_with_PRISMA_reasons!B2:B2113"")),
E523=""Exclude"",
FILTER(IMPORTRANGE(""https://docs.google.com/spreadsheets/d/1qpEmbGH0JjaJbUdp21-y2cPbobDbMjr09BbtdKROZWc/edit#gid=1444865654"&amp;""",""articles_with_PRISMA_reasons!Z2:Z2113""), $A523=IMPORTRANGE(""https://docs.google.com/spreadsheets/d/1qpEmbGH0JjaJbUdp21-y2cPbobDbMjr09BbtdKROZWc/edit#gid=1444865654"",""articles_with_PRISMA_reasons!B2:B2113"")),F523
=""Include"",FILTER(IMPORTRANGE("&amp;"""https://docs.google.com/spreadsheets/d/1kGrh75X1cNR1D7_FcY9zMnHP8iPO4M5RCRjy6nZY0TY/edit#gid=0"",""Table 1: Study characteristics!A4:A171""), $A523=IMPORTRANGE(""https://docs.google.com/spreadsheets/d/1kGrh75X1cNR1D7_FcY9zMnHP8iPO4M5RCRjy6nZY0TY/edit#gi"&amp;"d=0"",""Table 1: Study characteristics!B4:B171""))
)"),"wrong population")</f>
        <v>wrong population</v>
      </c>
    </row>
    <row r="524">
      <c r="A524" s="4" t="str">
        <f>IFERROR(__xludf.DUMMYFUNCTION("""COMPUTED_VALUE"""),"Computed tomography and ultrasound in purulent ventriculitis")</f>
        <v>Computed tomography and ultrasound in purulent ventriculitis</v>
      </c>
      <c r="B524" s="5" t="str">
        <f>IFERROR(__xludf.DUMMYFUNCTION("LEFT(FILTER(IMPORTRANGE(""https://docs.google.com/spreadsheets/d/1BJSV3WBYJGRhQ6zExamkszQ5VutGIcaQqmbD9ZTVXMQ/edit#gid=1251630045"",""articles_with_PRISMA_reasons!K2:K2113""), $A524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$A524=IMPORTRANGE(""https://docs.google.com/spreadsheets/d/1BJSV3WBYJGRhQ6zExamkszQ5VutGIcaQqmbD9ZTVXMQ/edit#gid=1251630045"",""articles_with_PRISMA_reasons!B2:B2113"")))-1)"),"Vachon")</f>
        <v>Vachon</v>
      </c>
      <c r="C524" s="6">
        <f>IFERROR(__xludf.DUMMYFUNCTION("FILTER(IMPORTRANGE(""https://docs.google.com/spreadsheets/d/1BJSV3WBYJGRhQ6zExamkszQ5VutGIcaQqmbD9ZTVXMQ/edit#gid=1251630045"",""articles_with_PRISMA_reasons!C2:C2113""), $A524=IMPORTRANGE(""https://docs.google.com/spreadsheets/d/1BJSV3WBYJGRhQ6zExamkszQ5"&amp;"VutGIcaQqmbD9ZTVXMQ/edit#gid=1251630045"",""articles_with_PRISMA_reasons!B2:B2113""))"),1987.0)</f>
        <v>1987</v>
      </c>
      <c r="D524" s="5" t="str">
        <f>IFERROR(__xludf.DUMMYFUNCTION("IFS(AND(
FILTER(IMPORTRANGE(""https://docs.google.com/spreadsheets/d/1BJSV3WBYJGRhQ6zExamkszQ5VutGIcaQqmbD9ZTVXMQ/edit#gid=1251630045"",""articles_with_PRISMA_reasons!Y2:Y2113""), $A524=IMPORTRANGE(""https://docs.google.com/spreadsheets/d/1BJSV3WBYJGRhQ6z"&amp;"ExamkszQ5VutGIcaQqmbD9ZTVXMQ/edit#gid=1251630045"",""articles_with_PRISMA_reasons!B2:B2113""))&gt;=2,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$A524=IMPORTRANGE(""https://docs.google.com/spreadsheets/d/1BJSV3WBYJGRhQ6zExamkszQ5VutGIcaQqmbD9ZTVXMQ/edit#gid=1251630045"",""articles_with_PRISMA_reasons!B2:B2113""))&lt;2),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$A524=IMPORTRANGE(""https://docs.google.com/spreadsheets/d/1BJSV3WBYJGRhQ6zExamkszQ5VutGIcaQqmbD9ZTVXMQ/edit#gid=1251630045"",""arti"&amp;"cles_with_PRISMA_reasons!B2:B2113""))&lt;2,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$A524=IMPORTRANGE(""https://docs.google.com"&amp;"/spreadsheets/d/1BJSV3WBYJGRhQ6zExamkszQ5VutGIcaQqmbD9ZTVXMQ/edit#gid=1251630045"",""articles_with_PRISMA_reasons!B2:B2113""))&gt;=2),
""Exclude""
)"),"Exclude")</f>
        <v>Exclude</v>
      </c>
      <c r="E524" s="5" t="str">
        <f>IFERROR(__xludf.DUMMYFUNCTION("IFS(
D524=""Exclude"",""Exclude"",
AND(
FILTER(IMPORTRANGE(""https://docs.google.com/spreadsheets/d/1qpEmbGH0JjaJbUdp21-y2cPbobDbMjr09BbtdKROZWc/edit#gid=1444865654"",""articles_with_PRISMA_reasons!W2:W2113""), $A524=IMPORTRANGE(""https://docs.google.com/"&amp;"spreadsheets/d/1qpEmbGH0JjaJbUdp21-y2cPbobDbMjr09BbtdKROZWc/edit#gid=1444865654"",""articles_with_PRISMA_reasons!B2:B2113""))&gt;=2,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$A524=IMPORTRANGE(""https://docs.google.com/spreadsheets/d/1qpEmbGH0JjaJbUdp21-y2cPbobDbMjr09BbtdKROZWc/edit#gid=1444865654"",""articles_with_PRISMA_reasons!B2:B2113""))&lt;2),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$A524=IMPORTRANGE(""https://docs.google.com/spreadsheets/d/1qpEmbGH0JjaJbUdp21-y2cPbobDbMjr09BbtdKRO"&amp;"ZWc/edit#gid=1444865654"",""articles_with_PRISMA_reasons!B2:B2113""))&lt;2,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$A524=IMPOR"&amp;"TRANGE(""https://docs.google.com/spreadsheets/d/1qpEmbGH0JjaJbUdp21-y2cPbobDbMjr09BbtdKROZWc/edit#gid=1444865654"",""articles_with_PRISMA_reasons!B2:B2113""))&gt;=2),
""Exclude""
)"),"Exclude")</f>
        <v>Exclude</v>
      </c>
      <c r="F524" s="5" t="str">
        <f>IFERROR(__xludf.DUMMYFUNCTION("IFS(
E524=""Exclude"",""Exclude"",
AND(
COUNTIF(
IMPORTRANGE(""https://docs.google.com/spreadsheets/d/1kGrh75X1cNR1D7_FcY9zMnHP8iPO4M5RCRjy6nZY0TY/edit#gid=0"",""Table 1: Study characteristics!B4:B171""),A524)&gt;0,
COUNTIF(Studies!$A$2:$A$85,FILTER(IMPORTRA"&amp;"NGE(""https://docs.google.com/spreadsheets/d/1kGrh75X1cNR1D7_FcY9zMnHP8iPO4M5RCRjy6nZY0TY/edit#gid=0"",""Table 1: Study characteristics!A4:A171""), $A524=IMPORTRANGE(""https://docs.google.com/spreadsheets/d/1kGrh75X1cNR1D7_FcY9zMnHP8iPO4M5RCRjy6nZY0TY/edi"&amp;"t#gid=0"",""Table 1: Study characteristics!B4:B171"")))&gt;0
),
""Include""
)"),"Exclude")</f>
        <v>Exclude</v>
      </c>
      <c r="G524" s="5" t="str">
        <f>IFERROR(__xludf.DUMMYFUNCTION("IFS(
D524=""Exclude"",
FILTER(IMPORTRANGE(""https://docs.google.com/spreadsheets/d/1BJSV3WBYJGRhQ6zExamkszQ5VutGIcaQqmbD9ZTVXMQ/edit#gid=1251630045"",""articles_with_PRISMA_reasons!AB2:AB2113""), $A524=IMPORTRANGE(""https://docs.google.com/spreadsheets/d/"&amp;"1BJSV3WBYJGRhQ6zExamkszQ5VutGIcaQqmbD9ZTVXMQ/edit#gid=1251630045"",""articles_with_PRISMA_reasons!B2:B2113"")),
E524=""Exclude"",
FILTER(IMPORTRANGE(""https://docs.google.com/spreadsheets/d/1qpEmbGH0JjaJbUdp21-y2cPbobDbMjr09BbtdKROZWc/edit#gid=1444865654"&amp;""",""articles_with_PRISMA_reasons!Z2:Z2113""), $A524=IMPORTRANGE(""https://docs.google.com/spreadsheets/d/1qpEmbGH0JjaJbUdp21-y2cPbobDbMjr09BbtdKROZWc/edit#gid=1444865654"",""articles_with_PRISMA_reasons!B2:B2113"")),F524
=""Include"",FILTER(IMPORTRANGE("&amp;"""https://docs.google.com/spreadsheets/d/1kGrh75X1cNR1D7_FcY9zMnHP8iPO4M5RCRjy6nZY0TY/edit#gid=0"",""Table 1: Study characteristics!A4:A171""), $A524=IMPORTRANGE(""https://docs.google.com/spreadsheets/d/1kGrh75X1cNR1D7_FcY9zMnHP8iPO4M5RCRjy6nZY0TY/edit#gi"&amp;"d=0"",""Table 1: Study characteristics!B4:B171""))
)"),"wrong study design")</f>
        <v>wrong study design</v>
      </c>
    </row>
    <row r="525">
      <c r="A525" s="4" t="str">
        <f>IFERROR(__xludf.DUMMYFUNCTION("""COMPUTED_VALUE"""),"Computed tomography in evaluation of hydrocephalus")</f>
        <v>Computed tomography in evaluation of hydrocephalus</v>
      </c>
      <c r="B525" s="5" t="str">
        <f>IFERROR(__xludf.DUMMYFUNCTION("LEFT(FILTER(IMPORTRANGE(""https://docs.google.com/spreadsheets/d/1BJSV3WBYJGRhQ6zExamkszQ5VutGIcaQqmbD9ZTVXMQ/edit#gid=1251630045"",""articles_with_PRISMA_reasons!K2:K2113""), $A525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$A525=IMPORTRANGE(""https://docs.google.com/spreadsheets/d/1BJSV3WBYJGRhQ6zExamkszQ5VutGIcaQqmbD9ZTVXMQ/edit#gid=1251630045"",""articles_with_PRISMA_reasons!B2:B2113"")))-1)"),"Naidich")</f>
        <v>Naidich</v>
      </c>
      <c r="C525" s="6">
        <f>IFERROR(__xludf.DUMMYFUNCTION("FILTER(IMPORTRANGE(""https://docs.google.com/spreadsheets/d/1BJSV3WBYJGRhQ6zExamkszQ5VutGIcaQqmbD9ZTVXMQ/edit#gid=1251630045"",""articles_with_PRISMA_reasons!C2:C2113""), $A525=IMPORTRANGE(""https://docs.google.com/spreadsheets/d/1BJSV3WBYJGRhQ6zExamkszQ5"&amp;"VutGIcaQqmbD9ZTVXMQ/edit#gid=1251630045"",""articles_with_PRISMA_reasons!B2:B2113""))"),1982.0)</f>
        <v>1982</v>
      </c>
      <c r="D525" s="5" t="str">
        <f>IFERROR(__xludf.DUMMYFUNCTION("IFS(AND(
FILTER(IMPORTRANGE(""https://docs.google.com/spreadsheets/d/1BJSV3WBYJGRhQ6zExamkszQ5VutGIcaQqmbD9ZTVXMQ/edit#gid=1251630045"",""articles_with_PRISMA_reasons!Y2:Y2113""), $A525=IMPORTRANGE(""https://docs.google.com/spreadsheets/d/1BJSV3WBYJGRhQ6z"&amp;"ExamkszQ5VutGIcaQqmbD9ZTVXMQ/edit#gid=1251630045"",""articles_with_PRISMA_reasons!B2:B2113""))&gt;=2,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$A525=IMPORTRANGE(""https://docs.google.com/spreadsheets/d/1BJSV3WBYJGRhQ6zExamkszQ5VutGIcaQqmbD9ZTVXMQ/edit#gid=1251630045"",""articles_with_PRISMA_reasons!B2:B2113""))&lt;2),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$A525=IMPORTRANGE(""https://docs.google.com/spreadsheets/d/1BJSV3WBYJGRhQ6zExamkszQ5VutGIcaQqmbD9ZTVXMQ/edit#gid=1251630045"",""arti"&amp;"cles_with_PRISMA_reasons!B2:B2113""))&lt;2,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$A525=IMPORTRANGE(""https://docs.google.com"&amp;"/spreadsheets/d/1BJSV3WBYJGRhQ6zExamkszQ5VutGIcaQqmbD9ZTVXMQ/edit#gid=1251630045"",""articles_with_PRISMA_reasons!B2:B2113""))&gt;=2),
""Exclude""
)"),"Exclude")</f>
        <v>Exclude</v>
      </c>
      <c r="E525" s="5" t="str">
        <f>IFERROR(__xludf.DUMMYFUNCTION("IFS(
D525=""Exclude"",""Exclude"",
AND(
FILTER(IMPORTRANGE(""https://docs.google.com/spreadsheets/d/1qpEmbGH0JjaJbUdp21-y2cPbobDbMjr09BbtdKROZWc/edit#gid=1444865654"",""articles_with_PRISMA_reasons!W2:W2113""), $A525=IMPORTRANGE(""https://docs.google.com/"&amp;"spreadsheets/d/1qpEmbGH0JjaJbUdp21-y2cPbobDbMjr09BbtdKROZWc/edit#gid=1444865654"",""articles_with_PRISMA_reasons!B2:B2113""))&gt;=2,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$A525=IMPORTRANGE(""https://docs.google.com/spreadsheets/d/1qpEmbGH0JjaJbUdp21-y2cPbobDbMjr09BbtdKROZWc/edit#gid=1444865654"",""articles_with_PRISMA_reasons!B2:B2113""))&lt;2),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$A525=IMPORTRANGE(""https://docs.google.com/spreadsheets/d/1qpEmbGH0JjaJbUdp21-y2cPbobDbMjr09BbtdKRO"&amp;"ZWc/edit#gid=1444865654"",""articles_with_PRISMA_reasons!B2:B2113""))&lt;2,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$A525=IMPOR"&amp;"TRANGE(""https://docs.google.com/spreadsheets/d/1qpEmbGH0JjaJbUdp21-y2cPbobDbMjr09BbtdKROZWc/edit#gid=1444865654"",""articles_with_PRISMA_reasons!B2:B2113""))&gt;=2),
""Exclude""
)"),"Exclude")</f>
        <v>Exclude</v>
      </c>
      <c r="F525" s="5" t="str">
        <f>IFERROR(__xludf.DUMMYFUNCTION("IFS(
E525=""Exclude"",""Exclude"",
AND(
COUNTIF(
IMPORTRANGE(""https://docs.google.com/spreadsheets/d/1kGrh75X1cNR1D7_FcY9zMnHP8iPO4M5RCRjy6nZY0TY/edit#gid=0"",""Table 1: Study characteristics!B4:B171""),A525)&gt;0,
COUNTIF(Studies!$A$2:$A$85,FILTER(IMPORTRA"&amp;"NGE(""https://docs.google.com/spreadsheets/d/1kGrh75X1cNR1D7_FcY9zMnHP8iPO4M5RCRjy6nZY0TY/edit#gid=0"",""Table 1: Study characteristics!A4:A171""), $A525=IMPORTRANGE(""https://docs.google.com/spreadsheets/d/1kGrh75X1cNR1D7_FcY9zMnHP8iPO4M5RCRjy6nZY0TY/edi"&amp;"t#gid=0"",""Table 1: Study characteristics!B4:B171"")))&gt;0
),
""Include""
)"),"Exclude")</f>
        <v>Exclude</v>
      </c>
      <c r="G525" s="5" t="str">
        <f>IFERROR(__xludf.DUMMYFUNCTION("IFS(
D525=""Exclude"",
FILTER(IMPORTRANGE(""https://docs.google.com/spreadsheets/d/1BJSV3WBYJGRhQ6zExamkszQ5VutGIcaQqmbD9ZTVXMQ/edit#gid=1251630045"",""articles_with_PRISMA_reasons!AB2:AB2113""), $A525=IMPORTRANGE(""https://docs.google.com/spreadsheets/d/"&amp;"1BJSV3WBYJGRhQ6zExamkszQ5VutGIcaQqmbD9ZTVXMQ/edit#gid=1251630045"",""articles_with_PRISMA_reasons!B2:B2113"")),
E525=""Exclude"",
FILTER(IMPORTRANGE(""https://docs.google.com/spreadsheets/d/1qpEmbGH0JjaJbUdp21-y2cPbobDbMjr09BbtdKROZWc/edit#gid=1444865654"&amp;""",""articles_with_PRISMA_reasons!Z2:Z2113""), $A525=IMPORTRANGE(""https://docs.google.com/spreadsheets/d/1qpEmbGH0JjaJbUdp21-y2cPbobDbMjr09BbtdKROZWc/edit#gid=1444865654"",""articles_with_PRISMA_reasons!B2:B2113"")),F525
=""Include"",FILTER(IMPORTRANGE("&amp;"""https://docs.google.com/spreadsheets/d/1kGrh75X1cNR1D7_FcY9zMnHP8iPO4M5RCRjy6nZY0TY/edit#gid=0"",""Table 1: Study characteristics!A4:A171""), $A525=IMPORTRANGE(""https://docs.google.com/spreadsheets/d/1kGrh75X1cNR1D7_FcY9zMnHP8iPO4M5RCRjy6nZY0TY/edit#gi"&amp;"d=0"",""Table 1: Study characteristics!B4:B171""))
)"),"wrong study design")</f>
        <v>wrong study design</v>
      </c>
    </row>
    <row r="526">
      <c r="A526" s="4" t="str">
        <f>IFERROR(__xludf.DUMMYFUNCTION("""COMPUTED_VALUE"""),"Computed tomography of the brain")</f>
        <v>Computed tomography of the brain</v>
      </c>
      <c r="B526" s="5" t="str">
        <f>IFERROR(__xludf.DUMMYFUNCTION("LEFT(FILTER(IMPORTRANGE(""https://docs.google.com/spreadsheets/d/1BJSV3WBYJGRhQ6zExamkszQ5VutGIcaQqmbD9ZTVXMQ/edit#gid=1251630045"",""articles_with_PRISMA_reasons!K2:K2113""), $A526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$A526=IMPORTRANGE(""https://docs.google.com/spreadsheets/d/1BJSV3WBYJGRhQ6zExamkszQ5VutGIcaQqmbD9ZTVXMQ/edit#gid=1251630045"",""articles_with_PRISMA_reasons!B2:B2113"")))-1)"),"Jones")</f>
        <v>Jones</v>
      </c>
      <c r="C526" s="6">
        <f>IFERROR(__xludf.DUMMYFUNCTION("FILTER(IMPORTRANGE(""https://docs.google.com/spreadsheets/d/1BJSV3WBYJGRhQ6zExamkszQ5VutGIcaQqmbD9ZTVXMQ/edit#gid=1251630045"",""articles_with_PRISMA_reasons!C2:C2113""), $A526=IMPORTRANGE(""https://docs.google.com/spreadsheets/d/1BJSV3WBYJGRhQ6zExamkszQ5"&amp;"VutGIcaQqmbD9ZTVXMQ/edit#gid=1251630045"",""articles_with_PRISMA_reasons!B2:B2113""))"),1976.0)</f>
        <v>1976</v>
      </c>
      <c r="D526" s="5" t="str">
        <f>IFERROR(__xludf.DUMMYFUNCTION("IFS(AND(
FILTER(IMPORTRANGE(""https://docs.google.com/spreadsheets/d/1BJSV3WBYJGRhQ6zExamkszQ5VutGIcaQqmbD9ZTVXMQ/edit#gid=1251630045"",""articles_with_PRISMA_reasons!Y2:Y2113""), $A526=IMPORTRANGE(""https://docs.google.com/spreadsheets/d/1BJSV3WBYJGRhQ6z"&amp;"ExamkszQ5VutGIcaQqmbD9ZTVXMQ/edit#gid=1251630045"",""articles_with_PRISMA_reasons!B2:B2113""))&gt;=2,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$A526=IMPORTRANGE(""https://docs.google.com/spreadsheets/d/1BJSV3WBYJGRhQ6zExamkszQ5VutGIcaQqmbD9ZTVXMQ/edit#gid=1251630045"",""articles_with_PRISMA_reasons!B2:B2113""))&lt;2),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$A526=IMPORTRANGE(""https://docs.google.com/spreadsheets/d/1BJSV3WBYJGRhQ6zExamkszQ5VutGIcaQqmbD9ZTVXMQ/edit#gid=1251630045"",""arti"&amp;"cles_with_PRISMA_reasons!B2:B2113""))&lt;2,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$A526=IMPORTRANGE(""https://docs.google.com"&amp;"/spreadsheets/d/1BJSV3WBYJGRhQ6zExamkszQ5VutGIcaQqmbD9ZTVXMQ/edit#gid=1251630045"",""articles_with_PRISMA_reasons!B2:B2113""))&gt;=2),
""Exclude""
)"),"Exclude")</f>
        <v>Exclude</v>
      </c>
      <c r="E526" s="5" t="str">
        <f>IFERROR(__xludf.DUMMYFUNCTION("IFS(
D526=""Exclude"",""Exclude"",
AND(
FILTER(IMPORTRANGE(""https://docs.google.com/spreadsheets/d/1qpEmbGH0JjaJbUdp21-y2cPbobDbMjr09BbtdKROZWc/edit#gid=1444865654"",""articles_with_PRISMA_reasons!W2:W2113""), $A526=IMPORTRANGE(""https://docs.google.com/"&amp;"spreadsheets/d/1qpEmbGH0JjaJbUdp21-y2cPbobDbMjr09BbtdKROZWc/edit#gid=1444865654"",""articles_with_PRISMA_reasons!B2:B2113""))&gt;=2,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$A526=IMPORTRANGE(""https://docs.google.com/spreadsheets/d/1qpEmbGH0JjaJbUdp21-y2cPbobDbMjr09BbtdKROZWc/edit#gid=1444865654"",""articles_with_PRISMA_reasons!B2:B2113""))&lt;2),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$A526=IMPORTRANGE(""https://docs.google.com/spreadsheets/d/1qpEmbGH0JjaJbUdp21-y2cPbobDbMjr09BbtdKRO"&amp;"ZWc/edit#gid=1444865654"",""articles_with_PRISMA_reasons!B2:B2113""))&lt;2,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$A526=IMPOR"&amp;"TRANGE(""https://docs.google.com/spreadsheets/d/1qpEmbGH0JjaJbUdp21-y2cPbobDbMjr09BbtdKROZWc/edit#gid=1444865654"",""articles_with_PRISMA_reasons!B2:B2113""))&gt;=2),
""Exclude""
)"),"Exclude")</f>
        <v>Exclude</v>
      </c>
      <c r="F526" s="5" t="str">
        <f>IFERROR(__xludf.DUMMYFUNCTION("IFS(
E526=""Exclude"",""Exclude"",
AND(
COUNTIF(
IMPORTRANGE(""https://docs.google.com/spreadsheets/d/1kGrh75X1cNR1D7_FcY9zMnHP8iPO4M5RCRjy6nZY0TY/edit#gid=0"",""Table 1: Study characteristics!B4:B171""),A526)&gt;0,
COUNTIF(Studies!$A$2:$A$85,FILTER(IMPORTRA"&amp;"NGE(""https://docs.google.com/spreadsheets/d/1kGrh75X1cNR1D7_FcY9zMnHP8iPO4M5RCRjy6nZY0TY/edit#gid=0"",""Table 1: Study characteristics!A4:A171""), $A526=IMPORTRANGE(""https://docs.google.com/spreadsheets/d/1kGrh75X1cNR1D7_FcY9zMnHP8iPO4M5RCRjy6nZY0TY/edi"&amp;"t#gid=0"",""Table 1: Study characteristics!B4:B171"")))&gt;0
),
""Include""
)"),"Exclude")</f>
        <v>Exclude</v>
      </c>
      <c r="G526" s="5" t="str">
        <f>IFERROR(__xludf.DUMMYFUNCTION("IFS(
D526=""Exclude"",
FILTER(IMPORTRANGE(""https://docs.google.com/spreadsheets/d/1BJSV3WBYJGRhQ6zExamkszQ5VutGIcaQqmbD9ZTVXMQ/edit#gid=1251630045"",""articles_with_PRISMA_reasons!AB2:AB2113""), $A526=IMPORTRANGE(""https://docs.google.com/spreadsheets/d/"&amp;"1BJSV3WBYJGRhQ6zExamkszQ5VutGIcaQqmbD9ZTVXMQ/edit#gid=1251630045"",""articles_with_PRISMA_reasons!B2:B2113"")),
E526=""Exclude"",
FILTER(IMPORTRANGE(""https://docs.google.com/spreadsheets/d/1qpEmbGH0JjaJbUdp21-y2cPbobDbMjr09BbtdKROZWc/edit#gid=1444865654"&amp;""",""articles_with_PRISMA_reasons!Z2:Z2113""), $A526=IMPORTRANGE(""https://docs.google.com/spreadsheets/d/1qpEmbGH0JjaJbUdp21-y2cPbobDbMjr09BbtdKROZWc/edit#gid=1444865654"",""articles_with_PRISMA_reasons!B2:B2113"")),F526
=""Include"",FILTER(IMPORTRANGE("&amp;"""https://docs.google.com/spreadsheets/d/1kGrh75X1cNR1D7_FcY9zMnHP8iPO4M5RCRjy6nZY0TY/edit#gid=0"",""Table 1: Study characteristics!A4:A171""), $A526=IMPORTRANGE(""https://docs.google.com/spreadsheets/d/1kGrh75X1cNR1D7_FcY9zMnHP8iPO4M5RCRjy6nZY0TY/edit#gi"&amp;"d=0"",""Table 1: Study characteristics!B4:B171""))
)"),"wrong study design")</f>
        <v>wrong study design</v>
      </c>
    </row>
    <row r="527">
      <c r="A527" s="4" t="str">
        <f>IFERROR(__xludf.DUMMYFUNCTION("""COMPUTED_VALUE"""),"Concept, program of medical examinations and results of an ambulant care for children with meningomyelocele (spina bifida)")</f>
        <v>Concept, program of medical examinations and results of an ambulant care for children with meningomyelocele (spina bifida)</v>
      </c>
      <c r="B527" s="5" t="str">
        <f>IFERROR(__xludf.DUMMYFUNCTION("LEFT(FILTER(IMPORTRANGE(""https://docs.google.com/spreadsheets/d/1BJSV3WBYJGRhQ6zExamkszQ5VutGIcaQqmbD9ZTVXMQ/edit#gid=1251630045"",""articles_with_PRISMA_reasons!K2:K2113""), $A527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$A527=IMPORTRANGE(""https://docs.google.com/spreadsheets/d/1BJSV3WBYJGRhQ6zExamkszQ5VutGIcaQqmbD9ZTVXMQ/edit#gid=1251630045"",""articles_with_PRISMA_reasons!B2:B2113"")))-1)"),"Cremer")</f>
        <v>Cremer</v>
      </c>
      <c r="C527" s="6">
        <f>IFERROR(__xludf.DUMMYFUNCTION("FILTER(IMPORTRANGE(""https://docs.google.com/spreadsheets/d/1BJSV3WBYJGRhQ6zExamkszQ5VutGIcaQqmbD9ZTVXMQ/edit#gid=1251630045"",""articles_with_PRISMA_reasons!C2:C2113""), $A527=IMPORTRANGE(""https://docs.google.com/spreadsheets/d/1BJSV3WBYJGRhQ6zExamkszQ5"&amp;"VutGIcaQqmbD9ZTVXMQ/edit#gid=1251630045"",""articles_with_PRISMA_reasons!B2:B2113""))"),1990.0)</f>
        <v>1990</v>
      </c>
      <c r="D527" s="5" t="str">
        <f>IFERROR(__xludf.DUMMYFUNCTION("IFS(AND(
FILTER(IMPORTRANGE(""https://docs.google.com/spreadsheets/d/1BJSV3WBYJGRhQ6zExamkszQ5VutGIcaQqmbD9ZTVXMQ/edit#gid=1251630045"",""articles_with_PRISMA_reasons!Y2:Y2113""), $A527=IMPORTRANGE(""https://docs.google.com/spreadsheets/d/1BJSV3WBYJGRhQ6z"&amp;"ExamkszQ5VutGIcaQqmbD9ZTVXMQ/edit#gid=1251630045"",""articles_with_PRISMA_reasons!B2:B2113""))&gt;=2,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$A527=IMPORTRANGE(""https://docs.google.com/spreadsheets/d/1BJSV3WBYJGRhQ6zExamkszQ5VutGIcaQqmbD9ZTVXMQ/edit#gid=1251630045"",""articles_with_PRISMA_reasons!B2:B2113""))&lt;2),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$A527=IMPORTRANGE(""https://docs.google.com/spreadsheets/d/1BJSV3WBYJGRhQ6zExamkszQ5VutGIcaQqmbD9ZTVXMQ/edit#gid=1251630045"",""arti"&amp;"cles_with_PRISMA_reasons!B2:B2113""))&lt;2,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$A527=IMPORTRANGE(""https://docs.google.com"&amp;"/spreadsheets/d/1BJSV3WBYJGRhQ6zExamkszQ5VutGIcaQqmbD9ZTVXMQ/edit#gid=1251630045"",""articles_with_PRISMA_reasons!B2:B2113""))&gt;=2),
""Exclude""
)"),"Exclude")</f>
        <v>Exclude</v>
      </c>
      <c r="E527" s="5" t="str">
        <f>IFERROR(__xludf.DUMMYFUNCTION("IFS(
D527=""Exclude"",""Exclude"",
AND(
FILTER(IMPORTRANGE(""https://docs.google.com/spreadsheets/d/1qpEmbGH0JjaJbUdp21-y2cPbobDbMjr09BbtdKROZWc/edit#gid=1444865654"",""articles_with_PRISMA_reasons!W2:W2113""), $A527=IMPORTRANGE(""https://docs.google.com/"&amp;"spreadsheets/d/1qpEmbGH0JjaJbUdp21-y2cPbobDbMjr09BbtdKROZWc/edit#gid=1444865654"",""articles_with_PRISMA_reasons!B2:B2113""))&gt;=2,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$A527=IMPORTRANGE(""https://docs.google.com/spreadsheets/d/1qpEmbGH0JjaJbUdp21-y2cPbobDbMjr09BbtdKROZWc/edit#gid=1444865654"",""articles_with_PRISMA_reasons!B2:B2113""))&lt;2),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$A527=IMPORTRANGE(""https://docs.google.com/spreadsheets/d/1qpEmbGH0JjaJbUdp21-y2cPbobDbMjr09BbtdKRO"&amp;"ZWc/edit#gid=1444865654"",""articles_with_PRISMA_reasons!B2:B2113""))&lt;2,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$A527=IMPOR"&amp;"TRANGE(""https://docs.google.com/spreadsheets/d/1qpEmbGH0JjaJbUdp21-y2cPbobDbMjr09BbtdKROZWc/edit#gid=1444865654"",""articles_with_PRISMA_reasons!B2:B2113""))&gt;=2),
""Exclude""
)"),"Exclude")</f>
        <v>Exclude</v>
      </c>
      <c r="F527" s="5" t="str">
        <f>IFERROR(__xludf.DUMMYFUNCTION("IFS(
E527=""Exclude"",""Exclude"",
AND(
COUNTIF(
IMPORTRANGE(""https://docs.google.com/spreadsheets/d/1kGrh75X1cNR1D7_FcY9zMnHP8iPO4M5RCRjy6nZY0TY/edit#gid=0"",""Table 1: Study characteristics!B4:B171""),A527)&gt;0,
COUNTIF(Studies!$A$2:$A$85,FILTER(IMPORTRA"&amp;"NGE(""https://docs.google.com/spreadsheets/d/1kGrh75X1cNR1D7_FcY9zMnHP8iPO4M5RCRjy6nZY0TY/edit#gid=0"",""Table 1: Study characteristics!A4:A171""), $A527=IMPORTRANGE(""https://docs.google.com/spreadsheets/d/1kGrh75X1cNR1D7_FcY9zMnHP8iPO4M5RCRjy6nZY0TY/edi"&amp;"t#gid=0"",""Table 1: Study characteristics!B4:B171"")))&gt;0
),
""Include""
)"),"Exclude")</f>
        <v>Exclude</v>
      </c>
      <c r="G527" s="5" t="str">
        <f>IFERROR(__xludf.DUMMYFUNCTION("IFS(
D527=""Exclude"",
FILTER(IMPORTRANGE(""https://docs.google.com/spreadsheets/d/1BJSV3WBYJGRhQ6zExamkszQ5VutGIcaQqmbD9ZTVXMQ/edit#gid=1251630045"",""articles_with_PRISMA_reasons!AB2:AB2113""), $A527=IMPORTRANGE(""https://docs.google.com/spreadsheets/d/"&amp;"1BJSV3WBYJGRhQ6zExamkszQ5VutGIcaQqmbD9ZTVXMQ/edit#gid=1251630045"",""articles_with_PRISMA_reasons!B2:B2113"")),
E527=""Exclude"",
FILTER(IMPORTRANGE(""https://docs.google.com/spreadsheets/d/1qpEmbGH0JjaJbUdp21-y2cPbobDbMjr09BbtdKROZWc/edit#gid=1444865654"&amp;""",""articles_with_PRISMA_reasons!Z2:Z2113""), $A527=IMPORTRANGE(""https://docs.google.com/spreadsheets/d/1qpEmbGH0JjaJbUdp21-y2cPbobDbMjr09BbtdKROZWc/edit#gid=1444865654"",""articles_with_PRISMA_reasons!B2:B2113"")),F527
=""Include"",FILTER(IMPORTRANGE("&amp;"""https://docs.google.com/spreadsheets/d/1kGrh75X1cNR1D7_FcY9zMnHP8iPO4M5RCRjy6nZY0TY/edit#gid=0"",""Table 1: Study characteristics!A4:A171""), $A527=IMPORTRANGE(""https://docs.google.com/spreadsheets/d/1kGrh75X1cNR1D7_FcY9zMnHP8iPO4M5RCRjy6nZY0TY/edit#gi"&amp;"d=0"",""Table 1: Study characteristics!B4:B171""))
)"),"wrong study design")</f>
        <v>wrong study design</v>
      </c>
    </row>
    <row r="528">
      <c r="A528" s="4" t="str">
        <f>IFERROR(__xludf.DUMMYFUNCTION("""COMPUTED_VALUE"""),"Concepts in the neurosurgical care of patients with spinal neural tube defects: An embryologic approach")</f>
        <v>Concepts in the neurosurgical care of patients with spinal neural tube defects: An embryologic approach</v>
      </c>
      <c r="B528" s="5" t="str">
        <f>IFERROR(__xludf.DUMMYFUNCTION("LEFT(FILTER(IMPORTRANGE(""https://docs.google.com/spreadsheets/d/1BJSV3WBYJGRhQ6zExamkszQ5VutGIcaQqmbD9ZTVXMQ/edit#gid=1251630045"",""articles_with_PRISMA_reasons!K2:K2113""), $A528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$A528=IMPORTRANGE(""https://docs.google.com/spreadsheets/d/1BJSV3WBYJGRhQ6zExamkszQ5VutGIcaQqmbD9ZTVXMQ/edit#gid=1251630045"",""articles_with_PRISMA_reasons!B2:B2113"")))-1)"),"Blount")</f>
        <v>Blount</v>
      </c>
      <c r="C528" s="6">
        <f>IFERROR(__xludf.DUMMYFUNCTION("FILTER(IMPORTRANGE(""https://docs.google.com/spreadsheets/d/1BJSV3WBYJGRhQ6zExamkszQ5VutGIcaQqmbD9ZTVXMQ/edit#gid=1251630045"",""articles_with_PRISMA_reasons!C2:C2113""), $A528=IMPORTRANGE(""https://docs.google.com/spreadsheets/d/1BJSV3WBYJGRhQ6zExamkszQ5"&amp;"VutGIcaQqmbD9ZTVXMQ/edit#gid=1251630045"",""articles_with_PRISMA_reasons!B2:B2113""))"),2019.0)</f>
        <v>2019</v>
      </c>
      <c r="D528" s="5" t="str">
        <f>IFERROR(__xludf.DUMMYFUNCTION("IFS(AND(
FILTER(IMPORTRANGE(""https://docs.google.com/spreadsheets/d/1BJSV3WBYJGRhQ6zExamkszQ5VutGIcaQqmbD9ZTVXMQ/edit#gid=1251630045"",""articles_with_PRISMA_reasons!Y2:Y2113""), $A528=IMPORTRANGE(""https://docs.google.com/spreadsheets/d/1BJSV3WBYJGRhQ6z"&amp;"ExamkszQ5VutGIcaQqmbD9ZTVXMQ/edit#gid=1251630045"",""articles_with_PRISMA_reasons!B2:B2113""))&gt;=2,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$A528=IMPORTRANGE(""https://docs.google.com/spreadsheets/d/1BJSV3WBYJGRhQ6zExamkszQ5VutGIcaQqmbD9ZTVXMQ/edit#gid=1251630045"",""articles_with_PRISMA_reasons!B2:B2113""))&lt;2),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$A528=IMPORTRANGE(""https://docs.google.com/spreadsheets/d/1BJSV3WBYJGRhQ6zExamkszQ5VutGIcaQqmbD9ZTVXMQ/edit#gid=1251630045"",""arti"&amp;"cles_with_PRISMA_reasons!B2:B2113""))&lt;2,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$A528=IMPORTRANGE(""https://docs.google.com"&amp;"/spreadsheets/d/1BJSV3WBYJGRhQ6zExamkszQ5VutGIcaQqmbD9ZTVXMQ/edit#gid=1251630045"",""articles_with_PRISMA_reasons!B2:B2113""))&gt;=2),
""Exclude""
)"),"Exclude")</f>
        <v>Exclude</v>
      </c>
      <c r="E528" s="5" t="str">
        <f>IFERROR(__xludf.DUMMYFUNCTION("IFS(
D528=""Exclude"",""Exclude"",
AND(
FILTER(IMPORTRANGE(""https://docs.google.com/spreadsheets/d/1qpEmbGH0JjaJbUdp21-y2cPbobDbMjr09BbtdKROZWc/edit#gid=1444865654"",""articles_with_PRISMA_reasons!W2:W2113""), $A528=IMPORTRANGE(""https://docs.google.com/"&amp;"spreadsheets/d/1qpEmbGH0JjaJbUdp21-y2cPbobDbMjr09BbtdKROZWc/edit#gid=1444865654"",""articles_with_PRISMA_reasons!B2:B2113""))&gt;=2,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$A528=IMPORTRANGE(""https://docs.google.com/spreadsheets/d/1qpEmbGH0JjaJbUdp21-y2cPbobDbMjr09BbtdKROZWc/edit#gid=1444865654"",""articles_with_PRISMA_reasons!B2:B2113""))&lt;2),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$A528=IMPORTRANGE(""https://docs.google.com/spreadsheets/d/1qpEmbGH0JjaJbUdp21-y2cPbobDbMjr09BbtdKRO"&amp;"ZWc/edit#gid=1444865654"",""articles_with_PRISMA_reasons!B2:B2113""))&lt;2,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$A528=IMPOR"&amp;"TRANGE(""https://docs.google.com/spreadsheets/d/1qpEmbGH0JjaJbUdp21-y2cPbobDbMjr09BbtdKROZWc/edit#gid=1444865654"",""articles_with_PRISMA_reasons!B2:B2113""))&gt;=2),
""Exclude""
)"),"Exclude")</f>
        <v>Exclude</v>
      </c>
      <c r="F528" s="5" t="str">
        <f>IFERROR(__xludf.DUMMYFUNCTION("IFS(
E528=""Exclude"",""Exclude"",
AND(
COUNTIF(
IMPORTRANGE(""https://docs.google.com/spreadsheets/d/1kGrh75X1cNR1D7_FcY9zMnHP8iPO4M5RCRjy6nZY0TY/edit#gid=0"",""Table 1: Study characteristics!B4:B171""),A528)&gt;0,
COUNTIF(Studies!$A$2:$A$85,FILTER(IMPORTRA"&amp;"NGE(""https://docs.google.com/spreadsheets/d/1kGrh75X1cNR1D7_FcY9zMnHP8iPO4M5RCRjy6nZY0TY/edit#gid=0"",""Table 1: Study characteristics!A4:A171""), $A528=IMPORTRANGE(""https://docs.google.com/spreadsheets/d/1kGrh75X1cNR1D7_FcY9zMnHP8iPO4M5RCRjy6nZY0TY/edi"&amp;"t#gid=0"",""Table 1: Study characteristics!B4:B171"")))&gt;0
),
""Include""
)"),"Exclude")</f>
        <v>Exclude</v>
      </c>
      <c r="G528" s="5" t="str">
        <f>IFERROR(__xludf.DUMMYFUNCTION("IFS(
D528=""Exclude"",
FILTER(IMPORTRANGE(""https://docs.google.com/spreadsheets/d/1BJSV3WBYJGRhQ6zExamkszQ5VutGIcaQqmbD9ZTVXMQ/edit#gid=1251630045"",""articles_with_PRISMA_reasons!AB2:AB2113""), $A528=IMPORTRANGE(""https://docs.google.com/spreadsheets/d/"&amp;"1BJSV3WBYJGRhQ6zExamkszQ5VutGIcaQqmbD9ZTVXMQ/edit#gid=1251630045"",""articles_with_PRISMA_reasons!B2:B2113"")),
E528=""Exclude"",
FILTER(IMPORTRANGE(""https://docs.google.com/spreadsheets/d/1qpEmbGH0JjaJbUdp21-y2cPbobDbMjr09BbtdKROZWc/edit#gid=1444865654"&amp;""",""articles_with_PRISMA_reasons!Z2:Z2113""), $A528=IMPORTRANGE(""https://docs.google.com/spreadsheets/d/1qpEmbGH0JjaJbUdp21-y2cPbobDbMjr09BbtdKROZWc/edit#gid=1444865654"",""articles_with_PRISMA_reasons!B2:B2113"")),F528
=""Include"",FILTER(IMPORTRANGE("&amp;"""https://docs.google.com/spreadsheets/d/1kGrh75X1cNR1D7_FcY9zMnHP8iPO4M5RCRjy6nZY0TY/edit#gid=0"",""Table 1: Study characteristics!A4:A171""), $A528=IMPORTRANGE(""https://docs.google.com/spreadsheets/d/1kGrh75X1cNR1D7_FcY9zMnHP8iPO4M5RCRjy6nZY0TY/edit#gi"&amp;"d=0"",""Table 1: Study characteristics!B4:B171""))
)"),"wrong study design")</f>
        <v>wrong study design</v>
      </c>
    </row>
    <row r="529">
      <c r="A529" s="4" t="str">
        <f>IFERROR(__xludf.DUMMYFUNCTION("""COMPUTED_VALUE"""),"Concurrence of prune belly syndrome with meningomyelocele")</f>
        <v>Concurrence of prune belly syndrome with meningomyelocele</v>
      </c>
      <c r="B529" s="5" t="str">
        <f>IFERROR(__xludf.DUMMYFUNCTION("LEFT(FILTER(IMPORTRANGE(""https://docs.google.com/spreadsheets/d/1BJSV3WBYJGRhQ6zExamkszQ5VutGIcaQqmbD9ZTVXMQ/edit#gid=1251630045"",""articles_with_PRISMA_reasons!K2:K2113""), $A529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$A529=IMPORTRANGE(""https://docs.google.com/spreadsheets/d/1BJSV3WBYJGRhQ6zExamkszQ5VutGIcaQqmbD9ZTVXMQ/edit#gid=1251630045"",""articles_with_PRISMA_reasons!B2:B2113"")))-1)"),"Melekoglu")</f>
        <v>Melekoglu</v>
      </c>
      <c r="C529" s="6">
        <f>IFERROR(__xludf.DUMMYFUNCTION("FILTER(IMPORTRANGE(""https://docs.google.com/spreadsheets/d/1BJSV3WBYJGRhQ6zExamkszQ5VutGIcaQqmbD9ZTVXMQ/edit#gid=1251630045"",""articles_with_PRISMA_reasons!C2:C2113""), $A529=IMPORTRANGE(""https://docs.google.com/spreadsheets/d/1BJSV3WBYJGRhQ6zExamkszQ5"&amp;"VutGIcaQqmbD9ZTVXMQ/edit#gid=1251630045"",""articles_with_PRISMA_reasons!B2:B2113""))"),2017.0)</f>
        <v>2017</v>
      </c>
      <c r="D529" s="5" t="str">
        <f>IFERROR(__xludf.DUMMYFUNCTION("IFS(AND(
FILTER(IMPORTRANGE(""https://docs.google.com/spreadsheets/d/1BJSV3WBYJGRhQ6zExamkszQ5VutGIcaQqmbD9ZTVXMQ/edit#gid=1251630045"",""articles_with_PRISMA_reasons!Y2:Y2113""), $A529=IMPORTRANGE(""https://docs.google.com/spreadsheets/d/1BJSV3WBYJGRhQ6z"&amp;"ExamkszQ5VutGIcaQqmbD9ZTVXMQ/edit#gid=1251630045"",""articles_with_PRISMA_reasons!B2:B2113""))&gt;=2,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$A529=IMPORTRANGE(""https://docs.google.com/spreadsheets/d/1BJSV3WBYJGRhQ6zExamkszQ5VutGIcaQqmbD9ZTVXMQ/edit#gid=1251630045"",""articles_with_PRISMA_reasons!B2:B2113""))&lt;2),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$A529=IMPORTRANGE(""https://docs.google.com/spreadsheets/d/1BJSV3WBYJGRhQ6zExamkszQ5VutGIcaQqmbD9ZTVXMQ/edit#gid=1251630045"",""arti"&amp;"cles_with_PRISMA_reasons!B2:B2113""))&lt;2,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$A529=IMPORTRANGE(""https://docs.google.com"&amp;"/spreadsheets/d/1BJSV3WBYJGRhQ6zExamkszQ5VutGIcaQqmbD9ZTVXMQ/edit#gid=1251630045"",""articles_with_PRISMA_reasons!B2:B2113""))&gt;=2),
""Exclude""
)"),"Exclude")</f>
        <v>Exclude</v>
      </c>
      <c r="E529" s="5" t="str">
        <f>IFERROR(__xludf.DUMMYFUNCTION("IFS(
D529=""Exclude"",""Exclude"",
AND(
FILTER(IMPORTRANGE(""https://docs.google.com/spreadsheets/d/1qpEmbGH0JjaJbUdp21-y2cPbobDbMjr09BbtdKROZWc/edit#gid=1444865654"",""articles_with_PRISMA_reasons!W2:W2113""), $A529=IMPORTRANGE(""https://docs.google.com/"&amp;"spreadsheets/d/1qpEmbGH0JjaJbUdp21-y2cPbobDbMjr09BbtdKROZWc/edit#gid=1444865654"",""articles_with_PRISMA_reasons!B2:B2113""))&gt;=2,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$A529=IMPORTRANGE(""https://docs.google.com/spreadsheets/d/1qpEmbGH0JjaJbUdp21-y2cPbobDbMjr09BbtdKROZWc/edit#gid=1444865654"",""articles_with_PRISMA_reasons!B2:B2113""))&lt;2),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$A529=IMPORTRANGE(""https://docs.google.com/spreadsheets/d/1qpEmbGH0JjaJbUdp21-y2cPbobDbMjr09BbtdKRO"&amp;"ZWc/edit#gid=1444865654"",""articles_with_PRISMA_reasons!B2:B2113""))&lt;2,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$A529=IMPOR"&amp;"TRANGE(""https://docs.google.com/spreadsheets/d/1qpEmbGH0JjaJbUdp21-y2cPbobDbMjr09BbtdKROZWc/edit#gid=1444865654"",""articles_with_PRISMA_reasons!B2:B2113""))&gt;=2),
""Exclude""
)"),"Exclude")</f>
        <v>Exclude</v>
      </c>
      <c r="F529" s="5" t="str">
        <f>IFERROR(__xludf.DUMMYFUNCTION("IFS(
E529=""Exclude"",""Exclude"",
AND(
COUNTIF(
IMPORTRANGE(""https://docs.google.com/spreadsheets/d/1kGrh75X1cNR1D7_FcY9zMnHP8iPO4M5RCRjy6nZY0TY/edit#gid=0"",""Table 1: Study characteristics!B4:B171""),A529)&gt;0,
COUNTIF(Studies!$A$2:$A$85,FILTER(IMPORTRA"&amp;"NGE(""https://docs.google.com/spreadsheets/d/1kGrh75X1cNR1D7_FcY9zMnHP8iPO4M5RCRjy6nZY0TY/edit#gid=0"",""Table 1: Study characteristics!A4:A171""), $A529=IMPORTRANGE(""https://docs.google.com/spreadsheets/d/1kGrh75X1cNR1D7_FcY9zMnHP8iPO4M5RCRjy6nZY0TY/edi"&amp;"t#gid=0"",""Table 1: Study characteristics!B4:B171"")))&gt;0
),
""Include""
)"),"Exclude")</f>
        <v>Exclude</v>
      </c>
      <c r="G529" s="5" t="str">
        <f>IFERROR(__xludf.DUMMYFUNCTION("IFS(
D529=""Exclude"",
FILTER(IMPORTRANGE(""https://docs.google.com/spreadsheets/d/1BJSV3WBYJGRhQ6zExamkszQ5VutGIcaQqmbD9ZTVXMQ/edit#gid=1251630045"",""articles_with_PRISMA_reasons!AB2:AB2113""), $A529=IMPORTRANGE(""https://docs.google.com/spreadsheets/d/"&amp;"1BJSV3WBYJGRhQ6zExamkszQ5VutGIcaQqmbD9ZTVXMQ/edit#gid=1251630045"",""articles_with_PRISMA_reasons!B2:B2113"")),
E529=""Exclude"",
FILTER(IMPORTRANGE(""https://docs.google.com/spreadsheets/d/1qpEmbGH0JjaJbUdp21-y2cPbobDbMjr09BbtdKROZWc/edit#gid=1444865654"&amp;""",""articles_with_PRISMA_reasons!Z2:Z2113""), $A529=IMPORTRANGE(""https://docs.google.com/spreadsheets/d/1qpEmbGH0JjaJbUdp21-y2cPbobDbMjr09BbtdKROZWc/edit#gid=1444865654"",""articles_with_PRISMA_reasons!B2:B2113"")),F529
=""Include"",FILTER(IMPORTRANGE("&amp;"""https://docs.google.com/spreadsheets/d/1kGrh75X1cNR1D7_FcY9zMnHP8iPO4M5RCRjy6nZY0TY/edit#gid=0"",""Table 1: Study characteristics!A4:A171""), $A529=IMPORTRANGE(""https://docs.google.com/spreadsheets/d/1kGrh75X1cNR1D7_FcY9zMnHP8iPO4M5RCRjy6nZY0TY/edit#gi"&amp;"d=0"",""Table 1: Study characteristics!B4:B171""))
)"),"wrong study design")</f>
        <v>wrong study design</v>
      </c>
    </row>
    <row r="530">
      <c r="A530" s="4" t="str">
        <f>IFERROR(__xludf.DUMMYFUNCTION("""COMPUTED_VALUE"""),"Concurrent venous stenting of the transverse and occipito-marginal sinuses: An analogy with parallel hemodynamic circuits")</f>
        <v>Concurrent venous stenting of the transverse and occipito-marginal sinuses: An analogy with parallel hemodynamic circuits</v>
      </c>
      <c r="B530" s="5" t="str">
        <f>IFERROR(__xludf.DUMMYFUNCTION("LEFT(FILTER(IMPORTRANGE(""https://docs.google.com/spreadsheets/d/1BJSV3WBYJGRhQ6zExamkszQ5VutGIcaQqmbD9ZTVXMQ/edit#gid=1251630045"",""articles_with_PRISMA_reasons!K2:K2113""), $A530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$A530=IMPORTRANGE(""https://docs.google.com/spreadsheets/d/1BJSV3WBYJGRhQ6zExamkszQ5VutGIcaQqmbD9ZTVXMQ/edit#gid=1251630045"",""articles_with_PRISMA_reasons!B2:B2113"")))-1)"),"Buell")</f>
        <v>Buell</v>
      </c>
      <c r="C530" s="6">
        <f>IFERROR(__xludf.DUMMYFUNCTION("FILTER(IMPORTRANGE(""https://docs.google.com/spreadsheets/d/1BJSV3WBYJGRhQ6zExamkszQ5VutGIcaQqmbD9ZTVXMQ/edit#gid=1251630045"",""articles_with_PRISMA_reasons!C2:C2113""), $A530=IMPORTRANGE(""https://docs.google.com/spreadsheets/d/1BJSV3WBYJGRhQ6zExamkszQ5"&amp;"VutGIcaQqmbD9ZTVXMQ/edit#gid=1251630045"",""articles_with_PRISMA_reasons!B2:B2113""))"),2019.0)</f>
        <v>2019</v>
      </c>
      <c r="D530" s="5" t="str">
        <f>IFERROR(__xludf.DUMMYFUNCTION("IFS(AND(
FILTER(IMPORTRANGE(""https://docs.google.com/spreadsheets/d/1BJSV3WBYJGRhQ6zExamkszQ5VutGIcaQqmbD9ZTVXMQ/edit#gid=1251630045"",""articles_with_PRISMA_reasons!Y2:Y2113""), $A530=IMPORTRANGE(""https://docs.google.com/spreadsheets/d/1BJSV3WBYJGRhQ6z"&amp;"ExamkszQ5VutGIcaQqmbD9ZTVXMQ/edit#gid=1251630045"",""articles_with_PRISMA_reasons!B2:B2113""))&gt;=2,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$A530=IMPORTRANGE(""https://docs.google.com/spreadsheets/d/1BJSV3WBYJGRhQ6zExamkszQ5VutGIcaQqmbD9ZTVXMQ/edit#gid=1251630045"",""articles_with_PRISMA_reasons!B2:B2113""))&lt;2),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$A530=IMPORTRANGE(""https://docs.google.com/spreadsheets/d/1BJSV3WBYJGRhQ6zExamkszQ5VutGIcaQqmbD9ZTVXMQ/edit#gid=1251630045"",""arti"&amp;"cles_with_PRISMA_reasons!B2:B2113""))&lt;2,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$A530=IMPORTRANGE(""https://docs.google.com"&amp;"/spreadsheets/d/1BJSV3WBYJGRhQ6zExamkszQ5VutGIcaQqmbD9ZTVXMQ/edit#gid=1251630045"",""articles_with_PRISMA_reasons!B2:B2113""))&gt;=2),
""Exclude""
)"),"Exclude")</f>
        <v>Exclude</v>
      </c>
      <c r="E530" s="5" t="str">
        <f>IFERROR(__xludf.DUMMYFUNCTION("IFS(
D530=""Exclude"",""Exclude"",
AND(
FILTER(IMPORTRANGE(""https://docs.google.com/spreadsheets/d/1qpEmbGH0JjaJbUdp21-y2cPbobDbMjr09BbtdKROZWc/edit#gid=1444865654"",""articles_with_PRISMA_reasons!W2:W2113""), $A530=IMPORTRANGE(""https://docs.google.com/"&amp;"spreadsheets/d/1qpEmbGH0JjaJbUdp21-y2cPbobDbMjr09BbtdKROZWc/edit#gid=1444865654"",""articles_with_PRISMA_reasons!B2:B2113""))&gt;=2,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$A530=IMPORTRANGE(""https://docs.google.com/spreadsheets/d/1qpEmbGH0JjaJbUdp21-y2cPbobDbMjr09BbtdKROZWc/edit#gid=1444865654"",""articles_with_PRISMA_reasons!B2:B2113""))&lt;2),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$A530=IMPORTRANGE(""https://docs.google.com/spreadsheets/d/1qpEmbGH0JjaJbUdp21-y2cPbobDbMjr09BbtdKRO"&amp;"ZWc/edit#gid=1444865654"",""articles_with_PRISMA_reasons!B2:B2113""))&lt;2,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$A530=IMPOR"&amp;"TRANGE(""https://docs.google.com/spreadsheets/d/1qpEmbGH0JjaJbUdp21-y2cPbobDbMjr09BbtdKROZWc/edit#gid=1444865654"",""articles_with_PRISMA_reasons!B2:B2113""))&gt;=2),
""Exclude""
)"),"Exclude")</f>
        <v>Exclude</v>
      </c>
      <c r="F530" s="5" t="str">
        <f>IFERROR(__xludf.DUMMYFUNCTION("IFS(
E530=""Exclude"",""Exclude"",
AND(
COUNTIF(
IMPORTRANGE(""https://docs.google.com/spreadsheets/d/1kGrh75X1cNR1D7_FcY9zMnHP8iPO4M5RCRjy6nZY0TY/edit#gid=0"",""Table 1: Study characteristics!B4:B171""),A530)&gt;0,
COUNTIF(Studies!$A$2:$A$85,FILTER(IMPORTRA"&amp;"NGE(""https://docs.google.com/spreadsheets/d/1kGrh75X1cNR1D7_FcY9zMnHP8iPO4M5RCRjy6nZY0TY/edit#gid=0"",""Table 1: Study characteristics!A4:A171""), $A530=IMPORTRANGE(""https://docs.google.com/spreadsheets/d/1kGrh75X1cNR1D7_FcY9zMnHP8iPO4M5RCRjy6nZY0TY/edi"&amp;"t#gid=0"",""Table 1: Study characteristics!B4:B171"")))&gt;0
),
""Include""
)"),"Exclude")</f>
        <v>Exclude</v>
      </c>
      <c r="G530" s="5" t="str">
        <f>IFERROR(__xludf.DUMMYFUNCTION("IFS(
D530=""Exclude"",
FILTER(IMPORTRANGE(""https://docs.google.com/spreadsheets/d/1BJSV3WBYJGRhQ6zExamkszQ5VutGIcaQqmbD9ZTVXMQ/edit#gid=1251630045"",""articles_with_PRISMA_reasons!AB2:AB2113""), $A530=IMPORTRANGE(""https://docs.google.com/spreadsheets/d/"&amp;"1BJSV3WBYJGRhQ6zExamkszQ5VutGIcaQqmbD9ZTVXMQ/edit#gid=1251630045"",""articles_with_PRISMA_reasons!B2:B2113"")),
E530=""Exclude"",
FILTER(IMPORTRANGE(""https://docs.google.com/spreadsheets/d/1qpEmbGH0JjaJbUdp21-y2cPbobDbMjr09BbtdKROZWc/edit#gid=1444865654"&amp;""",""articles_with_PRISMA_reasons!Z2:Z2113""), $A530=IMPORTRANGE(""https://docs.google.com/spreadsheets/d/1qpEmbGH0JjaJbUdp21-y2cPbobDbMjr09BbtdKROZWc/edit#gid=1444865654"",""articles_with_PRISMA_reasons!B2:B2113"")),F530
=""Include"",FILTER(IMPORTRANGE("&amp;"""https://docs.google.com/spreadsheets/d/1kGrh75X1cNR1D7_FcY9zMnHP8iPO4M5RCRjy6nZY0TY/edit#gid=0"",""Table 1: Study characteristics!A4:A171""), $A530=IMPORTRANGE(""https://docs.google.com/spreadsheets/d/1kGrh75X1cNR1D7_FcY9zMnHP8iPO4M5RCRjy6nZY0TY/edit#gi"&amp;"d=0"",""Table 1: Study characteristics!B4:B171""))
)"),"wrong study design")</f>
        <v>wrong study design</v>
      </c>
    </row>
    <row r="531">
      <c r="A531" s="4" t="str">
        <f>IFERROR(__xludf.DUMMYFUNCTION("""COMPUTED_VALUE"""),"Congenital Anomalies Diagnosed by Antenatal Ultrasonography")</f>
        <v>Congenital Anomalies Diagnosed by Antenatal Ultrasonography</v>
      </c>
      <c r="B531" s="5" t="str">
        <f>IFERROR(__xludf.DUMMYFUNCTION("LEFT(FILTER(IMPORTRANGE(""https://docs.google.com/spreadsheets/d/1BJSV3WBYJGRhQ6zExamkszQ5VutGIcaQqmbD9ZTVXMQ/edit#gid=1251630045"",""articles_with_PRISMA_reasons!K2:K2113""), $A531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$A531=IMPORTRANGE(""https://docs.google.com/spreadsheets/d/1BJSV3WBYJGRhQ6zExamkszQ5VutGIcaQqmbD9ZTVXMQ/edit#gid=1251630045"",""articles_with_PRISMA_reasons!B2:B2113"")))-1)"),"Jae-Sung")</f>
        <v>Jae-Sung</v>
      </c>
      <c r="C531" s="6">
        <f>IFERROR(__xludf.DUMMYFUNCTION("FILTER(IMPORTRANGE(""https://docs.google.com/spreadsheets/d/1BJSV3WBYJGRhQ6zExamkszQ5VutGIcaQqmbD9ZTVXMQ/edit#gid=1251630045"",""articles_with_PRISMA_reasons!C2:C2113""), $A531=IMPORTRANGE(""https://docs.google.com/spreadsheets/d/1BJSV3WBYJGRhQ6zExamkszQ5"&amp;"VutGIcaQqmbD9ZTVXMQ/edit#gid=1251630045"",""articles_with_PRISMA_reasons!B2:B2113""))"),1997.0)</f>
        <v>1997</v>
      </c>
      <c r="D531" s="5" t="str">
        <f>IFERROR(__xludf.DUMMYFUNCTION("IFS(AND(
FILTER(IMPORTRANGE(""https://docs.google.com/spreadsheets/d/1BJSV3WBYJGRhQ6zExamkszQ5VutGIcaQqmbD9ZTVXMQ/edit#gid=1251630045"",""articles_with_PRISMA_reasons!Y2:Y2113""), $A531=IMPORTRANGE(""https://docs.google.com/spreadsheets/d/1BJSV3WBYJGRhQ6z"&amp;"ExamkszQ5VutGIcaQqmbD9ZTVXMQ/edit#gid=1251630045"",""articles_with_PRISMA_reasons!B2:B2113""))&gt;=2,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$A531=IMPORTRANGE(""https://docs.google.com/spreadsheets/d/1BJSV3WBYJGRhQ6zExamkszQ5VutGIcaQqmbD9ZTVXMQ/edit#gid=1251630045"",""articles_with_PRISMA_reasons!B2:B2113""))&lt;2),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$A531=IMPORTRANGE(""https://docs.google.com/spreadsheets/d/1BJSV3WBYJGRhQ6zExamkszQ5VutGIcaQqmbD9ZTVXMQ/edit#gid=1251630045"",""arti"&amp;"cles_with_PRISMA_reasons!B2:B2113""))&lt;2,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$A531=IMPORTRANGE(""https://docs.google.com"&amp;"/spreadsheets/d/1BJSV3WBYJGRhQ6zExamkszQ5VutGIcaQqmbD9ZTVXMQ/edit#gid=1251630045"",""articles_with_PRISMA_reasons!B2:B2113""))&gt;=2),
""Exclude""
)"),"Exclude")</f>
        <v>Exclude</v>
      </c>
      <c r="E531" s="5" t="str">
        <f>IFERROR(__xludf.DUMMYFUNCTION("IFS(
D531=""Exclude"",""Exclude"",
AND(
FILTER(IMPORTRANGE(""https://docs.google.com/spreadsheets/d/1qpEmbGH0JjaJbUdp21-y2cPbobDbMjr09BbtdKROZWc/edit#gid=1444865654"",""articles_with_PRISMA_reasons!W2:W2113""), $A531=IMPORTRANGE(""https://docs.google.com/"&amp;"spreadsheets/d/1qpEmbGH0JjaJbUdp21-y2cPbobDbMjr09BbtdKROZWc/edit#gid=1444865654"",""articles_with_PRISMA_reasons!B2:B2113""))&gt;=2,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$A531=IMPORTRANGE(""https://docs.google.com/spreadsheets/d/1qpEmbGH0JjaJbUdp21-y2cPbobDbMjr09BbtdKROZWc/edit#gid=1444865654"",""articles_with_PRISMA_reasons!B2:B2113""))&lt;2),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$A531=IMPORTRANGE(""https://docs.google.com/spreadsheets/d/1qpEmbGH0JjaJbUdp21-y2cPbobDbMjr09BbtdKRO"&amp;"ZWc/edit#gid=1444865654"",""articles_with_PRISMA_reasons!B2:B2113""))&lt;2,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$A531=IMPOR"&amp;"TRANGE(""https://docs.google.com/spreadsheets/d/1qpEmbGH0JjaJbUdp21-y2cPbobDbMjr09BbtdKROZWc/edit#gid=1444865654"",""articles_with_PRISMA_reasons!B2:B2113""))&gt;=2),
""Exclude""
)"),"Exclude")</f>
        <v>Exclude</v>
      </c>
      <c r="F531" s="5" t="str">
        <f>IFERROR(__xludf.DUMMYFUNCTION("IFS(
E531=""Exclude"",""Exclude"",
AND(
COUNTIF(
IMPORTRANGE(""https://docs.google.com/spreadsheets/d/1kGrh75X1cNR1D7_FcY9zMnHP8iPO4M5RCRjy6nZY0TY/edit#gid=0"",""Table 1: Study characteristics!B4:B171""),A531)&gt;0,
COUNTIF(Studies!$A$2:$A$85,FILTER(IMPORTRA"&amp;"NGE(""https://docs.google.com/spreadsheets/d/1kGrh75X1cNR1D7_FcY9zMnHP8iPO4M5RCRjy6nZY0TY/edit#gid=0"",""Table 1: Study characteristics!A4:A171""), $A531=IMPORTRANGE(""https://docs.google.com/spreadsheets/d/1kGrh75X1cNR1D7_FcY9zMnHP8iPO4M5RCRjy6nZY0TY/edi"&amp;"t#gid=0"",""Table 1: Study characteristics!B4:B171"")))&gt;0
),
""Include""
)"),"Exclude")</f>
        <v>Exclude</v>
      </c>
      <c r="G531" s="5" t="str">
        <f>IFERROR(__xludf.DUMMYFUNCTION("IFS(
D531=""Exclude"",
FILTER(IMPORTRANGE(""https://docs.google.com/spreadsheets/d/1BJSV3WBYJGRhQ6zExamkszQ5VutGIcaQqmbD9ZTVXMQ/edit#gid=1251630045"",""articles_with_PRISMA_reasons!AB2:AB2113""), $A531=IMPORTRANGE(""https://docs.google.com/spreadsheets/d/"&amp;"1BJSV3WBYJGRhQ6zExamkszQ5VutGIcaQqmbD9ZTVXMQ/edit#gid=1251630045"",""articles_with_PRISMA_reasons!B2:B2113"")),
E531=""Exclude"",
FILTER(IMPORTRANGE(""https://docs.google.com/spreadsheets/d/1qpEmbGH0JjaJbUdp21-y2cPbobDbMjr09BbtdKROZWc/edit#gid=1444865654"&amp;""",""articles_with_PRISMA_reasons!Z2:Z2113""), $A531=IMPORTRANGE(""https://docs.google.com/spreadsheets/d/1qpEmbGH0JjaJbUdp21-y2cPbobDbMjr09BbtdKROZWc/edit#gid=1444865654"",""articles_with_PRISMA_reasons!B2:B2113"")),F531
=""Include"",FILTER(IMPORTRANGE("&amp;"""https://docs.google.com/spreadsheets/d/1kGrh75X1cNR1D7_FcY9zMnHP8iPO4M5RCRjy6nZY0TY/edit#gid=0"",""Table 1: Study characteristics!A4:A171""), $A531=IMPORTRANGE(""https://docs.google.com/spreadsheets/d/1kGrh75X1cNR1D7_FcY9zMnHP8iPO4M5RCRjy6nZY0TY/edit#gi"&amp;"d=0"",""Table 1: Study characteristics!B4:B171""))
)"),"wrong population")</f>
        <v>wrong population</v>
      </c>
    </row>
    <row r="532">
      <c r="A532" s="4" t="str">
        <f>IFERROR(__xludf.DUMMYFUNCTION("""COMPUTED_VALUE"""),"Congenital anomalies in the central nervous system (5) myelomeningocele")</f>
        <v>Congenital anomalies in the central nervous system (5) myelomeningocele</v>
      </c>
      <c r="B532" s="5" t="str">
        <f>IFERROR(__xludf.DUMMYFUNCTION("LEFT(FILTER(IMPORTRANGE(""https://docs.google.com/spreadsheets/d/1BJSV3WBYJGRhQ6zExamkszQ5VutGIcaQqmbD9ZTVXMQ/edit#gid=1251630045"",""articles_with_PRISMA_reasons!K2:K2113""), $A532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$A532=IMPORTRANGE(""https://docs.google.com/spreadsheets/d/1BJSV3WBYJGRhQ6zExamkszQ5VutGIcaQqmbD9ZTVXMQ/edit#gid=1251630045"",""articles_with_PRISMA_reasons!B2:B2113"")))-1)"),"Nagasaka")</f>
        <v>Nagasaka</v>
      </c>
      <c r="C532" s="6">
        <f>IFERROR(__xludf.DUMMYFUNCTION("FILTER(IMPORTRANGE(""https://docs.google.com/spreadsheets/d/1BJSV3WBYJGRhQ6zExamkszQ5VutGIcaQqmbD9ZTVXMQ/edit#gid=1251630045"",""articles_with_PRISMA_reasons!C2:C2113""), $A532=IMPORTRANGE(""https://docs.google.com/spreadsheets/d/1BJSV3WBYJGRhQ6zExamkszQ5"&amp;"VutGIcaQqmbD9ZTVXMQ/edit#gid=1251630045"",""articles_with_PRISMA_reasons!B2:B2113""))"),2011.0)</f>
        <v>2011</v>
      </c>
      <c r="D532" s="5" t="str">
        <f>IFERROR(__xludf.DUMMYFUNCTION("IFS(AND(
FILTER(IMPORTRANGE(""https://docs.google.com/spreadsheets/d/1BJSV3WBYJGRhQ6zExamkszQ5VutGIcaQqmbD9ZTVXMQ/edit#gid=1251630045"",""articles_with_PRISMA_reasons!Y2:Y2113""), $A532=IMPORTRANGE(""https://docs.google.com/spreadsheets/d/1BJSV3WBYJGRhQ6z"&amp;"ExamkszQ5VutGIcaQqmbD9ZTVXMQ/edit#gid=1251630045"",""articles_with_PRISMA_reasons!B2:B2113""))&gt;=2,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$A532=IMPORTRANGE(""https://docs.google.com/spreadsheets/d/1BJSV3WBYJGRhQ6zExamkszQ5VutGIcaQqmbD9ZTVXMQ/edit#gid=1251630045"",""articles_with_PRISMA_reasons!B2:B2113""))&lt;2),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$A532=IMPORTRANGE(""https://docs.google.com/spreadsheets/d/1BJSV3WBYJGRhQ6zExamkszQ5VutGIcaQqmbD9ZTVXMQ/edit#gid=1251630045"",""arti"&amp;"cles_with_PRISMA_reasons!B2:B2113""))&lt;2,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$A532=IMPORTRANGE(""https://docs.google.com"&amp;"/spreadsheets/d/1BJSV3WBYJGRhQ6zExamkszQ5VutGIcaQqmbD9ZTVXMQ/edit#gid=1251630045"",""articles_with_PRISMA_reasons!B2:B2113""))&gt;=2),
""Exclude""
)"),"Exclude")</f>
        <v>Exclude</v>
      </c>
      <c r="E532" s="5" t="str">
        <f>IFERROR(__xludf.DUMMYFUNCTION("IFS(
D532=""Exclude"",""Exclude"",
AND(
FILTER(IMPORTRANGE(""https://docs.google.com/spreadsheets/d/1qpEmbGH0JjaJbUdp21-y2cPbobDbMjr09BbtdKROZWc/edit#gid=1444865654"",""articles_with_PRISMA_reasons!W2:W2113""), $A532=IMPORTRANGE(""https://docs.google.com/"&amp;"spreadsheets/d/1qpEmbGH0JjaJbUdp21-y2cPbobDbMjr09BbtdKROZWc/edit#gid=1444865654"",""articles_with_PRISMA_reasons!B2:B2113""))&gt;=2,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$A532=IMPORTRANGE(""https://docs.google.com/spreadsheets/d/1qpEmbGH0JjaJbUdp21-y2cPbobDbMjr09BbtdKROZWc/edit#gid=1444865654"",""articles_with_PRISMA_reasons!B2:B2113""))&lt;2),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$A532=IMPORTRANGE(""https://docs.google.com/spreadsheets/d/1qpEmbGH0JjaJbUdp21-y2cPbobDbMjr09BbtdKRO"&amp;"ZWc/edit#gid=1444865654"",""articles_with_PRISMA_reasons!B2:B2113""))&lt;2,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$A532=IMPOR"&amp;"TRANGE(""https://docs.google.com/spreadsheets/d/1qpEmbGH0JjaJbUdp21-y2cPbobDbMjr09BbtdKROZWc/edit#gid=1444865654"",""articles_with_PRISMA_reasons!B2:B2113""))&gt;=2),
""Exclude""
)"),"Exclude")</f>
        <v>Exclude</v>
      </c>
      <c r="F532" s="5" t="str">
        <f>IFERROR(__xludf.DUMMYFUNCTION("IFS(
E532=""Exclude"",""Exclude"",
AND(
COUNTIF(
IMPORTRANGE(""https://docs.google.com/spreadsheets/d/1kGrh75X1cNR1D7_FcY9zMnHP8iPO4M5RCRjy6nZY0TY/edit#gid=0"",""Table 1: Study characteristics!B4:B171""),A532)&gt;0,
COUNTIF(Studies!$A$2:$A$85,FILTER(IMPORTRA"&amp;"NGE(""https://docs.google.com/spreadsheets/d/1kGrh75X1cNR1D7_FcY9zMnHP8iPO4M5RCRjy6nZY0TY/edit#gid=0"",""Table 1: Study characteristics!A4:A171""), $A532=IMPORTRANGE(""https://docs.google.com/spreadsheets/d/1kGrh75X1cNR1D7_FcY9zMnHP8iPO4M5RCRjy6nZY0TY/edi"&amp;"t#gid=0"",""Table 1: Study characteristics!B4:B171"")))&gt;0
),
""Include""
)"),"Exclude")</f>
        <v>Exclude</v>
      </c>
      <c r="G532" s="5" t="str">
        <f>IFERROR(__xludf.DUMMYFUNCTION("IFS(
D532=""Exclude"",
FILTER(IMPORTRANGE(""https://docs.google.com/spreadsheets/d/1BJSV3WBYJGRhQ6zExamkszQ5VutGIcaQqmbD9ZTVXMQ/edit#gid=1251630045"",""articles_with_PRISMA_reasons!AB2:AB2113""), $A532=IMPORTRANGE(""https://docs.google.com/spreadsheets/d/"&amp;"1BJSV3WBYJGRhQ6zExamkszQ5VutGIcaQqmbD9ZTVXMQ/edit#gid=1251630045"",""articles_with_PRISMA_reasons!B2:B2113"")),
E532=""Exclude"",
FILTER(IMPORTRANGE(""https://docs.google.com/spreadsheets/d/1qpEmbGH0JjaJbUdp21-y2cPbobDbMjr09BbtdKROZWc/edit#gid=1444865654"&amp;""",""articles_with_PRISMA_reasons!Z2:Z2113""), $A532=IMPORTRANGE(""https://docs.google.com/spreadsheets/d/1qpEmbGH0JjaJbUdp21-y2cPbobDbMjr09BbtdKROZWc/edit#gid=1444865654"",""articles_with_PRISMA_reasons!B2:B2113"")),F532
=""Include"",FILTER(IMPORTRANGE("&amp;"""https://docs.google.com/spreadsheets/d/1kGrh75X1cNR1D7_FcY9zMnHP8iPO4M5RCRjy6nZY0TY/edit#gid=0"",""Table 1: Study characteristics!A4:A171""), $A532=IMPORTRANGE(""https://docs.google.com/spreadsheets/d/1kGrh75X1cNR1D7_FcY9zMnHP8iPO4M5RCRjy6nZY0TY/edit#gi"&amp;"d=0"",""Table 1: Study characteristics!B4:B171""))
)"),"wrong study design")</f>
        <v>wrong study design</v>
      </c>
    </row>
    <row r="533">
      <c r="A533" s="4" t="str">
        <f>IFERROR(__xludf.DUMMYFUNCTION("""COMPUTED_VALUE"""),"Congenital anomalies of the central nervous system and their early detection")</f>
        <v>Congenital anomalies of the central nervous system and their early detection</v>
      </c>
      <c r="B533" s="5" t="str">
        <f>IFERROR(__xludf.DUMMYFUNCTION("LEFT(FILTER(IMPORTRANGE(""https://docs.google.com/spreadsheets/d/1BJSV3WBYJGRhQ6zExamkszQ5VutGIcaQqmbD9ZTVXMQ/edit#gid=1251630045"",""articles_with_PRISMA_reasons!K2:K2113""), $A533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$A533=IMPORTRANGE(""https://docs.google.com/spreadsheets/d/1BJSV3WBYJGRhQ6zExamkszQ5VutGIcaQqmbD9ZTVXMQ/edit#gid=1251630045"",""articles_with_PRISMA_reasons!B2:B2113"")))-1)"),"Pilic")</f>
        <v>Pilic</v>
      </c>
      <c r="C533" s="6">
        <f>IFERROR(__xludf.DUMMYFUNCTION("FILTER(IMPORTRANGE(""https://docs.google.com/spreadsheets/d/1BJSV3WBYJGRhQ6zExamkszQ5VutGIcaQqmbD9ZTVXMQ/edit#gid=1251630045"",""articles_with_PRISMA_reasons!C2:C2113""), $A533=IMPORTRANGE(""https://docs.google.com/spreadsheets/d/1BJSV3WBYJGRhQ6zExamkszQ5"&amp;"VutGIcaQqmbD9ZTVXMQ/edit#gid=1251630045"",""articles_with_PRISMA_reasons!B2:B2113""))"),1985.0)</f>
        <v>1985</v>
      </c>
      <c r="D533" s="5" t="str">
        <f>IFERROR(__xludf.DUMMYFUNCTION("IFS(AND(
FILTER(IMPORTRANGE(""https://docs.google.com/spreadsheets/d/1BJSV3WBYJGRhQ6zExamkszQ5VutGIcaQqmbD9ZTVXMQ/edit#gid=1251630045"",""articles_with_PRISMA_reasons!Y2:Y2113""), $A533=IMPORTRANGE(""https://docs.google.com/spreadsheets/d/1BJSV3WBYJGRhQ6z"&amp;"ExamkszQ5VutGIcaQqmbD9ZTVXMQ/edit#gid=1251630045"",""articles_with_PRISMA_reasons!B2:B2113""))&gt;=2,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$A533=IMPORTRANGE(""https://docs.google.com/spreadsheets/d/1BJSV3WBYJGRhQ6zExamkszQ5VutGIcaQqmbD9ZTVXMQ/edit#gid=1251630045"",""articles_with_PRISMA_reasons!B2:B2113""))&lt;2),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$A533=IMPORTRANGE(""https://docs.google.com/spreadsheets/d/1BJSV3WBYJGRhQ6zExamkszQ5VutGIcaQqmbD9ZTVXMQ/edit#gid=1251630045"",""arti"&amp;"cles_with_PRISMA_reasons!B2:B2113""))&lt;2,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$A533=IMPORTRANGE(""https://docs.google.com"&amp;"/spreadsheets/d/1BJSV3WBYJGRhQ6zExamkszQ5VutGIcaQqmbD9ZTVXMQ/edit#gid=1251630045"",""articles_with_PRISMA_reasons!B2:B2113""))&gt;=2),
""Exclude""
)"),"Exclude")</f>
        <v>Exclude</v>
      </c>
      <c r="E533" s="5" t="str">
        <f>IFERROR(__xludf.DUMMYFUNCTION("IFS(
D533=""Exclude"",""Exclude"",
AND(
FILTER(IMPORTRANGE(""https://docs.google.com/spreadsheets/d/1qpEmbGH0JjaJbUdp21-y2cPbobDbMjr09BbtdKROZWc/edit#gid=1444865654"",""articles_with_PRISMA_reasons!W2:W2113""), $A533=IMPORTRANGE(""https://docs.google.com/"&amp;"spreadsheets/d/1qpEmbGH0JjaJbUdp21-y2cPbobDbMjr09BbtdKROZWc/edit#gid=1444865654"",""articles_with_PRISMA_reasons!B2:B2113""))&gt;=2,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$A533=IMPORTRANGE(""https://docs.google.com/spreadsheets/d/1qpEmbGH0JjaJbUdp21-y2cPbobDbMjr09BbtdKROZWc/edit#gid=1444865654"",""articles_with_PRISMA_reasons!B2:B2113""))&lt;2),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$A533=IMPORTRANGE(""https://docs.google.com/spreadsheets/d/1qpEmbGH0JjaJbUdp21-y2cPbobDbMjr09BbtdKRO"&amp;"ZWc/edit#gid=1444865654"",""articles_with_PRISMA_reasons!B2:B2113""))&lt;2,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$A533=IMPOR"&amp;"TRANGE(""https://docs.google.com/spreadsheets/d/1qpEmbGH0JjaJbUdp21-y2cPbobDbMjr09BbtdKROZWc/edit#gid=1444865654"",""articles_with_PRISMA_reasons!B2:B2113""))&gt;=2),
""Exclude""
)"),"Exclude")</f>
        <v>Exclude</v>
      </c>
      <c r="F533" s="5" t="str">
        <f>IFERROR(__xludf.DUMMYFUNCTION("IFS(
E533=""Exclude"",""Exclude"",
AND(
COUNTIF(
IMPORTRANGE(""https://docs.google.com/spreadsheets/d/1kGrh75X1cNR1D7_FcY9zMnHP8iPO4M5RCRjy6nZY0TY/edit#gid=0"",""Table 1: Study characteristics!B4:B171""),A533)&gt;0,
COUNTIF(Studies!$A$2:$A$85,FILTER(IMPORTRA"&amp;"NGE(""https://docs.google.com/spreadsheets/d/1kGrh75X1cNR1D7_FcY9zMnHP8iPO4M5RCRjy6nZY0TY/edit#gid=0"",""Table 1: Study characteristics!A4:A171""), $A533=IMPORTRANGE(""https://docs.google.com/spreadsheets/d/1kGrh75X1cNR1D7_FcY9zMnHP8iPO4M5RCRjy6nZY0TY/edi"&amp;"t#gid=0"",""Table 1: Study characteristics!B4:B171"")))&gt;0
),
""Include""
)"),"Exclude")</f>
        <v>Exclude</v>
      </c>
      <c r="G533" s="5" t="str">
        <f>IFERROR(__xludf.DUMMYFUNCTION("IFS(
D533=""Exclude"",
FILTER(IMPORTRANGE(""https://docs.google.com/spreadsheets/d/1BJSV3WBYJGRhQ6zExamkszQ5VutGIcaQqmbD9ZTVXMQ/edit#gid=1251630045"",""articles_with_PRISMA_reasons!AB2:AB2113""), $A533=IMPORTRANGE(""https://docs.google.com/spreadsheets/d/"&amp;"1BJSV3WBYJGRhQ6zExamkszQ5VutGIcaQqmbD9ZTVXMQ/edit#gid=1251630045"",""articles_with_PRISMA_reasons!B2:B2113"")),
E533=""Exclude"",
FILTER(IMPORTRANGE(""https://docs.google.com/spreadsheets/d/1qpEmbGH0JjaJbUdp21-y2cPbobDbMjr09BbtdKROZWc/edit#gid=1444865654"&amp;""",""articles_with_PRISMA_reasons!Z2:Z2113""), $A533=IMPORTRANGE(""https://docs.google.com/spreadsheets/d/1qpEmbGH0JjaJbUdp21-y2cPbobDbMjr09BbtdKROZWc/edit#gid=1444865654"",""articles_with_PRISMA_reasons!B2:B2113"")),F533
=""Include"",FILTER(IMPORTRANGE("&amp;"""https://docs.google.com/spreadsheets/d/1kGrh75X1cNR1D7_FcY9zMnHP8iPO4M5RCRjy6nZY0TY/edit#gid=0"",""Table 1: Study characteristics!A4:A171""), $A533=IMPORTRANGE(""https://docs.google.com/spreadsheets/d/1kGrh75X1cNR1D7_FcY9zMnHP8iPO4M5RCRjy6nZY0TY/edit#gi"&amp;"d=0"",""Table 1: Study characteristics!B4:B171""))
)"),"wrong study design")</f>
        <v>wrong study design</v>
      </c>
    </row>
    <row r="534">
      <c r="A534" s="4" t="str">
        <f>IFERROR(__xludf.DUMMYFUNCTION("""COMPUTED_VALUE"""),"Congenital anomalies of the central nervous system in autopsy specimens")</f>
        <v>Congenital anomalies of the central nervous system in autopsy specimens</v>
      </c>
      <c r="B534" s="5" t="str">
        <f>IFERROR(__xludf.DUMMYFUNCTION("LEFT(FILTER(IMPORTRANGE(""https://docs.google.com/spreadsheets/d/1BJSV3WBYJGRhQ6zExamkszQ5VutGIcaQqmbD9ZTVXMQ/edit#gid=1251630045"",""articles_with_PRISMA_reasons!K2:K2113""), $A534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$A534=IMPORTRANGE(""https://docs.google.com/spreadsheets/d/1BJSV3WBYJGRhQ6zExamkszQ5VutGIcaQqmbD9ZTVXMQ/edit#gid=1251630045"",""articles_with_PRISMA_reasons!B2:B2113"")))-1)"),"Sobaniec-Lotowska")</f>
        <v>Sobaniec-Lotowska</v>
      </c>
      <c r="C534" s="6">
        <f>IFERROR(__xludf.DUMMYFUNCTION("FILTER(IMPORTRANGE(""https://docs.google.com/spreadsheets/d/1BJSV3WBYJGRhQ6zExamkszQ5VutGIcaQqmbD9ZTVXMQ/edit#gid=1251630045"",""articles_with_PRISMA_reasons!C2:C2113""), $A534=IMPORTRANGE(""https://docs.google.com/spreadsheets/d/1BJSV3WBYJGRhQ6zExamkszQ5"&amp;"VutGIcaQqmbD9ZTVXMQ/edit#gid=1251630045"",""articles_with_PRISMA_reasons!B2:B2113""))"),1989.0)</f>
        <v>1989</v>
      </c>
      <c r="D534" s="5" t="str">
        <f>IFERROR(__xludf.DUMMYFUNCTION("IFS(AND(
FILTER(IMPORTRANGE(""https://docs.google.com/spreadsheets/d/1BJSV3WBYJGRhQ6zExamkszQ5VutGIcaQqmbD9ZTVXMQ/edit#gid=1251630045"",""articles_with_PRISMA_reasons!Y2:Y2113""), $A534=IMPORTRANGE(""https://docs.google.com/spreadsheets/d/1BJSV3WBYJGRhQ6z"&amp;"ExamkszQ5VutGIcaQqmbD9ZTVXMQ/edit#gid=1251630045"",""articles_with_PRISMA_reasons!B2:B2113""))&gt;=2,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$A534=IMPORTRANGE(""https://docs.google.com/spreadsheets/d/1BJSV3WBYJGRhQ6zExamkszQ5VutGIcaQqmbD9ZTVXMQ/edit#gid=1251630045"",""articles_with_PRISMA_reasons!B2:B2113""))&lt;2),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$A534=IMPORTRANGE(""https://docs.google.com/spreadsheets/d/1BJSV3WBYJGRhQ6zExamkszQ5VutGIcaQqmbD9ZTVXMQ/edit#gid=1251630045"",""arti"&amp;"cles_with_PRISMA_reasons!B2:B2113""))&lt;2,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$A534=IMPORTRANGE(""https://docs.google.com"&amp;"/spreadsheets/d/1BJSV3WBYJGRhQ6zExamkszQ5VutGIcaQqmbD9ZTVXMQ/edit#gid=1251630045"",""articles_with_PRISMA_reasons!B2:B2113""))&gt;=2),
""Exclude""
)"),"Exclude")</f>
        <v>Exclude</v>
      </c>
      <c r="E534" s="5" t="str">
        <f>IFERROR(__xludf.DUMMYFUNCTION("IFS(
D534=""Exclude"",""Exclude"",
AND(
FILTER(IMPORTRANGE(""https://docs.google.com/spreadsheets/d/1qpEmbGH0JjaJbUdp21-y2cPbobDbMjr09BbtdKROZWc/edit#gid=1444865654"",""articles_with_PRISMA_reasons!W2:W2113""), $A534=IMPORTRANGE(""https://docs.google.com/"&amp;"spreadsheets/d/1qpEmbGH0JjaJbUdp21-y2cPbobDbMjr09BbtdKROZWc/edit#gid=1444865654"",""articles_with_PRISMA_reasons!B2:B2113""))&gt;=2,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$A534=IMPORTRANGE(""https://docs.google.com/spreadsheets/d/1qpEmbGH0JjaJbUdp21-y2cPbobDbMjr09BbtdKROZWc/edit#gid=1444865654"",""articles_with_PRISMA_reasons!B2:B2113""))&lt;2),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$A534=IMPORTRANGE(""https://docs.google.com/spreadsheets/d/1qpEmbGH0JjaJbUdp21-y2cPbobDbMjr09BbtdKRO"&amp;"ZWc/edit#gid=1444865654"",""articles_with_PRISMA_reasons!B2:B2113""))&lt;2,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$A534=IMPOR"&amp;"TRANGE(""https://docs.google.com/spreadsheets/d/1qpEmbGH0JjaJbUdp21-y2cPbobDbMjr09BbtdKROZWc/edit#gid=1444865654"",""articles_with_PRISMA_reasons!B2:B2113""))&gt;=2),
""Exclude""
)"),"Exclude")</f>
        <v>Exclude</v>
      </c>
      <c r="F534" s="5" t="str">
        <f>IFERROR(__xludf.DUMMYFUNCTION("IFS(
E534=""Exclude"",""Exclude"",
AND(
COUNTIF(
IMPORTRANGE(""https://docs.google.com/spreadsheets/d/1kGrh75X1cNR1D7_FcY9zMnHP8iPO4M5RCRjy6nZY0TY/edit#gid=0"",""Table 1: Study characteristics!B4:B171""),A534)&gt;0,
COUNTIF(Studies!$A$2:$A$85,FILTER(IMPORTRA"&amp;"NGE(""https://docs.google.com/spreadsheets/d/1kGrh75X1cNR1D7_FcY9zMnHP8iPO4M5RCRjy6nZY0TY/edit#gid=0"",""Table 1: Study characteristics!A4:A171""), $A534=IMPORTRANGE(""https://docs.google.com/spreadsheets/d/1kGrh75X1cNR1D7_FcY9zMnHP8iPO4M5RCRjy6nZY0TY/edi"&amp;"t#gid=0"",""Table 1: Study characteristics!B4:B171"")))&gt;0
),
""Include""
)"),"Exclude")</f>
        <v>Exclude</v>
      </c>
      <c r="G534" s="5" t="str">
        <f>IFERROR(__xludf.DUMMYFUNCTION("IFS(
D534=""Exclude"",
FILTER(IMPORTRANGE(""https://docs.google.com/spreadsheets/d/1BJSV3WBYJGRhQ6zExamkszQ5VutGIcaQqmbD9ZTVXMQ/edit#gid=1251630045"",""articles_with_PRISMA_reasons!AB2:AB2113""), $A534=IMPORTRANGE(""https://docs.google.com/spreadsheets/d/"&amp;"1BJSV3WBYJGRhQ6zExamkszQ5VutGIcaQqmbD9ZTVXMQ/edit#gid=1251630045"",""articles_with_PRISMA_reasons!B2:B2113"")),
E534=""Exclude"",
FILTER(IMPORTRANGE(""https://docs.google.com/spreadsheets/d/1qpEmbGH0JjaJbUdp21-y2cPbobDbMjr09BbtdKROZWc/edit#gid=1444865654"&amp;""",""articles_with_PRISMA_reasons!Z2:Z2113""), $A534=IMPORTRANGE(""https://docs.google.com/spreadsheets/d/1qpEmbGH0JjaJbUdp21-y2cPbobDbMjr09BbtdKROZWc/edit#gid=1444865654"",""articles_with_PRISMA_reasons!B2:B2113"")),F534
=""Include"",FILTER(IMPORTRANGE("&amp;"""https://docs.google.com/spreadsheets/d/1kGrh75X1cNR1D7_FcY9zMnHP8iPO4M5RCRjy6nZY0TY/edit#gid=0"",""Table 1: Study characteristics!A4:A171""), $A534=IMPORTRANGE(""https://docs.google.com/spreadsheets/d/1kGrh75X1cNR1D7_FcY9zMnHP8iPO4M5RCRjy6nZY0TY/edit#gi"&amp;"d=0"",""Table 1: Study characteristics!B4:B171""))
)"),"wrong population")</f>
        <v>wrong population</v>
      </c>
    </row>
    <row r="535">
      <c r="A535" s="4" t="str">
        <f>IFERROR(__xludf.DUMMYFUNCTION("""COMPUTED_VALUE"""),"Congenital central nervous system anomalies: Ten-year single center experience on a challenging issue in perinatal medicine")</f>
        <v>Congenital central nervous system anomalies: Ten-year single center experience on a challenging issue in perinatal medicine</v>
      </c>
      <c r="B535" s="5" t="str">
        <f>IFERROR(__xludf.DUMMYFUNCTION("LEFT(FILTER(IMPORTRANGE(""https://docs.google.com/spreadsheets/d/1BJSV3WBYJGRhQ6zExamkszQ5VutGIcaQqmbD9ZTVXMQ/edit#gid=1251630045"",""articles_with_PRISMA_reasons!K2:K2113""), $A535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$A535=IMPORTRANGE(""https://docs.google.com/spreadsheets/d/1BJSV3WBYJGRhQ6zExamkszQ5VutGIcaQqmbD9ZTVXMQ/edit#gid=1251630045"",""articles_with_PRISMA_reasons!B2:B2113"")))-1)"),"Aydin")</f>
        <v>Aydin</v>
      </c>
      <c r="C535" s="6">
        <f>IFERROR(__xludf.DUMMYFUNCTION("FILTER(IMPORTRANGE(""https://docs.google.com/spreadsheets/d/1BJSV3WBYJGRhQ6zExamkszQ5VutGIcaQqmbD9ZTVXMQ/edit#gid=1251630045"",""articles_with_PRISMA_reasons!C2:C2113""), $A535=IMPORTRANGE(""https://docs.google.com/spreadsheets/d/1BJSV3WBYJGRhQ6zExamkszQ5"&amp;"VutGIcaQqmbD9ZTVXMQ/edit#gid=1251630045"",""articles_with_PRISMA_reasons!B2:B2113""))"),2019.0)</f>
        <v>2019</v>
      </c>
      <c r="D535" s="5" t="str">
        <f>IFERROR(__xludf.DUMMYFUNCTION("IFS(AND(
FILTER(IMPORTRANGE(""https://docs.google.com/spreadsheets/d/1BJSV3WBYJGRhQ6zExamkszQ5VutGIcaQqmbD9ZTVXMQ/edit#gid=1251630045"",""articles_with_PRISMA_reasons!Y2:Y2113""), $A535=IMPORTRANGE(""https://docs.google.com/spreadsheets/d/1BJSV3WBYJGRhQ6z"&amp;"ExamkszQ5VutGIcaQqmbD9ZTVXMQ/edit#gid=1251630045"",""articles_with_PRISMA_reasons!B2:B2113""))&gt;=2,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$A535=IMPORTRANGE(""https://docs.google.com/spreadsheets/d/1BJSV3WBYJGRhQ6zExamkszQ5VutGIcaQqmbD9ZTVXMQ/edit#gid=1251630045"",""articles_with_PRISMA_reasons!B2:B2113""))&lt;2),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$A535=IMPORTRANGE(""https://docs.google.com/spreadsheets/d/1BJSV3WBYJGRhQ6zExamkszQ5VutGIcaQqmbD9ZTVXMQ/edit#gid=1251630045"",""arti"&amp;"cles_with_PRISMA_reasons!B2:B2113""))&lt;2,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$A535=IMPORTRANGE(""https://docs.google.com"&amp;"/spreadsheets/d/1BJSV3WBYJGRhQ6zExamkszQ5VutGIcaQqmbD9ZTVXMQ/edit#gid=1251630045"",""articles_with_PRISMA_reasons!B2:B2113""))&gt;=2),
""Exclude""
)"),"Exclude")</f>
        <v>Exclude</v>
      </c>
      <c r="E535" s="5" t="str">
        <f>IFERROR(__xludf.DUMMYFUNCTION("IFS(
D535=""Exclude"",""Exclude"",
AND(
FILTER(IMPORTRANGE(""https://docs.google.com/spreadsheets/d/1qpEmbGH0JjaJbUdp21-y2cPbobDbMjr09BbtdKROZWc/edit#gid=1444865654"",""articles_with_PRISMA_reasons!W2:W2113""), $A535=IMPORTRANGE(""https://docs.google.com/"&amp;"spreadsheets/d/1qpEmbGH0JjaJbUdp21-y2cPbobDbMjr09BbtdKROZWc/edit#gid=1444865654"",""articles_with_PRISMA_reasons!B2:B2113""))&gt;=2,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$A535=IMPORTRANGE(""https://docs.google.com/spreadsheets/d/1qpEmbGH0JjaJbUdp21-y2cPbobDbMjr09BbtdKROZWc/edit#gid=1444865654"",""articles_with_PRISMA_reasons!B2:B2113""))&lt;2),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$A535=IMPORTRANGE(""https://docs.google.com/spreadsheets/d/1qpEmbGH0JjaJbUdp21-y2cPbobDbMjr09BbtdKRO"&amp;"ZWc/edit#gid=1444865654"",""articles_with_PRISMA_reasons!B2:B2113""))&lt;2,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$A535=IMPOR"&amp;"TRANGE(""https://docs.google.com/spreadsheets/d/1qpEmbGH0JjaJbUdp21-y2cPbobDbMjr09BbtdKROZWc/edit#gid=1444865654"",""articles_with_PRISMA_reasons!B2:B2113""))&gt;=2),
""Exclude""
)"),"Exclude")</f>
        <v>Exclude</v>
      </c>
      <c r="F535" s="5" t="str">
        <f>IFERROR(__xludf.DUMMYFUNCTION("IFS(
E535=""Exclude"",""Exclude"",
AND(
COUNTIF(
IMPORTRANGE(""https://docs.google.com/spreadsheets/d/1kGrh75X1cNR1D7_FcY9zMnHP8iPO4M5RCRjy6nZY0TY/edit#gid=0"",""Table 1: Study characteristics!B4:B171""),A535)&gt;0,
COUNTIF(Studies!$A$2:$A$85,FILTER(IMPORTRA"&amp;"NGE(""https://docs.google.com/spreadsheets/d/1kGrh75X1cNR1D7_FcY9zMnHP8iPO4M5RCRjy6nZY0TY/edit#gid=0"",""Table 1: Study characteristics!A4:A171""), $A535=IMPORTRANGE(""https://docs.google.com/spreadsheets/d/1kGrh75X1cNR1D7_FcY9zMnHP8iPO4M5RCRjy6nZY0TY/edi"&amp;"t#gid=0"",""Table 1: Study characteristics!B4:B171"")))&gt;0
),
""Include""
)"),"Exclude")</f>
        <v>Exclude</v>
      </c>
      <c r="G535" s="5" t="str">
        <f>IFERROR(__xludf.DUMMYFUNCTION("IFS(
D535=""Exclude"",
FILTER(IMPORTRANGE(""https://docs.google.com/spreadsheets/d/1BJSV3WBYJGRhQ6zExamkszQ5VutGIcaQqmbD9ZTVXMQ/edit#gid=1251630045"",""articles_with_PRISMA_reasons!AB2:AB2113""), $A535=IMPORTRANGE(""https://docs.google.com/spreadsheets/d/"&amp;"1BJSV3WBYJGRhQ6zExamkszQ5VutGIcaQqmbD9ZTVXMQ/edit#gid=1251630045"",""articles_with_PRISMA_reasons!B2:B2113"")),
E535=""Exclude"",
FILTER(IMPORTRANGE(""https://docs.google.com/spreadsheets/d/1qpEmbGH0JjaJbUdp21-y2cPbobDbMjr09BbtdKROZWc/edit#gid=1444865654"&amp;""",""articles_with_PRISMA_reasons!Z2:Z2113""), $A535=IMPORTRANGE(""https://docs.google.com/spreadsheets/d/1qpEmbGH0JjaJbUdp21-y2cPbobDbMjr09BbtdKROZWc/edit#gid=1444865654"",""articles_with_PRISMA_reasons!B2:B2113"")),F535
=""Include"",FILTER(IMPORTRANGE("&amp;"""https://docs.google.com/spreadsheets/d/1kGrh75X1cNR1D7_FcY9zMnHP8iPO4M5RCRjy6nZY0TY/edit#gid=0"",""Table 1: Study characteristics!A4:A171""), $A535=IMPORTRANGE(""https://docs.google.com/spreadsheets/d/1kGrh75X1cNR1D7_FcY9zMnHP8iPO4M5RCRjy6nZY0TY/edit#gi"&amp;"d=0"",""Table 1: Study characteristics!B4:B171""))
)"),"wrong population")</f>
        <v>wrong population</v>
      </c>
    </row>
    <row r="536">
      <c r="A536" s="4" t="str">
        <f>IFERROR(__xludf.DUMMYFUNCTION("""COMPUTED_VALUE"""),"Congenital displacement of temporal cortex into the central spinal canal")</f>
        <v>Congenital displacement of temporal cortex into the central spinal canal</v>
      </c>
      <c r="B536" s="5" t="str">
        <f>IFERROR(__xludf.DUMMYFUNCTION("LEFT(FILTER(IMPORTRANGE(""https://docs.google.com/spreadsheets/d/1BJSV3WBYJGRhQ6zExamkszQ5VutGIcaQqmbD9ZTVXMQ/edit#gid=1251630045"",""articles_with_PRISMA_reasons!K2:K2113""), $A536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$A536=IMPORTRANGE(""https://docs.google.com/spreadsheets/d/1BJSV3WBYJGRhQ6zExamkszQ5VutGIcaQqmbD9ZTVXMQ/edit#gid=1251630045"",""articles_with_PRISMA_reasons!B2:B2113"")))-1)"),"Silver")</f>
        <v>Silver</v>
      </c>
      <c r="C536" s="6">
        <f>IFERROR(__xludf.DUMMYFUNCTION("FILTER(IMPORTRANGE(""https://docs.google.com/spreadsheets/d/1BJSV3WBYJGRhQ6zExamkszQ5VutGIcaQqmbD9ZTVXMQ/edit#gid=1251630045"",""articles_with_PRISMA_reasons!C2:C2113""), $A536=IMPORTRANGE(""https://docs.google.com/spreadsheets/d/1BJSV3WBYJGRhQ6zExamkszQ5"&amp;"VutGIcaQqmbD9ZTVXMQ/edit#gid=1251630045"",""articles_with_PRISMA_reasons!B2:B2113""))"),1975.0)</f>
        <v>1975</v>
      </c>
      <c r="D536" s="5" t="str">
        <f>IFERROR(__xludf.DUMMYFUNCTION("IFS(AND(
FILTER(IMPORTRANGE(""https://docs.google.com/spreadsheets/d/1BJSV3WBYJGRhQ6zExamkszQ5VutGIcaQqmbD9ZTVXMQ/edit#gid=1251630045"",""articles_with_PRISMA_reasons!Y2:Y2113""), $A536=IMPORTRANGE(""https://docs.google.com/spreadsheets/d/1BJSV3WBYJGRhQ6z"&amp;"ExamkszQ5VutGIcaQqmbD9ZTVXMQ/edit#gid=1251630045"",""articles_with_PRISMA_reasons!B2:B2113""))&gt;=2,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$A536=IMPORTRANGE(""https://docs.google.com/spreadsheets/d/1BJSV3WBYJGRhQ6zExamkszQ5VutGIcaQqmbD9ZTVXMQ/edit#gid=1251630045"",""articles_with_PRISMA_reasons!B2:B2113""))&lt;2),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$A536=IMPORTRANGE(""https://docs.google.com/spreadsheets/d/1BJSV3WBYJGRhQ6zExamkszQ5VutGIcaQqmbD9ZTVXMQ/edit#gid=1251630045"",""arti"&amp;"cles_with_PRISMA_reasons!B2:B2113""))&lt;2,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$A536=IMPORTRANGE(""https://docs.google.com"&amp;"/spreadsheets/d/1BJSV3WBYJGRhQ6zExamkszQ5VutGIcaQqmbD9ZTVXMQ/edit#gid=1251630045"",""articles_with_PRISMA_reasons!B2:B2113""))&gt;=2),
""Exclude""
)"),"Exclude")</f>
        <v>Exclude</v>
      </c>
      <c r="E536" s="5" t="str">
        <f>IFERROR(__xludf.DUMMYFUNCTION("IFS(
D536=""Exclude"",""Exclude"",
AND(
FILTER(IMPORTRANGE(""https://docs.google.com/spreadsheets/d/1qpEmbGH0JjaJbUdp21-y2cPbobDbMjr09BbtdKROZWc/edit#gid=1444865654"",""articles_with_PRISMA_reasons!W2:W2113""), $A536=IMPORTRANGE(""https://docs.google.com/"&amp;"spreadsheets/d/1qpEmbGH0JjaJbUdp21-y2cPbobDbMjr09BbtdKROZWc/edit#gid=1444865654"",""articles_with_PRISMA_reasons!B2:B2113""))&gt;=2,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$A536=IMPORTRANGE(""https://docs.google.com/spreadsheets/d/1qpEmbGH0JjaJbUdp21-y2cPbobDbMjr09BbtdKROZWc/edit#gid=1444865654"",""articles_with_PRISMA_reasons!B2:B2113""))&lt;2),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$A536=IMPORTRANGE(""https://docs.google.com/spreadsheets/d/1qpEmbGH0JjaJbUdp21-y2cPbobDbMjr09BbtdKRO"&amp;"ZWc/edit#gid=1444865654"",""articles_with_PRISMA_reasons!B2:B2113""))&lt;2,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$A536=IMPOR"&amp;"TRANGE(""https://docs.google.com/spreadsheets/d/1qpEmbGH0JjaJbUdp21-y2cPbobDbMjr09BbtdKROZWc/edit#gid=1444865654"",""articles_with_PRISMA_reasons!B2:B2113""))&gt;=2),
""Exclude""
)"),"Exclude")</f>
        <v>Exclude</v>
      </c>
      <c r="F536" s="5" t="str">
        <f>IFERROR(__xludf.DUMMYFUNCTION("IFS(
E536=""Exclude"",""Exclude"",
AND(
COUNTIF(
IMPORTRANGE(""https://docs.google.com/spreadsheets/d/1kGrh75X1cNR1D7_FcY9zMnHP8iPO4M5RCRjy6nZY0TY/edit#gid=0"",""Table 1: Study characteristics!B4:B171""),A536)&gt;0,
COUNTIF(Studies!$A$2:$A$85,FILTER(IMPORTRA"&amp;"NGE(""https://docs.google.com/spreadsheets/d/1kGrh75X1cNR1D7_FcY9zMnHP8iPO4M5RCRjy6nZY0TY/edit#gid=0"",""Table 1: Study characteristics!A4:A171""), $A536=IMPORTRANGE(""https://docs.google.com/spreadsheets/d/1kGrh75X1cNR1D7_FcY9zMnHP8iPO4M5RCRjy6nZY0TY/edi"&amp;"t#gid=0"",""Table 1: Study characteristics!B4:B171"")))&gt;0
),
""Include""
)"),"Exclude")</f>
        <v>Exclude</v>
      </c>
      <c r="G536" s="5" t="str">
        <f>IFERROR(__xludf.DUMMYFUNCTION("IFS(
D536=""Exclude"",
FILTER(IMPORTRANGE(""https://docs.google.com/spreadsheets/d/1BJSV3WBYJGRhQ6zExamkszQ5VutGIcaQqmbD9ZTVXMQ/edit#gid=1251630045"",""articles_with_PRISMA_reasons!AB2:AB2113""), $A536=IMPORTRANGE(""https://docs.google.com/spreadsheets/d/"&amp;"1BJSV3WBYJGRhQ6zExamkszQ5VutGIcaQqmbD9ZTVXMQ/edit#gid=1251630045"",""articles_with_PRISMA_reasons!B2:B2113"")),
E536=""Exclude"",
FILTER(IMPORTRANGE(""https://docs.google.com/spreadsheets/d/1qpEmbGH0JjaJbUdp21-y2cPbobDbMjr09BbtdKROZWc/edit#gid=1444865654"&amp;""",""articles_with_PRISMA_reasons!Z2:Z2113""), $A536=IMPORTRANGE(""https://docs.google.com/spreadsheets/d/1qpEmbGH0JjaJbUdp21-y2cPbobDbMjr09BbtdKROZWc/edit#gid=1444865654"",""articles_with_PRISMA_reasons!B2:B2113"")),F536
=""Include"",FILTER(IMPORTRANGE("&amp;"""https://docs.google.com/spreadsheets/d/1kGrh75X1cNR1D7_FcY9zMnHP8iPO4M5RCRjy6nZY0TY/edit#gid=0"",""Table 1: Study characteristics!A4:A171""), $A536=IMPORTRANGE(""https://docs.google.com/spreadsheets/d/1kGrh75X1cNR1D7_FcY9zMnHP8iPO4M5RCRjy6nZY0TY/edit#gi"&amp;"d=0"",""Table 1: Study characteristics!B4:B171""))
)"),"wrong study design")</f>
        <v>wrong study design</v>
      </c>
    </row>
    <row r="537">
      <c r="A537" s="4" t="str">
        <f>IFERROR(__xludf.DUMMYFUNCTION("""COMPUTED_VALUE"""),"Congenital hydrocephalus")</f>
        <v>Congenital hydrocephalus</v>
      </c>
      <c r="B537" s="5" t="str">
        <f>IFERROR(__xludf.DUMMYFUNCTION("LEFT(FILTER(IMPORTRANGE(""https://docs.google.com/spreadsheets/d/1BJSV3WBYJGRhQ6zExamkszQ5VutGIcaQqmbD9ZTVXMQ/edit#gid=1251630045"",""articles_with_PRISMA_reasons!K2:K2113""), $A537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$A537=IMPORTRANGE(""https://docs.google.com/spreadsheets/d/1BJSV3WBYJGRhQ6zExamkszQ5VutGIcaQqmbD9ZTVXMQ/edit#gid=1251630045"",""articles_with_PRISMA_reasons!B2:B2113"")))-1)"),"Partington")</f>
        <v>Partington</v>
      </c>
      <c r="C537" s="6" t="str">
        <f>IFERROR(__xludf.DUMMYFUNCTION("FILTER(IMPORTRANGE(""https://docs.google.com/spreadsheets/d/1BJSV3WBYJGRhQ6zExamkszQ5VutGIcaQqmbD9ZTVXMQ/edit#gid=1251630045"",""articles_with_PRISMA_reasons!C2:C2113""), $A537=IMPORTRANGE(""https://docs.google.com/spreadsheets/d/1BJSV3WBYJGRhQ6zExamkszQ5"&amp;"VutGIcaQqmbD9ZTVXMQ/edit#gid=1251630045"",""articles_with_PRISMA_reasons!B2:B2113""))"),"Oct")</f>
        <v>Oct</v>
      </c>
      <c r="D537" s="5" t="str">
        <f>IFERROR(__xludf.DUMMYFUNCTION("IFS(AND(
FILTER(IMPORTRANGE(""https://docs.google.com/spreadsheets/d/1BJSV3WBYJGRhQ6zExamkszQ5VutGIcaQqmbD9ZTVXMQ/edit#gid=1251630045"",""articles_with_PRISMA_reasons!Y2:Y2113""), $A537=IMPORTRANGE(""https://docs.google.com/spreadsheets/d/1BJSV3WBYJGRhQ6z"&amp;"ExamkszQ5VutGIcaQqmbD9ZTVXMQ/edit#gid=1251630045"",""articles_with_PRISMA_reasons!B2:B2113""))&gt;=2,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$A537=IMPORTRANGE(""https://docs.google.com/spreadsheets/d/1BJSV3WBYJGRhQ6zExamkszQ5VutGIcaQqmbD9ZTVXMQ/edit#gid=1251630045"",""articles_with_PRISMA_reasons!B2:B2113""))&lt;2),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$A537=IMPORTRANGE(""https://docs.google.com/spreadsheets/d/1BJSV3WBYJGRhQ6zExamkszQ5VutGIcaQqmbD9ZTVXMQ/edit#gid=1251630045"",""arti"&amp;"cles_with_PRISMA_reasons!B2:B2113""))&lt;2,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$A537=IMPORTRANGE(""https://docs.google.com"&amp;"/spreadsheets/d/1BJSV3WBYJGRhQ6zExamkszQ5VutGIcaQqmbD9ZTVXMQ/edit#gid=1251630045"",""articles_with_PRISMA_reasons!B2:B2113""))&gt;=2),
""Exclude""
)"),"Exclude")</f>
        <v>Exclude</v>
      </c>
      <c r="E537" s="5" t="str">
        <f>IFERROR(__xludf.DUMMYFUNCTION("IFS(
D537=""Exclude"",""Exclude"",
AND(
FILTER(IMPORTRANGE(""https://docs.google.com/spreadsheets/d/1qpEmbGH0JjaJbUdp21-y2cPbobDbMjr09BbtdKROZWc/edit#gid=1444865654"",""articles_with_PRISMA_reasons!W2:W2113""), $A537=IMPORTRANGE(""https://docs.google.com/"&amp;"spreadsheets/d/1qpEmbGH0JjaJbUdp21-y2cPbobDbMjr09BbtdKROZWc/edit#gid=1444865654"",""articles_with_PRISMA_reasons!B2:B2113""))&gt;=2,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$A537=IMPORTRANGE(""https://docs.google.com/spreadsheets/d/1qpEmbGH0JjaJbUdp21-y2cPbobDbMjr09BbtdKROZWc/edit#gid=1444865654"",""articles_with_PRISMA_reasons!B2:B2113""))&lt;2),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$A537=IMPORTRANGE(""https://docs.google.com/spreadsheets/d/1qpEmbGH0JjaJbUdp21-y2cPbobDbMjr09BbtdKRO"&amp;"ZWc/edit#gid=1444865654"",""articles_with_PRISMA_reasons!B2:B2113""))&lt;2,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$A537=IMPOR"&amp;"TRANGE(""https://docs.google.com/spreadsheets/d/1qpEmbGH0JjaJbUdp21-y2cPbobDbMjr09BbtdKROZWc/edit#gid=1444865654"",""articles_with_PRISMA_reasons!B2:B2113""))&gt;=2),
""Exclude""
)"),"Exclude")</f>
        <v>Exclude</v>
      </c>
      <c r="F537" s="5" t="str">
        <f>IFERROR(__xludf.DUMMYFUNCTION("IFS(
E537=""Exclude"",""Exclude"",
AND(
COUNTIF(
IMPORTRANGE(""https://docs.google.com/spreadsheets/d/1kGrh75X1cNR1D7_FcY9zMnHP8iPO4M5RCRjy6nZY0TY/edit#gid=0"",""Table 1: Study characteristics!B4:B171""),A537)&gt;0,
COUNTIF(Studies!$A$2:$A$85,FILTER(IMPORTRA"&amp;"NGE(""https://docs.google.com/spreadsheets/d/1kGrh75X1cNR1D7_FcY9zMnHP8iPO4M5RCRjy6nZY0TY/edit#gid=0"",""Table 1: Study characteristics!A4:A171""), $A537=IMPORTRANGE(""https://docs.google.com/spreadsheets/d/1kGrh75X1cNR1D7_FcY9zMnHP8iPO4M5RCRjy6nZY0TY/edi"&amp;"t#gid=0"",""Table 1: Study characteristics!B4:B171"")))&gt;0
),
""Include""
)"),"Exclude")</f>
        <v>Exclude</v>
      </c>
      <c r="G537" s="5" t="str">
        <f>IFERROR(__xludf.DUMMYFUNCTION("IFS(
D537=""Exclude"",
FILTER(IMPORTRANGE(""https://docs.google.com/spreadsheets/d/1BJSV3WBYJGRhQ6zExamkszQ5VutGIcaQqmbD9ZTVXMQ/edit#gid=1251630045"",""articles_with_PRISMA_reasons!AB2:AB2113""), $A537=IMPORTRANGE(""https://docs.google.com/spreadsheets/d/"&amp;"1BJSV3WBYJGRhQ6zExamkszQ5VutGIcaQqmbD9ZTVXMQ/edit#gid=1251630045"",""articles_with_PRISMA_reasons!B2:B2113"")),
E537=""Exclude"",
FILTER(IMPORTRANGE(""https://docs.google.com/spreadsheets/d/1qpEmbGH0JjaJbUdp21-y2cPbobDbMjr09BbtdKROZWc/edit#gid=1444865654"&amp;""",""articles_with_PRISMA_reasons!Z2:Z2113""), $A537=IMPORTRANGE(""https://docs.google.com/spreadsheets/d/1qpEmbGH0JjaJbUdp21-y2cPbobDbMjr09BbtdKROZWc/edit#gid=1444865654"",""articles_with_PRISMA_reasons!B2:B2113"")),F537
=""Include"",FILTER(IMPORTRANGE("&amp;"""https://docs.google.com/spreadsheets/d/1kGrh75X1cNR1D7_FcY9zMnHP8iPO4M5RCRjy6nZY0TY/edit#gid=0"",""Table 1: Study characteristics!A4:A171""), $A537=IMPORTRANGE(""https://docs.google.com/spreadsheets/d/1kGrh75X1cNR1D7_FcY9zMnHP8iPO4M5RCRjy6nZY0TY/edit#gi"&amp;"d=0"",""Table 1: Study characteristics!B4:B171""))
)"),"wrong study design")</f>
        <v>wrong study design</v>
      </c>
    </row>
    <row r="538">
      <c r="A538" s="4" t="str">
        <f>IFERROR(__xludf.DUMMYFUNCTION("""COMPUTED_VALUE"""),"Congenital hydrocephalus associated with myeloschisis")</f>
        <v>Congenital hydrocephalus associated with myeloschisis</v>
      </c>
      <c r="B538" s="5" t="str">
        <f>IFERROR(__xludf.DUMMYFUNCTION("LEFT(FILTER(IMPORTRANGE(""https://docs.google.com/spreadsheets/d/1BJSV3WBYJGRhQ6zExamkszQ5VutGIcaQqmbD9ZTVXMQ/edit#gid=1251630045"",""articles_with_PRISMA_reasons!K2:K2113""), $A538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$A538=IMPORTRANGE(""https://docs.google.com/spreadsheets/d/1BJSV3WBYJGRhQ6zExamkszQ5VutGIcaQqmbD9ZTVXMQ/edit#gid=1251630045"",""articles_with_PRISMA_reasons!B2:B2113"")))-1)"),"Jeelani")</f>
        <v>Jeelani</v>
      </c>
      <c r="C538" s="6">
        <f>IFERROR(__xludf.DUMMYFUNCTION("FILTER(IMPORTRANGE(""https://docs.google.com/spreadsheets/d/1BJSV3WBYJGRhQ6zExamkszQ5VutGIcaQqmbD9ZTVXMQ/edit#gid=1251630045"",""articles_with_PRISMA_reasons!C2:C2113""), $A538=IMPORTRANGE(""https://docs.google.com/spreadsheets/d/1BJSV3WBYJGRhQ6zExamkszQ5"&amp;"VutGIcaQqmbD9ZTVXMQ/edit#gid=1251630045"",""articles_with_PRISMA_reasons!B2:B2113""))"),2011.0)</f>
        <v>2011</v>
      </c>
      <c r="D538" s="5" t="str">
        <f>IFERROR(__xludf.DUMMYFUNCTION("IFS(AND(
FILTER(IMPORTRANGE(""https://docs.google.com/spreadsheets/d/1BJSV3WBYJGRhQ6zExamkszQ5VutGIcaQqmbD9ZTVXMQ/edit#gid=1251630045"",""articles_with_PRISMA_reasons!Y2:Y2113""), $A538=IMPORTRANGE(""https://docs.google.com/spreadsheets/d/1BJSV3WBYJGRhQ6z"&amp;"ExamkszQ5VutGIcaQqmbD9ZTVXMQ/edit#gid=1251630045"",""articles_with_PRISMA_reasons!B2:B2113""))&gt;=2,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$A538=IMPORTRANGE(""https://docs.google.com/spreadsheets/d/1BJSV3WBYJGRhQ6zExamkszQ5VutGIcaQqmbD9ZTVXMQ/edit#gid=1251630045"",""articles_with_PRISMA_reasons!B2:B2113""))&lt;2),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$A538=IMPORTRANGE(""https://docs.google.com/spreadsheets/d/1BJSV3WBYJGRhQ6zExamkszQ5VutGIcaQqmbD9ZTVXMQ/edit#gid=1251630045"",""arti"&amp;"cles_with_PRISMA_reasons!B2:B2113""))&lt;2,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$A538=IMPORTRANGE(""https://docs.google.com"&amp;"/spreadsheets/d/1BJSV3WBYJGRhQ6zExamkszQ5VutGIcaQqmbD9ZTVXMQ/edit#gid=1251630045"",""articles_with_PRISMA_reasons!B2:B2113""))&gt;=2),
""Exclude""
)"),"Exclude")</f>
        <v>Exclude</v>
      </c>
      <c r="E538" s="5" t="str">
        <f>IFERROR(__xludf.DUMMYFUNCTION("IFS(
D538=""Exclude"",""Exclude"",
AND(
FILTER(IMPORTRANGE(""https://docs.google.com/spreadsheets/d/1qpEmbGH0JjaJbUdp21-y2cPbobDbMjr09BbtdKROZWc/edit#gid=1444865654"",""articles_with_PRISMA_reasons!W2:W2113""), $A538=IMPORTRANGE(""https://docs.google.com/"&amp;"spreadsheets/d/1qpEmbGH0JjaJbUdp21-y2cPbobDbMjr09BbtdKROZWc/edit#gid=1444865654"",""articles_with_PRISMA_reasons!B2:B2113""))&gt;=2,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$A538=IMPORTRANGE(""https://docs.google.com/spreadsheets/d/1qpEmbGH0JjaJbUdp21-y2cPbobDbMjr09BbtdKROZWc/edit#gid=1444865654"",""articles_with_PRISMA_reasons!B2:B2113""))&lt;2),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$A538=IMPORTRANGE(""https://docs.google.com/spreadsheets/d/1qpEmbGH0JjaJbUdp21-y2cPbobDbMjr09BbtdKRO"&amp;"ZWc/edit#gid=1444865654"",""articles_with_PRISMA_reasons!B2:B2113""))&lt;2,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$A538=IMPOR"&amp;"TRANGE(""https://docs.google.com/spreadsheets/d/1qpEmbGH0JjaJbUdp21-y2cPbobDbMjr09BbtdKROZWc/edit#gid=1444865654"",""articles_with_PRISMA_reasons!B2:B2113""))&gt;=2),
""Exclude""
)"),"Exclude")</f>
        <v>Exclude</v>
      </c>
      <c r="F538" s="5" t="str">
        <f>IFERROR(__xludf.DUMMYFUNCTION("IFS(
E538=""Exclude"",""Exclude"",
AND(
COUNTIF(
IMPORTRANGE(""https://docs.google.com/spreadsheets/d/1kGrh75X1cNR1D7_FcY9zMnHP8iPO4M5RCRjy6nZY0TY/edit#gid=0"",""Table 1: Study characteristics!B4:B171""),A538)&gt;0,
COUNTIF(Studies!$A$2:$A$85,FILTER(IMPORTRA"&amp;"NGE(""https://docs.google.com/spreadsheets/d/1kGrh75X1cNR1D7_FcY9zMnHP8iPO4M5RCRjy6nZY0TY/edit#gid=0"",""Table 1: Study characteristics!A4:A171""), $A538=IMPORTRANGE(""https://docs.google.com/spreadsheets/d/1kGrh75X1cNR1D7_FcY9zMnHP8iPO4M5RCRjy6nZY0TY/edi"&amp;"t#gid=0"",""Table 1: Study characteristics!B4:B171"")))&gt;0
),
""Include""
)"),"Exclude")</f>
        <v>Exclude</v>
      </c>
      <c r="G538" s="5" t="str">
        <f>IFERROR(__xludf.DUMMYFUNCTION("IFS(
D538=""Exclude"",
FILTER(IMPORTRANGE(""https://docs.google.com/spreadsheets/d/1BJSV3WBYJGRhQ6zExamkszQ5VutGIcaQqmbD9ZTVXMQ/edit#gid=1251630045"",""articles_with_PRISMA_reasons!AB2:AB2113""), $A538=IMPORTRANGE(""https://docs.google.com/spreadsheets/d/"&amp;"1BJSV3WBYJGRhQ6zExamkszQ5VutGIcaQqmbD9ZTVXMQ/edit#gid=1251630045"",""articles_with_PRISMA_reasons!B2:B2113"")),
E538=""Exclude"",
FILTER(IMPORTRANGE(""https://docs.google.com/spreadsheets/d/1qpEmbGH0JjaJbUdp21-y2cPbobDbMjr09BbtdKROZWc/edit#gid=1444865654"&amp;""",""articles_with_PRISMA_reasons!Z2:Z2113""), $A538=IMPORTRANGE(""https://docs.google.com/spreadsheets/d/1qpEmbGH0JjaJbUdp21-y2cPbobDbMjr09BbtdKROZWc/edit#gid=1444865654"",""articles_with_PRISMA_reasons!B2:B2113"")),F538
=""Include"",FILTER(IMPORTRANGE("&amp;"""https://docs.google.com/spreadsheets/d/1kGrh75X1cNR1D7_FcY9zMnHP8iPO4M5RCRjy6nZY0TY/edit#gid=0"",""Table 1: Study characteristics!A4:A171""), $A538=IMPORTRANGE(""https://docs.google.com/spreadsheets/d/1kGrh75X1cNR1D7_FcY9zMnHP8iPO4M5RCRjy6nZY0TY/edit#gi"&amp;"d=0"",""Table 1: Study characteristics!B4:B171""))
)"),"wrong population")</f>
        <v>wrong population</v>
      </c>
    </row>
    <row r="539">
      <c r="A539" s="4" t="str">
        <f>IFERROR(__xludf.DUMMYFUNCTION("""COMPUTED_VALUE"""),"Congenital hydrocephalus in the northeast of Brazil: Epidemiological aspects, prenatal diagnosis, and treatment")</f>
        <v>Congenital hydrocephalus in the northeast of Brazil: Epidemiological aspects, prenatal diagnosis, and treatment</v>
      </c>
      <c r="B539" s="5" t="str">
        <f>IFERROR(__xludf.DUMMYFUNCTION("LEFT(FILTER(IMPORTRANGE(""https://docs.google.com/spreadsheets/d/1BJSV3WBYJGRhQ6zExamkszQ5VutGIcaQqmbD9ZTVXMQ/edit#gid=1251630045"",""articles_with_PRISMA_reasons!K2:K2113""), $A539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$A539=IMPORTRANGE(""https://docs.google.com/spreadsheets/d/1BJSV3WBYJGRhQ6zExamkszQ5VutGIcaQqmbD9ZTVXMQ/edit#gid=1251630045"",""articles_with_PRISMA_reasons!B2:B2113"")))-1)"),"Melo")</f>
        <v>Melo</v>
      </c>
      <c r="C539" s="6">
        <f>IFERROR(__xludf.DUMMYFUNCTION("FILTER(IMPORTRANGE(""https://docs.google.com/spreadsheets/d/1BJSV3WBYJGRhQ6zExamkszQ5VutGIcaQqmbD9ZTVXMQ/edit#gid=1251630045"",""articles_with_PRISMA_reasons!C2:C2113""), $A539=IMPORTRANGE(""https://docs.google.com/spreadsheets/d/1BJSV3WBYJGRhQ6zExamkszQ5"&amp;"VutGIcaQqmbD9ZTVXMQ/edit#gid=1251630045"",""articles_with_PRISMA_reasons!B2:B2113""))"),2013.0)</f>
        <v>2013</v>
      </c>
      <c r="D539" s="5" t="str">
        <f>IFERROR(__xludf.DUMMYFUNCTION("IFS(AND(
FILTER(IMPORTRANGE(""https://docs.google.com/spreadsheets/d/1BJSV3WBYJGRhQ6zExamkszQ5VutGIcaQqmbD9ZTVXMQ/edit#gid=1251630045"",""articles_with_PRISMA_reasons!Y2:Y2113""), $A539=IMPORTRANGE(""https://docs.google.com/spreadsheets/d/1BJSV3WBYJGRhQ6z"&amp;"ExamkszQ5VutGIcaQqmbD9ZTVXMQ/edit#gid=1251630045"",""articles_with_PRISMA_reasons!B2:B2113""))&gt;=2,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$A539=IMPORTRANGE(""https://docs.google.com/spreadsheets/d/1BJSV3WBYJGRhQ6zExamkszQ5VutGIcaQqmbD9ZTVXMQ/edit#gid=1251630045"",""articles_with_PRISMA_reasons!B2:B2113""))&lt;2),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$A539=IMPORTRANGE(""https://docs.google.com/spreadsheets/d/1BJSV3WBYJGRhQ6zExamkszQ5VutGIcaQqmbD9ZTVXMQ/edit#gid=1251630045"",""arti"&amp;"cles_with_PRISMA_reasons!B2:B2113""))&lt;2,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$A539=IMPORTRANGE(""https://docs.google.com"&amp;"/spreadsheets/d/1BJSV3WBYJGRhQ6zExamkszQ5VutGIcaQqmbD9ZTVXMQ/edit#gid=1251630045"",""articles_with_PRISMA_reasons!B2:B2113""))&gt;=2),
""Exclude""
)"),"Exclude")</f>
        <v>Exclude</v>
      </c>
      <c r="E539" s="5" t="str">
        <f>IFERROR(__xludf.DUMMYFUNCTION("IFS(
D539=""Exclude"",""Exclude"",
AND(
FILTER(IMPORTRANGE(""https://docs.google.com/spreadsheets/d/1qpEmbGH0JjaJbUdp21-y2cPbobDbMjr09BbtdKROZWc/edit#gid=1444865654"",""articles_with_PRISMA_reasons!W2:W2113""), $A539=IMPORTRANGE(""https://docs.google.com/"&amp;"spreadsheets/d/1qpEmbGH0JjaJbUdp21-y2cPbobDbMjr09BbtdKROZWc/edit#gid=1444865654"",""articles_with_PRISMA_reasons!B2:B2113""))&gt;=2,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$A539=IMPORTRANGE(""https://docs.google.com/spreadsheets/d/1qpEmbGH0JjaJbUdp21-y2cPbobDbMjr09BbtdKROZWc/edit#gid=1444865654"",""articles_with_PRISMA_reasons!B2:B2113""))&lt;2),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$A539=IMPORTRANGE(""https://docs.google.com/spreadsheets/d/1qpEmbGH0JjaJbUdp21-y2cPbobDbMjr09BbtdKRO"&amp;"ZWc/edit#gid=1444865654"",""articles_with_PRISMA_reasons!B2:B2113""))&lt;2,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$A539=IMPOR"&amp;"TRANGE(""https://docs.google.com/spreadsheets/d/1qpEmbGH0JjaJbUdp21-y2cPbobDbMjr09BbtdKROZWc/edit#gid=1444865654"",""articles_with_PRISMA_reasons!B2:B2113""))&gt;=2),
""Exclude""
)"),"Exclude")</f>
        <v>Exclude</v>
      </c>
      <c r="F539" s="5" t="str">
        <f>IFERROR(__xludf.DUMMYFUNCTION("IFS(
E539=""Exclude"",""Exclude"",
AND(
COUNTIF(
IMPORTRANGE(""https://docs.google.com/spreadsheets/d/1kGrh75X1cNR1D7_FcY9zMnHP8iPO4M5RCRjy6nZY0TY/edit#gid=0"",""Table 1: Study characteristics!B4:B171""),A539)&gt;0,
COUNTIF(Studies!$A$2:$A$85,FILTER(IMPORTRA"&amp;"NGE(""https://docs.google.com/spreadsheets/d/1kGrh75X1cNR1D7_FcY9zMnHP8iPO4M5RCRjy6nZY0TY/edit#gid=0"",""Table 1: Study characteristics!A4:A171""), $A539=IMPORTRANGE(""https://docs.google.com/spreadsheets/d/1kGrh75X1cNR1D7_FcY9zMnHP8iPO4M5RCRjy6nZY0TY/edi"&amp;"t#gid=0"",""Table 1: Study characteristics!B4:B171"")))&gt;0
),
""Include""
)"),"Exclude")</f>
        <v>Exclude</v>
      </c>
      <c r="G539" s="5" t="str">
        <f>IFERROR(__xludf.DUMMYFUNCTION("IFS(
D539=""Exclude"",
FILTER(IMPORTRANGE(""https://docs.google.com/spreadsheets/d/1BJSV3WBYJGRhQ6zExamkszQ5VutGIcaQqmbD9ZTVXMQ/edit#gid=1251630045"",""articles_with_PRISMA_reasons!AB2:AB2113""), $A539=IMPORTRANGE(""https://docs.google.com/spreadsheets/d/"&amp;"1BJSV3WBYJGRhQ6zExamkszQ5VutGIcaQqmbD9ZTVXMQ/edit#gid=1251630045"",""articles_with_PRISMA_reasons!B2:B2113"")),
E539=""Exclude"",
FILTER(IMPORTRANGE(""https://docs.google.com/spreadsheets/d/1qpEmbGH0JjaJbUdp21-y2cPbobDbMjr09BbtdKROZWc/edit#gid=1444865654"&amp;""",""articles_with_PRISMA_reasons!Z2:Z2113""), $A539=IMPORTRANGE(""https://docs.google.com/spreadsheets/d/1qpEmbGH0JjaJbUdp21-y2cPbobDbMjr09BbtdKROZWc/edit#gid=1444865654"",""articles_with_PRISMA_reasons!B2:B2113"")),F539
=""Include"",FILTER(IMPORTRANGE("&amp;"""https://docs.google.com/spreadsheets/d/1kGrh75X1cNR1D7_FcY9zMnHP8iPO4M5RCRjy6nZY0TY/edit#gid=0"",""Table 1: Study characteristics!A4:A171""), $A539=IMPORTRANGE(""https://docs.google.com/spreadsheets/d/1kGrh75X1cNR1D7_FcY9zMnHP8iPO4M5RCRjy6nZY0TY/edit#gi"&amp;"d=0"",""Table 1: Study characteristics!B4:B171""))
)"),"wrong population")</f>
        <v>wrong population</v>
      </c>
    </row>
    <row r="540">
      <c r="A540" s="4" t="str">
        <f>IFERROR(__xludf.DUMMYFUNCTION("""COMPUTED_VALUE"""),"Congenital hydrocephalus: clinico-pathological picture")</f>
        <v>Congenital hydrocephalus: clinico-pathological picture</v>
      </c>
      <c r="B540" s="5" t="str">
        <f>IFERROR(__xludf.DUMMYFUNCTION("LEFT(FILTER(IMPORTRANGE(""https://docs.google.com/spreadsheets/d/1BJSV3WBYJGRhQ6zExamkszQ5VutGIcaQqmbD9ZTVXMQ/edit#gid=1251630045"",""articles_with_PRISMA_reasons!K2:K2113""), $A540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$A540=IMPORTRANGE(""https://docs.google.com/spreadsheets/d/1BJSV3WBYJGRhQ6zExamkszQ5VutGIcaQqmbD9ZTVXMQ/edit#gid=1251630045"",""articles_with_PRISMA_reasons!B2:B2113"")))-1)"),"Della Giustina")</f>
        <v>Della Giustina</v>
      </c>
      <c r="C540" s="6">
        <f>IFERROR(__xludf.DUMMYFUNCTION("FILTER(IMPORTRANGE(""https://docs.google.com/spreadsheets/d/1BJSV3WBYJGRhQ6zExamkszQ5VutGIcaQqmbD9ZTVXMQ/edit#gid=1251630045"",""articles_with_PRISMA_reasons!C2:C2113""), $A540=IMPORTRANGE(""https://docs.google.com/spreadsheets/d/1BJSV3WBYJGRhQ6zExamkszQ5"&amp;"VutGIcaQqmbD9ZTVXMQ/edit#gid=1251630045"",""articles_with_PRISMA_reasons!B2:B2113""))"),1982.0)</f>
        <v>1982</v>
      </c>
      <c r="D540" s="5" t="str">
        <f>IFERROR(__xludf.DUMMYFUNCTION("IFS(AND(
FILTER(IMPORTRANGE(""https://docs.google.com/spreadsheets/d/1BJSV3WBYJGRhQ6zExamkszQ5VutGIcaQqmbD9ZTVXMQ/edit#gid=1251630045"",""articles_with_PRISMA_reasons!Y2:Y2113""), $A540=IMPORTRANGE(""https://docs.google.com/spreadsheets/d/1BJSV3WBYJGRhQ6z"&amp;"ExamkszQ5VutGIcaQqmbD9ZTVXMQ/edit#gid=1251630045"",""articles_with_PRISMA_reasons!B2:B2113""))&gt;=2,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$A540=IMPORTRANGE(""https://docs.google.com/spreadsheets/d/1BJSV3WBYJGRhQ6zExamkszQ5VutGIcaQqmbD9ZTVXMQ/edit#gid=1251630045"",""articles_with_PRISMA_reasons!B2:B2113""))&lt;2),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$A540=IMPORTRANGE(""https://docs.google.com/spreadsheets/d/1BJSV3WBYJGRhQ6zExamkszQ5VutGIcaQqmbD9ZTVXMQ/edit#gid=1251630045"",""arti"&amp;"cles_with_PRISMA_reasons!B2:B2113""))&lt;2,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$A540=IMPORTRANGE(""https://docs.google.com"&amp;"/spreadsheets/d/1BJSV3WBYJGRhQ6zExamkszQ5VutGIcaQqmbD9ZTVXMQ/edit#gid=1251630045"",""articles_with_PRISMA_reasons!B2:B2113""))&gt;=2),
""Exclude""
)"),"Exclude")</f>
        <v>Exclude</v>
      </c>
      <c r="E540" s="5" t="str">
        <f>IFERROR(__xludf.DUMMYFUNCTION("IFS(
D540=""Exclude"",""Exclude"",
AND(
FILTER(IMPORTRANGE(""https://docs.google.com/spreadsheets/d/1qpEmbGH0JjaJbUdp21-y2cPbobDbMjr09BbtdKROZWc/edit#gid=1444865654"",""articles_with_PRISMA_reasons!W2:W2113""), $A540=IMPORTRANGE(""https://docs.google.com/"&amp;"spreadsheets/d/1qpEmbGH0JjaJbUdp21-y2cPbobDbMjr09BbtdKROZWc/edit#gid=1444865654"",""articles_with_PRISMA_reasons!B2:B2113""))&gt;=2,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$A540=IMPORTRANGE(""https://docs.google.com/spreadsheets/d/1qpEmbGH0JjaJbUdp21-y2cPbobDbMjr09BbtdKROZWc/edit#gid=1444865654"",""articles_with_PRISMA_reasons!B2:B2113""))&lt;2),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$A540=IMPORTRANGE(""https://docs.google.com/spreadsheets/d/1qpEmbGH0JjaJbUdp21-y2cPbobDbMjr09BbtdKRO"&amp;"ZWc/edit#gid=1444865654"",""articles_with_PRISMA_reasons!B2:B2113""))&lt;2,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$A540=IMPOR"&amp;"TRANGE(""https://docs.google.com/spreadsheets/d/1qpEmbGH0JjaJbUdp21-y2cPbobDbMjr09BbtdKROZWc/edit#gid=1444865654"",""articles_with_PRISMA_reasons!B2:B2113""))&gt;=2),
""Exclude""
)"),"Exclude")</f>
        <v>Exclude</v>
      </c>
      <c r="F540" s="5" t="str">
        <f>IFERROR(__xludf.DUMMYFUNCTION("IFS(
E540=""Exclude"",""Exclude"",
AND(
COUNTIF(
IMPORTRANGE(""https://docs.google.com/spreadsheets/d/1kGrh75X1cNR1D7_FcY9zMnHP8iPO4M5RCRjy6nZY0TY/edit#gid=0"",""Table 1: Study characteristics!B4:B171""),A540)&gt;0,
COUNTIF(Studies!$A$2:$A$85,FILTER(IMPORTRA"&amp;"NGE(""https://docs.google.com/spreadsheets/d/1kGrh75X1cNR1D7_FcY9zMnHP8iPO4M5RCRjy6nZY0TY/edit#gid=0"",""Table 1: Study characteristics!A4:A171""), $A540=IMPORTRANGE(""https://docs.google.com/spreadsheets/d/1kGrh75X1cNR1D7_FcY9zMnHP8iPO4M5RCRjy6nZY0TY/edi"&amp;"t#gid=0"",""Table 1: Study characteristics!B4:B171"")))&gt;0
),
""Include""
)"),"Exclude")</f>
        <v>Exclude</v>
      </c>
      <c r="G540" s="5" t="str">
        <f>IFERROR(__xludf.DUMMYFUNCTION("IFS(
D540=""Exclude"",
FILTER(IMPORTRANGE(""https://docs.google.com/spreadsheets/d/1BJSV3WBYJGRhQ6zExamkszQ5VutGIcaQqmbD9ZTVXMQ/edit#gid=1251630045"",""articles_with_PRISMA_reasons!AB2:AB2113""), $A540=IMPORTRANGE(""https://docs.google.com/spreadsheets/d/"&amp;"1BJSV3WBYJGRhQ6zExamkszQ5VutGIcaQqmbD9ZTVXMQ/edit#gid=1251630045"",""articles_with_PRISMA_reasons!B2:B2113"")),
E540=""Exclude"",
FILTER(IMPORTRANGE(""https://docs.google.com/spreadsheets/d/1qpEmbGH0JjaJbUdp21-y2cPbobDbMjr09BbtdKROZWc/edit#gid=1444865654"&amp;""",""articles_with_PRISMA_reasons!Z2:Z2113""), $A540=IMPORTRANGE(""https://docs.google.com/spreadsheets/d/1qpEmbGH0JjaJbUdp21-y2cPbobDbMjr09BbtdKROZWc/edit#gid=1444865654"",""articles_with_PRISMA_reasons!B2:B2113"")),F540
=""Include"",FILTER(IMPORTRANGE("&amp;"""https://docs.google.com/spreadsheets/d/1kGrh75X1cNR1D7_FcY9zMnHP8iPO4M5RCRjy6nZY0TY/edit#gid=0"",""Table 1: Study characteristics!A4:A171""), $A540=IMPORTRANGE(""https://docs.google.com/spreadsheets/d/1kGrh75X1cNR1D7_FcY9zMnHP8iPO4M5RCRjy6nZY0TY/edit#gi"&amp;"d=0"",""Table 1: Study characteristics!B4:B171""))
)"),"wrong study design")</f>
        <v>wrong study design</v>
      </c>
    </row>
    <row r="541">
      <c r="A541" s="4" t="str">
        <f>IFERROR(__xludf.DUMMYFUNCTION("""COMPUTED_VALUE"""),"Congenital malformations after intracytoplasmic injection of spermatids")</f>
        <v>Congenital malformations after intracytoplasmic injection of spermatids</v>
      </c>
      <c r="B541" s="5" t="str">
        <f>IFERROR(__xludf.DUMMYFUNCTION("LEFT(FILTER(IMPORTRANGE(""https://docs.google.com/spreadsheets/d/1BJSV3WBYJGRhQ6zExamkszQ5VutGIcaQqmbD9ZTVXMQ/edit#gid=1251630045"",""articles_with_PRISMA_reasons!K2:K2113""), $A541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$A541=IMPORTRANGE(""https://docs.google.com/spreadsheets/d/1BJSV3WBYJGRhQ6zExamkszQ5VutGIcaQqmbD9ZTVXMQ/edit#gid=1251630045"",""articles_with_PRISMA_reasons!B2:B2113"")))-1)"),"V and erzwalmen")</f>
        <v>V and erzwalmen</v>
      </c>
      <c r="C541" s="6">
        <f>IFERROR(__xludf.DUMMYFUNCTION("FILTER(IMPORTRANGE(""https://docs.google.com/spreadsheets/d/1BJSV3WBYJGRhQ6zExamkszQ5VutGIcaQqmbD9ZTVXMQ/edit#gid=1251630045"",""articles_with_PRISMA_reasons!C2:C2113""), $A541=IMPORTRANGE(""https://docs.google.com/spreadsheets/d/1BJSV3WBYJGRhQ6zExamkszQ5"&amp;"VutGIcaQqmbD9ZTVXMQ/edit#gid=1251630045"",""articles_with_PRISMA_reasons!B2:B2113""))"),2000.0)</f>
        <v>2000</v>
      </c>
      <c r="D541" s="5" t="str">
        <f>IFERROR(__xludf.DUMMYFUNCTION("IFS(AND(
FILTER(IMPORTRANGE(""https://docs.google.com/spreadsheets/d/1BJSV3WBYJGRhQ6zExamkszQ5VutGIcaQqmbD9ZTVXMQ/edit#gid=1251630045"",""articles_with_PRISMA_reasons!Y2:Y2113""), $A541=IMPORTRANGE(""https://docs.google.com/spreadsheets/d/1BJSV3WBYJGRhQ6z"&amp;"ExamkszQ5VutGIcaQqmbD9ZTVXMQ/edit#gid=1251630045"",""articles_with_PRISMA_reasons!B2:B2113""))&gt;=2,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$A541=IMPORTRANGE(""https://docs.google.com/spreadsheets/d/1BJSV3WBYJGRhQ6zExamkszQ5VutGIcaQqmbD9ZTVXMQ/edit#gid=1251630045"",""articles_with_PRISMA_reasons!B2:B2113""))&lt;2),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$A541=IMPORTRANGE(""https://docs.google.com/spreadsheets/d/1BJSV3WBYJGRhQ6zExamkszQ5VutGIcaQqmbD9ZTVXMQ/edit#gid=1251630045"",""arti"&amp;"cles_with_PRISMA_reasons!B2:B2113""))&lt;2,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$A541=IMPORTRANGE(""https://docs.google.com"&amp;"/spreadsheets/d/1BJSV3WBYJGRhQ6zExamkszQ5VutGIcaQqmbD9ZTVXMQ/edit#gid=1251630045"",""articles_with_PRISMA_reasons!B2:B2113""))&gt;=2),
""Exclude""
)"),"Exclude")</f>
        <v>Exclude</v>
      </c>
      <c r="E541" s="5" t="str">
        <f>IFERROR(__xludf.DUMMYFUNCTION("IFS(
D541=""Exclude"",""Exclude"",
AND(
FILTER(IMPORTRANGE(""https://docs.google.com/spreadsheets/d/1qpEmbGH0JjaJbUdp21-y2cPbobDbMjr09BbtdKROZWc/edit#gid=1444865654"",""articles_with_PRISMA_reasons!W2:W2113""), $A541=IMPORTRANGE(""https://docs.google.com/"&amp;"spreadsheets/d/1qpEmbGH0JjaJbUdp21-y2cPbobDbMjr09BbtdKROZWc/edit#gid=1444865654"",""articles_with_PRISMA_reasons!B2:B2113""))&gt;=2,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$A541=IMPORTRANGE(""https://docs.google.com/spreadsheets/d/1qpEmbGH0JjaJbUdp21-y2cPbobDbMjr09BbtdKROZWc/edit#gid=1444865654"",""articles_with_PRISMA_reasons!B2:B2113""))&lt;2),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$A541=IMPORTRANGE(""https://docs.google.com/spreadsheets/d/1qpEmbGH0JjaJbUdp21-y2cPbobDbMjr09BbtdKRO"&amp;"ZWc/edit#gid=1444865654"",""articles_with_PRISMA_reasons!B2:B2113""))&lt;2,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$A541=IMPOR"&amp;"TRANGE(""https://docs.google.com/spreadsheets/d/1qpEmbGH0JjaJbUdp21-y2cPbobDbMjr09BbtdKROZWc/edit#gid=1444865654"",""articles_with_PRISMA_reasons!B2:B2113""))&gt;=2),
""Exclude""
)"),"Exclude")</f>
        <v>Exclude</v>
      </c>
      <c r="F541" s="5" t="str">
        <f>IFERROR(__xludf.DUMMYFUNCTION("IFS(
E541=""Exclude"",""Exclude"",
AND(
COUNTIF(
IMPORTRANGE(""https://docs.google.com/spreadsheets/d/1kGrh75X1cNR1D7_FcY9zMnHP8iPO4M5RCRjy6nZY0TY/edit#gid=0"",""Table 1: Study characteristics!B4:B171""),A541)&gt;0,
COUNTIF(Studies!$A$2:$A$85,FILTER(IMPORTRA"&amp;"NGE(""https://docs.google.com/spreadsheets/d/1kGrh75X1cNR1D7_FcY9zMnHP8iPO4M5RCRjy6nZY0TY/edit#gid=0"",""Table 1: Study characteristics!A4:A171""), $A541=IMPORTRANGE(""https://docs.google.com/spreadsheets/d/1kGrh75X1cNR1D7_FcY9zMnHP8iPO4M5RCRjy6nZY0TY/edi"&amp;"t#gid=0"",""Table 1: Study characteristics!B4:B171"")))&gt;0
),
""Include""
)"),"Exclude")</f>
        <v>Exclude</v>
      </c>
      <c r="G541" s="5" t="str">
        <f>IFERROR(__xludf.DUMMYFUNCTION("IFS(
D541=""Exclude"",
FILTER(IMPORTRANGE(""https://docs.google.com/spreadsheets/d/1BJSV3WBYJGRhQ6zExamkszQ5VutGIcaQqmbD9ZTVXMQ/edit#gid=1251630045"",""articles_with_PRISMA_reasons!AB2:AB2113""), $A541=IMPORTRANGE(""https://docs.google.com/spreadsheets/d/"&amp;"1BJSV3WBYJGRhQ6zExamkszQ5VutGIcaQqmbD9ZTVXMQ/edit#gid=1251630045"",""articles_with_PRISMA_reasons!B2:B2113"")),
E541=""Exclude"",
FILTER(IMPORTRANGE(""https://docs.google.com/spreadsheets/d/1qpEmbGH0JjaJbUdp21-y2cPbobDbMjr09BbtdKROZWc/edit#gid=1444865654"&amp;""",""articles_with_PRISMA_reasons!Z2:Z2113""), $A541=IMPORTRANGE(""https://docs.google.com/spreadsheets/d/1qpEmbGH0JjaJbUdp21-y2cPbobDbMjr09BbtdKROZWc/edit#gid=1444865654"",""articles_with_PRISMA_reasons!B2:B2113"")),F541
=""Include"",FILTER(IMPORTRANGE("&amp;"""https://docs.google.com/spreadsheets/d/1kGrh75X1cNR1D7_FcY9zMnHP8iPO4M5RCRjy6nZY0TY/edit#gid=0"",""Table 1: Study characteristics!A4:A171""), $A541=IMPORTRANGE(""https://docs.google.com/spreadsheets/d/1kGrh75X1cNR1D7_FcY9zMnHP8iPO4M5RCRjy6nZY0TY/edit#gi"&amp;"d=0"",""Table 1: Study characteristics!B4:B171""))
)"),"wrong study design")</f>
        <v>wrong study design</v>
      </c>
    </row>
    <row r="542">
      <c r="A542" s="4" t="str">
        <f>IFERROR(__xludf.DUMMYFUNCTION("""COMPUTED_VALUE"""),"Congenital malformations of the central nervous system at Al-Mansour pediatric teaching hospital, Baghdad, Iraq")</f>
        <v>Congenital malformations of the central nervous system at Al-Mansour pediatric teaching hospital, Baghdad, Iraq</v>
      </c>
      <c r="B542" s="5" t="str">
        <f>IFERROR(__xludf.DUMMYFUNCTION("LEFT(FILTER(IMPORTRANGE(""https://docs.google.com/spreadsheets/d/1BJSV3WBYJGRhQ6zExamkszQ5VutGIcaQqmbD9ZTVXMQ/edit#gid=1251630045"",""articles_with_PRISMA_reasons!K2:K2113""), $A542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$A542=IMPORTRANGE(""https://docs.google.com/spreadsheets/d/1BJSV3WBYJGRhQ6zExamkszQ5VutGIcaQqmbD9ZTVXMQ/edit#gid=1251630045"",""articles_with_PRISMA_reasons!B2:B2113"")))-1)"),"M.N")</f>
        <v>M.N</v>
      </c>
      <c r="C542" s="6">
        <f>IFERROR(__xludf.DUMMYFUNCTION("FILTER(IMPORTRANGE(""https://docs.google.com/spreadsheets/d/1BJSV3WBYJGRhQ6zExamkszQ5VutGIcaQqmbD9ZTVXMQ/edit#gid=1251630045"",""articles_with_PRISMA_reasons!C2:C2113""), $A542=IMPORTRANGE(""https://docs.google.com/spreadsheets/d/1BJSV3WBYJGRhQ6zExamkszQ5"&amp;"VutGIcaQqmbD9ZTVXMQ/edit#gid=1251630045"",""articles_with_PRISMA_reasons!B2:B2113""))"),2006.0)</f>
        <v>2006</v>
      </c>
      <c r="D542" s="5" t="str">
        <f>IFERROR(__xludf.DUMMYFUNCTION("IFS(AND(
FILTER(IMPORTRANGE(""https://docs.google.com/spreadsheets/d/1BJSV3WBYJGRhQ6zExamkszQ5VutGIcaQqmbD9ZTVXMQ/edit#gid=1251630045"",""articles_with_PRISMA_reasons!Y2:Y2113""), $A542=IMPORTRANGE(""https://docs.google.com/spreadsheets/d/1BJSV3WBYJGRhQ6z"&amp;"ExamkszQ5VutGIcaQqmbD9ZTVXMQ/edit#gid=1251630045"",""articles_with_PRISMA_reasons!B2:B2113""))&gt;=2,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$A542=IMPORTRANGE(""https://docs.google.com/spreadsheets/d/1BJSV3WBYJGRhQ6zExamkszQ5VutGIcaQqmbD9ZTVXMQ/edit#gid=1251630045"",""articles_with_PRISMA_reasons!B2:B2113""))&lt;2),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$A542=IMPORTRANGE(""https://docs.google.com/spreadsheets/d/1BJSV3WBYJGRhQ6zExamkszQ5VutGIcaQqmbD9ZTVXMQ/edit#gid=1251630045"",""arti"&amp;"cles_with_PRISMA_reasons!B2:B2113""))&lt;2,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$A542=IMPORTRANGE(""https://docs.google.com"&amp;"/spreadsheets/d/1BJSV3WBYJGRhQ6zExamkszQ5VutGIcaQqmbD9ZTVXMQ/edit#gid=1251630045"",""articles_with_PRISMA_reasons!B2:B2113""))&gt;=2),
""Exclude""
)"),"Exclude")</f>
        <v>Exclude</v>
      </c>
      <c r="E542" s="5" t="str">
        <f>IFERROR(__xludf.DUMMYFUNCTION("IFS(
D542=""Exclude"",""Exclude"",
AND(
FILTER(IMPORTRANGE(""https://docs.google.com/spreadsheets/d/1qpEmbGH0JjaJbUdp21-y2cPbobDbMjr09BbtdKROZWc/edit#gid=1444865654"",""articles_with_PRISMA_reasons!W2:W2113""), $A542=IMPORTRANGE(""https://docs.google.com/"&amp;"spreadsheets/d/1qpEmbGH0JjaJbUdp21-y2cPbobDbMjr09BbtdKROZWc/edit#gid=1444865654"",""articles_with_PRISMA_reasons!B2:B2113""))&gt;=2,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$A542=IMPORTRANGE(""https://docs.google.com/spreadsheets/d/1qpEmbGH0JjaJbUdp21-y2cPbobDbMjr09BbtdKROZWc/edit#gid=1444865654"",""articles_with_PRISMA_reasons!B2:B2113""))&lt;2),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$A542=IMPORTRANGE(""https://docs.google.com/spreadsheets/d/1qpEmbGH0JjaJbUdp21-y2cPbobDbMjr09BbtdKRO"&amp;"ZWc/edit#gid=1444865654"",""articles_with_PRISMA_reasons!B2:B2113""))&lt;2,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$A542=IMPOR"&amp;"TRANGE(""https://docs.google.com/spreadsheets/d/1qpEmbGH0JjaJbUdp21-y2cPbobDbMjr09BbtdKROZWc/edit#gid=1444865654"",""articles_with_PRISMA_reasons!B2:B2113""))&gt;=2),
""Exclude""
)"),"Exclude")</f>
        <v>Exclude</v>
      </c>
      <c r="F542" s="5" t="str">
        <f>IFERROR(__xludf.DUMMYFUNCTION("IFS(
E542=""Exclude"",""Exclude"",
AND(
COUNTIF(
IMPORTRANGE(""https://docs.google.com/spreadsheets/d/1kGrh75X1cNR1D7_FcY9zMnHP8iPO4M5RCRjy6nZY0TY/edit#gid=0"",""Table 1: Study characteristics!B4:B171""),A542)&gt;0,
COUNTIF(Studies!$A$2:$A$85,FILTER(IMPORTRA"&amp;"NGE(""https://docs.google.com/spreadsheets/d/1kGrh75X1cNR1D7_FcY9zMnHP8iPO4M5RCRjy6nZY0TY/edit#gid=0"",""Table 1: Study characteristics!A4:A171""), $A542=IMPORTRANGE(""https://docs.google.com/spreadsheets/d/1kGrh75X1cNR1D7_FcY9zMnHP8iPO4M5RCRjy6nZY0TY/edi"&amp;"t#gid=0"",""Table 1: Study characteristics!B4:B171"")))&gt;0
),
""Include""
)"),"Exclude")</f>
        <v>Exclude</v>
      </c>
      <c r="G542" s="5" t="str">
        <f>IFERROR(__xludf.DUMMYFUNCTION("IFS(
D542=""Exclude"",
FILTER(IMPORTRANGE(""https://docs.google.com/spreadsheets/d/1BJSV3WBYJGRhQ6zExamkszQ5VutGIcaQqmbD9ZTVXMQ/edit#gid=1251630045"",""articles_with_PRISMA_reasons!AB2:AB2113""), $A542=IMPORTRANGE(""https://docs.google.com/spreadsheets/d/"&amp;"1BJSV3WBYJGRhQ6zExamkszQ5VutGIcaQqmbD9ZTVXMQ/edit#gid=1251630045"",""articles_with_PRISMA_reasons!B2:B2113"")),
E542=""Exclude"",
FILTER(IMPORTRANGE(""https://docs.google.com/spreadsheets/d/1qpEmbGH0JjaJbUdp21-y2cPbobDbMjr09BbtdKROZWc/edit#gid=1444865654"&amp;""",""articles_with_PRISMA_reasons!Z2:Z2113""), $A542=IMPORTRANGE(""https://docs.google.com/spreadsheets/d/1qpEmbGH0JjaJbUdp21-y2cPbobDbMjr09BbtdKROZWc/edit#gid=1444865654"",""articles_with_PRISMA_reasons!B2:B2113"")),F542
=""Include"",FILTER(IMPORTRANGE("&amp;"""https://docs.google.com/spreadsheets/d/1kGrh75X1cNR1D7_FcY9zMnHP8iPO4M5RCRjy6nZY0TY/edit#gid=0"",""Table 1: Study characteristics!A4:A171""), $A542=IMPORTRANGE(""https://docs.google.com/spreadsheets/d/1kGrh75X1cNR1D7_FcY9zMnHP8iPO4M5RCRjy6nZY0TY/edit#gi"&amp;"d=0"",""Table 1: Study characteristics!B4:B171""))
)"),"wrong population")</f>
        <v>wrong population</v>
      </c>
    </row>
    <row r="543">
      <c r="A543" s="4" t="str">
        <f>IFERROR(__xludf.DUMMYFUNCTION("""COMPUTED_VALUE"""),"Congenital malformations of the central nervous system at the Jos University Teaching Hospital, Jos Plateau State of Nigeria")</f>
        <v>Congenital malformations of the central nervous system at the Jos University Teaching Hospital, Jos Plateau State of Nigeria</v>
      </c>
      <c r="B543" s="5" t="str">
        <f>IFERROR(__xludf.DUMMYFUNCTION("LEFT(FILTER(IMPORTRANGE(""https://docs.google.com/spreadsheets/d/1BJSV3WBYJGRhQ6zExamkszQ5VutGIcaQqmbD9ZTVXMQ/edit#gid=1251630045"",""articles_with_PRISMA_reasons!K2:K2113""), $A543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$A543=IMPORTRANGE(""https://docs.google.com/spreadsheets/d/1BJSV3WBYJGRhQ6zExamkszQ5VutGIcaQqmbD9ZTVXMQ/edit#gid=1251630045"",""articles_with_PRISMA_reasons!B2:B2113"")))-1)"),"Binitie")</f>
        <v>Binitie</v>
      </c>
      <c r="C543" s="6">
        <f>IFERROR(__xludf.DUMMYFUNCTION("FILTER(IMPORTRANGE(""https://docs.google.com/spreadsheets/d/1BJSV3WBYJGRhQ6zExamkszQ5VutGIcaQqmbD9ZTVXMQ/edit#gid=1251630045"",""articles_with_PRISMA_reasons!C2:C2113""), $A543=IMPORTRANGE(""https://docs.google.com/spreadsheets/d/1BJSV3WBYJGRhQ6zExamkszQ5"&amp;"VutGIcaQqmbD9ZTVXMQ/edit#gid=1251630045"",""articles_with_PRISMA_reasons!B2:B2113""))"),1992.0)</f>
        <v>1992</v>
      </c>
      <c r="D543" s="5" t="str">
        <f>IFERROR(__xludf.DUMMYFUNCTION("IFS(AND(
FILTER(IMPORTRANGE(""https://docs.google.com/spreadsheets/d/1BJSV3WBYJGRhQ6zExamkszQ5VutGIcaQqmbD9ZTVXMQ/edit#gid=1251630045"",""articles_with_PRISMA_reasons!Y2:Y2113""), $A543=IMPORTRANGE(""https://docs.google.com/spreadsheets/d/1BJSV3WBYJGRhQ6z"&amp;"ExamkszQ5VutGIcaQqmbD9ZTVXMQ/edit#gid=1251630045"",""articles_with_PRISMA_reasons!B2:B2113""))&gt;=2,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$A543=IMPORTRANGE(""https://docs.google.com/spreadsheets/d/1BJSV3WBYJGRhQ6zExamkszQ5VutGIcaQqmbD9ZTVXMQ/edit#gid=1251630045"",""articles_with_PRISMA_reasons!B2:B2113""))&lt;2),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$A543=IMPORTRANGE(""https://docs.google.com/spreadsheets/d/1BJSV3WBYJGRhQ6zExamkszQ5VutGIcaQqmbD9ZTVXMQ/edit#gid=1251630045"",""arti"&amp;"cles_with_PRISMA_reasons!B2:B2113""))&lt;2,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$A543=IMPORTRANGE(""https://docs.google.com"&amp;"/spreadsheets/d/1BJSV3WBYJGRhQ6zExamkszQ5VutGIcaQqmbD9ZTVXMQ/edit#gid=1251630045"",""articles_with_PRISMA_reasons!B2:B2113""))&gt;=2),
""Exclude""
)"),"Exclude")</f>
        <v>Exclude</v>
      </c>
      <c r="E543" s="5" t="str">
        <f>IFERROR(__xludf.DUMMYFUNCTION("IFS(
D543=""Exclude"",""Exclude"",
AND(
FILTER(IMPORTRANGE(""https://docs.google.com/spreadsheets/d/1qpEmbGH0JjaJbUdp21-y2cPbobDbMjr09BbtdKROZWc/edit#gid=1444865654"",""articles_with_PRISMA_reasons!W2:W2113""), $A543=IMPORTRANGE(""https://docs.google.com/"&amp;"spreadsheets/d/1qpEmbGH0JjaJbUdp21-y2cPbobDbMjr09BbtdKROZWc/edit#gid=1444865654"",""articles_with_PRISMA_reasons!B2:B2113""))&gt;=2,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$A543=IMPORTRANGE(""https://docs.google.com/spreadsheets/d/1qpEmbGH0JjaJbUdp21-y2cPbobDbMjr09BbtdKROZWc/edit#gid=1444865654"",""articles_with_PRISMA_reasons!B2:B2113""))&lt;2),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$A543=IMPORTRANGE(""https://docs.google.com/spreadsheets/d/1qpEmbGH0JjaJbUdp21-y2cPbobDbMjr09BbtdKRO"&amp;"ZWc/edit#gid=1444865654"",""articles_with_PRISMA_reasons!B2:B2113""))&lt;2,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$A543=IMPOR"&amp;"TRANGE(""https://docs.google.com/spreadsheets/d/1qpEmbGH0JjaJbUdp21-y2cPbobDbMjr09BbtdKROZWc/edit#gid=1444865654"",""articles_with_PRISMA_reasons!B2:B2113""))&gt;=2),
""Exclude""
)"),"Exclude")</f>
        <v>Exclude</v>
      </c>
      <c r="F543" s="5" t="str">
        <f>IFERROR(__xludf.DUMMYFUNCTION("IFS(
E543=""Exclude"",""Exclude"",
AND(
COUNTIF(
IMPORTRANGE(""https://docs.google.com/spreadsheets/d/1kGrh75X1cNR1D7_FcY9zMnHP8iPO4M5RCRjy6nZY0TY/edit#gid=0"",""Table 1: Study characteristics!B4:B171""),A543)&gt;0,
COUNTIF(Studies!$A$2:$A$85,FILTER(IMPORTRA"&amp;"NGE(""https://docs.google.com/spreadsheets/d/1kGrh75X1cNR1D7_FcY9zMnHP8iPO4M5RCRjy6nZY0TY/edit#gid=0"",""Table 1: Study characteristics!A4:A171""), $A543=IMPORTRANGE(""https://docs.google.com/spreadsheets/d/1kGrh75X1cNR1D7_FcY9zMnHP8iPO4M5RCRjy6nZY0TY/edi"&amp;"t#gid=0"",""Table 1: Study characteristics!B4:B171"")))&gt;0
),
""Include""
)"),"Exclude")</f>
        <v>Exclude</v>
      </c>
      <c r="G543" s="5" t="str">
        <f>IFERROR(__xludf.DUMMYFUNCTION("IFS(
D543=""Exclude"",
FILTER(IMPORTRANGE(""https://docs.google.com/spreadsheets/d/1BJSV3WBYJGRhQ6zExamkszQ5VutGIcaQqmbD9ZTVXMQ/edit#gid=1251630045"",""articles_with_PRISMA_reasons!AB2:AB2113""), $A543=IMPORTRANGE(""https://docs.google.com/spreadsheets/d/"&amp;"1BJSV3WBYJGRhQ6zExamkszQ5VutGIcaQqmbD9ZTVXMQ/edit#gid=1251630045"",""articles_with_PRISMA_reasons!B2:B2113"")),
E543=""Exclude"",
FILTER(IMPORTRANGE(""https://docs.google.com/spreadsheets/d/1qpEmbGH0JjaJbUdp21-y2cPbobDbMjr09BbtdKROZWc/edit#gid=1444865654"&amp;""",""articles_with_PRISMA_reasons!Z2:Z2113""), $A543=IMPORTRANGE(""https://docs.google.com/spreadsheets/d/1qpEmbGH0JjaJbUdp21-y2cPbobDbMjr09BbtdKROZWc/edit#gid=1444865654"",""articles_with_PRISMA_reasons!B2:B2113"")),F543
=""Include"",FILTER(IMPORTRANGE("&amp;"""https://docs.google.com/spreadsheets/d/1kGrh75X1cNR1D7_FcY9zMnHP8iPO4M5RCRjy6nZY0TY/edit#gid=0"",""Table 1: Study characteristics!A4:A171""), $A543=IMPORTRANGE(""https://docs.google.com/spreadsheets/d/1kGrh75X1cNR1D7_FcY9zMnHP8iPO4M5RCRjy6nZY0TY/edit#gi"&amp;"d=0"",""Table 1: Study characteristics!B4:B171""))
)"),"wrong study design")</f>
        <v>wrong study design</v>
      </c>
    </row>
    <row r="544">
      <c r="A544" s="4" t="str">
        <f>IFERROR(__xludf.DUMMYFUNCTION("""COMPUTED_VALUE"""),"Congenital malformations of the central nervous system in a 1-year birth cohort followed to the age of 14 years")</f>
        <v>Congenital malformations of the central nervous system in a 1-year birth cohort followed to the age of 14 years</v>
      </c>
      <c r="B544" s="5" t="str">
        <f>IFERROR(__xludf.DUMMYFUNCTION("LEFT(FILTER(IMPORTRANGE(""https://docs.google.com/spreadsheets/d/1BJSV3WBYJGRhQ6zExamkszQ5VutGIcaQqmbD9ZTVXMQ/edit#gid=1251630045"",""articles_with_PRISMA_reasons!K2:K2113""), $A544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$A544=IMPORTRANGE(""https://docs.google.com/spreadsheets/d/1BJSV3WBYJGRhQ6zExamkszQ5VutGIcaQqmbD9ZTVXMQ/edit#gid=1251630045"",""articles_with_PRISMA_reasons!B2:B2113"")))-1)"),"von Wendt")</f>
        <v>von Wendt</v>
      </c>
      <c r="C544" s="6">
        <f>IFERROR(__xludf.DUMMYFUNCTION("FILTER(IMPORTRANGE(""https://docs.google.com/spreadsheets/d/1BJSV3WBYJGRhQ6zExamkszQ5VutGIcaQqmbD9ZTVXMQ/edit#gid=1251630045"",""articles_with_PRISMA_reasons!C2:C2113""), $A544=IMPORTRANGE(""https://docs.google.com/spreadsheets/d/1BJSV3WBYJGRhQ6zExamkszQ5"&amp;"VutGIcaQqmbD9ZTVXMQ/edit#gid=1251630045"",""articles_with_PRISMA_reasons!B2:B2113""))"),1986.0)</f>
        <v>1986</v>
      </c>
      <c r="D544" s="5" t="str">
        <f>IFERROR(__xludf.DUMMYFUNCTION("IFS(AND(
FILTER(IMPORTRANGE(""https://docs.google.com/spreadsheets/d/1BJSV3WBYJGRhQ6zExamkszQ5VutGIcaQqmbD9ZTVXMQ/edit#gid=1251630045"",""articles_with_PRISMA_reasons!Y2:Y2113""), $A544=IMPORTRANGE(""https://docs.google.com/spreadsheets/d/1BJSV3WBYJGRhQ6z"&amp;"ExamkszQ5VutGIcaQqmbD9ZTVXMQ/edit#gid=1251630045"",""articles_with_PRISMA_reasons!B2:B2113""))&gt;=2,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$A544=IMPORTRANGE(""https://docs.google.com/spreadsheets/d/1BJSV3WBYJGRhQ6zExamkszQ5VutGIcaQqmbD9ZTVXMQ/edit#gid=1251630045"",""articles_with_PRISMA_reasons!B2:B2113""))&lt;2),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$A544=IMPORTRANGE(""https://docs.google.com/spreadsheets/d/1BJSV3WBYJGRhQ6zExamkszQ5VutGIcaQqmbD9ZTVXMQ/edit#gid=1251630045"",""arti"&amp;"cles_with_PRISMA_reasons!B2:B2113""))&lt;2,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$A544=IMPORTRANGE(""https://docs.google.com"&amp;"/spreadsheets/d/1BJSV3WBYJGRhQ6zExamkszQ5VutGIcaQqmbD9ZTVXMQ/edit#gid=1251630045"",""articles_with_PRISMA_reasons!B2:B2113""))&gt;=2),
""Exclude""
)"),"Exclude")</f>
        <v>Exclude</v>
      </c>
      <c r="E544" s="5" t="str">
        <f>IFERROR(__xludf.DUMMYFUNCTION("IFS(
D544=""Exclude"",""Exclude"",
AND(
FILTER(IMPORTRANGE(""https://docs.google.com/spreadsheets/d/1qpEmbGH0JjaJbUdp21-y2cPbobDbMjr09BbtdKROZWc/edit#gid=1444865654"",""articles_with_PRISMA_reasons!W2:W2113""), $A544=IMPORTRANGE(""https://docs.google.com/"&amp;"spreadsheets/d/1qpEmbGH0JjaJbUdp21-y2cPbobDbMjr09BbtdKROZWc/edit#gid=1444865654"",""articles_with_PRISMA_reasons!B2:B2113""))&gt;=2,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$A544=IMPORTRANGE(""https://docs.google.com/spreadsheets/d/1qpEmbGH0JjaJbUdp21-y2cPbobDbMjr09BbtdKROZWc/edit#gid=1444865654"",""articles_with_PRISMA_reasons!B2:B2113""))&lt;2),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$A544=IMPORTRANGE(""https://docs.google.com/spreadsheets/d/1qpEmbGH0JjaJbUdp21-y2cPbobDbMjr09BbtdKRO"&amp;"ZWc/edit#gid=1444865654"",""articles_with_PRISMA_reasons!B2:B2113""))&lt;2,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$A544=IMPOR"&amp;"TRANGE(""https://docs.google.com/spreadsheets/d/1qpEmbGH0JjaJbUdp21-y2cPbobDbMjr09BbtdKROZWc/edit#gid=1444865654"",""articles_with_PRISMA_reasons!B2:B2113""))&gt;=2),
""Exclude""
)"),"Exclude")</f>
        <v>Exclude</v>
      </c>
      <c r="F544" s="5" t="str">
        <f>IFERROR(__xludf.DUMMYFUNCTION("IFS(
E544=""Exclude"",""Exclude"",
AND(
COUNTIF(
IMPORTRANGE(""https://docs.google.com/spreadsheets/d/1kGrh75X1cNR1D7_FcY9zMnHP8iPO4M5RCRjy6nZY0TY/edit#gid=0"",""Table 1: Study characteristics!B4:B171""),A544)&gt;0,
COUNTIF(Studies!$A$2:$A$85,FILTER(IMPORTRA"&amp;"NGE(""https://docs.google.com/spreadsheets/d/1kGrh75X1cNR1D7_FcY9zMnHP8iPO4M5RCRjy6nZY0TY/edit#gid=0"",""Table 1: Study characteristics!A4:A171""), $A544=IMPORTRANGE(""https://docs.google.com/spreadsheets/d/1kGrh75X1cNR1D7_FcY9zMnHP8iPO4M5RCRjy6nZY0TY/edi"&amp;"t#gid=0"",""Table 1: Study characteristics!B4:B171"")))&gt;0
),
""Include""
)"),"Exclude")</f>
        <v>Exclude</v>
      </c>
      <c r="G544" s="5" t="str">
        <f>IFERROR(__xludf.DUMMYFUNCTION("IFS(
D544=""Exclude"",
FILTER(IMPORTRANGE(""https://docs.google.com/spreadsheets/d/1BJSV3WBYJGRhQ6zExamkszQ5VutGIcaQqmbD9ZTVXMQ/edit#gid=1251630045"",""articles_with_PRISMA_reasons!AB2:AB2113""), $A544=IMPORTRANGE(""https://docs.google.com/spreadsheets/d/"&amp;"1BJSV3WBYJGRhQ6zExamkszQ5VutGIcaQqmbD9ZTVXMQ/edit#gid=1251630045"",""articles_with_PRISMA_reasons!B2:B2113"")),
E544=""Exclude"",
FILTER(IMPORTRANGE(""https://docs.google.com/spreadsheets/d/1qpEmbGH0JjaJbUdp21-y2cPbobDbMjr09BbtdKROZWc/edit#gid=1444865654"&amp;""",""articles_with_PRISMA_reasons!Z2:Z2113""), $A544=IMPORTRANGE(""https://docs.google.com/spreadsheets/d/1qpEmbGH0JjaJbUdp21-y2cPbobDbMjr09BbtdKROZWc/edit#gid=1444865654"",""articles_with_PRISMA_reasons!B2:B2113"")),F544
=""Include"",FILTER(IMPORTRANGE("&amp;"""https://docs.google.com/spreadsheets/d/1kGrh75X1cNR1D7_FcY9zMnHP8iPO4M5RCRjy6nZY0TY/edit#gid=0"",""Table 1: Study characteristics!A4:A171""), $A544=IMPORTRANGE(""https://docs.google.com/spreadsheets/d/1kGrh75X1cNR1D7_FcY9zMnHP8iPO4M5RCRjy6nZY0TY/edit#gi"&amp;"d=0"",""Table 1: Study characteristics!B4:B171""))
)"),"wrong population")</f>
        <v>wrong population</v>
      </c>
    </row>
    <row r="545">
      <c r="A545" s="4" t="str">
        <f>IFERROR(__xludf.DUMMYFUNCTION("""COMPUTED_VALUE"""),"Congenital Malformations of the Central Nervous System in Rural Western Honduras: A 6-Year Report on Trends")</f>
        <v>Congenital Malformations of the Central Nervous System in Rural Western Honduras: A 6-Year Report on Trends</v>
      </c>
      <c r="B545" s="5" t="str">
        <f>IFERROR(__xludf.DUMMYFUNCTION("LEFT(FILTER(IMPORTRANGE(""https://docs.google.com/spreadsheets/d/1BJSV3WBYJGRhQ6zExamkszQ5VutGIcaQqmbD9ZTVXMQ/edit#gid=1251630045"",""articles_with_PRISMA_reasons!K2:K2113""), $A545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$A545=IMPORTRANGE(""https://docs.google.com/spreadsheets/d/1BJSV3WBYJGRhQ6zExamkszQ5VutGIcaQqmbD9ZTVXMQ/edit#gid=1251630045"",""articles_with_PRISMA_reasons!B2:B2113"")))-1)"),"Estevez-Ordonez")</f>
        <v>Estevez-Ordonez</v>
      </c>
      <c r="C545" s="6">
        <f>IFERROR(__xludf.DUMMYFUNCTION("FILTER(IMPORTRANGE(""https://docs.google.com/spreadsheets/d/1BJSV3WBYJGRhQ6zExamkszQ5VutGIcaQqmbD9ZTVXMQ/edit#gid=1251630045"",""articles_with_PRISMA_reasons!C2:C2113""), $A545=IMPORTRANGE(""https://docs.google.com/spreadsheets/d/1BJSV3WBYJGRhQ6zExamkszQ5"&amp;"VutGIcaQqmbD9ZTVXMQ/edit#gid=1251630045"",""articles_with_PRISMA_reasons!B2:B2113""))"),2017.0)</f>
        <v>2017</v>
      </c>
      <c r="D545" s="5" t="str">
        <f>IFERROR(__xludf.DUMMYFUNCTION("IFS(AND(
FILTER(IMPORTRANGE(""https://docs.google.com/spreadsheets/d/1BJSV3WBYJGRhQ6zExamkszQ5VutGIcaQqmbD9ZTVXMQ/edit#gid=1251630045"",""articles_with_PRISMA_reasons!Y2:Y2113""), $A545=IMPORTRANGE(""https://docs.google.com/spreadsheets/d/1BJSV3WBYJGRhQ6z"&amp;"ExamkszQ5VutGIcaQqmbD9ZTVXMQ/edit#gid=1251630045"",""articles_with_PRISMA_reasons!B2:B2113""))&gt;=2,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$A545=IMPORTRANGE(""https://docs.google.com/spreadsheets/d/1BJSV3WBYJGRhQ6zExamkszQ5VutGIcaQqmbD9ZTVXMQ/edit#gid=1251630045"",""articles_with_PRISMA_reasons!B2:B2113""))&lt;2),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$A545=IMPORTRANGE(""https://docs.google.com/spreadsheets/d/1BJSV3WBYJGRhQ6zExamkszQ5VutGIcaQqmbD9ZTVXMQ/edit#gid=1251630045"",""arti"&amp;"cles_with_PRISMA_reasons!B2:B2113""))&lt;2,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$A545=IMPORTRANGE(""https://docs.google.com"&amp;"/spreadsheets/d/1BJSV3WBYJGRhQ6zExamkszQ5VutGIcaQqmbD9ZTVXMQ/edit#gid=1251630045"",""articles_with_PRISMA_reasons!B2:B2113""))&gt;=2),
""Exclude""
)"),"Exclude")</f>
        <v>Exclude</v>
      </c>
      <c r="E545" s="5" t="str">
        <f>IFERROR(__xludf.DUMMYFUNCTION("IFS(
D545=""Exclude"",""Exclude"",
AND(
FILTER(IMPORTRANGE(""https://docs.google.com/spreadsheets/d/1qpEmbGH0JjaJbUdp21-y2cPbobDbMjr09BbtdKROZWc/edit#gid=1444865654"",""articles_with_PRISMA_reasons!W2:W2113""), $A545=IMPORTRANGE(""https://docs.google.com/"&amp;"spreadsheets/d/1qpEmbGH0JjaJbUdp21-y2cPbobDbMjr09BbtdKROZWc/edit#gid=1444865654"",""articles_with_PRISMA_reasons!B2:B2113""))&gt;=2,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$A545=IMPORTRANGE(""https://docs.google.com/spreadsheets/d/1qpEmbGH0JjaJbUdp21-y2cPbobDbMjr09BbtdKROZWc/edit#gid=1444865654"",""articles_with_PRISMA_reasons!B2:B2113""))&lt;2),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$A545=IMPORTRANGE(""https://docs.google.com/spreadsheets/d/1qpEmbGH0JjaJbUdp21-y2cPbobDbMjr09BbtdKRO"&amp;"ZWc/edit#gid=1444865654"",""articles_with_PRISMA_reasons!B2:B2113""))&lt;2,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$A545=IMPOR"&amp;"TRANGE(""https://docs.google.com/spreadsheets/d/1qpEmbGH0JjaJbUdp21-y2cPbobDbMjr09BbtdKROZWc/edit#gid=1444865654"",""articles_with_PRISMA_reasons!B2:B2113""))&gt;=2),
""Exclude""
)"),"Exclude")</f>
        <v>Exclude</v>
      </c>
      <c r="F545" s="5" t="str">
        <f>IFERROR(__xludf.DUMMYFUNCTION("IFS(
E545=""Exclude"",""Exclude"",
AND(
COUNTIF(
IMPORTRANGE(""https://docs.google.com/spreadsheets/d/1kGrh75X1cNR1D7_FcY9zMnHP8iPO4M5RCRjy6nZY0TY/edit#gid=0"",""Table 1: Study characteristics!B4:B171""),A545)&gt;0,
COUNTIF(Studies!$A$2:$A$85,FILTER(IMPORTRA"&amp;"NGE(""https://docs.google.com/spreadsheets/d/1kGrh75X1cNR1D7_FcY9zMnHP8iPO4M5RCRjy6nZY0TY/edit#gid=0"",""Table 1: Study characteristics!A4:A171""), $A545=IMPORTRANGE(""https://docs.google.com/spreadsheets/d/1kGrh75X1cNR1D7_FcY9zMnHP8iPO4M5RCRjy6nZY0TY/edi"&amp;"t#gid=0"",""Table 1: Study characteristics!B4:B171"")))&gt;0
),
""Include""
)"),"Exclude")</f>
        <v>Exclude</v>
      </c>
      <c r="G545" s="5" t="str">
        <f>IFERROR(__xludf.DUMMYFUNCTION("IFS(
D545=""Exclude"",
FILTER(IMPORTRANGE(""https://docs.google.com/spreadsheets/d/1BJSV3WBYJGRhQ6zExamkszQ5VutGIcaQqmbD9ZTVXMQ/edit#gid=1251630045"",""articles_with_PRISMA_reasons!AB2:AB2113""), $A545=IMPORTRANGE(""https://docs.google.com/spreadsheets/d/"&amp;"1BJSV3WBYJGRhQ6zExamkszQ5VutGIcaQqmbD9ZTVXMQ/edit#gid=1251630045"",""articles_with_PRISMA_reasons!B2:B2113"")),
E545=""Exclude"",
FILTER(IMPORTRANGE(""https://docs.google.com/spreadsheets/d/1qpEmbGH0JjaJbUdp21-y2cPbobDbMjr09BbtdKROZWc/edit#gid=1444865654"&amp;""",""articles_with_PRISMA_reasons!Z2:Z2113""), $A545=IMPORTRANGE(""https://docs.google.com/spreadsheets/d/1qpEmbGH0JjaJbUdp21-y2cPbobDbMjr09BbtdKROZWc/edit#gid=1444865654"",""articles_with_PRISMA_reasons!B2:B2113"")),F545
=""Include"",FILTER(IMPORTRANGE("&amp;"""https://docs.google.com/spreadsheets/d/1kGrh75X1cNR1D7_FcY9zMnHP8iPO4M5RCRjy6nZY0TY/edit#gid=0"",""Table 1: Study characteristics!A4:A171""), $A545=IMPORTRANGE(""https://docs.google.com/spreadsheets/d/1kGrh75X1cNR1D7_FcY9zMnHP8iPO4M5RCRjy6nZY0TY/edit#gi"&amp;"d=0"",""Table 1: Study characteristics!B4:B171""))
)"),"wrong population")</f>
        <v>wrong population</v>
      </c>
    </row>
    <row r="546">
      <c r="A546" s="4" t="str">
        <f>IFERROR(__xludf.DUMMYFUNCTION("""COMPUTED_VALUE"""),"Congenital malformations of the nervous system")</f>
        <v>Congenital malformations of the nervous system</v>
      </c>
      <c r="B546" s="5" t="str">
        <f>IFERROR(__xludf.DUMMYFUNCTION("LEFT(FILTER(IMPORTRANGE(""https://docs.google.com/spreadsheets/d/1BJSV3WBYJGRhQ6zExamkszQ5VutGIcaQqmbD9ZTVXMQ/edit#gid=1251630045"",""articles_with_PRISMA_reasons!K2:K2113""), $A546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$A546=IMPORTRANGE(""https://docs.google.com/spreadsheets/d/1BJSV3WBYJGRhQ6zExamkszQ5VutGIcaQqmbD9ZTVXMQ/edit#gid=1251630045"",""articles_with_PRISMA_reasons!B2:B2113"")))-1)"),"Simpson")</f>
        <v>Simpson</v>
      </c>
      <c r="C546" s="6">
        <f>IFERROR(__xludf.DUMMYFUNCTION("FILTER(IMPORTRANGE(""https://docs.google.com/spreadsheets/d/1BJSV3WBYJGRhQ6zExamkszQ5VutGIcaQqmbD9ZTVXMQ/edit#gid=1251630045"",""articles_with_PRISMA_reasons!C2:C2113""), $A546=IMPORTRANGE(""https://docs.google.com/spreadsheets/d/1BJSV3WBYJGRhQ6zExamkszQ5"&amp;"VutGIcaQqmbD9ZTVXMQ/edit#gid=1251630045"",""articles_with_PRISMA_reasons!B2:B2113""))"),1976.0)</f>
        <v>1976</v>
      </c>
      <c r="D546" s="5" t="str">
        <f>IFERROR(__xludf.DUMMYFUNCTION("IFS(AND(
FILTER(IMPORTRANGE(""https://docs.google.com/spreadsheets/d/1BJSV3WBYJGRhQ6zExamkszQ5VutGIcaQqmbD9ZTVXMQ/edit#gid=1251630045"",""articles_with_PRISMA_reasons!Y2:Y2113""), $A546=IMPORTRANGE(""https://docs.google.com/spreadsheets/d/1BJSV3WBYJGRhQ6z"&amp;"ExamkszQ5VutGIcaQqmbD9ZTVXMQ/edit#gid=1251630045"",""articles_with_PRISMA_reasons!B2:B2113""))&gt;=2,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$A546=IMPORTRANGE(""https://docs.google.com/spreadsheets/d/1BJSV3WBYJGRhQ6zExamkszQ5VutGIcaQqmbD9ZTVXMQ/edit#gid=1251630045"",""articles_with_PRISMA_reasons!B2:B2113""))&lt;2),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$A546=IMPORTRANGE(""https://docs.google.com/spreadsheets/d/1BJSV3WBYJGRhQ6zExamkszQ5VutGIcaQqmbD9ZTVXMQ/edit#gid=1251630045"",""arti"&amp;"cles_with_PRISMA_reasons!B2:B2113""))&lt;2,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$A546=IMPORTRANGE(""https://docs.google.com"&amp;"/spreadsheets/d/1BJSV3WBYJGRhQ6zExamkszQ5VutGIcaQqmbD9ZTVXMQ/edit#gid=1251630045"",""articles_with_PRISMA_reasons!B2:B2113""))&gt;=2),
""Exclude""
)"),"Exclude")</f>
        <v>Exclude</v>
      </c>
      <c r="E546" s="5" t="str">
        <f>IFERROR(__xludf.DUMMYFUNCTION("IFS(
D546=""Exclude"",""Exclude"",
AND(
FILTER(IMPORTRANGE(""https://docs.google.com/spreadsheets/d/1qpEmbGH0JjaJbUdp21-y2cPbobDbMjr09BbtdKROZWc/edit#gid=1444865654"",""articles_with_PRISMA_reasons!W2:W2113""), $A546=IMPORTRANGE(""https://docs.google.com/"&amp;"spreadsheets/d/1qpEmbGH0JjaJbUdp21-y2cPbobDbMjr09BbtdKROZWc/edit#gid=1444865654"",""articles_with_PRISMA_reasons!B2:B2113""))&gt;=2,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$A546=IMPORTRANGE(""https://docs.google.com/spreadsheets/d/1qpEmbGH0JjaJbUdp21-y2cPbobDbMjr09BbtdKROZWc/edit#gid=1444865654"",""articles_with_PRISMA_reasons!B2:B2113""))&lt;2),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$A546=IMPORTRANGE(""https://docs.google.com/spreadsheets/d/1qpEmbGH0JjaJbUdp21-y2cPbobDbMjr09BbtdKRO"&amp;"ZWc/edit#gid=1444865654"",""articles_with_PRISMA_reasons!B2:B2113""))&lt;2,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$A546=IMPOR"&amp;"TRANGE(""https://docs.google.com/spreadsheets/d/1qpEmbGH0JjaJbUdp21-y2cPbobDbMjr09BbtdKROZWc/edit#gid=1444865654"",""articles_with_PRISMA_reasons!B2:B2113""))&gt;=2),
""Exclude""
)"),"Exclude")</f>
        <v>Exclude</v>
      </c>
      <c r="F546" s="5" t="str">
        <f>IFERROR(__xludf.DUMMYFUNCTION("IFS(
E546=""Exclude"",""Exclude"",
AND(
COUNTIF(
IMPORTRANGE(""https://docs.google.com/spreadsheets/d/1kGrh75X1cNR1D7_FcY9zMnHP8iPO4M5RCRjy6nZY0TY/edit#gid=0"",""Table 1: Study characteristics!B4:B171""),A546)&gt;0,
COUNTIF(Studies!$A$2:$A$85,FILTER(IMPORTRA"&amp;"NGE(""https://docs.google.com/spreadsheets/d/1kGrh75X1cNR1D7_FcY9zMnHP8iPO4M5RCRjy6nZY0TY/edit#gid=0"",""Table 1: Study characteristics!A4:A171""), $A546=IMPORTRANGE(""https://docs.google.com/spreadsheets/d/1kGrh75X1cNR1D7_FcY9zMnHP8iPO4M5RCRjy6nZY0TY/edi"&amp;"t#gid=0"",""Table 1: Study characteristics!B4:B171"")))&gt;0
),
""Include""
)"),"Exclude")</f>
        <v>Exclude</v>
      </c>
      <c r="G546" s="5" t="str">
        <f>IFERROR(__xludf.DUMMYFUNCTION("IFS(
D546=""Exclude"",
FILTER(IMPORTRANGE(""https://docs.google.com/spreadsheets/d/1BJSV3WBYJGRhQ6zExamkszQ5VutGIcaQqmbD9ZTVXMQ/edit#gid=1251630045"",""articles_with_PRISMA_reasons!AB2:AB2113""), $A546=IMPORTRANGE(""https://docs.google.com/spreadsheets/d/"&amp;"1BJSV3WBYJGRhQ6zExamkszQ5VutGIcaQqmbD9ZTVXMQ/edit#gid=1251630045"",""articles_with_PRISMA_reasons!B2:B2113"")),
E546=""Exclude"",
FILTER(IMPORTRANGE(""https://docs.google.com/spreadsheets/d/1qpEmbGH0JjaJbUdp21-y2cPbobDbMjr09BbtdKROZWc/edit#gid=1444865654"&amp;""",""articles_with_PRISMA_reasons!Z2:Z2113""), $A546=IMPORTRANGE(""https://docs.google.com/spreadsheets/d/1qpEmbGH0JjaJbUdp21-y2cPbobDbMjr09BbtdKROZWc/edit#gid=1444865654"",""articles_with_PRISMA_reasons!B2:B2113"")),F546
=""Include"",FILTER(IMPORTRANGE("&amp;"""https://docs.google.com/spreadsheets/d/1kGrh75X1cNR1D7_FcY9zMnHP8iPO4M5RCRjy6nZY0TY/edit#gid=0"",""Table 1: Study characteristics!A4:A171""), $A546=IMPORTRANGE(""https://docs.google.com/spreadsheets/d/1kGrh75X1cNR1D7_FcY9zMnHP8iPO4M5RCRjy6nZY0TY/edit#gi"&amp;"d=0"",""Table 1: Study characteristics!B4:B171""))
)"),"wrong study design")</f>
        <v>wrong study design</v>
      </c>
    </row>
    <row r="547">
      <c r="A547" s="4" t="str">
        <f>IFERROR(__xludf.DUMMYFUNCTION("""COMPUTED_VALUE"""),"Congenital malformations to birth defects - The Indian scenario")</f>
        <v>Congenital malformations to birth defects - The Indian scenario</v>
      </c>
      <c r="B547" s="5" t="str">
        <f>IFERROR(__xludf.DUMMYFUNCTION("LEFT(FILTER(IMPORTRANGE(""https://docs.google.com/spreadsheets/d/1BJSV3WBYJGRhQ6zExamkszQ5VutGIcaQqmbD9ZTVXMQ/edit#gid=1251630045"",""articles_with_PRISMA_reasons!K2:K2113""), $A547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$A547=IMPORTRANGE(""https://docs.google.com/spreadsheets/d/1BJSV3WBYJGRhQ6zExamkszQ5VutGIcaQqmbD9ZTVXMQ/edit#gid=1251630045"",""articles_with_PRISMA_reasons!B2:B2113"")))-1)"),"Mathur")</f>
        <v>Mathur</v>
      </c>
      <c r="C547" s="6">
        <f>IFERROR(__xludf.DUMMYFUNCTION("FILTER(IMPORTRANGE(""https://docs.google.com/spreadsheets/d/1BJSV3WBYJGRhQ6zExamkszQ5VutGIcaQqmbD9ZTVXMQ/edit#gid=1251630045"",""articles_with_PRISMA_reasons!C2:C2113""), $A547=IMPORTRANGE(""https://docs.google.com/spreadsheets/d/1BJSV3WBYJGRhQ6zExamkszQ5"&amp;"VutGIcaQqmbD9ZTVXMQ/edit#gid=1251630045"",""articles_with_PRISMA_reasons!B2:B2113""))"),2017.0)</f>
        <v>2017</v>
      </c>
      <c r="D547" s="5" t="str">
        <f>IFERROR(__xludf.DUMMYFUNCTION("IFS(AND(
FILTER(IMPORTRANGE(""https://docs.google.com/spreadsheets/d/1BJSV3WBYJGRhQ6zExamkszQ5VutGIcaQqmbD9ZTVXMQ/edit#gid=1251630045"",""articles_with_PRISMA_reasons!Y2:Y2113""), $A547=IMPORTRANGE(""https://docs.google.com/spreadsheets/d/1BJSV3WBYJGRhQ6z"&amp;"ExamkszQ5VutGIcaQqmbD9ZTVXMQ/edit#gid=1251630045"",""articles_with_PRISMA_reasons!B2:B2113""))&gt;=2,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$A547=IMPORTRANGE(""https://docs.google.com/spreadsheets/d/1BJSV3WBYJGRhQ6zExamkszQ5VutGIcaQqmbD9ZTVXMQ/edit#gid=1251630045"",""articles_with_PRISMA_reasons!B2:B2113""))&lt;2),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$A547=IMPORTRANGE(""https://docs.google.com/spreadsheets/d/1BJSV3WBYJGRhQ6zExamkszQ5VutGIcaQqmbD9ZTVXMQ/edit#gid=1251630045"",""arti"&amp;"cles_with_PRISMA_reasons!B2:B2113""))&lt;2,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$A547=IMPORTRANGE(""https://docs.google.com"&amp;"/spreadsheets/d/1BJSV3WBYJGRhQ6zExamkszQ5VutGIcaQqmbD9ZTVXMQ/edit#gid=1251630045"",""articles_with_PRISMA_reasons!B2:B2113""))&gt;=2),
""Exclude""
)"),"Exclude")</f>
        <v>Exclude</v>
      </c>
      <c r="E547" s="5" t="str">
        <f>IFERROR(__xludf.DUMMYFUNCTION("IFS(
D547=""Exclude"",""Exclude"",
AND(
FILTER(IMPORTRANGE(""https://docs.google.com/spreadsheets/d/1qpEmbGH0JjaJbUdp21-y2cPbobDbMjr09BbtdKROZWc/edit#gid=1444865654"",""articles_with_PRISMA_reasons!W2:W2113""), $A547=IMPORTRANGE(""https://docs.google.com/"&amp;"spreadsheets/d/1qpEmbGH0JjaJbUdp21-y2cPbobDbMjr09BbtdKROZWc/edit#gid=1444865654"",""articles_with_PRISMA_reasons!B2:B2113""))&gt;=2,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$A547=IMPORTRANGE(""https://docs.google.com/spreadsheets/d/1qpEmbGH0JjaJbUdp21-y2cPbobDbMjr09BbtdKROZWc/edit#gid=1444865654"",""articles_with_PRISMA_reasons!B2:B2113""))&lt;2),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$A547=IMPORTRANGE(""https://docs.google.com/spreadsheets/d/1qpEmbGH0JjaJbUdp21-y2cPbobDbMjr09BbtdKRO"&amp;"ZWc/edit#gid=1444865654"",""articles_with_PRISMA_reasons!B2:B2113""))&lt;2,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$A547=IMPOR"&amp;"TRANGE(""https://docs.google.com/spreadsheets/d/1qpEmbGH0JjaJbUdp21-y2cPbobDbMjr09BbtdKROZWc/edit#gid=1444865654"",""articles_with_PRISMA_reasons!B2:B2113""))&gt;=2),
""Exclude""
)"),"Exclude")</f>
        <v>Exclude</v>
      </c>
      <c r="F547" s="5" t="str">
        <f>IFERROR(__xludf.DUMMYFUNCTION("IFS(
E547=""Exclude"",""Exclude"",
AND(
COUNTIF(
IMPORTRANGE(""https://docs.google.com/spreadsheets/d/1kGrh75X1cNR1D7_FcY9zMnHP8iPO4M5RCRjy6nZY0TY/edit#gid=0"",""Table 1: Study characteristics!B4:B171""),A547)&gt;0,
COUNTIF(Studies!$A$2:$A$85,FILTER(IMPORTRA"&amp;"NGE(""https://docs.google.com/spreadsheets/d/1kGrh75X1cNR1D7_FcY9zMnHP8iPO4M5RCRjy6nZY0TY/edit#gid=0"",""Table 1: Study characteristics!A4:A171""), $A547=IMPORTRANGE(""https://docs.google.com/spreadsheets/d/1kGrh75X1cNR1D7_FcY9zMnHP8iPO4M5RCRjy6nZY0TY/edi"&amp;"t#gid=0"",""Table 1: Study characteristics!B4:B171"")))&gt;0
),
""Include""
)"),"Exclude")</f>
        <v>Exclude</v>
      </c>
      <c r="G547" s="5" t="str">
        <f>IFERROR(__xludf.DUMMYFUNCTION("IFS(
D547=""Exclude"",
FILTER(IMPORTRANGE(""https://docs.google.com/spreadsheets/d/1BJSV3WBYJGRhQ6zExamkszQ5VutGIcaQqmbD9ZTVXMQ/edit#gid=1251630045"",""articles_with_PRISMA_reasons!AB2:AB2113""), $A547=IMPORTRANGE(""https://docs.google.com/spreadsheets/d/"&amp;"1BJSV3WBYJGRhQ6zExamkszQ5VutGIcaQqmbD9ZTVXMQ/edit#gid=1251630045"",""articles_with_PRISMA_reasons!B2:B2113"")),
E547=""Exclude"",
FILTER(IMPORTRANGE(""https://docs.google.com/spreadsheets/d/1qpEmbGH0JjaJbUdp21-y2cPbobDbMjr09BbtdKROZWc/edit#gid=1444865654"&amp;""",""articles_with_PRISMA_reasons!Z2:Z2113""), $A547=IMPORTRANGE(""https://docs.google.com/spreadsheets/d/1qpEmbGH0JjaJbUdp21-y2cPbobDbMjr09BbtdKROZWc/edit#gid=1444865654"",""articles_with_PRISMA_reasons!B2:B2113"")),F547
=""Include"",FILTER(IMPORTRANGE("&amp;"""https://docs.google.com/spreadsheets/d/1kGrh75X1cNR1D7_FcY9zMnHP8iPO4M5RCRjy6nZY0TY/edit#gid=0"",""Table 1: Study characteristics!A4:A171""), $A547=IMPORTRANGE(""https://docs.google.com/spreadsheets/d/1kGrh75X1cNR1D7_FcY9zMnHP8iPO4M5RCRjy6nZY0TY/edit#gi"&amp;"d=0"",""Table 1: Study characteristics!B4:B171""))
)"),"wrong study design")</f>
        <v>wrong study design</v>
      </c>
    </row>
    <row r="548">
      <c r="A548" s="4" t="str">
        <f>IFERROR(__xludf.DUMMYFUNCTION("""COMPUTED_VALUE"""),"Congenital melanocytosis with myelomeningocele and hydrocephalus")</f>
        <v>Congenital melanocytosis with myelomeningocele and hydrocephalus</v>
      </c>
      <c r="B548" s="5" t="str">
        <f>IFERROR(__xludf.DUMMYFUNCTION("LEFT(FILTER(IMPORTRANGE(""https://docs.google.com/spreadsheets/d/1BJSV3WBYJGRhQ6zExamkszQ5VutGIcaQqmbD9ZTVXMQ/edit#gid=1251630045"",""articles_with_PRISMA_reasons!K2:K2113""), $A548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$A548=IMPORTRANGE(""https://docs.google.com/spreadsheets/d/1BJSV3WBYJGRhQ6zExamkszQ5VutGIcaQqmbD9ZTVXMQ/edit#gid=1251630045"",""articles_with_PRISMA_reasons!B2:B2113"")))-1)"),"Schwartz")</f>
        <v>Schwartz</v>
      </c>
      <c r="C548" s="6">
        <f>IFERROR(__xludf.DUMMYFUNCTION("FILTER(IMPORTRANGE(""https://docs.google.com/spreadsheets/d/1BJSV3WBYJGRhQ6zExamkszQ5VutGIcaQqmbD9ZTVXMQ/edit#gid=1251630045"",""articles_with_PRISMA_reasons!C2:C2113""), $A548=IMPORTRANGE(""https://docs.google.com/spreadsheets/d/1BJSV3WBYJGRhQ6zExamkszQ5"&amp;"VutGIcaQqmbD9ZTVXMQ/edit#gid=1251630045"",""articles_with_PRISMA_reasons!B2:B2113""))"),1986.0)</f>
        <v>1986</v>
      </c>
      <c r="D548" s="5" t="str">
        <f>IFERROR(__xludf.DUMMYFUNCTION("IFS(AND(
FILTER(IMPORTRANGE(""https://docs.google.com/spreadsheets/d/1BJSV3WBYJGRhQ6zExamkszQ5VutGIcaQqmbD9ZTVXMQ/edit#gid=1251630045"",""articles_with_PRISMA_reasons!Y2:Y2113""), $A548=IMPORTRANGE(""https://docs.google.com/spreadsheets/d/1BJSV3WBYJGRhQ6z"&amp;"ExamkszQ5VutGIcaQqmbD9ZTVXMQ/edit#gid=1251630045"",""articles_with_PRISMA_reasons!B2:B2113""))&gt;=2,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$A548=IMPORTRANGE(""https://docs.google.com/spreadsheets/d/1BJSV3WBYJGRhQ6zExamkszQ5VutGIcaQqmbD9ZTVXMQ/edit#gid=1251630045"",""articles_with_PRISMA_reasons!B2:B2113""))&lt;2),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$A548=IMPORTRANGE(""https://docs.google.com/spreadsheets/d/1BJSV3WBYJGRhQ6zExamkszQ5VutGIcaQqmbD9ZTVXMQ/edit#gid=1251630045"",""arti"&amp;"cles_with_PRISMA_reasons!B2:B2113""))&lt;2,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$A548=IMPORTRANGE(""https://docs.google.com"&amp;"/spreadsheets/d/1BJSV3WBYJGRhQ6zExamkszQ5VutGIcaQqmbD9ZTVXMQ/edit#gid=1251630045"",""articles_with_PRISMA_reasons!B2:B2113""))&gt;=2),
""Exclude""
)"),"Exclude")</f>
        <v>Exclude</v>
      </c>
      <c r="E548" s="5" t="str">
        <f>IFERROR(__xludf.DUMMYFUNCTION("IFS(
D548=""Exclude"",""Exclude"",
AND(
FILTER(IMPORTRANGE(""https://docs.google.com/spreadsheets/d/1qpEmbGH0JjaJbUdp21-y2cPbobDbMjr09BbtdKROZWc/edit#gid=1444865654"",""articles_with_PRISMA_reasons!W2:W2113""), $A548=IMPORTRANGE(""https://docs.google.com/"&amp;"spreadsheets/d/1qpEmbGH0JjaJbUdp21-y2cPbobDbMjr09BbtdKROZWc/edit#gid=1444865654"",""articles_with_PRISMA_reasons!B2:B2113""))&gt;=2,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$A548=IMPORTRANGE(""https://docs.google.com/spreadsheets/d/1qpEmbGH0JjaJbUdp21-y2cPbobDbMjr09BbtdKROZWc/edit#gid=1444865654"",""articles_with_PRISMA_reasons!B2:B2113""))&lt;2),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$A548=IMPORTRANGE(""https://docs.google.com/spreadsheets/d/1qpEmbGH0JjaJbUdp21-y2cPbobDbMjr09BbtdKRO"&amp;"ZWc/edit#gid=1444865654"",""articles_with_PRISMA_reasons!B2:B2113""))&lt;2,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$A548=IMPOR"&amp;"TRANGE(""https://docs.google.com/spreadsheets/d/1qpEmbGH0JjaJbUdp21-y2cPbobDbMjr09BbtdKROZWc/edit#gid=1444865654"",""articles_with_PRISMA_reasons!B2:B2113""))&gt;=2),
""Exclude""
)"),"Exclude")</f>
        <v>Exclude</v>
      </c>
      <c r="F548" s="5" t="str">
        <f>IFERROR(__xludf.DUMMYFUNCTION("IFS(
E548=""Exclude"",""Exclude"",
AND(
COUNTIF(
IMPORTRANGE(""https://docs.google.com/spreadsheets/d/1kGrh75X1cNR1D7_FcY9zMnHP8iPO4M5RCRjy6nZY0TY/edit#gid=0"",""Table 1: Study characteristics!B4:B171""),A548)&gt;0,
COUNTIF(Studies!$A$2:$A$85,FILTER(IMPORTRA"&amp;"NGE(""https://docs.google.com/spreadsheets/d/1kGrh75X1cNR1D7_FcY9zMnHP8iPO4M5RCRjy6nZY0TY/edit#gid=0"",""Table 1: Study characteristics!A4:A171""), $A548=IMPORTRANGE(""https://docs.google.com/spreadsheets/d/1kGrh75X1cNR1D7_FcY9zMnHP8iPO4M5RCRjy6nZY0TY/edi"&amp;"t#gid=0"",""Table 1: Study characteristics!B4:B171"")))&gt;0
),
""Include""
)"),"Exclude")</f>
        <v>Exclude</v>
      </c>
      <c r="G548" s="5" t="str">
        <f>IFERROR(__xludf.DUMMYFUNCTION("IFS(
D548=""Exclude"",
FILTER(IMPORTRANGE(""https://docs.google.com/spreadsheets/d/1BJSV3WBYJGRhQ6zExamkszQ5VutGIcaQqmbD9ZTVXMQ/edit#gid=1251630045"",""articles_with_PRISMA_reasons!AB2:AB2113""), $A548=IMPORTRANGE(""https://docs.google.com/spreadsheets/d/"&amp;"1BJSV3WBYJGRhQ6zExamkszQ5VutGIcaQqmbD9ZTVXMQ/edit#gid=1251630045"",""articles_with_PRISMA_reasons!B2:B2113"")),
E548=""Exclude"",
FILTER(IMPORTRANGE(""https://docs.google.com/spreadsheets/d/1qpEmbGH0JjaJbUdp21-y2cPbobDbMjr09BbtdKROZWc/edit#gid=1444865654"&amp;""",""articles_with_PRISMA_reasons!Z2:Z2113""), $A548=IMPORTRANGE(""https://docs.google.com/spreadsheets/d/1qpEmbGH0JjaJbUdp21-y2cPbobDbMjr09BbtdKROZWc/edit#gid=1444865654"",""articles_with_PRISMA_reasons!B2:B2113"")),F548
=""Include"",FILTER(IMPORTRANGE("&amp;"""https://docs.google.com/spreadsheets/d/1kGrh75X1cNR1D7_FcY9zMnHP8iPO4M5RCRjy6nZY0TY/edit#gid=0"",""Table 1: Study characteristics!A4:A171""), $A548=IMPORTRANGE(""https://docs.google.com/spreadsheets/d/1kGrh75X1cNR1D7_FcY9zMnHP8iPO4M5RCRjy6nZY0TY/edit#gi"&amp;"d=0"",""Table 1: Study characteristics!B4:B171""))
)"),"wrong study design")</f>
        <v>wrong study design</v>
      </c>
    </row>
    <row r="549">
      <c r="A549" s="4" t="str">
        <f>IFERROR(__xludf.DUMMYFUNCTION("""COMPUTED_VALUE"""),"Congenital stridor in the context of Chiari malformation type II: the etiological role of vernix caseosa granulomatous meningitis")</f>
        <v>Congenital stridor in the context of Chiari malformation type II: the etiological role of vernix caseosa granulomatous meningitis</v>
      </c>
      <c r="B549" s="5" t="str">
        <f>IFERROR(__xludf.DUMMYFUNCTION("LEFT(FILTER(IMPORTRANGE(""https://docs.google.com/spreadsheets/d/1BJSV3WBYJGRhQ6zExamkszQ5VutGIcaQqmbD9ZTVXMQ/edit#gid=1251630045"",""articles_with_PRISMA_reasons!K2:K2113""), $A549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$A549=IMPORTRANGE(""https://docs.google.com/spreadsheets/d/1BJSV3WBYJGRhQ6zExamkszQ5VutGIcaQqmbD9ZTVXMQ/edit#gid=1251630045"",""articles_with_PRISMA_reasons!B2:B2113"")))-1)"),"Stritzke")</f>
        <v>Stritzke</v>
      </c>
      <c r="C549" s="6">
        <f>IFERROR(__xludf.DUMMYFUNCTION("FILTER(IMPORTRANGE(""https://docs.google.com/spreadsheets/d/1BJSV3WBYJGRhQ6zExamkszQ5VutGIcaQqmbD9ZTVXMQ/edit#gid=1251630045"",""articles_with_PRISMA_reasons!C2:C2113""), $A549=IMPORTRANGE(""https://docs.google.com/spreadsheets/d/1BJSV3WBYJGRhQ6zExamkszQ5"&amp;"VutGIcaQqmbD9ZTVXMQ/edit#gid=1251630045"",""articles_with_PRISMA_reasons!B2:B2113""))"),2011.0)</f>
        <v>2011</v>
      </c>
      <c r="D549" s="5" t="str">
        <f>IFERROR(__xludf.DUMMYFUNCTION("IFS(AND(
FILTER(IMPORTRANGE(""https://docs.google.com/spreadsheets/d/1BJSV3WBYJGRhQ6zExamkszQ5VutGIcaQqmbD9ZTVXMQ/edit#gid=1251630045"",""articles_with_PRISMA_reasons!Y2:Y2113""), $A549=IMPORTRANGE(""https://docs.google.com/spreadsheets/d/1BJSV3WBYJGRhQ6z"&amp;"ExamkszQ5VutGIcaQqmbD9ZTVXMQ/edit#gid=1251630045"",""articles_with_PRISMA_reasons!B2:B2113""))&gt;=2,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$A549=IMPORTRANGE(""https://docs.google.com/spreadsheets/d/1BJSV3WBYJGRhQ6zExamkszQ5VutGIcaQqmbD9ZTVXMQ/edit#gid=1251630045"",""articles_with_PRISMA_reasons!B2:B2113""))&lt;2),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$A549=IMPORTRANGE(""https://docs.google.com/spreadsheets/d/1BJSV3WBYJGRhQ6zExamkszQ5VutGIcaQqmbD9ZTVXMQ/edit#gid=1251630045"",""arti"&amp;"cles_with_PRISMA_reasons!B2:B2113""))&lt;2,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$A549=IMPORTRANGE(""https://docs.google.com"&amp;"/spreadsheets/d/1BJSV3WBYJGRhQ6zExamkszQ5VutGIcaQqmbD9ZTVXMQ/edit#gid=1251630045"",""articles_with_PRISMA_reasons!B2:B2113""))&gt;=2),
""Exclude""
)"),"Exclude")</f>
        <v>Exclude</v>
      </c>
      <c r="E549" s="5" t="str">
        <f>IFERROR(__xludf.DUMMYFUNCTION("IFS(
D549=""Exclude"",""Exclude"",
AND(
FILTER(IMPORTRANGE(""https://docs.google.com/spreadsheets/d/1qpEmbGH0JjaJbUdp21-y2cPbobDbMjr09BbtdKROZWc/edit#gid=1444865654"",""articles_with_PRISMA_reasons!W2:W2113""), $A549=IMPORTRANGE(""https://docs.google.com/"&amp;"spreadsheets/d/1qpEmbGH0JjaJbUdp21-y2cPbobDbMjr09BbtdKROZWc/edit#gid=1444865654"",""articles_with_PRISMA_reasons!B2:B2113""))&gt;=2,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$A549=IMPORTRANGE(""https://docs.google.com/spreadsheets/d/1qpEmbGH0JjaJbUdp21-y2cPbobDbMjr09BbtdKROZWc/edit#gid=1444865654"",""articles_with_PRISMA_reasons!B2:B2113""))&lt;2),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$A549=IMPORTRANGE(""https://docs.google.com/spreadsheets/d/1qpEmbGH0JjaJbUdp21-y2cPbobDbMjr09BbtdKRO"&amp;"ZWc/edit#gid=1444865654"",""articles_with_PRISMA_reasons!B2:B2113""))&lt;2,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$A549=IMPOR"&amp;"TRANGE(""https://docs.google.com/spreadsheets/d/1qpEmbGH0JjaJbUdp21-y2cPbobDbMjr09BbtdKROZWc/edit#gid=1444865654"",""articles_with_PRISMA_reasons!B2:B2113""))&gt;=2),
""Exclude""
)"),"Exclude")</f>
        <v>Exclude</v>
      </c>
      <c r="F549" s="5" t="str">
        <f>IFERROR(__xludf.DUMMYFUNCTION("IFS(
E549=""Exclude"",""Exclude"",
AND(
COUNTIF(
IMPORTRANGE(""https://docs.google.com/spreadsheets/d/1kGrh75X1cNR1D7_FcY9zMnHP8iPO4M5RCRjy6nZY0TY/edit#gid=0"",""Table 1: Study characteristics!B4:B171""),A549)&gt;0,
COUNTIF(Studies!$A$2:$A$85,FILTER(IMPORTRA"&amp;"NGE(""https://docs.google.com/spreadsheets/d/1kGrh75X1cNR1D7_FcY9zMnHP8iPO4M5RCRjy6nZY0TY/edit#gid=0"",""Table 1: Study characteristics!A4:A171""), $A549=IMPORTRANGE(""https://docs.google.com/spreadsheets/d/1kGrh75X1cNR1D7_FcY9zMnHP8iPO4M5RCRjy6nZY0TY/edi"&amp;"t#gid=0"",""Table 1: Study characteristics!B4:B171"")))&gt;0
),
""Include""
)"),"Exclude")</f>
        <v>Exclude</v>
      </c>
      <c r="G549" s="5" t="str">
        <f>IFERROR(__xludf.DUMMYFUNCTION("IFS(
D549=""Exclude"",
FILTER(IMPORTRANGE(""https://docs.google.com/spreadsheets/d/1BJSV3WBYJGRhQ6zExamkszQ5VutGIcaQqmbD9ZTVXMQ/edit#gid=1251630045"",""articles_with_PRISMA_reasons!AB2:AB2113""), $A549=IMPORTRANGE(""https://docs.google.com/spreadsheets/d/"&amp;"1BJSV3WBYJGRhQ6zExamkszQ5VutGIcaQqmbD9ZTVXMQ/edit#gid=1251630045"",""articles_with_PRISMA_reasons!B2:B2113"")),
E549=""Exclude"",
FILTER(IMPORTRANGE(""https://docs.google.com/spreadsheets/d/1qpEmbGH0JjaJbUdp21-y2cPbobDbMjr09BbtdKROZWc/edit#gid=1444865654"&amp;""",""articles_with_PRISMA_reasons!Z2:Z2113""), $A549=IMPORTRANGE(""https://docs.google.com/spreadsheets/d/1qpEmbGH0JjaJbUdp21-y2cPbobDbMjr09BbtdKROZWc/edit#gid=1444865654"",""articles_with_PRISMA_reasons!B2:B2113"")),F549
=""Include"",FILTER(IMPORTRANGE("&amp;"""https://docs.google.com/spreadsheets/d/1kGrh75X1cNR1D7_FcY9zMnHP8iPO4M5RCRjy6nZY0TY/edit#gid=0"",""Table 1: Study characteristics!A4:A171""), $A549=IMPORTRANGE(""https://docs.google.com/spreadsheets/d/1kGrh75X1cNR1D7_FcY9zMnHP8iPO4M5RCRjy6nZY0TY/edit#gi"&amp;"d=0"",""Table 1: Study characteristics!B4:B171""))
)"),"wrong population")</f>
        <v>wrong population</v>
      </c>
    </row>
    <row r="550">
      <c r="A550" s="4" t="str">
        <f>IFERROR(__xludf.DUMMYFUNCTION("""COMPUTED_VALUE"""),"Congress of Neurological Surgeons Systematic Review and Evidence-Based Guideline on the Incidence of Shunt-Dependent Hydrocephalus in Infants with Myelomeningocele after Prenatal Versus Postnatal Repair")</f>
        <v>Congress of Neurological Surgeons Systematic Review and Evidence-Based Guideline on the Incidence of Shunt-Dependent Hydrocephalus in Infants with Myelomeningocele after Prenatal Versus Postnatal Repair</v>
      </c>
      <c r="B550" s="5" t="str">
        <f>IFERROR(__xludf.DUMMYFUNCTION("LEFT(FILTER(IMPORTRANGE(""https://docs.google.com/spreadsheets/d/1BJSV3WBYJGRhQ6zExamkszQ5VutGIcaQqmbD9ZTVXMQ/edit#gid=1251630045"",""articles_with_PRISMA_reasons!K2:K2113""), $A550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$A550=IMPORTRANGE(""https://docs.google.com/spreadsheets/d/1BJSV3WBYJGRhQ6zExamkszQ5VutGIcaQqmbD9ZTVXMQ/edit#gid=1251630045"",""articles_with_PRISMA_reasons!B2:B2113"")))-1)"),"Tamber")</f>
        <v>Tamber</v>
      </c>
      <c r="C550" s="6">
        <f>IFERROR(__xludf.DUMMYFUNCTION("FILTER(IMPORTRANGE(""https://docs.google.com/spreadsheets/d/1BJSV3WBYJGRhQ6zExamkszQ5VutGIcaQqmbD9ZTVXMQ/edit#gid=1251630045"",""articles_with_PRISMA_reasons!C2:C2113""), $A550=IMPORTRANGE(""https://docs.google.com/spreadsheets/d/1BJSV3WBYJGRhQ6zExamkszQ5"&amp;"VutGIcaQqmbD9ZTVXMQ/edit#gid=1251630045"",""articles_with_PRISMA_reasons!B2:B2113""))"),2019.0)</f>
        <v>2019</v>
      </c>
      <c r="D550" s="5" t="str">
        <f>IFERROR(__xludf.DUMMYFUNCTION("IFS(AND(
FILTER(IMPORTRANGE(""https://docs.google.com/spreadsheets/d/1BJSV3WBYJGRhQ6zExamkszQ5VutGIcaQqmbD9ZTVXMQ/edit#gid=1251630045"",""articles_with_PRISMA_reasons!Y2:Y2113""), $A550=IMPORTRANGE(""https://docs.google.com/spreadsheets/d/1BJSV3WBYJGRhQ6z"&amp;"ExamkszQ5VutGIcaQqmbD9ZTVXMQ/edit#gid=1251630045"",""articles_with_PRISMA_reasons!B2:B2113""))&gt;=2,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$A550=IMPORTRANGE(""https://docs.google.com/spreadsheets/d/1BJSV3WBYJGRhQ6zExamkszQ5VutGIcaQqmbD9ZTVXMQ/edit#gid=1251630045"",""articles_with_PRISMA_reasons!B2:B2113""))&lt;2),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$A550=IMPORTRANGE(""https://docs.google.com/spreadsheets/d/1BJSV3WBYJGRhQ6zExamkszQ5VutGIcaQqmbD9ZTVXMQ/edit#gid=1251630045"",""arti"&amp;"cles_with_PRISMA_reasons!B2:B2113""))&lt;2,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$A550=IMPORTRANGE(""https://docs.google.com"&amp;"/spreadsheets/d/1BJSV3WBYJGRhQ6zExamkszQ5VutGIcaQqmbD9ZTVXMQ/edit#gid=1251630045"",""articles_with_PRISMA_reasons!B2:B2113""))&gt;=2),
""Exclude""
)"),"Exclude")</f>
        <v>Exclude</v>
      </c>
      <c r="E550" s="5" t="str">
        <f>IFERROR(__xludf.DUMMYFUNCTION("IFS(
D550=""Exclude"",""Exclude"",
AND(
FILTER(IMPORTRANGE(""https://docs.google.com/spreadsheets/d/1qpEmbGH0JjaJbUdp21-y2cPbobDbMjr09BbtdKROZWc/edit#gid=1444865654"",""articles_with_PRISMA_reasons!W2:W2113""), $A550=IMPORTRANGE(""https://docs.google.com/"&amp;"spreadsheets/d/1qpEmbGH0JjaJbUdp21-y2cPbobDbMjr09BbtdKROZWc/edit#gid=1444865654"",""articles_with_PRISMA_reasons!B2:B2113""))&gt;=2,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$A550=IMPORTRANGE(""https://docs.google.com/spreadsheets/d/1qpEmbGH0JjaJbUdp21-y2cPbobDbMjr09BbtdKROZWc/edit#gid=1444865654"",""articles_with_PRISMA_reasons!B2:B2113""))&lt;2),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$A550=IMPORTRANGE(""https://docs.google.com/spreadsheets/d/1qpEmbGH0JjaJbUdp21-y2cPbobDbMjr09BbtdKRO"&amp;"ZWc/edit#gid=1444865654"",""articles_with_PRISMA_reasons!B2:B2113""))&lt;2,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$A550=IMPOR"&amp;"TRANGE(""https://docs.google.com/spreadsheets/d/1qpEmbGH0JjaJbUdp21-y2cPbobDbMjr09BbtdKROZWc/edit#gid=1444865654"",""articles_with_PRISMA_reasons!B2:B2113""))&gt;=2),
""Exclude""
)"),"Exclude")</f>
        <v>Exclude</v>
      </c>
      <c r="F550" s="5" t="str">
        <f>IFERROR(__xludf.DUMMYFUNCTION("IFS(
E550=""Exclude"",""Exclude"",
AND(
COUNTIF(
IMPORTRANGE(""https://docs.google.com/spreadsheets/d/1kGrh75X1cNR1D7_FcY9zMnHP8iPO4M5RCRjy6nZY0TY/edit#gid=0"",""Table 1: Study characteristics!B4:B171""),A550)&gt;0,
COUNTIF(Studies!$A$2:$A$85,FILTER(IMPORTRA"&amp;"NGE(""https://docs.google.com/spreadsheets/d/1kGrh75X1cNR1D7_FcY9zMnHP8iPO4M5RCRjy6nZY0TY/edit#gid=0"",""Table 1: Study characteristics!A4:A171""), $A550=IMPORTRANGE(""https://docs.google.com/spreadsheets/d/1kGrh75X1cNR1D7_FcY9zMnHP8iPO4M5RCRjy6nZY0TY/edi"&amp;"t#gid=0"",""Table 1: Study characteristics!B4:B171"")))&gt;0
),
""Include""
)"),"Exclude")</f>
        <v>Exclude</v>
      </c>
      <c r="G550" s="5" t="str">
        <f>IFERROR(__xludf.DUMMYFUNCTION("IFS(
D550=""Exclude"",
FILTER(IMPORTRANGE(""https://docs.google.com/spreadsheets/d/1BJSV3WBYJGRhQ6zExamkszQ5VutGIcaQqmbD9ZTVXMQ/edit#gid=1251630045"",""articles_with_PRISMA_reasons!AB2:AB2113""), $A550=IMPORTRANGE(""https://docs.google.com/spreadsheets/d/"&amp;"1BJSV3WBYJGRhQ6zExamkszQ5VutGIcaQqmbD9ZTVXMQ/edit#gid=1251630045"",""articles_with_PRISMA_reasons!B2:B2113"")),
E550=""Exclude"",
FILTER(IMPORTRANGE(""https://docs.google.com/spreadsheets/d/1qpEmbGH0JjaJbUdp21-y2cPbobDbMjr09BbtdKROZWc/edit#gid=1444865654"&amp;""",""articles_with_PRISMA_reasons!Z2:Z2113""), $A550=IMPORTRANGE(""https://docs.google.com/spreadsheets/d/1qpEmbGH0JjaJbUdp21-y2cPbobDbMjr09BbtdKROZWc/edit#gid=1444865654"",""articles_with_PRISMA_reasons!B2:B2113"")),F550
=""Include"",FILTER(IMPORTRANGE("&amp;"""https://docs.google.com/spreadsheets/d/1kGrh75X1cNR1D7_FcY9zMnHP8iPO4M5RCRjy6nZY0TY/edit#gid=0"",""Table 1: Study characteristics!A4:A171""), $A550=IMPORTRANGE(""https://docs.google.com/spreadsheets/d/1kGrh75X1cNR1D7_FcY9zMnHP8iPO4M5RCRjy6nZY0TY/edit#gi"&amp;"d=0"",""Table 1: Study characteristics!B4:B171""))
)"),"wrong study design")</f>
        <v>wrong study design</v>
      </c>
    </row>
    <row r="551">
      <c r="A551" s="4" t="str">
        <f>IFERROR(__xludf.DUMMYFUNCTION("""COMPUTED_VALUE"""),"Congress of Neurological Surgeons Systematic Review and Evidence-Based Guideline on the Management of Patients with Myelomeningocele: Whether Persistent Ventriculomegaly Adversely Impacts Neurocognitive Development")</f>
        <v>Congress of Neurological Surgeons Systematic Review and Evidence-Based Guideline on the Management of Patients with Myelomeningocele: Whether Persistent Ventriculomegaly Adversely Impacts Neurocognitive Development</v>
      </c>
      <c r="B551" s="5" t="str">
        <f>IFERROR(__xludf.DUMMYFUNCTION("LEFT(FILTER(IMPORTRANGE(""https://docs.google.com/spreadsheets/d/1BJSV3WBYJGRhQ6zExamkszQ5VutGIcaQqmbD9ZTVXMQ/edit#gid=1251630045"",""articles_with_PRISMA_reasons!K2:K2113""), $A551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$A551=IMPORTRANGE(""https://docs.google.com/spreadsheets/d/1BJSV3WBYJGRhQ6zExamkszQ5VutGIcaQqmbD9ZTVXMQ/edit#gid=1251630045"",""articles_with_PRISMA_reasons!B2:B2113"")))-1)"),"Blount")</f>
        <v>Blount</v>
      </c>
      <c r="C551" s="6">
        <f>IFERROR(__xludf.DUMMYFUNCTION("FILTER(IMPORTRANGE(""https://docs.google.com/spreadsheets/d/1BJSV3WBYJGRhQ6zExamkszQ5VutGIcaQqmbD9ZTVXMQ/edit#gid=1251630045"",""articles_with_PRISMA_reasons!C2:C2113""), $A551=IMPORTRANGE(""https://docs.google.com/spreadsheets/d/1BJSV3WBYJGRhQ6zExamkszQ5"&amp;"VutGIcaQqmbD9ZTVXMQ/edit#gid=1251630045"",""articles_with_PRISMA_reasons!B2:B2113""))"),2019.0)</f>
        <v>2019</v>
      </c>
      <c r="D551" s="5" t="str">
        <f>IFERROR(__xludf.DUMMYFUNCTION("IFS(AND(
FILTER(IMPORTRANGE(""https://docs.google.com/spreadsheets/d/1BJSV3WBYJGRhQ6zExamkszQ5VutGIcaQqmbD9ZTVXMQ/edit#gid=1251630045"",""articles_with_PRISMA_reasons!Y2:Y2113""), $A551=IMPORTRANGE(""https://docs.google.com/spreadsheets/d/1BJSV3WBYJGRhQ6z"&amp;"ExamkszQ5VutGIcaQqmbD9ZTVXMQ/edit#gid=1251630045"",""articles_with_PRISMA_reasons!B2:B2113""))&gt;=2,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$A551=IMPORTRANGE(""https://docs.google.com/spreadsheets/d/1BJSV3WBYJGRhQ6zExamkszQ5VutGIcaQqmbD9ZTVXMQ/edit#gid=1251630045"",""articles_with_PRISMA_reasons!B2:B2113""))&lt;2),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$A551=IMPORTRANGE(""https://docs.google.com/spreadsheets/d/1BJSV3WBYJGRhQ6zExamkszQ5VutGIcaQqmbD9ZTVXMQ/edit#gid=1251630045"",""arti"&amp;"cles_with_PRISMA_reasons!B2:B2113""))&lt;2,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$A551=IMPORTRANGE(""https://docs.google.com"&amp;"/spreadsheets/d/1BJSV3WBYJGRhQ6zExamkszQ5VutGIcaQqmbD9ZTVXMQ/edit#gid=1251630045"",""articles_with_PRISMA_reasons!B2:B2113""))&gt;=2),
""Exclude""
)"),"Exclude")</f>
        <v>Exclude</v>
      </c>
      <c r="E551" s="5" t="str">
        <f>IFERROR(__xludf.DUMMYFUNCTION("IFS(
D551=""Exclude"",""Exclude"",
AND(
FILTER(IMPORTRANGE(""https://docs.google.com/spreadsheets/d/1qpEmbGH0JjaJbUdp21-y2cPbobDbMjr09BbtdKROZWc/edit#gid=1444865654"",""articles_with_PRISMA_reasons!W2:W2113""), $A551=IMPORTRANGE(""https://docs.google.com/"&amp;"spreadsheets/d/1qpEmbGH0JjaJbUdp21-y2cPbobDbMjr09BbtdKROZWc/edit#gid=1444865654"",""articles_with_PRISMA_reasons!B2:B2113""))&gt;=2,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$A551=IMPORTRANGE(""https://docs.google.com/spreadsheets/d/1qpEmbGH0JjaJbUdp21-y2cPbobDbMjr09BbtdKROZWc/edit#gid=1444865654"",""articles_with_PRISMA_reasons!B2:B2113""))&lt;2),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$A551=IMPORTRANGE(""https://docs.google.com/spreadsheets/d/1qpEmbGH0JjaJbUdp21-y2cPbobDbMjr09BbtdKRO"&amp;"ZWc/edit#gid=1444865654"",""articles_with_PRISMA_reasons!B2:B2113""))&lt;2,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$A551=IMPOR"&amp;"TRANGE(""https://docs.google.com/spreadsheets/d/1qpEmbGH0JjaJbUdp21-y2cPbobDbMjr09BbtdKROZWc/edit#gid=1444865654"",""articles_with_PRISMA_reasons!B2:B2113""))&gt;=2),
""Exclude""
)"),"Exclude")</f>
        <v>Exclude</v>
      </c>
      <c r="F551" s="5" t="str">
        <f>IFERROR(__xludf.DUMMYFUNCTION("IFS(
E551=""Exclude"",""Exclude"",
AND(
COUNTIF(
IMPORTRANGE(""https://docs.google.com/spreadsheets/d/1kGrh75X1cNR1D7_FcY9zMnHP8iPO4M5RCRjy6nZY0TY/edit#gid=0"",""Table 1: Study characteristics!B4:B171""),A551)&gt;0,
COUNTIF(Studies!$A$2:$A$85,FILTER(IMPORTRA"&amp;"NGE(""https://docs.google.com/spreadsheets/d/1kGrh75X1cNR1D7_FcY9zMnHP8iPO4M5RCRjy6nZY0TY/edit#gid=0"",""Table 1: Study characteristics!A4:A171""), $A551=IMPORTRANGE(""https://docs.google.com/spreadsheets/d/1kGrh75X1cNR1D7_FcY9zMnHP8iPO4M5RCRjy6nZY0TY/edi"&amp;"t#gid=0"",""Table 1: Study characteristics!B4:B171"")))&gt;0
),
""Include""
)"),"Exclude")</f>
        <v>Exclude</v>
      </c>
      <c r="G551" s="5" t="str">
        <f>IFERROR(__xludf.DUMMYFUNCTION("IFS(
D551=""Exclude"",
FILTER(IMPORTRANGE(""https://docs.google.com/spreadsheets/d/1BJSV3WBYJGRhQ6zExamkszQ5VutGIcaQqmbD9ZTVXMQ/edit#gid=1251630045"",""articles_with_PRISMA_reasons!AB2:AB2113""), $A551=IMPORTRANGE(""https://docs.google.com/spreadsheets/d/"&amp;"1BJSV3WBYJGRhQ6zExamkszQ5VutGIcaQqmbD9ZTVXMQ/edit#gid=1251630045"",""articles_with_PRISMA_reasons!B2:B2113"")),
E551=""Exclude"",
FILTER(IMPORTRANGE(""https://docs.google.com/spreadsheets/d/1qpEmbGH0JjaJbUdp21-y2cPbobDbMjr09BbtdKROZWc/edit#gid=1444865654"&amp;""",""articles_with_PRISMA_reasons!Z2:Z2113""), $A551=IMPORTRANGE(""https://docs.google.com/spreadsheets/d/1qpEmbGH0JjaJbUdp21-y2cPbobDbMjr09BbtdKROZWc/edit#gid=1444865654"",""articles_with_PRISMA_reasons!B2:B2113"")),F551
=""Include"",FILTER(IMPORTRANGE("&amp;"""https://docs.google.com/spreadsheets/d/1kGrh75X1cNR1D7_FcY9zMnHP8iPO4M5RCRjy6nZY0TY/edit#gid=0"",""Table 1: Study characteristics!A4:A171""), $A551=IMPORTRANGE(""https://docs.google.com/spreadsheets/d/1kGrh75X1cNR1D7_FcY9zMnHP8iPO4M5RCRjy6nZY0TY/edit#gi"&amp;"d=0"",""Table 1: Study characteristics!B4:B171""))
)"),"wrong study design")</f>
        <v>wrong study design</v>
      </c>
    </row>
    <row r="552">
      <c r="A552" s="4" t="str">
        <f>IFERROR(__xludf.DUMMYFUNCTION("""COMPUTED_VALUE"""),"Congress of Neurological Surgeons Systematic Review and Evidence-Based Guidelines for Pediatric Myelomeningocele: Executive Summary")</f>
        <v>Congress of Neurological Surgeons Systematic Review and Evidence-Based Guidelines for Pediatric Myelomeningocele: Executive Summary</v>
      </c>
      <c r="B552" s="5" t="str">
        <f>IFERROR(__xludf.DUMMYFUNCTION("LEFT(FILTER(IMPORTRANGE(""https://docs.google.com/spreadsheets/d/1BJSV3WBYJGRhQ6zExamkszQ5VutGIcaQqmbD9ZTVXMQ/edit#gid=1251630045"",""articles_with_PRISMA_reasons!K2:K2113""), $A552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$A552=IMPORTRANGE(""https://docs.google.com/spreadsheets/d/1BJSV3WBYJGRhQ6zExamkszQ5VutGIcaQqmbD9ZTVXMQ/edit#gid=1251630045"",""articles_with_PRISMA_reasons!B2:B2113"")))-1)"),"Mazzola")</f>
        <v>Mazzola</v>
      </c>
      <c r="C552" s="6">
        <f>IFERROR(__xludf.DUMMYFUNCTION("FILTER(IMPORTRANGE(""https://docs.google.com/spreadsheets/d/1BJSV3WBYJGRhQ6zExamkszQ5VutGIcaQqmbD9ZTVXMQ/edit#gid=1251630045"",""articles_with_PRISMA_reasons!C2:C2113""), $A552=IMPORTRANGE(""https://docs.google.com/spreadsheets/d/1BJSV3WBYJGRhQ6zExamkszQ5"&amp;"VutGIcaQqmbD9ZTVXMQ/edit#gid=1251630045"",""articles_with_PRISMA_reasons!B2:B2113""))"),2019.0)</f>
        <v>2019</v>
      </c>
      <c r="D552" s="5" t="str">
        <f>IFERROR(__xludf.DUMMYFUNCTION("IFS(AND(
FILTER(IMPORTRANGE(""https://docs.google.com/spreadsheets/d/1BJSV3WBYJGRhQ6zExamkszQ5VutGIcaQqmbD9ZTVXMQ/edit#gid=1251630045"",""articles_with_PRISMA_reasons!Y2:Y2113""), $A552=IMPORTRANGE(""https://docs.google.com/spreadsheets/d/1BJSV3WBYJGRhQ6z"&amp;"ExamkszQ5VutGIcaQqmbD9ZTVXMQ/edit#gid=1251630045"",""articles_with_PRISMA_reasons!B2:B2113""))&gt;=2,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$A552=IMPORTRANGE(""https://docs.google.com/spreadsheets/d/1BJSV3WBYJGRhQ6zExamkszQ5VutGIcaQqmbD9ZTVXMQ/edit#gid=1251630045"",""articles_with_PRISMA_reasons!B2:B2113""))&lt;2),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$A552=IMPORTRANGE(""https://docs.google.com/spreadsheets/d/1BJSV3WBYJGRhQ6zExamkszQ5VutGIcaQqmbD9ZTVXMQ/edit#gid=1251630045"",""arti"&amp;"cles_with_PRISMA_reasons!B2:B2113""))&lt;2,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$A552=IMPORTRANGE(""https://docs.google.com"&amp;"/spreadsheets/d/1BJSV3WBYJGRhQ6zExamkszQ5VutGIcaQqmbD9ZTVXMQ/edit#gid=1251630045"",""articles_with_PRISMA_reasons!B2:B2113""))&gt;=2),
""Exclude""
)"),"Exclude")</f>
        <v>Exclude</v>
      </c>
      <c r="E552" s="5" t="str">
        <f>IFERROR(__xludf.DUMMYFUNCTION("IFS(
D552=""Exclude"",""Exclude"",
AND(
FILTER(IMPORTRANGE(""https://docs.google.com/spreadsheets/d/1qpEmbGH0JjaJbUdp21-y2cPbobDbMjr09BbtdKROZWc/edit#gid=1444865654"",""articles_with_PRISMA_reasons!W2:W2113""), $A552=IMPORTRANGE(""https://docs.google.com/"&amp;"spreadsheets/d/1qpEmbGH0JjaJbUdp21-y2cPbobDbMjr09BbtdKROZWc/edit#gid=1444865654"",""articles_with_PRISMA_reasons!B2:B2113""))&gt;=2,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$A552=IMPORTRANGE(""https://docs.google.com/spreadsheets/d/1qpEmbGH0JjaJbUdp21-y2cPbobDbMjr09BbtdKROZWc/edit#gid=1444865654"",""articles_with_PRISMA_reasons!B2:B2113""))&lt;2),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$A552=IMPORTRANGE(""https://docs.google.com/spreadsheets/d/1qpEmbGH0JjaJbUdp21-y2cPbobDbMjr09BbtdKRO"&amp;"ZWc/edit#gid=1444865654"",""articles_with_PRISMA_reasons!B2:B2113""))&lt;2,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$A552=IMPOR"&amp;"TRANGE(""https://docs.google.com/spreadsheets/d/1qpEmbGH0JjaJbUdp21-y2cPbobDbMjr09BbtdKROZWc/edit#gid=1444865654"",""articles_with_PRISMA_reasons!B2:B2113""))&gt;=2),
""Exclude""
)"),"Exclude")</f>
        <v>Exclude</v>
      </c>
      <c r="F552" s="5" t="str">
        <f>IFERROR(__xludf.DUMMYFUNCTION("IFS(
E552=""Exclude"",""Exclude"",
AND(
COUNTIF(
IMPORTRANGE(""https://docs.google.com/spreadsheets/d/1kGrh75X1cNR1D7_FcY9zMnHP8iPO4M5RCRjy6nZY0TY/edit#gid=0"",""Table 1: Study characteristics!B4:B171""),A552)&gt;0,
COUNTIF(Studies!$A$2:$A$85,FILTER(IMPORTRA"&amp;"NGE(""https://docs.google.com/spreadsheets/d/1kGrh75X1cNR1D7_FcY9zMnHP8iPO4M5RCRjy6nZY0TY/edit#gid=0"",""Table 1: Study characteristics!A4:A171""), $A552=IMPORTRANGE(""https://docs.google.com/spreadsheets/d/1kGrh75X1cNR1D7_FcY9zMnHP8iPO4M5RCRjy6nZY0TY/edi"&amp;"t#gid=0"",""Table 1: Study characteristics!B4:B171"")))&gt;0
),
""Include""
)"),"Exclude")</f>
        <v>Exclude</v>
      </c>
      <c r="G552" s="5" t="str">
        <f>IFERROR(__xludf.DUMMYFUNCTION("IFS(
D552=""Exclude"",
FILTER(IMPORTRANGE(""https://docs.google.com/spreadsheets/d/1BJSV3WBYJGRhQ6zExamkszQ5VutGIcaQqmbD9ZTVXMQ/edit#gid=1251630045"",""articles_with_PRISMA_reasons!AB2:AB2113""), $A552=IMPORTRANGE(""https://docs.google.com/spreadsheets/d/"&amp;"1BJSV3WBYJGRhQ6zExamkszQ5VutGIcaQqmbD9ZTVXMQ/edit#gid=1251630045"",""articles_with_PRISMA_reasons!B2:B2113"")),
E552=""Exclude"",
FILTER(IMPORTRANGE(""https://docs.google.com/spreadsheets/d/1qpEmbGH0JjaJbUdp21-y2cPbobDbMjr09BbtdKROZWc/edit#gid=1444865654"&amp;""",""articles_with_PRISMA_reasons!Z2:Z2113""), $A552=IMPORTRANGE(""https://docs.google.com/spreadsheets/d/1qpEmbGH0JjaJbUdp21-y2cPbobDbMjr09BbtdKROZWc/edit#gid=1444865654"",""articles_with_PRISMA_reasons!B2:B2113"")),F552
=""Include"",FILTER(IMPORTRANGE("&amp;"""https://docs.google.com/spreadsheets/d/1kGrh75X1cNR1D7_FcY9zMnHP8iPO4M5RCRjy6nZY0TY/edit#gid=0"",""Table 1: Study characteristics!A4:A171""), $A552=IMPORTRANGE(""https://docs.google.com/spreadsheets/d/1kGrh75X1cNR1D7_FcY9zMnHP8iPO4M5RCRjy6nZY0TY/edit#gi"&amp;"d=0"",""Table 1: Study characteristics!B4:B171""))
)"),"wrong study design")</f>
        <v>wrong study design</v>
      </c>
    </row>
    <row r="553">
      <c r="A553" s="4" t="str">
        <f>IFERROR(__xludf.DUMMYFUNCTION("""COMPUTED_VALUE"""),"Consequences of antenatal diagnosis for pediatric surgery")</f>
        <v>Consequences of antenatal diagnosis for pediatric surgery</v>
      </c>
      <c r="B553" s="5" t="str">
        <f>IFERROR(__xludf.DUMMYFUNCTION("LEFT(FILTER(IMPORTRANGE(""https://docs.google.com/spreadsheets/d/1BJSV3WBYJGRhQ6zExamkszQ5VutGIcaQqmbD9ZTVXMQ/edit#gid=1251630045"",""articles_with_PRISMA_reasons!K2:K2113""), $A553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$A553=IMPORTRANGE(""https://docs.google.com/spreadsheets/d/1BJSV3WBYJGRhQ6zExamkszQ5VutGIcaQqmbD9ZTVXMQ/edit#gid=1251630045"",""articles_with_PRISMA_reasons!B2:B2113"")))-1)"),"Holschneider")</f>
        <v>Holschneider</v>
      </c>
      <c r="C553" s="6">
        <f>IFERROR(__xludf.DUMMYFUNCTION("FILTER(IMPORTRANGE(""https://docs.google.com/spreadsheets/d/1BJSV3WBYJGRhQ6zExamkszQ5VutGIcaQqmbD9ZTVXMQ/edit#gid=1251630045"",""articles_with_PRISMA_reasons!C2:C2113""), $A553=IMPORTRANGE(""https://docs.google.com/spreadsheets/d/1BJSV3WBYJGRhQ6zExamkszQ5"&amp;"VutGIcaQqmbD9ZTVXMQ/edit#gid=1251630045"",""articles_with_PRISMA_reasons!B2:B2113""))"),1986.0)</f>
        <v>1986</v>
      </c>
      <c r="D553" s="5" t="str">
        <f>IFERROR(__xludf.DUMMYFUNCTION("IFS(AND(
FILTER(IMPORTRANGE(""https://docs.google.com/spreadsheets/d/1BJSV3WBYJGRhQ6zExamkszQ5VutGIcaQqmbD9ZTVXMQ/edit#gid=1251630045"",""articles_with_PRISMA_reasons!Y2:Y2113""), $A553=IMPORTRANGE(""https://docs.google.com/spreadsheets/d/1BJSV3WBYJGRhQ6z"&amp;"ExamkszQ5VutGIcaQqmbD9ZTVXMQ/edit#gid=1251630045"",""articles_with_PRISMA_reasons!B2:B2113""))&gt;=2,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$A553=IMPORTRANGE(""https://docs.google.com/spreadsheets/d/1BJSV3WBYJGRhQ6zExamkszQ5VutGIcaQqmbD9ZTVXMQ/edit#gid=1251630045"",""articles_with_PRISMA_reasons!B2:B2113""))&lt;2),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$A553=IMPORTRANGE(""https://docs.google.com/spreadsheets/d/1BJSV3WBYJGRhQ6zExamkszQ5VutGIcaQqmbD9ZTVXMQ/edit#gid=1251630045"",""arti"&amp;"cles_with_PRISMA_reasons!B2:B2113""))&lt;2,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$A553=IMPORTRANGE(""https://docs.google.com"&amp;"/spreadsheets/d/1BJSV3WBYJGRhQ6zExamkszQ5VutGIcaQqmbD9ZTVXMQ/edit#gid=1251630045"",""articles_with_PRISMA_reasons!B2:B2113""))&gt;=2),
""Exclude""
)"),"Exclude")</f>
        <v>Exclude</v>
      </c>
      <c r="E553" s="5" t="str">
        <f>IFERROR(__xludf.DUMMYFUNCTION("IFS(
D553=""Exclude"",""Exclude"",
AND(
FILTER(IMPORTRANGE(""https://docs.google.com/spreadsheets/d/1qpEmbGH0JjaJbUdp21-y2cPbobDbMjr09BbtdKROZWc/edit#gid=1444865654"",""articles_with_PRISMA_reasons!W2:W2113""), $A553=IMPORTRANGE(""https://docs.google.com/"&amp;"spreadsheets/d/1qpEmbGH0JjaJbUdp21-y2cPbobDbMjr09BbtdKROZWc/edit#gid=1444865654"",""articles_with_PRISMA_reasons!B2:B2113""))&gt;=2,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$A553=IMPORTRANGE(""https://docs.google.com/spreadsheets/d/1qpEmbGH0JjaJbUdp21-y2cPbobDbMjr09BbtdKROZWc/edit#gid=1444865654"",""articles_with_PRISMA_reasons!B2:B2113""))&lt;2),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$A553=IMPORTRANGE(""https://docs.google.com/spreadsheets/d/1qpEmbGH0JjaJbUdp21-y2cPbobDbMjr09BbtdKRO"&amp;"ZWc/edit#gid=1444865654"",""articles_with_PRISMA_reasons!B2:B2113""))&lt;2,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$A553=IMPOR"&amp;"TRANGE(""https://docs.google.com/spreadsheets/d/1qpEmbGH0JjaJbUdp21-y2cPbobDbMjr09BbtdKROZWc/edit#gid=1444865654"",""articles_with_PRISMA_reasons!B2:B2113""))&gt;=2),
""Exclude""
)"),"Exclude")</f>
        <v>Exclude</v>
      </c>
      <c r="F553" s="5" t="str">
        <f>IFERROR(__xludf.DUMMYFUNCTION("IFS(
E553=""Exclude"",""Exclude"",
AND(
COUNTIF(
IMPORTRANGE(""https://docs.google.com/spreadsheets/d/1kGrh75X1cNR1D7_FcY9zMnHP8iPO4M5RCRjy6nZY0TY/edit#gid=0"",""Table 1: Study characteristics!B4:B171""),A553)&gt;0,
COUNTIF(Studies!$A$2:$A$85,FILTER(IMPORTRA"&amp;"NGE(""https://docs.google.com/spreadsheets/d/1kGrh75X1cNR1D7_FcY9zMnHP8iPO4M5RCRjy6nZY0TY/edit#gid=0"",""Table 1: Study characteristics!A4:A171""), $A553=IMPORTRANGE(""https://docs.google.com/spreadsheets/d/1kGrh75X1cNR1D7_FcY9zMnHP8iPO4M5RCRjy6nZY0TY/edi"&amp;"t#gid=0"",""Table 1: Study characteristics!B4:B171"")))&gt;0
),
""Include""
)"),"Exclude")</f>
        <v>Exclude</v>
      </c>
      <c r="G553" s="5" t="str">
        <f>IFERROR(__xludf.DUMMYFUNCTION("IFS(
D553=""Exclude"",
FILTER(IMPORTRANGE(""https://docs.google.com/spreadsheets/d/1BJSV3WBYJGRhQ6zExamkszQ5VutGIcaQqmbD9ZTVXMQ/edit#gid=1251630045"",""articles_with_PRISMA_reasons!AB2:AB2113""), $A553=IMPORTRANGE(""https://docs.google.com/spreadsheets/d/"&amp;"1BJSV3WBYJGRhQ6zExamkszQ5VutGIcaQqmbD9ZTVXMQ/edit#gid=1251630045"",""articles_with_PRISMA_reasons!B2:B2113"")),
E553=""Exclude"",
FILTER(IMPORTRANGE(""https://docs.google.com/spreadsheets/d/1qpEmbGH0JjaJbUdp21-y2cPbobDbMjr09BbtdKROZWc/edit#gid=1444865654"&amp;""",""articles_with_PRISMA_reasons!Z2:Z2113""), $A553=IMPORTRANGE(""https://docs.google.com/spreadsheets/d/1qpEmbGH0JjaJbUdp21-y2cPbobDbMjr09BbtdKROZWc/edit#gid=1444865654"",""articles_with_PRISMA_reasons!B2:B2113"")),F553
=""Include"",FILTER(IMPORTRANGE("&amp;"""https://docs.google.com/spreadsheets/d/1kGrh75X1cNR1D7_FcY9zMnHP8iPO4M5RCRjy6nZY0TY/edit#gid=0"",""Table 1: Study characteristics!A4:A171""), $A553=IMPORTRANGE(""https://docs.google.com/spreadsheets/d/1kGrh75X1cNR1D7_FcY9zMnHP8iPO4M5RCRjy6nZY0TY/edit#gi"&amp;"d=0"",""Table 1: Study characteristics!B4:B171""))
)"),"wrong population")</f>
        <v>wrong population</v>
      </c>
    </row>
    <row r="554">
      <c r="A554" s="4" t="str">
        <f>IFERROR(__xludf.DUMMYFUNCTION("""COMPUTED_VALUE"""),"Contemporaneous shunting with repair of myelomeningocele")</f>
        <v>Contemporaneous shunting with repair of myelomeningocele</v>
      </c>
      <c r="B554" s="5" t="str">
        <f>IFERROR(__xludf.DUMMYFUNCTION("LEFT(FILTER(IMPORTRANGE(""https://docs.google.com/spreadsheets/d/1BJSV3WBYJGRhQ6zExamkszQ5VutGIcaQqmbD9ZTVXMQ/edit#gid=1251630045"",""articles_with_PRISMA_reasons!K2:K2113""), $A554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$A554=IMPORTRANGE(""https://docs.google.com/spreadsheets/d/1BJSV3WBYJGRhQ6zExamkszQ5VutGIcaQqmbD9ZTVXMQ/edit#gid=1251630045"",""articles_with_PRISMA_reasons!B2:B2113"")))-1)"),"Parent")</f>
        <v>Parent</v>
      </c>
      <c r="C554" s="6">
        <f>IFERROR(__xludf.DUMMYFUNCTION("FILTER(IMPORTRANGE(""https://docs.google.com/spreadsheets/d/1BJSV3WBYJGRhQ6zExamkszQ5VutGIcaQqmbD9ZTVXMQ/edit#gid=1251630045"",""articles_with_PRISMA_reasons!C2:C2113""), $A554=IMPORTRANGE(""https://docs.google.com/spreadsheets/d/1BJSV3WBYJGRhQ6zExamkszQ5"&amp;"VutGIcaQqmbD9ZTVXMQ/edit#gid=1251630045"",""articles_with_PRISMA_reasons!B2:B2113""))"),1995.0)</f>
        <v>1995</v>
      </c>
      <c r="D554" s="5" t="str">
        <f>IFERROR(__xludf.DUMMYFUNCTION("IFS(AND(
FILTER(IMPORTRANGE(""https://docs.google.com/spreadsheets/d/1BJSV3WBYJGRhQ6zExamkszQ5VutGIcaQqmbD9ZTVXMQ/edit#gid=1251630045"",""articles_with_PRISMA_reasons!Y2:Y2113""), $A554=IMPORTRANGE(""https://docs.google.com/spreadsheets/d/1BJSV3WBYJGRhQ6z"&amp;"ExamkszQ5VutGIcaQqmbD9ZTVXMQ/edit#gid=1251630045"",""articles_with_PRISMA_reasons!B2:B2113""))&gt;=2,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$A554=IMPORTRANGE(""https://docs.google.com/spreadsheets/d/1BJSV3WBYJGRhQ6zExamkszQ5VutGIcaQqmbD9ZTVXMQ/edit#gid=1251630045"",""articles_with_PRISMA_reasons!B2:B2113""))&lt;2),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$A554=IMPORTRANGE(""https://docs.google.com/spreadsheets/d/1BJSV3WBYJGRhQ6zExamkszQ5VutGIcaQqmbD9ZTVXMQ/edit#gid=1251630045"",""arti"&amp;"cles_with_PRISMA_reasons!B2:B2113""))&lt;2,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$A554=IMPORTRANGE(""https://docs.google.com"&amp;"/spreadsheets/d/1BJSV3WBYJGRhQ6zExamkszQ5VutGIcaQqmbD9ZTVXMQ/edit#gid=1251630045"",""articles_with_PRISMA_reasons!B2:B2113""))&gt;=2),
""Exclude""
)"),"Include")</f>
        <v>Include</v>
      </c>
      <c r="E554" s="5" t="str">
        <f>IFERROR(__xludf.DUMMYFUNCTION("IFS(
D554=""Exclude"",""Exclude"",
AND(
FILTER(IMPORTRANGE(""https://docs.google.com/spreadsheets/d/1qpEmbGH0JjaJbUdp21-y2cPbobDbMjr09BbtdKROZWc/edit#gid=1444865654"",""articles_with_PRISMA_reasons!W2:W2113""), $A554=IMPORTRANGE(""https://docs.google.com/"&amp;"spreadsheets/d/1qpEmbGH0JjaJbUdp21-y2cPbobDbMjr09BbtdKROZWc/edit#gid=1444865654"",""articles_with_PRISMA_reasons!B2:B2113""))&gt;=2,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$A554=IMPORTRANGE(""https://docs.google.com/spreadsheets/d/1qpEmbGH0JjaJbUdp21-y2cPbobDbMjr09BbtdKROZWc/edit#gid=1444865654"",""articles_with_PRISMA_reasons!B2:B2113""))&lt;2),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$A554=IMPORTRANGE(""https://docs.google.com/spreadsheets/d/1qpEmbGH0JjaJbUdp21-y2cPbobDbMjr09BbtdKRO"&amp;"ZWc/edit#gid=1444865654"",""articles_with_PRISMA_reasons!B2:B2113""))&lt;2,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$A554=IMPOR"&amp;"TRANGE(""https://docs.google.com/spreadsheets/d/1qpEmbGH0JjaJbUdp21-y2cPbobDbMjr09BbtdKROZWc/edit#gid=1444865654"",""articles_with_PRISMA_reasons!B2:B2113""))&gt;=2),
""Exclude""
)"),"Include")</f>
        <v>Include</v>
      </c>
      <c r="F554" s="5" t="str">
        <f>IFERROR(__xludf.DUMMYFUNCTION("IFS(
E554=""Exclude"",""Exclude"",
AND(
COUNTIF(
IMPORTRANGE(""https://docs.google.com/spreadsheets/d/1kGrh75X1cNR1D7_FcY9zMnHP8iPO4M5RCRjy6nZY0TY/edit#gid=0"",""Table 1: Study characteristics!B4:B171""),A554)&gt;0,
COUNTIF(Studies!$A$2:$A$85,FILTER(IMPORTRA"&amp;"NGE(""https://docs.google.com/spreadsheets/d/1kGrh75X1cNR1D7_FcY9zMnHP8iPO4M5RCRjy6nZY0TY/edit#gid=0"",""Table 1: Study characteristics!A4:A171""), $A554=IMPORTRANGE(""https://docs.google.com/spreadsheets/d/1kGrh75X1cNR1D7_FcY9zMnHP8iPO4M5RCRjy6nZY0TY/edi"&amp;"t#gid=0"",""Table 1: Study characteristics!B4:B171"")))&gt;0
),
""Include""
)"),"Include")</f>
        <v>Include</v>
      </c>
      <c r="G554" s="5" t="str">
        <f>IFERROR(__xludf.DUMMYFUNCTION("IFS(
D554=""Exclude"",
FILTER(IMPORTRANGE(""https://docs.google.com/spreadsheets/d/1BJSV3WBYJGRhQ6zExamkszQ5VutGIcaQqmbD9ZTVXMQ/edit#gid=1251630045"",""articles_with_PRISMA_reasons!AB2:AB2113""), $A554=IMPORTRANGE(""https://docs.google.com/spreadsheets/d/"&amp;"1BJSV3WBYJGRhQ6zExamkszQ5VutGIcaQqmbD9ZTVXMQ/edit#gid=1251630045"",""articles_with_PRISMA_reasons!B2:B2113"")),
E554=""Exclude"",
FILTER(IMPORTRANGE(""https://docs.google.com/spreadsheets/d/1qpEmbGH0JjaJbUdp21-y2cPbobDbMjr09BbtdKROZWc/edit#gid=1444865654"&amp;""",""articles_with_PRISMA_reasons!Z2:Z2113""), $A554=IMPORTRANGE(""https://docs.google.com/spreadsheets/d/1qpEmbGH0JjaJbUdp21-y2cPbobDbMjr09BbtdKROZWc/edit#gid=1444865654"",""articles_with_PRISMA_reasons!B2:B2113"")),F554
=""Include"",FILTER(IMPORTRANGE("&amp;"""https://docs.google.com/spreadsheets/d/1kGrh75X1cNR1D7_FcY9zMnHP8iPO4M5RCRjy6nZY0TY/edit#gid=0"",""Table 1: Study characteristics!A4:A171""), $A554=IMPORTRANGE(""https://docs.google.com/spreadsheets/d/1kGrh75X1cNR1D7_FcY9zMnHP8iPO4M5RCRjy6nZY0TY/edit#gi"&amp;"d=0"",""Table 1: Study characteristics!B4:B171""))
)"),"ID 38")</f>
        <v>ID 38</v>
      </c>
    </row>
    <row r="555">
      <c r="A555" s="4" t="str">
        <f>IFERROR(__xludf.DUMMYFUNCTION("""COMPUTED_VALUE"""),"Contemporary management and outcome of myelomeningocele: the Rotterdam experience")</f>
        <v>Contemporary management and outcome of myelomeningocele: the Rotterdam experience</v>
      </c>
      <c r="B555" s="5" t="str">
        <f>IFERROR(__xludf.DUMMYFUNCTION("LEFT(FILTER(IMPORTRANGE(""https://docs.google.com/spreadsheets/d/1BJSV3WBYJGRhQ6zExamkszQ5VutGIcaQqmbD9ZTVXMQ/edit#gid=1251630045"",""articles_with_PRISMA_reasons!K2:K2113""), $A555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$A555=IMPORTRANGE(""https://docs.google.com/spreadsheets/d/1BJSV3WBYJGRhQ6zExamkszQ5VutGIcaQqmbD9ZTVXMQ/edit#gid=1251630045"",""articles_with_PRISMA_reasons!B2:B2113"")))-1)"),"Spoor")</f>
        <v>Spoor</v>
      </c>
      <c r="C555" s="6">
        <f>IFERROR(__xludf.DUMMYFUNCTION("FILTER(IMPORTRANGE(""https://docs.google.com/spreadsheets/d/1BJSV3WBYJGRhQ6zExamkszQ5VutGIcaQqmbD9ZTVXMQ/edit#gid=1251630045"",""articles_with_PRISMA_reasons!C2:C2113""), $A555=IMPORTRANGE(""https://docs.google.com/spreadsheets/d/1BJSV3WBYJGRhQ6zExamkszQ5"&amp;"VutGIcaQqmbD9ZTVXMQ/edit#gid=1251630045"",""articles_with_PRISMA_reasons!B2:B2113""))"),2019.0)</f>
        <v>2019</v>
      </c>
      <c r="D555" s="5" t="str">
        <f>IFERROR(__xludf.DUMMYFUNCTION("IFS(AND(
FILTER(IMPORTRANGE(""https://docs.google.com/spreadsheets/d/1BJSV3WBYJGRhQ6zExamkszQ5VutGIcaQqmbD9ZTVXMQ/edit#gid=1251630045"",""articles_with_PRISMA_reasons!Y2:Y2113""), $A555=IMPORTRANGE(""https://docs.google.com/spreadsheets/d/1BJSV3WBYJGRhQ6z"&amp;"ExamkszQ5VutGIcaQqmbD9ZTVXMQ/edit#gid=1251630045"",""articles_with_PRISMA_reasons!B2:B2113""))&gt;=2,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$A555=IMPORTRANGE(""https://docs.google.com/spreadsheets/d/1BJSV3WBYJGRhQ6zExamkszQ5VutGIcaQqmbD9ZTVXMQ/edit#gid=1251630045"",""articles_with_PRISMA_reasons!B2:B2113""))&lt;2),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$A555=IMPORTRANGE(""https://docs.google.com/spreadsheets/d/1BJSV3WBYJGRhQ6zExamkszQ5VutGIcaQqmbD9ZTVXMQ/edit#gid=1251630045"",""arti"&amp;"cles_with_PRISMA_reasons!B2:B2113""))&lt;2,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$A555=IMPORTRANGE(""https://docs.google.com"&amp;"/spreadsheets/d/1BJSV3WBYJGRhQ6zExamkszQ5VutGIcaQqmbD9ZTVXMQ/edit#gid=1251630045"",""articles_with_PRISMA_reasons!B2:B2113""))&gt;=2),
""Exclude""
)"),"Include")</f>
        <v>Include</v>
      </c>
      <c r="E555" s="5" t="str">
        <f>IFERROR(__xludf.DUMMYFUNCTION("IFS(
D555=""Exclude"",""Exclude"",
AND(
FILTER(IMPORTRANGE(""https://docs.google.com/spreadsheets/d/1qpEmbGH0JjaJbUdp21-y2cPbobDbMjr09BbtdKROZWc/edit#gid=1444865654"",""articles_with_PRISMA_reasons!W2:W2113""), $A555=IMPORTRANGE(""https://docs.google.com/"&amp;"spreadsheets/d/1qpEmbGH0JjaJbUdp21-y2cPbobDbMjr09BbtdKROZWc/edit#gid=1444865654"",""articles_with_PRISMA_reasons!B2:B2113""))&gt;=2,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$A555=IMPORTRANGE(""https://docs.google.com/spreadsheets/d/1qpEmbGH0JjaJbUdp21-y2cPbobDbMjr09BbtdKROZWc/edit#gid=1444865654"",""articles_with_PRISMA_reasons!B2:B2113""))&lt;2),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$A555=IMPORTRANGE(""https://docs.google.com/spreadsheets/d/1qpEmbGH0JjaJbUdp21-y2cPbobDbMjr09BbtdKRO"&amp;"ZWc/edit#gid=1444865654"",""articles_with_PRISMA_reasons!B2:B2113""))&lt;2,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$A555=IMPOR"&amp;"TRANGE(""https://docs.google.com/spreadsheets/d/1qpEmbGH0JjaJbUdp21-y2cPbobDbMjr09BbtdKROZWc/edit#gid=1444865654"",""articles_with_PRISMA_reasons!B2:B2113""))&gt;=2),
""Exclude""
)"),"Include")</f>
        <v>Include</v>
      </c>
      <c r="F555" s="5" t="str">
        <f>IFERROR(__xludf.DUMMYFUNCTION("IFS(
E555=""Exclude"",""Exclude"",
AND(
COUNTIF(
IMPORTRANGE(""https://docs.google.com/spreadsheets/d/1kGrh75X1cNR1D7_FcY9zMnHP8iPO4M5RCRjy6nZY0TY/edit#gid=0"",""Table 1: Study characteristics!B4:B171""),A555)&gt;0,
COUNTIF(Studies!$A$2:$A$85,FILTER(IMPORTRA"&amp;"NGE(""https://docs.google.com/spreadsheets/d/1kGrh75X1cNR1D7_FcY9zMnHP8iPO4M5RCRjy6nZY0TY/edit#gid=0"",""Table 1: Study characteristics!A4:A171""), $A555=IMPORTRANGE(""https://docs.google.com/spreadsheets/d/1kGrh75X1cNR1D7_FcY9zMnHP8iPO4M5RCRjy6nZY0TY/edi"&amp;"t#gid=0"",""Table 1: Study characteristics!B4:B171"")))&gt;0
),
""Include""
)"),"Include")</f>
        <v>Include</v>
      </c>
      <c r="G555" s="5" t="str">
        <f>IFERROR(__xludf.DUMMYFUNCTION("IFS(
D555=""Exclude"",
FILTER(IMPORTRANGE(""https://docs.google.com/spreadsheets/d/1BJSV3WBYJGRhQ6zExamkszQ5VutGIcaQqmbD9ZTVXMQ/edit#gid=1251630045"",""articles_with_PRISMA_reasons!AB2:AB2113""), $A555=IMPORTRANGE(""https://docs.google.com/spreadsheets/d/"&amp;"1BJSV3WBYJGRhQ6zExamkszQ5VutGIcaQqmbD9ZTVXMQ/edit#gid=1251630045"",""articles_with_PRISMA_reasons!B2:B2113"")),
E555=""Exclude"",
FILTER(IMPORTRANGE(""https://docs.google.com/spreadsheets/d/1qpEmbGH0JjaJbUdp21-y2cPbobDbMjr09BbtdKROZWc/edit#gid=1444865654"&amp;""",""articles_with_PRISMA_reasons!Z2:Z2113""), $A555=IMPORTRANGE(""https://docs.google.com/spreadsheets/d/1qpEmbGH0JjaJbUdp21-y2cPbobDbMjr09BbtdKROZWc/edit#gid=1444865654"",""articles_with_PRISMA_reasons!B2:B2113"")),F555
=""Include"",FILTER(IMPORTRANGE("&amp;"""https://docs.google.com/spreadsheets/d/1kGrh75X1cNR1D7_FcY9zMnHP8iPO4M5RCRjy6nZY0TY/edit#gid=0"",""Table 1: Study characteristics!A4:A171""), $A555=IMPORTRANGE(""https://docs.google.com/spreadsheets/d/1kGrh75X1cNR1D7_FcY9zMnHP8iPO4M5RCRjy6nZY0TY/edit#gi"&amp;"d=0"",""Table 1: Study characteristics!B4:B171""))
)"),"ID 39")</f>
        <v>ID 39</v>
      </c>
    </row>
    <row r="556">
      <c r="A556" s="4" t="str">
        <f>IFERROR(__xludf.DUMMYFUNCTION("""COMPUTED_VALUE"""),"Contiguous triple spinal dysraphism associated with Chiari malformation Type II and hydrocephalus: an embryological conundrum between the unified theory of Pang and the unified theory of McLone")</f>
        <v>Contiguous triple spinal dysraphism associated with Chiari malformation Type II and hydrocephalus: an embryological conundrum between the unified theory of Pang and the unified theory of McLone</v>
      </c>
      <c r="B556" s="5" t="str">
        <f>IFERROR(__xludf.DUMMYFUNCTION("LEFT(FILTER(IMPORTRANGE(""https://docs.google.com/spreadsheets/d/1BJSV3WBYJGRhQ6zExamkszQ5VutGIcaQqmbD9ZTVXMQ/edit#gid=1251630045"",""articles_with_PRISMA_reasons!K2:K2113""), $A556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$A556=IMPORTRANGE(""https://docs.google.com/spreadsheets/d/1BJSV3WBYJGRhQ6zExamkszQ5VutGIcaQqmbD9ZTVXMQ/edit#gid=1251630045"",""articles_with_PRISMA_reasons!B2:B2113"")))-1)"),"Dh and apani")</f>
        <v>Dh and apani</v>
      </c>
      <c r="C556" s="6" t="str">
        <f>IFERROR(__xludf.DUMMYFUNCTION("FILTER(IMPORTRANGE(""https://docs.google.com/spreadsheets/d/1BJSV3WBYJGRhQ6zExamkszQ5VutGIcaQqmbD9ZTVXMQ/edit#gid=1251630045"",""articles_with_PRISMA_reasons!C2:C2113""), $A556=IMPORTRANGE(""https://docs.google.com/spreadsheets/d/1BJSV3WBYJGRhQ6zExamkszQ5"&amp;"VutGIcaQqmbD9ZTVXMQ/edit#gid=1251630045"",""articles_with_PRISMA_reasons!B2:B2113""))"),"Jan")</f>
        <v>Jan</v>
      </c>
      <c r="D556" s="5" t="str">
        <f>IFERROR(__xludf.DUMMYFUNCTION("IFS(AND(
FILTER(IMPORTRANGE(""https://docs.google.com/spreadsheets/d/1BJSV3WBYJGRhQ6zExamkszQ5VutGIcaQqmbD9ZTVXMQ/edit#gid=1251630045"",""articles_with_PRISMA_reasons!Y2:Y2113""), $A556=IMPORTRANGE(""https://docs.google.com/spreadsheets/d/1BJSV3WBYJGRhQ6z"&amp;"ExamkszQ5VutGIcaQqmbD9ZTVXMQ/edit#gid=1251630045"",""articles_with_PRISMA_reasons!B2:B2113""))&gt;=2,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$A556=IMPORTRANGE(""https://docs.google.com/spreadsheets/d/1BJSV3WBYJGRhQ6zExamkszQ5VutGIcaQqmbD9ZTVXMQ/edit#gid=1251630045"",""articles_with_PRISMA_reasons!B2:B2113""))&lt;2),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$A556=IMPORTRANGE(""https://docs.google.com/spreadsheets/d/1BJSV3WBYJGRhQ6zExamkszQ5VutGIcaQqmbD9ZTVXMQ/edit#gid=1251630045"",""arti"&amp;"cles_with_PRISMA_reasons!B2:B2113""))&lt;2,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$A556=IMPORTRANGE(""https://docs.google.com"&amp;"/spreadsheets/d/1BJSV3WBYJGRhQ6zExamkszQ5VutGIcaQqmbD9ZTVXMQ/edit#gid=1251630045"",""articles_with_PRISMA_reasons!B2:B2113""))&gt;=2),
""Exclude""
)"),"Exclude")</f>
        <v>Exclude</v>
      </c>
      <c r="E556" s="5" t="str">
        <f>IFERROR(__xludf.DUMMYFUNCTION("IFS(
D556=""Exclude"",""Exclude"",
AND(
FILTER(IMPORTRANGE(""https://docs.google.com/spreadsheets/d/1qpEmbGH0JjaJbUdp21-y2cPbobDbMjr09BbtdKROZWc/edit#gid=1444865654"",""articles_with_PRISMA_reasons!W2:W2113""), $A556=IMPORTRANGE(""https://docs.google.com/"&amp;"spreadsheets/d/1qpEmbGH0JjaJbUdp21-y2cPbobDbMjr09BbtdKROZWc/edit#gid=1444865654"",""articles_with_PRISMA_reasons!B2:B2113""))&gt;=2,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$A556=IMPORTRANGE(""https://docs.google.com/spreadsheets/d/1qpEmbGH0JjaJbUdp21-y2cPbobDbMjr09BbtdKROZWc/edit#gid=1444865654"",""articles_with_PRISMA_reasons!B2:B2113""))&lt;2),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$A556=IMPORTRANGE(""https://docs.google.com/spreadsheets/d/1qpEmbGH0JjaJbUdp21-y2cPbobDbMjr09BbtdKRO"&amp;"ZWc/edit#gid=1444865654"",""articles_with_PRISMA_reasons!B2:B2113""))&lt;2,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$A556=IMPOR"&amp;"TRANGE(""https://docs.google.com/spreadsheets/d/1qpEmbGH0JjaJbUdp21-y2cPbobDbMjr09BbtdKROZWc/edit#gid=1444865654"",""articles_with_PRISMA_reasons!B2:B2113""))&gt;=2),
""Exclude""
)"),"Exclude")</f>
        <v>Exclude</v>
      </c>
      <c r="F556" s="5" t="str">
        <f>IFERROR(__xludf.DUMMYFUNCTION("IFS(
E556=""Exclude"",""Exclude"",
AND(
COUNTIF(
IMPORTRANGE(""https://docs.google.com/spreadsheets/d/1kGrh75X1cNR1D7_FcY9zMnHP8iPO4M5RCRjy6nZY0TY/edit#gid=0"",""Table 1: Study characteristics!B4:B171""),A556)&gt;0,
COUNTIF(Studies!$A$2:$A$85,FILTER(IMPORTRA"&amp;"NGE(""https://docs.google.com/spreadsheets/d/1kGrh75X1cNR1D7_FcY9zMnHP8iPO4M5RCRjy6nZY0TY/edit#gid=0"",""Table 1: Study characteristics!A4:A171""), $A556=IMPORTRANGE(""https://docs.google.com/spreadsheets/d/1kGrh75X1cNR1D7_FcY9zMnHP8iPO4M5RCRjy6nZY0TY/edi"&amp;"t#gid=0"",""Table 1: Study characteristics!B4:B171"")))&gt;0
),
""Include""
)"),"Exclude")</f>
        <v>Exclude</v>
      </c>
      <c r="G556" s="5" t="str">
        <f>IFERROR(__xludf.DUMMYFUNCTION("IFS(
D556=""Exclude"",
FILTER(IMPORTRANGE(""https://docs.google.com/spreadsheets/d/1BJSV3WBYJGRhQ6zExamkszQ5VutGIcaQqmbD9ZTVXMQ/edit#gid=1251630045"",""articles_with_PRISMA_reasons!AB2:AB2113""), $A556=IMPORTRANGE(""https://docs.google.com/spreadsheets/d/"&amp;"1BJSV3WBYJGRhQ6zExamkszQ5VutGIcaQqmbD9ZTVXMQ/edit#gid=1251630045"",""articles_with_PRISMA_reasons!B2:B2113"")),
E556=""Exclude"",
FILTER(IMPORTRANGE(""https://docs.google.com/spreadsheets/d/1qpEmbGH0JjaJbUdp21-y2cPbobDbMjr09BbtdKROZWc/edit#gid=1444865654"&amp;""",""articles_with_PRISMA_reasons!Z2:Z2113""), $A556=IMPORTRANGE(""https://docs.google.com/spreadsheets/d/1qpEmbGH0JjaJbUdp21-y2cPbobDbMjr09BbtdKROZWc/edit#gid=1444865654"",""articles_with_PRISMA_reasons!B2:B2113"")),F556
=""Include"",FILTER(IMPORTRANGE("&amp;"""https://docs.google.com/spreadsheets/d/1kGrh75X1cNR1D7_FcY9zMnHP8iPO4M5RCRjy6nZY0TY/edit#gid=0"",""Table 1: Study characteristics!A4:A171""), $A556=IMPORTRANGE(""https://docs.google.com/spreadsheets/d/1kGrh75X1cNR1D7_FcY9zMnHP8iPO4M5RCRjy6nZY0TY/edit#gi"&amp;"d=0"",""Table 1: Study characteristics!B4:B171""))
)"),"wrong study design")</f>
        <v>wrong study design</v>
      </c>
    </row>
    <row r="557">
      <c r="A557" s="4" t="str">
        <f>IFERROR(__xludf.DUMMYFUNCTION("""COMPUTED_VALUE"""),"Continuing concepts in the management of spina bifida")</f>
        <v>Continuing concepts in the management of spina bifida</v>
      </c>
      <c r="B557" s="5" t="str">
        <f>IFERROR(__xludf.DUMMYFUNCTION("LEFT(FILTER(IMPORTRANGE(""https://docs.google.com/spreadsheets/d/1BJSV3WBYJGRhQ6zExamkszQ5VutGIcaQqmbD9ZTVXMQ/edit#gid=1251630045"",""articles_with_PRISMA_reasons!K2:K2113""), $A557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$A557=IMPORTRANGE(""https://docs.google.com/spreadsheets/d/1BJSV3WBYJGRhQ6zExamkszQ5VutGIcaQqmbD9ZTVXMQ/edit#gid=1251630045"",""articles_with_PRISMA_reasons!B2:B2113"")))-1)"),"McLone")</f>
        <v>McLone</v>
      </c>
      <c r="C557" s="6">
        <f>IFERROR(__xludf.DUMMYFUNCTION("FILTER(IMPORTRANGE(""https://docs.google.com/spreadsheets/d/1BJSV3WBYJGRhQ6zExamkszQ5VutGIcaQqmbD9ZTVXMQ/edit#gid=1251630045"",""articles_with_PRISMA_reasons!C2:C2113""), $A557=IMPORTRANGE(""https://docs.google.com/spreadsheets/d/1BJSV3WBYJGRhQ6zExamkszQ5"&amp;"VutGIcaQqmbD9ZTVXMQ/edit#gid=1251630045"",""articles_with_PRISMA_reasons!B2:B2113""))"),1992.0)</f>
        <v>1992</v>
      </c>
      <c r="D557" s="5" t="str">
        <f>IFERROR(__xludf.DUMMYFUNCTION("IFS(AND(
FILTER(IMPORTRANGE(""https://docs.google.com/spreadsheets/d/1BJSV3WBYJGRhQ6zExamkszQ5VutGIcaQqmbD9ZTVXMQ/edit#gid=1251630045"",""articles_with_PRISMA_reasons!Y2:Y2113""), $A557=IMPORTRANGE(""https://docs.google.com/spreadsheets/d/1BJSV3WBYJGRhQ6z"&amp;"ExamkszQ5VutGIcaQqmbD9ZTVXMQ/edit#gid=1251630045"",""articles_with_PRISMA_reasons!B2:B2113""))&gt;=2,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$A557=IMPORTRANGE(""https://docs.google.com/spreadsheets/d/1BJSV3WBYJGRhQ6zExamkszQ5VutGIcaQqmbD9ZTVXMQ/edit#gid=1251630045"",""articles_with_PRISMA_reasons!B2:B2113""))&lt;2),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$A557=IMPORTRANGE(""https://docs.google.com/spreadsheets/d/1BJSV3WBYJGRhQ6zExamkszQ5VutGIcaQqmbD9ZTVXMQ/edit#gid=1251630045"",""arti"&amp;"cles_with_PRISMA_reasons!B2:B2113""))&lt;2,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$A557=IMPORTRANGE(""https://docs.google.com"&amp;"/spreadsheets/d/1BJSV3WBYJGRhQ6zExamkszQ5VutGIcaQqmbD9ZTVXMQ/edit#gid=1251630045"",""articles_with_PRISMA_reasons!B2:B2113""))&gt;=2),
""Exclude""
)"),"Exclude")</f>
        <v>Exclude</v>
      </c>
      <c r="E557" s="5" t="str">
        <f>IFERROR(__xludf.DUMMYFUNCTION("IFS(
D557=""Exclude"",""Exclude"",
AND(
FILTER(IMPORTRANGE(""https://docs.google.com/spreadsheets/d/1qpEmbGH0JjaJbUdp21-y2cPbobDbMjr09BbtdKROZWc/edit#gid=1444865654"",""articles_with_PRISMA_reasons!W2:W2113""), $A557=IMPORTRANGE(""https://docs.google.com/"&amp;"spreadsheets/d/1qpEmbGH0JjaJbUdp21-y2cPbobDbMjr09BbtdKROZWc/edit#gid=1444865654"",""articles_with_PRISMA_reasons!B2:B2113""))&gt;=2,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$A557=IMPORTRANGE(""https://docs.google.com/spreadsheets/d/1qpEmbGH0JjaJbUdp21-y2cPbobDbMjr09BbtdKROZWc/edit#gid=1444865654"",""articles_with_PRISMA_reasons!B2:B2113""))&lt;2),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$A557=IMPORTRANGE(""https://docs.google.com/spreadsheets/d/1qpEmbGH0JjaJbUdp21-y2cPbobDbMjr09BbtdKRO"&amp;"ZWc/edit#gid=1444865654"",""articles_with_PRISMA_reasons!B2:B2113""))&lt;2,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$A557=IMPOR"&amp;"TRANGE(""https://docs.google.com/spreadsheets/d/1qpEmbGH0JjaJbUdp21-y2cPbobDbMjr09BbtdKROZWc/edit#gid=1444865654"",""articles_with_PRISMA_reasons!B2:B2113""))&gt;=2),
""Exclude""
)"),"Exclude")</f>
        <v>Exclude</v>
      </c>
      <c r="F557" s="5" t="str">
        <f>IFERROR(__xludf.DUMMYFUNCTION("IFS(
E557=""Exclude"",""Exclude"",
AND(
COUNTIF(
IMPORTRANGE(""https://docs.google.com/spreadsheets/d/1kGrh75X1cNR1D7_FcY9zMnHP8iPO4M5RCRjy6nZY0TY/edit#gid=0"",""Table 1: Study characteristics!B4:B171""),A557)&gt;0,
COUNTIF(Studies!$A$2:$A$85,FILTER(IMPORTRA"&amp;"NGE(""https://docs.google.com/spreadsheets/d/1kGrh75X1cNR1D7_FcY9zMnHP8iPO4M5RCRjy6nZY0TY/edit#gid=0"",""Table 1: Study characteristics!A4:A171""), $A557=IMPORTRANGE(""https://docs.google.com/spreadsheets/d/1kGrh75X1cNR1D7_FcY9zMnHP8iPO4M5RCRjy6nZY0TY/edi"&amp;"t#gid=0"",""Table 1: Study characteristics!B4:B171"")))&gt;0
),
""Include""
)"),"Exclude")</f>
        <v>Exclude</v>
      </c>
      <c r="G557" s="5" t="str">
        <f>IFERROR(__xludf.DUMMYFUNCTION("IFS(
D557=""Exclude"",
FILTER(IMPORTRANGE(""https://docs.google.com/spreadsheets/d/1BJSV3WBYJGRhQ6zExamkszQ5VutGIcaQqmbD9ZTVXMQ/edit#gid=1251630045"",""articles_with_PRISMA_reasons!AB2:AB2113""), $A557=IMPORTRANGE(""https://docs.google.com/spreadsheets/d/"&amp;"1BJSV3WBYJGRhQ6zExamkszQ5VutGIcaQqmbD9ZTVXMQ/edit#gid=1251630045"",""articles_with_PRISMA_reasons!B2:B2113"")),
E557=""Exclude"",
FILTER(IMPORTRANGE(""https://docs.google.com/spreadsheets/d/1qpEmbGH0JjaJbUdp21-y2cPbobDbMjr09BbtdKROZWc/edit#gid=1444865654"&amp;""",""articles_with_PRISMA_reasons!Z2:Z2113""), $A557=IMPORTRANGE(""https://docs.google.com/spreadsheets/d/1qpEmbGH0JjaJbUdp21-y2cPbobDbMjr09BbtdKROZWc/edit#gid=1444865654"",""articles_with_PRISMA_reasons!B2:B2113"")),F557
=""Include"",FILTER(IMPORTRANGE("&amp;"""https://docs.google.com/spreadsheets/d/1kGrh75X1cNR1D7_FcY9zMnHP8iPO4M5RCRjy6nZY0TY/edit#gid=0"",""Table 1: Study characteristics!A4:A171""), $A557=IMPORTRANGE(""https://docs.google.com/spreadsheets/d/1kGrh75X1cNR1D7_FcY9zMnHP8iPO4M5RCRjy6nZY0TY/edit#gi"&amp;"d=0"",""Table 1: Study characteristics!B4:B171""))
)"),"wrong study design")</f>
        <v>wrong study design</v>
      </c>
    </row>
    <row r="558">
      <c r="A558" s="4" t="str">
        <f>IFERROR(__xludf.DUMMYFUNCTION("""COMPUTED_VALUE"""),"Contribution of electromyography of the anal sphincter to the study of anal incontinence in myelomeningocele. Apropos of 80 personal cases in children I")</f>
        <v>Contribution of electromyography of the anal sphincter to the study of anal incontinence in myelomeningocele. Apropos of 80 personal cases in children I</v>
      </c>
      <c r="B558" s="5" t="str">
        <f>IFERROR(__xludf.DUMMYFUNCTION("LEFT(FILTER(IMPORTRANGE(""https://docs.google.com/spreadsheets/d/1BJSV3WBYJGRhQ6zExamkszQ5VutGIcaQqmbD9ZTVXMQ/edit#gid=1251630045"",""articles_with_PRISMA_reasons!K2:K2113""), $A558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$A558=IMPORTRANGE(""https://docs.google.com/spreadsheets/d/1BJSV3WBYJGRhQ6zExamkszQ5VutGIcaQqmbD9ZTVXMQ/edit#gid=1251630045"",""articles_with_PRISMA_reasons!B2:B2113"")))-1)"),"Chabroud")</f>
        <v>Chabroud</v>
      </c>
      <c r="C558" s="6">
        <f>IFERROR(__xludf.DUMMYFUNCTION("FILTER(IMPORTRANGE(""https://docs.google.com/spreadsheets/d/1BJSV3WBYJGRhQ6zExamkszQ5VutGIcaQqmbD9ZTVXMQ/edit#gid=1251630045"",""articles_with_PRISMA_reasons!C2:C2113""), $A558=IMPORTRANGE(""https://docs.google.com/spreadsheets/d/1BJSV3WBYJGRhQ6zExamkszQ5"&amp;"VutGIcaQqmbD9ZTVXMQ/edit#gid=1251630045"",""articles_with_PRISMA_reasons!B2:B2113""))"),1975.0)</f>
        <v>1975</v>
      </c>
      <c r="D558" s="5" t="str">
        <f>IFERROR(__xludf.DUMMYFUNCTION("IFS(AND(
FILTER(IMPORTRANGE(""https://docs.google.com/spreadsheets/d/1BJSV3WBYJGRhQ6zExamkszQ5VutGIcaQqmbD9ZTVXMQ/edit#gid=1251630045"",""articles_with_PRISMA_reasons!Y2:Y2113""), $A558=IMPORTRANGE(""https://docs.google.com/spreadsheets/d/1BJSV3WBYJGRhQ6z"&amp;"ExamkszQ5VutGIcaQqmbD9ZTVXMQ/edit#gid=1251630045"",""articles_with_PRISMA_reasons!B2:B2113""))&gt;=2,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$A558=IMPORTRANGE(""https://docs.google.com/spreadsheets/d/1BJSV3WBYJGRhQ6zExamkszQ5VutGIcaQqmbD9ZTVXMQ/edit#gid=1251630045"",""articles_with_PRISMA_reasons!B2:B2113""))&lt;2),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$A558=IMPORTRANGE(""https://docs.google.com/spreadsheets/d/1BJSV3WBYJGRhQ6zExamkszQ5VutGIcaQqmbD9ZTVXMQ/edit#gid=1251630045"",""arti"&amp;"cles_with_PRISMA_reasons!B2:B2113""))&lt;2,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$A558=IMPORTRANGE(""https://docs.google.com"&amp;"/spreadsheets/d/1BJSV3WBYJGRhQ6zExamkszQ5VutGIcaQqmbD9ZTVXMQ/edit#gid=1251630045"",""articles_with_PRISMA_reasons!B2:B2113""))&gt;=2),
""Exclude""
)"),"Exclude")</f>
        <v>Exclude</v>
      </c>
      <c r="E558" s="5" t="str">
        <f>IFERROR(__xludf.DUMMYFUNCTION("IFS(
D558=""Exclude"",""Exclude"",
AND(
FILTER(IMPORTRANGE(""https://docs.google.com/spreadsheets/d/1qpEmbGH0JjaJbUdp21-y2cPbobDbMjr09BbtdKROZWc/edit#gid=1444865654"",""articles_with_PRISMA_reasons!W2:W2113""), $A558=IMPORTRANGE(""https://docs.google.com/"&amp;"spreadsheets/d/1qpEmbGH0JjaJbUdp21-y2cPbobDbMjr09BbtdKROZWc/edit#gid=1444865654"",""articles_with_PRISMA_reasons!B2:B2113""))&gt;=2,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$A558=IMPORTRANGE(""https://docs.google.com/spreadsheets/d/1qpEmbGH0JjaJbUdp21-y2cPbobDbMjr09BbtdKROZWc/edit#gid=1444865654"",""articles_with_PRISMA_reasons!B2:B2113""))&lt;2),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$A558=IMPORTRANGE(""https://docs.google.com/spreadsheets/d/1qpEmbGH0JjaJbUdp21-y2cPbobDbMjr09BbtdKRO"&amp;"ZWc/edit#gid=1444865654"",""articles_with_PRISMA_reasons!B2:B2113""))&lt;2,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$A558=IMPOR"&amp;"TRANGE(""https://docs.google.com/spreadsheets/d/1qpEmbGH0JjaJbUdp21-y2cPbobDbMjr09BbtdKROZWc/edit#gid=1444865654"",""articles_with_PRISMA_reasons!B2:B2113""))&gt;=2),
""Exclude""
)"),"Exclude")</f>
        <v>Exclude</v>
      </c>
      <c r="F558" s="5" t="str">
        <f>IFERROR(__xludf.DUMMYFUNCTION("IFS(
E558=""Exclude"",""Exclude"",
AND(
COUNTIF(
IMPORTRANGE(""https://docs.google.com/spreadsheets/d/1kGrh75X1cNR1D7_FcY9zMnHP8iPO4M5RCRjy6nZY0TY/edit#gid=0"",""Table 1: Study characteristics!B4:B171""),A558)&gt;0,
COUNTIF(Studies!$A$2:$A$85,FILTER(IMPORTRA"&amp;"NGE(""https://docs.google.com/spreadsheets/d/1kGrh75X1cNR1D7_FcY9zMnHP8iPO4M5RCRjy6nZY0TY/edit#gid=0"",""Table 1: Study characteristics!A4:A171""), $A558=IMPORTRANGE(""https://docs.google.com/spreadsheets/d/1kGrh75X1cNR1D7_FcY9zMnHP8iPO4M5RCRjy6nZY0TY/edi"&amp;"t#gid=0"",""Table 1: Study characteristics!B4:B171"")))&gt;0
),
""Include""
)"),"Exclude")</f>
        <v>Exclude</v>
      </c>
      <c r="G558" s="5" t="str">
        <f>IFERROR(__xludf.DUMMYFUNCTION("IFS(
D558=""Exclude"",
FILTER(IMPORTRANGE(""https://docs.google.com/spreadsheets/d/1BJSV3WBYJGRhQ6zExamkszQ5VutGIcaQqmbD9ZTVXMQ/edit#gid=1251630045"",""articles_with_PRISMA_reasons!AB2:AB2113""), $A558=IMPORTRANGE(""https://docs.google.com/spreadsheets/d/"&amp;"1BJSV3WBYJGRhQ6zExamkszQ5VutGIcaQqmbD9ZTVXMQ/edit#gid=1251630045"",""articles_with_PRISMA_reasons!B2:B2113"")),
E558=""Exclude"",
FILTER(IMPORTRANGE(""https://docs.google.com/spreadsheets/d/1qpEmbGH0JjaJbUdp21-y2cPbobDbMjr09BbtdKROZWc/edit#gid=1444865654"&amp;""",""articles_with_PRISMA_reasons!Z2:Z2113""), $A558=IMPORTRANGE(""https://docs.google.com/spreadsheets/d/1qpEmbGH0JjaJbUdp21-y2cPbobDbMjr09BbtdKROZWc/edit#gid=1444865654"",""articles_with_PRISMA_reasons!B2:B2113"")),F558
=""Include"",FILTER(IMPORTRANGE("&amp;"""https://docs.google.com/spreadsheets/d/1kGrh75X1cNR1D7_FcY9zMnHP8iPO4M5RCRjy6nZY0TY/edit#gid=0"",""Table 1: Study characteristics!A4:A171""), $A558=IMPORTRANGE(""https://docs.google.com/spreadsheets/d/1kGrh75X1cNR1D7_FcY9zMnHP8iPO4M5RCRjy6nZY0TY/edit#gi"&amp;"d=0"",""Table 1: Study characteristics!B4:B171""))
)"),"wrong publication type")</f>
        <v>wrong publication type</v>
      </c>
    </row>
    <row r="559">
      <c r="A559" s="4" t="str">
        <f>IFERROR(__xludf.DUMMYFUNCTION("""COMPUTED_VALUE"""),"Correlation between shunt series and scoliosis radiographs in children with myelomeningoceles")</f>
        <v>Correlation between shunt series and scoliosis radiographs in children with myelomeningoceles</v>
      </c>
      <c r="B559" s="5" t="str">
        <f>IFERROR(__xludf.DUMMYFUNCTION("LEFT(FILTER(IMPORTRANGE(""https://docs.google.com/spreadsheets/d/1BJSV3WBYJGRhQ6zExamkszQ5VutGIcaQqmbD9ZTVXMQ/edit#gid=1251630045"",""articles_with_PRISMA_reasons!K2:K2113""), $A559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$A559=IMPORTRANGE(""https://docs.google.com/spreadsheets/d/1BJSV3WBYJGRhQ6zExamkszQ5VutGIcaQqmbD9ZTVXMQ/edit#gid=1251630045"",""articles_with_PRISMA_reasons!B2:B2113"")))-1)"),"Thomas")</f>
        <v>Thomas</v>
      </c>
      <c r="C559" s="6">
        <f>IFERROR(__xludf.DUMMYFUNCTION("FILTER(IMPORTRANGE(""https://docs.google.com/spreadsheets/d/1BJSV3WBYJGRhQ6zExamkszQ5VutGIcaQqmbD9ZTVXMQ/edit#gid=1251630045"",""articles_with_PRISMA_reasons!C2:C2113""), $A559=IMPORTRANGE(""https://docs.google.com/spreadsheets/d/1BJSV3WBYJGRhQ6zExamkszQ5"&amp;"VutGIcaQqmbD9ZTVXMQ/edit#gid=1251630045"",""articles_with_PRISMA_reasons!B2:B2113""))"),2012.0)</f>
        <v>2012</v>
      </c>
      <c r="D559" s="5" t="str">
        <f>IFERROR(__xludf.DUMMYFUNCTION("IFS(AND(
FILTER(IMPORTRANGE(""https://docs.google.com/spreadsheets/d/1BJSV3WBYJGRhQ6zExamkszQ5VutGIcaQqmbD9ZTVXMQ/edit#gid=1251630045"",""articles_with_PRISMA_reasons!Y2:Y2113""), $A559=IMPORTRANGE(""https://docs.google.com/spreadsheets/d/1BJSV3WBYJGRhQ6z"&amp;"ExamkszQ5VutGIcaQqmbD9ZTVXMQ/edit#gid=1251630045"",""articles_with_PRISMA_reasons!B2:B2113""))&gt;=2,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$A559=IMPORTRANGE(""https://docs.google.com/spreadsheets/d/1BJSV3WBYJGRhQ6zExamkszQ5VutGIcaQqmbD9ZTVXMQ/edit#gid=1251630045"",""articles_with_PRISMA_reasons!B2:B2113""))&lt;2),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$A559=IMPORTRANGE(""https://docs.google.com/spreadsheets/d/1BJSV3WBYJGRhQ6zExamkszQ5VutGIcaQqmbD9ZTVXMQ/edit#gid=1251630045"",""arti"&amp;"cles_with_PRISMA_reasons!B2:B2113""))&lt;2,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$A559=IMPORTRANGE(""https://docs.google.com"&amp;"/spreadsheets/d/1BJSV3WBYJGRhQ6zExamkszQ5VutGIcaQqmbD9ZTVXMQ/edit#gid=1251630045"",""articles_with_PRISMA_reasons!B2:B2113""))&gt;=2),
""Exclude""
)"),"Exclude")</f>
        <v>Exclude</v>
      </c>
      <c r="E559" s="5" t="str">
        <f>IFERROR(__xludf.DUMMYFUNCTION("IFS(
D559=""Exclude"",""Exclude"",
AND(
FILTER(IMPORTRANGE(""https://docs.google.com/spreadsheets/d/1qpEmbGH0JjaJbUdp21-y2cPbobDbMjr09BbtdKROZWc/edit#gid=1444865654"",""articles_with_PRISMA_reasons!W2:W2113""), $A559=IMPORTRANGE(""https://docs.google.com/"&amp;"spreadsheets/d/1qpEmbGH0JjaJbUdp21-y2cPbobDbMjr09BbtdKROZWc/edit#gid=1444865654"",""articles_with_PRISMA_reasons!B2:B2113""))&gt;=2,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$A559=IMPORTRANGE(""https://docs.google.com/spreadsheets/d/1qpEmbGH0JjaJbUdp21-y2cPbobDbMjr09BbtdKROZWc/edit#gid=1444865654"",""articles_with_PRISMA_reasons!B2:B2113""))&lt;2),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$A559=IMPORTRANGE(""https://docs.google.com/spreadsheets/d/1qpEmbGH0JjaJbUdp21-y2cPbobDbMjr09BbtdKRO"&amp;"ZWc/edit#gid=1444865654"",""articles_with_PRISMA_reasons!B2:B2113""))&lt;2,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$A559=IMPOR"&amp;"TRANGE(""https://docs.google.com/spreadsheets/d/1qpEmbGH0JjaJbUdp21-y2cPbobDbMjr09BbtdKROZWc/edit#gid=1444865654"",""articles_with_PRISMA_reasons!B2:B2113""))&gt;=2),
""Exclude""
)"),"Exclude")</f>
        <v>Exclude</v>
      </c>
      <c r="F559" s="5" t="str">
        <f>IFERROR(__xludf.DUMMYFUNCTION("IFS(
E559=""Exclude"",""Exclude"",
AND(
COUNTIF(
IMPORTRANGE(""https://docs.google.com/spreadsheets/d/1kGrh75X1cNR1D7_FcY9zMnHP8iPO4M5RCRjy6nZY0TY/edit#gid=0"",""Table 1: Study characteristics!B4:B171""),A559)&gt;0,
COUNTIF(Studies!$A$2:$A$85,FILTER(IMPORTRA"&amp;"NGE(""https://docs.google.com/spreadsheets/d/1kGrh75X1cNR1D7_FcY9zMnHP8iPO4M5RCRjy6nZY0TY/edit#gid=0"",""Table 1: Study characteristics!A4:A171""), $A559=IMPORTRANGE(""https://docs.google.com/spreadsheets/d/1kGrh75X1cNR1D7_FcY9zMnHP8iPO4M5RCRjy6nZY0TY/edi"&amp;"t#gid=0"",""Table 1: Study characteristics!B4:B171"")))&gt;0
),
""Include""
)"),"Exclude")</f>
        <v>Exclude</v>
      </c>
      <c r="G559" s="5" t="str">
        <f>IFERROR(__xludf.DUMMYFUNCTION("IFS(
D559=""Exclude"",
FILTER(IMPORTRANGE(""https://docs.google.com/spreadsheets/d/1BJSV3WBYJGRhQ6zExamkszQ5VutGIcaQqmbD9ZTVXMQ/edit#gid=1251630045"",""articles_with_PRISMA_reasons!AB2:AB2113""), $A559=IMPORTRANGE(""https://docs.google.com/spreadsheets/d/"&amp;"1BJSV3WBYJGRhQ6zExamkszQ5VutGIcaQqmbD9ZTVXMQ/edit#gid=1251630045"",""articles_with_PRISMA_reasons!B2:B2113"")),
E559=""Exclude"",
FILTER(IMPORTRANGE(""https://docs.google.com/spreadsheets/d/1qpEmbGH0JjaJbUdp21-y2cPbobDbMjr09BbtdKROZWc/edit#gid=1444865654"&amp;""",""articles_with_PRISMA_reasons!Z2:Z2113""), $A559=IMPORTRANGE(""https://docs.google.com/spreadsheets/d/1qpEmbGH0JjaJbUdp21-y2cPbobDbMjr09BbtdKROZWc/edit#gid=1444865654"",""articles_with_PRISMA_reasons!B2:B2113"")),F559
=""Include"",FILTER(IMPORTRANGE("&amp;"""https://docs.google.com/spreadsheets/d/1kGrh75X1cNR1D7_FcY9zMnHP8iPO4M5RCRjy6nZY0TY/edit#gid=0"",""Table 1: Study characteristics!A4:A171""), $A559=IMPORTRANGE(""https://docs.google.com/spreadsheets/d/1kGrh75X1cNR1D7_FcY9zMnHP8iPO4M5RCRjy6nZY0TY/edit#gi"&amp;"d=0"",""Table 1: Study characteristics!B4:B171""))
)"),"wrong population")</f>
        <v>wrong population</v>
      </c>
    </row>
    <row r="560">
      <c r="A560" s="4" t="str">
        <f>IFERROR(__xludf.DUMMYFUNCTION("""COMPUTED_VALUE"""),"Correlations between C.S.F. alterations and the number of reoperations in ventriculo-peritoneal shunts")</f>
        <v>Correlations between C.S.F. alterations and the number of reoperations in ventriculo-peritoneal shunts</v>
      </c>
      <c r="B560" s="5" t="str">
        <f>IFERROR(__xludf.DUMMYFUNCTION("LEFT(FILTER(IMPORTRANGE(""https://docs.google.com/spreadsheets/d/1BJSV3WBYJGRhQ6zExamkszQ5VutGIcaQqmbD9ZTVXMQ/edit#gid=1251630045"",""articles_with_PRISMA_reasons!K2:K2113""), $A560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$A560=IMPORTRANGE(""https://docs.google.com/spreadsheets/d/1BJSV3WBYJGRhQ6zExamkszQ5VutGIcaQqmbD9ZTVXMQ/edit#gid=1251630045"",""articles_with_PRISMA_reasons!B2:B2113"")))-1)"),"Villarejo")</f>
        <v>Villarejo</v>
      </c>
      <c r="C560" s="6">
        <f>IFERROR(__xludf.DUMMYFUNCTION("FILTER(IMPORTRANGE(""https://docs.google.com/spreadsheets/d/1BJSV3WBYJGRhQ6zExamkszQ5VutGIcaQqmbD9ZTVXMQ/edit#gid=1251630045"",""articles_with_PRISMA_reasons!C2:C2113""), $A560=IMPORTRANGE(""https://docs.google.com/spreadsheets/d/1BJSV3WBYJGRhQ6zExamkszQ5"&amp;"VutGIcaQqmbD9ZTVXMQ/edit#gid=1251630045"",""articles_with_PRISMA_reasons!B2:B2113""))"),1975.0)</f>
        <v>1975</v>
      </c>
      <c r="D560" s="5" t="str">
        <f>IFERROR(__xludf.DUMMYFUNCTION("IFS(AND(
FILTER(IMPORTRANGE(""https://docs.google.com/spreadsheets/d/1BJSV3WBYJGRhQ6zExamkszQ5VutGIcaQqmbD9ZTVXMQ/edit#gid=1251630045"",""articles_with_PRISMA_reasons!Y2:Y2113""), $A560=IMPORTRANGE(""https://docs.google.com/spreadsheets/d/1BJSV3WBYJGRhQ6z"&amp;"ExamkszQ5VutGIcaQqmbD9ZTVXMQ/edit#gid=1251630045"",""articles_with_PRISMA_reasons!B2:B2113""))&gt;=2,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$A560=IMPORTRANGE(""https://docs.google.com/spreadsheets/d/1BJSV3WBYJGRhQ6zExamkszQ5VutGIcaQqmbD9ZTVXMQ/edit#gid=1251630045"",""articles_with_PRISMA_reasons!B2:B2113""))&lt;2),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$A560=IMPORTRANGE(""https://docs.google.com/spreadsheets/d/1BJSV3WBYJGRhQ6zExamkszQ5VutGIcaQqmbD9ZTVXMQ/edit#gid=1251630045"",""arti"&amp;"cles_with_PRISMA_reasons!B2:B2113""))&lt;2,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$A560=IMPORTRANGE(""https://docs.google.com"&amp;"/spreadsheets/d/1BJSV3WBYJGRhQ6zExamkszQ5VutGIcaQqmbD9ZTVXMQ/edit#gid=1251630045"",""articles_with_PRISMA_reasons!B2:B2113""))&gt;=2),
""Exclude""
)"),"Exclude")</f>
        <v>Exclude</v>
      </c>
      <c r="E560" s="5" t="str">
        <f>IFERROR(__xludf.DUMMYFUNCTION("IFS(
D560=""Exclude"",""Exclude"",
AND(
FILTER(IMPORTRANGE(""https://docs.google.com/spreadsheets/d/1qpEmbGH0JjaJbUdp21-y2cPbobDbMjr09BbtdKROZWc/edit#gid=1444865654"",""articles_with_PRISMA_reasons!W2:W2113""), $A560=IMPORTRANGE(""https://docs.google.com/"&amp;"spreadsheets/d/1qpEmbGH0JjaJbUdp21-y2cPbobDbMjr09BbtdKROZWc/edit#gid=1444865654"",""articles_with_PRISMA_reasons!B2:B2113""))&gt;=2,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$A560=IMPORTRANGE(""https://docs.google.com/spreadsheets/d/1qpEmbGH0JjaJbUdp21-y2cPbobDbMjr09BbtdKROZWc/edit#gid=1444865654"",""articles_with_PRISMA_reasons!B2:B2113""))&lt;2),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$A560=IMPORTRANGE(""https://docs.google.com/spreadsheets/d/1qpEmbGH0JjaJbUdp21-y2cPbobDbMjr09BbtdKRO"&amp;"ZWc/edit#gid=1444865654"",""articles_with_PRISMA_reasons!B2:B2113""))&lt;2,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$A560=IMPOR"&amp;"TRANGE(""https://docs.google.com/spreadsheets/d/1qpEmbGH0JjaJbUdp21-y2cPbobDbMjr09BbtdKROZWc/edit#gid=1444865654"",""articles_with_PRISMA_reasons!B2:B2113""))&gt;=2),
""Exclude""
)"),"Exclude")</f>
        <v>Exclude</v>
      </c>
      <c r="F560" s="5" t="str">
        <f>IFERROR(__xludf.DUMMYFUNCTION("IFS(
E560=""Exclude"",""Exclude"",
AND(
COUNTIF(
IMPORTRANGE(""https://docs.google.com/spreadsheets/d/1kGrh75X1cNR1D7_FcY9zMnHP8iPO4M5RCRjy6nZY0TY/edit#gid=0"",""Table 1: Study characteristics!B4:B171""),A560)&gt;0,
COUNTIF(Studies!$A$2:$A$85,FILTER(IMPORTRA"&amp;"NGE(""https://docs.google.com/spreadsheets/d/1kGrh75X1cNR1D7_FcY9zMnHP8iPO4M5RCRjy6nZY0TY/edit#gid=0"",""Table 1: Study characteristics!A4:A171""), $A560=IMPORTRANGE(""https://docs.google.com/spreadsheets/d/1kGrh75X1cNR1D7_FcY9zMnHP8iPO4M5RCRjy6nZY0TY/edi"&amp;"t#gid=0"",""Table 1: Study characteristics!B4:B171"")))&gt;0
),
""Include""
)"),"Exclude")</f>
        <v>Exclude</v>
      </c>
      <c r="G560" s="5" t="str">
        <f>IFERROR(__xludf.DUMMYFUNCTION("IFS(
D560=""Exclude"",
FILTER(IMPORTRANGE(""https://docs.google.com/spreadsheets/d/1BJSV3WBYJGRhQ6zExamkszQ5VutGIcaQqmbD9ZTVXMQ/edit#gid=1251630045"",""articles_with_PRISMA_reasons!AB2:AB2113""), $A560=IMPORTRANGE(""https://docs.google.com/spreadsheets/d/"&amp;"1BJSV3WBYJGRhQ6zExamkszQ5VutGIcaQqmbD9ZTVXMQ/edit#gid=1251630045"",""articles_with_PRISMA_reasons!B2:B2113"")),
E560=""Exclude"",
FILTER(IMPORTRANGE(""https://docs.google.com/spreadsheets/d/1qpEmbGH0JjaJbUdp21-y2cPbobDbMjr09BbtdKROZWc/edit#gid=1444865654"&amp;""",""articles_with_PRISMA_reasons!Z2:Z2113""), $A560=IMPORTRANGE(""https://docs.google.com/spreadsheets/d/1qpEmbGH0JjaJbUdp21-y2cPbobDbMjr09BbtdKROZWc/edit#gid=1444865654"",""articles_with_PRISMA_reasons!B2:B2113"")),F560
=""Include"",FILTER(IMPORTRANGE("&amp;"""https://docs.google.com/spreadsheets/d/1kGrh75X1cNR1D7_FcY9zMnHP8iPO4M5RCRjy6nZY0TY/edit#gid=0"",""Table 1: Study characteristics!A4:A171""), $A560=IMPORTRANGE(""https://docs.google.com/spreadsheets/d/1kGrh75X1cNR1D7_FcY9zMnHP8iPO4M5RCRjy6nZY0TY/edit#gi"&amp;"d=0"",""Table 1: Study characteristics!B4:B171""))
)"),"wrong study design")</f>
        <v>wrong study design</v>
      </c>
    </row>
    <row r="561">
      <c r="A561" s="4" t="str">
        <f>IFERROR(__xludf.DUMMYFUNCTION("""COMPUTED_VALUE"""),"Cost of prenatal versus postnatal myelomeningocele closure for both mother and child at 1 year of life")</f>
        <v>Cost of prenatal versus postnatal myelomeningocele closure for both mother and child at 1 year of life</v>
      </c>
      <c r="B561" s="5" t="str">
        <f>IFERROR(__xludf.DUMMYFUNCTION("LEFT(FILTER(IMPORTRANGE(""https://docs.google.com/spreadsheets/d/1BJSV3WBYJGRhQ6zExamkszQ5VutGIcaQqmbD9ZTVXMQ/edit#gid=1251630045"",""articles_with_PRISMA_reasons!K2:K2113""), $A561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$A561=IMPORTRANGE(""https://docs.google.com/spreadsheets/d/1BJSV3WBYJGRhQ6zExamkszQ5VutGIcaQqmbD9ZTVXMQ/edit#gid=1251630045"",""articles_with_PRISMA_reasons!B2:B2113"")))-1)"),"Kessler")</f>
        <v>Kessler</v>
      </c>
      <c r="C561" s="6">
        <f>IFERROR(__xludf.DUMMYFUNCTION("FILTER(IMPORTRANGE(""https://docs.google.com/spreadsheets/d/1BJSV3WBYJGRhQ6zExamkszQ5VutGIcaQqmbD9ZTVXMQ/edit#gid=1251630045"",""articles_with_PRISMA_reasons!C2:C2113""), $A561=IMPORTRANGE(""https://docs.google.com/spreadsheets/d/1BJSV3WBYJGRhQ6zExamkszQ5"&amp;"VutGIcaQqmbD9ZTVXMQ/edit#gid=1251630045"",""articles_with_PRISMA_reasons!B2:B2113""))"),2019.0)</f>
        <v>2019</v>
      </c>
      <c r="D561" s="5" t="str">
        <f>IFERROR(__xludf.DUMMYFUNCTION("IFS(AND(
FILTER(IMPORTRANGE(""https://docs.google.com/spreadsheets/d/1BJSV3WBYJGRhQ6zExamkszQ5VutGIcaQqmbD9ZTVXMQ/edit#gid=1251630045"",""articles_with_PRISMA_reasons!Y2:Y2113""), $A561=IMPORTRANGE(""https://docs.google.com/spreadsheets/d/1BJSV3WBYJGRhQ6z"&amp;"ExamkszQ5VutGIcaQqmbD9ZTVXMQ/edit#gid=1251630045"",""articles_with_PRISMA_reasons!B2:B2113""))&gt;=2,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$A561=IMPORTRANGE(""https://docs.google.com/spreadsheets/d/1BJSV3WBYJGRhQ6zExamkszQ5VutGIcaQqmbD9ZTVXMQ/edit#gid=1251630045"",""articles_with_PRISMA_reasons!B2:B2113""))&lt;2),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$A561=IMPORTRANGE(""https://docs.google.com/spreadsheets/d/1BJSV3WBYJGRhQ6zExamkszQ5VutGIcaQqmbD9ZTVXMQ/edit#gid=1251630045"",""arti"&amp;"cles_with_PRISMA_reasons!B2:B2113""))&lt;2,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$A561=IMPORTRANGE(""https://docs.google.com"&amp;"/spreadsheets/d/1BJSV3WBYJGRhQ6zExamkszQ5VutGIcaQqmbD9ZTVXMQ/edit#gid=1251630045"",""articles_with_PRISMA_reasons!B2:B2113""))&gt;=2),
""Exclude""
)"),"Exclude")</f>
        <v>Exclude</v>
      </c>
      <c r="E561" s="5" t="str">
        <f>IFERROR(__xludf.DUMMYFUNCTION("IFS(
D561=""Exclude"",""Exclude"",
AND(
FILTER(IMPORTRANGE(""https://docs.google.com/spreadsheets/d/1qpEmbGH0JjaJbUdp21-y2cPbobDbMjr09BbtdKROZWc/edit#gid=1444865654"",""articles_with_PRISMA_reasons!W2:W2113""), $A561=IMPORTRANGE(""https://docs.google.com/"&amp;"spreadsheets/d/1qpEmbGH0JjaJbUdp21-y2cPbobDbMjr09BbtdKROZWc/edit#gid=1444865654"",""articles_with_PRISMA_reasons!B2:B2113""))&gt;=2,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$A561=IMPORTRANGE(""https://docs.google.com/spreadsheets/d/1qpEmbGH0JjaJbUdp21-y2cPbobDbMjr09BbtdKROZWc/edit#gid=1444865654"",""articles_with_PRISMA_reasons!B2:B2113""))&lt;2),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$A561=IMPORTRANGE(""https://docs.google.com/spreadsheets/d/1qpEmbGH0JjaJbUdp21-y2cPbobDbMjr09BbtdKRO"&amp;"ZWc/edit#gid=1444865654"",""articles_with_PRISMA_reasons!B2:B2113""))&lt;2,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$A561=IMPOR"&amp;"TRANGE(""https://docs.google.com/spreadsheets/d/1qpEmbGH0JjaJbUdp21-y2cPbobDbMjr09BbtdKROZWc/edit#gid=1444865654"",""articles_with_PRISMA_reasons!B2:B2113""))&gt;=2),
""Exclude""
)"),"Exclude")</f>
        <v>Exclude</v>
      </c>
      <c r="F561" s="5" t="str">
        <f>IFERROR(__xludf.DUMMYFUNCTION("IFS(
E561=""Exclude"",""Exclude"",
AND(
COUNTIF(
IMPORTRANGE(""https://docs.google.com/spreadsheets/d/1kGrh75X1cNR1D7_FcY9zMnHP8iPO4M5RCRjy6nZY0TY/edit#gid=0"",""Table 1: Study characteristics!B4:B171""),A561)&gt;0,
COUNTIF(Studies!$A$2:$A$85,FILTER(IMPORTRA"&amp;"NGE(""https://docs.google.com/spreadsheets/d/1kGrh75X1cNR1D7_FcY9zMnHP8iPO4M5RCRjy6nZY0TY/edit#gid=0"",""Table 1: Study characteristics!A4:A171""), $A561=IMPORTRANGE(""https://docs.google.com/spreadsheets/d/1kGrh75X1cNR1D7_FcY9zMnHP8iPO4M5RCRjy6nZY0TY/edi"&amp;"t#gid=0"",""Table 1: Study characteristics!B4:B171"")))&gt;0
),
""Include""
)"),"Exclude")</f>
        <v>Exclude</v>
      </c>
      <c r="G561" s="5" t="str">
        <f>IFERROR(__xludf.DUMMYFUNCTION("IFS(
D561=""Exclude"",
FILTER(IMPORTRANGE(""https://docs.google.com/spreadsheets/d/1BJSV3WBYJGRhQ6zExamkszQ5VutGIcaQqmbD9ZTVXMQ/edit#gid=1251630045"",""articles_with_PRISMA_reasons!AB2:AB2113""), $A561=IMPORTRANGE(""https://docs.google.com/spreadsheets/d/"&amp;"1BJSV3WBYJGRhQ6zExamkszQ5VutGIcaQqmbD9ZTVXMQ/edit#gid=1251630045"",""articles_with_PRISMA_reasons!B2:B2113"")),
E561=""Exclude"",
FILTER(IMPORTRANGE(""https://docs.google.com/spreadsheets/d/1qpEmbGH0JjaJbUdp21-y2cPbobDbMjr09BbtdKROZWc/edit#gid=1444865654"&amp;""",""articles_with_PRISMA_reasons!Z2:Z2113""), $A561=IMPORTRANGE(""https://docs.google.com/spreadsheets/d/1qpEmbGH0JjaJbUdp21-y2cPbobDbMjr09BbtdKROZWc/edit#gid=1444865654"",""articles_with_PRISMA_reasons!B2:B2113"")),F561
=""Include"",FILTER(IMPORTRANGE("&amp;"""https://docs.google.com/spreadsheets/d/1kGrh75X1cNR1D7_FcY9zMnHP8iPO4M5RCRjy6nZY0TY/edit#gid=0"",""Table 1: Study characteristics!A4:A171""), $A561=IMPORTRANGE(""https://docs.google.com/spreadsheets/d/1kGrh75X1cNR1D7_FcY9zMnHP8iPO4M5RCRjy6nZY0TY/edit#gi"&amp;"d=0"",""Table 1: Study characteristics!B4:B171""))
)"),"wrong intervention")</f>
        <v>wrong intervention</v>
      </c>
    </row>
    <row r="562">
      <c r="A562" s="4" t="str">
        <f>IFERROR(__xludf.DUMMYFUNCTION("""COMPUTED_VALUE"""),"Course of pregnancy, family history and genetics in children with spina bifida")</f>
        <v>Course of pregnancy, family history and genetics in children with spina bifida</v>
      </c>
      <c r="B562" s="5" t="str">
        <f>IFERROR(__xludf.DUMMYFUNCTION("LEFT(FILTER(IMPORTRANGE(""https://docs.google.com/spreadsheets/d/1BJSV3WBYJGRhQ6zExamkszQ5VutGIcaQqmbD9ZTVXMQ/edit#gid=1251630045"",""articles_with_PRISMA_reasons!K2:K2113""), $A562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$A562=IMPORTRANGE(""https://docs.google.com/spreadsheets/d/1BJSV3WBYJGRhQ6zExamkszQ5VutGIcaQqmbD9ZTVXMQ/edit#gid=1251630045"",""articles_with_PRISMA_reasons!B2:B2113"")))-1)"),"Angerpointner")</f>
        <v>Angerpointner</v>
      </c>
      <c r="C562" s="6">
        <f>IFERROR(__xludf.DUMMYFUNCTION("FILTER(IMPORTRANGE(""https://docs.google.com/spreadsheets/d/1BJSV3WBYJGRhQ6zExamkszQ5VutGIcaQqmbD9ZTVXMQ/edit#gid=1251630045"",""articles_with_PRISMA_reasons!C2:C2113""), $A562=IMPORTRANGE(""https://docs.google.com/spreadsheets/d/1BJSV3WBYJGRhQ6zExamkszQ5"&amp;"VutGIcaQqmbD9ZTVXMQ/edit#gid=1251630045"",""articles_with_PRISMA_reasons!B2:B2113""))"),1990.0)</f>
        <v>1990</v>
      </c>
      <c r="D562" s="5" t="str">
        <f>IFERROR(__xludf.DUMMYFUNCTION("IFS(AND(
FILTER(IMPORTRANGE(""https://docs.google.com/spreadsheets/d/1BJSV3WBYJGRhQ6zExamkszQ5VutGIcaQqmbD9ZTVXMQ/edit#gid=1251630045"",""articles_with_PRISMA_reasons!Y2:Y2113""), $A562=IMPORTRANGE(""https://docs.google.com/spreadsheets/d/1BJSV3WBYJGRhQ6z"&amp;"ExamkszQ5VutGIcaQqmbD9ZTVXMQ/edit#gid=1251630045"",""articles_with_PRISMA_reasons!B2:B2113""))&gt;=2,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$A562=IMPORTRANGE(""https://docs.google.com/spreadsheets/d/1BJSV3WBYJGRhQ6zExamkszQ5VutGIcaQqmbD9ZTVXMQ/edit#gid=1251630045"",""articles_with_PRISMA_reasons!B2:B2113""))&lt;2),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$A562=IMPORTRANGE(""https://docs.google.com/spreadsheets/d/1BJSV3WBYJGRhQ6zExamkszQ5VutGIcaQqmbD9ZTVXMQ/edit#gid=1251630045"",""arti"&amp;"cles_with_PRISMA_reasons!B2:B2113""))&lt;2,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$A562=IMPORTRANGE(""https://docs.google.com"&amp;"/spreadsheets/d/1BJSV3WBYJGRhQ6zExamkszQ5VutGIcaQqmbD9ZTVXMQ/edit#gid=1251630045"",""articles_with_PRISMA_reasons!B2:B2113""))&gt;=2),
""Exclude""
)"),"Exclude")</f>
        <v>Exclude</v>
      </c>
      <c r="E562" s="5" t="str">
        <f>IFERROR(__xludf.DUMMYFUNCTION("IFS(
D562=""Exclude"",""Exclude"",
AND(
FILTER(IMPORTRANGE(""https://docs.google.com/spreadsheets/d/1qpEmbGH0JjaJbUdp21-y2cPbobDbMjr09BbtdKROZWc/edit#gid=1444865654"",""articles_with_PRISMA_reasons!W2:W2113""), $A562=IMPORTRANGE(""https://docs.google.com/"&amp;"spreadsheets/d/1qpEmbGH0JjaJbUdp21-y2cPbobDbMjr09BbtdKROZWc/edit#gid=1444865654"",""articles_with_PRISMA_reasons!B2:B2113""))&gt;=2,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$A562=IMPORTRANGE(""https://docs.google.com/spreadsheets/d/1qpEmbGH0JjaJbUdp21-y2cPbobDbMjr09BbtdKROZWc/edit#gid=1444865654"",""articles_with_PRISMA_reasons!B2:B2113""))&lt;2),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$A562=IMPORTRANGE(""https://docs.google.com/spreadsheets/d/1qpEmbGH0JjaJbUdp21-y2cPbobDbMjr09BbtdKRO"&amp;"ZWc/edit#gid=1444865654"",""articles_with_PRISMA_reasons!B2:B2113""))&lt;2,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$A562=IMPOR"&amp;"TRANGE(""https://docs.google.com/spreadsheets/d/1qpEmbGH0JjaJbUdp21-y2cPbobDbMjr09BbtdKROZWc/edit#gid=1444865654"",""articles_with_PRISMA_reasons!B2:B2113""))&gt;=2),
""Exclude""
)"),"Exclude")</f>
        <v>Exclude</v>
      </c>
      <c r="F562" s="5" t="str">
        <f>IFERROR(__xludf.DUMMYFUNCTION("IFS(
E562=""Exclude"",""Exclude"",
AND(
COUNTIF(
IMPORTRANGE(""https://docs.google.com/spreadsheets/d/1kGrh75X1cNR1D7_FcY9zMnHP8iPO4M5RCRjy6nZY0TY/edit#gid=0"",""Table 1: Study characteristics!B4:B171""),A562)&gt;0,
COUNTIF(Studies!$A$2:$A$85,FILTER(IMPORTRA"&amp;"NGE(""https://docs.google.com/spreadsheets/d/1kGrh75X1cNR1D7_FcY9zMnHP8iPO4M5RCRjy6nZY0TY/edit#gid=0"",""Table 1: Study characteristics!A4:A171""), $A562=IMPORTRANGE(""https://docs.google.com/spreadsheets/d/1kGrh75X1cNR1D7_FcY9zMnHP8iPO4M5RCRjy6nZY0TY/edi"&amp;"t#gid=0"",""Table 1: Study characteristics!B4:B171"")))&gt;0
),
""Include""
)"),"Exclude")</f>
        <v>Exclude</v>
      </c>
      <c r="G562" s="5" t="str">
        <f>IFERROR(__xludf.DUMMYFUNCTION("IFS(
D562=""Exclude"",
FILTER(IMPORTRANGE(""https://docs.google.com/spreadsheets/d/1BJSV3WBYJGRhQ6zExamkszQ5VutGIcaQqmbD9ZTVXMQ/edit#gid=1251630045"",""articles_with_PRISMA_reasons!AB2:AB2113""), $A562=IMPORTRANGE(""https://docs.google.com/spreadsheets/d/"&amp;"1BJSV3WBYJGRhQ6zExamkszQ5VutGIcaQqmbD9ZTVXMQ/edit#gid=1251630045"",""articles_with_PRISMA_reasons!B2:B2113"")),
E562=""Exclude"",
FILTER(IMPORTRANGE(""https://docs.google.com/spreadsheets/d/1qpEmbGH0JjaJbUdp21-y2cPbobDbMjr09BbtdKROZWc/edit#gid=1444865654"&amp;""",""articles_with_PRISMA_reasons!Z2:Z2113""), $A562=IMPORTRANGE(""https://docs.google.com/spreadsheets/d/1qpEmbGH0JjaJbUdp21-y2cPbobDbMjr09BbtdKROZWc/edit#gid=1444865654"",""articles_with_PRISMA_reasons!B2:B2113"")),F562
=""Include"",FILTER(IMPORTRANGE("&amp;"""https://docs.google.com/spreadsheets/d/1kGrh75X1cNR1D7_FcY9zMnHP8iPO4M5RCRjy6nZY0TY/edit#gid=0"",""Table 1: Study characteristics!A4:A171""), $A562=IMPORTRANGE(""https://docs.google.com/spreadsheets/d/1kGrh75X1cNR1D7_FcY9zMnHP8iPO4M5RCRjy6nZY0TY/edit#gi"&amp;"d=0"",""Table 1: Study characteristics!B4:B171""))
)"),"wrong study design")</f>
        <v>wrong study design</v>
      </c>
    </row>
    <row r="563">
      <c r="A563" s="4" t="str">
        <f>IFERROR(__xludf.DUMMYFUNCTION("""COMPUTED_VALUE"""),"Covert orienting in three etiologies of congenital hydrocephalus: the effect of midbrain and posterior fossa dysmorphology")</f>
        <v>Covert orienting in three etiologies of congenital hydrocephalus: the effect of midbrain and posterior fossa dysmorphology</v>
      </c>
      <c r="B563" s="5" t="str">
        <f>IFERROR(__xludf.DUMMYFUNCTION("LEFT(FILTER(IMPORTRANGE(""https://docs.google.com/spreadsheets/d/1BJSV3WBYJGRhQ6zExamkszQ5VutGIcaQqmbD9ZTVXMQ/edit#gid=1251630045"",""articles_with_PRISMA_reasons!K2:K2113""), $A563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$A563=IMPORTRANGE(""https://docs.google.com/spreadsheets/d/1BJSV3WBYJGRhQ6zExamkszQ5VutGIcaQqmbD9ZTVXMQ/edit#gid=1251630045"",""articles_with_PRISMA_reasons!B2:B2113"")))-1)"),"Treble-Barna")</f>
        <v>Treble-Barna</v>
      </c>
      <c r="C563" s="6" t="str">
        <f>IFERROR(__xludf.DUMMYFUNCTION("FILTER(IMPORTRANGE(""https://docs.google.com/spreadsheets/d/1BJSV3WBYJGRhQ6zExamkszQ5VutGIcaQqmbD9ZTVXMQ/edit#gid=1251630045"",""articles_with_PRISMA_reasons!C2:C2113""), $A563=IMPORTRANGE(""https://docs.google.com/spreadsheets/d/1BJSV3WBYJGRhQ6zExamkszQ5"&amp;"VutGIcaQqmbD9ZTVXMQ/edit#gid=1251630045"",""articles_with_PRISMA_reasons!B2:B2113""))"),"Mar")</f>
        <v>Mar</v>
      </c>
      <c r="D563" s="5" t="str">
        <f>IFERROR(__xludf.DUMMYFUNCTION("IFS(AND(
FILTER(IMPORTRANGE(""https://docs.google.com/spreadsheets/d/1BJSV3WBYJGRhQ6zExamkszQ5VutGIcaQqmbD9ZTVXMQ/edit#gid=1251630045"",""articles_with_PRISMA_reasons!Y2:Y2113""), $A563=IMPORTRANGE(""https://docs.google.com/spreadsheets/d/1BJSV3WBYJGRhQ6z"&amp;"ExamkszQ5VutGIcaQqmbD9ZTVXMQ/edit#gid=1251630045"",""articles_with_PRISMA_reasons!B2:B2113""))&gt;=2,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$A563=IMPORTRANGE(""https://docs.google.com/spreadsheets/d/1BJSV3WBYJGRhQ6zExamkszQ5VutGIcaQqmbD9ZTVXMQ/edit#gid=1251630045"",""articles_with_PRISMA_reasons!B2:B2113""))&lt;2),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$A563=IMPORTRANGE(""https://docs.google.com/spreadsheets/d/1BJSV3WBYJGRhQ6zExamkszQ5VutGIcaQqmbD9ZTVXMQ/edit#gid=1251630045"",""arti"&amp;"cles_with_PRISMA_reasons!B2:B2113""))&lt;2,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$A563=IMPORTRANGE(""https://docs.google.com"&amp;"/spreadsheets/d/1BJSV3WBYJGRhQ6zExamkszQ5VutGIcaQqmbD9ZTVXMQ/edit#gid=1251630045"",""articles_with_PRISMA_reasons!B2:B2113""))&gt;=2),
""Exclude""
)"),"Exclude")</f>
        <v>Exclude</v>
      </c>
      <c r="E563" s="5" t="str">
        <f>IFERROR(__xludf.DUMMYFUNCTION("IFS(
D563=""Exclude"",""Exclude"",
AND(
FILTER(IMPORTRANGE(""https://docs.google.com/spreadsheets/d/1qpEmbGH0JjaJbUdp21-y2cPbobDbMjr09BbtdKROZWc/edit#gid=1444865654"",""articles_with_PRISMA_reasons!W2:W2113""), $A563=IMPORTRANGE(""https://docs.google.com/"&amp;"spreadsheets/d/1qpEmbGH0JjaJbUdp21-y2cPbobDbMjr09BbtdKROZWc/edit#gid=1444865654"",""articles_with_PRISMA_reasons!B2:B2113""))&gt;=2,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$A563=IMPORTRANGE(""https://docs.google.com/spreadsheets/d/1qpEmbGH0JjaJbUdp21-y2cPbobDbMjr09BbtdKROZWc/edit#gid=1444865654"",""articles_with_PRISMA_reasons!B2:B2113""))&lt;2),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$A563=IMPORTRANGE(""https://docs.google.com/spreadsheets/d/1qpEmbGH0JjaJbUdp21-y2cPbobDbMjr09BbtdKRO"&amp;"ZWc/edit#gid=1444865654"",""articles_with_PRISMA_reasons!B2:B2113""))&lt;2,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$A563=IMPOR"&amp;"TRANGE(""https://docs.google.com/spreadsheets/d/1qpEmbGH0JjaJbUdp21-y2cPbobDbMjr09BbtdKROZWc/edit#gid=1444865654"",""articles_with_PRISMA_reasons!B2:B2113""))&gt;=2),
""Exclude""
)"),"Exclude")</f>
        <v>Exclude</v>
      </c>
      <c r="F563" s="5" t="str">
        <f>IFERROR(__xludf.DUMMYFUNCTION("IFS(
E563=""Exclude"",""Exclude"",
AND(
COUNTIF(
IMPORTRANGE(""https://docs.google.com/spreadsheets/d/1kGrh75X1cNR1D7_FcY9zMnHP8iPO4M5RCRjy6nZY0TY/edit#gid=0"",""Table 1: Study characteristics!B4:B171""),A563)&gt;0,
COUNTIF(Studies!$A$2:$A$85,FILTER(IMPORTRA"&amp;"NGE(""https://docs.google.com/spreadsheets/d/1kGrh75X1cNR1D7_FcY9zMnHP8iPO4M5RCRjy6nZY0TY/edit#gid=0"",""Table 1: Study characteristics!A4:A171""), $A563=IMPORTRANGE(""https://docs.google.com/spreadsheets/d/1kGrh75X1cNR1D7_FcY9zMnHP8iPO4M5RCRjy6nZY0TY/edi"&amp;"t#gid=0"",""Table 1: Study characteristics!B4:B171"")))&gt;0
),
""Include""
)"),"Exclude")</f>
        <v>Exclude</v>
      </c>
      <c r="G563" s="5" t="str">
        <f>IFERROR(__xludf.DUMMYFUNCTION("IFS(
D563=""Exclude"",
FILTER(IMPORTRANGE(""https://docs.google.com/spreadsheets/d/1BJSV3WBYJGRhQ6zExamkszQ5VutGIcaQqmbD9ZTVXMQ/edit#gid=1251630045"",""articles_with_PRISMA_reasons!AB2:AB2113""), $A563=IMPORTRANGE(""https://docs.google.com/spreadsheets/d/"&amp;"1BJSV3WBYJGRhQ6zExamkszQ5VutGIcaQqmbD9ZTVXMQ/edit#gid=1251630045"",""articles_with_PRISMA_reasons!B2:B2113"")),
E563=""Exclude"",
FILTER(IMPORTRANGE(""https://docs.google.com/spreadsheets/d/1qpEmbGH0JjaJbUdp21-y2cPbobDbMjr09BbtdKROZWc/edit#gid=1444865654"&amp;""",""articles_with_PRISMA_reasons!Z2:Z2113""), $A563=IMPORTRANGE(""https://docs.google.com/spreadsheets/d/1qpEmbGH0JjaJbUdp21-y2cPbobDbMjr09BbtdKROZWc/edit#gid=1444865654"",""articles_with_PRISMA_reasons!B2:B2113"")),F563
=""Include"",FILTER(IMPORTRANGE("&amp;"""https://docs.google.com/spreadsheets/d/1kGrh75X1cNR1D7_FcY9zMnHP8iPO4M5RCRjy6nZY0TY/edit#gid=0"",""Table 1: Study characteristics!A4:A171""), $A563=IMPORTRANGE(""https://docs.google.com/spreadsheets/d/1kGrh75X1cNR1D7_FcY9zMnHP8iPO4M5RCRjy6nZY0TY/edit#gi"&amp;"d=0"",""Table 1: Study characteristics!B4:B171""))
)"),"wrong publication type")</f>
        <v>wrong publication type</v>
      </c>
    </row>
    <row r="564">
      <c r="A564" s="4" t="str">
        <f>IFERROR(__xludf.DUMMYFUNCTION("""COMPUTED_VALUE"""),"Covert orienting to exogenous and endogenous cues in children with spina bifida")</f>
        <v>Covert orienting to exogenous and endogenous cues in children with spina bifida</v>
      </c>
      <c r="B564" s="5" t="str">
        <f>IFERROR(__xludf.DUMMYFUNCTION("LEFT(FILTER(IMPORTRANGE(""https://docs.google.com/spreadsheets/d/1BJSV3WBYJGRhQ6zExamkszQ5VutGIcaQqmbD9ZTVXMQ/edit#gid=1251630045"",""articles_with_PRISMA_reasons!K2:K2113""), $A564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$A564=IMPORTRANGE(""https://docs.google.com/spreadsheets/d/1BJSV3WBYJGRhQ6zExamkszQ5VutGIcaQqmbD9ZTVXMQ/edit#gid=1251630045"",""articles_with_PRISMA_reasons!B2:B2113"")))-1)"),"Dennis")</f>
        <v>Dennis</v>
      </c>
      <c r="C564" s="6">
        <f>IFERROR(__xludf.DUMMYFUNCTION("FILTER(IMPORTRANGE(""https://docs.google.com/spreadsheets/d/1BJSV3WBYJGRhQ6zExamkszQ5VutGIcaQqmbD9ZTVXMQ/edit#gid=1251630045"",""articles_with_PRISMA_reasons!C2:C2113""), $A564=IMPORTRANGE(""https://docs.google.com/spreadsheets/d/1BJSV3WBYJGRhQ6zExamkszQ5"&amp;"VutGIcaQqmbD9ZTVXMQ/edit#gid=1251630045"",""articles_with_PRISMA_reasons!B2:B2113""))"),2005.0)</f>
        <v>2005</v>
      </c>
      <c r="D564" s="5" t="str">
        <f>IFERROR(__xludf.DUMMYFUNCTION("IFS(AND(
FILTER(IMPORTRANGE(""https://docs.google.com/spreadsheets/d/1BJSV3WBYJGRhQ6zExamkszQ5VutGIcaQqmbD9ZTVXMQ/edit#gid=1251630045"",""articles_with_PRISMA_reasons!Y2:Y2113""), $A564=IMPORTRANGE(""https://docs.google.com/spreadsheets/d/1BJSV3WBYJGRhQ6z"&amp;"ExamkszQ5VutGIcaQqmbD9ZTVXMQ/edit#gid=1251630045"",""articles_with_PRISMA_reasons!B2:B2113""))&gt;=2,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$A564=IMPORTRANGE(""https://docs.google.com/spreadsheets/d/1BJSV3WBYJGRhQ6zExamkszQ5VutGIcaQqmbD9ZTVXMQ/edit#gid=1251630045"",""articles_with_PRISMA_reasons!B2:B2113""))&lt;2),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$A564=IMPORTRANGE(""https://docs.google.com/spreadsheets/d/1BJSV3WBYJGRhQ6zExamkszQ5VutGIcaQqmbD9ZTVXMQ/edit#gid=1251630045"",""arti"&amp;"cles_with_PRISMA_reasons!B2:B2113""))&lt;2,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$A564=IMPORTRANGE(""https://docs.google.com"&amp;"/spreadsheets/d/1BJSV3WBYJGRhQ6zExamkszQ5VutGIcaQqmbD9ZTVXMQ/edit#gid=1251630045"",""articles_with_PRISMA_reasons!B2:B2113""))&gt;=2),
""Exclude""
)"),"Exclude")</f>
        <v>Exclude</v>
      </c>
      <c r="E564" s="5" t="str">
        <f>IFERROR(__xludf.DUMMYFUNCTION("IFS(
D564=""Exclude"",""Exclude"",
AND(
FILTER(IMPORTRANGE(""https://docs.google.com/spreadsheets/d/1qpEmbGH0JjaJbUdp21-y2cPbobDbMjr09BbtdKROZWc/edit#gid=1444865654"",""articles_with_PRISMA_reasons!W2:W2113""), $A564=IMPORTRANGE(""https://docs.google.com/"&amp;"spreadsheets/d/1qpEmbGH0JjaJbUdp21-y2cPbobDbMjr09BbtdKROZWc/edit#gid=1444865654"",""articles_with_PRISMA_reasons!B2:B2113""))&gt;=2,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$A564=IMPORTRANGE(""https://docs.google.com/spreadsheets/d/1qpEmbGH0JjaJbUdp21-y2cPbobDbMjr09BbtdKROZWc/edit#gid=1444865654"",""articles_with_PRISMA_reasons!B2:B2113""))&lt;2),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$A564=IMPORTRANGE(""https://docs.google.com/spreadsheets/d/1qpEmbGH0JjaJbUdp21-y2cPbobDbMjr09BbtdKRO"&amp;"ZWc/edit#gid=1444865654"",""articles_with_PRISMA_reasons!B2:B2113""))&lt;2,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$A564=IMPOR"&amp;"TRANGE(""https://docs.google.com/spreadsheets/d/1qpEmbGH0JjaJbUdp21-y2cPbobDbMjr09BbtdKROZWc/edit#gid=1444865654"",""articles_with_PRISMA_reasons!B2:B2113""))&gt;=2),
""Exclude""
)"),"Exclude")</f>
        <v>Exclude</v>
      </c>
      <c r="F564" s="5" t="str">
        <f>IFERROR(__xludf.DUMMYFUNCTION("IFS(
E564=""Exclude"",""Exclude"",
AND(
COUNTIF(
IMPORTRANGE(""https://docs.google.com/spreadsheets/d/1kGrh75X1cNR1D7_FcY9zMnHP8iPO4M5RCRjy6nZY0TY/edit#gid=0"",""Table 1: Study characteristics!B4:B171""),A564)&gt;0,
COUNTIF(Studies!$A$2:$A$85,FILTER(IMPORTRA"&amp;"NGE(""https://docs.google.com/spreadsheets/d/1kGrh75X1cNR1D7_FcY9zMnHP8iPO4M5RCRjy6nZY0TY/edit#gid=0"",""Table 1: Study characteristics!A4:A171""), $A564=IMPORTRANGE(""https://docs.google.com/spreadsheets/d/1kGrh75X1cNR1D7_FcY9zMnHP8iPO4M5RCRjy6nZY0TY/edi"&amp;"t#gid=0"",""Table 1: Study characteristics!B4:B171"")))&gt;0
),
""Include""
)"),"Exclude")</f>
        <v>Exclude</v>
      </c>
      <c r="G564" s="5" t="str">
        <f>IFERROR(__xludf.DUMMYFUNCTION("IFS(
D564=""Exclude"",
FILTER(IMPORTRANGE(""https://docs.google.com/spreadsheets/d/1BJSV3WBYJGRhQ6zExamkszQ5VutGIcaQqmbD9ZTVXMQ/edit#gid=1251630045"",""articles_with_PRISMA_reasons!AB2:AB2113""), $A564=IMPORTRANGE(""https://docs.google.com/spreadsheets/d/"&amp;"1BJSV3WBYJGRhQ6zExamkszQ5VutGIcaQqmbD9ZTVXMQ/edit#gid=1251630045"",""articles_with_PRISMA_reasons!B2:B2113"")),
E564=""Exclude"",
FILTER(IMPORTRANGE(""https://docs.google.com/spreadsheets/d/1qpEmbGH0JjaJbUdp21-y2cPbobDbMjr09BbtdKROZWc/edit#gid=1444865654"&amp;""",""articles_with_PRISMA_reasons!Z2:Z2113""), $A564=IMPORTRANGE(""https://docs.google.com/spreadsheets/d/1qpEmbGH0JjaJbUdp21-y2cPbobDbMjr09BbtdKROZWc/edit#gid=1444865654"",""articles_with_PRISMA_reasons!B2:B2113"")),F564
=""Include"",FILTER(IMPORTRANGE("&amp;"""https://docs.google.com/spreadsheets/d/1kGrh75X1cNR1D7_FcY9zMnHP8iPO4M5RCRjy6nZY0TY/edit#gid=0"",""Table 1: Study characteristics!A4:A171""), $A564=IMPORTRANGE(""https://docs.google.com/spreadsheets/d/1kGrh75X1cNR1D7_FcY9zMnHP8iPO4M5RCRjy6nZY0TY/edit#gi"&amp;"d=0"",""Table 1: Study characteristics!B4:B171""))
)"),"wrong intervention")</f>
        <v>wrong intervention</v>
      </c>
    </row>
    <row r="565">
      <c r="A565" s="4" t="str">
        <f>IFERROR(__xludf.DUMMYFUNCTION("""COMPUTED_VALUE"""),"Cranial computed tomography and real-time sonography in full-term neonates and infants")</f>
        <v>Cranial computed tomography and real-time sonography in full-term neonates and infants</v>
      </c>
      <c r="B565" s="5" t="str">
        <f>IFERROR(__xludf.DUMMYFUNCTION("LEFT(FILTER(IMPORTRANGE(""https://docs.google.com/spreadsheets/d/1BJSV3WBYJGRhQ6zExamkszQ5VutGIcaQqmbD9ZTVXMQ/edit#gid=1251630045"",""articles_with_PRISMA_reasons!K2:K2113""), $A565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$A565=IMPORTRANGE(""https://docs.google.com/spreadsheets/d/1BJSV3WBYJGRhQ6zExamkszQ5VutGIcaQqmbD9ZTVXMQ/edit#gid=1251630045"",""articles_with_PRISMA_reasons!B2:B2113"")))-1)"),"Siegel")</f>
        <v>Siegel</v>
      </c>
      <c r="C565" s="6">
        <f>IFERROR(__xludf.DUMMYFUNCTION("FILTER(IMPORTRANGE(""https://docs.google.com/spreadsheets/d/1BJSV3WBYJGRhQ6zExamkszQ5VutGIcaQqmbD9ZTVXMQ/edit#gid=1251630045"",""articles_with_PRISMA_reasons!C2:C2113""), $A565=IMPORTRANGE(""https://docs.google.com/spreadsheets/d/1BJSV3WBYJGRhQ6zExamkszQ5"&amp;"VutGIcaQqmbD9ZTVXMQ/edit#gid=1251630045"",""articles_with_PRISMA_reasons!B2:B2113""))"),1983.0)</f>
        <v>1983</v>
      </c>
      <c r="D565" s="5" t="str">
        <f>IFERROR(__xludf.DUMMYFUNCTION("IFS(AND(
FILTER(IMPORTRANGE(""https://docs.google.com/spreadsheets/d/1BJSV3WBYJGRhQ6zExamkszQ5VutGIcaQqmbD9ZTVXMQ/edit#gid=1251630045"",""articles_with_PRISMA_reasons!Y2:Y2113""), $A565=IMPORTRANGE(""https://docs.google.com/spreadsheets/d/1BJSV3WBYJGRhQ6z"&amp;"ExamkszQ5VutGIcaQqmbD9ZTVXMQ/edit#gid=1251630045"",""articles_with_PRISMA_reasons!B2:B2113""))&gt;=2,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$A565=IMPORTRANGE(""https://docs.google.com/spreadsheets/d/1BJSV3WBYJGRhQ6zExamkszQ5VutGIcaQqmbD9ZTVXMQ/edit#gid=1251630045"",""articles_with_PRISMA_reasons!B2:B2113""))&lt;2),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$A565=IMPORTRANGE(""https://docs.google.com/spreadsheets/d/1BJSV3WBYJGRhQ6zExamkszQ5VutGIcaQqmbD9ZTVXMQ/edit#gid=1251630045"",""arti"&amp;"cles_with_PRISMA_reasons!B2:B2113""))&lt;2,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$A565=IMPORTRANGE(""https://docs.google.com"&amp;"/spreadsheets/d/1BJSV3WBYJGRhQ6zExamkszQ5VutGIcaQqmbD9ZTVXMQ/edit#gid=1251630045"",""articles_with_PRISMA_reasons!B2:B2113""))&gt;=2),
""Exclude""
)"),"Exclude")</f>
        <v>Exclude</v>
      </c>
      <c r="E565" s="5" t="str">
        <f>IFERROR(__xludf.DUMMYFUNCTION("IFS(
D565=""Exclude"",""Exclude"",
AND(
FILTER(IMPORTRANGE(""https://docs.google.com/spreadsheets/d/1qpEmbGH0JjaJbUdp21-y2cPbobDbMjr09BbtdKROZWc/edit#gid=1444865654"",""articles_with_PRISMA_reasons!W2:W2113""), $A565=IMPORTRANGE(""https://docs.google.com/"&amp;"spreadsheets/d/1qpEmbGH0JjaJbUdp21-y2cPbobDbMjr09BbtdKROZWc/edit#gid=1444865654"",""articles_with_PRISMA_reasons!B2:B2113""))&gt;=2,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$A565=IMPORTRANGE(""https://docs.google.com/spreadsheets/d/1qpEmbGH0JjaJbUdp21-y2cPbobDbMjr09BbtdKROZWc/edit#gid=1444865654"",""articles_with_PRISMA_reasons!B2:B2113""))&lt;2),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$A565=IMPORTRANGE(""https://docs.google.com/spreadsheets/d/1qpEmbGH0JjaJbUdp21-y2cPbobDbMjr09BbtdKRO"&amp;"ZWc/edit#gid=1444865654"",""articles_with_PRISMA_reasons!B2:B2113""))&lt;2,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$A565=IMPOR"&amp;"TRANGE(""https://docs.google.com/spreadsheets/d/1qpEmbGH0JjaJbUdp21-y2cPbobDbMjr09BbtdKROZWc/edit#gid=1444865654"",""articles_with_PRISMA_reasons!B2:B2113""))&gt;=2),
""Exclude""
)"),"Exclude")</f>
        <v>Exclude</v>
      </c>
      <c r="F565" s="5" t="str">
        <f>IFERROR(__xludf.DUMMYFUNCTION("IFS(
E565=""Exclude"",""Exclude"",
AND(
COUNTIF(
IMPORTRANGE(""https://docs.google.com/spreadsheets/d/1kGrh75X1cNR1D7_FcY9zMnHP8iPO4M5RCRjy6nZY0TY/edit#gid=0"",""Table 1: Study characteristics!B4:B171""),A565)&gt;0,
COUNTIF(Studies!$A$2:$A$85,FILTER(IMPORTRA"&amp;"NGE(""https://docs.google.com/spreadsheets/d/1kGrh75X1cNR1D7_FcY9zMnHP8iPO4M5RCRjy6nZY0TY/edit#gid=0"",""Table 1: Study characteristics!A4:A171""), $A565=IMPORTRANGE(""https://docs.google.com/spreadsheets/d/1kGrh75X1cNR1D7_FcY9zMnHP8iPO4M5RCRjy6nZY0TY/edi"&amp;"t#gid=0"",""Table 1: Study characteristics!B4:B171"")))&gt;0
),
""Include""
)"),"Exclude")</f>
        <v>Exclude</v>
      </c>
      <c r="G565" s="5" t="str">
        <f>IFERROR(__xludf.DUMMYFUNCTION("IFS(
D565=""Exclude"",
FILTER(IMPORTRANGE(""https://docs.google.com/spreadsheets/d/1BJSV3WBYJGRhQ6zExamkszQ5VutGIcaQqmbD9ZTVXMQ/edit#gid=1251630045"",""articles_with_PRISMA_reasons!AB2:AB2113""), $A565=IMPORTRANGE(""https://docs.google.com/spreadsheets/d/"&amp;"1BJSV3WBYJGRhQ6zExamkszQ5VutGIcaQqmbD9ZTVXMQ/edit#gid=1251630045"",""articles_with_PRISMA_reasons!B2:B2113"")),
E565=""Exclude"",
FILTER(IMPORTRANGE(""https://docs.google.com/spreadsheets/d/1qpEmbGH0JjaJbUdp21-y2cPbobDbMjr09BbtdKROZWc/edit#gid=1444865654"&amp;""",""articles_with_PRISMA_reasons!Z2:Z2113""), $A565=IMPORTRANGE(""https://docs.google.com/spreadsheets/d/1qpEmbGH0JjaJbUdp21-y2cPbobDbMjr09BbtdKROZWc/edit#gid=1444865654"",""articles_with_PRISMA_reasons!B2:B2113"")),F565
=""Include"",FILTER(IMPORTRANGE("&amp;"""https://docs.google.com/spreadsheets/d/1kGrh75X1cNR1D7_FcY9zMnHP8iPO4M5RCRjy6nZY0TY/edit#gid=0"",""Table 1: Study characteristics!A4:A171""), $A565=IMPORTRANGE(""https://docs.google.com/spreadsheets/d/1kGrh75X1cNR1D7_FcY9zMnHP8iPO4M5RCRjy6nZY0TY/edit#gi"&amp;"d=0"",""Table 1: Study characteristics!B4:B171""))
)"),"wrong intervention")</f>
        <v>wrong intervention</v>
      </c>
    </row>
    <row r="566">
      <c r="A566" s="4" t="str">
        <f>IFERROR(__xludf.DUMMYFUNCTION("""COMPUTED_VALUE"""),"Cranial CT findings in patients with meningomyelocele")</f>
        <v>Cranial CT findings in patients with meningomyelocele</v>
      </c>
      <c r="B566" s="5" t="str">
        <f>IFERROR(__xludf.DUMMYFUNCTION("LEFT(FILTER(IMPORTRANGE(""https://docs.google.com/spreadsheets/d/1BJSV3WBYJGRhQ6zExamkszQ5VutGIcaQqmbD9ZTVXMQ/edit#gid=1251630045"",""articles_with_PRISMA_reasons!K2:K2113""), $A566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$A566=IMPORTRANGE(""https://docs.google.com/spreadsheets/d/1BJSV3WBYJGRhQ6zExamkszQ5VutGIcaQqmbD9ZTVXMQ/edit#gid=1251630045"",""articles_with_PRISMA_reasons!B2:B2113"")))-1)"),"Zimmerman")</f>
        <v>Zimmerman</v>
      </c>
      <c r="C566" s="6">
        <f>IFERROR(__xludf.DUMMYFUNCTION("FILTER(IMPORTRANGE(""https://docs.google.com/spreadsheets/d/1BJSV3WBYJGRhQ6zExamkszQ5VutGIcaQqmbD9ZTVXMQ/edit#gid=1251630045"",""articles_with_PRISMA_reasons!C2:C2113""), $A566=IMPORTRANGE(""https://docs.google.com/spreadsheets/d/1BJSV3WBYJGRhQ6zExamkszQ5"&amp;"VutGIcaQqmbD9ZTVXMQ/edit#gid=1251630045"",""articles_with_PRISMA_reasons!B2:B2113""))"),1979.0)</f>
        <v>1979</v>
      </c>
      <c r="D566" s="5" t="str">
        <f>IFERROR(__xludf.DUMMYFUNCTION("IFS(AND(
FILTER(IMPORTRANGE(""https://docs.google.com/spreadsheets/d/1BJSV3WBYJGRhQ6zExamkszQ5VutGIcaQqmbD9ZTVXMQ/edit#gid=1251630045"",""articles_with_PRISMA_reasons!Y2:Y2113""), $A566=IMPORTRANGE(""https://docs.google.com/spreadsheets/d/1BJSV3WBYJGRhQ6z"&amp;"ExamkszQ5VutGIcaQqmbD9ZTVXMQ/edit#gid=1251630045"",""articles_with_PRISMA_reasons!B2:B2113""))&gt;=2,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$A566=IMPORTRANGE(""https://docs.google.com/spreadsheets/d/1BJSV3WBYJGRhQ6zExamkszQ5VutGIcaQqmbD9ZTVXMQ/edit#gid=1251630045"",""articles_with_PRISMA_reasons!B2:B2113""))&lt;2),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$A566=IMPORTRANGE(""https://docs.google.com/spreadsheets/d/1BJSV3WBYJGRhQ6zExamkszQ5VutGIcaQqmbD9ZTVXMQ/edit#gid=1251630045"",""arti"&amp;"cles_with_PRISMA_reasons!B2:B2113""))&lt;2,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$A566=IMPORTRANGE(""https://docs.google.com"&amp;"/spreadsheets/d/1BJSV3WBYJGRhQ6zExamkszQ5VutGIcaQqmbD9ZTVXMQ/edit#gid=1251630045"",""articles_with_PRISMA_reasons!B2:B2113""))&gt;=2),
""Exclude""
)"),"Exclude")</f>
        <v>Exclude</v>
      </c>
      <c r="E566" s="5" t="str">
        <f>IFERROR(__xludf.DUMMYFUNCTION("IFS(
D566=""Exclude"",""Exclude"",
AND(
FILTER(IMPORTRANGE(""https://docs.google.com/spreadsheets/d/1qpEmbGH0JjaJbUdp21-y2cPbobDbMjr09BbtdKROZWc/edit#gid=1444865654"",""articles_with_PRISMA_reasons!W2:W2113""), $A566=IMPORTRANGE(""https://docs.google.com/"&amp;"spreadsheets/d/1qpEmbGH0JjaJbUdp21-y2cPbobDbMjr09BbtdKROZWc/edit#gid=1444865654"",""articles_with_PRISMA_reasons!B2:B2113""))&gt;=2,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$A566=IMPORTRANGE(""https://docs.google.com/spreadsheets/d/1qpEmbGH0JjaJbUdp21-y2cPbobDbMjr09BbtdKROZWc/edit#gid=1444865654"",""articles_with_PRISMA_reasons!B2:B2113""))&lt;2),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$A566=IMPORTRANGE(""https://docs.google.com/spreadsheets/d/1qpEmbGH0JjaJbUdp21-y2cPbobDbMjr09BbtdKRO"&amp;"ZWc/edit#gid=1444865654"",""articles_with_PRISMA_reasons!B2:B2113""))&lt;2,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$A566=IMPOR"&amp;"TRANGE(""https://docs.google.com/spreadsheets/d/1qpEmbGH0JjaJbUdp21-y2cPbobDbMjr09BbtdKROZWc/edit#gid=1444865654"",""articles_with_PRISMA_reasons!B2:B2113""))&gt;=2),
""Exclude""
)"),"Exclude")</f>
        <v>Exclude</v>
      </c>
      <c r="F566" s="5" t="str">
        <f>IFERROR(__xludf.DUMMYFUNCTION("IFS(
E566=""Exclude"",""Exclude"",
AND(
COUNTIF(
IMPORTRANGE(""https://docs.google.com/spreadsheets/d/1kGrh75X1cNR1D7_FcY9zMnHP8iPO4M5RCRjy6nZY0TY/edit#gid=0"",""Table 1: Study characteristics!B4:B171""),A566)&gt;0,
COUNTIF(Studies!$A$2:$A$85,FILTER(IMPORTRA"&amp;"NGE(""https://docs.google.com/spreadsheets/d/1kGrh75X1cNR1D7_FcY9zMnHP8iPO4M5RCRjy6nZY0TY/edit#gid=0"",""Table 1: Study characteristics!A4:A171""), $A566=IMPORTRANGE(""https://docs.google.com/spreadsheets/d/1kGrh75X1cNR1D7_FcY9zMnHP8iPO4M5RCRjy6nZY0TY/edi"&amp;"t#gid=0"",""Table 1: Study characteristics!B4:B171"")))&gt;0
),
""Include""
)"),"Exclude")</f>
        <v>Exclude</v>
      </c>
      <c r="G566" s="5" t="str">
        <f>IFERROR(__xludf.DUMMYFUNCTION("IFS(
D566=""Exclude"",
FILTER(IMPORTRANGE(""https://docs.google.com/spreadsheets/d/1BJSV3WBYJGRhQ6zExamkszQ5VutGIcaQqmbD9ZTVXMQ/edit#gid=1251630045"",""articles_with_PRISMA_reasons!AB2:AB2113""), $A566=IMPORTRANGE(""https://docs.google.com/spreadsheets/d/"&amp;"1BJSV3WBYJGRhQ6zExamkszQ5VutGIcaQqmbD9ZTVXMQ/edit#gid=1251630045"",""articles_with_PRISMA_reasons!B2:B2113"")),
E566=""Exclude"",
FILTER(IMPORTRANGE(""https://docs.google.com/spreadsheets/d/1qpEmbGH0JjaJbUdp21-y2cPbobDbMjr09BbtdKROZWc/edit#gid=1444865654"&amp;""",""articles_with_PRISMA_reasons!Z2:Z2113""), $A566=IMPORTRANGE(""https://docs.google.com/spreadsheets/d/1qpEmbGH0JjaJbUdp21-y2cPbobDbMjr09BbtdKROZWc/edit#gid=1444865654"",""articles_with_PRISMA_reasons!B2:B2113"")),F566
=""Include"",FILTER(IMPORTRANGE("&amp;"""https://docs.google.com/spreadsheets/d/1kGrh75X1cNR1D7_FcY9zMnHP8iPO4M5RCRjy6nZY0TY/edit#gid=0"",""Table 1: Study characteristics!A4:A171""), $A566=IMPORTRANGE(""https://docs.google.com/spreadsheets/d/1kGrh75X1cNR1D7_FcY9zMnHP8iPO4M5RCRjy6nZY0TY/edit#gi"&amp;"d=0"",""Table 1: Study characteristics!B4:B171""))
)"),"wrong population")</f>
        <v>wrong population</v>
      </c>
    </row>
    <row r="567">
      <c r="A567" s="4" t="str">
        <f>IFERROR(__xludf.DUMMYFUNCTION("""COMPUTED_VALUE"""),"Cranial Doppler ultrasonography correlates with criteria for ventriculoperitoneal shunting")</f>
        <v>Cranial Doppler ultrasonography correlates with criteria for ventriculoperitoneal shunting</v>
      </c>
      <c r="B567" s="5" t="str">
        <f>IFERROR(__xludf.DUMMYFUNCTION("LEFT(FILTER(IMPORTRANGE(""https://docs.google.com/spreadsheets/d/1BJSV3WBYJGRhQ6zExamkszQ5VutGIcaQqmbD9ZTVXMQ/edit#gid=1251630045"",""articles_with_PRISMA_reasons!K2:K2113""), $A567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$A567=IMPORTRANGE(""https://docs.google.com/spreadsheets/d/1BJSV3WBYJGRhQ6zExamkszQ5VutGIcaQqmbD9ZTVXMQ/edit#gid=1251630045"",""articles_with_PRISMA_reasons!B2:B2113"")))-1)"),"Chadduck")</f>
        <v>Chadduck</v>
      </c>
      <c r="C567" s="6" t="str">
        <f>IFERROR(__xludf.DUMMYFUNCTION("FILTER(IMPORTRANGE(""https://docs.google.com/spreadsheets/d/1BJSV3WBYJGRhQ6zExamkszQ5VutGIcaQqmbD9ZTVXMQ/edit#gid=1251630045"",""articles_with_PRISMA_reasons!C2:C2113""), $A567=IMPORTRANGE(""https://docs.google.com/spreadsheets/d/1BJSV3WBYJGRhQ6zExamkszQ5"&amp;"VutGIcaQqmbD9ZTVXMQ/edit#gid=1251630045"",""articles_with_PRISMA_reasons!B2:B2113""))"),"Feb")</f>
        <v>Feb</v>
      </c>
      <c r="D567" s="5" t="str">
        <f>IFERROR(__xludf.DUMMYFUNCTION("IFS(AND(
FILTER(IMPORTRANGE(""https://docs.google.com/spreadsheets/d/1BJSV3WBYJGRhQ6zExamkszQ5VutGIcaQqmbD9ZTVXMQ/edit#gid=1251630045"",""articles_with_PRISMA_reasons!Y2:Y2113""), $A567=IMPORTRANGE(""https://docs.google.com/spreadsheets/d/1BJSV3WBYJGRhQ6z"&amp;"ExamkszQ5VutGIcaQqmbD9ZTVXMQ/edit#gid=1251630045"",""articles_with_PRISMA_reasons!B2:B2113""))&gt;=2,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$A567=IMPORTRANGE(""https://docs.google.com/spreadsheets/d/1BJSV3WBYJGRhQ6zExamkszQ5VutGIcaQqmbD9ZTVXMQ/edit#gid=1251630045"",""articles_with_PRISMA_reasons!B2:B2113""))&lt;2),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$A567=IMPORTRANGE(""https://docs.google.com/spreadsheets/d/1BJSV3WBYJGRhQ6zExamkszQ5VutGIcaQqmbD9ZTVXMQ/edit#gid=1251630045"",""arti"&amp;"cles_with_PRISMA_reasons!B2:B2113""))&lt;2,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$A567=IMPORTRANGE(""https://docs.google.com"&amp;"/spreadsheets/d/1BJSV3WBYJGRhQ6zExamkszQ5VutGIcaQqmbD9ZTVXMQ/edit#gid=1251630045"",""articles_with_PRISMA_reasons!B2:B2113""))&gt;=2),
""Exclude""
)"),"Include")</f>
        <v>Include</v>
      </c>
      <c r="E567" s="5" t="str">
        <f>IFERROR(__xludf.DUMMYFUNCTION("IFS(
D567=""Exclude"",""Exclude"",
AND(
FILTER(IMPORTRANGE(""https://docs.google.com/spreadsheets/d/1qpEmbGH0JjaJbUdp21-y2cPbobDbMjr09BbtdKROZWc/edit#gid=1444865654"",""articles_with_PRISMA_reasons!W2:W2113""), $A567=IMPORTRANGE(""https://docs.google.com/"&amp;"spreadsheets/d/1qpEmbGH0JjaJbUdp21-y2cPbobDbMjr09BbtdKROZWc/edit#gid=1444865654"",""articles_with_PRISMA_reasons!B2:B2113""))&gt;=2,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$A567=IMPORTRANGE(""https://docs.google.com/spreadsheets/d/1qpEmbGH0JjaJbUdp21-y2cPbobDbMjr09BbtdKROZWc/edit#gid=1444865654"",""articles_with_PRISMA_reasons!B2:B2113""))&lt;2),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$A567=IMPORTRANGE(""https://docs.google.com/spreadsheets/d/1qpEmbGH0JjaJbUdp21-y2cPbobDbMjr09BbtdKRO"&amp;"ZWc/edit#gid=1444865654"",""articles_with_PRISMA_reasons!B2:B2113""))&lt;2,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$A567=IMPOR"&amp;"TRANGE(""https://docs.google.com/spreadsheets/d/1qpEmbGH0JjaJbUdp21-y2cPbobDbMjr09BbtdKROZWc/edit#gid=1444865654"",""articles_with_PRISMA_reasons!B2:B2113""))&gt;=2),
""Exclude""
)"),"Include")</f>
        <v>Include</v>
      </c>
      <c r="F567" s="2" t="s">
        <v>8</v>
      </c>
      <c r="G567" s="2" t="s">
        <v>16</v>
      </c>
    </row>
    <row r="568">
      <c r="A568" s="4" t="str">
        <f>IFERROR(__xludf.DUMMYFUNCTION("""COMPUTED_VALUE"""),"Cranial expansion and aqueductoplasty for combined isolated fourth ventricle and slit-ventricle syndrome: a surgical alternative")</f>
        <v>Cranial expansion and aqueductoplasty for combined isolated fourth ventricle and slit-ventricle syndrome: a surgical alternative</v>
      </c>
      <c r="B568" s="5" t="str">
        <f>IFERROR(__xludf.DUMMYFUNCTION("LEFT(FILTER(IMPORTRANGE(""https://docs.google.com/spreadsheets/d/1BJSV3WBYJGRhQ6zExamkszQ5VutGIcaQqmbD9ZTVXMQ/edit#gid=1251630045"",""articles_with_PRISMA_reasons!K2:K2113""), $A568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$A568=IMPORTRANGE(""https://docs.google.com/spreadsheets/d/1BJSV3WBYJGRhQ6zExamkszQ5VutGIcaQqmbD9ZTVXMQ/edit#gid=1251630045"",""articles_with_PRISMA_reasons!B2:B2113"")))-1)"),"Moreno-Madueno")</f>
        <v>Moreno-Madueno</v>
      </c>
      <c r="C568" s="6">
        <f>IFERROR(__xludf.DUMMYFUNCTION("FILTER(IMPORTRANGE(""https://docs.google.com/spreadsheets/d/1BJSV3WBYJGRhQ6zExamkszQ5VutGIcaQqmbD9ZTVXMQ/edit#gid=1251630045"",""articles_with_PRISMA_reasons!C2:C2113""), $A568=IMPORTRANGE(""https://docs.google.com/spreadsheets/d/1BJSV3WBYJGRhQ6zExamkszQ5"&amp;"VutGIcaQqmbD9ZTVXMQ/edit#gid=1251630045"",""articles_with_PRISMA_reasons!B2:B2113""))"),2021.0)</f>
        <v>2021</v>
      </c>
      <c r="D568" s="5" t="str">
        <f>IFERROR(__xludf.DUMMYFUNCTION("IFS(AND(
FILTER(IMPORTRANGE(""https://docs.google.com/spreadsheets/d/1BJSV3WBYJGRhQ6zExamkszQ5VutGIcaQqmbD9ZTVXMQ/edit#gid=1251630045"",""articles_with_PRISMA_reasons!Y2:Y2113""), $A568=IMPORTRANGE(""https://docs.google.com/spreadsheets/d/1BJSV3WBYJGRhQ6z"&amp;"ExamkszQ5VutGIcaQqmbD9ZTVXMQ/edit#gid=1251630045"",""articles_with_PRISMA_reasons!B2:B2113""))&gt;=2,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$A568=IMPORTRANGE(""https://docs.google.com/spreadsheets/d/1BJSV3WBYJGRhQ6zExamkszQ5VutGIcaQqmbD9ZTVXMQ/edit#gid=1251630045"",""articles_with_PRISMA_reasons!B2:B2113""))&lt;2),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$A568=IMPORTRANGE(""https://docs.google.com/spreadsheets/d/1BJSV3WBYJGRhQ6zExamkszQ5VutGIcaQqmbD9ZTVXMQ/edit#gid=1251630045"",""arti"&amp;"cles_with_PRISMA_reasons!B2:B2113""))&lt;2,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$A568=IMPORTRANGE(""https://docs.google.com"&amp;"/spreadsheets/d/1BJSV3WBYJGRhQ6zExamkszQ5VutGIcaQqmbD9ZTVXMQ/edit#gid=1251630045"",""articles_with_PRISMA_reasons!B2:B2113""))&gt;=2),
""Exclude""
)"),"Exclude")</f>
        <v>Exclude</v>
      </c>
      <c r="E568" s="5" t="str">
        <f>IFERROR(__xludf.DUMMYFUNCTION("IFS(
D568=""Exclude"",""Exclude"",
AND(
FILTER(IMPORTRANGE(""https://docs.google.com/spreadsheets/d/1qpEmbGH0JjaJbUdp21-y2cPbobDbMjr09BbtdKROZWc/edit#gid=1444865654"",""articles_with_PRISMA_reasons!W2:W2113""), $A568=IMPORTRANGE(""https://docs.google.com/"&amp;"spreadsheets/d/1qpEmbGH0JjaJbUdp21-y2cPbobDbMjr09BbtdKROZWc/edit#gid=1444865654"",""articles_with_PRISMA_reasons!B2:B2113""))&gt;=2,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$A568=IMPORTRANGE(""https://docs.google.com/spreadsheets/d/1qpEmbGH0JjaJbUdp21-y2cPbobDbMjr09BbtdKROZWc/edit#gid=1444865654"",""articles_with_PRISMA_reasons!B2:B2113""))&lt;2),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$A568=IMPORTRANGE(""https://docs.google.com/spreadsheets/d/1qpEmbGH0JjaJbUdp21-y2cPbobDbMjr09BbtdKRO"&amp;"ZWc/edit#gid=1444865654"",""articles_with_PRISMA_reasons!B2:B2113""))&lt;2,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$A568=IMPOR"&amp;"TRANGE(""https://docs.google.com/spreadsheets/d/1qpEmbGH0JjaJbUdp21-y2cPbobDbMjr09BbtdKROZWc/edit#gid=1444865654"",""articles_with_PRISMA_reasons!B2:B2113""))&gt;=2),
""Exclude""
)"),"Exclude")</f>
        <v>Exclude</v>
      </c>
      <c r="F568" s="5" t="str">
        <f>IFERROR(__xludf.DUMMYFUNCTION("IFS(
E568=""Exclude"",""Exclude"",
AND(
COUNTIF(
IMPORTRANGE(""https://docs.google.com/spreadsheets/d/1kGrh75X1cNR1D7_FcY9zMnHP8iPO4M5RCRjy6nZY0TY/edit#gid=0"",""Table 1: Study characteristics!B4:B171""),A568)&gt;0,
COUNTIF(Studies!$A$2:$A$85,FILTER(IMPORTRA"&amp;"NGE(""https://docs.google.com/spreadsheets/d/1kGrh75X1cNR1D7_FcY9zMnHP8iPO4M5RCRjy6nZY0TY/edit#gid=0"",""Table 1: Study characteristics!A4:A171""), $A568=IMPORTRANGE(""https://docs.google.com/spreadsheets/d/1kGrh75X1cNR1D7_FcY9zMnHP8iPO4M5RCRjy6nZY0TY/edi"&amp;"t#gid=0"",""Table 1: Study characteristics!B4:B171"")))&gt;0
),
""Include""
)"),"Exclude")</f>
        <v>Exclude</v>
      </c>
      <c r="G568" s="5" t="str">
        <f>IFERROR(__xludf.DUMMYFUNCTION("IFS(
D568=""Exclude"",
FILTER(IMPORTRANGE(""https://docs.google.com/spreadsheets/d/1BJSV3WBYJGRhQ6zExamkszQ5VutGIcaQqmbD9ZTVXMQ/edit#gid=1251630045"",""articles_with_PRISMA_reasons!AB2:AB2113""), $A568=IMPORTRANGE(""https://docs.google.com/spreadsheets/d/"&amp;"1BJSV3WBYJGRhQ6zExamkszQ5VutGIcaQqmbD9ZTVXMQ/edit#gid=1251630045"",""articles_with_PRISMA_reasons!B2:B2113"")),
E568=""Exclude"",
FILTER(IMPORTRANGE(""https://docs.google.com/spreadsheets/d/1qpEmbGH0JjaJbUdp21-y2cPbobDbMjr09BbtdKROZWc/edit#gid=1444865654"&amp;""",""articles_with_PRISMA_reasons!Z2:Z2113""), $A568=IMPORTRANGE(""https://docs.google.com/spreadsheets/d/1qpEmbGH0JjaJbUdp21-y2cPbobDbMjr09BbtdKROZWc/edit#gid=1444865654"",""articles_with_PRISMA_reasons!B2:B2113"")),F568
=""Include"",FILTER(IMPORTRANGE("&amp;"""https://docs.google.com/spreadsheets/d/1kGrh75X1cNR1D7_FcY9zMnHP8iPO4M5RCRjy6nZY0TY/edit#gid=0"",""Table 1: Study characteristics!A4:A171""), $A568=IMPORTRANGE(""https://docs.google.com/spreadsheets/d/1kGrh75X1cNR1D7_FcY9zMnHP8iPO4M5RCRjy6nZY0TY/edit#gi"&amp;"d=0"",""Table 1: Study characteristics!B4:B171""))
)"),"wrong population")</f>
        <v>wrong population</v>
      </c>
    </row>
    <row r="569">
      <c r="A569" s="4" t="str">
        <f>IFERROR(__xludf.DUMMYFUNCTION("""COMPUTED_VALUE"""),"Cranial findings detected by second-trimester ultrasound in fetuses with myelomeningocele: a systematic review")</f>
        <v>Cranial findings detected by second-trimester ultrasound in fetuses with myelomeningocele: a systematic review</v>
      </c>
      <c r="B569" s="5" t="str">
        <f>IFERROR(__xludf.DUMMYFUNCTION("LEFT(FILTER(IMPORTRANGE(""https://docs.google.com/spreadsheets/d/1BJSV3WBYJGRhQ6zExamkszQ5VutGIcaQqmbD9ZTVXMQ/edit#gid=1251630045"",""articles_with_PRISMA_reasons!K2:K2113""), $A569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$A569=IMPORTRANGE(""https://docs.google.com/spreadsheets/d/1BJSV3WBYJGRhQ6zExamkszQ5VutGIcaQqmbD9ZTVXMQ/edit#gid=1251630045"",""articles_with_PRISMA_reasons!B2:B2113"")))-1)"),"Mufti")</f>
        <v>Mufti</v>
      </c>
      <c r="C569" s="6">
        <f>IFERROR(__xludf.DUMMYFUNCTION("FILTER(IMPORTRANGE(""https://docs.google.com/spreadsheets/d/1BJSV3WBYJGRhQ6zExamkszQ5VutGIcaQqmbD9ZTVXMQ/edit#gid=1251630045"",""articles_with_PRISMA_reasons!C2:C2113""), $A569=IMPORTRANGE(""https://docs.google.com/spreadsheets/d/1BJSV3WBYJGRhQ6zExamkszQ5"&amp;"VutGIcaQqmbD9ZTVXMQ/edit#gid=1251630045"",""articles_with_PRISMA_reasons!B2:B2113""))"),2021.0)</f>
        <v>2021</v>
      </c>
      <c r="D569" s="5" t="str">
        <f>IFERROR(__xludf.DUMMYFUNCTION("IFS(AND(
FILTER(IMPORTRANGE(""https://docs.google.com/spreadsheets/d/1BJSV3WBYJGRhQ6zExamkszQ5VutGIcaQqmbD9ZTVXMQ/edit#gid=1251630045"",""articles_with_PRISMA_reasons!Y2:Y2113""), $A569=IMPORTRANGE(""https://docs.google.com/spreadsheets/d/1BJSV3WBYJGRhQ6z"&amp;"ExamkszQ5VutGIcaQqmbD9ZTVXMQ/edit#gid=1251630045"",""articles_with_PRISMA_reasons!B2:B2113""))&gt;=2,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$A569=IMPORTRANGE(""https://docs.google.com/spreadsheets/d/1BJSV3WBYJGRhQ6zExamkszQ5VutGIcaQqmbD9ZTVXMQ/edit#gid=1251630045"",""articles_with_PRISMA_reasons!B2:B2113""))&lt;2),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$A569=IMPORTRANGE(""https://docs.google.com/spreadsheets/d/1BJSV3WBYJGRhQ6zExamkszQ5VutGIcaQqmbD9ZTVXMQ/edit#gid=1251630045"",""arti"&amp;"cles_with_PRISMA_reasons!B2:B2113""))&lt;2,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$A569=IMPORTRANGE(""https://docs.google.com"&amp;"/spreadsheets/d/1BJSV3WBYJGRhQ6zExamkszQ5VutGIcaQqmbD9ZTVXMQ/edit#gid=1251630045"",""articles_with_PRISMA_reasons!B2:B2113""))&gt;=2),
""Exclude""
)"),"Exclude")</f>
        <v>Exclude</v>
      </c>
      <c r="E569" s="5" t="str">
        <f>IFERROR(__xludf.DUMMYFUNCTION("IFS(
D569=""Exclude"",""Exclude"",
AND(
FILTER(IMPORTRANGE(""https://docs.google.com/spreadsheets/d/1qpEmbGH0JjaJbUdp21-y2cPbobDbMjr09BbtdKROZWc/edit#gid=1444865654"",""articles_with_PRISMA_reasons!W2:W2113""), $A569=IMPORTRANGE(""https://docs.google.com/"&amp;"spreadsheets/d/1qpEmbGH0JjaJbUdp21-y2cPbobDbMjr09BbtdKROZWc/edit#gid=1444865654"",""articles_with_PRISMA_reasons!B2:B2113""))&gt;=2,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$A569=IMPORTRANGE(""https://docs.google.com/spreadsheets/d/1qpEmbGH0JjaJbUdp21-y2cPbobDbMjr09BbtdKROZWc/edit#gid=1444865654"",""articles_with_PRISMA_reasons!B2:B2113""))&lt;2),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$A569=IMPORTRANGE(""https://docs.google.com/spreadsheets/d/1qpEmbGH0JjaJbUdp21-y2cPbobDbMjr09BbtdKRO"&amp;"ZWc/edit#gid=1444865654"",""articles_with_PRISMA_reasons!B2:B2113""))&lt;2,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$A569=IMPOR"&amp;"TRANGE(""https://docs.google.com/spreadsheets/d/1qpEmbGH0JjaJbUdp21-y2cPbobDbMjr09BbtdKROZWc/edit#gid=1444865654"",""articles_with_PRISMA_reasons!B2:B2113""))&gt;=2),
""Exclude""
)"),"Exclude")</f>
        <v>Exclude</v>
      </c>
      <c r="F569" s="5" t="str">
        <f>IFERROR(__xludf.DUMMYFUNCTION("IFS(
E569=""Exclude"",""Exclude"",
AND(
COUNTIF(
IMPORTRANGE(""https://docs.google.com/spreadsheets/d/1kGrh75X1cNR1D7_FcY9zMnHP8iPO4M5RCRjy6nZY0TY/edit#gid=0"",""Table 1: Study characteristics!B4:B171""),A569)&gt;0,
COUNTIF(Studies!$A$2:$A$85,FILTER(IMPORTRA"&amp;"NGE(""https://docs.google.com/spreadsheets/d/1kGrh75X1cNR1D7_FcY9zMnHP8iPO4M5RCRjy6nZY0TY/edit#gid=0"",""Table 1: Study characteristics!A4:A171""), $A569=IMPORTRANGE(""https://docs.google.com/spreadsheets/d/1kGrh75X1cNR1D7_FcY9zMnHP8iPO4M5RCRjy6nZY0TY/edi"&amp;"t#gid=0"",""Table 1: Study characteristics!B4:B171"")))&gt;0
),
""Include""
)"),"Exclude")</f>
        <v>Exclude</v>
      </c>
      <c r="G569" s="5" t="str">
        <f>IFERROR(__xludf.DUMMYFUNCTION("IFS(
D569=""Exclude"",
FILTER(IMPORTRANGE(""https://docs.google.com/spreadsheets/d/1BJSV3WBYJGRhQ6zExamkszQ5VutGIcaQqmbD9ZTVXMQ/edit#gid=1251630045"",""articles_with_PRISMA_reasons!AB2:AB2113""), $A569=IMPORTRANGE(""https://docs.google.com/spreadsheets/d/"&amp;"1BJSV3WBYJGRhQ6zExamkszQ5VutGIcaQqmbD9ZTVXMQ/edit#gid=1251630045"",""articles_with_PRISMA_reasons!B2:B2113"")),
E569=""Exclude"",
FILTER(IMPORTRANGE(""https://docs.google.com/spreadsheets/d/1qpEmbGH0JjaJbUdp21-y2cPbobDbMjr09BbtdKROZWc/edit#gid=1444865654"&amp;""",""articles_with_PRISMA_reasons!Z2:Z2113""), $A569=IMPORTRANGE(""https://docs.google.com/spreadsheets/d/1qpEmbGH0JjaJbUdp21-y2cPbobDbMjr09BbtdKROZWc/edit#gid=1444865654"",""articles_with_PRISMA_reasons!B2:B2113"")),F569
=""Include"",FILTER(IMPORTRANGE("&amp;"""https://docs.google.com/spreadsheets/d/1kGrh75X1cNR1D7_FcY9zMnHP8iPO4M5RCRjy6nZY0TY/edit#gid=0"",""Table 1: Study characteristics!A4:A171""), $A569=IMPORTRANGE(""https://docs.google.com/spreadsheets/d/1kGrh75X1cNR1D7_FcY9zMnHP8iPO4M5RCRjy6nZY0TY/edit#gi"&amp;"d=0"",""Table 1: Study characteristics!B4:B171""))
)"),"wrong study design")</f>
        <v>wrong study design</v>
      </c>
    </row>
    <row r="570">
      <c r="A570" s="4" t="str">
        <f>IFERROR(__xludf.DUMMYFUNCTION("""COMPUTED_VALUE"""),"Cranial sonographic evaluation in children with meningomyelocele")</f>
        <v>Cranial sonographic evaluation in children with meningomyelocele</v>
      </c>
      <c r="B570" s="5" t="str">
        <f>IFERROR(__xludf.DUMMYFUNCTION("LEFT(FILTER(IMPORTRANGE(""https://docs.google.com/spreadsheets/d/1BJSV3WBYJGRhQ6zExamkszQ5VutGIcaQqmbD9ZTVXMQ/edit#gid=1251630045"",""articles_with_PRISMA_reasons!K2:K2113""), $A570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$A570=IMPORTRANGE(""https://docs.google.com/spreadsheets/d/1BJSV3WBYJGRhQ6zExamkszQ5VutGIcaQqmbD9ZTVXMQ/edit#gid=1251630045"",""articles_with_PRISMA_reasons!B2:B2113"")))-1)"),"de la Cruz")</f>
        <v>de la Cruz</v>
      </c>
      <c r="C570" s="6">
        <f>IFERROR(__xludf.DUMMYFUNCTION("FILTER(IMPORTRANGE(""https://docs.google.com/spreadsheets/d/1BJSV3WBYJGRhQ6zExamkszQ5VutGIcaQqmbD9ZTVXMQ/edit#gid=1251630045"",""articles_with_PRISMA_reasons!C2:C2113""), $A570=IMPORTRANGE(""https://docs.google.com/spreadsheets/d/1BJSV3WBYJGRhQ6zExamkszQ5"&amp;"VutGIcaQqmbD9ZTVXMQ/edit#gid=1251630045"",""articles_with_PRISMA_reasons!B2:B2113""))"),1989.0)</f>
        <v>1989</v>
      </c>
      <c r="D570" s="5" t="str">
        <f>IFERROR(__xludf.DUMMYFUNCTION("IFS(AND(
FILTER(IMPORTRANGE(""https://docs.google.com/spreadsheets/d/1BJSV3WBYJGRhQ6zExamkszQ5VutGIcaQqmbD9ZTVXMQ/edit#gid=1251630045"",""articles_with_PRISMA_reasons!Y2:Y2113""), $A570=IMPORTRANGE(""https://docs.google.com/spreadsheets/d/1BJSV3WBYJGRhQ6z"&amp;"ExamkszQ5VutGIcaQqmbD9ZTVXMQ/edit#gid=1251630045"",""articles_with_PRISMA_reasons!B2:B2113""))&gt;=2,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$A570=IMPORTRANGE(""https://docs.google.com/spreadsheets/d/1BJSV3WBYJGRhQ6zExamkszQ5VutGIcaQqmbD9ZTVXMQ/edit#gid=1251630045"",""articles_with_PRISMA_reasons!B2:B2113""))&lt;2),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$A570=IMPORTRANGE(""https://docs.google.com/spreadsheets/d/1BJSV3WBYJGRhQ6zExamkszQ5VutGIcaQqmbD9ZTVXMQ/edit#gid=1251630045"",""arti"&amp;"cles_with_PRISMA_reasons!B2:B2113""))&lt;2,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$A570=IMPORTRANGE(""https://docs.google.com"&amp;"/spreadsheets/d/1BJSV3WBYJGRhQ6zExamkszQ5VutGIcaQqmbD9ZTVXMQ/edit#gid=1251630045"",""articles_with_PRISMA_reasons!B2:B2113""))&gt;=2),
""Exclude""
)"),"Exclude")</f>
        <v>Exclude</v>
      </c>
      <c r="E570" s="5" t="str">
        <f>IFERROR(__xludf.DUMMYFUNCTION("IFS(
D570=""Exclude"",""Exclude"",
AND(
FILTER(IMPORTRANGE(""https://docs.google.com/spreadsheets/d/1qpEmbGH0JjaJbUdp21-y2cPbobDbMjr09BbtdKROZWc/edit#gid=1444865654"",""articles_with_PRISMA_reasons!W2:W2113""), $A570=IMPORTRANGE(""https://docs.google.com/"&amp;"spreadsheets/d/1qpEmbGH0JjaJbUdp21-y2cPbobDbMjr09BbtdKROZWc/edit#gid=1444865654"",""articles_with_PRISMA_reasons!B2:B2113""))&gt;=2,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$A570=IMPORTRANGE(""https://docs.google.com/spreadsheets/d/1qpEmbGH0JjaJbUdp21-y2cPbobDbMjr09BbtdKROZWc/edit#gid=1444865654"",""articles_with_PRISMA_reasons!B2:B2113""))&lt;2),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$A570=IMPORTRANGE(""https://docs.google.com/spreadsheets/d/1qpEmbGH0JjaJbUdp21-y2cPbobDbMjr09BbtdKRO"&amp;"ZWc/edit#gid=1444865654"",""articles_with_PRISMA_reasons!B2:B2113""))&lt;2,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$A570=IMPOR"&amp;"TRANGE(""https://docs.google.com/spreadsheets/d/1qpEmbGH0JjaJbUdp21-y2cPbobDbMjr09BbtdKROZWc/edit#gid=1444865654"",""articles_with_PRISMA_reasons!B2:B2113""))&gt;=2),
""Exclude""
)"),"Exclude")</f>
        <v>Exclude</v>
      </c>
      <c r="F570" s="5" t="str">
        <f>IFERROR(__xludf.DUMMYFUNCTION("IFS(
E570=""Exclude"",""Exclude"",
AND(
COUNTIF(
IMPORTRANGE(""https://docs.google.com/spreadsheets/d/1kGrh75X1cNR1D7_FcY9zMnHP8iPO4M5RCRjy6nZY0TY/edit#gid=0"",""Table 1: Study characteristics!B4:B171""),A570)&gt;0,
COUNTIF(Studies!$A$2:$A$85,FILTER(IMPORTRA"&amp;"NGE(""https://docs.google.com/spreadsheets/d/1kGrh75X1cNR1D7_FcY9zMnHP8iPO4M5RCRjy6nZY0TY/edit#gid=0"",""Table 1: Study characteristics!A4:A171""), $A570=IMPORTRANGE(""https://docs.google.com/spreadsheets/d/1kGrh75X1cNR1D7_FcY9zMnHP8iPO4M5RCRjy6nZY0TY/edi"&amp;"t#gid=0"",""Table 1: Study characteristics!B4:B171"")))&gt;0
),
""Include""
)"),"Exclude")</f>
        <v>Exclude</v>
      </c>
      <c r="G570" s="5" t="str">
        <f>IFERROR(__xludf.DUMMYFUNCTION("IFS(
D570=""Exclude"",
FILTER(IMPORTRANGE(""https://docs.google.com/spreadsheets/d/1BJSV3WBYJGRhQ6zExamkszQ5VutGIcaQqmbD9ZTVXMQ/edit#gid=1251630045"",""articles_with_PRISMA_reasons!AB2:AB2113""), $A570=IMPORTRANGE(""https://docs.google.com/spreadsheets/d/"&amp;"1BJSV3WBYJGRhQ6zExamkszQ5VutGIcaQqmbD9ZTVXMQ/edit#gid=1251630045"",""articles_with_PRISMA_reasons!B2:B2113"")),
E570=""Exclude"",
FILTER(IMPORTRANGE(""https://docs.google.com/spreadsheets/d/1qpEmbGH0JjaJbUdp21-y2cPbobDbMjr09BbtdKROZWc/edit#gid=1444865654"&amp;""",""articles_with_PRISMA_reasons!Z2:Z2113""), $A570=IMPORTRANGE(""https://docs.google.com/spreadsheets/d/1qpEmbGH0JjaJbUdp21-y2cPbobDbMjr09BbtdKROZWc/edit#gid=1444865654"",""articles_with_PRISMA_reasons!B2:B2113"")),F570
=""Include"",FILTER(IMPORTRANGE("&amp;"""https://docs.google.com/spreadsheets/d/1kGrh75X1cNR1D7_FcY9zMnHP8iPO4M5RCRjy6nZY0TY/edit#gid=0"",""Table 1: Study characteristics!A4:A171""), $A570=IMPORTRANGE(""https://docs.google.com/spreadsheets/d/1kGrh75X1cNR1D7_FcY9zMnHP8iPO4M5RCRjy6nZY0TY/edit#gi"&amp;"d=0"",""Table 1: Study characteristics!B4:B171""))
)"),"wrong population")</f>
        <v>wrong population</v>
      </c>
    </row>
    <row r="571">
      <c r="A571" s="4" t="str">
        <f>IFERROR(__xludf.DUMMYFUNCTION("""COMPUTED_VALUE"""),"CRANIOLACUNIA")</f>
        <v>CRANIOLACUNIA</v>
      </c>
      <c r="B571" s="5" t="str">
        <f>IFERROR(__xludf.DUMMYFUNCTION("LEFT(FILTER(IMPORTRANGE(""https://docs.google.com/spreadsheets/d/1BJSV3WBYJGRhQ6zExamkszQ5VutGIcaQqmbD9ZTVXMQ/edit#gid=1251630045"",""articles_with_PRISMA_reasons!K2:K2113""), $A571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$A571=IMPORTRANGE(""https://docs.google.com/spreadsheets/d/1BJSV3WBYJGRhQ6zExamkszQ5VutGIcaQqmbD9ZTVXMQ/edit#gid=1251630045"",""articles_with_PRISMA_reasons!B2:B2113"")))-1)"),"Shopfner")</f>
        <v>Shopfner</v>
      </c>
      <c r="C571" s="6">
        <f>IFERROR(__xludf.DUMMYFUNCTION("FILTER(IMPORTRANGE(""https://docs.google.com/spreadsheets/d/1BJSV3WBYJGRhQ6zExamkszQ5VutGIcaQqmbD9ZTVXMQ/edit#gid=1251630045"",""articles_with_PRISMA_reasons!C2:C2113""), $A571=IMPORTRANGE(""https://docs.google.com/spreadsheets/d/1BJSV3WBYJGRhQ6zExamkszQ5"&amp;"VutGIcaQqmbD9ZTVXMQ/edit#gid=1251630045"",""articles_with_PRISMA_reasons!B2:B2113""))"),1965.0)</f>
        <v>1965</v>
      </c>
      <c r="D571" s="5" t="str">
        <f>IFERROR(__xludf.DUMMYFUNCTION("IFS(AND(
FILTER(IMPORTRANGE(""https://docs.google.com/spreadsheets/d/1BJSV3WBYJGRhQ6zExamkszQ5VutGIcaQqmbD9ZTVXMQ/edit#gid=1251630045"",""articles_with_PRISMA_reasons!Y2:Y2113""), $A571=IMPORTRANGE(""https://docs.google.com/spreadsheets/d/1BJSV3WBYJGRhQ6z"&amp;"ExamkszQ5VutGIcaQqmbD9ZTVXMQ/edit#gid=1251630045"",""articles_with_PRISMA_reasons!B2:B2113""))&gt;=2,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$A571=IMPORTRANGE(""https://docs.google.com/spreadsheets/d/1BJSV3WBYJGRhQ6zExamkszQ5VutGIcaQqmbD9ZTVXMQ/edit#gid=1251630045"",""articles_with_PRISMA_reasons!B2:B2113""))&lt;2),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$A571=IMPORTRANGE(""https://docs.google.com/spreadsheets/d/1BJSV3WBYJGRhQ6zExamkszQ5VutGIcaQqmbD9ZTVXMQ/edit#gid=1251630045"",""arti"&amp;"cles_with_PRISMA_reasons!B2:B2113""))&lt;2,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$A571=IMPORTRANGE(""https://docs.google.com"&amp;"/spreadsheets/d/1BJSV3WBYJGRhQ6zExamkszQ5VutGIcaQqmbD9ZTVXMQ/edit#gid=1251630045"",""articles_with_PRISMA_reasons!B2:B2113""))&gt;=2),
""Exclude""
)"),"Exclude")</f>
        <v>Exclude</v>
      </c>
      <c r="E571" s="5" t="str">
        <f>IFERROR(__xludf.DUMMYFUNCTION("IFS(
D571=""Exclude"",""Exclude"",
AND(
FILTER(IMPORTRANGE(""https://docs.google.com/spreadsheets/d/1qpEmbGH0JjaJbUdp21-y2cPbobDbMjr09BbtdKROZWc/edit#gid=1444865654"",""articles_with_PRISMA_reasons!W2:W2113""), $A571=IMPORTRANGE(""https://docs.google.com/"&amp;"spreadsheets/d/1qpEmbGH0JjaJbUdp21-y2cPbobDbMjr09BbtdKROZWc/edit#gid=1444865654"",""articles_with_PRISMA_reasons!B2:B2113""))&gt;=2,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$A571=IMPORTRANGE(""https://docs.google.com/spreadsheets/d/1qpEmbGH0JjaJbUdp21-y2cPbobDbMjr09BbtdKROZWc/edit#gid=1444865654"",""articles_with_PRISMA_reasons!B2:B2113""))&lt;2),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$A571=IMPORTRANGE(""https://docs.google.com/spreadsheets/d/1qpEmbGH0JjaJbUdp21-y2cPbobDbMjr09BbtdKRO"&amp;"ZWc/edit#gid=1444865654"",""articles_with_PRISMA_reasons!B2:B2113""))&lt;2,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$A571=IMPOR"&amp;"TRANGE(""https://docs.google.com/spreadsheets/d/1qpEmbGH0JjaJbUdp21-y2cPbobDbMjr09BbtdKROZWc/edit#gid=1444865654"",""articles_with_PRISMA_reasons!B2:B2113""))&gt;=2),
""Exclude""
)"),"Exclude")</f>
        <v>Exclude</v>
      </c>
      <c r="F571" s="5" t="str">
        <f>IFERROR(__xludf.DUMMYFUNCTION("IFS(
E571=""Exclude"",""Exclude"",
AND(
COUNTIF(
IMPORTRANGE(""https://docs.google.com/spreadsheets/d/1kGrh75X1cNR1D7_FcY9zMnHP8iPO4M5RCRjy6nZY0TY/edit#gid=0"",""Table 1: Study characteristics!B4:B171""),A571)&gt;0,
COUNTIF(Studies!$A$2:$A$85,FILTER(IMPORTRA"&amp;"NGE(""https://docs.google.com/spreadsheets/d/1kGrh75X1cNR1D7_FcY9zMnHP8iPO4M5RCRjy6nZY0TY/edit#gid=0"",""Table 1: Study characteristics!A4:A171""), $A571=IMPORTRANGE(""https://docs.google.com/spreadsheets/d/1kGrh75X1cNR1D7_FcY9zMnHP8iPO4M5RCRjy6nZY0TY/edi"&amp;"t#gid=0"",""Table 1: Study characteristics!B4:B171"")))&gt;0
),
""Include""
)"),"Exclude")</f>
        <v>Exclude</v>
      </c>
      <c r="G571" s="5" t="str">
        <f>IFERROR(__xludf.DUMMYFUNCTION("IFS(
D571=""Exclude"",
FILTER(IMPORTRANGE(""https://docs.google.com/spreadsheets/d/1BJSV3WBYJGRhQ6zExamkszQ5VutGIcaQqmbD9ZTVXMQ/edit#gid=1251630045"",""articles_with_PRISMA_reasons!AB2:AB2113""), $A571=IMPORTRANGE(""https://docs.google.com/spreadsheets/d/"&amp;"1BJSV3WBYJGRhQ6zExamkszQ5VutGIcaQqmbD9ZTVXMQ/edit#gid=1251630045"",""articles_with_PRISMA_reasons!B2:B2113"")),
E571=""Exclude"",
FILTER(IMPORTRANGE(""https://docs.google.com/spreadsheets/d/1qpEmbGH0JjaJbUdp21-y2cPbobDbMjr09BbtdKROZWc/edit#gid=1444865654"&amp;""",""articles_with_PRISMA_reasons!Z2:Z2113""), $A571=IMPORTRANGE(""https://docs.google.com/spreadsheets/d/1qpEmbGH0JjaJbUdp21-y2cPbobDbMjr09BbtdKROZWc/edit#gid=1444865654"",""articles_with_PRISMA_reasons!B2:B2113"")),F571
=""Include"",FILTER(IMPORTRANGE("&amp;"""https://docs.google.com/spreadsheets/d/1kGrh75X1cNR1D7_FcY9zMnHP8iPO4M5RCRjy6nZY0TY/edit#gid=0"",""Table 1: Study characteristics!A4:A171""), $A571=IMPORTRANGE(""https://docs.google.com/spreadsheets/d/1kGrh75X1cNR1D7_FcY9zMnHP8iPO4M5RCRjy6nZY0TY/edit#gi"&amp;"d=0"",""Table 1: Study characteristics!B4:B171""))
)"),"wrong study design")</f>
        <v>wrong study design</v>
      </c>
    </row>
    <row r="572">
      <c r="A572" s="4" t="str">
        <f>IFERROR(__xludf.DUMMYFUNCTION("""COMPUTED_VALUE"""),"Craniolacunia in newborn with myelomeningocele")</f>
        <v>Craniolacunia in newborn with myelomeningocele</v>
      </c>
      <c r="B572" s="5" t="str">
        <f>IFERROR(__xludf.DUMMYFUNCTION("LEFT(FILTER(IMPORTRANGE(""https://docs.google.com/spreadsheets/d/1BJSV3WBYJGRhQ6zExamkszQ5VutGIcaQqmbD9ZTVXMQ/edit#gid=1251630045"",""articles_with_PRISMA_reasons!K2:K2113""), $A572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$A572=IMPORTRANGE(""https://docs.google.com/spreadsheets/d/1BJSV3WBYJGRhQ6zExamkszQ5VutGIcaQqmbD9ZTVXMQ/edit#gid=1251630045"",""articles_with_PRISMA_reasons!B2:B2113"")))-1)"),"Tajima")</f>
        <v>Tajima</v>
      </c>
      <c r="C572" s="6">
        <f>IFERROR(__xludf.DUMMYFUNCTION("FILTER(IMPORTRANGE(""https://docs.google.com/spreadsheets/d/1BJSV3WBYJGRhQ6zExamkszQ5VutGIcaQqmbD9ZTVXMQ/edit#gid=1251630045"",""articles_with_PRISMA_reasons!C2:C2113""), $A572=IMPORTRANGE(""https://docs.google.com/spreadsheets/d/1BJSV3WBYJGRhQ6zExamkszQ5"&amp;"VutGIcaQqmbD9ZTVXMQ/edit#gid=1251630045"",""articles_with_PRISMA_reasons!B2:B2113""))"),1977.0)</f>
        <v>1977</v>
      </c>
      <c r="D572" s="5" t="str">
        <f>IFERROR(__xludf.DUMMYFUNCTION("IFS(AND(
FILTER(IMPORTRANGE(""https://docs.google.com/spreadsheets/d/1BJSV3WBYJGRhQ6zExamkszQ5VutGIcaQqmbD9ZTVXMQ/edit#gid=1251630045"",""articles_with_PRISMA_reasons!Y2:Y2113""), $A572=IMPORTRANGE(""https://docs.google.com/spreadsheets/d/1BJSV3WBYJGRhQ6z"&amp;"ExamkszQ5VutGIcaQqmbD9ZTVXMQ/edit#gid=1251630045"",""articles_with_PRISMA_reasons!B2:B2113""))&gt;=2,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$A572=IMPORTRANGE(""https://docs.google.com/spreadsheets/d/1BJSV3WBYJGRhQ6zExamkszQ5VutGIcaQqmbD9ZTVXMQ/edit#gid=1251630045"",""articles_with_PRISMA_reasons!B2:B2113""))&lt;2),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$A572=IMPORTRANGE(""https://docs.google.com/spreadsheets/d/1BJSV3WBYJGRhQ6zExamkszQ5VutGIcaQqmbD9ZTVXMQ/edit#gid=1251630045"",""arti"&amp;"cles_with_PRISMA_reasons!B2:B2113""))&lt;2,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$A572=IMPORTRANGE(""https://docs.google.com"&amp;"/spreadsheets/d/1BJSV3WBYJGRhQ6zExamkszQ5VutGIcaQqmbD9ZTVXMQ/edit#gid=1251630045"",""articles_with_PRISMA_reasons!B2:B2113""))&gt;=2),
""Exclude""
)"),"Include")</f>
        <v>Include</v>
      </c>
      <c r="E572" s="5" t="str">
        <f>IFERROR(__xludf.DUMMYFUNCTION("IFS(
D572=""Exclude"",""Exclude"",
AND(
FILTER(IMPORTRANGE(""https://docs.google.com/spreadsheets/d/1qpEmbGH0JjaJbUdp21-y2cPbobDbMjr09BbtdKROZWc/edit#gid=1444865654"",""articles_with_PRISMA_reasons!W2:W2113""), $A572=IMPORTRANGE(""https://docs.google.com/"&amp;"spreadsheets/d/1qpEmbGH0JjaJbUdp21-y2cPbobDbMjr09BbtdKROZWc/edit#gid=1444865654"",""articles_with_PRISMA_reasons!B2:B2113""))&gt;=2,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$A572=IMPORTRANGE(""https://docs.google.com/spreadsheets/d/1qpEmbGH0JjaJbUdp21-y2cPbobDbMjr09BbtdKROZWc/edit#gid=1444865654"",""articles_with_PRISMA_reasons!B2:B2113""))&lt;2),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$A572=IMPORTRANGE(""https://docs.google.com/spreadsheets/d/1qpEmbGH0JjaJbUdp21-y2cPbobDbMjr09BbtdKRO"&amp;"ZWc/edit#gid=1444865654"",""articles_with_PRISMA_reasons!B2:B2113""))&lt;2,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$A572=IMPOR"&amp;"TRANGE(""https://docs.google.com/spreadsheets/d/1qpEmbGH0JjaJbUdp21-y2cPbobDbMjr09BbtdKROZWc/edit#gid=1444865654"",""articles_with_PRISMA_reasons!B2:B2113""))&gt;=2),
""Exclude""
)"),"Include")</f>
        <v>Include</v>
      </c>
      <c r="F572" s="2" t="s">
        <v>8</v>
      </c>
      <c r="G572" s="2" t="s">
        <v>23</v>
      </c>
    </row>
    <row r="573">
      <c r="A573" s="4" t="str">
        <f>IFERROR(__xludf.DUMMYFUNCTION("""COMPUTED_VALUE"""),"Craniosynostosis in neural tube defects: A theory on its pathogenesis")</f>
        <v>Craniosynostosis in neural tube defects: A theory on its pathogenesis</v>
      </c>
      <c r="B573" s="5" t="str">
        <f>IFERROR(__xludf.DUMMYFUNCTION("LEFT(FILTER(IMPORTRANGE(""https://docs.google.com/spreadsheets/d/1BJSV3WBYJGRhQ6zExamkszQ5VutGIcaQqmbD9ZTVXMQ/edit#gid=1251630045"",""articles_with_PRISMA_reasons!K2:K2113""), $A573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$A573=IMPORTRANGE(""https://docs.google.com/spreadsheets/d/1BJSV3WBYJGRhQ6zExamkszQ5VutGIcaQqmbD9ZTVXMQ/edit#gid=1251630045"",""articles_with_PRISMA_reasons!B2:B2113"")))-1)"),"Martinez-Lage")</f>
        <v>Martinez-Lage</v>
      </c>
      <c r="C573" s="6">
        <f>IFERROR(__xludf.DUMMYFUNCTION("FILTER(IMPORTRANGE(""https://docs.google.com/spreadsheets/d/1BJSV3WBYJGRhQ6zExamkszQ5VutGIcaQqmbD9ZTVXMQ/edit#gid=1251630045"",""articles_with_PRISMA_reasons!C2:C2113""), $A573=IMPORTRANGE(""https://docs.google.com/spreadsheets/d/1BJSV3WBYJGRhQ6zExamkszQ5"&amp;"VutGIcaQqmbD9ZTVXMQ/edit#gid=1251630045"",""articles_with_PRISMA_reasons!B2:B2113""))"),1996.0)</f>
        <v>1996</v>
      </c>
      <c r="D573" s="5" t="str">
        <f>IFERROR(__xludf.DUMMYFUNCTION("IFS(AND(
FILTER(IMPORTRANGE(""https://docs.google.com/spreadsheets/d/1BJSV3WBYJGRhQ6zExamkszQ5VutGIcaQqmbD9ZTVXMQ/edit#gid=1251630045"",""articles_with_PRISMA_reasons!Y2:Y2113""), $A573=IMPORTRANGE(""https://docs.google.com/spreadsheets/d/1BJSV3WBYJGRhQ6z"&amp;"ExamkszQ5VutGIcaQqmbD9ZTVXMQ/edit#gid=1251630045"",""articles_with_PRISMA_reasons!B2:B2113""))&gt;=2,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$A573=IMPORTRANGE(""https://docs.google.com/spreadsheets/d/1BJSV3WBYJGRhQ6zExamkszQ5VutGIcaQqmbD9ZTVXMQ/edit#gid=1251630045"",""articles_with_PRISMA_reasons!B2:B2113""))&lt;2),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$A573=IMPORTRANGE(""https://docs.google.com/spreadsheets/d/1BJSV3WBYJGRhQ6zExamkszQ5VutGIcaQqmbD9ZTVXMQ/edit#gid=1251630045"",""arti"&amp;"cles_with_PRISMA_reasons!B2:B2113""))&lt;2,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$A573=IMPORTRANGE(""https://docs.google.com"&amp;"/spreadsheets/d/1BJSV3WBYJGRhQ6zExamkszQ5VutGIcaQqmbD9ZTVXMQ/edit#gid=1251630045"",""articles_with_PRISMA_reasons!B2:B2113""))&gt;=2),
""Exclude""
)"),"Exclude")</f>
        <v>Exclude</v>
      </c>
      <c r="E573" s="5" t="str">
        <f>IFERROR(__xludf.DUMMYFUNCTION("IFS(
D573=""Exclude"",""Exclude"",
AND(
FILTER(IMPORTRANGE(""https://docs.google.com/spreadsheets/d/1qpEmbGH0JjaJbUdp21-y2cPbobDbMjr09BbtdKROZWc/edit#gid=1444865654"",""articles_with_PRISMA_reasons!W2:W2113""), $A573=IMPORTRANGE(""https://docs.google.com/"&amp;"spreadsheets/d/1qpEmbGH0JjaJbUdp21-y2cPbobDbMjr09BbtdKROZWc/edit#gid=1444865654"",""articles_with_PRISMA_reasons!B2:B2113""))&gt;=2,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$A573=IMPORTRANGE(""https://docs.google.com/spreadsheets/d/1qpEmbGH0JjaJbUdp21-y2cPbobDbMjr09BbtdKROZWc/edit#gid=1444865654"",""articles_with_PRISMA_reasons!B2:B2113""))&lt;2),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$A573=IMPORTRANGE(""https://docs.google.com/spreadsheets/d/1qpEmbGH0JjaJbUdp21-y2cPbobDbMjr09BbtdKRO"&amp;"ZWc/edit#gid=1444865654"",""articles_with_PRISMA_reasons!B2:B2113""))&lt;2,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$A573=IMPOR"&amp;"TRANGE(""https://docs.google.com/spreadsheets/d/1qpEmbGH0JjaJbUdp21-y2cPbobDbMjr09BbtdKROZWc/edit#gid=1444865654"",""articles_with_PRISMA_reasons!B2:B2113""))&gt;=2),
""Exclude""
)"),"Exclude")</f>
        <v>Exclude</v>
      </c>
      <c r="F573" s="5" t="str">
        <f>IFERROR(__xludf.DUMMYFUNCTION("IFS(
E573=""Exclude"",""Exclude"",
AND(
COUNTIF(
IMPORTRANGE(""https://docs.google.com/spreadsheets/d/1kGrh75X1cNR1D7_FcY9zMnHP8iPO4M5RCRjy6nZY0TY/edit#gid=0"",""Table 1: Study characteristics!B4:B171""),A573)&gt;0,
COUNTIF(Studies!$A$2:$A$85,FILTER(IMPORTRA"&amp;"NGE(""https://docs.google.com/spreadsheets/d/1kGrh75X1cNR1D7_FcY9zMnHP8iPO4M5RCRjy6nZY0TY/edit#gid=0"",""Table 1: Study characteristics!A4:A171""), $A573=IMPORTRANGE(""https://docs.google.com/spreadsheets/d/1kGrh75X1cNR1D7_FcY9zMnHP8iPO4M5RCRjy6nZY0TY/edi"&amp;"t#gid=0"",""Table 1: Study characteristics!B4:B171"")))&gt;0
),
""Include""
)"),"Exclude")</f>
        <v>Exclude</v>
      </c>
      <c r="G573" s="5" t="str">
        <f>IFERROR(__xludf.DUMMYFUNCTION("IFS(
D573=""Exclude"",
FILTER(IMPORTRANGE(""https://docs.google.com/spreadsheets/d/1BJSV3WBYJGRhQ6zExamkszQ5VutGIcaQqmbD9ZTVXMQ/edit#gid=1251630045"",""articles_with_PRISMA_reasons!AB2:AB2113""), $A573=IMPORTRANGE(""https://docs.google.com/spreadsheets/d/"&amp;"1BJSV3WBYJGRhQ6zExamkszQ5VutGIcaQqmbD9ZTVXMQ/edit#gid=1251630045"",""articles_with_PRISMA_reasons!B2:B2113"")),
E573=""Exclude"",
FILTER(IMPORTRANGE(""https://docs.google.com/spreadsheets/d/1qpEmbGH0JjaJbUdp21-y2cPbobDbMjr09BbtdKROZWc/edit#gid=1444865654"&amp;""",""articles_with_PRISMA_reasons!Z2:Z2113""), $A573=IMPORTRANGE(""https://docs.google.com/spreadsheets/d/1qpEmbGH0JjaJbUdp21-y2cPbobDbMjr09BbtdKROZWc/edit#gid=1444865654"",""articles_with_PRISMA_reasons!B2:B2113"")),F573
=""Include"",FILTER(IMPORTRANGE("&amp;"""https://docs.google.com/spreadsheets/d/1kGrh75X1cNR1D7_FcY9zMnHP8iPO4M5RCRjy6nZY0TY/edit#gid=0"",""Table 1: Study characteristics!A4:A171""), $A573=IMPORTRANGE(""https://docs.google.com/spreadsheets/d/1kGrh75X1cNR1D7_FcY9zMnHP8iPO4M5RCRjy6nZY0TY/edit#gi"&amp;"d=0"",""Table 1: Study characteristics!B4:B171""))
)"),"wrong study design")</f>
        <v>wrong study design</v>
      </c>
    </row>
    <row r="574">
      <c r="A574" s="4" t="str">
        <f>IFERROR(__xludf.DUMMYFUNCTION("""COMPUTED_VALUE"""),"Creatine phosphokinase (CPK) in the CSF: its value in the management of children with myelomeningocele and hydrocephalus")</f>
        <v>Creatine phosphokinase (CPK) in the CSF: its value in the management of children with myelomeningocele and hydrocephalus</v>
      </c>
      <c r="B574" s="5" t="str">
        <f>IFERROR(__xludf.DUMMYFUNCTION("LEFT(FILTER(IMPORTRANGE(""https://docs.google.com/spreadsheets/d/1BJSV3WBYJGRhQ6zExamkszQ5VutGIcaQqmbD9ZTVXMQ/edit#gid=1251630045"",""articles_with_PRISMA_reasons!K2:K2113""), $A574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$A574=IMPORTRANGE(""https://docs.google.com/spreadsheets/d/1BJSV3WBYJGRhQ6zExamkszQ5VutGIcaQqmbD9ZTVXMQ/edit#gid=1251630045"",""articles_with_PRISMA_reasons!B2:B2113"")))-1)"),"Drummond")</f>
        <v>Drummond</v>
      </c>
      <c r="C574" s="6">
        <f>IFERROR(__xludf.DUMMYFUNCTION("FILTER(IMPORTRANGE(""https://docs.google.com/spreadsheets/d/1BJSV3WBYJGRhQ6zExamkszQ5VutGIcaQqmbD9ZTVXMQ/edit#gid=1251630045"",""articles_with_PRISMA_reasons!C2:C2113""), $A574=IMPORTRANGE(""https://docs.google.com/spreadsheets/d/1BJSV3WBYJGRhQ6zExamkszQ5"&amp;"VutGIcaQqmbD9ZTVXMQ/edit#gid=1251630045"",""articles_with_PRISMA_reasons!B2:B2113""))"),1972.0)</f>
        <v>1972</v>
      </c>
      <c r="D574" s="5" t="str">
        <f>IFERROR(__xludf.DUMMYFUNCTION("IFS(AND(
FILTER(IMPORTRANGE(""https://docs.google.com/spreadsheets/d/1BJSV3WBYJGRhQ6zExamkszQ5VutGIcaQqmbD9ZTVXMQ/edit#gid=1251630045"",""articles_with_PRISMA_reasons!Y2:Y2113""), $A574=IMPORTRANGE(""https://docs.google.com/spreadsheets/d/1BJSV3WBYJGRhQ6z"&amp;"ExamkszQ5VutGIcaQqmbD9ZTVXMQ/edit#gid=1251630045"",""articles_with_PRISMA_reasons!B2:B2113""))&gt;=2,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$A574=IMPORTRANGE(""https://docs.google.com/spreadsheets/d/1BJSV3WBYJGRhQ6zExamkszQ5VutGIcaQqmbD9ZTVXMQ/edit#gid=1251630045"",""articles_with_PRISMA_reasons!B2:B2113""))&lt;2),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$A574=IMPORTRANGE(""https://docs.google.com/spreadsheets/d/1BJSV3WBYJGRhQ6zExamkszQ5VutGIcaQqmbD9ZTVXMQ/edit#gid=1251630045"",""arti"&amp;"cles_with_PRISMA_reasons!B2:B2113""))&lt;2,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$A574=IMPORTRANGE(""https://docs.google.com"&amp;"/spreadsheets/d/1BJSV3WBYJGRhQ6zExamkszQ5VutGIcaQqmbD9ZTVXMQ/edit#gid=1251630045"",""articles_with_PRISMA_reasons!B2:B2113""))&gt;=2),
""Exclude""
)"),"Exclude")</f>
        <v>Exclude</v>
      </c>
      <c r="E574" s="5" t="str">
        <f>IFERROR(__xludf.DUMMYFUNCTION("IFS(
D574=""Exclude"",""Exclude"",
AND(
FILTER(IMPORTRANGE(""https://docs.google.com/spreadsheets/d/1qpEmbGH0JjaJbUdp21-y2cPbobDbMjr09BbtdKROZWc/edit#gid=1444865654"",""articles_with_PRISMA_reasons!W2:W2113""), $A574=IMPORTRANGE(""https://docs.google.com/"&amp;"spreadsheets/d/1qpEmbGH0JjaJbUdp21-y2cPbobDbMjr09BbtdKROZWc/edit#gid=1444865654"",""articles_with_PRISMA_reasons!B2:B2113""))&gt;=2,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$A574=IMPORTRANGE(""https://docs.google.com/spreadsheets/d/1qpEmbGH0JjaJbUdp21-y2cPbobDbMjr09BbtdKROZWc/edit#gid=1444865654"",""articles_with_PRISMA_reasons!B2:B2113""))&lt;2),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$A574=IMPORTRANGE(""https://docs.google.com/spreadsheets/d/1qpEmbGH0JjaJbUdp21-y2cPbobDbMjr09BbtdKRO"&amp;"ZWc/edit#gid=1444865654"",""articles_with_PRISMA_reasons!B2:B2113""))&lt;2,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$A574=IMPOR"&amp;"TRANGE(""https://docs.google.com/spreadsheets/d/1qpEmbGH0JjaJbUdp21-y2cPbobDbMjr09BbtdKROZWc/edit#gid=1444865654"",""articles_with_PRISMA_reasons!B2:B2113""))&gt;=2),
""Exclude""
)"),"Exclude")</f>
        <v>Exclude</v>
      </c>
      <c r="F574" s="5" t="str">
        <f>IFERROR(__xludf.DUMMYFUNCTION("IFS(
E574=""Exclude"",""Exclude"",
AND(
COUNTIF(
IMPORTRANGE(""https://docs.google.com/spreadsheets/d/1kGrh75X1cNR1D7_FcY9zMnHP8iPO4M5RCRjy6nZY0TY/edit#gid=0"",""Table 1: Study characteristics!B4:B171""),A574)&gt;0,
COUNTIF(Studies!$A$2:$A$85,FILTER(IMPORTRA"&amp;"NGE(""https://docs.google.com/spreadsheets/d/1kGrh75X1cNR1D7_FcY9zMnHP8iPO4M5RCRjy6nZY0TY/edit#gid=0"",""Table 1: Study characteristics!A4:A171""), $A574=IMPORTRANGE(""https://docs.google.com/spreadsheets/d/1kGrh75X1cNR1D7_FcY9zMnHP8iPO4M5RCRjy6nZY0TY/edi"&amp;"t#gid=0"",""Table 1: Study characteristics!B4:B171"")))&gt;0
),
""Include""
)"),"Exclude")</f>
        <v>Exclude</v>
      </c>
      <c r="G574" s="5" t="str">
        <f>IFERROR(__xludf.DUMMYFUNCTION("IFS(
D574=""Exclude"",
FILTER(IMPORTRANGE(""https://docs.google.com/spreadsheets/d/1BJSV3WBYJGRhQ6zExamkszQ5VutGIcaQqmbD9ZTVXMQ/edit#gid=1251630045"",""articles_with_PRISMA_reasons!AB2:AB2113""), $A574=IMPORTRANGE(""https://docs.google.com/spreadsheets/d/"&amp;"1BJSV3WBYJGRhQ6zExamkszQ5VutGIcaQqmbD9ZTVXMQ/edit#gid=1251630045"",""articles_with_PRISMA_reasons!B2:B2113"")),
E574=""Exclude"",
FILTER(IMPORTRANGE(""https://docs.google.com/spreadsheets/d/1qpEmbGH0JjaJbUdp21-y2cPbobDbMjr09BbtdKROZWc/edit#gid=1444865654"&amp;""",""articles_with_PRISMA_reasons!Z2:Z2113""), $A574=IMPORTRANGE(""https://docs.google.com/spreadsheets/d/1qpEmbGH0JjaJbUdp21-y2cPbobDbMjr09BbtdKROZWc/edit#gid=1444865654"",""articles_with_PRISMA_reasons!B2:B2113"")),F574
=""Include"",FILTER(IMPORTRANGE("&amp;"""https://docs.google.com/spreadsheets/d/1kGrh75X1cNR1D7_FcY9zMnHP8iPO4M5RCRjy6nZY0TY/edit#gid=0"",""Table 1: Study characteristics!A4:A171""), $A574=IMPORTRANGE(""https://docs.google.com/spreadsheets/d/1kGrh75X1cNR1D7_FcY9zMnHP8iPO4M5RCRjy6nZY0TY/edit#gi"&amp;"d=0"",""Table 1: Study characteristics!B4:B171""))
)"),"wrong study design")</f>
        <v>wrong study design</v>
      </c>
    </row>
    <row r="575">
      <c r="A575" s="4" t="str">
        <f>IFERROR(__xludf.DUMMYFUNCTION("""COMPUTED_VALUE"""),"Cross-sectional study of determinants of upper and lower urinary tract outcomes in adults with spinal dysraphism - New recommendations for urodynamic followup guidelines?")</f>
        <v>Cross-sectional study of determinants of upper and lower urinary tract outcomes in adults with spinal dysraphism - New recommendations for urodynamic followup guidelines?</v>
      </c>
      <c r="B575" s="5" t="str">
        <f>IFERROR(__xludf.DUMMYFUNCTION("LEFT(FILTER(IMPORTRANGE(""https://docs.google.com/spreadsheets/d/1BJSV3WBYJGRhQ6zExamkszQ5VutGIcaQqmbD9ZTVXMQ/edit#gid=1251630045"",""articles_with_PRISMA_reasons!K2:K2113""), $A575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$A575=IMPORTRANGE(""https://docs.google.com/spreadsheets/d/1BJSV3WBYJGRhQ6zExamkszQ5VutGIcaQqmbD9ZTVXMQ/edit#gid=1251630045"",""articles_with_PRISMA_reasons!B2:B2113"")))-1)"),"Veenboer")</f>
        <v>Veenboer</v>
      </c>
      <c r="C575" s="6">
        <f>IFERROR(__xludf.DUMMYFUNCTION("FILTER(IMPORTRANGE(""https://docs.google.com/spreadsheets/d/1BJSV3WBYJGRhQ6zExamkszQ5VutGIcaQqmbD9ZTVXMQ/edit#gid=1251630045"",""articles_with_PRISMA_reasons!C2:C2113""), $A575=IMPORTRANGE(""https://docs.google.com/spreadsheets/d/1BJSV3WBYJGRhQ6zExamkszQ5"&amp;"VutGIcaQqmbD9ZTVXMQ/edit#gid=1251630045"",""articles_with_PRISMA_reasons!B2:B2113""))"),2014.0)</f>
        <v>2014</v>
      </c>
      <c r="D575" s="5" t="str">
        <f>IFERROR(__xludf.DUMMYFUNCTION("IFS(AND(
FILTER(IMPORTRANGE(""https://docs.google.com/spreadsheets/d/1BJSV3WBYJGRhQ6zExamkszQ5VutGIcaQqmbD9ZTVXMQ/edit#gid=1251630045"",""articles_with_PRISMA_reasons!Y2:Y2113""), $A575=IMPORTRANGE(""https://docs.google.com/spreadsheets/d/1BJSV3WBYJGRhQ6z"&amp;"ExamkszQ5VutGIcaQqmbD9ZTVXMQ/edit#gid=1251630045"",""articles_with_PRISMA_reasons!B2:B2113""))&gt;=2,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$A575=IMPORTRANGE(""https://docs.google.com/spreadsheets/d/1BJSV3WBYJGRhQ6zExamkszQ5VutGIcaQqmbD9ZTVXMQ/edit#gid=1251630045"",""articles_with_PRISMA_reasons!B2:B2113""))&lt;2),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$A575=IMPORTRANGE(""https://docs.google.com/spreadsheets/d/1BJSV3WBYJGRhQ6zExamkszQ5VutGIcaQqmbD9ZTVXMQ/edit#gid=1251630045"",""arti"&amp;"cles_with_PRISMA_reasons!B2:B2113""))&lt;2,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$A575=IMPORTRANGE(""https://docs.google.com"&amp;"/spreadsheets/d/1BJSV3WBYJGRhQ6zExamkszQ5VutGIcaQqmbD9ZTVXMQ/edit#gid=1251630045"",""articles_with_PRISMA_reasons!B2:B2113""))&gt;=2),
""Exclude""
)"),"Exclude")</f>
        <v>Exclude</v>
      </c>
      <c r="E575" s="5" t="str">
        <f>IFERROR(__xludf.DUMMYFUNCTION("IFS(
D575=""Exclude"",""Exclude"",
AND(
FILTER(IMPORTRANGE(""https://docs.google.com/spreadsheets/d/1qpEmbGH0JjaJbUdp21-y2cPbobDbMjr09BbtdKROZWc/edit#gid=1444865654"",""articles_with_PRISMA_reasons!W2:W2113""), $A575=IMPORTRANGE(""https://docs.google.com/"&amp;"spreadsheets/d/1qpEmbGH0JjaJbUdp21-y2cPbobDbMjr09BbtdKROZWc/edit#gid=1444865654"",""articles_with_PRISMA_reasons!B2:B2113""))&gt;=2,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$A575=IMPORTRANGE(""https://docs.google.com/spreadsheets/d/1qpEmbGH0JjaJbUdp21-y2cPbobDbMjr09BbtdKROZWc/edit#gid=1444865654"",""articles_with_PRISMA_reasons!B2:B2113""))&lt;2),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$A575=IMPORTRANGE(""https://docs.google.com/spreadsheets/d/1qpEmbGH0JjaJbUdp21-y2cPbobDbMjr09BbtdKRO"&amp;"ZWc/edit#gid=1444865654"",""articles_with_PRISMA_reasons!B2:B2113""))&lt;2,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$A575=IMPOR"&amp;"TRANGE(""https://docs.google.com/spreadsheets/d/1qpEmbGH0JjaJbUdp21-y2cPbobDbMjr09BbtdKROZWc/edit#gid=1444865654"",""articles_with_PRISMA_reasons!B2:B2113""))&gt;=2),
""Exclude""
)"),"Exclude")</f>
        <v>Exclude</v>
      </c>
      <c r="F575" s="5" t="str">
        <f>IFERROR(__xludf.DUMMYFUNCTION("IFS(
E575=""Exclude"",""Exclude"",
AND(
COUNTIF(
IMPORTRANGE(""https://docs.google.com/spreadsheets/d/1kGrh75X1cNR1D7_FcY9zMnHP8iPO4M5RCRjy6nZY0TY/edit#gid=0"",""Table 1: Study characteristics!B4:B171""),A575)&gt;0,
COUNTIF(Studies!$A$2:$A$85,FILTER(IMPORTRA"&amp;"NGE(""https://docs.google.com/spreadsheets/d/1kGrh75X1cNR1D7_FcY9zMnHP8iPO4M5RCRjy6nZY0TY/edit#gid=0"",""Table 1: Study characteristics!A4:A171""), $A575=IMPORTRANGE(""https://docs.google.com/spreadsheets/d/1kGrh75X1cNR1D7_FcY9zMnHP8iPO4M5RCRjy6nZY0TY/edi"&amp;"t#gid=0"",""Table 1: Study characteristics!B4:B171"")))&gt;0
),
""Include""
)"),"Exclude")</f>
        <v>Exclude</v>
      </c>
      <c r="G575" s="5" t="str">
        <f>IFERROR(__xludf.DUMMYFUNCTION("IFS(
D575=""Exclude"",
FILTER(IMPORTRANGE(""https://docs.google.com/spreadsheets/d/1BJSV3WBYJGRhQ6zExamkszQ5VutGIcaQqmbD9ZTVXMQ/edit#gid=1251630045"",""articles_with_PRISMA_reasons!AB2:AB2113""), $A575=IMPORTRANGE(""https://docs.google.com/spreadsheets/d/"&amp;"1BJSV3WBYJGRhQ6zExamkszQ5VutGIcaQqmbD9ZTVXMQ/edit#gid=1251630045"",""articles_with_PRISMA_reasons!B2:B2113"")),
E575=""Exclude"",
FILTER(IMPORTRANGE(""https://docs.google.com/spreadsheets/d/1qpEmbGH0JjaJbUdp21-y2cPbobDbMjr09BbtdKROZWc/edit#gid=1444865654"&amp;""",""articles_with_PRISMA_reasons!Z2:Z2113""), $A575=IMPORTRANGE(""https://docs.google.com/spreadsheets/d/1qpEmbGH0JjaJbUdp21-y2cPbobDbMjr09BbtdKROZWc/edit#gid=1444865654"",""articles_with_PRISMA_reasons!B2:B2113"")),F575
=""Include"",FILTER(IMPORTRANGE("&amp;"""https://docs.google.com/spreadsheets/d/1kGrh75X1cNR1D7_FcY9zMnHP8iPO4M5RCRjy6nZY0TY/edit#gid=0"",""Table 1: Study characteristics!A4:A171""), $A575=IMPORTRANGE(""https://docs.google.com/spreadsheets/d/1kGrh75X1cNR1D7_FcY9zMnHP8iPO4M5RCRjy6nZY0TY/edit#gi"&amp;"d=0"",""Table 1: Study characteristics!B4:B171""))
)"),"Duplicate")</f>
        <v>Duplicate</v>
      </c>
    </row>
    <row r="576">
      <c r="A576" s="4" t="str">
        <f>IFERROR(__xludf.DUMMYFUNCTION("""COMPUTED_VALUE"""),"Cryptorchidism associated with meningomyelocele")</f>
        <v>Cryptorchidism associated with meningomyelocele</v>
      </c>
      <c r="B576" s="5" t="str">
        <f>IFERROR(__xludf.DUMMYFUNCTION("LEFT(FILTER(IMPORTRANGE(""https://docs.google.com/spreadsheets/d/1BJSV3WBYJGRhQ6zExamkszQ5VutGIcaQqmbD9ZTVXMQ/edit#gid=1251630045"",""articles_with_PRISMA_reasons!K2:K2113""), $A576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$A576=IMPORTRANGE(""https://docs.google.com/spreadsheets/d/1BJSV3WBYJGRhQ6zExamkszQ5VutGIcaQqmbD9ZTVXMQ/edit#gid=1251630045"",""articles_with_PRISMA_reasons!B2:B2113"")))-1)"),"Rossodivita")</f>
        <v>Rossodivita</v>
      </c>
      <c r="C576" s="6">
        <f>IFERROR(__xludf.DUMMYFUNCTION("FILTER(IMPORTRANGE(""https://docs.google.com/spreadsheets/d/1BJSV3WBYJGRhQ6zExamkszQ5VutGIcaQqmbD9ZTVXMQ/edit#gid=1251630045"",""articles_with_PRISMA_reasons!C2:C2113""), $A576=IMPORTRANGE(""https://docs.google.com/spreadsheets/d/1BJSV3WBYJGRhQ6zExamkszQ5"&amp;"VutGIcaQqmbD9ZTVXMQ/edit#gid=1251630045"",""articles_with_PRISMA_reasons!B2:B2113""))"),1998.0)</f>
        <v>1998</v>
      </c>
      <c r="D576" s="5" t="str">
        <f>IFERROR(__xludf.DUMMYFUNCTION("IFS(AND(
FILTER(IMPORTRANGE(""https://docs.google.com/spreadsheets/d/1BJSV3WBYJGRhQ6zExamkszQ5VutGIcaQqmbD9ZTVXMQ/edit#gid=1251630045"",""articles_with_PRISMA_reasons!Y2:Y2113""), $A576=IMPORTRANGE(""https://docs.google.com/spreadsheets/d/1BJSV3WBYJGRhQ6z"&amp;"ExamkszQ5VutGIcaQqmbD9ZTVXMQ/edit#gid=1251630045"",""articles_with_PRISMA_reasons!B2:B2113""))&gt;=2,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$A576=IMPORTRANGE(""https://docs.google.com/spreadsheets/d/1BJSV3WBYJGRhQ6zExamkszQ5VutGIcaQqmbD9ZTVXMQ/edit#gid=1251630045"",""articles_with_PRISMA_reasons!B2:B2113""))&lt;2),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$A576=IMPORTRANGE(""https://docs.google.com/spreadsheets/d/1BJSV3WBYJGRhQ6zExamkszQ5VutGIcaQqmbD9ZTVXMQ/edit#gid=1251630045"",""arti"&amp;"cles_with_PRISMA_reasons!B2:B2113""))&lt;2,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$A576=IMPORTRANGE(""https://docs.google.com"&amp;"/spreadsheets/d/1BJSV3WBYJGRhQ6zExamkszQ5VutGIcaQqmbD9ZTVXMQ/edit#gid=1251630045"",""articles_with_PRISMA_reasons!B2:B2113""))&gt;=2),
""Exclude""
)"),"Exclude")</f>
        <v>Exclude</v>
      </c>
      <c r="E576" s="5" t="str">
        <f>IFERROR(__xludf.DUMMYFUNCTION("IFS(
D576=""Exclude"",""Exclude"",
AND(
FILTER(IMPORTRANGE(""https://docs.google.com/spreadsheets/d/1qpEmbGH0JjaJbUdp21-y2cPbobDbMjr09BbtdKROZWc/edit#gid=1444865654"",""articles_with_PRISMA_reasons!W2:W2113""), $A576=IMPORTRANGE(""https://docs.google.com/"&amp;"spreadsheets/d/1qpEmbGH0JjaJbUdp21-y2cPbobDbMjr09BbtdKROZWc/edit#gid=1444865654"",""articles_with_PRISMA_reasons!B2:B2113""))&gt;=2,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$A576=IMPORTRANGE(""https://docs.google.com/spreadsheets/d/1qpEmbGH0JjaJbUdp21-y2cPbobDbMjr09BbtdKROZWc/edit#gid=1444865654"",""articles_with_PRISMA_reasons!B2:B2113""))&lt;2),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$A576=IMPORTRANGE(""https://docs.google.com/spreadsheets/d/1qpEmbGH0JjaJbUdp21-y2cPbobDbMjr09BbtdKRO"&amp;"ZWc/edit#gid=1444865654"",""articles_with_PRISMA_reasons!B2:B2113""))&lt;2,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$A576=IMPOR"&amp;"TRANGE(""https://docs.google.com/spreadsheets/d/1qpEmbGH0JjaJbUdp21-y2cPbobDbMjr09BbtdKROZWc/edit#gid=1444865654"",""articles_with_PRISMA_reasons!B2:B2113""))&gt;=2),
""Exclude""
)"),"Exclude")</f>
        <v>Exclude</v>
      </c>
      <c r="F576" s="5" t="str">
        <f>IFERROR(__xludf.DUMMYFUNCTION("IFS(
E576=""Exclude"",""Exclude"",
AND(
COUNTIF(
IMPORTRANGE(""https://docs.google.com/spreadsheets/d/1kGrh75X1cNR1D7_FcY9zMnHP8iPO4M5RCRjy6nZY0TY/edit#gid=0"",""Table 1: Study characteristics!B4:B171""),A576)&gt;0,
COUNTIF(Studies!$A$2:$A$85,FILTER(IMPORTRA"&amp;"NGE(""https://docs.google.com/spreadsheets/d/1kGrh75X1cNR1D7_FcY9zMnHP8iPO4M5RCRjy6nZY0TY/edit#gid=0"",""Table 1: Study characteristics!A4:A171""), $A576=IMPORTRANGE(""https://docs.google.com/spreadsheets/d/1kGrh75X1cNR1D7_FcY9zMnHP8iPO4M5RCRjy6nZY0TY/edi"&amp;"t#gid=0"",""Table 1: Study characteristics!B4:B171"")))&gt;0
),
""Include""
)"),"Exclude")</f>
        <v>Exclude</v>
      </c>
      <c r="G576" s="5" t="str">
        <f>IFERROR(__xludf.DUMMYFUNCTION("IFS(
D576=""Exclude"",
FILTER(IMPORTRANGE(""https://docs.google.com/spreadsheets/d/1BJSV3WBYJGRhQ6zExamkszQ5VutGIcaQqmbD9ZTVXMQ/edit#gid=1251630045"",""articles_with_PRISMA_reasons!AB2:AB2113""), $A576=IMPORTRANGE(""https://docs.google.com/spreadsheets/d/"&amp;"1BJSV3WBYJGRhQ6zExamkszQ5VutGIcaQqmbD9ZTVXMQ/edit#gid=1251630045"",""articles_with_PRISMA_reasons!B2:B2113"")),
E576=""Exclude"",
FILTER(IMPORTRANGE(""https://docs.google.com/spreadsheets/d/1qpEmbGH0JjaJbUdp21-y2cPbobDbMjr09BbtdKROZWc/edit#gid=1444865654"&amp;""",""articles_with_PRISMA_reasons!Z2:Z2113""), $A576=IMPORTRANGE(""https://docs.google.com/spreadsheets/d/1qpEmbGH0JjaJbUdp21-y2cPbobDbMjr09BbtdKROZWc/edit#gid=1444865654"",""articles_with_PRISMA_reasons!B2:B2113"")),F576
=""Include"",FILTER(IMPORTRANGE("&amp;"""https://docs.google.com/spreadsheets/d/1kGrh75X1cNR1D7_FcY9zMnHP8iPO4M5RCRjy6nZY0TY/edit#gid=0"",""Table 1: Study characteristics!A4:A171""), $A576=IMPORTRANGE(""https://docs.google.com/spreadsheets/d/1kGrh75X1cNR1D7_FcY9zMnHP8iPO4M5RCRjy6nZY0TY/edit#gi"&amp;"d=0"",""Table 1: Study characteristics!B4:B171""))
)"),"wrong population")</f>
        <v>wrong population</v>
      </c>
    </row>
    <row r="577">
      <c r="A577" s="4" t="str">
        <f>IFERROR(__xludf.DUMMYFUNCTION("""COMPUTED_VALUE"""),"CSF polyamines in childhood")</f>
        <v>CSF polyamines in childhood</v>
      </c>
      <c r="B577" s="5" t="str">
        <f>IFERROR(__xludf.DUMMYFUNCTION("LEFT(FILTER(IMPORTRANGE(""https://docs.google.com/spreadsheets/d/1BJSV3WBYJGRhQ6zExamkszQ5VutGIcaQqmbD9ZTVXMQ/edit#gid=1251630045"",""articles_with_PRISMA_reasons!K2:K2113""), $A577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$A577=IMPORTRANGE(""https://docs.google.com/spreadsheets/d/1BJSV3WBYJGRhQ6zExamkszQ5VutGIcaQqmbD9ZTVXMQ/edit#gid=1251630045"",""articles_with_PRISMA_reasons!B2:B2113"")))-1)"),"Albright")</f>
        <v>Albright</v>
      </c>
      <c r="C577" s="6">
        <f>IFERROR(__xludf.DUMMYFUNCTION("FILTER(IMPORTRANGE(""https://docs.google.com/spreadsheets/d/1BJSV3WBYJGRhQ6zExamkszQ5VutGIcaQqmbD9ZTVXMQ/edit#gid=1251630045"",""articles_with_PRISMA_reasons!C2:C2113""), $A577=IMPORTRANGE(""https://docs.google.com/spreadsheets/d/1BJSV3WBYJGRhQ6zExamkszQ5"&amp;"VutGIcaQqmbD9ZTVXMQ/edit#gid=1251630045"",""articles_with_PRISMA_reasons!B2:B2113""))"),1983.0)</f>
        <v>1983</v>
      </c>
      <c r="D577" s="5" t="str">
        <f>IFERROR(__xludf.DUMMYFUNCTION("IFS(AND(
FILTER(IMPORTRANGE(""https://docs.google.com/spreadsheets/d/1BJSV3WBYJGRhQ6zExamkszQ5VutGIcaQqmbD9ZTVXMQ/edit#gid=1251630045"",""articles_with_PRISMA_reasons!Y2:Y2113""), $A577=IMPORTRANGE(""https://docs.google.com/spreadsheets/d/1BJSV3WBYJGRhQ6z"&amp;"ExamkszQ5VutGIcaQqmbD9ZTVXMQ/edit#gid=1251630045"",""articles_with_PRISMA_reasons!B2:B2113""))&gt;=2,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$A577=IMPORTRANGE(""https://docs.google.com/spreadsheets/d/1BJSV3WBYJGRhQ6zExamkszQ5VutGIcaQqmbD9ZTVXMQ/edit#gid=1251630045"",""articles_with_PRISMA_reasons!B2:B2113""))&lt;2),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$A577=IMPORTRANGE(""https://docs.google.com/spreadsheets/d/1BJSV3WBYJGRhQ6zExamkszQ5VutGIcaQqmbD9ZTVXMQ/edit#gid=1251630045"",""arti"&amp;"cles_with_PRISMA_reasons!B2:B2113""))&lt;2,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$A577=IMPORTRANGE(""https://docs.google.com"&amp;"/spreadsheets/d/1BJSV3WBYJGRhQ6zExamkszQ5VutGIcaQqmbD9ZTVXMQ/edit#gid=1251630045"",""articles_with_PRISMA_reasons!B2:B2113""))&gt;=2),
""Exclude""
)"),"Exclude")</f>
        <v>Exclude</v>
      </c>
      <c r="E577" s="5" t="str">
        <f>IFERROR(__xludf.DUMMYFUNCTION("IFS(
D577=""Exclude"",""Exclude"",
AND(
FILTER(IMPORTRANGE(""https://docs.google.com/spreadsheets/d/1qpEmbGH0JjaJbUdp21-y2cPbobDbMjr09BbtdKROZWc/edit#gid=1444865654"",""articles_with_PRISMA_reasons!W2:W2113""), $A577=IMPORTRANGE(""https://docs.google.com/"&amp;"spreadsheets/d/1qpEmbGH0JjaJbUdp21-y2cPbobDbMjr09BbtdKROZWc/edit#gid=1444865654"",""articles_with_PRISMA_reasons!B2:B2113""))&gt;=2,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$A577=IMPORTRANGE(""https://docs.google.com/spreadsheets/d/1qpEmbGH0JjaJbUdp21-y2cPbobDbMjr09BbtdKROZWc/edit#gid=1444865654"",""articles_with_PRISMA_reasons!B2:B2113""))&lt;2),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$A577=IMPORTRANGE(""https://docs.google.com/spreadsheets/d/1qpEmbGH0JjaJbUdp21-y2cPbobDbMjr09BbtdKRO"&amp;"ZWc/edit#gid=1444865654"",""articles_with_PRISMA_reasons!B2:B2113""))&lt;2,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$A577=IMPOR"&amp;"TRANGE(""https://docs.google.com/spreadsheets/d/1qpEmbGH0JjaJbUdp21-y2cPbobDbMjr09BbtdKROZWc/edit#gid=1444865654"",""articles_with_PRISMA_reasons!B2:B2113""))&gt;=2),
""Exclude""
)"),"Exclude")</f>
        <v>Exclude</v>
      </c>
      <c r="F577" s="5" t="str">
        <f>IFERROR(__xludf.DUMMYFUNCTION("IFS(
E577=""Exclude"",""Exclude"",
AND(
COUNTIF(
IMPORTRANGE(""https://docs.google.com/spreadsheets/d/1kGrh75X1cNR1D7_FcY9zMnHP8iPO4M5RCRjy6nZY0TY/edit#gid=0"",""Table 1: Study characteristics!B4:B171""),A577)&gt;0,
COUNTIF(Studies!$A$2:$A$85,FILTER(IMPORTRA"&amp;"NGE(""https://docs.google.com/spreadsheets/d/1kGrh75X1cNR1D7_FcY9zMnHP8iPO4M5RCRjy6nZY0TY/edit#gid=0"",""Table 1: Study characteristics!A4:A171""), $A577=IMPORTRANGE(""https://docs.google.com/spreadsheets/d/1kGrh75X1cNR1D7_FcY9zMnHP8iPO4M5RCRjy6nZY0TY/edi"&amp;"t#gid=0"",""Table 1: Study characteristics!B4:B171"")))&gt;0
),
""Include""
)"),"Exclude")</f>
        <v>Exclude</v>
      </c>
      <c r="G577" s="5" t="str">
        <f>IFERROR(__xludf.DUMMYFUNCTION("IFS(
D577=""Exclude"",
FILTER(IMPORTRANGE(""https://docs.google.com/spreadsheets/d/1BJSV3WBYJGRhQ6zExamkszQ5VutGIcaQqmbD9ZTVXMQ/edit#gid=1251630045"",""articles_with_PRISMA_reasons!AB2:AB2113""), $A577=IMPORTRANGE(""https://docs.google.com/spreadsheets/d/"&amp;"1BJSV3WBYJGRhQ6zExamkszQ5VutGIcaQqmbD9ZTVXMQ/edit#gid=1251630045"",""articles_with_PRISMA_reasons!B2:B2113"")),
E577=""Exclude"",
FILTER(IMPORTRANGE(""https://docs.google.com/spreadsheets/d/1qpEmbGH0JjaJbUdp21-y2cPbobDbMjr09BbtdKROZWc/edit#gid=1444865654"&amp;""",""articles_with_PRISMA_reasons!Z2:Z2113""), $A577=IMPORTRANGE(""https://docs.google.com/spreadsheets/d/1qpEmbGH0JjaJbUdp21-y2cPbobDbMjr09BbtdKROZWc/edit#gid=1444865654"",""articles_with_PRISMA_reasons!B2:B2113"")),F577
=""Include"",FILTER(IMPORTRANGE("&amp;"""https://docs.google.com/spreadsheets/d/1kGrh75X1cNR1D7_FcY9zMnHP8iPO4M5RCRjy6nZY0TY/edit#gid=0"",""Table 1: Study characteristics!A4:A171""), $A577=IMPORTRANGE(""https://docs.google.com/spreadsheets/d/1kGrh75X1cNR1D7_FcY9zMnHP8iPO4M5RCRjy6nZY0TY/edit#gi"&amp;"d=0"",""Table 1: Study characteristics!B4:B171""))
)"),"wrong study design")</f>
        <v>wrong study design</v>
      </c>
    </row>
    <row r="578">
      <c r="A578" s="4" t="str">
        <f>IFERROR(__xludf.DUMMYFUNCTION("""COMPUTED_VALUE"""),"CSF shunt complications in infants--an experience from Pakistan")</f>
        <v>CSF shunt complications in infants--an experience from Pakistan</v>
      </c>
      <c r="B578" s="5" t="str">
        <f>IFERROR(__xludf.DUMMYFUNCTION("LEFT(FILTER(IMPORTRANGE(""https://docs.google.com/spreadsheets/d/1BJSV3WBYJGRhQ6zExamkszQ5VutGIcaQqmbD9ZTVXMQ/edit#gid=1251630045"",""articles_with_PRISMA_reasons!K2:K2113""), $A578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$A578=IMPORTRANGE(""https://docs.google.com/spreadsheets/d/1BJSV3WBYJGRhQ6zExamkszQ5VutGIcaQqmbD9ZTVXMQ/edit#gid=1251630045"",""articles_with_PRISMA_reasons!B2:B2113"")))-1)"),"Bakhsh")</f>
        <v>Bakhsh</v>
      </c>
      <c r="C578" s="6">
        <f>IFERROR(__xludf.DUMMYFUNCTION("FILTER(IMPORTRANGE(""https://docs.google.com/spreadsheets/d/1BJSV3WBYJGRhQ6zExamkszQ5VutGIcaQqmbD9ZTVXMQ/edit#gid=1251630045"",""articles_with_PRISMA_reasons!C2:C2113""), $A578=IMPORTRANGE(""https://docs.google.com/spreadsheets/d/1BJSV3WBYJGRhQ6zExamkszQ5"&amp;"VutGIcaQqmbD9ZTVXMQ/edit#gid=1251630045"",""articles_with_PRISMA_reasons!B2:B2113""))"),2011.0)</f>
        <v>2011</v>
      </c>
      <c r="D578" s="5" t="str">
        <f>IFERROR(__xludf.DUMMYFUNCTION("IFS(AND(
FILTER(IMPORTRANGE(""https://docs.google.com/spreadsheets/d/1BJSV3WBYJGRhQ6zExamkszQ5VutGIcaQqmbD9ZTVXMQ/edit#gid=1251630045"",""articles_with_PRISMA_reasons!Y2:Y2113""), $A578=IMPORTRANGE(""https://docs.google.com/spreadsheets/d/1BJSV3WBYJGRhQ6z"&amp;"ExamkszQ5VutGIcaQqmbD9ZTVXMQ/edit#gid=1251630045"",""articles_with_PRISMA_reasons!B2:B2113""))&gt;=2,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$A578=IMPORTRANGE(""https://docs.google.com/spreadsheets/d/1BJSV3WBYJGRhQ6zExamkszQ5VutGIcaQqmbD9ZTVXMQ/edit#gid=1251630045"",""articles_with_PRISMA_reasons!B2:B2113""))&lt;2),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$A578=IMPORTRANGE(""https://docs.google.com/spreadsheets/d/1BJSV3WBYJGRhQ6zExamkszQ5VutGIcaQqmbD9ZTVXMQ/edit#gid=1251630045"",""arti"&amp;"cles_with_PRISMA_reasons!B2:B2113""))&lt;2,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$A578=IMPORTRANGE(""https://docs.google.com"&amp;"/spreadsheets/d/1BJSV3WBYJGRhQ6zExamkszQ5VutGIcaQqmbD9ZTVXMQ/edit#gid=1251630045"",""articles_with_PRISMA_reasons!B2:B2113""))&gt;=2),
""Exclude""
)"),"Exclude")</f>
        <v>Exclude</v>
      </c>
      <c r="E578" s="5" t="str">
        <f>IFERROR(__xludf.DUMMYFUNCTION("IFS(
D578=""Exclude"",""Exclude"",
AND(
FILTER(IMPORTRANGE(""https://docs.google.com/spreadsheets/d/1qpEmbGH0JjaJbUdp21-y2cPbobDbMjr09BbtdKROZWc/edit#gid=1444865654"",""articles_with_PRISMA_reasons!W2:W2113""), $A578=IMPORTRANGE(""https://docs.google.com/"&amp;"spreadsheets/d/1qpEmbGH0JjaJbUdp21-y2cPbobDbMjr09BbtdKROZWc/edit#gid=1444865654"",""articles_with_PRISMA_reasons!B2:B2113""))&gt;=2,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$A578=IMPORTRANGE(""https://docs.google.com/spreadsheets/d/1qpEmbGH0JjaJbUdp21-y2cPbobDbMjr09BbtdKROZWc/edit#gid=1444865654"",""articles_with_PRISMA_reasons!B2:B2113""))&lt;2),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$A578=IMPORTRANGE(""https://docs.google.com/spreadsheets/d/1qpEmbGH0JjaJbUdp21-y2cPbobDbMjr09BbtdKRO"&amp;"ZWc/edit#gid=1444865654"",""articles_with_PRISMA_reasons!B2:B2113""))&lt;2,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$A578=IMPOR"&amp;"TRANGE(""https://docs.google.com/spreadsheets/d/1qpEmbGH0JjaJbUdp21-y2cPbobDbMjr09BbtdKROZWc/edit#gid=1444865654"",""articles_with_PRISMA_reasons!B2:B2113""))&gt;=2),
""Exclude""
)"),"Exclude")</f>
        <v>Exclude</v>
      </c>
      <c r="F578" s="5" t="str">
        <f>IFERROR(__xludf.DUMMYFUNCTION("IFS(
E578=""Exclude"",""Exclude"",
AND(
COUNTIF(
IMPORTRANGE(""https://docs.google.com/spreadsheets/d/1kGrh75X1cNR1D7_FcY9zMnHP8iPO4M5RCRjy6nZY0TY/edit#gid=0"",""Table 1: Study characteristics!B4:B171""),A578)&gt;0,
COUNTIF(Studies!$A$2:$A$85,FILTER(IMPORTRA"&amp;"NGE(""https://docs.google.com/spreadsheets/d/1kGrh75X1cNR1D7_FcY9zMnHP8iPO4M5RCRjy6nZY0TY/edit#gid=0"",""Table 1: Study characteristics!A4:A171""), $A578=IMPORTRANGE(""https://docs.google.com/spreadsheets/d/1kGrh75X1cNR1D7_FcY9zMnHP8iPO4M5RCRjy6nZY0TY/edi"&amp;"t#gid=0"",""Table 1: Study characteristics!B4:B171"")))&gt;0
),
""Include""
)"),"Exclude")</f>
        <v>Exclude</v>
      </c>
      <c r="G578" s="5" t="str">
        <f>IFERROR(__xludf.DUMMYFUNCTION("IFS(
D578=""Exclude"",
FILTER(IMPORTRANGE(""https://docs.google.com/spreadsheets/d/1BJSV3WBYJGRhQ6zExamkszQ5VutGIcaQqmbD9ZTVXMQ/edit#gid=1251630045"",""articles_with_PRISMA_reasons!AB2:AB2113""), $A578=IMPORTRANGE(""https://docs.google.com/spreadsheets/d/"&amp;"1BJSV3WBYJGRhQ6zExamkszQ5VutGIcaQqmbD9ZTVXMQ/edit#gid=1251630045"",""articles_with_PRISMA_reasons!B2:B2113"")),
E578=""Exclude"",
FILTER(IMPORTRANGE(""https://docs.google.com/spreadsheets/d/1qpEmbGH0JjaJbUdp21-y2cPbobDbMjr09BbtdKROZWc/edit#gid=1444865654"&amp;""",""articles_with_PRISMA_reasons!Z2:Z2113""), $A578=IMPORTRANGE(""https://docs.google.com/spreadsheets/d/1qpEmbGH0JjaJbUdp21-y2cPbobDbMjr09BbtdKROZWc/edit#gid=1444865654"",""articles_with_PRISMA_reasons!B2:B2113"")),F578
=""Include"",FILTER(IMPORTRANGE("&amp;"""https://docs.google.com/spreadsheets/d/1kGrh75X1cNR1D7_FcY9zMnHP8iPO4M5RCRjy6nZY0TY/edit#gid=0"",""Table 1: Study characteristics!A4:A171""), $A578=IMPORTRANGE(""https://docs.google.com/spreadsheets/d/1kGrh75X1cNR1D7_FcY9zMnHP8iPO4M5RCRjy6nZY0TY/edit#gi"&amp;"d=0"",""Table 1: Study characteristics!B4:B171""))
)"),"Duplicate")</f>
        <v>Duplicate</v>
      </c>
    </row>
    <row r="579">
      <c r="A579" s="4" t="str">
        <f>IFERROR(__xludf.DUMMYFUNCTION("""COMPUTED_VALUE"""),"CSF shunt infections in children: experiences from a population-based study")</f>
        <v>CSF shunt infections in children: experiences from a population-based study</v>
      </c>
      <c r="B579" s="5" t="str">
        <f>IFERROR(__xludf.DUMMYFUNCTION("LEFT(FILTER(IMPORTRANGE(""https://docs.google.com/spreadsheets/d/1BJSV3WBYJGRhQ6zExamkszQ5VutGIcaQqmbD9ZTVXMQ/edit#gid=1251630045"",""articles_with_PRISMA_reasons!K2:K2113""), $A579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$A579=IMPORTRANGE(""https://docs.google.com/spreadsheets/d/1BJSV3WBYJGRhQ6zExamkszQ5VutGIcaQqmbD9ZTVXMQ/edit#gid=1251630045"",""articles_with_PRISMA_reasons!B2:B2113"")))-1)"),"Enger")</f>
        <v>Enger</v>
      </c>
      <c r="C579" s="6" t="str">
        <f>IFERROR(__xludf.DUMMYFUNCTION("FILTER(IMPORTRANGE(""https://docs.google.com/spreadsheets/d/1BJSV3WBYJGRhQ6zExamkszQ5VutGIcaQqmbD9ZTVXMQ/edit#gid=1251630045"",""articles_with_PRISMA_reasons!C2:C2113""), $A579=IMPORTRANGE(""https://docs.google.com/spreadsheets/d/1BJSV3WBYJGRhQ6zExamkszQ5"&amp;"VutGIcaQqmbD9ZTVXMQ/edit#gid=1251630045"",""articles_with_PRISMA_reasons!B2:B2113""))"),"Apr")</f>
        <v>Apr</v>
      </c>
      <c r="D579" s="5" t="str">
        <f>IFERROR(__xludf.DUMMYFUNCTION("IFS(AND(
FILTER(IMPORTRANGE(""https://docs.google.com/spreadsheets/d/1BJSV3WBYJGRhQ6zExamkszQ5VutGIcaQqmbD9ZTVXMQ/edit#gid=1251630045"",""articles_with_PRISMA_reasons!Y2:Y2113""), $A579=IMPORTRANGE(""https://docs.google.com/spreadsheets/d/1BJSV3WBYJGRhQ6z"&amp;"ExamkszQ5VutGIcaQqmbD9ZTVXMQ/edit#gid=1251630045"",""articles_with_PRISMA_reasons!B2:B2113""))&gt;=2,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$A579=IMPORTRANGE(""https://docs.google.com/spreadsheets/d/1BJSV3WBYJGRhQ6zExamkszQ5VutGIcaQqmbD9ZTVXMQ/edit#gid=1251630045"",""articles_with_PRISMA_reasons!B2:B2113""))&lt;2),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$A579=IMPORTRANGE(""https://docs.google.com/spreadsheets/d/1BJSV3WBYJGRhQ6zExamkszQ5VutGIcaQqmbD9ZTVXMQ/edit#gid=1251630045"",""arti"&amp;"cles_with_PRISMA_reasons!B2:B2113""))&lt;2,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$A579=IMPORTRANGE(""https://docs.google.com"&amp;"/spreadsheets/d/1BJSV3WBYJGRhQ6zExamkszQ5VutGIcaQqmbD9ZTVXMQ/edit#gid=1251630045"",""articles_with_PRISMA_reasons!B2:B2113""))&gt;=2),
""Exclude""
)"),"Include")</f>
        <v>Include</v>
      </c>
      <c r="E579" s="5" t="str">
        <f>IFERROR(__xludf.DUMMYFUNCTION("IFS(
D579=""Exclude"",""Exclude"",
AND(
FILTER(IMPORTRANGE(""https://docs.google.com/spreadsheets/d/1qpEmbGH0JjaJbUdp21-y2cPbobDbMjr09BbtdKROZWc/edit#gid=1444865654"",""articles_with_PRISMA_reasons!W2:W2113""), $A579=IMPORTRANGE(""https://docs.google.com/"&amp;"spreadsheets/d/1qpEmbGH0JjaJbUdp21-y2cPbobDbMjr09BbtdKROZWc/edit#gid=1444865654"",""articles_with_PRISMA_reasons!B2:B2113""))&gt;=2,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$A579=IMPORTRANGE(""https://docs.google.com/spreadsheets/d/1qpEmbGH0JjaJbUdp21-y2cPbobDbMjr09BbtdKROZWc/edit#gid=1444865654"",""articles_with_PRISMA_reasons!B2:B2113""))&lt;2),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$A579=IMPORTRANGE(""https://docs.google.com/spreadsheets/d/1qpEmbGH0JjaJbUdp21-y2cPbobDbMjr09BbtdKRO"&amp;"ZWc/edit#gid=1444865654"",""articles_with_PRISMA_reasons!B2:B2113""))&lt;2,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$A579=IMPOR"&amp;"TRANGE(""https://docs.google.com/spreadsheets/d/1qpEmbGH0JjaJbUdp21-y2cPbobDbMjr09BbtdKROZWc/edit#gid=1444865654"",""articles_with_PRISMA_reasons!B2:B2113""))&gt;=2),
""Exclude""
)"),"Exclude")</f>
        <v>Exclude</v>
      </c>
      <c r="F579" s="5" t="str">
        <f>IFERROR(__xludf.DUMMYFUNCTION("IFS(
E579=""Exclude"",""Exclude"",
AND(
COUNTIF(
IMPORTRANGE(""https://docs.google.com/spreadsheets/d/1kGrh75X1cNR1D7_FcY9zMnHP8iPO4M5RCRjy6nZY0TY/edit#gid=0"",""Table 1: Study characteristics!B4:B171""),A579)&gt;0,
COUNTIF(Studies!$A$2:$A$85,FILTER(IMPORTRA"&amp;"NGE(""https://docs.google.com/spreadsheets/d/1kGrh75X1cNR1D7_FcY9zMnHP8iPO4M5RCRjy6nZY0TY/edit#gid=0"",""Table 1: Study characteristics!A4:A171""), $A579=IMPORTRANGE(""https://docs.google.com/spreadsheets/d/1kGrh75X1cNR1D7_FcY9zMnHP8iPO4M5RCRjy6nZY0TY/edi"&amp;"t#gid=0"",""Table 1: Study characteristics!B4:B171"")))&gt;0
),
""Include""
)"),"Exclude")</f>
        <v>Exclude</v>
      </c>
      <c r="G579" s="5" t="str">
        <f>IFERROR(__xludf.DUMMYFUNCTION("IFS(
D579=""Exclude"",
FILTER(IMPORTRANGE(""https://docs.google.com/spreadsheets/d/1BJSV3WBYJGRhQ6zExamkszQ5VutGIcaQqmbD9ZTVXMQ/edit#gid=1251630045"",""articles_with_PRISMA_reasons!AB2:AB2113""), $A579=IMPORTRANGE(""https://docs.google.com/spreadsheets/d/"&amp;"1BJSV3WBYJGRhQ6zExamkszQ5VutGIcaQqmbD9ZTVXMQ/edit#gid=1251630045"",""articles_with_PRISMA_reasons!B2:B2113"")),
E579=""Exclude"",
FILTER(IMPORTRANGE(""https://docs.google.com/spreadsheets/d/1qpEmbGH0JjaJbUdp21-y2cPbobDbMjr09BbtdKROZWc/edit#gid=1444865654"&amp;""",""articles_with_PRISMA_reasons!Z2:Z2113""), $A579=IMPORTRANGE(""https://docs.google.com/spreadsheets/d/1qpEmbGH0JjaJbUdp21-y2cPbobDbMjr09BbtdKROZWc/edit#gid=1444865654"",""articles_with_PRISMA_reasons!B2:B2113"")),F579
=""Include"",FILTER(IMPORTRANGE("&amp;"""https://docs.google.com/spreadsheets/d/1kGrh75X1cNR1D7_FcY9zMnHP8iPO4M5RCRjy6nZY0TY/edit#gid=0"",""Table 1: Study characteristics!A4:A171""), $A579=IMPORTRANGE(""https://docs.google.com/spreadsheets/d/1kGrh75X1cNR1D7_FcY9zMnHP8iPO4M5RCRjy6nZY0TY/edit#gi"&amp;"d=0"",""Table 1: Study characteristics!B4:B171""))
)"),"wrong population")</f>
        <v>wrong population</v>
      </c>
    </row>
    <row r="580">
      <c r="A580" s="4" t="str">
        <f>IFERROR(__xludf.DUMMYFUNCTION("""COMPUTED_VALUE"""),"CSF shunt removal in children with hydrocephalus")</f>
        <v>CSF shunt removal in children with hydrocephalus</v>
      </c>
      <c r="B580" s="5" t="str">
        <f>IFERROR(__xludf.DUMMYFUNCTION("LEFT(FILTER(IMPORTRANGE(""https://docs.google.com/spreadsheets/d/1BJSV3WBYJGRhQ6zExamkszQ5VutGIcaQqmbD9ZTVXMQ/edit#gid=1251630045"",""articles_with_PRISMA_reasons!K2:K2113""), $A580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$A580=IMPORTRANGE(""https://docs.google.com/spreadsheets/d/1BJSV3WBYJGRhQ6zExamkszQ5VutGIcaQqmbD9ZTVXMQ/edit#gid=1251630045"",""articles_with_PRISMA_reasons!B2:B2113"")))-1)"),"Iannelli")</f>
        <v>Iannelli</v>
      </c>
      <c r="C580" s="6" t="str">
        <f>IFERROR(__xludf.DUMMYFUNCTION("FILTER(IMPORTRANGE(""https://docs.google.com/spreadsheets/d/1BJSV3WBYJGRhQ6zExamkszQ5VutGIcaQqmbD9ZTVXMQ/edit#gid=1251630045"",""articles_with_PRISMA_reasons!C2:C2113""), $A580=IMPORTRANGE(""https://docs.google.com/spreadsheets/d/1BJSV3WBYJGRhQ6zExamkszQ5"&amp;"VutGIcaQqmbD9ZTVXMQ/edit#gid=1251630045"",""articles_with_PRISMA_reasons!B2:B2113""))"),"May")</f>
        <v>May</v>
      </c>
      <c r="D580" s="5" t="str">
        <f>IFERROR(__xludf.DUMMYFUNCTION("IFS(AND(
FILTER(IMPORTRANGE(""https://docs.google.com/spreadsheets/d/1BJSV3WBYJGRhQ6zExamkszQ5VutGIcaQqmbD9ZTVXMQ/edit#gid=1251630045"",""articles_with_PRISMA_reasons!Y2:Y2113""), $A580=IMPORTRANGE(""https://docs.google.com/spreadsheets/d/1BJSV3WBYJGRhQ6z"&amp;"ExamkszQ5VutGIcaQqmbD9ZTVXMQ/edit#gid=1251630045"",""articles_with_PRISMA_reasons!B2:B2113""))&gt;=2,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$A580=IMPORTRANGE(""https://docs.google.com/spreadsheets/d/1BJSV3WBYJGRhQ6zExamkszQ5VutGIcaQqmbD9ZTVXMQ/edit#gid=1251630045"",""articles_with_PRISMA_reasons!B2:B2113""))&lt;2),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$A580=IMPORTRANGE(""https://docs.google.com/spreadsheets/d/1BJSV3WBYJGRhQ6zExamkszQ5VutGIcaQqmbD9ZTVXMQ/edit#gid=1251630045"",""arti"&amp;"cles_with_PRISMA_reasons!B2:B2113""))&lt;2,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$A580=IMPORTRANGE(""https://docs.google.com"&amp;"/spreadsheets/d/1BJSV3WBYJGRhQ6zExamkszQ5VutGIcaQqmbD9ZTVXMQ/edit#gid=1251630045"",""articles_with_PRISMA_reasons!B2:B2113""))&gt;=2),
""Exclude""
)"),"Include")</f>
        <v>Include</v>
      </c>
      <c r="E580" s="5" t="str">
        <f>IFERROR(__xludf.DUMMYFUNCTION("IFS(
D580=""Exclude"",""Exclude"",
AND(
FILTER(IMPORTRANGE(""https://docs.google.com/spreadsheets/d/1qpEmbGH0JjaJbUdp21-y2cPbobDbMjr09BbtdKROZWc/edit#gid=1444865654"",""articles_with_PRISMA_reasons!W2:W2113""), $A580=IMPORTRANGE(""https://docs.google.com/"&amp;"spreadsheets/d/1qpEmbGH0JjaJbUdp21-y2cPbobDbMjr09BbtdKROZWc/edit#gid=1444865654"",""articles_with_PRISMA_reasons!B2:B2113""))&gt;=2,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$A580=IMPORTRANGE(""https://docs.google.com/spreadsheets/d/1qpEmbGH0JjaJbUdp21-y2cPbobDbMjr09BbtdKROZWc/edit#gid=1444865654"",""articles_with_PRISMA_reasons!B2:B2113""))&lt;2),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$A580=IMPORTRANGE(""https://docs.google.com/spreadsheets/d/1qpEmbGH0JjaJbUdp21-y2cPbobDbMjr09BbtdKRO"&amp;"ZWc/edit#gid=1444865654"",""articles_with_PRISMA_reasons!B2:B2113""))&lt;2,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$A580=IMPOR"&amp;"TRANGE(""https://docs.google.com/spreadsheets/d/1qpEmbGH0JjaJbUdp21-y2cPbobDbMjr09BbtdKROZWc/edit#gid=1444865654"",""articles_with_PRISMA_reasons!B2:B2113""))&gt;=2),
""Exclude""
)"),"Include")</f>
        <v>Include</v>
      </c>
      <c r="F580" s="2" t="s">
        <v>8</v>
      </c>
      <c r="G580" s="2" t="s">
        <v>17</v>
      </c>
    </row>
    <row r="581">
      <c r="A581" s="4" t="str">
        <f>IFERROR(__xludf.DUMMYFUNCTION("""COMPUTED_VALUE"""),"CSF shunting in myelomeningocele-related hydrocephalus and the role of prenatal imaging")</f>
        <v>CSF shunting in myelomeningocele-related hydrocephalus and the role of prenatal imaging</v>
      </c>
      <c r="B581" s="5" t="str">
        <f>IFERROR(__xludf.DUMMYFUNCTION("LEFT(FILTER(IMPORTRANGE(""https://docs.google.com/spreadsheets/d/1BJSV3WBYJGRhQ6zExamkszQ5VutGIcaQqmbD9ZTVXMQ/edit#gid=1251630045"",""articles_with_PRISMA_reasons!K2:K2113""), $A581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$A581=IMPORTRANGE(""https://docs.google.com/spreadsheets/d/1BJSV3WBYJGRhQ6zExamkszQ5VutGIcaQqmbD9ZTVXMQ/edit#gid=1251630045"",""articles_with_PRISMA_reasons!B2:B2113"")))-1)"),"Licci")</f>
        <v>Licci</v>
      </c>
      <c r="C581" s="6">
        <f>IFERROR(__xludf.DUMMYFUNCTION("FILTER(IMPORTRANGE(""https://docs.google.com/spreadsheets/d/1BJSV3WBYJGRhQ6zExamkszQ5VutGIcaQqmbD9ZTVXMQ/edit#gid=1251630045"",""articles_with_PRISMA_reasons!C2:C2113""), $A581=IMPORTRANGE(""https://docs.google.com/spreadsheets/d/1BJSV3WBYJGRhQ6zExamkszQ5"&amp;"VutGIcaQqmbD9ZTVXMQ/edit#gid=1251630045"",""articles_with_PRISMA_reasons!B2:B2113""))"),2021.0)</f>
        <v>2021</v>
      </c>
      <c r="D581" s="5" t="str">
        <f>IFERROR(__xludf.DUMMYFUNCTION("IFS(AND(
FILTER(IMPORTRANGE(""https://docs.google.com/spreadsheets/d/1BJSV3WBYJGRhQ6zExamkszQ5VutGIcaQqmbD9ZTVXMQ/edit#gid=1251630045"",""articles_with_PRISMA_reasons!Y2:Y2113""), $A581=IMPORTRANGE(""https://docs.google.com/spreadsheets/d/1BJSV3WBYJGRhQ6z"&amp;"ExamkszQ5VutGIcaQqmbD9ZTVXMQ/edit#gid=1251630045"",""articles_with_PRISMA_reasons!B2:B2113""))&gt;=2,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$A581=IMPORTRANGE(""https://docs.google.com/spreadsheets/d/1BJSV3WBYJGRhQ6zExamkszQ5VutGIcaQqmbD9ZTVXMQ/edit#gid=1251630045"",""articles_with_PRISMA_reasons!B2:B2113""))&lt;2),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$A581=IMPORTRANGE(""https://docs.google.com/spreadsheets/d/1BJSV3WBYJGRhQ6zExamkszQ5VutGIcaQqmbD9ZTVXMQ/edit#gid=1251630045"",""arti"&amp;"cles_with_PRISMA_reasons!B2:B2113""))&lt;2,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$A581=IMPORTRANGE(""https://docs.google.com"&amp;"/spreadsheets/d/1BJSV3WBYJGRhQ6zExamkszQ5VutGIcaQqmbD9ZTVXMQ/edit#gid=1251630045"",""articles_with_PRISMA_reasons!B2:B2113""))&gt;=2),
""Exclude""
)"),"Include")</f>
        <v>Include</v>
      </c>
      <c r="E581" s="5" t="str">
        <f>IFERROR(__xludf.DUMMYFUNCTION("IFS(
D581=""Exclude"",""Exclude"",
AND(
FILTER(IMPORTRANGE(""https://docs.google.com/spreadsheets/d/1qpEmbGH0JjaJbUdp21-y2cPbobDbMjr09BbtdKROZWc/edit#gid=1444865654"",""articles_with_PRISMA_reasons!W2:W2113""), $A581=IMPORTRANGE(""https://docs.google.com/"&amp;"spreadsheets/d/1qpEmbGH0JjaJbUdp21-y2cPbobDbMjr09BbtdKROZWc/edit#gid=1444865654"",""articles_with_PRISMA_reasons!B2:B2113""))&gt;=2,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$A581=IMPORTRANGE(""https://docs.google.com/spreadsheets/d/1qpEmbGH0JjaJbUdp21-y2cPbobDbMjr09BbtdKROZWc/edit#gid=1444865654"",""articles_with_PRISMA_reasons!B2:B2113""))&lt;2),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$A581=IMPORTRANGE(""https://docs.google.com/spreadsheets/d/1qpEmbGH0JjaJbUdp21-y2cPbobDbMjr09BbtdKRO"&amp;"ZWc/edit#gid=1444865654"",""articles_with_PRISMA_reasons!B2:B2113""))&lt;2,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$A581=IMPOR"&amp;"TRANGE(""https://docs.google.com/spreadsheets/d/1qpEmbGH0JjaJbUdp21-y2cPbobDbMjr09BbtdKROZWc/edit#gid=1444865654"",""articles_with_PRISMA_reasons!B2:B2113""))&gt;=2),
""Exclude""
)"),"Include")</f>
        <v>Include</v>
      </c>
      <c r="F581" s="5" t="str">
        <f>IFERROR(__xludf.DUMMYFUNCTION("IFS(
E581=""Exclude"",""Exclude"",
AND(
COUNTIF(
IMPORTRANGE(""https://docs.google.com/spreadsheets/d/1kGrh75X1cNR1D7_FcY9zMnHP8iPO4M5RCRjy6nZY0TY/edit#gid=0"",""Table 1: Study characteristics!B4:B171""),A581)&gt;0,
COUNTIF(Studies!$A$2:$A$85,FILTER(IMPORTRA"&amp;"NGE(""https://docs.google.com/spreadsheets/d/1kGrh75X1cNR1D7_FcY9zMnHP8iPO4M5RCRjy6nZY0TY/edit#gid=0"",""Table 1: Study characteristics!A4:A171""), $A581=IMPORTRANGE(""https://docs.google.com/spreadsheets/d/1kGrh75X1cNR1D7_FcY9zMnHP8iPO4M5RCRjy6nZY0TY/edi"&amp;"t#gid=0"",""Table 1: Study characteristics!B4:B171"")))&gt;0
),
""Include""
)"),"Include")</f>
        <v>Include</v>
      </c>
      <c r="G581" s="5" t="str">
        <f>IFERROR(__xludf.DUMMYFUNCTION("IFS(
D581=""Exclude"",
FILTER(IMPORTRANGE(""https://docs.google.com/spreadsheets/d/1BJSV3WBYJGRhQ6zExamkszQ5VutGIcaQqmbD9ZTVXMQ/edit#gid=1251630045"",""articles_with_PRISMA_reasons!AB2:AB2113""), $A581=IMPORTRANGE(""https://docs.google.com/spreadsheets/d/"&amp;"1BJSV3WBYJGRhQ6zExamkszQ5VutGIcaQqmbD9ZTVXMQ/edit#gid=1251630045"",""articles_with_PRISMA_reasons!B2:B2113"")),
E581=""Exclude"",
FILTER(IMPORTRANGE(""https://docs.google.com/spreadsheets/d/1qpEmbGH0JjaJbUdp21-y2cPbobDbMjr09BbtdKROZWc/edit#gid=1444865654"&amp;""",""articles_with_PRISMA_reasons!Z2:Z2113""), $A581=IMPORTRANGE(""https://docs.google.com/spreadsheets/d/1qpEmbGH0JjaJbUdp21-y2cPbobDbMjr09BbtdKROZWc/edit#gid=1444865654"",""articles_with_PRISMA_reasons!B2:B2113"")),F581
=""Include"",FILTER(IMPORTRANGE("&amp;"""https://docs.google.com/spreadsheets/d/1kGrh75X1cNR1D7_FcY9zMnHP8iPO4M5RCRjy6nZY0TY/edit#gid=0"",""Table 1: Study characteristics!A4:A171""), $A581=IMPORTRANGE(""https://docs.google.com/spreadsheets/d/1kGrh75X1cNR1D7_FcY9zMnHP8iPO4M5RCRjy6nZY0TY/edit#gi"&amp;"d=0"",""Table 1: Study characteristics!B4:B171""))
)"),"ID 43")</f>
        <v>ID 43</v>
      </c>
    </row>
    <row r="582">
      <c r="A582" s="4" t="str">
        <f>IFERROR(__xludf.DUMMYFUNCTION("""COMPUTED_VALUE"""),"CSF shunts in children: Endoscopically-assisted placement of the distal catheter")</f>
        <v>CSF shunts in children: Endoscopically-assisted placement of the distal catheter</v>
      </c>
      <c r="B582" s="5" t="str">
        <f>IFERROR(__xludf.DUMMYFUNCTION("LEFT(FILTER(IMPORTRANGE(""https://docs.google.com/spreadsheets/d/1BJSV3WBYJGRhQ6zExamkszQ5VutGIcaQqmbD9ZTVXMQ/edit#gid=1251630045"",""articles_with_PRISMA_reasons!K2:K2113""), $A582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$A582=IMPORTRANGE(""https://docs.google.com/spreadsheets/d/1BJSV3WBYJGRhQ6zExamkszQ5VutGIcaQqmbD9ZTVXMQ/edit#gid=1251630045"",""articles_with_PRISMA_reasons!B2:B2113"")))-1)"),"Kurschel")</f>
        <v>Kurschel</v>
      </c>
      <c r="C582" s="6">
        <f>IFERROR(__xludf.DUMMYFUNCTION("FILTER(IMPORTRANGE(""https://docs.google.com/spreadsheets/d/1BJSV3WBYJGRhQ6zExamkszQ5VutGIcaQqmbD9ZTVXMQ/edit#gid=1251630045"",""articles_with_PRISMA_reasons!C2:C2113""), $A582=IMPORTRANGE(""https://docs.google.com/spreadsheets/d/1BJSV3WBYJGRhQ6zExamkszQ5"&amp;"VutGIcaQqmbD9ZTVXMQ/edit#gid=1251630045"",""articles_with_PRISMA_reasons!B2:B2113""))"),2005.0)</f>
        <v>2005</v>
      </c>
      <c r="D582" s="5" t="str">
        <f>IFERROR(__xludf.DUMMYFUNCTION("IFS(AND(
FILTER(IMPORTRANGE(""https://docs.google.com/spreadsheets/d/1BJSV3WBYJGRhQ6zExamkszQ5VutGIcaQqmbD9ZTVXMQ/edit#gid=1251630045"",""articles_with_PRISMA_reasons!Y2:Y2113""), $A582=IMPORTRANGE(""https://docs.google.com/spreadsheets/d/1BJSV3WBYJGRhQ6z"&amp;"ExamkszQ5VutGIcaQqmbD9ZTVXMQ/edit#gid=1251630045"",""articles_with_PRISMA_reasons!B2:B2113""))&gt;=2,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$A582=IMPORTRANGE(""https://docs.google.com/spreadsheets/d/1BJSV3WBYJGRhQ6zExamkszQ5VutGIcaQqmbD9ZTVXMQ/edit#gid=1251630045"",""articles_with_PRISMA_reasons!B2:B2113""))&lt;2),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$A582=IMPORTRANGE(""https://docs.google.com/spreadsheets/d/1BJSV3WBYJGRhQ6zExamkszQ5VutGIcaQqmbD9ZTVXMQ/edit#gid=1251630045"",""arti"&amp;"cles_with_PRISMA_reasons!B2:B2113""))&lt;2,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$A582=IMPORTRANGE(""https://docs.google.com"&amp;"/spreadsheets/d/1BJSV3WBYJGRhQ6zExamkszQ5VutGIcaQqmbD9ZTVXMQ/edit#gid=1251630045"",""articles_with_PRISMA_reasons!B2:B2113""))&gt;=2),
""Exclude""
)"),"Exclude")</f>
        <v>Exclude</v>
      </c>
      <c r="E582" s="5" t="str">
        <f>IFERROR(__xludf.DUMMYFUNCTION("IFS(
D582=""Exclude"",""Exclude"",
AND(
FILTER(IMPORTRANGE(""https://docs.google.com/spreadsheets/d/1qpEmbGH0JjaJbUdp21-y2cPbobDbMjr09BbtdKROZWc/edit#gid=1444865654"",""articles_with_PRISMA_reasons!W2:W2113""), $A582=IMPORTRANGE(""https://docs.google.com/"&amp;"spreadsheets/d/1qpEmbGH0JjaJbUdp21-y2cPbobDbMjr09BbtdKROZWc/edit#gid=1444865654"",""articles_with_PRISMA_reasons!B2:B2113""))&gt;=2,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$A582=IMPORTRANGE(""https://docs.google.com/spreadsheets/d/1qpEmbGH0JjaJbUdp21-y2cPbobDbMjr09BbtdKROZWc/edit#gid=1444865654"",""articles_with_PRISMA_reasons!B2:B2113""))&lt;2),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$A582=IMPORTRANGE(""https://docs.google.com/spreadsheets/d/1qpEmbGH0JjaJbUdp21-y2cPbobDbMjr09BbtdKRO"&amp;"ZWc/edit#gid=1444865654"",""articles_with_PRISMA_reasons!B2:B2113""))&lt;2,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$A582=IMPOR"&amp;"TRANGE(""https://docs.google.com/spreadsheets/d/1qpEmbGH0JjaJbUdp21-y2cPbobDbMjr09BbtdKROZWc/edit#gid=1444865654"",""articles_with_PRISMA_reasons!B2:B2113""))&gt;=2),
""Exclude""
)"),"Exclude")</f>
        <v>Exclude</v>
      </c>
      <c r="F582" s="5" t="str">
        <f>IFERROR(__xludf.DUMMYFUNCTION("IFS(
E582=""Exclude"",""Exclude"",
AND(
COUNTIF(
IMPORTRANGE(""https://docs.google.com/spreadsheets/d/1kGrh75X1cNR1D7_FcY9zMnHP8iPO4M5RCRjy6nZY0TY/edit#gid=0"",""Table 1: Study characteristics!B4:B171""),A582)&gt;0,
COUNTIF(Studies!$A$2:$A$85,FILTER(IMPORTRA"&amp;"NGE(""https://docs.google.com/spreadsheets/d/1kGrh75X1cNR1D7_FcY9zMnHP8iPO4M5RCRjy6nZY0TY/edit#gid=0"",""Table 1: Study characteristics!A4:A171""), $A582=IMPORTRANGE(""https://docs.google.com/spreadsheets/d/1kGrh75X1cNR1D7_FcY9zMnHP8iPO4M5RCRjy6nZY0TY/edi"&amp;"t#gid=0"",""Table 1: Study characteristics!B4:B171"")))&gt;0
),
""Include""
)"),"Exclude")</f>
        <v>Exclude</v>
      </c>
      <c r="G582" s="5" t="str">
        <f>IFERROR(__xludf.DUMMYFUNCTION("IFS(
D582=""Exclude"",
FILTER(IMPORTRANGE(""https://docs.google.com/spreadsheets/d/1BJSV3WBYJGRhQ6zExamkszQ5VutGIcaQqmbD9ZTVXMQ/edit#gid=1251630045"",""articles_with_PRISMA_reasons!AB2:AB2113""), $A582=IMPORTRANGE(""https://docs.google.com/spreadsheets/d/"&amp;"1BJSV3WBYJGRhQ6zExamkszQ5VutGIcaQqmbD9ZTVXMQ/edit#gid=1251630045"",""articles_with_PRISMA_reasons!B2:B2113"")),
E582=""Exclude"",
FILTER(IMPORTRANGE(""https://docs.google.com/spreadsheets/d/1qpEmbGH0JjaJbUdp21-y2cPbobDbMjr09BbtdKROZWc/edit#gid=1444865654"&amp;""",""articles_with_PRISMA_reasons!Z2:Z2113""), $A582=IMPORTRANGE(""https://docs.google.com/spreadsheets/d/1qpEmbGH0JjaJbUdp21-y2cPbobDbMjr09BbtdKROZWc/edit#gid=1444865654"",""articles_with_PRISMA_reasons!B2:B2113"")),F582
=""Include"",FILTER(IMPORTRANGE("&amp;"""https://docs.google.com/spreadsheets/d/1kGrh75X1cNR1D7_FcY9zMnHP8iPO4M5RCRjy6nZY0TY/edit#gid=0"",""Table 1: Study characteristics!A4:A171""), $A582=IMPORTRANGE(""https://docs.google.com/spreadsheets/d/1kGrh75X1cNR1D7_FcY9zMnHP8iPO4M5RCRjy6nZY0TY/edit#gi"&amp;"d=0"",""Table 1: Study characteristics!B4:B171""))
)"),"wrong population")</f>
        <v>wrong population</v>
      </c>
    </row>
    <row r="583">
      <c r="A583" s="4" t="str">
        <f>IFERROR(__xludf.DUMMYFUNCTION("""COMPUTED_VALUE"""),"Current concepts in myelomeningocele")</f>
        <v>Current concepts in myelomeningocele</v>
      </c>
      <c r="B583" s="5" t="str">
        <f>IFERROR(__xludf.DUMMYFUNCTION("LEFT(FILTER(IMPORTRANGE(""https://docs.google.com/spreadsheets/d/1BJSV3WBYJGRhQ6zExamkszQ5VutGIcaQqmbD9ZTVXMQ/edit#gid=1251630045"",""articles_with_PRISMA_reasons!K2:K2113""), $A583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$A583=IMPORTRANGE(""https://docs.google.com/spreadsheets/d/1BJSV3WBYJGRhQ6zExamkszQ5VutGIcaQqmbD9ZTVXMQ/edit#gid=1251630045"",""articles_with_PRISMA_reasons!B2:B2113"")))-1)"),"Didelot")</f>
        <v>Didelot</v>
      </c>
      <c r="C583" s="6">
        <f>IFERROR(__xludf.DUMMYFUNCTION("FILTER(IMPORTRANGE(""https://docs.google.com/spreadsheets/d/1BJSV3WBYJGRhQ6zExamkszQ5VutGIcaQqmbD9ZTVXMQ/edit#gid=1251630045"",""articles_with_PRISMA_reasons!C2:C2113""), $A583=IMPORTRANGE(""https://docs.google.com/spreadsheets/d/1BJSV3WBYJGRhQ6zExamkszQ5"&amp;"VutGIcaQqmbD9ZTVXMQ/edit#gid=1251630045"",""articles_with_PRISMA_reasons!B2:B2113""))"),2003.0)</f>
        <v>2003</v>
      </c>
      <c r="D583" s="5" t="str">
        <f>IFERROR(__xludf.DUMMYFUNCTION("IFS(AND(
FILTER(IMPORTRANGE(""https://docs.google.com/spreadsheets/d/1BJSV3WBYJGRhQ6zExamkszQ5VutGIcaQqmbD9ZTVXMQ/edit#gid=1251630045"",""articles_with_PRISMA_reasons!Y2:Y2113""), $A583=IMPORTRANGE(""https://docs.google.com/spreadsheets/d/1BJSV3WBYJGRhQ6z"&amp;"ExamkszQ5VutGIcaQqmbD9ZTVXMQ/edit#gid=1251630045"",""articles_with_PRISMA_reasons!B2:B2113""))&gt;=2,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$A583=IMPORTRANGE(""https://docs.google.com/spreadsheets/d/1BJSV3WBYJGRhQ6zExamkszQ5VutGIcaQqmbD9ZTVXMQ/edit#gid=1251630045"",""articles_with_PRISMA_reasons!B2:B2113""))&lt;2),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$A583=IMPORTRANGE(""https://docs.google.com/spreadsheets/d/1BJSV3WBYJGRhQ6zExamkszQ5VutGIcaQqmbD9ZTVXMQ/edit#gid=1251630045"",""arti"&amp;"cles_with_PRISMA_reasons!B2:B2113""))&lt;2,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$A583=IMPORTRANGE(""https://docs.google.com"&amp;"/spreadsheets/d/1BJSV3WBYJGRhQ6zExamkszQ5VutGIcaQqmbD9ZTVXMQ/edit#gid=1251630045"",""articles_with_PRISMA_reasons!B2:B2113""))&gt;=2),
""Exclude""
)"),"Exclude")</f>
        <v>Exclude</v>
      </c>
      <c r="E583" s="5" t="str">
        <f>IFERROR(__xludf.DUMMYFUNCTION("IFS(
D583=""Exclude"",""Exclude"",
AND(
FILTER(IMPORTRANGE(""https://docs.google.com/spreadsheets/d/1qpEmbGH0JjaJbUdp21-y2cPbobDbMjr09BbtdKROZWc/edit#gid=1444865654"",""articles_with_PRISMA_reasons!W2:W2113""), $A583=IMPORTRANGE(""https://docs.google.com/"&amp;"spreadsheets/d/1qpEmbGH0JjaJbUdp21-y2cPbobDbMjr09BbtdKROZWc/edit#gid=1444865654"",""articles_with_PRISMA_reasons!B2:B2113""))&gt;=2,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$A583=IMPORTRANGE(""https://docs.google.com/spreadsheets/d/1qpEmbGH0JjaJbUdp21-y2cPbobDbMjr09BbtdKROZWc/edit#gid=1444865654"",""articles_with_PRISMA_reasons!B2:B2113""))&lt;2),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$A583=IMPORTRANGE(""https://docs.google.com/spreadsheets/d/1qpEmbGH0JjaJbUdp21-y2cPbobDbMjr09BbtdKRO"&amp;"ZWc/edit#gid=1444865654"",""articles_with_PRISMA_reasons!B2:B2113""))&lt;2,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$A583=IMPOR"&amp;"TRANGE(""https://docs.google.com/spreadsheets/d/1qpEmbGH0JjaJbUdp21-y2cPbobDbMjr09BbtdKROZWc/edit#gid=1444865654"",""articles_with_PRISMA_reasons!B2:B2113""))&gt;=2),
""Exclude""
)"),"Exclude")</f>
        <v>Exclude</v>
      </c>
      <c r="F583" s="5" t="str">
        <f>IFERROR(__xludf.DUMMYFUNCTION("IFS(
E583=""Exclude"",""Exclude"",
AND(
COUNTIF(
IMPORTRANGE(""https://docs.google.com/spreadsheets/d/1kGrh75X1cNR1D7_FcY9zMnHP8iPO4M5RCRjy6nZY0TY/edit#gid=0"",""Table 1: Study characteristics!B4:B171""),A583)&gt;0,
COUNTIF(Studies!$A$2:$A$85,FILTER(IMPORTRA"&amp;"NGE(""https://docs.google.com/spreadsheets/d/1kGrh75X1cNR1D7_FcY9zMnHP8iPO4M5RCRjy6nZY0TY/edit#gid=0"",""Table 1: Study characteristics!A4:A171""), $A583=IMPORTRANGE(""https://docs.google.com/spreadsheets/d/1kGrh75X1cNR1D7_FcY9zMnHP8iPO4M5RCRjy6nZY0TY/edi"&amp;"t#gid=0"",""Table 1: Study characteristics!B4:B171"")))&gt;0
),
""Include""
)"),"Exclude")</f>
        <v>Exclude</v>
      </c>
      <c r="G583" s="5" t="str">
        <f>IFERROR(__xludf.DUMMYFUNCTION("IFS(
D583=""Exclude"",
FILTER(IMPORTRANGE(""https://docs.google.com/spreadsheets/d/1BJSV3WBYJGRhQ6zExamkszQ5VutGIcaQqmbD9ZTVXMQ/edit#gid=1251630045"",""articles_with_PRISMA_reasons!AB2:AB2113""), $A583=IMPORTRANGE(""https://docs.google.com/spreadsheets/d/"&amp;"1BJSV3WBYJGRhQ6zExamkszQ5VutGIcaQqmbD9ZTVXMQ/edit#gid=1251630045"",""articles_with_PRISMA_reasons!B2:B2113"")),
E583=""Exclude"",
FILTER(IMPORTRANGE(""https://docs.google.com/spreadsheets/d/1qpEmbGH0JjaJbUdp21-y2cPbobDbMjr09BbtdKROZWc/edit#gid=1444865654"&amp;""",""articles_with_PRISMA_reasons!Z2:Z2113""), $A583=IMPORTRANGE(""https://docs.google.com/spreadsheets/d/1qpEmbGH0JjaJbUdp21-y2cPbobDbMjr09BbtdKROZWc/edit#gid=1444865654"",""articles_with_PRISMA_reasons!B2:B2113"")),F583
=""Include"",FILTER(IMPORTRANGE("&amp;"""https://docs.google.com/spreadsheets/d/1kGrh75X1cNR1D7_FcY9zMnHP8iPO4M5RCRjy6nZY0TY/edit#gid=0"",""Table 1: Study characteristics!A4:A171""), $A583=IMPORTRANGE(""https://docs.google.com/spreadsheets/d/1kGrh75X1cNR1D7_FcY9zMnHP8iPO4M5RCRjy6nZY0TY/edit#gi"&amp;"d=0"",""Table 1: Study characteristics!B4:B171""))
)"),"wrong study design")</f>
        <v>wrong study design</v>
      </c>
    </row>
    <row r="584">
      <c r="A584" s="4" t="str">
        <f>IFERROR(__xludf.DUMMYFUNCTION("""COMPUTED_VALUE"""),"Current concepts: care and habilitation of the child with myelomeningocele--a multidisciplinary approach. II. Neurosurgical treatment")</f>
        <v>Current concepts: care and habilitation of the child with myelomeningocele--a multidisciplinary approach. II. Neurosurgical treatment</v>
      </c>
      <c r="B584" s="5" t="str">
        <f>IFERROR(__xludf.DUMMYFUNCTION("LEFT(FILTER(IMPORTRANGE(""https://docs.google.com/spreadsheets/d/1BJSV3WBYJGRhQ6zExamkszQ5VutGIcaQqmbD9ZTVXMQ/edit#gid=1251630045"",""articles_with_PRISMA_reasons!K2:K2113""), $A584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$A584=IMPORTRANGE(""https://docs.google.com/spreadsheets/d/1BJSV3WBYJGRhQ6zExamkszQ5VutGIcaQqmbD9ZTVXMQ/edit#gid=1251630045"",""articles_with_PRISMA_reasons!B2:B2113"")))-1)"),"Parent")</f>
        <v>Parent</v>
      </c>
      <c r="C584" s="6">
        <f>IFERROR(__xludf.DUMMYFUNCTION("FILTER(IMPORTRANGE(""https://docs.google.com/spreadsheets/d/1BJSV3WBYJGRhQ6zExamkszQ5VutGIcaQqmbD9ZTVXMQ/edit#gid=1251630045"",""articles_with_PRISMA_reasons!C2:C2113""), $A584=IMPORTRANGE(""https://docs.google.com/spreadsheets/d/1BJSV3WBYJGRhQ6zExamkszQ5"&amp;"VutGIcaQqmbD9ZTVXMQ/edit#gid=1251630045"",""articles_with_PRISMA_reasons!B2:B2113""))"),1987.0)</f>
        <v>1987</v>
      </c>
      <c r="D584" s="5" t="str">
        <f>IFERROR(__xludf.DUMMYFUNCTION("IFS(AND(
FILTER(IMPORTRANGE(""https://docs.google.com/spreadsheets/d/1BJSV3WBYJGRhQ6zExamkszQ5VutGIcaQqmbD9ZTVXMQ/edit#gid=1251630045"",""articles_with_PRISMA_reasons!Y2:Y2113""), $A584=IMPORTRANGE(""https://docs.google.com/spreadsheets/d/1BJSV3WBYJGRhQ6z"&amp;"ExamkszQ5VutGIcaQqmbD9ZTVXMQ/edit#gid=1251630045"",""articles_with_PRISMA_reasons!B2:B2113""))&gt;=2,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$A584=IMPORTRANGE(""https://docs.google.com/spreadsheets/d/1BJSV3WBYJGRhQ6zExamkszQ5VutGIcaQqmbD9ZTVXMQ/edit#gid=1251630045"",""articles_with_PRISMA_reasons!B2:B2113""))&lt;2),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$A584=IMPORTRANGE(""https://docs.google.com/spreadsheets/d/1BJSV3WBYJGRhQ6zExamkszQ5VutGIcaQqmbD9ZTVXMQ/edit#gid=1251630045"",""arti"&amp;"cles_with_PRISMA_reasons!B2:B2113""))&lt;2,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$A584=IMPORTRANGE(""https://docs.google.com"&amp;"/spreadsheets/d/1BJSV3WBYJGRhQ6zExamkszQ5VutGIcaQqmbD9ZTVXMQ/edit#gid=1251630045"",""articles_with_PRISMA_reasons!B2:B2113""))&gt;=2),
""Exclude""
)"),"Exclude")</f>
        <v>Exclude</v>
      </c>
      <c r="E584" s="5" t="str">
        <f>IFERROR(__xludf.DUMMYFUNCTION("IFS(
D584=""Exclude"",""Exclude"",
AND(
FILTER(IMPORTRANGE(""https://docs.google.com/spreadsheets/d/1qpEmbGH0JjaJbUdp21-y2cPbobDbMjr09BbtdKROZWc/edit#gid=1444865654"",""articles_with_PRISMA_reasons!W2:W2113""), $A584=IMPORTRANGE(""https://docs.google.com/"&amp;"spreadsheets/d/1qpEmbGH0JjaJbUdp21-y2cPbobDbMjr09BbtdKROZWc/edit#gid=1444865654"",""articles_with_PRISMA_reasons!B2:B2113""))&gt;=2,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$A584=IMPORTRANGE(""https://docs.google.com/spreadsheets/d/1qpEmbGH0JjaJbUdp21-y2cPbobDbMjr09BbtdKROZWc/edit#gid=1444865654"",""articles_with_PRISMA_reasons!B2:B2113""))&lt;2),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$A584=IMPORTRANGE(""https://docs.google.com/spreadsheets/d/1qpEmbGH0JjaJbUdp21-y2cPbobDbMjr09BbtdKRO"&amp;"ZWc/edit#gid=1444865654"",""articles_with_PRISMA_reasons!B2:B2113""))&lt;2,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$A584=IMPOR"&amp;"TRANGE(""https://docs.google.com/spreadsheets/d/1qpEmbGH0JjaJbUdp21-y2cPbobDbMjr09BbtdKROZWc/edit#gid=1444865654"",""articles_with_PRISMA_reasons!B2:B2113""))&gt;=2),
""Exclude""
)"),"Exclude")</f>
        <v>Exclude</v>
      </c>
      <c r="F584" s="5" t="str">
        <f>IFERROR(__xludf.DUMMYFUNCTION("IFS(
E584=""Exclude"",""Exclude"",
AND(
COUNTIF(
IMPORTRANGE(""https://docs.google.com/spreadsheets/d/1kGrh75X1cNR1D7_FcY9zMnHP8iPO4M5RCRjy6nZY0TY/edit#gid=0"",""Table 1: Study characteristics!B4:B171""),A584)&gt;0,
COUNTIF(Studies!$A$2:$A$85,FILTER(IMPORTRA"&amp;"NGE(""https://docs.google.com/spreadsheets/d/1kGrh75X1cNR1D7_FcY9zMnHP8iPO4M5RCRjy6nZY0TY/edit#gid=0"",""Table 1: Study characteristics!A4:A171""), $A584=IMPORTRANGE(""https://docs.google.com/spreadsheets/d/1kGrh75X1cNR1D7_FcY9zMnHP8iPO4M5RCRjy6nZY0TY/edi"&amp;"t#gid=0"",""Table 1: Study characteristics!B4:B171"")))&gt;0
),
""Include""
)"),"Exclude")</f>
        <v>Exclude</v>
      </c>
      <c r="G584" s="5" t="str">
        <f>IFERROR(__xludf.DUMMYFUNCTION("IFS(
D584=""Exclude"",
FILTER(IMPORTRANGE(""https://docs.google.com/spreadsheets/d/1BJSV3WBYJGRhQ6zExamkszQ5VutGIcaQqmbD9ZTVXMQ/edit#gid=1251630045"",""articles_with_PRISMA_reasons!AB2:AB2113""), $A584=IMPORTRANGE(""https://docs.google.com/spreadsheets/d/"&amp;"1BJSV3WBYJGRhQ6zExamkszQ5VutGIcaQqmbD9ZTVXMQ/edit#gid=1251630045"",""articles_with_PRISMA_reasons!B2:B2113"")),
E584=""Exclude"",
FILTER(IMPORTRANGE(""https://docs.google.com/spreadsheets/d/1qpEmbGH0JjaJbUdp21-y2cPbobDbMjr09BbtdKROZWc/edit#gid=1444865654"&amp;""",""articles_with_PRISMA_reasons!Z2:Z2113""), $A584=IMPORTRANGE(""https://docs.google.com/spreadsheets/d/1qpEmbGH0JjaJbUdp21-y2cPbobDbMjr09BbtdKROZWc/edit#gid=1444865654"",""articles_with_PRISMA_reasons!B2:B2113"")),F584
=""Include"",FILTER(IMPORTRANGE("&amp;"""https://docs.google.com/spreadsheets/d/1kGrh75X1cNR1D7_FcY9zMnHP8iPO4M5RCRjy6nZY0TY/edit#gid=0"",""Table 1: Study characteristics!A4:A171""), $A584=IMPORTRANGE(""https://docs.google.com/spreadsheets/d/1kGrh75X1cNR1D7_FcY9zMnHP8iPO4M5RCRjy6nZY0TY/edit#gi"&amp;"d=0"",""Table 1: Study characteristics!B4:B171""))
)"),"wrong study design")</f>
        <v>wrong study design</v>
      </c>
    </row>
    <row r="585">
      <c r="A585" s="4" t="str">
        <f>IFERROR(__xludf.DUMMYFUNCTION("""COMPUTED_VALUE"""),"Current management strategies of hydrocephalus in the child with open spina bifida")</f>
        <v>Current management strategies of hydrocephalus in the child with open spina bifida</v>
      </c>
      <c r="B585" s="5" t="str">
        <f>IFERROR(__xludf.DUMMYFUNCTION("LEFT(FILTER(IMPORTRANGE(""https://docs.google.com/spreadsheets/d/1BJSV3WBYJGRhQ6zExamkszQ5VutGIcaQqmbD9ZTVXMQ/edit#gid=1251630045"",""articles_with_PRISMA_reasons!K2:K2113""), $A585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$A585=IMPORTRANGE(""https://docs.google.com/spreadsheets/d/1BJSV3WBYJGRhQ6zExamkszQ5VutGIcaQqmbD9ZTVXMQ/edit#gid=1251630045"",""articles_with_PRISMA_reasons!B2:B2113"")))-1)"),"Norkett")</f>
        <v>Norkett</v>
      </c>
      <c r="C585" s="6">
        <f>IFERROR(__xludf.DUMMYFUNCTION("FILTER(IMPORTRANGE(""https://docs.google.com/spreadsheets/d/1BJSV3WBYJGRhQ6zExamkszQ5VutGIcaQqmbD9ZTVXMQ/edit#gid=1251630045"",""articles_with_PRISMA_reasons!C2:C2113""), $A585=IMPORTRANGE(""https://docs.google.com/spreadsheets/d/1BJSV3WBYJGRhQ6zExamkszQ5"&amp;"VutGIcaQqmbD9ZTVXMQ/edit#gid=1251630045"",""articles_with_PRISMA_reasons!B2:B2113""))"),2016.0)</f>
        <v>2016</v>
      </c>
      <c r="D585" s="5" t="str">
        <f>IFERROR(__xludf.DUMMYFUNCTION("IFS(AND(
FILTER(IMPORTRANGE(""https://docs.google.com/spreadsheets/d/1BJSV3WBYJGRhQ6zExamkszQ5VutGIcaQqmbD9ZTVXMQ/edit#gid=1251630045"",""articles_with_PRISMA_reasons!Y2:Y2113""), $A585=IMPORTRANGE(""https://docs.google.com/spreadsheets/d/1BJSV3WBYJGRhQ6z"&amp;"ExamkszQ5VutGIcaQqmbD9ZTVXMQ/edit#gid=1251630045"",""articles_with_PRISMA_reasons!B2:B2113""))&gt;=2,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$A585=IMPORTRANGE(""https://docs.google.com/spreadsheets/d/1BJSV3WBYJGRhQ6zExamkszQ5VutGIcaQqmbD9ZTVXMQ/edit#gid=1251630045"",""articles_with_PRISMA_reasons!B2:B2113""))&lt;2),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$A585=IMPORTRANGE(""https://docs.google.com/spreadsheets/d/1BJSV3WBYJGRhQ6zExamkszQ5VutGIcaQqmbD9ZTVXMQ/edit#gid=1251630045"",""arti"&amp;"cles_with_PRISMA_reasons!B2:B2113""))&lt;2,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$A585=IMPORTRANGE(""https://docs.google.com"&amp;"/spreadsheets/d/1BJSV3WBYJGRhQ6zExamkszQ5VutGIcaQqmbD9ZTVXMQ/edit#gid=1251630045"",""articles_with_PRISMA_reasons!B2:B2113""))&gt;=2),
""Exclude""
)"),"Exclude")</f>
        <v>Exclude</v>
      </c>
      <c r="E585" s="5" t="str">
        <f>IFERROR(__xludf.DUMMYFUNCTION("IFS(
D585=""Exclude"",""Exclude"",
AND(
FILTER(IMPORTRANGE(""https://docs.google.com/spreadsheets/d/1qpEmbGH0JjaJbUdp21-y2cPbobDbMjr09BbtdKROZWc/edit#gid=1444865654"",""articles_with_PRISMA_reasons!W2:W2113""), $A585=IMPORTRANGE(""https://docs.google.com/"&amp;"spreadsheets/d/1qpEmbGH0JjaJbUdp21-y2cPbobDbMjr09BbtdKROZWc/edit#gid=1444865654"",""articles_with_PRISMA_reasons!B2:B2113""))&gt;=2,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$A585=IMPORTRANGE(""https://docs.google.com/spreadsheets/d/1qpEmbGH0JjaJbUdp21-y2cPbobDbMjr09BbtdKROZWc/edit#gid=1444865654"",""articles_with_PRISMA_reasons!B2:B2113""))&lt;2),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$A585=IMPORTRANGE(""https://docs.google.com/spreadsheets/d/1qpEmbGH0JjaJbUdp21-y2cPbobDbMjr09BbtdKRO"&amp;"ZWc/edit#gid=1444865654"",""articles_with_PRISMA_reasons!B2:B2113""))&lt;2,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$A585=IMPOR"&amp;"TRANGE(""https://docs.google.com/spreadsheets/d/1qpEmbGH0JjaJbUdp21-y2cPbobDbMjr09BbtdKROZWc/edit#gid=1444865654"",""articles_with_PRISMA_reasons!B2:B2113""))&gt;=2),
""Exclude""
)"),"Exclude")</f>
        <v>Exclude</v>
      </c>
      <c r="F585" s="5" t="str">
        <f>IFERROR(__xludf.DUMMYFUNCTION("IFS(
E585=""Exclude"",""Exclude"",
AND(
COUNTIF(
IMPORTRANGE(""https://docs.google.com/spreadsheets/d/1kGrh75X1cNR1D7_FcY9zMnHP8iPO4M5RCRjy6nZY0TY/edit#gid=0"",""Table 1: Study characteristics!B4:B171""),A585)&gt;0,
COUNTIF(Studies!$A$2:$A$85,FILTER(IMPORTRA"&amp;"NGE(""https://docs.google.com/spreadsheets/d/1kGrh75X1cNR1D7_FcY9zMnHP8iPO4M5RCRjy6nZY0TY/edit#gid=0"",""Table 1: Study characteristics!A4:A171""), $A585=IMPORTRANGE(""https://docs.google.com/spreadsheets/d/1kGrh75X1cNR1D7_FcY9zMnHP8iPO4M5RCRjy6nZY0TY/edi"&amp;"t#gid=0"",""Table 1: Study characteristics!B4:B171"")))&gt;0
),
""Include""
)"),"Exclude")</f>
        <v>Exclude</v>
      </c>
      <c r="G585" s="5" t="str">
        <f>IFERROR(__xludf.DUMMYFUNCTION("IFS(
D585=""Exclude"",
FILTER(IMPORTRANGE(""https://docs.google.com/spreadsheets/d/1BJSV3WBYJGRhQ6zExamkszQ5VutGIcaQqmbD9ZTVXMQ/edit#gid=1251630045"",""articles_with_PRISMA_reasons!AB2:AB2113""), $A585=IMPORTRANGE(""https://docs.google.com/spreadsheets/d/"&amp;"1BJSV3WBYJGRhQ6zExamkszQ5VutGIcaQqmbD9ZTVXMQ/edit#gid=1251630045"",""articles_with_PRISMA_reasons!B2:B2113"")),
E585=""Exclude"",
FILTER(IMPORTRANGE(""https://docs.google.com/spreadsheets/d/1qpEmbGH0JjaJbUdp21-y2cPbobDbMjr09BbtdKROZWc/edit#gid=1444865654"&amp;""",""articles_with_PRISMA_reasons!Z2:Z2113""), $A585=IMPORTRANGE(""https://docs.google.com/spreadsheets/d/1qpEmbGH0JjaJbUdp21-y2cPbobDbMjr09BbtdKROZWc/edit#gid=1444865654"",""articles_with_PRISMA_reasons!B2:B2113"")),F585
=""Include"",FILTER(IMPORTRANGE("&amp;"""https://docs.google.com/spreadsheets/d/1kGrh75X1cNR1D7_FcY9zMnHP8iPO4M5RCRjy6nZY0TY/edit#gid=0"",""Table 1: Study characteristics!A4:A171""), $A585=IMPORTRANGE(""https://docs.google.com/spreadsheets/d/1kGrh75X1cNR1D7_FcY9zMnHP8iPO4M5RCRjy6nZY0TY/edit#gi"&amp;"d=0"",""Table 1: Study characteristics!B4:B171""))
)"),"wrong study design")</f>
        <v>wrong study design</v>
      </c>
    </row>
    <row r="586">
      <c r="A586" s="4" t="str">
        <f>IFERROR(__xludf.DUMMYFUNCTION("""COMPUTED_VALUE"""),"Current problems of the treatment of spina bifida aperta")</f>
        <v>Current problems of the treatment of spina bifida aperta</v>
      </c>
      <c r="B586" s="5" t="str">
        <f>IFERROR(__xludf.DUMMYFUNCTION("LEFT(FILTER(IMPORTRANGE(""https://docs.google.com/spreadsheets/d/1BJSV3WBYJGRhQ6zExamkszQ5VutGIcaQqmbD9ZTVXMQ/edit#gid=1251630045"",""articles_with_PRISMA_reasons!K2:K2113""), $A586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$A586=IMPORTRANGE(""https://docs.google.com/spreadsheets/d/1BJSV3WBYJGRhQ6zExamkszQ5VutGIcaQqmbD9ZTVXMQ/edit#gid=1251630045"",""articles_with_PRISMA_reasons!B2:B2113"")))-1)"),"Vetska")</f>
        <v>Vetska</v>
      </c>
      <c r="C586" s="6">
        <f>IFERROR(__xludf.DUMMYFUNCTION("FILTER(IMPORTRANGE(""https://docs.google.com/spreadsheets/d/1BJSV3WBYJGRhQ6zExamkszQ5VutGIcaQqmbD9ZTVXMQ/edit#gid=1251630045"",""articles_with_PRISMA_reasons!C2:C2113""), $A586=IMPORTRANGE(""https://docs.google.com/spreadsheets/d/1BJSV3WBYJGRhQ6zExamkszQ5"&amp;"VutGIcaQqmbD9ZTVXMQ/edit#gid=1251630045"",""articles_with_PRISMA_reasons!B2:B2113""))"),1988.0)</f>
        <v>1988</v>
      </c>
      <c r="D586" s="5" t="str">
        <f>IFERROR(__xludf.DUMMYFUNCTION("IFS(AND(
FILTER(IMPORTRANGE(""https://docs.google.com/spreadsheets/d/1BJSV3WBYJGRhQ6zExamkszQ5VutGIcaQqmbD9ZTVXMQ/edit#gid=1251630045"",""articles_with_PRISMA_reasons!Y2:Y2113""), $A586=IMPORTRANGE(""https://docs.google.com/spreadsheets/d/1BJSV3WBYJGRhQ6z"&amp;"ExamkszQ5VutGIcaQqmbD9ZTVXMQ/edit#gid=1251630045"",""articles_with_PRISMA_reasons!B2:B2113""))&gt;=2,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$A586=IMPORTRANGE(""https://docs.google.com/spreadsheets/d/1BJSV3WBYJGRhQ6zExamkszQ5VutGIcaQqmbD9ZTVXMQ/edit#gid=1251630045"",""articles_with_PRISMA_reasons!B2:B2113""))&lt;2),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$A586=IMPORTRANGE(""https://docs.google.com/spreadsheets/d/1BJSV3WBYJGRhQ6zExamkszQ5VutGIcaQqmbD9ZTVXMQ/edit#gid=1251630045"",""arti"&amp;"cles_with_PRISMA_reasons!B2:B2113""))&lt;2,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$A586=IMPORTRANGE(""https://docs.google.com"&amp;"/spreadsheets/d/1BJSV3WBYJGRhQ6zExamkszQ5VutGIcaQqmbD9ZTVXMQ/edit#gid=1251630045"",""articles_with_PRISMA_reasons!B2:B2113""))&gt;=2),
""Exclude""
)"),"Exclude")</f>
        <v>Exclude</v>
      </c>
      <c r="E586" s="5" t="str">
        <f>IFERROR(__xludf.DUMMYFUNCTION("IFS(
D586=""Exclude"",""Exclude"",
AND(
FILTER(IMPORTRANGE(""https://docs.google.com/spreadsheets/d/1qpEmbGH0JjaJbUdp21-y2cPbobDbMjr09BbtdKROZWc/edit#gid=1444865654"",""articles_with_PRISMA_reasons!W2:W2113""), $A586=IMPORTRANGE(""https://docs.google.com/"&amp;"spreadsheets/d/1qpEmbGH0JjaJbUdp21-y2cPbobDbMjr09BbtdKROZWc/edit#gid=1444865654"",""articles_with_PRISMA_reasons!B2:B2113""))&gt;=2,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$A586=IMPORTRANGE(""https://docs.google.com/spreadsheets/d/1qpEmbGH0JjaJbUdp21-y2cPbobDbMjr09BbtdKROZWc/edit#gid=1444865654"",""articles_with_PRISMA_reasons!B2:B2113""))&lt;2),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$A586=IMPORTRANGE(""https://docs.google.com/spreadsheets/d/1qpEmbGH0JjaJbUdp21-y2cPbobDbMjr09BbtdKRO"&amp;"ZWc/edit#gid=1444865654"",""articles_with_PRISMA_reasons!B2:B2113""))&lt;2,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$A586=IMPOR"&amp;"TRANGE(""https://docs.google.com/spreadsheets/d/1qpEmbGH0JjaJbUdp21-y2cPbobDbMjr09BbtdKROZWc/edit#gid=1444865654"",""articles_with_PRISMA_reasons!B2:B2113""))&gt;=2),
""Exclude""
)"),"Exclude")</f>
        <v>Exclude</v>
      </c>
      <c r="F586" s="5" t="str">
        <f>IFERROR(__xludf.DUMMYFUNCTION("IFS(
E586=""Exclude"",""Exclude"",
AND(
COUNTIF(
IMPORTRANGE(""https://docs.google.com/spreadsheets/d/1kGrh75X1cNR1D7_FcY9zMnHP8iPO4M5RCRjy6nZY0TY/edit#gid=0"",""Table 1: Study characteristics!B4:B171""),A586)&gt;0,
COUNTIF(Studies!$A$2:$A$85,FILTER(IMPORTRA"&amp;"NGE(""https://docs.google.com/spreadsheets/d/1kGrh75X1cNR1D7_FcY9zMnHP8iPO4M5RCRjy6nZY0TY/edit#gid=0"",""Table 1: Study characteristics!A4:A171""), $A586=IMPORTRANGE(""https://docs.google.com/spreadsheets/d/1kGrh75X1cNR1D7_FcY9zMnHP8iPO4M5RCRjy6nZY0TY/edi"&amp;"t#gid=0"",""Table 1: Study characteristics!B4:B171"")))&gt;0
),
""Include""
)"),"Exclude")</f>
        <v>Exclude</v>
      </c>
      <c r="G586" s="5" t="str">
        <f>IFERROR(__xludf.DUMMYFUNCTION("IFS(
D586=""Exclude"",
FILTER(IMPORTRANGE(""https://docs.google.com/spreadsheets/d/1BJSV3WBYJGRhQ6zExamkszQ5VutGIcaQqmbD9ZTVXMQ/edit#gid=1251630045"",""articles_with_PRISMA_reasons!AB2:AB2113""), $A586=IMPORTRANGE(""https://docs.google.com/spreadsheets/d/"&amp;"1BJSV3WBYJGRhQ6zExamkszQ5VutGIcaQqmbD9ZTVXMQ/edit#gid=1251630045"",""articles_with_PRISMA_reasons!B2:B2113"")),
E586=""Exclude"",
FILTER(IMPORTRANGE(""https://docs.google.com/spreadsheets/d/1qpEmbGH0JjaJbUdp21-y2cPbobDbMjr09BbtdKROZWc/edit#gid=1444865654"&amp;""",""articles_with_PRISMA_reasons!Z2:Z2113""), $A586=IMPORTRANGE(""https://docs.google.com/spreadsheets/d/1qpEmbGH0JjaJbUdp21-y2cPbobDbMjr09BbtdKROZWc/edit#gid=1444865654"",""articles_with_PRISMA_reasons!B2:B2113"")),F586
=""Include"",FILTER(IMPORTRANGE("&amp;"""https://docs.google.com/spreadsheets/d/1kGrh75X1cNR1D7_FcY9zMnHP8iPO4M5RCRjy6nZY0TY/edit#gid=0"",""Table 1: Study characteristics!A4:A171""), $A586=IMPORTRANGE(""https://docs.google.com/spreadsheets/d/1kGrh75X1cNR1D7_FcY9zMnHP8iPO4M5RCRjy6nZY0TY/edit#gi"&amp;"d=0"",""Table 1: Study characteristics!B4:B171""))
)"),"wrong population")</f>
        <v>wrong population</v>
      </c>
    </row>
    <row r="587">
      <c r="A587" s="4" t="str">
        <f>IFERROR(__xludf.DUMMYFUNCTION("""COMPUTED_VALUE"""),"Current prognosis in fetal ventriculomegaly")</f>
        <v>Current prognosis in fetal ventriculomegaly</v>
      </c>
      <c r="B587" s="5" t="str">
        <f>IFERROR(__xludf.DUMMYFUNCTION("LEFT(FILTER(IMPORTRANGE(""https://docs.google.com/spreadsheets/d/1BJSV3WBYJGRhQ6zExamkszQ5VutGIcaQqmbD9ZTVXMQ/edit#gid=1251630045"",""articles_with_PRISMA_reasons!K2:K2113""), $A587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$A587=IMPORTRANGE(""https://docs.google.com/spreadsheets/d/1BJSV3WBYJGRhQ6zExamkszQ5VutGIcaQqmbD9ZTVXMQ/edit#gid=1251630045"",""articles_with_PRISMA_reasons!B2:B2113"")))-1)"),"Rosseau")</f>
        <v>Rosseau</v>
      </c>
      <c r="C587" s="6" t="str">
        <f>IFERROR(__xludf.DUMMYFUNCTION("FILTER(IMPORTRANGE(""https://docs.google.com/spreadsheets/d/1BJSV3WBYJGRhQ6zExamkszQ5VutGIcaQqmbD9ZTVXMQ/edit#gid=1251630045"",""articles_with_PRISMA_reasons!C2:C2113""), $A587=IMPORTRANGE(""https://docs.google.com/spreadsheets/d/1BJSV3WBYJGRhQ6zExamkszQ5"&amp;"VutGIcaQqmbD9ZTVXMQ/edit#gid=1251630045"",""articles_with_PRISMA_reasons!B2:B2113""))"),"Oct")</f>
        <v>Oct</v>
      </c>
      <c r="D587" s="5" t="str">
        <f>IFERROR(__xludf.DUMMYFUNCTION("IFS(AND(
FILTER(IMPORTRANGE(""https://docs.google.com/spreadsheets/d/1BJSV3WBYJGRhQ6zExamkszQ5VutGIcaQqmbD9ZTVXMQ/edit#gid=1251630045"",""articles_with_PRISMA_reasons!Y2:Y2113""), $A587=IMPORTRANGE(""https://docs.google.com/spreadsheets/d/1BJSV3WBYJGRhQ6z"&amp;"ExamkszQ5VutGIcaQqmbD9ZTVXMQ/edit#gid=1251630045"",""articles_with_PRISMA_reasons!B2:B2113""))&gt;=2,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$A587=IMPORTRANGE(""https://docs.google.com/spreadsheets/d/1BJSV3WBYJGRhQ6zExamkszQ5VutGIcaQqmbD9ZTVXMQ/edit#gid=1251630045"",""articles_with_PRISMA_reasons!B2:B2113""))&lt;2),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$A587=IMPORTRANGE(""https://docs.google.com/spreadsheets/d/1BJSV3WBYJGRhQ6zExamkszQ5VutGIcaQqmbD9ZTVXMQ/edit#gid=1251630045"",""arti"&amp;"cles_with_PRISMA_reasons!B2:B2113""))&lt;2,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$A587=IMPORTRANGE(""https://docs.google.com"&amp;"/spreadsheets/d/1BJSV3WBYJGRhQ6zExamkszQ5VutGIcaQqmbD9ZTVXMQ/edit#gid=1251630045"",""articles_with_PRISMA_reasons!B2:B2113""))&gt;=2),
""Exclude""
)"),"Include")</f>
        <v>Include</v>
      </c>
      <c r="E587" s="5" t="str">
        <f>IFERROR(__xludf.DUMMYFUNCTION("IFS(
D587=""Exclude"",""Exclude"",
AND(
FILTER(IMPORTRANGE(""https://docs.google.com/spreadsheets/d/1qpEmbGH0JjaJbUdp21-y2cPbobDbMjr09BbtdKROZWc/edit#gid=1444865654"",""articles_with_PRISMA_reasons!W2:W2113""), $A587=IMPORTRANGE(""https://docs.google.com/"&amp;"spreadsheets/d/1qpEmbGH0JjaJbUdp21-y2cPbobDbMjr09BbtdKROZWc/edit#gid=1444865654"",""articles_with_PRISMA_reasons!B2:B2113""))&gt;=2,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$A587=IMPORTRANGE(""https://docs.google.com/spreadsheets/d/1qpEmbGH0JjaJbUdp21-y2cPbobDbMjr09BbtdKROZWc/edit#gid=1444865654"",""articles_with_PRISMA_reasons!B2:B2113""))&lt;2),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$A587=IMPORTRANGE(""https://docs.google.com/spreadsheets/d/1qpEmbGH0JjaJbUdp21-y2cPbobDbMjr09BbtdKRO"&amp;"ZWc/edit#gid=1444865654"",""articles_with_PRISMA_reasons!B2:B2113""))&lt;2,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$A587=IMPOR"&amp;"TRANGE(""https://docs.google.com/spreadsheets/d/1qpEmbGH0JjaJbUdp21-y2cPbobDbMjr09BbtdKROZWc/edit#gid=1444865654"",""articles_with_PRISMA_reasons!B2:B2113""))&gt;=2),
""Exclude""
)"),"Include")</f>
        <v>Include</v>
      </c>
      <c r="F587" s="5" t="str">
        <f>IFERROR(__xludf.DUMMYFUNCTION("IFS(
E587=""Exclude"",""Exclude"",
AND(
COUNTIF(
IMPORTRANGE(""https://docs.google.com/spreadsheets/d/1kGrh75X1cNR1D7_FcY9zMnHP8iPO4M5RCRjy6nZY0TY/edit#gid=0"",""Table 1: Study characteristics!B4:B171""),A587)&gt;0,
COUNTIF(Studies!$A$2:$A$85,FILTER(IMPORTRA"&amp;"NGE(""https://docs.google.com/spreadsheets/d/1kGrh75X1cNR1D7_FcY9zMnHP8iPO4M5RCRjy6nZY0TY/edit#gid=0"",""Table 1: Study characteristics!A4:A171""), $A587=IMPORTRANGE(""https://docs.google.com/spreadsheets/d/1kGrh75X1cNR1D7_FcY9zMnHP8iPO4M5RCRjy6nZY0TY/edi"&amp;"t#gid=0"",""Table 1: Study characteristics!B4:B171"")))&gt;0
),
""Include""
)"),"Include")</f>
        <v>Include</v>
      </c>
      <c r="G587" s="5" t="str">
        <f>IFERROR(__xludf.DUMMYFUNCTION("IFS(
D587=""Exclude"",
FILTER(IMPORTRANGE(""https://docs.google.com/spreadsheets/d/1BJSV3WBYJGRhQ6zExamkszQ5VutGIcaQqmbD9ZTVXMQ/edit#gid=1251630045"",""articles_with_PRISMA_reasons!AB2:AB2113""), $A587=IMPORTRANGE(""https://docs.google.com/spreadsheets/d/"&amp;"1BJSV3WBYJGRhQ6zExamkszQ5VutGIcaQqmbD9ZTVXMQ/edit#gid=1251630045"",""articles_with_PRISMA_reasons!B2:B2113"")),
E587=""Exclude"",
FILTER(IMPORTRANGE(""https://docs.google.com/spreadsheets/d/1qpEmbGH0JjaJbUdp21-y2cPbobDbMjr09BbtdKROZWc/edit#gid=1444865654"&amp;""",""articles_with_PRISMA_reasons!Z2:Z2113""), $A587=IMPORTRANGE(""https://docs.google.com/spreadsheets/d/1qpEmbGH0JjaJbUdp21-y2cPbobDbMjr09BbtdKROZWc/edit#gid=1444865654"",""articles_with_PRISMA_reasons!B2:B2113"")),F587
=""Include"",FILTER(IMPORTRANGE("&amp;"""https://docs.google.com/spreadsheets/d/1kGrh75X1cNR1D7_FcY9zMnHP8iPO4M5RCRjy6nZY0TY/edit#gid=0"",""Table 1: Study characteristics!A4:A171""), $A587=IMPORTRANGE(""https://docs.google.com/spreadsheets/d/1kGrh75X1cNR1D7_FcY9zMnHP8iPO4M5RCRjy6nZY0TY/edit#gi"&amp;"d=0"",""Table 1: Study characteristics!B4:B171""))
)"),"ID 44")</f>
        <v>ID 44</v>
      </c>
    </row>
    <row r="588">
      <c r="A588" s="4" t="str">
        <f>IFERROR(__xludf.DUMMYFUNCTION("""COMPUTED_VALUE"""),"Current prognosis in overt neonatal hydrocephalus")</f>
        <v>Current prognosis in overt neonatal hydrocephalus</v>
      </c>
      <c r="B588" s="5" t="str">
        <f>IFERROR(__xludf.DUMMYFUNCTION("LEFT(FILTER(IMPORTRANGE(""https://docs.google.com/spreadsheets/d/1BJSV3WBYJGRhQ6zExamkszQ5VutGIcaQqmbD9ZTVXMQ/edit#gid=1251630045"",""articles_with_PRISMA_reasons!K2:K2113""), $A588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$A588=IMPORTRANGE(""https://docs.google.com/spreadsheets/d/1BJSV3WBYJGRhQ6zExamkszQ5VutGIcaQqmbD9ZTVXMQ/edit#gid=1251630045"",""articles_with_PRISMA_reasons!B2:B2113"")))-1)"),"McCullough")</f>
        <v>McCullough</v>
      </c>
      <c r="C588" s="6">
        <f>IFERROR(__xludf.DUMMYFUNCTION("FILTER(IMPORTRANGE(""https://docs.google.com/spreadsheets/d/1BJSV3WBYJGRhQ6zExamkszQ5VutGIcaQqmbD9ZTVXMQ/edit#gid=1251630045"",""articles_with_PRISMA_reasons!C2:C2113""), $A588=IMPORTRANGE(""https://docs.google.com/spreadsheets/d/1BJSV3WBYJGRhQ6zExamkszQ5"&amp;"VutGIcaQqmbD9ZTVXMQ/edit#gid=1251630045"",""articles_with_PRISMA_reasons!B2:B2113""))"),1982.0)</f>
        <v>1982</v>
      </c>
      <c r="D588" s="5" t="str">
        <f>IFERROR(__xludf.DUMMYFUNCTION("IFS(AND(
FILTER(IMPORTRANGE(""https://docs.google.com/spreadsheets/d/1BJSV3WBYJGRhQ6zExamkszQ5VutGIcaQqmbD9ZTVXMQ/edit#gid=1251630045"",""articles_with_PRISMA_reasons!Y2:Y2113""), $A588=IMPORTRANGE(""https://docs.google.com/spreadsheets/d/1BJSV3WBYJGRhQ6z"&amp;"ExamkszQ5VutGIcaQqmbD9ZTVXMQ/edit#gid=1251630045"",""articles_with_PRISMA_reasons!B2:B2113""))&gt;=2,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$A588=IMPORTRANGE(""https://docs.google.com/spreadsheets/d/1BJSV3WBYJGRhQ6zExamkszQ5VutGIcaQqmbD9ZTVXMQ/edit#gid=1251630045"",""articles_with_PRISMA_reasons!B2:B2113""))&lt;2),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$A588=IMPORTRANGE(""https://docs.google.com/spreadsheets/d/1BJSV3WBYJGRhQ6zExamkszQ5VutGIcaQqmbD9ZTVXMQ/edit#gid=1251630045"",""arti"&amp;"cles_with_PRISMA_reasons!B2:B2113""))&lt;2,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$A588=IMPORTRANGE(""https://docs.google.com"&amp;"/spreadsheets/d/1BJSV3WBYJGRhQ6zExamkszQ5VutGIcaQqmbD9ZTVXMQ/edit#gid=1251630045"",""articles_with_PRISMA_reasons!B2:B2113""))&gt;=2),
""Exclude""
)"),"Include")</f>
        <v>Include</v>
      </c>
      <c r="E588" s="5" t="str">
        <f>IFERROR(__xludf.DUMMYFUNCTION("IFS(
D588=""Exclude"",""Exclude"",
AND(
FILTER(IMPORTRANGE(""https://docs.google.com/spreadsheets/d/1qpEmbGH0JjaJbUdp21-y2cPbobDbMjr09BbtdKROZWc/edit#gid=1444865654"",""articles_with_PRISMA_reasons!W2:W2113""), $A588=IMPORTRANGE(""https://docs.google.com/"&amp;"spreadsheets/d/1qpEmbGH0JjaJbUdp21-y2cPbobDbMjr09BbtdKROZWc/edit#gid=1444865654"",""articles_with_PRISMA_reasons!B2:B2113""))&gt;=2,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$A588=IMPORTRANGE(""https://docs.google.com/spreadsheets/d/1qpEmbGH0JjaJbUdp21-y2cPbobDbMjr09BbtdKROZWc/edit#gid=1444865654"",""articles_with_PRISMA_reasons!B2:B2113""))&lt;2),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$A588=IMPORTRANGE(""https://docs.google.com/spreadsheets/d/1qpEmbGH0JjaJbUdp21-y2cPbobDbMjr09BbtdKRO"&amp;"ZWc/edit#gid=1444865654"",""articles_with_PRISMA_reasons!B2:B2113""))&lt;2,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$A588=IMPOR"&amp;"TRANGE(""https://docs.google.com/spreadsheets/d/1qpEmbGH0JjaJbUdp21-y2cPbobDbMjr09BbtdKROZWc/edit#gid=1444865654"",""articles_with_PRISMA_reasons!B2:B2113""))&gt;=2),
""Exclude""
)"),"Exclude")</f>
        <v>Exclude</v>
      </c>
      <c r="F588" s="5" t="str">
        <f>IFERROR(__xludf.DUMMYFUNCTION("IFS(
E588=""Exclude"",""Exclude"",
AND(
COUNTIF(
IMPORTRANGE(""https://docs.google.com/spreadsheets/d/1kGrh75X1cNR1D7_FcY9zMnHP8iPO4M5RCRjy6nZY0TY/edit#gid=0"",""Table 1: Study characteristics!B4:B171""),A588)&gt;0,
COUNTIF(Studies!$A$2:$A$85,FILTER(IMPORTRA"&amp;"NGE(""https://docs.google.com/spreadsheets/d/1kGrh75X1cNR1D7_FcY9zMnHP8iPO4M5RCRjy6nZY0TY/edit#gid=0"",""Table 1: Study characteristics!A4:A171""), $A588=IMPORTRANGE(""https://docs.google.com/spreadsheets/d/1kGrh75X1cNR1D7_FcY9zMnHP8iPO4M5RCRjy6nZY0TY/edi"&amp;"t#gid=0"",""Table 1: Study characteristics!B4:B171"")))&gt;0
),
""Include""
)"),"Exclude")</f>
        <v>Exclude</v>
      </c>
      <c r="G588" s="5" t="str">
        <f>IFERROR(__xludf.DUMMYFUNCTION("IFS(
D588=""Exclude"",
FILTER(IMPORTRANGE(""https://docs.google.com/spreadsheets/d/1BJSV3WBYJGRhQ6zExamkszQ5VutGIcaQqmbD9ZTVXMQ/edit#gid=1251630045"",""articles_with_PRISMA_reasons!AB2:AB2113""), $A588=IMPORTRANGE(""https://docs.google.com/spreadsheets/d/"&amp;"1BJSV3WBYJGRhQ6zExamkszQ5VutGIcaQqmbD9ZTVXMQ/edit#gid=1251630045"",""articles_with_PRISMA_reasons!B2:B2113"")),
E588=""Exclude"",
FILTER(IMPORTRANGE(""https://docs.google.com/spreadsheets/d/1qpEmbGH0JjaJbUdp21-y2cPbobDbMjr09BbtdKROZWc/edit#gid=1444865654"&amp;""",""articles_with_PRISMA_reasons!Z2:Z2113""), $A588=IMPORTRANGE(""https://docs.google.com/spreadsheets/d/1qpEmbGH0JjaJbUdp21-y2cPbobDbMjr09BbtdKROZWc/edit#gid=1444865654"",""articles_with_PRISMA_reasons!B2:B2113"")),F588
=""Include"",FILTER(IMPORTRANGE("&amp;"""https://docs.google.com/spreadsheets/d/1kGrh75X1cNR1D7_FcY9zMnHP8iPO4M5RCRjy6nZY0TY/edit#gid=0"",""Table 1: Study characteristics!A4:A171""), $A588=IMPORTRANGE(""https://docs.google.com/spreadsheets/d/1kGrh75X1cNR1D7_FcY9zMnHP8iPO4M5RCRjy6nZY0TY/edit#gi"&amp;"d=0"",""Table 1: Study characteristics!B4:B171""))
)"),"wrong population")</f>
        <v>wrong population</v>
      </c>
    </row>
    <row r="589">
      <c r="A589" s="4" t="str">
        <f>IFERROR(__xludf.DUMMYFUNCTION("""COMPUTED_VALUE"""),"Current Role of Fetal Magnetic Resonance Imaging in Neurologic Anomalies")</f>
        <v>Current Role of Fetal Magnetic Resonance Imaging in Neurologic Anomalies</v>
      </c>
      <c r="B589" s="5" t="str">
        <f>IFERROR(__xludf.DUMMYFUNCTION("LEFT(FILTER(IMPORTRANGE(""https://docs.google.com/spreadsheets/d/1BJSV3WBYJGRhQ6zExamkszQ5VutGIcaQqmbD9ZTVXMQ/edit#gid=1251630045"",""articles_with_PRISMA_reasons!K2:K2113""), $A589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$A589=IMPORTRANGE(""https://docs.google.com/spreadsheets/d/1BJSV3WBYJGRhQ6zExamkszQ5VutGIcaQqmbD9ZTVXMQ/edit#gid=1251630045"",""articles_with_PRISMA_reasons!B2:B2113"")))-1)"),"Lyons")</f>
        <v>Lyons</v>
      </c>
      <c r="C589" s="6">
        <f>IFERROR(__xludf.DUMMYFUNCTION("FILTER(IMPORTRANGE(""https://docs.google.com/spreadsheets/d/1BJSV3WBYJGRhQ6zExamkszQ5VutGIcaQqmbD9ZTVXMQ/edit#gid=1251630045"",""articles_with_PRISMA_reasons!C2:C2113""), $A589=IMPORTRANGE(""https://docs.google.com/spreadsheets/d/1BJSV3WBYJGRhQ6zExamkszQ5"&amp;"VutGIcaQqmbD9ZTVXMQ/edit#gid=1251630045"",""articles_with_PRISMA_reasons!B2:B2113""))"),2015.0)</f>
        <v>2015</v>
      </c>
      <c r="D589" s="5" t="str">
        <f>IFERROR(__xludf.DUMMYFUNCTION("IFS(AND(
FILTER(IMPORTRANGE(""https://docs.google.com/spreadsheets/d/1BJSV3WBYJGRhQ6zExamkszQ5VutGIcaQqmbD9ZTVXMQ/edit#gid=1251630045"",""articles_with_PRISMA_reasons!Y2:Y2113""), $A589=IMPORTRANGE(""https://docs.google.com/spreadsheets/d/1BJSV3WBYJGRhQ6z"&amp;"ExamkszQ5VutGIcaQqmbD9ZTVXMQ/edit#gid=1251630045"",""articles_with_PRISMA_reasons!B2:B2113""))&gt;=2,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$A589=IMPORTRANGE(""https://docs.google.com/spreadsheets/d/1BJSV3WBYJGRhQ6zExamkszQ5VutGIcaQqmbD9ZTVXMQ/edit#gid=1251630045"",""articles_with_PRISMA_reasons!B2:B2113""))&lt;2),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$A589=IMPORTRANGE(""https://docs.google.com/spreadsheets/d/1BJSV3WBYJGRhQ6zExamkszQ5VutGIcaQqmbD9ZTVXMQ/edit#gid=1251630045"",""arti"&amp;"cles_with_PRISMA_reasons!B2:B2113""))&lt;2,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$A589=IMPORTRANGE(""https://docs.google.com"&amp;"/spreadsheets/d/1BJSV3WBYJGRhQ6zExamkszQ5VutGIcaQqmbD9ZTVXMQ/edit#gid=1251630045"",""articles_with_PRISMA_reasons!B2:B2113""))&gt;=2),
""Exclude""
)"),"Exclude")</f>
        <v>Exclude</v>
      </c>
      <c r="E589" s="5" t="str">
        <f>IFERROR(__xludf.DUMMYFUNCTION("IFS(
D589=""Exclude"",""Exclude"",
AND(
FILTER(IMPORTRANGE(""https://docs.google.com/spreadsheets/d/1qpEmbGH0JjaJbUdp21-y2cPbobDbMjr09BbtdKROZWc/edit#gid=1444865654"",""articles_with_PRISMA_reasons!W2:W2113""), $A589=IMPORTRANGE(""https://docs.google.com/"&amp;"spreadsheets/d/1qpEmbGH0JjaJbUdp21-y2cPbobDbMjr09BbtdKROZWc/edit#gid=1444865654"",""articles_with_PRISMA_reasons!B2:B2113""))&gt;=2,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$A589=IMPORTRANGE(""https://docs.google.com/spreadsheets/d/1qpEmbGH0JjaJbUdp21-y2cPbobDbMjr09BbtdKROZWc/edit#gid=1444865654"",""articles_with_PRISMA_reasons!B2:B2113""))&lt;2),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$A589=IMPORTRANGE(""https://docs.google.com/spreadsheets/d/1qpEmbGH0JjaJbUdp21-y2cPbobDbMjr09BbtdKRO"&amp;"ZWc/edit#gid=1444865654"",""articles_with_PRISMA_reasons!B2:B2113""))&lt;2,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$A589=IMPOR"&amp;"TRANGE(""https://docs.google.com/spreadsheets/d/1qpEmbGH0JjaJbUdp21-y2cPbobDbMjr09BbtdKROZWc/edit#gid=1444865654"",""articles_with_PRISMA_reasons!B2:B2113""))&gt;=2),
""Exclude""
)"),"Exclude")</f>
        <v>Exclude</v>
      </c>
      <c r="F589" s="5" t="str">
        <f>IFERROR(__xludf.DUMMYFUNCTION("IFS(
E589=""Exclude"",""Exclude"",
AND(
COUNTIF(
IMPORTRANGE(""https://docs.google.com/spreadsheets/d/1kGrh75X1cNR1D7_FcY9zMnHP8iPO4M5RCRjy6nZY0TY/edit#gid=0"",""Table 1: Study characteristics!B4:B171""),A589)&gt;0,
COUNTIF(Studies!$A$2:$A$85,FILTER(IMPORTRA"&amp;"NGE(""https://docs.google.com/spreadsheets/d/1kGrh75X1cNR1D7_FcY9zMnHP8iPO4M5RCRjy6nZY0TY/edit#gid=0"",""Table 1: Study characteristics!A4:A171""), $A589=IMPORTRANGE(""https://docs.google.com/spreadsheets/d/1kGrh75X1cNR1D7_FcY9zMnHP8iPO4M5RCRjy6nZY0TY/edi"&amp;"t#gid=0"",""Table 1: Study characteristics!B4:B171"")))&gt;0
),
""Include""
)"),"Exclude")</f>
        <v>Exclude</v>
      </c>
      <c r="G589" s="5" t="str">
        <f>IFERROR(__xludf.DUMMYFUNCTION("IFS(
D589=""Exclude"",
FILTER(IMPORTRANGE(""https://docs.google.com/spreadsheets/d/1BJSV3WBYJGRhQ6zExamkszQ5VutGIcaQqmbD9ZTVXMQ/edit#gid=1251630045"",""articles_with_PRISMA_reasons!AB2:AB2113""), $A589=IMPORTRANGE(""https://docs.google.com/spreadsheets/d/"&amp;"1BJSV3WBYJGRhQ6zExamkszQ5VutGIcaQqmbD9ZTVXMQ/edit#gid=1251630045"",""articles_with_PRISMA_reasons!B2:B2113"")),
E589=""Exclude"",
FILTER(IMPORTRANGE(""https://docs.google.com/spreadsheets/d/1qpEmbGH0JjaJbUdp21-y2cPbobDbMjr09BbtdKROZWc/edit#gid=1444865654"&amp;""",""articles_with_PRISMA_reasons!Z2:Z2113""), $A589=IMPORTRANGE(""https://docs.google.com/spreadsheets/d/1qpEmbGH0JjaJbUdp21-y2cPbobDbMjr09BbtdKROZWc/edit#gid=1444865654"",""articles_with_PRISMA_reasons!B2:B2113"")),F589
=""Include"",FILTER(IMPORTRANGE("&amp;"""https://docs.google.com/spreadsheets/d/1kGrh75X1cNR1D7_FcY9zMnHP8iPO4M5RCRjy6nZY0TY/edit#gid=0"",""Table 1: Study characteristics!A4:A171""), $A589=IMPORTRANGE(""https://docs.google.com/spreadsheets/d/1kGrh75X1cNR1D7_FcY9zMnHP8iPO4M5RCRjy6nZY0TY/edit#gi"&amp;"d=0"",""Table 1: Study characteristics!B4:B171""))
)"),"wrong population")</f>
        <v>wrong population</v>
      </c>
    </row>
    <row r="590">
      <c r="A590" s="4" t="str">
        <f>IFERROR(__xludf.DUMMYFUNCTION("""COMPUTED_VALUE"""),"Current trends and prospects of fetal neurosurgery")</f>
        <v>Current trends and prospects of fetal neurosurgery</v>
      </c>
      <c r="B590" s="5" t="str">
        <f>IFERROR(__xludf.DUMMYFUNCTION("LEFT(FILTER(IMPORTRANGE(""https://docs.google.com/spreadsheets/d/1BJSV3WBYJGRhQ6zExamkszQ5VutGIcaQqmbD9ZTVXMQ/edit#gid=1251630045"",""articles_with_PRISMA_reasons!K2:K2113""), $A590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$A590=IMPORTRANGE(""https://docs.google.com/spreadsheets/d/1BJSV3WBYJGRhQ6zExamkszQ5VutGIcaQqmbD9ZTVXMQ/edit#gid=1251630045"",""articles_with_PRISMA_reasons!B2:B2113"")))-1)"),"Pastore")</f>
        <v>Pastore</v>
      </c>
      <c r="C590" s="6">
        <f>IFERROR(__xludf.DUMMYFUNCTION("FILTER(IMPORTRANGE(""https://docs.google.com/spreadsheets/d/1BJSV3WBYJGRhQ6zExamkszQ5VutGIcaQqmbD9ZTVXMQ/edit#gid=1251630045"",""articles_with_PRISMA_reasons!C2:C2113""), $A590=IMPORTRANGE(""https://docs.google.com/spreadsheets/d/1BJSV3WBYJGRhQ6zExamkszQ5"&amp;"VutGIcaQqmbD9ZTVXMQ/edit#gid=1251630045"",""articles_with_PRISMA_reasons!B2:B2113""))"),1998.0)</f>
        <v>1998</v>
      </c>
      <c r="D590" s="5" t="str">
        <f>IFERROR(__xludf.DUMMYFUNCTION("IFS(AND(
FILTER(IMPORTRANGE(""https://docs.google.com/spreadsheets/d/1BJSV3WBYJGRhQ6zExamkszQ5VutGIcaQqmbD9ZTVXMQ/edit#gid=1251630045"",""articles_with_PRISMA_reasons!Y2:Y2113""), $A590=IMPORTRANGE(""https://docs.google.com/spreadsheets/d/1BJSV3WBYJGRhQ6z"&amp;"ExamkszQ5VutGIcaQqmbD9ZTVXMQ/edit#gid=1251630045"",""articles_with_PRISMA_reasons!B2:B2113""))&gt;=2,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$A590=IMPORTRANGE(""https://docs.google.com/spreadsheets/d/1BJSV3WBYJGRhQ6zExamkszQ5VutGIcaQqmbD9ZTVXMQ/edit#gid=1251630045"",""articles_with_PRISMA_reasons!B2:B2113""))&lt;2),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$A590=IMPORTRANGE(""https://docs.google.com/spreadsheets/d/1BJSV3WBYJGRhQ6zExamkszQ5VutGIcaQqmbD9ZTVXMQ/edit#gid=1251630045"",""arti"&amp;"cles_with_PRISMA_reasons!B2:B2113""))&lt;2,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$A590=IMPORTRANGE(""https://docs.google.com"&amp;"/spreadsheets/d/1BJSV3WBYJGRhQ6zExamkszQ5VutGIcaQqmbD9ZTVXMQ/edit#gid=1251630045"",""articles_with_PRISMA_reasons!B2:B2113""))&gt;=2),
""Exclude""
)"),"Exclude")</f>
        <v>Exclude</v>
      </c>
      <c r="E590" s="5" t="str">
        <f>IFERROR(__xludf.DUMMYFUNCTION("IFS(
D590=""Exclude"",""Exclude"",
AND(
FILTER(IMPORTRANGE(""https://docs.google.com/spreadsheets/d/1qpEmbGH0JjaJbUdp21-y2cPbobDbMjr09BbtdKROZWc/edit#gid=1444865654"",""articles_with_PRISMA_reasons!W2:W2113""), $A590=IMPORTRANGE(""https://docs.google.com/"&amp;"spreadsheets/d/1qpEmbGH0JjaJbUdp21-y2cPbobDbMjr09BbtdKROZWc/edit#gid=1444865654"",""articles_with_PRISMA_reasons!B2:B2113""))&gt;=2,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$A590=IMPORTRANGE(""https://docs.google.com/spreadsheets/d/1qpEmbGH0JjaJbUdp21-y2cPbobDbMjr09BbtdKROZWc/edit#gid=1444865654"",""articles_with_PRISMA_reasons!B2:B2113""))&lt;2),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$A590=IMPORTRANGE(""https://docs.google.com/spreadsheets/d/1qpEmbGH0JjaJbUdp21-y2cPbobDbMjr09BbtdKRO"&amp;"ZWc/edit#gid=1444865654"",""articles_with_PRISMA_reasons!B2:B2113""))&lt;2,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$A590=IMPOR"&amp;"TRANGE(""https://docs.google.com/spreadsheets/d/1qpEmbGH0JjaJbUdp21-y2cPbobDbMjr09BbtdKROZWc/edit#gid=1444865654"",""articles_with_PRISMA_reasons!B2:B2113""))&gt;=2),
""Exclude""
)"),"Exclude")</f>
        <v>Exclude</v>
      </c>
      <c r="F590" s="5" t="str">
        <f>IFERROR(__xludf.DUMMYFUNCTION("IFS(
E590=""Exclude"",""Exclude"",
AND(
COUNTIF(
IMPORTRANGE(""https://docs.google.com/spreadsheets/d/1kGrh75X1cNR1D7_FcY9zMnHP8iPO4M5RCRjy6nZY0TY/edit#gid=0"",""Table 1: Study characteristics!B4:B171""),A590)&gt;0,
COUNTIF(Studies!$A$2:$A$85,FILTER(IMPORTRA"&amp;"NGE(""https://docs.google.com/spreadsheets/d/1kGrh75X1cNR1D7_FcY9zMnHP8iPO4M5RCRjy6nZY0TY/edit#gid=0"",""Table 1: Study characteristics!A4:A171""), $A590=IMPORTRANGE(""https://docs.google.com/spreadsheets/d/1kGrh75X1cNR1D7_FcY9zMnHP8iPO4M5RCRjy6nZY0TY/edi"&amp;"t#gid=0"",""Table 1: Study characteristics!B4:B171"")))&gt;0
),
""Include""
)"),"Exclude")</f>
        <v>Exclude</v>
      </c>
      <c r="G590" s="5" t="str">
        <f>IFERROR(__xludf.DUMMYFUNCTION("IFS(
D590=""Exclude"",
FILTER(IMPORTRANGE(""https://docs.google.com/spreadsheets/d/1BJSV3WBYJGRhQ6zExamkszQ5VutGIcaQqmbD9ZTVXMQ/edit#gid=1251630045"",""articles_with_PRISMA_reasons!AB2:AB2113""), $A590=IMPORTRANGE(""https://docs.google.com/spreadsheets/d/"&amp;"1BJSV3WBYJGRhQ6zExamkszQ5VutGIcaQqmbD9ZTVXMQ/edit#gid=1251630045"",""articles_with_PRISMA_reasons!B2:B2113"")),
E590=""Exclude"",
FILTER(IMPORTRANGE(""https://docs.google.com/spreadsheets/d/1qpEmbGH0JjaJbUdp21-y2cPbobDbMjr09BbtdKROZWc/edit#gid=1444865654"&amp;""",""articles_with_PRISMA_reasons!Z2:Z2113""), $A590=IMPORTRANGE(""https://docs.google.com/spreadsheets/d/1qpEmbGH0JjaJbUdp21-y2cPbobDbMjr09BbtdKROZWc/edit#gid=1444865654"",""articles_with_PRISMA_reasons!B2:B2113"")),F590
=""Include"",FILTER(IMPORTRANGE("&amp;"""https://docs.google.com/spreadsheets/d/1kGrh75X1cNR1D7_FcY9zMnHP8iPO4M5RCRjy6nZY0TY/edit#gid=0"",""Table 1: Study characteristics!A4:A171""), $A590=IMPORTRANGE(""https://docs.google.com/spreadsheets/d/1kGrh75X1cNR1D7_FcY9zMnHP8iPO4M5RCRjy6nZY0TY/edit#gi"&amp;"d=0"",""Table 1: Study characteristics!B4:B171""))
)"),"wrong population")</f>
        <v>wrong population</v>
      </c>
    </row>
    <row r="591">
      <c r="A591" s="4" t="str">
        <f>IFERROR(__xludf.DUMMYFUNCTION("""COMPUTED_VALUE"""),"Current trends in spinal dysraphism")</f>
        <v>Current trends in spinal dysraphism</v>
      </c>
      <c r="B591" s="5" t="str">
        <f>IFERROR(__xludf.DUMMYFUNCTION("LEFT(FILTER(IMPORTRANGE(""https://docs.google.com/spreadsheets/d/1BJSV3WBYJGRhQ6zExamkszQ5VutGIcaQqmbD9ZTVXMQ/edit#gid=1251630045"",""articles_with_PRISMA_reasons!K2:K2113""), $A591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$A591=IMPORTRANGE(""https://docs.google.com/spreadsheets/d/1BJSV3WBYJGRhQ6zExamkszQ5VutGIcaQqmbD9ZTVXMQ/edit#gid=1251630045"",""articles_with_PRISMA_reasons!B2:B2113"")))-1)"),"Humphreys")</f>
        <v>Humphreys</v>
      </c>
      <c r="C591" s="6">
        <f>IFERROR(__xludf.DUMMYFUNCTION("FILTER(IMPORTRANGE(""https://docs.google.com/spreadsheets/d/1BJSV3WBYJGRhQ6zExamkszQ5VutGIcaQqmbD9ZTVXMQ/edit#gid=1251630045"",""articles_with_PRISMA_reasons!C2:C2113""), $A591=IMPORTRANGE(""https://docs.google.com/spreadsheets/d/1BJSV3WBYJGRhQ6zExamkszQ5"&amp;"VutGIcaQqmbD9ZTVXMQ/edit#gid=1251630045"",""articles_with_PRISMA_reasons!B2:B2113""))"),1991.0)</f>
        <v>1991</v>
      </c>
      <c r="D591" s="5" t="str">
        <f>IFERROR(__xludf.DUMMYFUNCTION("IFS(AND(
FILTER(IMPORTRANGE(""https://docs.google.com/spreadsheets/d/1BJSV3WBYJGRhQ6zExamkszQ5VutGIcaQqmbD9ZTVXMQ/edit#gid=1251630045"",""articles_with_PRISMA_reasons!Y2:Y2113""), $A591=IMPORTRANGE(""https://docs.google.com/spreadsheets/d/1BJSV3WBYJGRhQ6z"&amp;"ExamkszQ5VutGIcaQqmbD9ZTVXMQ/edit#gid=1251630045"",""articles_with_PRISMA_reasons!B2:B2113""))&gt;=2,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$A591=IMPORTRANGE(""https://docs.google.com/spreadsheets/d/1BJSV3WBYJGRhQ6zExamkszQ5VutGIcaQqmbD9ZTVXMQ/edit#gid=1251630045"",""articles_with_PRISMA_reasons!B2:B2113""))&lt;2),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$A591=IMPORTRANGE(""https://docs.google.com/spreadsheets/d/1BJSV3WBYJGRhQ6zExamkszQ5VutGIcaQqmbD9ZTVXMQ/edit#gid=1251630045"",""arti"&amp;"cles_with_PRISMA_reasons!B2:B2113""))&lt;2,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$A591=IMPORTRANGE(""https://docs.google.com"&amp;"/spreadsheets/d/1BJSV3WBYJGRhQ6zExamkszQ5VutGIcaQqmbD9ZTVXMQ/edit#gid=1251630045"",""articles_with_PRISMA_reasons!B2:B2113""))&gt;=2),
""Exclude""
)"),"Exclude")</f>
        <v>Exclude</v>
      </c>
      <c r="E591" s="5" t="str">
        <f>IFERROR(__xludf.DUMMYFUNCTION("IFS(
D591=""Exclude"",""Exclude"",
AND(
FILTER(IMPORTRANGE(""https://docs.google.com/spreadsheets/d/1qpEmbGH0JjaJbUdp21-y2cPbobDbMjr09BbtdKROZWc/edit#gid=1444865654"",""articles_with_PRISMA_reasons!W2:W2113""), $A591=IMPORTRANGE(""https://docs.google.com/"&amp;"spreadsheets/d/1qpEmbGH0JjaJbUdp21-y2cPbobDbMjr09BbtdKROZWc/edit#gid=1444865654"",""articles_with_PRISMA_reasons!B2:B2113""))&gt;=2,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$A591=IMPORTRANGE(""https://docs.google.com/spreadsheets/d/1qpEmbGH0JjaJbUdp21-y2cPbobDbMjr09BbtdKROZWc/edit#gid=1444865654"",""articles_with_PRISMA_reasons!B2:B2113""))&lt;2),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$A591=IMPORTRANGE(""https://docs.google.com/spreadsheets/d/1qpEmbGH0JjaJbUdp21-y2cPbobDbMjr09BbtdKRO"&amp;"ZWc/edit#gid=1444865654"",""articles_with_PRISMA_reasons!B2:B2113""))&lt;2,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$A591=IMPOR"&amp;"TRANGE(""https://docs.google.com/spreadsheets/d/1qpEmbGH0JjaJbUdp21-y2cPbobDbMjr09BbtdKROZWc/edit#gid=1444865654"",""articles_with_PRISMA_reasons!B2:B2113""))&gt;=2),
""Exclude""
)"),"Exclude")</f>
        <v>Exclude</v>
      </c>
      <c r="F591" s="5" t="str">
        <f>IFERROR(__xludf.DUMMYFUNCTION("IFS(
E591=""Exclude"",""Exclude"",
AND(
COUNTIF(
IMPORTRANGE(""https://docs.google.com/spreadsheets/d/1kGrh75X1cNR1D7_FcY9zMnHP8iPO4M5RCRjy6nZY0TY/edit#gid=0"",""Table 1: Study characteristics!B4:B171""),A591)&gt;0,
COUNTIF(Studies!$A$2:$A$85,FILTER(IMPORTRA"&amp;"NGE(""https://docs.google.com/spreadsheets/d/1kGrh75X1cNR1D7_FcY9zMnHP8iPO4M5RCRjy6nZY0TY/edit#gid=0"",""Table 1: Study characteristics!A4:A171""), $A591=IMPORTRANGE(""https://docs.google.com/spreadsheets/d/1kGrh75X1cNR1D7_FcY9zMnHP8iPO4M5RCRjy6nZY0TY/edi"&amp;"t#gid=0"",""Table 1: Study characteristics!B4:B171"")))&gt;0
),
""Include""
)"),"Exclude")</f>
        <v>Exclude</v>
      </c>
      <c r="G591" s="5" t="str">
        <f>IFERROR(__xludf.DUMMYFUNCTION("IFS(
D591=""Exclude"",
FILTER(IMPORTRANGE(""https://docs.google.com/spreadsheets/d/1BJSV3WBYJGRhQ6zExamkszQ5VutGIcaQqmbD9ZTVXMQ/edit#gid=1251630045"",""articles_with_PRISMA_reasons!AB2:AB2113""), $A591=IMPORTRANGE(""https://docs.google.com/spreadsheets/d/"&amp;"1BJSV3WBYJGRhQ6zExamkszQ5VutGIcaQqmbD9ZTVXMQ/edit#gid=1251630045"",""articles_with_PRISMA_reasons!B2:B2113"")),
E591=""Exclude"",
FILTER(IMPORTRANGE(""https://docs.google.com/spreadsheets/d/1qpEmbGH0JjaJbUdp21-y2cPbobDbMjr09BbtdKROZWc/edit#gid=1444865654"&amp;""",""articles_with_PRISMA_reasons!Z2:Z2113""), $A591=IMPORTRANGE(""https://docs.google.com/spreadsheets/d/1qpEmbGH0JjaJbUdp21-y2cPbobDbMjr09BbtdKROZWc/edit#gid=1444865654"",""articles_with_PRISMA_reasons!B2:B2113"")),F591
=""Include"",FILTER(IMPORTRANGE("&amp;"""https://docs.google.com/spreadsheets/d/1kGrh75X1cNR1D7_FcY9zMnHP8iPO4M5RCRjy6nZY0TY/edit#gid=0"",""Table 1: Study characteristics!A4:A171""), $A591=IMPORTRANGE(""https://docs.google.com/spreadsheets/d/1kGrh75X1cNR1D7_FcY9zMnHP8iPO4M5RCRjy6nZY0TY/edit#gi"&amp;"d=0"",""Table 1: Study characteristics!B4:B171""))
)"),"wrong study design")</f>
        <v>wrong study design</v>
      </c>
    </row>
    <row r="592">
      <c r="A592" s="4" t="str">
        <f>IFERROR(__xludf.DUMMYFUNCTION("""COMPUTED_VALUE"""),"Current views on fetal surgical treatment of myelomeningocele - the Management of Myelomeningocele Study (MOMS) trial and Polish clinical experience")</f>
        <v>Current views on fetal surgical treatment of myelomeningocele - the Management of Myelomeningocele Study (MOMS) trial and Polish clinical experience</v>
      </c>
      <c r="B592" s="5" t="str">
        <f>IFERROR(__xludf.DUMMYFUNCTION("LEFT(FILTER(IMPORTRANGE(""https://docs.google.com/spreadsheets/d/1BJSV3WBYJGRhQ6zExamkszQ5VutGIcaQqmbD9ZTVXMQ/edit#gid=1251630045"",""articles_with_PRISMA_reasons!K2:K2113""), $A592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$A592=IMPORTRANGE(""https://docs.google.com/spreadsheets/d/1BJSV3WBYJGRhQ6zExamkszQ5VutGIcaQqmbD9ZTVXMQ/edit#gid=1251630045"",""articles_with_PRISMA_reasons!B2:B2113"")))-1)"),"Zamlynski")</f>
        <v>Zamlynski</v>
      </c>
      <c r="C592" s="6">
        <f>IFERROR(__xludf.DUMMYFUNCTION("FILTER(IMPORTRANGE(""https://docs.google.com/spreadsheets/d/1BJSV3WBYJGRhQ6zExamkszQ5VutGIcaQqmbD9ZTVXMQ/edit#gid=1251630045"",""articles_with_PRISMA_reasons!C2:C2113""), $A592=IMPORTRANGE(""https://docs.google.com/spreadsheets/d/1BJSV3WBYJGRhQ6zExamkszQ5"&amp;"VutGIcaQqmbD9ZTVXMQ/edit#gid=1251630045"",""articles_with_PRISMA_reasons!B2:B2113""))"),2017.0)</f>
        <v>2017</v>
      </c>
      <c r="D592" s="5" t="str">
        <f>IFERROR(__xludf.DUMMYFUNCTION("IFS(AND(
FILTER(IMPORTRANGE(""https://docs.google.com/spreadsheets/d/1BJSV3WBYJGRhQ6zExamkszQ5VutGIcaQqmbD9ZTVXMQ/edit#gid=1251630045"",""articles_with_PRISMA_reasons!Y2:Y2113""), $A592=IMPORTRANGE(""https://docs.google.com/spreadsheets/d/1BJSV3WBYJGRhQ6z"&amp;"ExamkszQ5VutGIcaQqmbD9ZTVXMQ/edit#gid=1251630045"",""articles_with_PRISMA_reasons!B2:B2113""))&gt;=2,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$A592=IMPORTRANGE(""https://docs.google.com/spreadsheets/d/1BJSV3WBYJGRhQ6zExamkszQ5VutGIcaQqmbD9ZTVXMQ/edit#gid=1251630045"",""articles_with_PRISMA_reasons!B2:B2113""))&lt;2),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$A592=IMPORTRANGE(""https://docs.google.com/spreadsheets/d/1BJSV3WBYJGRhQ6zExamkszQ5VutGIcaQqmbD9ZTVXMQ/edit#gid=1251630045"",""arti"&amp;"cles_with_PRISMA_reasons!B2:B2113""))&lt;2,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$A592=IMPORTRANGE(""https://docs.google.com"&amp;"/spreadsheets/d/1BJSV3WBYJGRhQ6zExamkszQ5VutGIcaQqmbD9ZTVXMQ/edit#gid=1251630045"",""articles_with_PRISMA_reasons!B2:B2113""))&gt;=2),
""Exclude""
)"),"Exclude")</f>
        <v>Exclude</v>
      </c>
      <c r="E592" s="5" t="str">
        <f>IFERROR(__xludf.DUMMYFUNCTION("IFS(
D592=""Exclude"",""Exclude"",
AND(
FILTER(IMPORTRANGE(""https://docs.google.com/spreadsheets/d/1qpEmbGH0JjaJbUdp21-y2cPbobDbMjr09BbtdKROZWc/edit#gid=1444865654"",""articles_with_PRISMA_reasons!W2:W2113""), $A592=IMPORTRANGE(""https://docs.google.com/"&amp;"spreadsheets/d/1qpEmbGH0JjaJbUdp21-y2cPbobDbMjr09BbtdKROZWc/edit#gid=1444865654"",""articles_with_PRISMA_reasons!B2:B2113""))&gt;=2,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$A592=IMPORTRANGE(""https://docs.google.com/spreadsheets/d/1qpEmbGH0JjaJbUdp21-y2cPbobDbMjr09BbtdKROZWc/edit#gid=1444865654"",""articles_with_PRISMA_reasons!B2:B2113""))&lt;2),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$A592=IMPORTRANGE(""https://docs.google.com/spreadsheets/d/1qpEmbGH0JjaJbUdp21-y2cPbobDbMjr09BbtdKRO"&amp;"ZWc/edit#gid=1444865654"",""articles_with_PRISMA_reasons!B2:B2113""))&lt;2,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$A592=IMPOR"&amp;"TRANGE(""https://docs.google.com/spreadsheets/d/1qpEmbGH0JjaJbUdp21-y2cPbobDbMjr09BbtdKROZWc/edit#gid=1444865654"",""articles_with_PRISMA_reasons!B2:B2113""))&gt;=2),
""Exclude""
)"),"Exclude")</f>
        <v>Exclude</v>
      </c>
      <c r="F592" s="5" t="str">
        <f>IFERROR(__xludf.DUMMYFUNCTION("IFS(
E592=""Exclude"",""Exclude"",
AND(
COUNTIF(
IMPORTRANGE(""https://docs.google.com/spreadsheets/d/1kGrh75X1cNR1D7_FcY9zMnHP8iPO4M5RCRjy6nZY0TY/edit#gid=0"",""Table 1: Study characteristics!B4:B171""),A592)&gt;0,
COUNTIF(Studies!$A$2:$A$85,FILTER(IMPORTRA"&amp;"NGE(""https://docs.google.com/spreadsheets/d/1kGrh75X1cNR1D7_FcY9zMnHP8iPO4M5RCRjy6nZY0TY/edit#gid=0"",""Table 1: Study characteristics!A4:A171""), $A592=IMPORTRANGE(""https://docs.google.com/spreadsheets/d/1kGrh75X1cNR1D7_FcY9zMnHP8iPO4M5RCRjy6nZY0TY/edi"&amp;"t#gid=0"",""Table 1: Study characteristics!B4:B171"")))&gt;0
),
""Include""
)"),"Exclude")</f>
        <v>Exclude</v>
      </c>
      <c r="G592" s="5" t="str">
        <f>IFERROR(__xludf.DUMMYFUNCTION("IFS(
D592=""Exclude"",
FILTER(IMPORTRANGE(""https://docs.google.com/spreadsheets/d/1BJSV3WBYJGRhQ6zExamkszQ5VutGIcaQqmbD9ZTVXMQ/edit#gid=1251630045"",""articles_with_PRISMA_reasons!AB2:AB2113""), $A592=IMPORTRANGE(""https://docs.google.com/spreadsheets/d/"&amp;"1BJSV3WBYJGRhQ6zExamkszQ5VutGIcaQqmbD9ZTVXMQ/edit#gid=1251630045"",""articles_with_PRISMA_reasons!B2:B2113"")),
E592=""Exclude"",
FILTER(IMPORTRANGE(""https://docs.google.com/spreadsheets/d/1qpEmbGH0JjaJbUdp21-y2cPbobDbMjr09BbtdKROZWc/edit#gid=1444865654"&amp;""",""articles_with_PRISMA_reasons!Z2:Z2113""), $A592=IMPORTRANGE(""https://docs.google.com/spreadsheets/d/1qpEmbGH0JjaJbUdp21-y2cPbobDbMjr09BbtdKROZWc/edit#gid=1444865654"",""articles_with_PRISMA_reasons!B2:B2113"")),F592
=""Include"",FILTER(IMPORTRANGE("&amp;"""https://docs.google.com/spreadsheets/d/1kGrh75X1cNR1D7_FcY9zMnHP8iPO4M5RCRjy6nZY0TY/edit#gid=0"",""Table 1: Study characteristics!A4:A171""), $A592=IMPORTRANGE(""https://docs.google.com/spreadsheets/d/1kGrh75X1cNR1D7_FcY9zMnHP8iPO4M5RCRjy6nZY0TY/edit#gi"&amp;"d=0"",""Table 1: Study characteristics!B4:B171""))
)"),"background article")</f>
        <v>background article</v>
      </c>
    </row>
    <row r="593">
      <c r="A593" s="4" t="str">
        <f>IFERROR(__xludf.DUMMYFUNCTION("""COMPUTED_VALUE"""),"Cushing's experience with the surgical treatment of spinal dysraphism")</f>
        <v>Cushing's experience with the surgical treatment of spinal dysraphism</v>
      </c>
      <c r="B593" s="5" t="str">
        <f>IFERROR(__xludf.DUMMYFUNCTION("LEFT(FILTER(IMPORTRANGE(""https://docs.google.com/spreadsheets/d/1BJSV3WBYJGRhQ6zExamkszQ5VutGIcaQqmbD9ZTVXMQ/edit#gid=1251630045"",""articles_with_PRISMA_reasons!K2:K2113""), $A593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$A593=IMPORTRANGE(""https://docs.google.com/spreadsheets/d/1BJSV3WBYJGRhQ6zExamkszQ5VutGIcaQqmbD9ZTVXMQ/edit#gid=1251630045"",""articles_with_PRISMA_reasons!B2:B2113"")))-1)"),"Cohen-Gadol")</f>
        <v>Cohen-Gadol</v>
      </c>
      <c r="C593" s="6" t="str">
        <f>IFERROR(__xludf.DUMMYFUNCTION("FILTER(IMPORTRANGE(""https://docs.google.com/spreadsheets/d/1BJSV3WBYJGRhQ6zExamkszQ5VutGIcaQqmbD9ZTVXMQ/edit#gid=1251630045"",""articles_with_PRISMA_reasons!C2:C2113""), $A593=IMPORTRANGE(""https://docs.google.com/spreadsheets/d/1BJSV3WBYJGRhQ6zExamkszQ5"&amp;"VutGIcaQqmbD9ZTVXMQ/edit#gid=1251630045"",""articles_with_PRISMA_reasons!B2:B2113""))"),"May")</f>
        <v>May</v>
      </c>
      <c r="D593" s="5" t="str">
        <f>IFERROR(__xludf.DUMMYFUNCTION("IFS(AND(
FILTER(IMPORTRANGE(""https://docs.google.com/spreadsheets/d/1BJSV3WBYJGRhQ6zExamkszQ5VutGIcaQqmbD9ZTVXMQ/edit#gid=1251630045"",""articles_with_PRISMA_reasons!Y2:Y2113""), $A593=IMPORTRANGE(""https://docs.google.com/spreadsheets/d/1BJSV3WBYJGRhQ6z"&amp;"ExamkszQ5VutGIcaQqmbD9ZTVXMQ/edit#gid=1251630045"",""articles_with_PRISMA_reasons!B2:B2113""))&gt;=2,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$A593=IMPORTRANGE(""https://docs.google.com/spreadsheets/d/1BJSV3WBYJGRhQ6zExamkszQ5VutGIcaQqmbD9ZTVXMQ/edit#gid=1251630045"",""articles_with_PRISMA_reasons!B2:B2113""))&lt;2),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$A593=IMPORTRANGE(""https://docs.google.com/spreadsheets/d/1BJSV3WBYJGRhQ6zExamkszQ5VutGIcaQqmbD9ZTVXMQ/edit#gid=1251630045"",""arti"&amp;"cles_with_PRISMA_reasons!B2:B2113""))&lt;2,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$A593=IMPORTRANGE(""https://docs.google.com"&amp;"/spreadsheets/d/1BJSV3WBYJGRhQ6zExamkszQ5VutGIcaQqmbD9ZTVXMQ/edit#gid=1251630045"",""articles_with_PRISMA_reasons!B2:B2113""))&gt;=2),
""Exclude""
)"),"Exclude")</f>
        <v>Exclude</v>
      </c>
      <c r="E593" s="5" t="str">
        <f>IFERROR(__xludf.DUMMYFUNCTION("IFS(
D593=""Exclude"",""Exclude"",
AND(
FILTER(IMPORTRANGE(""https://docs.google.com/spreadsheets/d/1qpEmbGH0JjaJbUdp21-y2cPbobDbMjr09BbtdKROZWc/edit#gid=1444865654"",""articles_with_PRISMA_reasons!W2:W2113""), $A593=IMPORTRANGE(""https://docs.google.com/"&amp;"spreadsheets/d/1qpEmbGH0JjaJbUdp21-y2cPbobDbMjr09BbtdKROZWc/edit#gid=1444865654"",""articles_with_PRISMA_reasons!B2:B2113""))&gt;=2,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$A593=IMPORTRANGE(""https://docs.google.com/spreadsheets/d/1qpEmbGH0JjaJbUdp21-y2cPbobDbMjr09BbtdKROZWc/edit#gid=1444865654"",""articles_with_PRISMA_reasons!B2:B2113""))&lt;2),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$A593=IMPORTRANGE(""https://docs.google.com/spreadsheets/d/1qpEmbGH0JjaJbUdp21-y2cPbobDbMjr09BbtdKRO"&amp;"ZWc/edit#gid=1444865654"",""articles_with_PRISMA_reasons!B2:B2113""))&lt;2,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$A593=IMPOR"&amp;"TRANGE(""https://docs.google.com/spreadsheets/d/1qpEmbGH0JjaJbUdp21-y2cPbobDbMjr09BbtdKROZWc/edit#gid=1444865654"",""articles_with_PRISMA_reasons!B2:B2113""))&gt;=2),
""Exclude""
)"),"Exclude")</f>
        <v>Exclude</v>
      </c>
      <c r="F593" s="5" t="str">
        <f>IFERROR(__xludf.DUMMYFUNCTION("IFS(
E593=""Exclude"",""Exclude"",
AND(
COUNTIF(
IMPORTRANGE(""https://docs.google.com/spreadsheets/d/1kGrh75X1cNR1D7_FcY9zMnHP8iPO4M5RCRjy6nZY0TY/edit#gid=0"",""Table 1: Study characteristics!B4:B171""),A593)&gt;0,
COUNTIF(Studies!$A$2:$A$85,FILTER(IMPORTRA"&amp;"NGE(""https://docs.google.com/spreadsheets/d/1kGrh75X1cNR1D7_FcY9zMnHP8iPO4M5RCRjy6nZY0TY/edit#gid=0"",""Table 1: Study characteristics!A4:A171""), $A593=IMPORTRANGE(""https://docs.google.com/spreadsheets/d/1kGrh75X1cNR1D7_FcY9zMnHP8iPO4M5RCRjy6nZY0TY/edi"&amp;"t#gid=0"",""Table 1: Study characteristics!B4:B171"")))&gt;0
),
""Include""
)"),"Exclude")</f>
        <v>Exclude</v>
      </c>
      <c r="G593" s="5" t="str">
        <f>IFERROR(__xludf.DUMMYFUNCTION("IFS(
D593=""Exclude"",
FILTER(IMPORTRANGE(""https://docs.google.com/spreadsheets/d/1BJSV3WBYJGRhQ6zExamkszQ5VutGIcaQqmbD9ZTVXMQ/edit#gid=1251630045"",""articles_with_PRISMA_reasons!AB2:AB2113""), $A593=IMPORTRANGE(""https://docs.google.com/spreadsheets/d/"&amp;"1BJSV3WBYJGRhQ6zExamkszQ5VutGIcaQqmbD9ZTVXMQ/edit#gid=1251630045"",""articles_with_PRISMA_reasons!B2:B2113"")),
E593=""Exclude"",
FILTER(IMPORTRANGE(""https://docs.google.com/spreadsheets/d/1qpEmbGH0JjaJbUdp21-y2cPbobDbMjr09BbtdKROZWc/edit#gid=1444865654"&amp;""",""articles_with_PRISMA_reasons!Z2:Z2113""), $A593=IMPORTRANGE(""https://docs.google.com/spreadsheets/d/1qpEmbGH0JjaJbUdp21-y2cPbobDbMjr09BbtdKROZWc/edit#gid=1444865654"",""articles_with_PRISMA_reasons!B2:B2113"")),F593
=""Include"",FILTER(IMPORTRANGE("&amp;"""https://docs.google.com/spreadsheets/d/1kGrh75X1cNR1D7_FcY9zMnHP8iPO4M5RCRjy6nZY0TY/edit#gid=0"",""Table 1: Study characteristics!A4:A171""), $A593=IMPORTRANGE(""https://docs.google.com/spreadsheets/d/1kGrh75X1cNR1D7_FcY9zMnHP8iPO4M5RCRjy6nZY0TY/edit#gi"&amp;"d=0"",""Table 1: Study characteristics!B4:B171""))
)"),"background article")</f>
        <v>background article</v>
      </c>
    </row>
    <row r="594">
      <c r="A594" s="4" t="str">
        <f>IFERROR(__xludf.DUMMYFUNCTION("""COMPUTED_VALUE"""),"Cyclopia")</f>
        <v>Cyclopia</v>
      </c>
      <c r="B594" s="5" t="str">
        <f>IFERROR(__xludf.DUMMYFUNCTION("LEFT(FILTER(IMPORTRANGE(""https://docs.google.com/spreadsheets/d/1BJSV3WBYJGRhQ6zExamkszQ5VutGIcaQqmbD9ZTVXMQ/edit#gid=1251630045"",""articles_with_PRISMA_reasons!K2:K2113""), $A594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$A594=IMPORTRANGE(""https://docs.google.com/spreadsheets/d/1BJSV3WBYJGRhQ6zExamkszQ5VutGIcaQqmbD9ZTVXMQ/edit#gid=1251630045"",""articles_with_PRISMA_reasons!B2:B2113"")))-1)"),"Yilmaz")</f>
        <v>Yilmaz</v>
      </c>
      <c r="C594" s="6">
        <f>IFERROR(__xludf.DUMMYFUNCTION("FILTER(IMPORTRANGE(""https://docs.google.com/spreadsheets/d/1BJSV3WBYJGRhQ6zExamkszQ5VutGIcaQqmbD9ZTVXMQ/edit#gid=1251630045"",""articles_with_PRISMA_reasons!C2:C2113""), $A594=IMPORTRANGE(""https://docs.google.com/spreadsheets/d/1BJSV3WBYJGRhQ6zExamkszQ5"&amp;"VutGIcaQqmbD9ZTVXMQ/edit#gid=1251630045"",""articles_with_PRISMA_reasons!B2:B2113""))"),2003.0)</f>
        <v>2003</v>
      </c>
      <c r="D594" s="5" t="str">
        <f>IFERROR(__xludf.DUMMYFUNCTION("IFS(AND(
FILTER(IMPORTRANGE(""https://docs.google.com/spreadsheets/d/1BJSV3WBYJGRhQ6zExamkszQ5VutGIcaQqmbD9ZTVXMQ/edit#gid=1251630045"",""articles_with_PRISMA_reasons!Y2:Y2113""), $A594=IMPORTRANGE(""https://docs.google.com/spreadsheets/d/1BJSV3WBYJGRhQ6z"&amp;"ExamkszQ5VutGIcaQqmbD9ZTVXMQ/edit#gid=1251630045"",""articles_with_PRISMA_reasons!B2:B2113""))&gt;=2,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$A594=IMPORTRANGE(""https://docs.google.com/spreadsheets/d/1BJSV3WBYJGRhQ6zExamkszQ5VutGIcaQqmbD9ZTVXMQ/edit#gid=1251630045"",""articles_with_PRISMA_reasons!B2:B2113""))&lt;2),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$A594=IMPORTRANGE(""https://docs.google.com/spreadsheets/d/1BJSV3WBYJGRhQ6zExamkszQ5VutGIcaQqmbD9ZTVXMQ/edit#gid=1251630045"",""arti"&amp;"cles_with_PRISMA_reasons!B2:B2113""))&lt;2,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$A594=IMPORTRANGE(""https://docs.google.com"&amp;"/spreadsheets/d/1BJSV3WBYJGRhQ6zExamkszQ5VutGIcaQqmbD9ZTVXMQ/edit#gid=1251630045"",""articles_with_PRISMA_reasons!B2:B2113""))&gt;=2),
""Exclude""
)"),"Exclude")</f>
        <v>Exclude</v>
      </c>
      <c r="E594" s="5" t="str">
        <f>IFERROR(__xludf.DUMMYFUNCTION("IFS(
D594=""Exclude"",""Exclude"",
AND(
FILTER(IMPORTRANGE(""https://docs.google.com/spreadsheets/d/1qpEmbGH0JjaJbUdp21-y2cPbobDbMjr09BbtdKROZWc/edit#gid=1444865654"",""articles_with_PRISMA_reasons!W2:W2113""), $A594=IMPORTRANGE(""https://docs.google.com/"&amp;"spreadsheets/d/1qpEmbGH0JjaJbUdp21-y2cPbobDbMjr09BbtdKROZWc/edit#gid=1444865654"",""articles_with_PRISMA_reasons!B2:B2113""))&gt;=2,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$A594=IMPORTRANGE(""https://docs.google.com/spreadsheets/d/1qpEmbGH0JjaJbUdp21-y2cPbobDbMjr09BbtdKROZWc/edit#gid=1444865654"",""articles_with_PRISMA_reasons!B2:B2113""))&lt;2),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$A594=IMPORTRANGE(""https://docs.google.com/spreadsheets/d/1qpEmbGH0JjaJbUdp21-y2cPbobDbMjr09BbtdKRO"&amp;"ZWc/edit#gid=1444865654"",""articles_with_PRISMA_reasons!B2:B2113""))&lt;2,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$A594=IMPOR"&amp;"TRANGE(""https://docs.google.com/spreadsheets/d/1qpEmbGH0JjaJbUdp21-y2cPbobDbMjr09BbtdKROZWc/edit#gid=1444865654"",""articles_with_PRISMA_reasons!B2:B2113""))&gt;=2),
""Exclude""
)"),"Exclude")</f>
        <v>Exclude</v>
      </c>
      <c r="F594" s="5" t="str">
        <f>IFERROR(__xludf.DUMMYFUNCTION("IFS(
E594=""Exclude"",""Exclude"",
AND(
COUNTIF(
IMPORTRANGE(""https://docs.google.com/spreadsheets/d/1kGrh75X1cNR1D7_FcY9zMnHP8iPO4M5RCRjy6nZY0TY/edit#gid=0"",""Table 1: Study characteristics!B4:B171""),A594)&gt;0,
COUNTIF(Studies!$A$2:$A$85,FILTER(IMPORTRA"&amp;"NGE(""https://docs.google.com/spreadsheets/d/1kGrh75X1cNR1D7_FcY9zMnHP8iPO4M5RCRjy6nZY0TY/edit#gid=0"",""Table 1: Study characteristics!A4:A171""), $A594=IMPORTRANGE(""https://docs.google.com/spreadsheets/d/1kGrh75X1cNR1D7_FcY9zMnHP8iPO4M5RCRjy6nZY0TY/edi"&amp;"t#gid=0"",""Table 1: Study characteristics!B4:B171"")))&gt;0
),
""Include""
)"),"Exclude")</f>
        <v>Exclude</v>
      </c>
      <c r="G594" s="5" t="str">
        <f>IFERROR(__xludf.DUMMYFUNCTION("IFS(
D594=""Exclude"",
FILTER(IMPORTRANGE(""https://docs.google.com/spreadsheets/d/1BJSV3WBYJGRhQ6zExamkszQ5VutGIcaQqmbD9ZTVXMQ/edit#gid=1251630045"",""articles_with_PRISMA_reasons!AB2:AB2113""), $A594=IMPORTRANGE(""https://docs.google.com/spreadsheets/d/"&amp;"1BJSV3WBYJGRhQ6zExamkszQ5VutGIcaQqmbD9ZTVXMQ/edit#gid=1251630045"",""articles_with_PRISMA_reasons!B2:B2113"")),
E594=""Exclude"",
FILTER(IMPORTRANGE(""https://docs.google.com/spreadsheets/d/1qpEmbGH0JjaJbUdp21-y2cPbobDbMjr09BbtdKROZWc/edit#gid=1444865654"&amp;""",""articles_with_PRISMA_reasons!Z2:Z2113""), $A594=IMPORTRANGE(""https://docs.google.com/spreadsheets/d/1qpEmbGH0JjaJbUdp21-y2cPbobDbMjr09BbtdKROZWc/edit#gid=1444865654"",""articles_with_PRISMA_reasons!B2:B2113"")),F594
=""Include"",FILTER(IMPORTRANGE("&amp;"""https://docs.google.com/spreadsheets/d/1kGrh75X1cNR1D7_FcY9zMnHP8iPO4M5RCRjy6nZY0TY/edit#gid=0"",""Table 1: Study characteristics!A4:A171""), $A594=IMPORTRANGE(""https://docs.google.com/spreadsheets/d/1kGrh75X1cNR1D7_FcY9zMnHP8iPO4M5RCRjy6nZY0TY/edit#gi"&amp;"d=0"",""Table 1: Study characteristics!B4:B171""))
)"),"wrong study design")</f>
        <v>wrong study design</v>
      </c>
    </row>
    <row r="595">
      <c r="A595" s="4" t="str">
        <f>IFERROR(__xludf.DUMMYFUNCTION("""COMPUTED_VALUE"""),"Cystic cervical dysraphism: Experience of 12 cases")</f>
        <v>Cystic cervical dysraphism: Experience of 12 cases</v>
      </c>
      <c r="B595" s="5" t="str">
        <f>IFERROR(__xludf.DUMMYFUNCTION("LEFT(FILTER(IMPORTRANGE(""https://docs.google.com/spreadsheets/d/1BJSV3WBYJGRhQ6zExamkszQ5VutGIcaQqmbD9ZTVXMQ/edit#gid=1251630045"",""articles_with_PRISMA_reasons!K2:K2113""), $A595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$A595=IMPORTRANGE(""https://docs.google.com/spreadsheets/d/1BJSV3WBYJGRhQ6zExamkszQ5VutGIcaQqmbD9ZTVXMQ/edit#gid=1251630045"",""articles_with_PRISMA_reasons!B2:B2113"")))-1)"),"Singh")</f>
        <v>Singh</v>
      </c>
      <c r="C595" s="6">
        <f>IFERROR(__xludf.DUMMYFUNCTION("FILTER(IMPORTRANGE(""https://docs.google.com/spreadsheets/d/1BJSV3WBYJGRhQ6zExamkszQ5VutGIcaQqmbD9ZTVXMQ/edit#gid=1251630045"",""articles_with_PRISMA_reasons!C2:C2113""), $A595=IMPORTRANGE(""https://docs.google.com/spreadsheets/d/1BJSV3WBYJGRhQ6zExamkszQ5"&amp;"VutGIcaQqmbD9ZTVXMQ/edit#gid=1251630045"",""articles_with_PRISMA_reasons!B2:B2113""))"),2018.0)</f>
        <v>2018</v>
      </c>
      <c r="D595" s="5" t="str">
        <f>IFERROR(__xludf.DUMMYFUNCTION("IFS(AND(
FILTER(IMPORTRANGE(""https://docs.google.com/spreadsheets/d/1BJSV3WBYJGRhQ6zExamkszQ5VutGIcaQqmbD9ZTVXMQ/edit#gid=1251630045"",""articles_with_PRISMA_reasons!Y2:Y2113""), $A595=IMPORTRANGE(""https://docs.google.com/spreadsheets/d/1BJSV3WBYJGRhQ6z"&amp;"ExamkszQ5VutGIcaQqmbD9ZTVXMQ/edit#gid=1251630045"",""articles_with_PRISMA_reasons!B2:B2113""))&gt;=2,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$A595=IMPORTRANGE(""https://docs.google.com/spreadsheets/d/1BJSV3WBYJGRhQ6zExamkszQ5VutGIcaQqmbD9ZTVXMQ/edit#gid=1251630045"",""articles_with_PRISMA_reasons!B2:B2113""))&lt;2),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$A595=IMPORTRANGE(""https://docs.google.com/spreadsheets/d/1BJSV3WBYJGRhQ6zExamkszQ5VutGIcaQqmbD9ZTVXMQ/edit#gid=1251630045"",""arti"&amp;"cles_with_PRISMA_reasons!B2:B2113""))&lt;2,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$A595=IMPORTRANGE(""https://docs.google.com"&amp;"/spreadsheets/d/1BJSV3WBYJGRhQ6zExamkszQ5VutGIcaQqmbD9ZTVXMQ/edit#gid=1251630045"",""articles_with_PRISMA_reasons!B2:B2113""))&gt;=2),
""Exclude""
)"),"Exclude")</f>
        <v>Exclude</v>
      </c>
      <c r="E595" s="5" t="str">
        <f>IFERROR(__xludf.DUMMYFUNCTION("IFS(
D595=""Exclude"",""Exclude"",
AND(
FILTER(IMPORTRANGE(""https://docs.google.com/spreadsheets/d/1qpEmbGH0JjaJbUdp21-y2cPbobDbMjr09BbtdKROZWc/edit#gid=1444865654"",""articles_with_PRISMA_reasons!W2:W2113""), $A595=IMPORTRANGE(""https://docs.google.com/"&amp;"spreadsheets/d/1qpEmbGH0JjaJbUdp21-y2cPbobDbMjr09BbtdKROZWc/edit#gid=1444865654"",""articles_with_PRISMA_reasons!B2:B2113""))&gt;=2,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$A595=IMPORTRANGE(""https://docs.google.com/spreadsheets/d/1qpEmbGH0JjaJbUdp21-y2cPbobDbMjr09BbtdKROZWc/edit#gid=1444865654"",""articles_with_PRISMA_reasons!B2:B2113""))&lt;2),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$A595=IMPORTRANGE(""https://docs.google.com/spreadsheets/d/1qpEmbGH0JjaJbUdp21-y2cPbobDbMjr09BbtdKRO"&amp;"ZWc/edit#gid=1444865654"",""articles_with_PRISMA_reasons!B2:B2113""))&lt;2,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$A595=IMPOR"&amp;"TRANGE(""https://docs.google.com/spreadsheets/d/1qpEmbGH0JjaJbUdp21-y2cPbobDbMjr09BbtdKROZWc/edit#gid=1444865654"",""articles_with_PRISMA_reasons!B2:B2113""))&gt;=2),
""Exclude""
)"),"Exclude")</f>
        <v>Exclude</v>
      </c>
      <c r="F595" s="5" t="str">
        <f>IFERROR(__xludf.DUMMYFUNCTION("IFS(
E595=""Exclude"",""Exclude"",
AND(
COUNTIF(
IMPORTRANGE(""https://docs.google.com/spreadsheets/d/1kGrh75X1cNR1D7_FcY9zMnHP8iPO4M5RCRjy6nZY0TY/edit#gid=0"",""Table 1: Study characteristics!B4:B171""),A595)&gt;0,
COUNTIF(Studies!$A$2:$A$85,FILTER(IMPORTRA"&amp;"NGE(""https://docs.google.com/spreadsheets/d/1kGrh75X1cNR1D7_FcY9zMnHP8iPO4M5RCRjy6nZY0TY/edit#gid=0"",""Table 1: Study characteristics!A4:A171""), $A595=IMPORTRANGE(""https://docs.google.com/spreadsheets/d/1kGrh75X1cNR1D7_FcY9zMnHP8iPO4M5RCRjy6nZY0TY/edi"&amp;"t#gid=0"",""Table 1: Study characteristics!B4:B171"")))&gt;0
),
""Include""
)"),"Exclude")</f>
        <v>Exclude</v>
      </c>
      <c r="G595" s="5" t="str">
        <f>IFERROR(__xludf.DUMMYFUNCTION("IFS(
D595=""Exclude"",
FILTER(IMPORTRANGE(""https://docs.google.com/spreadsheets/d/1BJSV3WBYJGRhQ6zExamkszQ5VutGIcaQqmbD9ZTVXMQ/edit#gid=1251630045"",""articles_with_PRISMA_reasons!AB2:AB2113""), $A595=IMPORTRANGE(""https://docs.google.com/spreadsheets/d/"&amp;"1BJSV3WBYJGRhQ6zExamkszQ5VutGIcaQqmbD9ZTVXMQ/edit#gid=1251630045"",""articles_with_PRISMA_reasons!B2:B2113"")),
E595=""Exclude"",
FILTER(IMPORTRANGE(""https://docs.google.com/spreadsheets/d/1qpEmbGH0JjaJbUdp21-y2cPbobDbMjr09BbtdKROZWc/edit#gid=1444865654"&amp;""",""articles_with_PRISMA_reasons!Z2:Z2113""), $A595=IMPORTRANGE(""https://docs.google.com/spreadsheets/d/1qpEmbGH0JjaJbUdp21-y2cPbobDbMjr09BbtdKROZWc/edit#gid=1444865654"",""articles_with_PRISMA_reasons!B2:B2113"")),F595
=""Include"",FILTER(IMPORTRANGE("&amp;"""https://docs.google.com/spreadsheets/d/1kGrh75X1cNR1D7_FcY9zMnHP8iPO4M5RCRjy6nZY0TY/edit#gid=0"",""Table 1: Study characteristics!A4:A171""), $A595=IMPORTRANGE(""https://docs.google.com/spreadsheets/d/1kGrh75X1cNR1D7_FcY9zMnHP8iPO4M5RCRjy6nZY0TY/edit#gi"&amp;"d=0"",""Table 1: Study characteristics!B4:B171""))
)"),"wrong population")</f>
        <v>wrong population</v>
      </c>
    </row>
    <row r="596">
      <c r="A596" s="4" t="str">
        <f>IFERROR(__xludf.DUMMYFUNCTION("""COMPUTED_VALUE"""),"Cystic spinal dysraphism of the cervical and upper thoracic region")</f>
        <v>Cystic spinal dysraphism of the cervical and upper thoracic region</v>
      </c>
      <c r="B596" s="5" t="str">
        <f>IFERROR(__xludf.DUMMYFUNCTION("LEFT(FILTER(IMPORTRANGE(""https://docs.google.com/spreadsheets/d/1BJSV3WBYJGRhQ6zExamkszQ5VutGIcaQqmbD9ZTVXMQ/edit#gid=1251630045"",""articles_with_PRISMA_reasons!K2:K2113""), $A596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$A596=IMPORTRANGE(""https://docs.google.com/spreadsheets/d/1BJSV3WBYJGRhQ6zExamkszQ5VutGIcaQqmbD9ZTVXMQ/edit#gid=1251630045"",""articles_with_PRISMA_reasons!B2:B2113"")))-1)"),"Salomão")</f>
        <v>Salomão</v>
      </c>
      <c r="C596" s="6" t="str">
        <f>IFERROR(__xludf.DUMMYFUNCTION("FILTER(IMPORTRANGE(""https://docs.google.com/spreadsheets/d/1BJSV3WBYJGRhQ6zExamkszQ5VutGIcaQqmbD9ZTVXMQ/edit#gid=1251630045"",""articles_with_PRISMA_reasons!C2:C2113""), $A596=IMPORTRANGE(""https://docs.google.com/spreadsheets/d/1BJSV3WBYJGRhQ6zExamkszQ5"&amp;"VutGIcaQqmbD9ZTVXMQ/edit#gid=1251630045"",""articles_with_PRISMA_reasons!B2:B2113""))"),"Mar")</f>
        <v>Mar</v>
      </c>
      <c r="D596" s="5" t="str">
        <f>IFERROR(__xludf.DUMMYFUNCTION("IFS(AND(
FILTER(IMPORTRANGE(""https://docs.google.com/spreadsheets/d/1BJSV3WBYJGRhQ6zExamkszQ5VutGIcaQqmbD9ZTVXMQ/edit#gid=1251630045"",""articles_with_PRISMA_reasons!Y2:Y2113""), $A596=IMPORTRANGE(""https://docs.google.com/spreadsheets/d/1BJSV3WBYJGRhQ6z"&amp;"ExamkszQ5VutGIcaQqmbD9ZTVXMQ/edit#gid=1251630045"",""articles_with_PRISMA_reasons!B2:B2113""))&gt;=2,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$A596=IMPORTRANGE(""https://docs.google.com/spreadsheets/d/1BJSV3WBYJGRhQ6zExamkszQ5VutGIcaQqmbD9ZTVXMQ/edit#gid=1251630045"",""articles_with_PRISMA_reasons!B2:B2113""))&lt;2),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$A596=IMPORTRANGE(""https://docs.google.com/spreadsheets/d/1BJSV3WBYJGRhQ6zExamkszQ5VutGIcaQqmbD9ZTVXMQ/edit#gid=1251630045"",""arti"&amp;"cles_with_PRISMA_reasons!B2:B2113""))&lt;2,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$A596=IMPORTRANGE(""https://docs.google.com"&amp;"/spreadsheets/d/1BJSV3WBYJGRhQ6zExamkszQ5VutGIcaQqmbD9ZTVXMQ/edit#gid=1251630045"",""articles_with_PRISMA_reasons!B2:B2113""))&gt;=2),
""Exclude""
)"),"Exclude")</f>
        <v>Exclude</v>
      </c>
      <c r="E596" s="5" t="str">
        <f>IFERROR(__xludf.DUMMYFUNCTION("IFS(
D596=""Exclude"",""Exclude"",
AND(
FILTER(IMPORTRANGE(""https://docs.google.com/spreadsheets/d/1qpEmbGH0JjaJbUdp21-y2cPbobDbMjr09BbtdKROZWc/edit#gid=1444865654"",""articles_with_PRISMA_reasons!W2:W2113""), $A596=IMPORTRANGE(""https://docs.google.com/"&amp;"spreadsheets/d/1qpEmbGH0JjaJbUdp21-y2cPbobDbMjr09BbtdKROZWc/edit#gid=1444865654"",""articles_with_PRISMA_reasons!B2:B2113""))&gt;=2,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$A596=IMPORTRANGE(""https://docs.google.com/spreadsheets/d/1qpEmbGH0JjaJbUdp21-y2cPbobDbMjr09BbtdKROZWc/edit#gid=1444865654"",""articles_with_PRISMA_reasons!B2:B2113""))&lt;2),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$A596=IMPORTRANGE(""https://docs.google.com/spreadsheets/d/1qpEmbGH0JjaJbUdp21-y2cPbobDbMjr09BbtdKRO"&amp;"ZWc/edit#gid=1444865654"",""articles_with_PRISMA_reasons!B2:B2113""))&lt;2,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$A596=IMPOR"&amp;"TRANGE(""https://docs.google.com/spreadsheets/d/1qpEmbGH0JjaJbUdp21-y2cPbobDbMjr09BbtdKROZWc/edit#gid=1444865654"",""articles_with_PRISMA_reasons!B2:B2113""))&gt;=2),
""Exclude""
)"),"Exclude")</f>
        <v>Exclude</v>
      </c>
      <c r="F596" s="5" t="str">
        <f>IFERROR(__xludf.DUMMYFUNCTION("IFS(
E596=""Exclude"",""Exclude"",
AND(
COUNTIF(
IMPORTRANGE(""https://docs.google.com/spreadsheets/d/1kGrh75X1cNR1D7_FcY9zMnHP8iPO4M5RCRjy6nZY0TY/edit#gid=0"",""Table 1: Study characteristics!B4:B171""),A596)&gt;0,
COUNTIF(Studies!$A$2:$A$85,FILTER(IMPORTRA"&amp;"NGE(""https://docs.google.com/spreadsheets/d/1kGrh75X1cNR1D7_FcY9zMnHP8iPO4M5RCRjy6nZY0TY/edit#gid=0"",""Table 1: Study characteristics!A4:A171""), $A596=IMPORTRANGE(""https://docs.google.com/spreadsheets/d/1kGrh75X1cNR1D7_FcY9zMnHP8iPO4M5RCRjy6nZY0TY/edi"&amp;"t#gid=0"",""Table 1: Study characteristics!B4:B171"")))&gt;0
),
""Include""
)"),"Exclude")</f>
        <v>Exclude</v>
      </c>
      <c r="G596" s="5" t="str">
        <f>IFERROR(__xludf.DUMMYFUNCTION("IFS(
D596=""Exclude"",
FILTER(IMPORTRANGE(""https://docs.google.com/spreadsheets/d/1BJSV3WBYJGRhQ6zExamkszQ5VutGIcaQqmbD9ZTVXMQ/edit#gid=1251630045"",""articles_with_PRISMA_reasons!AB2:AB2113""), $A596=IMPORTRANGE(""https://docs.google.com/spreadsheets/d/"&amp;"1BJSV3WBYJGRhQ6zExamkszQ5VutGIcaQqmbD9ZTVXMQ/edit#gid=1251630045"",""articles_with_PRISMA_reasons!B2:B2113"")),
E596=""Exclude"",
FILTER(IMPORTRANGE(""https://docs.google.com/spreadsheets/d/1qpEmbGH0JjaJbUdp21-y2cPbobDbMjr09BbtdKROZWc/edit#gid=1444865654"&amp;""",""articles_with_PRISMA_reasons!Z2:Z2113""), $A596=IMPORTRANGE(""https://docs.google.com/spreadsheets/d/1qpEmbGH0JjaJbUdp21-y2cPbobDbMjr09BbtdKROZWc/edit#gid=1444865654"",""articles_with_PRISMA_reasons!B2:B2113"")),F596
=""Include"",FILTER(IMPORTRANGE("&amp;"""https://docs.google.com/spreadsheets/d/1kGrh75X1cNR1D7_FcY9zMnHP8iPO4M5RCRjy6nZY0TY/edit#gid=0"",""Table 1: Study characteristics!A4:A171""), $A596=IMPORTRANGE(""https://docs.google.com/spreadsheets/d/1kGrh75X1cNR1D7_FcY9zMnHP8iPO4M5RCRjy6nZY0TY/edit#gi"&amp;"d=0"",""Table 1: Study characteristics!B4:B171""))
)"),"wrong population")</f>
        <v>wrong population</v>
      </c>
    </row>
    <row r="597">
      <c r="A597" s="4" t="str">
        <f>IFERROR(__xludf.DUMMYFUNCTION("""COMPUTED_VALUE"""),"Cystic spinal dysraphism of the cervical region: Experience with eight cases including double cervical and lumbosacral meningoceles")</f>
        <v>Cystic spinal dysraphism of the cervical region: Experience with eight cases including double cervical and lumbosacral meningoceles</v>
      </c>
      <c r="B597" s="2" t="s">
        <v>24</v>
      </c>
      <c r="C597" s="6">
        <f>IFERROR(__xludf.DUMMYFUNCTION("FILTER(IMPORTRANGE(""https://docs.google.com/spreadsheets/d/1BJSV3WBYJGRhQ6zExamkszQ5VutGIcaQqmbD9ZTVXMQ/edit#gid=1251630045"",""articles_with_PRISMA_reasons!C2:C2113""), $A597=IMPORTRANGE(""https://docs.google.com/spreadsheets/d/1BJSV3WBYJGRhQ6zExamkszQ5"&amp;"VutGIcaQqmbD9ZTVXMQ/edit#gid=1251630045"",""articles_with_PRISMA_reasons!B2:B2113""))"),2010.0)</f>
        <v>2010</v>
      </c>
      <c r="D597" s="5" t="str">
        <f>IFERROR(__xludf.DUMMYFUNCTION("IFS(AND(
FILTER(IMPORTRANGE(""https://docs.google.com/spreadsheets/d/1BJSV3WBYJGRhQ6zExamkszQ5VutGIcaQqmbD9ZTVXMQ/edit#gid=1251630045"",""articles_with_PRISMA_reasons!Y2:Y2113""), $A597=IMPORTRANGE(""https://docs.google.com/spreadsheets/d/1BJSV3WBYJGRhQ6z"&amp;"ExamkszQ5VutGIcaQqmbD9ZTVXMQ/edit#gid=1251630045"",""articles_with_PRISMA_reasons!B2:B2113""))&gt;=2,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$A597=IMPORTRANGE(""https://docs.google.com/spreadsheets/d/1BJSV3WBYJGRhQ6zExamkszQ5VutGIcaQqmbD9ZTVXMQ/edit#gid=1251630045"",""articles_with_PRISMA_reasons!B2:B2113""))&lt;2),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$A597=IMPORTRANGE(""https://docs.google.com/spreadsheets/d/1BJSV3WBYJGRhQ6zExamkszQ5VutGIcaQqmbD9ZTVXMQ/edit#gid=1251630045"",""arti"&amp;"cles_with_PRISMA_reasons!B2:B2113""))&lt;2,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$A597=IMPORTRANGE(""https://docs.google.com"&amp;"/spreadsheets/d/1BJSV3WBYJGRhQ6zExamkszQ5VutGIcaQqmbD9ZTVXMQ/edit#gid=1251630045"",""articles_with_PRISMA_reasons!B2:B2113""))&gt;=2),
""Exclude""
)"),"Exclude")</f>
        <v>Exclude</v>
      </c>
      <c r="E597" s="5" t="str">
        <f>IFERROR(__xludf.DUMMYFUNCTION("IFS(
D597=""Exclude"",""Exclude"",
AND(
FILTER(IMPORTRANGE(""https://docs.google.com/spreadsheets/d/1qpEmbGH0JjaJbUdp21-y2cPbobDbMjr09BbtdKROZWc/edit#gid=1444865654"",""articles_with_PRISMA_reasons!W2:W2113""), $A597=IMPORTRANGE(""https://docs.google.com/"&amp;"spreadsheets/d/1qpEmbGH0JjaJbUdp21-y2cPbobDbMjr09BbtdKROZWc/edit#gid=1444865654"",""articles_with_PRISMA_reasons!B2:B2113""))&gt;=2,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$A597=IMPORTRANGE(""https://docs.google.com/spreadsheets/d/1qpEmbGH0JjaJbUdp21-y2cPbobDbMjr09BbtdKROZWc/edit#gid=1444865654"",""articles_with_PRISMA_reasons!B2:B2113""))&lt;2),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$A597=IMPORTRANGE(""https://docs.google.com/spreadsheets/d/1qpEmbGH0JjaJbUdp21-y2cPbobDbMjr09BbtdKRO"&amp;"ZWc/edit#gid=1444865654"",""articles_with_PRISMA_reasons!B2:B2113""))&lt;2,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$A597=IMPOR"&amp;"TRANGE(""https://docs.google.com/spreadsheets/d/1qpEmbGH0JjaJbUdp21-y2cPbobDbMjr09BbtdKROZWc/edit#gid=1444865654"",""articles_with_PRISMA_reasons!B2:B2113""))&gt;=2),
""Exclude""
)"),"Exclude")</f>
        <v>Exclude</v>
      </c>
      <c r="F597" s="5" t="str">
        <f>IFERROR(__xludf.DUMMYFUNCTION("IFS(
E597=""Exclude"",""Exclude"",
AND(
COUNTIF(
IMPORTRANGE(""https://docs.google.com/spreadsheets/d/1kGrh75X1cNR1D7_FcY9zMnHP8iPO4M5RCRjy6nZY0TY/edit#gid=0"",""Table 1: Study characteristics!B4:B171""),A597)&gt;0,
COUNTIF(Studies!$A$2:$A$85,FILTER(IMPORTRA"&amp;"NGE(""https://docs.google.com/spreadsheets/d/1kGrh75X1cNR1D7_FcY9zMnHP8iPO4M5RCRjy6nZY0TY/edit#gid=0"",""Table 1: Study characteristics!A4:A171""), $A597=IMPORTRANGE(""https://docs.google.com/spreadsheets/d/1kGrh75X1cNR1D7_FcY9zMnHP8iPO4M5RCRjy6nZY0TY/edi"&amp;"t#gid=0"",""Table 1: Study characteristics!B4:B171"")))&gt;0
),
""Include""
)"),"Exclude")</f>
        <v>Exclude</v>
      </c>
      <c r="G597" s="5" t="str">
        <f>IFERROR(__xludf.DUMMYFUNCTION("IFS(
D597=""Exclude"",
FILTER(IMPORTRANGE(""https://docs.google.com/spreadsheets/d/1BJSV3WBYJGRhQ6zExamkszQ5VutGIcaQqmbD9ZTVXMQ/edit#gid=1251630045"",""articles_with_PRISMA_reasons!AB2:AB2113""), $A597=IMPORTRANGE(""https://docs.google.com/spreadsheets/d/"&amp;"1BJSV3WBYJGRhQ6zExamkszQ5VutGIcaQqmbD9ZTVXMQ/edit#gid=1251630045"",""articles_with_PRISMA_reasons!B2:B2113"")),
E597=""Exclude"",
FILTER(IMPORTRANGE(""https://docs.google.com/spreadsheets/d/1qpEmbGH0JjaJbUdp21-y2cPbobDbMjr09BbtdKROZWc/edit#gid=1444865654"&amp;""",""articles_with_PRISMA_reasons!Z2:Z2113""), $A597=IMPORTRANGE(""https://docs.google.com/spreadsheets/d/1qpEmbGH0JjaJbUdp21-y2cPbobDbMjr09BbtdKROZWc/edit#gid=1444865654"",""articles_with_PRISMA_reasons!B2:B2113"")),F597
=""Include"",FILTER(IMPORTRANGE("&amp;"""https://docs.google.com/spreadsheets/d/1kGrh75X1cNR1D7_FcY9zMnHP8iPO4M5RCRjy6nZY0TY/edit#gid=0"",""Table 1: Study characteristics!A4:A171""), $A597=IMPORTRANGE(""https://docs.google.com/spreadsheets/d/1kGrh75X1cNR1D7_FcY9zMnHP8iPO4M5RCRjy6nZY0TY/edit#gi"&amp;"d=0"",""Table 1: Study characteristics!B4:B171""))
)"),"wrong population")</f>
        <v>wrong population</v>
      </c>
    </row>
    <row r="598">
      <c r="A598" s="4" t="str">
        <f>IFERROR(__xludf.DUMMYFUNCTION("""COMPUTED_VALUE"""),"Cystometric evaluation of the functional status of neurogenic bladder in children with meningomyelocele")</f>
        <v>Cystometric evaluation of the functional status of neurogenic bladder in children with meningomyelocele</v>
      </c>
      <c r="B598" s="5" t="str">
        <f>IFERROR(__xludf.DUMMYFUNCTION("LEFT(FILTER(IMPORTRANGE(""https://docs.google.com/spreadsheets/d/1BJSV3WBYJGRhQ6zExamkszQ5VutGIcaQqmbD9ZTVXMQ/edit#gid=1251630045"",""articles_with_PRISMA_reasons!K2:K2113""), $A598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$A598=IMPORTRANGE(""https://docs.google.com/spreadsheets/d/1BJSV3WBYJGRhQ6zExamkszQ5VutGIcaQqmbD9ZTVXMQ/edit#gid=1251630045"",""articles_with_PRISMA_reasons!B2:B2113"")))-1)"),"Upadhyaya")</f>
        <v>Upadhyaya</v>
      </c>
      <c r="C598" s="6">
        <f>IFERROR(__xludf.DUMMYFUNCTION("FILTER(IMPORTRANGE(""https://docs.google.com/spreadsheets/d/1BJSV3WBYJGRhQ6zExamkszQ5VutGIcaQqmbD9ZTVXMQ/edit#gid=1251630045"",""articles_with_PRISMA_reasons!C2:C2113""), $A598=IMPORTRANGE(""https://docs.google.com/spreadsheets/d/1BJSV3WBYJGRhQ6zExamkszQ5"&amp;"VutGIcaQqmbD9ZTVXMQ/edit#gid=1251630045"",""articles_with_PRISMA_reasons!B2:B2113""))"),1974.0)</f>
        <v>1974</v>
      </c>
      <c r="D598" s="5" t="str">
        <f>IFERROR(__xludf.DUMMYFUNCTION("IFS(AND(
FILTER(IMPORTRANGE(""https://docs.google.com/spreadsheets/d/1BJSV3WBYJGRhQ6zExamkszQ5VutGIcaQqmbD9ZTVXMQ/edit#gid=1251630045"",""articles_with_PRISMA_reasons!Y2:Y2113""), $A598=IMPORTRANGE(""https://docs.google.com/spreadsheets/d/1BJSV3WBYJGRhQ6z"&amp;"ExamkszQ5VutGIcaQqmbD9ZTVXMQ/edit#gid=1251630045"",""articles_with_PRISMA_reasons!B2:B2113""))&gt;=2,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$A598=IMPORTRANGE(""https://docs.google.com/spreadsheets/d/1BJSV3WBYJGRhQ6zExamkszQ5VutGIcaQqmbD9ZTVXMQ/edit#gid=1251630045"",""articles_with_PRISMA_reasons!B2:B2113""))&lt;2),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$A598=IMPORTRANGE(""https://docs.google.com/spreadsheets/d/1BJSV3WBYJGRhQ6zExamkszQ5VutGIcaQqmbD9ZTVXMQ/edit#gid=1251630045"",""arti"&amp;"cles_with_PRISMA_reasons!B2:B2113""))&lt;2,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$A598=IMPORTRANGE(""https://docs.google.com"&amp;"/spreadsheets/d/1BJSV3WBYJGRhQ6zExamkszQ5VutGIcaQqmbD9ZTVXMQ/edit#gid=1251630045"",""articles_with_PRISMA_reasons!B2:B2113""))&gt;=2),
""Exclude""
)"),"Exclude")</f>
        <v>Exclude</v>
      </c>
      <c r="E598" s="5" t="str">
        <f>IFERROR(__xludf.DUMMYFUNCTION("IFS(
D598=""Exclude"",""Exclude"",
AND(
FILTER(IMPORTRANGE(""https://docs.google.com/spreadsheets/d/1qpEmbGH0JjaJbUdp21-y2cPbobDbMjr09BbtdKROZWc/edit#gid=1444865654"",""articles_with_PRISMA_reasons!W2:W2113""), $A598=IMPORTRANGE(""https://docs.google.com/"&amp;"spreadsheets/d/1qpEmbGH0JjaJbUdp21-y2cPbobDbMjr09BbtdKROZWc/edit#gid=1444865654"",""articles_with_PRISMA_reasons!B2:B2113""))&gt;=2,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$A598=IMPORTRANGE(""https://docs.google.com/spreadsheets/d/1qpEmbGH0JjaJbUdp21-y2cPbobDbMjr09BbtdKROZWc/edit#gid=1444865654"",""articles_with_PRISMA_reasons!B2:B2113""))&lt;2),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$A598=IMPORTRANGE(""https://docs.google.com/spreadsheets/d/1qpEmbGH0JjaJbUdp21-y2cPbobDbMjr09BbtdKRO"&amp;"ZWc/edit#gid=1444865654"",""articles_with_PRISMA_reasons!B2:B2113""))&lt;2,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$A598=IMPOR"&amp;"TRANGE(""https://docs.google.com/spreadsheets/d/1qpEmbGH0JjaJbUdp21-y2cPbobDbMjr09BbtdKROZWc/edit#gid=1444865654"",""articles_with_PRISMA_reasons!B2:B2113""))&gt;=2),
""Exclude""
)"),"Exclude")</f>
        <v>Exclude</v>
      </c>
      <c r="F598" s="5" t="str">
        <f>IFERROR(__xludf.DUMMYFUNCTION("IFS(
E598=""Exclude"",""Exclude"",
AND(
COUNTIF(
IMPORTRANGE(""https://docs.google.com/spreadsheets/d/1kGrh75X1cNR1D7_FcY9zMnHP8iPO4M5RCRjy6nZY0TY/edit#gid=0"",""Table 1: Study characteristics!B4:B171""),A598)&gt;0,
COUNTIF(Studies!$A$2:$A$85,FILTER(IMPORTRA"&amp;"NGE(""https://docs.google.com/spreadsheets/d/1kGrh75X1cNR1D7_FcY9zMnHP8iPO4M5RCRjy6nZY0TY/edit#gid=0"",""Table 1: Study characteristics!A4:A171""), $A598=IMPORTRANGE(""https://docs.google.com/spreadsheets/d/1kGrh75X1cNR1D7_FcY9zMnHP8iPO4M5RCRjy6nZY0TY/edi"&amp;"t#gid=0"",""Table 1: Study characteristics!B4:B171"")))&gt;0
),
""Include""
)"),"Exclude")</f>
        <v>Exclude</v>
      </c>
      <c r="G598" s="5" t="str">
        <f>IFERROR(__xludf.DUMMYFUNCTION("IFS(
D598=""Exclude"",
FILTER(IMPORTRANGE(""https://docs.google.com/spreadsheets/d/1BJSV3WBYJGRhQ6zExamkszQ5VutGIcaQqmbD9ZTVXMQ/edit#gid=1251630045"",""articles_with_PRISMA_reasons!AB2:AB2113""), $A598=IMPORTRANGE(""https://docs.google.com/spreadsheets/d/"&amp;"1BJSV3WBYJGRhQ6zExamkszQ5VutGIcaQqmbD9ZTVXMQ/edit#gid=1251630045"",""articles_with_PRISMA_reasons!B2:B2113"")),
E598=""Exclude"",
FILTER(IMPORTRANGE(""https://docs.google.com/spreadsheets/d/1qpEmbGH0JjaJbUdp21-y2cPbobDbMjr09BbtdKROZWc/edit#gid=1444865654"&amp;""",""articles_with_PRISMA_reasons!Z2:Z2113""), $A598=IMPORTRANGE(""https://docs.google.com/spreadsheets/d/1qpEmbGH0JjaJbUdp21-y2cPbobDbMjr09BbtdKROZWc/edit#gid=1444865654"",""articles_with_PRISMA_reasons!B2:B2113"")),F598
=""Include"",FILTER(IMPORTRANGE("&amp;"""https://docs.google.com/spreadsheets/d/1kGrh75X1cNR1D7_FcY9zMnHP8iPO4M5RCRjy6nZY0TY/edit#gid=0"",""Table 1: Study characteristics!A4:A171""), $A598=IMPORTRANGE(""https://docs.google.com/spreadsheets/d/1kGrh75X1cNR1D7_FcY9zMnHP8iPO4M5RCRjy6nZY0TY/edit#gi"&amp;"d=0"",""Table 1: Study characteristics!B4:B171""))
)"),"wrong study design")</f>
        <v>wrong study design</v>
      </c>
    </row>
    <row r="599">
      <c r="A599" s="4" t="str">
        <f>IFERROR(__xludf.DUMMYFUNCTION("""COMPUTED_VALUE"""),"Daily time management in children with spina bifida")</f>
        <v>Daily time management in children with spina bifida</v>
      </c>
      <c r="B599" s="5" t="str">
        <f>IFERROR(__xludf.DUMMYFUNCTION("LEFT(FILTER(IMPORTRANGE(""https://docs.google.com/spreadsheets/d/1BJSV3WBYJGRhQ6zExamkszQ5VutGIcaQqmbD9ZTVXMQ/edit#gid=1251630045"",""articles_with_PRISMA_reasons!K2:K2113""), $A599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$A599=IMPORTRANGE(""https://docs.google.com/spreadsheets/d/1BJSV3WBYJGRhQ6zExamkszQ5VutGIcaQqmbD9ZTVXMQ/edit#gid=1251630045"",""articles_with_PRISMA_reasons!B2:B2113"")))-1)"),"Persson")</f>
        <v>Persson</v>
      </c>
      <c r="C599" s="6">
        <f>IFERROR(__xludf.DUMMYFUNCTION("FILTER(IMPORTRANGE(""https://docs.google.com/spreadsheets/d/1BJSV3WBYJGRhQ6zExamkszQ5VutGIcaQqmbD9ZTVXMQ/edit#gid=1251630045"",""articles_with_PRISMA_reasons!C2:C2113""), $A599=IMPORTRANGE(""https://docs.google.com/spreadsheets/d/1BJSV3WBYJGRhQ6zExamkszQ5"&amp;"VutGIcaQqmbD9ZTVXMQ/edit#gid=1251630045"",""articles_with_PRISMA_reasons!B2:B2113""))"),2017.0)</f>
        <v>2017</v>
      </c>
      <c r="D599" s="5" t="str">
        <f>IFERROR(__xludf.DUMMYFUNCTION("IFS(AND(
FILTER(IMPORTRANGE(""https://docs.google.com/spreadsheets/d/1BJSV3WBYJGRhQ6zExamkszQ5VutGIcaQqmbD9ZTVXMQ/edit#gid=1251630045"",""articles_with_PRISMA_reasons!Y2:Y2113""), $A599=IMPORTRANGE(""https://docs.google.com/spreadsheets/d/1BJSV3WBYJGRhQ6z"&amp;"ExamkszQ5VutGIcaQqmbD9ZTVXMQ/edit#gid=1251630045"",""articles_with_PRISMA_reasons!B2:B2113""))&gt;=2,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$A599=IMPORTRANGE(""https://docs.google.com/spreadsheets/d/1BJSV3WBYJGRhQ6zExamkszQ5VutGIcaQqmbD9ZTVXMQ/edit#gid=1251630045"",""articles_with_PRISMA_reasons!B2:B2113""))&lt;2),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$A599=IMPORTRANGE(""https://docs.google.com/spreadsheets/d/1BJSV3WBYJGRhQ6zExamkszQ5VutGIcaQqmbD9ZTVXMQ/edit#gid=1251630045"",""arti"&amp;"cles_with_PRISMA_reasons!B2:B2113""))&lt;2,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$A599=IMPORTRANGE(""https://docs.google.com"&amp;"/spreadsheets/d/1BJSV3WBYJGRhQ6zExamkszQ5VutGIcaQqmbD9ZTVXMQ/edit#gid=1251630045"",""articles_with_PRISMA_reasons!B2:B2113""))&gt;=2),
""Exclude""
)"),"Exclude")</f>
        <v>Exclude</v>
      </c>
      <c r="E599" s="5" t="str">
        <f>IFERROR(__xludf.DUMMYFUNCTION("IFS(
D599=""Exclude"",""Exclude"",
AND(
FILTER(IMPORTRANGE(""https://docs.google.com/spreadsheets/d/1qpEmbGH0JjaJbUdp21-y2cPbobDbMjr09BbtdKROZWc/edit#gid=1444865654"",""articles_with_PRISMA_reasons!W2:W2113""), $A599=IMPORTRANGE(""https://docs.google.com/"&amp;"spreadsheets/d/1qpEmbGH0JjaJbUdp21-y2cPbobDbMjr09BbtdKROZWc/edit#gid=1444865654"",""articles_with_PRISMA_reasons!B2:B2113""))&gt;=2,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$A599=IMPORTRANGE(""https://docs.google.com/spreadsheets/d/1qpEmbGH0JjaJbUdp21-y2cPbobDbMjr09BbtdKROZWc/edit#gid=1444865654"",""articles_with_PRISMA_reasons!B2:B2113""))&lt;2),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$A599=IMPORTRANGE(""https://docs.google.com/spreadsheets/d/1qpEmbGH0JjaJbUdp21-y2cPbobDbMjr09BbtdKRO"&amp;"ZWc/edit#gid=1444865654"",""articles_with_PRISMA_reasons!B2:B2113""))&lt;2,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$A599=IMPOR"&amp;"TRANGE(""https://docs.google.com/spreadsheets/d/1qpEmbGH0JjaJbUdp21-y2cPbobDbMjr09BbtdKROZWc/edit#gid=1444865654"",""articles_with_PRISMA_reasons!B2:B2113""))&gt;=2),
""Exclude""
)"),"Exclude")</f>
        <v>Exclude</v>
      </c>
      <c r="F599" s="5" t="str">
        <f>IFERROR(__xludf.DUMMYFUNCTION("IFS(
E599=""Exclude"",""Exclude"",
AND(
COUNTIF(
IMPORTRANGE(""https://docs.google.com/spreadsheets/d/1kGrh75X1cNR1D7_FcY9zMnHP8iPO4M5RCRjy6nZY0TY/edit#gid=0"",""Table 1: Study characteristics!B4:B171""),A599)&gt;0,
COUNTIF(Studies!$A$2:$A$85,FILTER(IMPORTRA"&amp;"NGE(""https://docs.google.com/spreadsheets/d/1kGrh75X1cNR1D7_FcY9zMnHP8iPO4M5RCRjy6nZY0TY/edit#gid=0"",""Table 1: Study characteristics!A4:A171""), $A599=IMPORTRANGE(""https://docs.google.com/spreadsheets/d/1kGrh75X1cNR1D7_FcY9zMnHP8iPO4M5RCRjy6nZY0TY/edi"&amp;"t#gid=0"",""Table 1: Study characteristics!B4:B171"")))&gt;0
),
""Include""
)"),"Exclude")</f>
        <v>Exclude</v>
      </c>
      <c r="G599" s="5" t="str">
        <f>IFERROR(__xludf.DUMMYFUNCTION("IFS(
D599=""Exclude"",
FILTER(IMPORTRANGE(""https://docs.google.com/spreadsheets/d/1BJSV3WBYJGRhQ6zExamkszQ5VutGIcaQqmbD9ZTVXMQ/edit#gid=1251630045"",""articles_with_PRISMA_reasons!AB2:AB2113""), $A599=IMPORTRANGE(""https://docs.google.com/spreadsheets/d/"&amp;"1BJSV3WBYJGRhQ6zExamkszQ5VutGIcaQqmbD9ZTVXMQ/edit#gid=1251630045"",""articles_with_PRISMA_reasons!B2:B2113"")),
E599=""Exclude"",
FILTER(IMPORTRANGE(""https://docs.google.com/spreadsheets/d/1qpEmbGH0JjaJbUdp21-y2cPbobDbMjr09BbtdKROZWc/edit#gid=1444865654"&amp;""",""articles_with_PRISMA_reasons!Z2:Z2113""), $A599=IMPORTRANGE(""https://docs.google.com/spreadsheets/d/1qpEmbGH0JjaJbUdp21-y2cPbobDbMjr09BbtdKROZWc/edit#gid=1444865654"",""articles_with_PRISMA_reasons!B2:B2113"")),F599
=""Include"",FILTER(IMPORTRANGE("&amp;"""https://docs.google.com/spreadsheets/d/1kGrh75X1cNR1D7_FcY9zMnHP8iPO4M5RCRjy6nZY0TY/edit#gid=0"",""Table 1: Study characteristics!A4:A171""), $A599=IMPORTRANGE(""https://docs.google.com/spreadsheets/d/1kGrh75X1cNR1D7_FcY9zMnHP8iPO4M5RCRjy6nZY0TY/edit#gi"&amp;"d=0"",""Table 1: Study characteristics!B4:B171""))
)"),"wrong population")</f>
        <v>wrong population</v>
      </c>
    </row>
    <row r="600">
      <c r="A600" s="4" t="str">
        <f>IFERROR(__xludf.DUMMYFUNCTION("""COMPUTED_VALUE"""),"Deciding on Appropriate Telemetric Intracranial Pressure Monitoring System")</f>
        <v>Deciding on Appropriate Telemetric Intracranial Pressure Monitoring System</v>
      </c>
      <c r="B600" s="5" t="str">
        <f>IFERROR(__xludf.DUMMYFUNCTION("LEFT(FILTER(IMPORTRANGE(""https://docs.google.com/spreadsheets/d/1BJSV3WBYJGRhQ6zExamkszQ5VutGIcaQqmbD9ZTVXMQ/edit#gid=1251630045"",""articles_with_PRISMA_reasons!K2:K2113""), $A600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$A600=IMPORTRANGE(""https://docs.google.com/spreadsheets/d/1BJSV3WBYJGRhQ6zExamkszQ5VutGIcaQqmbD9ZTVXMQ/edit#gid=1251630045"",""articles_with_PRISMA_reasons!B2:B2113"")))-1)"),"Norager")</f>
        <v>Norager</v>
      </c>
      <c r="C600" s="6">
        <f>IFERROR(__xludf.DUMMYFUNCTION("FILTER(IMPORTRANGE(""https://docs.google.com/spreadsheets/d/1BJSV3WBYJGRhQ6zExamkszQ5VutGIcaQqmbD9ZTVXMQ/edit#gid=1251630045"",""articles_with_PRISMA_reasons!C2:C2113""), $A600=IMPORTRANGE(""https://docs.google.com/spreadsheets/d/1BJSV3WBYJGRhQ6zExamkszQ5"&amp;"VutGIcaQqmbD9ZTVXMQ/edit#gid=1251630045"",""articles_with_PRISMA_reasons!B2:B2113""))"),2019.0)</f>
        <v>2019</v>
      </c>
      <c r="D600" s="5" t="str">
        <f>IFERROR(__xludf.DUMMYFUNCTION("IFS(AND(
FILTER(IMPORTRANGE(""https://docs.google.com/spreadsheets/d/1BJSV3WBYJGRhQ6zExamkszQ5VutGIcaQqmbD9ZTVXMQ/edit#gid=1251630045"",""articles_with_PRISMA_reasons!Y2:Y2113""), $A600=IMPORTRANGE(""https://docs.google.com/spreadsheets/d/1BJSV3WBYJGRhQ6z"&amp;"ExamkszQ5VutGIcaQqmbD9ZTVXMQ/edit#gid=1251630045"",""articles_with_PRISMA_reasons!B2:B2113""))&gt;=2,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$A600=IMPORTRANGE(""https://docs.google.com/spreadsheets/d/1BJSV3WBYJGRhQ6zExamkszQ5VutGIcaQqmbD9ZTVXMQ/edit#gid=1251630045"",""articles_with_PRISMA_reasons!B2:B2113""))&lt;2),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$A600=IMPORTRANGE(""https://docs.google.com/spreadsheets/d/1BJSV3WBYJGRhQ6zExamkszQ5VutGIcaQqmbD9ZTVXMQ/edit#gid=1251630045"",""arti"&amp;"cles_with_PRISMA_reasons!B2:B2113""))&lt;2,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$A600=IMPORTRANGE(""https://docs.google.com"&amp;"/spreadsheets/d/1BJSV3WBYJGRhQ6zExamkszQ5VutGIcaQqmbD9ZTVXMQ/edit#gid=1251630045"",""articles_with_PRISMA_reasons!B2:B2113""))&gt;=2),
""Exclude""
)"),"Exclude")</f>
        <v>Exclude</v>
      </c>
      <c r="E600" s="5" t="str">
        <f>IFERROR(__xludf.DUMMYFUNCTION("IFS(
D600=""Exclude"",""Exclude"",
AND(
FILTER(IMPORTRANGE(""https://docs.google.com/spreadsheets/d/1qpEmbGH0JjaJbUdp21-y2cPbobDbMjr09BbtdKROZWc/edit#gid=1444865654"",""articles_with_PRISMA_reasons!W2:W2113""), $A600=IMPORTRANGE(""https://docs.google.com/"&amp;"spreadsheets/d/1qpEmbGH0JjaJbUdp21-y2cPbobDbMjr09BbtdKROZWc/edit#gid=1444865654"",""articles_with_PRISMA_reasons!B2:B2113""))&gt;=2,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$A600=IMPORTRANGE(""https://docs.google.com/spreadsheets/d/1qpEmbGH0JjaJbUdp21-y2cPbobDbMjr09BbtdKROZWc/edit#gid=1444865654"",""articles_with_PRISMA_reasons!B2:B2113""))&lt;2),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$A600=IMPORTRANGE(""https://docs.google.com/spreadsheets/d/1qpEmbGH0JjaJbUdp21-y2cPbobDbMjr09BbtdKRO"&amp;"ZWc/edit#gid=1444865654"",""articles_with_PRISMA_reasons!B2:B2113""))&lt;2,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$A600=IMPOR"&amp;"TRANGE(""https://docs.google.com/spreadsheets/d/1qpEmbGH0JjaJbUdp21-y2cPbobDbMjr09BbtdKROZWc/edit#gid=1444865654"",""articles_with_PRISMA_reasons!B2:B2113""))&gt;=2),
""Exclude""
)"),"Exclude")</f>
        <v>Exclude</v>
      </c>
      <c r="F600" s="5" t="str">
        <f>IFERROR(__xludf.DUMMYFUNCTION("IFS(
E600=""Exclude"",""Exclude"",
AND(
COUNTIF(
IMPORTRANGE(""https://docs.google.com/spreadsheets/d/1kGrh75X1cNR1D7_FcY9zMnHP8iPO4M5RCRjy6nZY0TY/edit#gid=0"",""Table 1: Study characteristics!B4:B171""),A600)&gt;0,
COUNTIF(Studies!$A$2:$A$85,FILTER(IMPORTRA"&amp;"NGE(""https://docs.google.com/spreadsheets/d/1kGrh75X1cNR1D7_FcY9zMnHP8iPO4M5RCRjy6nZY0TY/edit#gid=0"",""Table 1: Study characteristics!A4:A171""), $A600=IMPORTRANGE(""https://docs.google.com/spreadsheets/d/1kGrh75X1cNR1D7_FcY9zMnHP8iPO4M5RCRjy6nZY0TY/edi"&amp;"t#gid=0"",""Table 1: Study characteristics!B4:B171"")))&gt;0
),
""Include""
)"),"Exclude")</f>
        <v>Exclude</v>
      </c>
      <c r="G600" s="5" t="str">
        <f>IFERROR(__xludf.DUMMYFUNCTION("IFS(
D600=""Exclude"",
FILTER(IMPORTRANGE(""https://docs.google.com/spreadsheets/d/1BJSV3WBYJGRhQ6zExamkszQ5VutGIcaQqmbD9ZTVXMQ/edit#gid=1251630045"",""articles_with_PRISMA_reasons!AB2:AB2113""), $A600=IMPORTRANGE(""https://docs.google.com/spreadsheets/d/"&amp;"1BJSV3WBYJGRhQ6zExamkszQ5VutGIcaQqmbD9ZTVXMQ/edit#gid=1251630045"",""articles_with_PRISMA_reasons!B2:B2113"")),
E600=""Exclude"",
FILTER(IMPORTRANGE(""https://docs.google.com/spreadsheets/d/1qpEmbGH0JjaJbUdp21-y2cPbobDbMjr09BbtdKROZWc/edit#gid=1444865654"&amp;""",""articles_with_PRISMA_reasons!Z2:Z2113""), $A600=IMPORTRANGE(""https://docs.google.com/spreadsheets/d/1qpEmbGH0JjaJbUdp21-y2cPbobDbMjr09BbtdKROZWc/edit#gid=1444865654"",""articles_with_PRISMA_reasons!B2:B2113"")),F600
=""Include"",FILTER(IMPORTRANGE("&amp;"""https://docs.google.com/spreadsheets/d/1kGrh75X1cNR1D7_FcY9zMnHP8iPO4M5RCRjy6nZY0TY/edit#gid=0"",""Table 1: Study characteristics!A4:A171""), $A600=IMPORTRANGE(""https://docs.google.com/spreadsheets/d/1kGrh75X1cNR1D7_FcY9zMnHP8iPO4M5RCRjy6nZY0TY/edit#gi"&amp;"d=0"",""Table 1: Study characteristics!B4:B171""))
)"),"wrong population")</f>
        <v>wrong population</v>
      </c>
    </row>
    <row r="601">
      <c r="A601" s="4" t="str">
        <f>IFERROR(__xludf.DUMMYFUNCTION("""COMPUTED_VALUE"""),"Decision-making for termination of pregnancies with fetal anomalies: Analysis of 53,000 pregnancies")</f>
        <v>Decision-making for termination of pregnancies with fetal anomalies: Analysis of 53,000 pregnancies</v>
      </c>
      <c r="B601" s="5" t="str">
        <f>IFERROR(__xludf.DUMMYFUNCTION("LEFT(FILTER(IMPORTRANGE(""https://docs.google.com/spreadsheets/d/1BJSV3WBYJGRhQ6zExamkszQ5VutGIcaQqmbD9ZTVXMQ/edit#gid=1251630045"",""articles_with_PRISMA_reasons!K2:K2113""), $A601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$A601=IMPORTRANGE(""https://docs.google.com/spreadsheets/d/1BJSV3WBYJGRhQ6zExamkszQ5VutGIcaQqmbD9ZTVXMQ/edit#gid=1251630045"",""articles_with_PRISMA_reasons!B2:B2113"")))-1)"),"Schechtman")</f>
        <v>Schechtman</v>
      </c>
      <c r="C601" s="6">
        <f>IFERROR(__xludf.DUMMYFUNCTION("FILTER(IMPORTRANGE(""https://docs.google.com/spreadsheets/d/1BJSV3WBYJGRhQ6zExamkszQ5VutGIcaQqmbD9ZTVXMQ/edit#gid=1251630045"",""articles_with_PRISMA_reasons!C2:C2113""), $A601=IMPORTRANGE(""https://docs.google.com/spreadsheets/d/1BJSV3WBYJGRhQ6zExamkszQ5"&amp;"VutGIcaQqmbD9ZTVXMQ/edit#gid=1251630045"",""articles_with_PRISMA_reasons!B2:B2113""))"),2002.0)</f>
        <v>2002</v>
      </c>
      <c r="D601" s="5" t="str">
        <f>IFERROR(__xludf.DUMMYFUNCTION("IFS(AND(
FILTER(IMPORTRANGE(""https://docs.google.com/spreadsheets/d/1BJSV3WBYJGRhQ6zExamkszQ5VutGIcaQqmbD9ZTVXMQ/edit#gid=1251630045"",""articles_with_PRISMA_reasons!Y2:Y2113""), $A601=IMPORTRANGE(""https://docs.google.com/spreadsheets/d/1BJSV3WBYJGRhQ6z"&amp;"ExamkszQ5VutGIcaQqmbD9ZTVXMQ/edit#gid=1251630045"",""articles_with_PRISMA_reasons!B2:B2113""))&gt;=2,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$A601=IMPORTRANGE(""https://docs.google.com/spreadsheets/d/1BJSV3WBYJGRhQ6zExamkszQ5VutGIcaQqmbD9ZTVXMQ/edit#gid=1251630045"",""articles_with_PRISMA_reasons!B2:B2113""))&lt;2),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$A601=IMPORTRANGE(""https://docs.google.com/spreadsheets/d/1BJSV3WBYJGRhQ6zExamkszQ5VutGIcaQqmbD9ZTVXMQ/edit#gid=1251630045"",""arti"&amp;"cles_with_PRISMA_reasons!B2:B2113""))&lt;2,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$A601=IMPORTRANGE(""https://docs.google.com"&amp;"/spreadsheets/d/1BJSV3WBYJGRhQ6zExamkszQ5VutGIcaQqmbD9ZTVXMQ/edit#gid=1251630045"",""articles_with_PRISMA_reasons!B2:B2113""))&gt;=2),
""Exclude""
)"),"Exclude")</f>
        <v>Exclude</v>
      </c>
      <c r="E601" s="5" t="str">
        <f>IFERROR(__xludf.DUMMYFUNCTION("IFS(
D601=""Exclude"",""Exclude"",
AND(
FILTER(IMPORTRANGE(""https://docs.google.com/spreadsheets/d/1qpEmbGH0JjaJbUdp21-y2cPbobDbMjr09BbtdKROZWc/edit#gid=1444865654"",""articles_with_PRISMA_reasons!W2:W2113""), $A601=IMPORTRANGE(""https://docs.google.com/"&amp;"spreadsheets/d/1qpEmbGH0JjaJbUdp21-y2cPbobDbMjr09BbtdKROZWc/edit#gid=1444865654"",""articles_with_PRISMA_reasons!B2:B2113""))&gt;=2,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$A601=IMPORTRANGE(""https://docs.google.com/spreadsheets/d/1qpEmbGH0JjaJbUdp21-y2cPbobDbMjr09BbtdKROZWc/edit#gid=1444865654"",""articles_with_PRISMA_reasons!B2:B2113""))&lt;2),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$A601=IMPORTRANGE(""https://docs.google.com/spreadsheets/d/1qpEmbGH0JjaJbUdp21-y2cPbobDbMjr09BbtdKRO"&amp;"ZWc/edit#gid=1444865654"",""articles_with_PRISMA_reasons!B2:B2113""))&lt;2,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$A601=IMPOR"&amp;"TRANGE(""https://docs.google.com/spreadsheets/d/1qpEmbGH0JjaJbUdp21-y2cPbobDbMjr09BbtdKROZWc/edit#gid=1444865654"",""articles_with_PRISMA_reasons!B2:B2113""))&gt;=2),
""Exclude""
)"),"Exclude")</f>
        <v>Exclude</v>
      </c>
      <c r="F601" s="5" t="str">
        <f>IFERROR(__xludf.DUMMYFUNCTION("IFS(
E601=""Exclude"",""Exclude"",
AND(
COUNTIF(
IMPORTRANGE(""https://docs.google.com/spreadsheets/d/1kGrh75X1cNR1D7_FcY9zMnHP8iPO4M5RCRjy6nZY0TY/edit#gid=0"",""Table 1: Study characteristics!B4:B171""),A601)&gt;0,
COUNTIF(Studies!$A$2:$A$85,FILTER(IMPORTRA"&amp;"NGE(""https://docs.google.com/spreadsheets/d/1kGrh75X1cNR1D7_FcY9zMnHP8iPO4M5RCRjy6nZY0TY/edit#gid=0"",""Table 1: Study characteristics!A4:A171""), $A601=IMPORTRANGE(""https://docs.google.com/spreadsheets/d/1kGrh75X1cNR1D7_FcY9zMnHP8iPO4M5RCRjy6nZY0TY/edi"&amp;"t#gid=0"",""Table 1: Study characteristics!B4:B171"")))&gt;0
),
""Include""
)"),"Exclude")</f>
        <v>Exclude</v>
      </c>
      <c r="G601" s="5" t="str">
        <f>IFERROR(__xludf.DUMMYFUNCTION("IFS(
D601=""Exclude"",
FILTER(IMPORTRANGE(""https://docs.google.com/spreadsheets/d/1BJSV3WBYJGRhQ6zExamkszQ5VutGIcaQqmbD9ZTVXMQ/edit#gid=1251630045"",""articles_with_PRISMA_reasons!AB2:AB2113""), $A601=IMPORTRANGE(""https://docs.google.com/spreadsheets/d/"&amp;"1BJSV3WBYJGRhQ6zExamkszQ5VutGIcaQqmbD9ZTVXMQ/edit#gid=1251630045"",""articles_with_PRISMA_reasons!B2:B2113"")),
E601=""Exclude"",
FILTER(IMPORTRANGE(""https://docs.google.com/spreadsheets/d/1qpEmbGH0JjaJbUdp21-y2cPbobDbMjr09BbtdKROZWc/edit#gid=1444865654"&amp;""",""articles_with_PRISMA_reasons!Z2:Z2113""), $A601=IMPORTRANGE(""https://docs.google.com/spreadsheets/d/1qpEmbGH0JjaJbUdp21-y2cPbobDbMjr09BbtdKROZWc/edit#gid=1444865654"",""articles_with_PRISMA_reasons!B2:B2113"")),F601
=""Include"",FILTER(IMPORTRANGE("&amp;"""https://docs.google.com/spreadsheets/d/1kGrh75X1cNR1D7_FcY9zMnHP8iPO4M5RCRjy6nZY0TY/edit#gid=0"",""Table 1: Study characteristics!A4:A171""), $A601=IMPORTRANGE(""https://docs.google.com/spreadsheets/d/1kGrh75X1cNR1D7_FcY9zMnHP8iPO4M5RCRjy6nZY0TY/edit#gi"&amp;"d=0"",""Table 1: Study characteristics!B4:B171""))
)"),"wrong population")</f>
        <v>wrong population</v>
      </c>
    </row>
    <row r="602">
      <c r="A602" s="4" t="str">
        <f>IFERROR(__xludf.DUMMYFUNCTION("""COMPUTED_VALUE"""),"Decline in the incidence of neural tube defects after the national fortification of flour (1997-2005)")</f>
        <v>Decline in the incidence of neural tube defects after the national fortification of flour (1997-2005)</v>
      </c>
      <c r="B602" s="5" t="str">
        <f>IFERROR(__xludf.DUMMYFUNCTION("LEFT(FILTER(IMPORTRANGE(""https://docs.google.com/spreadsheets/d/1BJSV3WBYJGRhQ6zExamkszQ5VutGIcaQqmbD9ZTVXMQ/edit#gid=1251630045"",""articles_with_PRISMA_reasons!K2:K2113""), $A602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$A602=IMPORTRANGE(""https://docs.google.com/spreadsheets/d/1BJSV3WBYJGRhQ6zExamkszQ5VutGIcaQqmbD9ZTVXMQ/edit#gid=1251630045"",""articles_with_PRISMA_reasons!B2:B2113"")))-1)"),"Safdar")</f>
        <v>Safdar</v>
      </c>
      <c r="C602" s="6">
        <f>IFERROR(__xludf.DUMMYFUNCTION("FILTER(IMPORTRANGE(""https://docs.google.com/spreadsheets/d/1BJSV3WBYJGRhQ6zExamkszQ5VutGIcaQqmbD9ZTVXMQ/edit#gid=1251630045"",""articles_with_PRISMA_reasons!C2:C2113""), $A602=IMPORTRANGE(""https://docs.google.com/spreadsheets/d/1BJSV3WBYJGRhQ6zExamkszQ5"&amp;"VutGIcaQqmbD9ZTVXMQ/edit#gid=1251630045"",""articles_with_PRISMA_reasons!B2:B2113""))"),2007.0)</f>
        <v>2007</v>
      </c>
      <c r="D602" s="5" t="str">
        <f>IFERROR(__xludf.DUMMYFUNCTION("IFS(AND(
FILTER(IMPORTRANGE(""https://docs.google.com/spreadsheets/d/1BJSV3WBYJGRhQ6zExamkszQ5VutGIcaQqmbD9ZTVXMQ/edit#gid=1251630045"",""articles_with_PRISMA_reasons!Y2:Y2113""), $A602=IMPORTRANGE(""https://docs.google.com/spreadsheets/d/1BJSV3WBYJGRhQ6z"&amp;"ExamkszQ5VutGIcaQqmbD9ZTVXMQ/edit#gid=1251630045"",""articles_with_PRISMA_reasons!B2:B2113""))&gt;=2,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$A602=IMPORTRANGE(""https://docs.google.com/spreadsheets/d/1BJSV3WBYJGRhQ6zExamkszQ5VutGIcaQqmbD9ZTVXMQ/edit#gid=1251630045"",""articles_with_PRISMA_reasons!B2:B2113""))&lt;2),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$A602=IMPORTRANGE(""https://docs.google.com/spreadsheets/d/1BJSV3WBYJGRhQ6zExamkszQ5VutGIcaQqmbD9ZTVXMQ/edit#gid=1251630045"",""arti"&amp;"cles_with_PRISMA_reasons!B2:B2113""))&lt;2,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$A602=IMPORTRANGE(""https://docs.google.com"&amp;"/spreadsheets/d/1BJSV3WBYJGRhQ6zExamkszQ5VutGIcaQqmbD9ZTVXMQ/edit#gid=1251630045"",""articles_with_PRISMA_reasons!B2:B2113""))&gt;=2),
""Exclude""
)"),"Include")</f>
        <v>Include</v>
      </c>
      <c r="E602" s="5" t="str">
        <f>IFERROR(__xludf.DUMMYFUNCTION("IFS(
D602=""Exclude"",""Exclude"",
AND(
FILTER(IMPORTRANGE(""https://docs.google.com/spreadsheets/d/1qpEmbGH0JjaJbUdp21-y2cPbobDbMjr09BbtdKROZWc/edit#gid=1444865654"",""articles_with_PRISMA_reasons!W2:W2113""), $A602=IMPORTRANGE(""https://docs.google.com/"&amp;"spreadsheets/d/1qpEmbGH0JjaJbUdp21-y2cPbobDbMjr09BbtdKROZWc/edit#gid=1444865654"",""articles_with_PRISMA_reasons!B2:B2113""))&gt;=2,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$A602=IMPORTRANGE(""https://docs.google.com/spreadsheets/d/1qpEmbGH0JjaJbUdp21-y2cPbobDbMjr09BbtdKROZWc/edit#gid=1444865654"",""articles_with_PRISMA_reasons!B2:B2113""))&lt;2),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$A602=IMPORTRANGE(""https://docs.google.com/spreadsheets/d/1qpEmbGH0JjaJbUdp21-y2cPbobDbMjr09BbtdKRO"&amp;"ZWc/edit#gid=1444865654"",""articles_with_PRISMA_reasons!B2:B2113""))&lt;2,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$A602=IMPOR"&amp;"TRANGE(""https://docs.google.com/spreadsheets/d/1qpEmbGH0JjaJbUdp21-y2cPbobDbMjr09BbtdKROZWc/edit#gid=1444865654"",""articles_with_PRISMA_reasons!B2:B2113""))&gt;=2),
""Exclude""
)"),"Include")</f>
        <v>Include</v>
      </c>
      <c r="F602" s="2" t="s">
        <v>8</v>
      </c>
      <c r="G602" s="2" t="s">
        <v>17</v>
      </c>
    </row>
    <row r="603">
      <c r="A603" s="4" t="str">
        <f>IFERROR(__xludf.DUMMYFUNCTION("""COMPUTED_VALUE"""),"Decrease in size of intrathoracic meningocele following insertion of a ventriculo-venous shunt")</f>
        <v>Decrease in size of intrathoracic meningocele following insertion of a ventriculo-venous shunt</v>
      </c>
      <c r="B603" s="5" t="str">
        <f>IFERROR(__xludf.DUMMYFUNCTION("LEFT(FILTER(IMPORTRANGE(""https://docs.google.com/spreadsheets/d/1BJSV3WBYJGRhQ6zExamkszQ5VutGIcaQqmbD9ZTVXMQ/edit#gid=1251630045"",""articles_with_PRISMA_reasons!K2:K2113""), $A603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$A603=IMPORTRANGE(""https://docs.google.com/spreadsheets/d/1BJSV3WBYJGRhQ6zExamkszQ5VutGIcaQqmbD9ZTVXMQ/edit#gid=1251630045"",""articles_with_PRISMA_reasons!B2:B2113"")))-1)"),"Mahboubi")</f>
        <v>Mahboubi</v>
      </c>
      <c r="C603" s="6">
        <f>IFERROR(__xludf.DUMMYFUNCTION("FILTER(IMPORTRANGE(""https://docs.google.com/spreadsheets/d/1BJSV3WBYJGRhQ6zExamkszQ5VutGIcaQqmbD9ZTVXMQ/edit#gid=1251630045"",""articles_with_PRISMA_reasons!C2:C2113""), $A603=IMPORTRANGE(""https://docs.google.com/spreadsheets/d/1BJSV3WBYJGRhQ6zExamkszQ5"&amp;"VutGIcaQqmbD9ZTVXMQ/edit#gid=1251630045"",""articles_with_PRISMA_reasons!B2:B2113""))"),1977.0)</f>
        <v>1977</v>
      </c>
      <c r="D603" s="5" t="str">
        <f>IFERROR(__xludf.DUMMYFUNCTION("IFS(AND(
FILTER(IMPORTRANGE(""https://docs.google.com/spreadsheets/d/1BJSV3WBYJGRhQ6zExamkszQ5VutGIcaQqmbD9ZTVXMQ/edit#gid=1251630045"",""articles_with_PRISMA_reasons!Y2:Y2113""), $A603=IMPORTRANGE(""https://docs.google.com/spreadsheets/d/1BJSV3WBYJGRhQ6z"&amp;"ExamkszQ5VutGIcaQqmbD9ZTVXMQ/edit#gid=1251630045"",""articles_with_PRISMA_reasons!B2:B2113""))&gt;=2,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$A603=IMPORTRANGE(""https://docs.google.com/spreadsheets/d/1BJSV3WBYJGRhQ6zExamkszQ5VutGIcaQqmbD9ZTVXMQ/edit#gid=1251630045"",""articles_with_PRISMA_reasons!B2:B2113""))&lt;2),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$A603=IMPORTRANGE(""https://docs.google.com/spreadsheets/d/1BJSV3WBYJGRhQ6zExamkszQ5VutGIcaQqmbD9ZTVXMQ/edit#gid=1251630045"",""arti"&amp;"cles_with_PRISMA_reasons!B2:B2113""))&lt;2,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$A603=IMPORTRANGE(""https://docs.google.com"&amp;"/spreadsheets/d/1BJSV3WBYJGRhQ6zExamkszQ5VutGIcaQqmbD9ZTVXMQ/edit#gid=1251630045"",""articles_with_PRISMA_reasons!B2:B2113""))&gt;=2),
""Exclude""
)"),"Exclude")</f>
        <v>Exclude</v>
      </c>
      <c r="E603" s="5" t="str">
        <f>IFERROR(__xludf.DUMMYFUNCTION("IFS(
D603=""Exclude"",""Exclude"",
AND(
FILTER(IMPORTRANGE(""https://docs.google.com/spreadsheets/d/1qpEmbGH0JjaJbUdp21-y2cPbobDbMjr09BbtdKROZWc/edit#gid=1444865654"",""articles_with_PRISMA_reasons!W2:W2113""), $A603=IMPORTRANGE(""https://docs.google.com/"&amp;"spreadsheets/d/1qpEmbGH0JjaJbUdp21-y2cPbobDbMjr09BbtdKROZWc/edit#gid=1444865654"",""articles_with_PRISMA_reasons!B2:B2113""))&gt;=2,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$A603=IMPORTRANGE(""https://docs.google.com/spreadsheets/d/1qpEmbGH0JjaJbUdp21-y2cPbobDbMjr09BbtdKROZWc/edit#gid=1444865654"",""articles_with_PRISMA_reasons!B2:B2113""))&lt;2),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$A603=IMPORTRANGE(""https://docs.google.com/spreadsheets/d/1qpEmbGH0JjaJbUdp21-y2cPbobDbMjr09BbtdKRO"&amp;"ZWc/edit#gid=1444865654"",""articles_with_PRISMA_reasons!B2:B2113""))&lt;2,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$A603=IMPOR"&amp;"TRANGE(""https://docs.google.com/spreadsheets/d/1qpEmbGH0JjaJbUdp21-y2cPbobDbMjr09BbtdKROZWc/edit#gid=1444865654"",""articles_with_PRISMA_reasons!B2:B2113""))&gt;=2),
""Exclude""
)"),"Exclude")</f>
        <v>Exclude</v>
      </c>
      <c r="F603" s="5" t="str">
        <f>IFERROR(__xludf.DUMMYFUNCTION("IFS(
E603=""Exclude"",""Exclude"",
AND(
COUNTIF(
IMPORTRANGE(""https://docs.google.com/spreadsheets/d/1kGrh75X1cNR1D7_FcY9zMnHP8iPO4M5RCRjy6nZY0TY/edit#gid=0"",""Table 1: Study characteristics!B4:B171""),A603)&gt;0,
COUNTIF(Studies!$A$2:$A$85,FILTER(IMPORTRA"&amp;"NGE(""https://docs.google.com/spreadsheets/d/1kGrh75X1cNR1D7_FcY9zMnHP8iPO4M5RCRjy6nZY0TY/edit#gid=0"",""Table 1: Study characteristics!A4:A171""), $A603=IMPORTRANGE(""https://docs.google.com/spreadsheets/d/1kGrh75X1cNR1D7_FcY9zMnHP8iPO4M5RCRjy6nZY0TY/edi"&amp;"t#gid=0"",""Table 1: Study characteristics!B4:B171"")))&gt;0
),
""Include""
)"),"Exclude")</f>
        <v>Exclude</v>
      </c>
      <c r="G603" s="5" t="str">
        <f>IFERROR(__xludf.DUMMYFUNCTION("IFS(
D603=""Exclude"",
FILTER(IMPORTRANGE(""https://docs.google.com/spreadsheets/d/1BJSV3WBYJGRhQ6zExamkszQ5VutGIcaQqmbD9ZTVXMQ/edit#gid=1251630045"",""articles_with_PRISMA_reasons!AB2:AB2113""), $A603=IMPORTRANGE(""https://docs.google.com/spreadsheets/d/"&amp;"1BJSV3WBYJGRhQ6zExamkszQ5VutGIcaQqmbD9ZTVXMQ/edit#gid=1251630045"",""articles_with_PRISMA_reasons!B2:B2113"")),
E603=""Exclude"",
FILTER(IMPORTRANGE(""https://docs.google.com/spreadsheets/d/1qpEmbGH0JjaJbUdp21-y2cPbobDbMjr09BbtdKROZWc/edit#gid=1444865654"&amp;""",""articles_with_PRISMA_reasons!Z2:Z2113""), $A603=IMPORTRANGE(""https://docs.google.com/spreadsheets/d/1qpEmbGH0JjaJbUdp21-y2cPbobDbMjr09BbtdKROZWc/edit#gid=1444865654"",""articles_with_PRISMA_reasons!B2:B2113"")),F603
=""Include"",FILTER(IMPORTRANGE("&amp;"""https://docs.google.com/spreadsheets/d/1kGrh75X1cNR1D7_FcY9zMnHP8iPO4M5RCRjy6nZY0TY/edit#gid=0"",""Table 1: Study characteristics!A4:A171""), $A603=IMPORTRANGE(""https://docs.google.com/spreadsheets/d/1kGrh75X1cNR1D7_FcY9zMnHP8iPO4M5RCRjy6nZY0TY/edit#gi"&amp;"d=0"",""Table 1: Study characteristics!B4:B171""))
)"),"wrong publication type")</f>
        <v>wrong publication type</v>
      </c>
    </row>
    <row r="604">
      <c r="A604" s="4" t="str">
        <f>IFERROR(__xludf.DUMMYFUNCTION("""COMPUTED_VALUE"""),"Decreased Levels of Nasal Nitric Oxide in Children with Midline Neuroanatomical Anomalies: A Possible Connection between Ciliary Dysfunction and Isolated Nervous System Defects")</f>
        <v>Decreased Levels of Nasal Nitric Oxide in Children with Midline Neuroanatomical Anomalies: A Possible Connection between Ciliary Dysfunction and Isolated Nervous System Defects</v>
      </c>
      <c r="B604" s="5" t="str">
        <f>IFERROR(__xludf.DUMMYFUNCTION("LEFT(FILTER(IMPORTRANGE(""https://docs.google.com/spreadsheets/d/1BJSV3WBYJGRhQ6zExamkszQ5VutGIcaQqmbD9ZTVXMQ/edit#gid=1251630045"",""articles_with_PRISMA_reasons!K2:K2113""), $A604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$A604=IMPORTRANGE(""https://docs.google.com/spreadsheets/d/1BJSV3WBYJGRhQ6zExamkszQ5VutGIcaQqmbD9ZTVXMQ/edit#gid=1251630045"",""articles_with_PRISMA_reasons!B2:B2113"")))-1)"),"Goez")</f>
        <v>Goez</v>
      </c>
      <c r="C604" s="6">
        <f>IFERROR(__xludf.DUMMYFUNCTION("FILTER(IMPORTRANGE(""https://docs.google.com/spreadsheets/d/1BJSV3WBYJGRhQ6zExamkszQ5VutGIcaQqmbD9ZTVXMQ/edit#gid=1251630045"",""articles_with_PRISMA_reasons!C2:C2113""), $A604=IMPORTRANGE(""https://docs.google.com/spreadsheets/d/1BJSV3WBYJGRhQ6zExamkszQ5"&amp;"VutGIcaQqmbD9ZTVXMQ/edit#gid=1251630045"",""articles_with_PRISMA_reasons!B2:B2113""))"),2015.0)</f>
        <v>2015</v>
      </c>
      <c r="D604" s="5" t="str">
        <f>IFERROR(__xludf.DUMMYFUNCTION("IFS(AND(
FILTER(IMPORTRANGE(""https://docs.google.com/spreadsheets/d/1BJSV3WBYJGRhQ6zExamkszQ5VutGIcaQqmbD9ZTVXMQ/edit#gid=1251630045"",""articles_with_PRISMA_reasons!Y2:Y2113""), $A604=IMPORTRANGE(""https://docs.google.com/spreadsheets/d/1BJSV3WBYJGRhQ6z"&amp;"ExamkszQ5VutGIcaQqmbD9ZTVXMQ/edit#gid=1251630045"",""articles_with_PRISMA_reasons!B2:B2113""))&gt;=2,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$A604=IMPORTRANGE(""https://docs.google.com/spreadsheets/d/1BJSV3WBYJGRhQ6zExamkszQ5VutGIcaQqmbD9ZTVXMQ/edit#gid=1251630045"",""articles_with_PRISMA_reasons!B2:B2113""))&lt;2),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$A604=IMPORTRANGE(""https://docs.google.com/spreadsheets/d/1BJSV3WBYJGRhQ6zExamkszQ5VutGIcaQqmbD9ZTVXMQ/edit#gid=1251630045"",""arti"&amp;"cles_with_PRISMA_reasons!B2:B2113""))&lt;2,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$A604=IMPORTRANGE(""https://docs.google.com"&amp;"/spreadsheets/d/1BJSV3WBYJGRhQ6zExamkszQ5VutGIcaQqmbD9ZTVXMQ/edit#gid=1251630045"",""articles_with_PRISMA_reasons!B2:B2113""))&gt;=2),
""Exclude""
)"),"Exclude")</f>
        <v>Exclude</v>
      </c>
      <c r="E604" s="5" t="str">
        <f>IFERROR(__xludf.DUMMYFUNCTION("IFS(
D604=""Exclude"",""Exclude"",
AND(
FILTER(IMPORTRANGE(""https://docs.google.com/spreadsheets/d/1qpEmbGH0JjaJbUdp21-y2cPbobDbMjr09BbtdKROZWc/edit#gid=1444865654"",""articles_with_PRISMA_reasons!W2:W2113""), $A604=IMPORTRANGE(""https://docs.google.com/"&amp;"spreadsheets/d/1qpEmbGH0JjaJbUdp21-y2cPbobDbMjr09BbtdKROZWc/edit#gid=1444865654"",""articles_with_PRISMA_reasons!B2:B2113""))&gt;=2,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$A604=IMPORTRANGE(""https://docs.google.com/spreadsheets/d/1qpEmbGH0JjaJbUdp21-y2cPbobDbMjr09BbtdKROZWc/edit#gid=1444865654"",""articles_with_PRISMA_reasons!B2:B2113""))&lt;2),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$A604=IMPORTRANGE(""https://docs.google.com/spreadsheets/d/1qpEmbGH0JjaJbUdp21-y2cPbobDbMjr09BbtdKRO"&amp;"ZWc/edit#gid=1444865654"",""articles_with_PRISMA_reasons!B2:B2113""))&lt;2,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$A604=IMPOR"&amp;"TRANGE(""https://docs.google.com/spreadsheets/d/1qpEmbGH0JjaJbUdp21-y2cPbobDbMjr09BbtdKROZWc/edit#gid=1444865654"",""articles_with_PRISMA_reasons!B2:B2113""))&gt;=2),
""Exclude""
)"),"Exclude")</f>
        <v>Exclude</v>
      </c>
      <c r="F604" s="5" t="str">
        <f>IFERROR(__xludf.DUMMYFUNCTION("IFS(
E604=""Exclude"",""Exclude"",
AND(
COUNTIF(
IMPORTRANGE(""https://docs.google.com/spreadsheets/d/1kGrh75X1cNR1D7_FcY9zMnHP8iPO4M5RCRjy6nZY0TY/edit#gid=0"",""Table 1: Study characteristics!B4:B171""),A604)&gt;0,
COUNTIF(Studies!$A$2:$A$85,FILTER(IMPORTRA"&amp;"NGE(""https://docs.google.com/spreadsheets/d/1kGrh75X1cNR1D7_FcY9zMnHP8iPO4M5RCRjy6nZY0TY/edit#gid=0"",""Table 1: Study characteristics!A4:A171""), $A604=IMPORTRANGE(""https://docs.google.com/spreadsheets/d/1kGrh75X1cNR1D7_FcY9zMnHP8iPO4M5RCRjy6nZY0TY/edi"&amp;"t#gid=0"",""Table 1: Study characteristics!B4:B171"")))&gt;0
),
""Include""
)"),"Exclude")</f>
        <v>Exclude</v>
      </c>
      <c r="G604" s="5" t="str">
        <f>IFERROR(__xludf.DUMMYFUNCTION("IFS(
D604=""Exclude"",
FILTER(IMPORTRANGE(""https://docs.google.com/spreadsheets/d/1BJSV3WBYJGRhQ6zExamkszQ5VutGIcaQqmbD9ZTVXMQ/edit#gid=1251630045"",""articles_with_PRISMA_reasons!AB2:AB2113""), $A604=IMPORTRANGE(""https://docs.google.com/spreadsheets/d/"&amp;"1BJSV3WBYJGRhQ6zExamkszQ5VutGIcaQqmbD9ZTVXMQ/edit#gid=1251630045"",""articles_with_PRISMA_reasons!B2:B2113"")),
E604=""Exclude"",
FILTER(IMPORTRANGE(""https://docs.google.com/spreadsheets/d/1qpEmbGH0JjaJbUdp21-y2cPbobDbMjr09BbtdKROZWc/edit#gid=1444865654"&amp;""",""articles_with_PRISMA_reasons!Z2:Z2113""), $A604=IMPORTRANGE(""https://docs.google.com/spreadsheets/d/1qpEmbGH0JjaJbUdp21-y2cPbobDbMjr09BbtdKROZWc/edit#gid=1444865654"",""articles_with_PRISMA_reasons!B2:B2113"")),F604
=""Include"",FILTER(IMPORTRANGE("&amp;"""https://docs.google.com/spreadsheets/d/1kGrh75X1cNR1D7_FcY9zMnHP8iPO4M5RCRjy6nZY0TY/edit#gid=0"",""Table 1: Study characteristics!A4:A171""), $A604=IMPORTRANGE(""https://docs.google.com/spreadsheets/d/1kGrh75X1cNR1D7_FcY9zMnHP8iPO4M5RCRjy6nZY0TY/edit#gi"&amp;"d=0"",""Table 1: Study characteristics!B4:B171""))
)"),"wrong population")</f>
        <v>wrong population</v>
      </c>
    </row>
    <row r="605">
      <c r="A605" s="4" t="str">
        <f>IFERROR(__xludf.DUMMYFUNCTION("""COMPUTED_VALUE"""),"Decreased urine output after surgery in a neonate")</f>
        <v>Decreased urine output after surgery in a neonate</v>
      </c>
      <c r="B605" s="5" t="str">
        <f>IFERROR(__xludf.DUMMYFUNCTION("LEFT(FILTER(IMPORTRANGE(""https://docs.google.com/spreadsheets/d/1BJSV3WBYJGRhQ6zExamkszQ5VutGIcaQqmbD9ZTVXMQ/edit#gid=1251630045"",""articles_with_PRISMA_reasons!K2:K2113""), $A605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$A605=IMPORTRANGE(""https://docs.google.com/spreadsheets/d/1BJSV3WBYJGRhQ6zExamkszQ5VutGIcaQqmbD9ZTVXMQ/edit#gid=1251630045"",""articles_with_PRISMA_reasons!B2:B2113"")))-1)"),"Gunter")</f>
        <v>Gunter</v>
      </c>
      <c r="C605" s="6">
        <f>IFERROR(__xludf.DUMMYFUNCTION("FILTER(IMPORTRANGE(""https://docs.google.com/spreadsheets/d/1BJSV3WBYJGRhQ6zExamkszQ5VutGIcaQqmbD9ZTVXMQ/edit#gid=1251630045"",""articles_with_PRISMA_reasons!C2:C2113""), $A605=IMPORTRANGE(""https://docs.google.com/spreadsheets/d/1BJSV3WBYJGRhQ6zExamkszQ5"&amp;"VutGIcaQqmbD9ZTVXMQ/edit#gid=1251630045"",""articles_with_PRISMA_reasons!B2:B2113""))"),1994.0)</f>
        <v>1994</v>
      </c>
      <c r="D605" s="5" t="str">
        <f>IFERROR(__xludf.DUMMYFUNCTION("IFS(AND(
FILTER(IMPORTRANGE(""https://docs.google.com/spreadsheets/d/1BJSV3WBYJGRhQ6zExamkszQ5VutGIcaQqmbD9ZTVXMQ/edit#gid=1251630045"",""articles_with_PRISMA_reasons!Y2:Y2113""), $A605=IMPORTRANGE(""https://docs.google.com/spreadsheets/d/1BJSV3WBYJGRhQ6z"&amp;"ExamkszQ5VutGIcaQqmbD9ZTVXMQ/edit#gid=1251630045"",""articles_with_PRISMA_reasons!B2:B2113""))&gt;=2,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$A605=IMPORTRANGE(""https://docs.google.com/spreadsheets/d/1BJSV3WBYJGRhQ6zExamkszQ5VutGIcaQqmbD9ZTVXMQ/edit#gid=1251630045"",""articles_with_PRISMA_reasons!B2:B2113""))&lt;2),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$A605=IMPORTRANGE(""https://docs.google.com/spreadsheets/d/1BJSV3WBYJGRhQ6zExamkszQ5VutGIcaQqmbD9ZTVXMQ/edit#gid=1251630045"",""arti"&amp;"cles_with_PRISMA_reasons!B2:B2113""))&lt;2,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$A605=IMPORTRANGE(""https://docs.google.com"&amp;"/spreadsheets/d/1BJSV3WBYJGRhQ6zExamkszQ5VutGIcaQqmbD9ZTVXMQ/edit#gid=1251630045"",""articles_with_PRISMA_reasons!B2:B2113""))&gt;=2),
""Exclude""
)"),"Exclude")</f>
        <v>Exclude</v>
      </c>
      <c r="E605" s="5" t="str">
        <f>IFERROR(__xludf.DUMMYFUNCTION("IFS(
D605=""Exclude"",""Exclude"",
AND(
FILTER(IMPORTRANGE(""https://docs.google.com/spreadsheets/d/1qpEmbGH0JjaJbUdp21-y2cPbobDbMjr09BbtdKROZWc/edit#gid=1444865654"",""articles_with_PRISMA_reasons!W2:W2113""), $A605=IMPORTRANGE(""https://docs.google.com/"&amp;"spreadsheets/d/1qpEmbGH0JjaJbUdp21-y2cPbobDbMjr09BbtdKROZWc/edit#gid=1444865654"",""articles_with_PRISMA_reasons!B2:B2113""))&gt;=2,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$A605=IMPORTRANGE(""https://docs.google.com/spreadsheets/d/1qpEmbGH0JjaJbUdp21-y2cPbobDbMjr09BbtdKROZWc/edit#gid=1444865654"",""articles_with_PRISMA_reasons!B2:B2113""))&lt;2),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$A605=IMPORTRANGE(""https://docs.google.com/spreadsheets/d/1qpEmbGH0JjaJbUdp21-y2cPbobDbMjr09BbtdKRO"&amp;"ZWc/edit#gid=1444865654"",""articles_with_PRISMA_reasons!B2:B2113""))&lt;2,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$A605=IMPOR"&amp;"TRANGE(""https://docs.google.com/spreadsheets/d/1qpEmbGH0JjaJbUdp21-y2cPbobDbMjr09BbtdKROZWc/edit#gid=1444865654"",""articles_with_PRISMA_reasons!B2:B2113""))&gt;=2),
""Exclude""
)"),"Exclude")</f>
        <v>Exclude</v>
      </c>
      <c r="F605" s="5" t="str">
        <f>IFERROR(__xludf.DUMMYFUNCTION("IFS(
E605=""Exclude"",""Exclude"",
AND(
COUNTIF(
IMPORTRANGE(""https://docs.google.com/spreadsheets/d/1kGrh75X1cNR1D7_FcY9zMnHP8iPO4M5RCRjy6nZY0TY/edit#gid=0"",""Table 1: Study characteristics!B4:B171""),A605)&gt;0,
COUNTIF(Studies!$A$2:$A$85,FILTER(IMPORTRA"&amp;"NGE(""https://docs.google.com/spreadsheets/d/1kGrh75X1cNR1D7_FcY9zMnHP8iPO4M5RCRjy6nZY0TY/edit#gid=0"",""Table 1: Study characteristics!A4:A171""), $A605=IMPORTRANGE(""https://docs.google.com/spreadsheets/d/1kGrh75X1cNR1D7_FcY9zMnHP8iPO4M5RCRjy6nZY0TY/edi"&amp;"t#gid=0"",""Table 1: Study characteristics!B4:B171"")))&gt;0
),
""Include""
)"),"Exclude")</f>
        <v>Exclude</v>
      </c>
      <c r="G605" s="5" t="str">
        <f>IFERROR(__xludf.DUMMYFUNCTION("IFS(
D605=""Exclude"",
FILTER(IMPORTRANGE(""https://docs.google.com/spreadsheets/d/1BJSV3WBYJGRhQ6zExamkszQ5VutGIcaQqmbD9ZTVXMQ/edit#gid=1251630045"",""articles_with_PRISMA_reasons!AB2:AB2113""), $A605=IMPORTRANGE(""https://docs.google.com/spreadsheets/d/"&amp;"1BJSV3WBYJGRhQ6zExamkszQ5VutGIcaQqmbD9ZTVXMQ/edit#gid=1251630045"",""articles_with_PRISMA_reasons!B2:B2113"")),
E605=""Exclude"",
FILTER(IMPORTRANGE(""https://docs.google.com/spreadsheets/d/1qpEmbGH0JjaJbUdp21-y2cPbobDbMjr09BbtdKROZWc/edit#gid=1444865654"&amp;""",""articles_with_PRISMA_reasons!Z2:Z2113""), $A605=IMPORTRANGE(""https://docs.google.com/spreadsheets/d/1qpEmbGH0JjaJbUdp21-y2cPbobDbMjr09BbtdKROZWc/edit#gid=1444865654"",""articles_with_PRISMA_reasons!B2:B2113"")),F605
=""Include"",FILTER(IMPORTRANGE("&amp;"""https://docs.google.com/spreadsheets/d/1kGrh75X1cNR1D7_FcY9zMnHP8iPO4M5RCRjy6nZY0TY/edit#gid=0"",""Table 1: Study characteristics!A4:A171""), $A605=IMPORTRANGE(""https://docs.google.com/spreadsheets/d/1kGrh75X1cNR1D7_FcY9zMnHP8iPO4M5RCRjy6nZY0TY/edit#gi"&amp;"d=0"",""Table 1: Study characteristics!B4:B171""))
)"),"wrong study design")</f>
        <v>wrong study design</v>
      </c>
    </row>
    <row r="606">
      <c r="A606" s="4" t="str">
        <f>IFERROR(__xludf.DUMMYFUNCTION("""COMPUTED_VALUE"""),"Deformities of the renal tract in children with meningomyelocele and hydrocephalus, compared with those of children showing no such central nervous system deformities")</f>
        <v>Deformities of the renal tract in children with meningomyelocele and hydrocephalus, compared with those of children showing no such central nervous system deformities</v>
      </c>
      <c r="B606" s="5" t="str">
        <f>IFERROR(__xludf.DUMMYFUNCTION("LEFT(FILTER(IMPORTRANGE(""https://docs.google.com/spreadsheets/d/1BJSV3WBYJGRhQ6zExamkszQ5VutGIcaQqmbD9ZTVXMQ/edit#gid=1251630045"",""articles_with_PRISMA_reasons!K2:K2113""), $A606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$A606=IMPORTRANGE(""https://docs.google.com/spreadsheets/d/1BJSV3WBYJGRhQ6zExamkszQ5VutGIcaQqmbD9ZTVXMQ/edit#gid=1251630045"",""articles_with_PRISMA_reasons!B2:B2113"")))-1)"),"Wilcock")</f>
        <v>Wilcock</v>
      </c>
      <c r="C606" s="6">
        <f>IFERROR(__xludf.DUMMYFUNCTION("FILTER(IMPORTRANGE(""https://docs.google.com/spreadsheets/d/1BJSV3WBYJGRhQ6zExamkszQ5VutGIcaQqmbD9ZTVXMQ/edit#gid=1251630045"",""articles_with_PRISMA_reasons!C2:C2113""), $A606=IMPORTRANGE(""https://docs.google.com/spreadsheets/d/1BJSV3WBYJGRhQ6zExamkszQ5"&amp;"VutGIcaQqmbD9ZTVXMQ/edit#gid=1251630045"",""articles_with_PRISMA_reasons!B2:B2113""))"),1970.0)</f>
        <v>1970</v>
      </c>
      <c r="D606" s="5" t="str">
        <f>IFERROR(__xludf.DUMMYFUNCTION("IFS(AND(
FILTER(IMPORTRANGE(""https://docs.google.com/spreadsheets/d/1BJSV3WBYJGRhQ6zExamkszQ5VutGIcaQqmbD9ZTVXMQ/edit#gid=1251630045"",""articles_with_PRISMA_reasons!Y2:Y2113""), $A606=IMPORTRANGE(""https://docs.google.com/spreadsheets/d/1BJSV3WBYJGRhQ6z"&amp;"ExamkszQ5VutGIcaQqmbD9ZTVXMQ/edit#gid=1251630045"",""articles_with_PRISMA_reasons!B2:B2113""))&gt;=2,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$A606=IMPORTRANGE(""https://docs.google.com/spreadsheets/d/1BJSV3WBYJGRhQ6zExamkszQ5VutGIcaQqmbD9ZTVXMQ/edit#gid=1251630045"",""articles_with_PRISMA_reasons!B2:B2113""))&lt;2),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$A606=IMPORTRANGE(""https://docs.google.com/spreadsheets/d/1BJSV3WBYJGRhQ6zExamkszQ5VutGIcaQqmbD9ZTVXMQ/edit#gid=1251630045"",""arti"&amp;"cles_with_PRISMA_reasons!B2:B2113""))&lt;2,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$A606=IMPORTRANGE(""https://docs.google.com"&amp;"/spreadsheets/d/1BJSV3WBYJGRhQ6zExamkszQ5VutGIcaQqmbD9ZTVXMQ/edit#gid=1251630045"",""articles_with_PRISMA_reasons!B2:B2113""))&gt;=2),
""Exclude""
)"),"Exclude")</f>
        <v>Exclude</v>
      </c>
      <c r="E606" s="5" t="str">
        <f>IFERROR(__xludf.DUMMYFUNCTION("IFS(
D606=""Exclude"",""Exclude"",
AND(
FILTER(IMPORTRANGE(""https://docs.google.com/spreadsheets/d/1qpEmbGH0JjaJbUdp21-y2cPbobDbMjr09BbtdKROZWc/edit#gid=1444865654"",""articles_with_PRISMA_reasons!W2:W2113""), $A606=IMPORTRANGE(""https://docs.google.com/"&amp;"spreadsheets/d/1qpEmbGH0JjaJbUdp21-y2cPbobDbMjr09BbtdKROZWc/edit#gid=1444865654"",""articles_with_PRISMA_reasons!B2:B2113""))&gt;=2,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$A606=IMPORTRANGE(""https://docs.google.com/spreadsheets/d/1qpEmbGH0JjaJbUdp21-y2cPbobDbMjr09BbtdKROZWc/edit#gid=1444865654"",""articles_with_PRISMA_reasons!B2:B2113""))&lt;2),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$A606=IMPORTRANGE(""https://docs.google.com/spreadsheets/d/1qpEmbGH0JjaJbUdp21-y2cPbobDbMjr09BbtdKRO"&amp;"ZWc/edit#gid=1444865654"",""articles_with_PRISMA_reasons!B2:B2113""))&lt;2,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$A606=IMPOR"&amp;"TRANGE(""https://docs.google.com/spreadsheets/d/1qpEmbGH0JjaJbUdp21-y2cPbobDbMjr09BbtdKROZWc/edit#gid=1444865654"",""articles_with_PRISMA_reasons!B2:B2113""))&gt;=2),
""Exclude""
)"),"Exclude")</f>
        <v>Exclude</v>
      </c>
      <c r="F606" s="5" t="str">
        <f>IFERROR(__xludf.DUMMYFUNCTION("IFS(
E606=""Exclude"",""Exclude"",
AND(
COUNTIF(
IMPORTRANGE(""https://docs.google.com/spreadsheets/d/1kGrh75X1cNR1D7_FcY9zMnHP8iPO4M5RCRjy6nZY0TY/edit#gid=0"",""Table 1: Study characteristics!B4:B171""),A606)&gt;0,
COUNTIF(Studies!$A$2:$A$85,FILTER(IMPORTRA"&amp;"NGE(""https://docs.google.com/spreadsheets/d/1kGrh75X1cNR1D7_FcY9zMnHP8iPO4M5RCRjy6nZY0TY/edit#gid=0"",""Table 1: Study characteristics!A4:A171""), $A606=IMPORTRANGE(""https://docs.google.com/spreadsheets/d/1kGrh75X1cNR1D7_FcY9zMnHP8iPO4M5RCRjy6nZY0TY/edi"&amp;"t#gid=0"",""Table 1: Study characteristics!B4:B171"")))&gt;0
),
""Include""
)"),"Exclude")</f>
        <v>Exclude</v>
      </c>
      <c r="G606" s="5" t="str">
        <f>IFERROR(__xludf.DUMMYFUNCTION("IFS(
D606=""Exclude"",
FILTER(IMPORTRANGE(""https://docs.google.com/spreadsheets/d/1BJSV3WBYJGRhQ6zExamkszQ5VutGIcaQqmbD9ZTVXMQ/edit#gid=1251630045"",""articles_with_PRISMA_reasons!AB2:AB2113""), $A606=IMPORTRANGE(""https://docs.google.com/spreadsheets/d/"&amp;"1BJSV3WBYJGRhQ6zExamkszQ5VutGIcaQqmbD9ZTVXMQ/edit#gid=1251630045"",""articles_with_PRISMA_reasons!B2:B2113"")),
E606=""Exclude"",
FILTER(IMPORTRANGE(""https://docs.google.com/spreadsheets/d/1qpEmbGH0JjaJbUdp21-y2cPbobDbMjr09BbtdKROZWc/edit#gid=1444865654"&amp;""",""articles_with_PRISMA_reasons!Z2:Z2113""), $A606=IMPORTRANGE(""https://docs.google.com/spreadsheets/d/1qpEmbGH0JjaJbUdp21-y2cPbobDbMjr09BbtdKROZWc/edit#gid=1444865654"",""articles_with_PRISMA_reasons!B2:B2113"")),F606
=""Include"",FILTER(IMPORTRANGE("&amp;"""https://docs.google.com/spreadsheets/d/1kGrh75X1cNR1D7_FcY9zMnHP8iPO4M5RCRjy6nZY0TY/edit#gid=0"",""Table 1: Study characteristics!A4:A171""), $A606=IMPORTRANGE(""https://docs.google.com/spreadsheets/d/1kGrh75X1cNR1D7_FcY9zMnHP8iPO4M5RCRjy6nZY0TY/edit#gi"&amp;"d=0"",""Table 1: Study characteristics!B4:B171""))
)"),"wrong study design")</f>
        <v>wrong study design</v>
      </c>
    </row>
    <row r="607">
      <c r="A607" s="4" t="str">
        <f>IFERROR(__xludf.DUMMYFUNCTION("""COMPUTED_VALUE"""),"Deformity of the aqueduct of sylvius in children with hydrocephalus and myelomeningocele")</f>
        <v>Deformity of the aqueduct of sylvius in children with hydrocephalus and myelomeningocele</v>
      </c>
      <c r="B607" s="5" t="str">
        <f>IFERROR(__xludf.DUMMYFUNCTION("LEFT(FILTER(IMPORTRANGE(""https://docs.google.com/spreadsheets/d/1BJSV3WBYJGRhQ6zExamkszQ5VutGIcaQqmbD9ZTVXMQ/edit#gid=1251630045"",""articles_with_PRISMA_reasons!K2:K2113""), $A607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$A607=IMPORTRANGE(""https://docs.google.com/spreadsheets/d/1BJSV3WBYJGRhQ6zExamkszQ5VutGIcaQqmbD9ZTVXMQ/edit#gid=1251630045"",""articles_with_PRISMA_reasons!B2:B2113"")))-1)"),"Emery")</f>
        <v>Emery</v>
      </c>
      <c r="C607" s="6">
        <f>IFERROR(__xludf.DUMMYFUNCTION("FILTER(IMPORTRANGE(""https://docs.google.com/spreadsheets/d/1BJSV3WBYJGRhQ6zExamkszQ5VutGIcaQqmbD9ZTVXMQ/edit#gid=1251630045"",""articles_with_PRISMA_reasons!C2:C2113""), $A607=IMPORTRANGE(""https://docs.google.com/spreadsheets/d/1BJSV3WBYJGRhQ6zExamkszQ5"&amp;"VutGIcaQqmbD9ZTVXMQ/edit#gid=1251630045"",""articles_with_PRISMA_reasons!B2:B2113""))"),1974.0)</f>
        <v>1974</v>
      </c>
      <c r="D607" s="5" t="str">
        <f>IFERROR(__xludf.DUMMYFUNCTION("IFS(AND(
FILTER(IMPORTRANGE(""https://docs.google.com/spreadsheets/d/1BJSV3WBYJGRhQ6zExamkszQ5VutGIcaQqmbD9ZTVXMQ/edit#gid=1251630045"",""articles_with_PRISMA_reasons!Y2:Y2113""), $A607=IMPORTRANGE(""https://docs.google.com/spreadsheets/d/1BJSV3WBYJGRhQ6z"&amp;"ExamkszQ5VutGIcaQqmbD9ZTVXMQ/edit#gid=1251630045"",""articles_with_PRISMA_reasons!B2:B2113""))&gt;=2,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$A607=IMPORTRANGE(""https://docs.google.com/spreadsheets/d/1BJSV3WBYJGRhQ6zExamkszQ5VutGIcaQqmbD9ZTVXMQ/edit#gid=1251630045"",""articles_with_PRISMA_reasons!B2:B2113""))&lt;2),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$A607=IMPORTRANGE(""https://docs.google.com/spreadsheets/d/1BJSV3WBYJGRhQ6zExamkszQ5VutGIcaQqmbD9ZTVXMQ/edit#gid=1251630045"",""arti"&amp;"cles_with_PRISMA_reasons!B2:B2113""))&lt;2,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$A607=IMPORTRANGE(""https://docs.google.com"&amp;"/spreadsheets/d/1BJSV3WBYJGRhQ6zExamkszQ5VutGIcaQqmbD9ZTVXMQ/edit#gid=1251630045"",""articles_with_PRISMA_reasons!B2:B2113""))&gt;=2),
""Exclude""
)"),"Exclude")</f>
        <v>Exclude</v>
      </c>
      <c r="E607" s="5" t="str">
        <f>IFERROR(__xludf.DUMMYFUNCTION("IFS(
D607=""Exclude"",""Exclude"",
AND(
FILTER(IMPORTRANGE(""https://docs.google.com/spreadsheets/d/1qpEmbGH0JjaJbUdp21-y2cPbobDbMjr09BbtdKROZWc/edit#gid=1444865654"",""articles_with_PRISMA_reasons!W2:W2113""), $A607=IMPORTRANGE(""https://docs.google.com/"&amp;"spreadsheets/d/1qpEmbGH0JjaJbUdp21-y2cPbobDbMjr09BbtdKROZWc/edit#gid=1444865654"",""articles_with_PRISMA_reasons!B2:B2113""))&gt;=2,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$A607=IMPORTRANGE(""https://docs.google.com/spreadsheets/d/1qpEmbGH0JjaJbUdp21-y2cPbobDbMjr09BbtdKROZWc/edit#gid=1444865654"",""articles_with_PRISMA_reasons!B2:B2113""))&lt;2),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$A607=IMPORTRANGE(""https://docs.google.com/spreadsheets/d/1qpEmbGH0JjaJbUdp21-y2cPbobDbMjr09BbtdKRO"&amp;"ZWc/edit#gid=1444865654"",""articles_with_PRISMA_reasons!B2:B2113""))&lt;2,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$A607=IMPOR"&amp;"TRANGE(""https://docs.google.com/spreadsheets/d/1qpEmbGH0JjaJbUdp21-y2cPbobDbMjr09BbtdKROZWc/edit#gid=1444865654"",""articles_with_PRISMA_reasons!B2:B2113""))&gt;=2),
""Exclude""
)"),"Exclude")</f>
        <v>Exclude</v>
      </c>
      <c r="F607" s="5" t="str">
        <f>IFERROR(__xludf.DUMMYFUNCTION("IFS(
E607=""Exclude"",""Exclude"",
AND(
COUNTIF(
IMPORTRANGE(""https://docs.google.com/spreadsheets/d/1kGrh75X1cNR1D7_FcY9zMnHP8iPO4M5RCRjy6nZY0TY/edit#gid=0"",""Table 1: Study characteristics!B4:B171""),A607)&gt;0,
COUNTIF(Studies!$A$2:$A$85,FILTER(IMPORTRA"&amp;"NGE(""https://docs.google.com/spreadsheets/d/1kGrh75X1cNR1D7_FcY9zMnHP8iPO4M5RCRjy6nZY0TY/edit#gid=0"",""Table 1: Study characteristics!A4:A171""), $A607=IMPORTRANGE(""https://docs.google.com/spreadsheets/d/1kGrh75X1cNR1D7_FcY9zMnHP8iPO4M5RCRjy6nZY0TY/edi"&amp;"t#gid=0"",""Table 1: Study characteristics!B4:B171"")))&gt;0
),
""Include""
)"),"Exclude")</f>
        <v>Exclude</v>
      </c>
      <c r="G607" s="5" t="str">
        <f>IFERROR(__xludf.DUMMYFUNCTION("IFS(
D607=""Exclude"",
FILTER(IMPORTRANGE(""https://docs.google.com/spreadsheets/d/1BJSV3WBYJGRhQ6zExamkszQ5VutGIcaQqmbD9ZTVXMQ/edit#gid=1251630045"",""articles_with_PRISMA_reasons!AB2:AB2113""), $A607=IMPORTRANGE(""https://docs.google.com/spreadsheets/d/"&amp;"1BJSV3WBYJGRhQ6zExamkszQ5VutGIcaQqmbD9ZTVXMQ/edit#gid=1251630045"",""articles_with_PRISMA_reasons!B2:B2113"")),
E607=""Exclude"",
FILTER(IMPORTRANGE(""https://docs.google.com/spreadsheets/d/1qpEmbGH0JjaJbUdp21-y2cPbobDbMjr09BbtdKROZWc/edit#gid=1444865654"&amp;""",""articles_with_PRISMA_reasons!Z2:Z2113""), $A607=IMPORTRANGE(""https://docs.google.com/spreadsheets/d/1qpEmbGH0JjaJbUdp21-y2cPbobDbMjr09BbtdKROZWc/edit#gid=1444865654"",""articles_with_PRISMA_reasons!B2:B2113"")),F607
=""Include"",FILTER(IMPORTRANGE("&amp;"""https://docs.google.com/spreadsheets/d/1kGrh75X1cNR1D7_FcY9zMnHP8iPO4M5RCRjy6nZY0TY/edit#gid=0"",""Table 1: Study characteristics!A4:A171""), $A607=IMPORTRANGE(""https://docs.google.com/spreadsheets/d/1kGrh75X1cNR1D7_FcY9zMnHP8iPO4M5RCRjy6nZY0TY/edit#gi"&amp;"d=0"",""Table 1: Study characteristics!B4:B171""))
)"),"wrong study design")</f>
        <v>wrong study design</v>
      </c>
    </row>
    <row r="608">
      <c r="A608" s="4" t="str">
        <f>IFERROR(__xludf.DUMMYFUNCTION("""COMPUTED_VALUE"""),"Delayed expansion of an intracranial cyst induced by ventriculoperitoneal shunt in a patient with Chiari malformation type 2")</f>
        <v>Delayed expansion of an intracranial cyst induced by ventriculoperitoneal shunt in a patient with Chiari malformation type 2</v>
      </c>
      <c r="B608" s="5" t="str">
        <f>IFERROR(__xludf.DUMMYFUNCTION("LEFT(FILTER(IMPORTRANGE(""https://docs.google.com/spreadsheets/d/1BJSV3WBYJGRhQ6zExamkszQ5VutGIcaQqmbD9ZTVXMQ/edit#gid=1251630045"",""articles_with_PRISMA_reasons!K2:K2113""), $A608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$A608=IMPORTRANGE(""https://docs.google.com/spreadsheets/d/1BJSV3WBYJGRhQ6zExamkszQ5VutGIcaQqmbD9ZTVXMQ/edit#gid=1251630045"",""articles_with_PRISMA_reasons!B2:B2113"")))-1)"),"Maki")</f>
        <v>Maki</v>
      </c>
      <c r="C608" s="6">
        <f>IFERROR(__xludf.DUMMYFUNCTION("FILTER(IMPORTRANGE(""https://docs.google.com/spreadsheets/d/1BJSV3WBYJGRhQ6zExamkszQ5VutGIcaQqmbD9ZTVXMQ/edit#gid=1251630045"",""articles_with_PRISMA_reasons!C2:C2113""), $A608=IMPORTRANGE(""https://docs.google.com/spreadsheets/d/1BJSV3WBYJGRhQ6zExamkszQ5"&amp;"VutGIcaQqmbD9ZTVXMQ/edit#gid=1251630045"",""articles_with_PRISMA_reasons!B2:B2113""))"),2017.0)</f>
        <v>2017</v>
      </c>
      <c r="D608" s="5" t="str">
        <f>IFERROR(__xludf.DUMMYFUNCTION("IFS(AND(
FILTER(IMPORTRANGE(""https://docs.google.com/spreadsheets/d/1BJSV3WBYJGRhQ6zExamkszQ5VutGIcaQqmbD9ZTVXMQ/edit#gid=1251630045"",""articles_with_PRISMA_reasons!Y2:Y2113""), $A608=IMPORTRANGE(""https://docs.google.com/spreadsheets/d/1BJSV3WBYJGRhQ6z"&amp;"ExamkszQ5VutGIcaQqmbD9ZTVXMQ/edit#gid=1251630045"",""articles_with_PRISMA_reasons!B2:B2113""))&gt;=2,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$A608=IMPORTRANGE(""https://docs.google.com/spreadsheets/d/1BJSV3WBYJGRhQ6zExamkszQ5VutGIcaQqmbD9ZTVXMQ/edit#gid=1251630045"",""articles_with_PRISMA_reasons!B2:B2113""))&lt;2),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$A608=IMPORTRANGE(""https://docs.google.com/spreadsheets/d/1BJSV3WBYJGRhQ6zExamkszQ5VutGIcaQqmbD9ZTVXMQ/edit#gid=1251630045"",""arti"&amp;"cles_with_PRISMA_reasons!B2:B2113""))&lt;2,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$A608=IMPORTRANGE(""https://docs.google.com"&amp;"/spreadsheets/d/1BJSV3WBYJGRhQ6zExamkszQ5VutGIcaQqmbD9ZTVXMQ/edit#gid=1251630045"",""articles_with_PRISMA_reasons!B2:B2113""))&gt;=2),
""Exclude""
)"),"Exclude")</f>
        <v>Exclude</v>
      </c>
      <c r="E608" s="5" t="str">
        <f>IFERROR(__xludf.DUMMYFUNCTION("IFS(
D608=""Exclude"",""Exclude"",
AND(
FILTER(IMPORTRANGE(""https://docs.google.com/spreadsheets/d/1qpEmbGH0JjaJbUdp21-y2cPbobDbMjr09BbtdKROZWc/edit#gid=1444865654"",""articles_with_PRISMA_reasons!W2:W2113""), $A608=IMPORTRANGE(""https://docs.google.com/"&amp;"spreadsheets/d/1qpEmbGH0JjaJbUdp21-y2cPbobDbMjr09BbtdKROZWc/edit#gid=1444865654"",""articles_with_PRISMA_reasons!B2:B2113""))&gt;=2,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$A608=IMPORTRANGE(""https://docs.google.com/spreadsheets/d/1qpEmbGH0JjaJbUdp21-y2cPbobDbMjr09BbtdKROZWc/edit#gid=1444865654"",""articles_with_PRISMA_reasons!B2:B2113""))&lt;2),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$A608=IMPORTRANGE(""https://docs.google.com/spreadsheets/d/1qpEmbGH0JjaJbUdp21-y2cPbobDbMjr09BbtdKRO"&amp;"ZWc/edit#gid=1444865654"",""articles_with_PRISMA_reasons!B2:B2113""))&lt;2,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$A608=IMPOR"&amp;"TRANGE(""https://docs.google.com/spreadsheets/d/1qpEmbGH0JjaJbUdp21-y2cPbobDbMjr09BbtdKROZWc/edit#gid=1444865654"",""articles_with_PRISMA_reasons!B2:B2113""))&gt;=2),
""Exclude""
)"),"Exclude")</f>
        <v>Exclude</v>
      </c>
      <c r="F608" s="5" t="str">
        <f>IFERROR(__xludf.DUMMYFUNCTION("IFS(
E608=""Exclude"",""Exclude"",
AND(
COUNTIF(
IMPORTRANGE(""https://docs.google.com/spreadsheets/d/1kGrh75X1cNR1D7_FcY9zMnHP8iPO4M5RCRjy6nZY0TY/edit#gid=0"",""Table 1: Study characteristics!B4:B171""),A608)&gt;0,
COUNTIF(Studies!$A$2:$A$85,FILTER(IMPORTRA"&amp;"NGE(""https://docs.google.com/spreadsheets/d/1kGrh75X1cNR1D7_FcY9zMnHP8iPO4M5RCRjy6nZY0TY/edit#gid=0"",""Table 1: Study characteristics!A4:A171""), $A608=IMPORTRANGE(""https://docs.google.com/spreadsheets/d/1kGrh75X1cNR1D7_FcY9zMnHP8iPO4M5RCRjy6nZY0TY/edi"&amp;"t#gid=0"",""Table 1: Study characteristics!B4:B171"")))&gt;0
),
""Include""
)"),"Exclude")</f>
        <v>Exclude</v>
      </c>
      <c r="G608" s="5" t="str">
        <f>IFERROR(__xludf.DUMMYFUNCTION("IFS(
D608=""Exclude"",
FILTER(IMPORTRANGE(""https://docs.google.com/spreadsheets/d/1BJSV3WBYJGRhQ6zExamkszQ5VutGIcaQqmbD9ZTVXMQ/edit#gid=1251630045"",""articles_with_PRISMA_reasons!AB2:AB2113""), $A608=IMPORTRANGE(""https://docs.google.com/spreadsheets/d/"&amp;"1BJSV3WBYJGRhQ6zExamkszQ5VutGIcaQqmbD9ZTVXMQ/edit#gid=1251630045"",""articles_with_PRISMA_reasons!B2:B2113"")),
E608=""Exclude"",
FILTER(IMPORTRANGE(""https://docs.google.com/spreadsheets/d/1qpEmbGH0JjaJbUdp21-y2cPbobDbMjr09BbtdKROZWc/edit#gid=1444865654"&amp;""",""articles_with_PRISMA_reasons!Z2:Z2113""), $A608=IMPORTRANGE(""https://docs.google.com/spreadsheets/d/1qpEmbGH0JjaJbUdp21-y2cPbobDbMjr09BbtdKROZWc/edit#gid=1444865654"",""articles_with_PRISMA_reasons!B2:B2113"")),F608
=""Include"",FILTER(IMPORTRANGE("&amp;"""https://docs.google.com/spreadsheets/d/1kGrh75X1cNR1D7_FcY9zMnHP8iPO4M5RCRjy6nZY0TY/edit#gid=0"",""Table 1: Study characteristics!A4:A171""), $A608=IMPORTRANGE(""https://docs.google.com/spreadsheets/d/1kGrh75X1cNR1D7_FcY9zMnHP8iPO4M5RCRjy6nZY0TY/edit#gi"&amp;"d=0"",""Table 1: Study characteristics!B4:B171""))
)"),"wrong study design")</f>
        <v>wrong study design</v>
      </c>
    </row>
    <row r="609">
      <c r="A609" s="4" t="str">
        <f>IFERROR(__xludf.DUMMYFUNCTION("""COMPUTED_VALUE"""),"Delayed post-surgical development of dural arteriovenous fistula after cervical meningocele repair")</f>
        <v>Delayed post-surgical development of dural arteriovenous fistula after cervical meningocele repair</v>
      </c>
      <c r="B609" s="5" t="str">
        <f>IFERROR(__xludf.DUMMYFUNCTION("LEFT(FILTER(IMPORTRANGE(""https://docs.google.com/spreadsheets/d/1BJSV3WBYJGRhQ6zExamkszQ5VutGIcaQqmbD9ZTVXMQ/edit#gid=1251630045"",""articles_with_PRISMA_reasons!K2:K2113""), $A609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$A609=IMPORTRANGE(""https://docs.google.com/spreadsheets/d/1BJSV3WBYJGRhQ6zExamkszQ5VutGIcaQqmbD9ZTVXMQ/edit#gid=1251630045"",""articles_with_PRISMA_reasons!B2:B2113"")))-1)"),"Flannery")</f>
        <v>Flannery</v>
      </c>
      <c r="C609" s="6">
        <f>IFERROR(__xludf.DUMMYFUNCTION("FILTER(IMPORTRANGE(""https://docs.google.com/spreadsheets/d/1BJSV3WBYJGRhQ6zExamkszQ5VutGIcaQqmbD9ZTVXMQ/edit#gid=1251630045"",""articles_with_PRISMA_reasons!C2:C2113""), $A609=IMPORTRANGE(""https://docs.google.com/spreadsheets/d/1BJSV3WBYJGRhQ6zExamkszQ5"&amp;"VutGIcaQqmbD9ZTVXMQ/edit#gid=1251630045"",""articles_with_PRISMA_reasons!B2:B2113""))"),2003.0)</f>
        <v>2003</v>
      </c>
      <c r="D609" s="5" t="str">
        <f>IFERROR(__xludf.DUMMYFUNCTION("IFS(AND(
FILTER(IMPORTRANGE(""https://docs.google.com/spreadsheets/d/1BJSV3WBYJGRhQ6zExamkszQ5VutGIcaQqmbD9ZTVXMQ/edit#gid=1251630045"",""articles_with_PRISMA_reasons!Y2:Y2113""), $A609=IMPORTRANGE(""https://docs.google.com/spreadsheets/d/1BJSV3WBYJGRhQ6z"&amp;"ExamkszQ5VutGIcaQqmbD9ZTVXMQ/edit#gid=1251630045"",""articles_with_PRISMA_reasons!B2:B2113""))&gt;=2,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$A609=IMPORTRANGE(""https://docs.google.com/spreadsheets/d/1BJSV3WBYJGRhQ6zExamkszQ5VutGIcaQqmbD9ZTVXMQ/edit#gid=1251630045"",""articles_with_PRISMA_reasons!B2:B2113""))&lt;2),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$A609=IMPORTRANGE(""https://docs.google.com/spreadsheets/d/1BJSV3WBYJGRhQ6zExamkszQ5VutGIcaQqmbD9ZTVXMQ/edit#gid=1251630045"",""arti"&amp;"cles_with_PRISMA_reasons!B2:B2113""))&lt;2,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$A609=IMPORTRANGE(""https://docs.google.com"&amp;"/spreadsheets/d/1BJSV3WBYJGRhQ6zExamkszQ5VutGIcaQqmbD9ZTVXMQ/edit#gid=1251630045"",""articles_with_PRISMA_reasons!B2:B2113""))&gt;=2),
""Exclude""
)"),"Exclude")</f>
        <v>Exclude</v>
      </c>
      <c r="E609" s="5" t="str">
        <f>IFERROR(__xludf.DUMMYFUNCTION("IFS(
D609=""Exclude"",""Exclude"",
AND(
FILTER(IMPORTRANGE(""https://docs.google.com/spreadsheets/d/1qpEmbGH0JjaJbUdp21-y2cPbobDbMjr09BbtdKROZWc/edit#gid=1444865654"",""articles_with_PRISMA_reasons!W2:W2113""), $A609=IMPORTRANGE(""https://docs.google.com/"&amp;"spreadsheets/d/1qpEmbGH0JjaJbUdp21-y2cPbobDbMjr09BbtdKROZWc/edit#gid=1444865654"",""articles_with_PRISMA_reasons!B2:B2113""))&gt;=2,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$A609=IMPORTRANGE(""https://docs.google.com/spreadsheets/d/1qpEmbGH0JjaJbUdp21-y2cPbobDbMjr09BbtdKROZWc/edit#gid=1444865654"",""articles_with_PRISMA_reasons!B2:B2113""))&lt;2),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$A609=IMPORTRANGE(""https://docs.google.com/spreadsheets/d/1qpEmbGH0JjaJbUdp21-y2cPbobDbMjr09BbtdKRO"&amp;"ZWc/edit#gid=1444865654"",""articles_with_PRISMA_reasons!B2:B2113""))&lt;2,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$A609=IMPOR"&amp;"TRANGE(""https://docs.google.com/spreadsheets/d/1qpEmbGH0JjaJbUdp21-y2cPbobDbMjr09BbtdKROZWc/edit#gid=1444865654"",""articles_with_PRISMA_reasons!B2:B2113""))&gt;=2),
""Exclude""
)"),"Exclude")</f>
        <v>Exclude</v>
      </c>
      <c r="F609" s="5" t="str">
        <f>IFERROR(__xludf.DUMMYFUNCTION("IFS(
E609=""Exclude"",""Exclude"",
AND(
COUNTIF(
IMPORTRANGE(""https://docs.google.com/spreadsheets/d/1kGrh75X1cNR1D7_FcY9zMnHP8iPO4M5RCRjy6nZY0TY/edit#gid=0"",""Table 1: Study characteristics!B4:B171""),A609)&gt;0,
COUNTIF(Studies!$A$2:$A$85,FILTER(IMPORTRA"&amp;"NGE(""https://docs.google.com/spreadsheets/d/1kGrh75X1cNR1D7_FcY9zMnHP8iPO4M5RCRjy6nZY0TY/edit#gid=0"",""Table 1: Study characteristics!A4:A171""), $A609=IMPORTRANGE(""https://docs.google.com/spreadsheets/d/1kGrh75X1cNR1D7_FcY9zMnHP8iPO4M5RCRjy6nZY0TY/edi"&amp;"t#gid=0"",""Table 1: Study characteristics!B4:B171"")))&gt;0
),
""Include""
)"),"Exclude")</f>
        <v>Exclude</v>
      </c>
      <c r="G609" s="5" t="str">
        <f>IFERROR(__xludf.DUMMYFUNCTION("IFS(
D609=""Exclude"",
FILTER(IMPORTRANGE(""https://docs.google.com/spreadsheets/d/1BJSV3WBYJGRhQ6zExamkszQ5VutGIcaQqmbD9ZTVXMQ/edit#gid=1251630045"",""articles_with_PRISMA_reasons!AB2:AB2113""), $A609=IMPORTRANGE(""https://docs.google.com/spreadsheets/d/"&amp;"1BJSV3WBYJGRhQ6zExamkszQ5VutGIcaQqmbD9ZTVXMQ/edit#gid=1251630045"",""articles_with_PRISMA_reasons!B2:B2113"")),
E609=""Exclude"",
FILTER(IMPORTRANGE(""https://docs.google.com/spreadsheets/d/1qpEmbGH0JjaJbUdp21-y2cPbobDbMjr09BbtdKROZWc/edit#gid=1444865654"&amp;""",""articles_with_PRISMA_reasons!Z2:Z2113""), $A609=IMPORTRANGE(""https://docs.google.com/spreadsheets/d/1qpEmbGH0JjaJbUdp21-y2cPbobDbMjr09BbtdKROZWc/edit#gid=1444865654"",""articles_with_PRISMA_reasons!B2:B2113"")),F609
=""Include"",FILTER(IMPORTRANGE("&amp;"""https://docs.google.com/spreadsheets/d/1kGrh75X1cNR1D7_FcY9zMnHP8iPO4M5RCRjy6nZY0TY/edit#gid=0"",""Table 1: Study characteristics!A4:A171""), $A609=IMPORTRANGE(""https://docs.google.com/spreadsheets/d/1kGrh75X1cNR1D7_FcY9zMnHP8iPO4M5RCRjy6nZY0TY/edit#gi"&amp;"d=0"",""Table 1: Study characteristics!B4:B171""))
)"),"wrong study design")</f>
        <v>wrong study design</v>
      </c>
    </row>
    <row r="610">
      <c r="A610" s="4" t="str">
        <f>IFERROR(__xludf.DUMMYFUNCTION("""COMPUTED_VALUE"""),"Deliberate termination of life of newborns with spina bifida, a critical reappraisal")</f>
        <v>Deliberate termination of life of newborns with spina bifida, a critical reappraisal</v>
      </c>
      <c r="B610" s="5" t="str">
        <f>IFERROR(__xludf.DUMMYFUNCTION("LEFT(FILTER(IMPORTRANGE(""https://docs.google.com/spreadsheets/d/1BJSV3WBYJGRhQ6zExamkszQ5VutGIcaQqmbD9ZTVXMQ/edit#gid=1251630045"",""articles_with_PRISMA_reasons!K2:K2113""), $A610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$A610=IMPORTRANGE(""https://docs.google.com/spreadsheets/d/1BJSV3WBYJGRhQ6zExamkszQ5VutGIcaQqmbD9ZTVXMQ/edit#gid=1251630045"",""articles_with_PRISMA_reasons!B2:B2113"")))-1)"),"Jong")</f>
        <v>Jong</v>
      </c>
      <c r="C610" s="6">
        <f>IFERROR(__xludf.DUMMYFUNCTION("FILTER(IMPORTRANGE(""https://docs.google.com/spreadsheets/d/1BJSV3WBYJGRhQ6zExamkszQ5VutGIcaQqmbD9ZTVXMQ/edit#gid=1251630045"",""articles_with_PRISMA_reasons!C2:C2113""), $A610=IMPORTRANGE(""https://docs.google.com/spreadsheets/d/1BJSV3WBYJGRhQ6zExamkszQ5"&amp;"VutGIcaQqmbD9ZTVXMQ/edit#gid=1251630045"",""articles_with_PRISMA_reasons!B2:B2113""))"),2008.0)</f>
        <v>2008</v>
      </c>
      <c r="D610" s="5" t="str">
        <f>IFERROR(__xludf.DUMMYFUNCTION("IFS(AND(
FILTER(IMPORTRANGE(""https://docs.google.com/spreadsheets/d/1BJSV3WBYJGRhQ6zExamkszQ5VutGIcaQqmbD9ZTVXMQ/edit#gid=1251630045"",""articles_with_PRISMA_reasons!Y2:Y2113""), $A610=IMPORTRANGE(""https://docs.google.com/spreadsheets/d/1BJSV3WBYJGRhQ6z"&amp;"ExamkszQ5VutGIcaQqmbD9ZTVXMQ/edit#gid=1251630045"",""articles_with_PRISMA_reasons!B2:B2113""))&gt;=2,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$A610=IMPORTRANGE(""https://docs.google.com/spreadsheets/d/1BJSV3WBYJGRhQ6zExamkszQ5VutGIcaQqmbD9ZTVXMQ/edit#gid=1251630045"",""articles_with_PRISMA_reasons!B2:B2113""))&lt;2),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$A610=IMPORTRANGE(""https://docs.google.com/spreadsheets/d/1BJSV3WBYJGRhQ6zExamkszQ5VutGIcaQqmbD9ZTVXMQ/edit#gid=1251630045"",""arti"&amp;"cles_with_PRISMA_reasons!B2:B2113""))&lt;2,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$A610=IMPORTRANGE(""https://docs.google.com"&amp;"/spreadsheets/d/1BJSV3WBYJGRhQ6zExamkszQ5VutGIcaQqmbD9ZTVXMQ/edit#gid=1251630045"",""articles_with_PRISMA_reasons!B2:B2113""))&gt;=2),
""Exclude""
)"),"Exclude")</f>
        <v>Exclude</v>
      </c>
      <c r="E610" s="5" t="str">
        <f>IFERROR(__xludf.DUMMYFUNCTION("IFS(
D610=""Exclude"",""Exclude"",
AND(
FILTER(IMPORTRANGE(""https://docs.google.com/spreadsheets/d/1qpEmbGH0JjaJbUdp21-y2cPbobDbMjr09BbtdKROZWc/edit#gid=1444865654"",""articles_with_PRISMA_reasons!W2:W2113""), $A610=IMPORTRANGE(""https://docs.google.com/"&amp;"spreadsheets/d/1qpEmbGH0JjaJbUdp21-y2cPbobDbMjr09BbtdKROZWc/edit#gid=1444865654"",""articles_with_PRISMA_reasons!B2:B2113""))&gt;=2,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$A610=IMPORTRANGE(""https://docs.google.com/spreadsheets/d/1qpEmbGH0JjaJbUdp21-y2cPbobDbMjr09BbtdKROZWc/edit#gid=1444865654"",""articles_with_PRISMA_reasons!B2:B2113""))&lt;2),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$A610=IMPORTRANGE(""https://docs.google.com/spreadsheets/d/1qpEmbGH0JjaJbUdp21-y2cPbobDbMjr09BbtdKRO"&amp;"ZWc/edit#gid=1444865654"",""articles_with_PRISMA_reasons!B2:B2113""))&lt;2,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$A610=IMPOR"&amp;"TRANGE(""https://docs.google.com/spreadsheets/d/1qpEmbGH0JjaJbUdp21-y2cPbobDbMjr09BbtdKROZWc/edit#gid=1444865654"",""articles_with_PRISMA_reasons!B2:B2113""))&gt;=2),
""Exclude""
)"),"Exclude")</f>
        <v>Exclude</v>
      </c>
      <c r="F610" s="5" t="str">
        <f>IFERROR(__xludf.DUMMYFUNCTION("IFS(
E610=""Exclude"",""Exclude"",
AND(
COUNTIF(
IMPORTRANGE(""https://docs.google.com/spreadsheets/d/1kGrh75X1cNR1D7_FcY9zMnHP8iPO4M5RCRjy6nZY0TY/edit#gid=0"",""Table 1: Study characteristics!B4:B171""),A610)&gt;0,
COUNTIF(Studies!$A$2:$A$85,FILTER(IMPORTRA"&amp;"NGE(""https://docs.google.com/spreadsheets/d/1kGrh75X1cNR1D7_FcY9zMnHP8iPO4M5RCRjy6nZY0TY/edit#gid=0"",""Table 1: Study characteristics!A4:A171""), $A610=IMPORTRANGE(""https://docs.google.com/spreadsheets/d/1kGrh75X1cNR1D7_FcY9zMnHP8iPO4M5RCRjy6nZY0TY/edi"&amp;"t#gid=0"",""Table 1: Study characteristics!B4:B171"")))&gt;0
),
""Include""
)"),"Exclude")</f>
        <v>Exclude</v>
      </c>
      <c r="G610" s="5" t="str">
        <f>IFERROR(__xludf.DUMMYFUNCTION("IFS(
D610=""Exclude"",
FILTER(IMPORTRANGE(""https://docs.google.com/spreadsheets/d/1BJSV3WBYJGRhQ6zExamkszQ5VutGIcaQqmbD9ZTVXMQ/edit#gid=1251630045"",""articles_with_PRISMA_reasons!AB2:AB2113""), $A610=IMPORTRANGE(""https://docs.google.com/spreadsheets/d/"&amp;"1BJSV3WBYJGRhQ6zExamkszQ5VutGIcaQqmbD9ZTVXMQ/edit#gid=1251630045"",""articles_with_PRISMA_reasons!B2:B2113"")),
E610=""Exclude"",
FILTER(IMPORTRANGE(""https://docs.google.com/spreadsheets/d/1qpEmbGH0JjaJbUdp21-y2cPbobDbMjr09BbtdKROZWc/edit#gid=1444865654"&amp;""",""articles_with_PRISMA_reasons!Z2:Z2113""), $A610=IMPORTRANGE(""https://docs.google.com/spreadsheets/d/1qpEmbGH0JjaJbUdp21-y2cPbobDbMjr09BbtdKROZWc/edit#gid=1444865654"",""articles_with_PRISMA_reasons!B2:B2113"")),F610
=""Include"",FILTER(IMPORTRANGE("&amp;"""https://docs.google.com/spreadsheets/d/1kGrh75X1cNR1D7_FcY9zMnHP8iPO4M5RCRjy6nZY0TY/edit#gid=0"",""Table 1: Study characteristics!A4:A171""), $A610=IMPORTRANGE(""https://docs.google.com/spreadsheets/d/1kGrh75X1cNR1D7_FcY9zMnHP8iPO4M5RCRjy6nZY0TY/edit#gi"&amp;"d=0"",""Table 1: Study characteristics!B4:B171""))
)"),"wrong study design")</f>
        <v>wrong study design</v>
      </c>
    </row>
    <row r="611">
      <c r="A611" s="4" t="str">
        <f>IFERROR(__xludf.DUMMYFUNCTION("""COMPUTED_VALUE"""),"Demographic, ocular and associated neurological findings in corpus callosum malformations")</f>
        <v>Demographic, ocular and associated neurological findings in corpus callosum malformations</v>
      </c>
      <c r="B611" s="5" t="str">
        <f>IFERROR(__xludf.DUMMYFUNCTION("LEFT(FILTER(IMPORTRANGE(""https://docs.google.com/spreadsheets/d/1BJSV3WBYJGRhQ6zExamkszQ5VutGIcaQqmbD9ZTVXMQ/edit#gid=1251630045"",""articles_with_PRISMA_reasons!K2:K2113""), $A611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$A611=IMPORTRANGE(""https://docs.google.com/spreadsheets/d/1BJSV3WBYJGRhQ6zExamkszQ5VutGIcaQqmbD9ZTVXMQ/edit#gid=1251630045"",""articles_with_PRISMA_reasons!B2:B2113"")))-1)"),"Kiziltunc")</f>
        <v>Kiziltunc</v>
      </c>
      <c r="C611" s="6">
        <f>IFERROR(__xludf.DUMMYFUNCTION("FILTER(IMPORTRANGE(""https://docs.google.com/spreadsheets/d/1BJSV3WBYJGRhQ6zExamkszQ5VutGIcaQqmbD9ZTVXMQ/edit#gid=1251630045"",""articles_with_PRISMA_reasons!C2:C2113""), $A611=IMPORTRANGE(""https://docs.google.com/spreadsheets/d/1BJSV3WBYJGRhQ6zExamkszQ5"&amp;"VutGIcaQqmbD9ZTVXMQ/edit#gid=1251630045"",""articles_with_PRISMA_reasons!B2:B2113""))"),2021.0)</f>
        <v>2021</v>
      </c>
      <c r="D611" s="5" t="str">
        <f>IFERROR(__xludf.DUMMYFUNCTION("IFS(AND(
FILTER(IMPORTRANGE(""https://docs.google.com/spreadsheets/d/1BJSV3WBYJGRhQ6zExamkszQ5VutGIcaQqmbD9ZTVXMQ/edit#gid=1251630045"",""articles_with_PRISMA_reasons!Y2:Y2113""), $A611=IMPORTRANGE(""https://docs.google.com/spreadsheets/d/1BJSV3WBYJGRhQ6z"&amp;"ExamkszQ5VutGIcaQqmbD9ZTVXMQ/edit#gid=1251630045"",""articles_with_PRISMA_reasons!B2:B2113""))&gt;=2,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$A611=IMPORTRANGE(""https://docs.google.com/spreadsheets/d/1BJSV3WBYJGRhQ6zExamkszQ5VutGIcaQqmbD9ZTVXMQ/edit#gid=1251630045"",""articles_with_PRISMA_reasons!B2:B2113""))&lt;2),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$A611=IMPORTRANGE(""https://docs.google.com/spreadsheets/d/1BJSV3WBYJGRhQ6zExamkszQ5VutGIcaQqmbD9ZTVXMQ/edit#gid=1251630045"",""arti"&amp;"cles_with_PRISMA_reasons!B2:B2113""))&lt;2,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$A611=IMPORTRANGE(""https://docs.google.com"&amp;"/spreadsheets/d/1BJSV3WBYJGRhQ6zExamkszQ5VutGIcaQqmbD9ZTVXMQ/edit#gid=1251630045"",""articles_with_PRISMA_reasons!B2:B2113""))&gt;=2),
""Exclude""
)"),"Exclude")</f>
        <v>Exclude</v>
      </c>
      <c r="E611" s="5" t="str">
        <f>IFERROR(__xludf.DUMMYFUNCTION("IFS(
D611=""Exclude"",""Exclude"",
AND(
FILTER(IMPORTRANGE(""https://docs.google.com/spreadsheets/d/1qpEmbGH0JjaJbUdp21-y2cPbobDbMjr09BbtdKROZWc/edit#gid=1444865654"",""articles_with_PRISMA_reasons!W2:W2113""), $A611=IMPORTRANGE(""https://docs.google.com/"&amp;"spreadsheets/d/1qpEmbGH0JjaJbUdp21-y2cPbobDbMjr09BbtdKROZWc/edit#gid=1444865654"",""articles_with_PRISMA_reasons!B2:B2113""))&gt;=2,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$A611=IMPORTRANGE(""https://docs.google.com/spreadsheets/d/1qpEmbGH0JjaJbUdp21-y2cPbobDbMjr09BbtdKROZWc/edit#gid=1444865654"",""articles_with_PRISMA_reasons!B2:B2113""))&lt;2),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$A611=IMPORTRANGE(""https://docs.google.com/spreadsheets/d/1qpEmbGH0JjaJbUdp21-y2cPbobDbMjr09BbtdKRO"&amp;"ZWc/edit#gid=1444865654"",""articles_with_PRISMA_reasons!B2:B2113""))&lt;2,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$A611=IMPOR"&amp;"TRANGE(""https://docs.google.com/spreadsheets/d/1qpEmbGH0JjaJbUdp21-y2cPbobDbMjr09BbtdKROZWc/edit#gid=1444865654"",""articles_with_PRISMA_reasons!B2:B2113""))&gt;=2),
""Exclude""
)"),"Exclude")</f>
        <v>Exclude</v>
      </c>
      <c r="F611" s="5" t="str">
        <f>IFERROR(__xludf.DUMMYFUNCTION("IFS(
E611=""Exclude"",""Exclude"",
AND(
COUNTIF(
IMPORTRANGE(""https://docs.google.com/spreadsheets/d/1kGrh75X1cNR1D7_FcY9zMnHP8iPO4M5RCRjy6nZY0TY/edit#gid=0"",""Table 1: Study characteristics!B4:B171""),A611)&gt;0,
COUNTIF(Studies!$A$2:$A$85,FILTER(IMPORTRA"&amp;"NGE(""https://docs.google.com/spreadsheets/d/1kGrh75X1cNR1D7_FcY9zMnHP8iPO4M5RCRjy6nZY0TY/edit#gid=0"",""Table 1: Study characteristics!A4:A171""), $A611=IMPORTRANGE(""https://docs.google.com/spreadsheets/d/1kGrh75X1cNR1D7_FcY9zMnHP8iPO4M5RCRjy6nZY0TY/edi"&amp;"t#gid=0"",""Table 1: Study characteristics!B4:B171"")))&gt;0
),
""Include""
)"),"Exclude")</f>
        <v>Exclude</v>
      </c>
      <c r="G611" s="5" t="str">
        <f>IFERROR(__xludf.DUMMYFUNCTION("IFS(
D611=""Exclude"",
FILTER(IMPORTRANGE(""https://docs.google.com/spreadsheets/d/1BJSV3WBYJGRhQ6zExamkszQ5VutGIcaQqmbD9ZTVXMQ/edit#gid=1251630045"",""articles_with_PRISMA_reasons!AB2:AB2113""), $A611=IMPORTRANGE(""https://docs.google.com/spreadsheets/d/"&amp;"1BJSV3WBYJGRhQ6zExamkszQ5VutGIcaQqmbD9ZTVXMQ/edit#gid=1251630045"",""articles_with_PRISMA_reasons!B2:B2113"")),
E611=""Exclude"",
FILTER(IMPORTRANGE(""https://docs.google.com/spreadsheets/d/1qpEmbGH0JjaJbUdp21-y2cPbobDbMjr09BbtdKROZWc/edit#gid=1444865654"&amp;""",""articles_with_PRISMA_reasons!Z2:Z2113""), $A611=IMPORTRANGE(""https://docs.google.com/spreadsheets/d/1qpEmbGH0JjaJbUdp21-y2cPbobDbMjr09BbtdKROZWc/edit#gid=1444865654"",""articles_with_PRISMA_reasons!B2:B2113"")),F611
=""Include"",FILTER(IMPORTRANGE("&amp;"""https://docs.google.com/spreadsheets/d/1kGrh75X1cNR1D7_FcY9zMnHP8iPO4M5RCRjy6nZY0TY/edit#gid=0"",""Table 1: Study characteristics!A4:A171""), $A611=IMPORTRANGE(""https://docs.google.com/spreadsheets/d/1kGrh75X1cNR1D7_FcY9zMnHP8iPO4M5RCRjy6nZY0TY/edit#gi"&amp;"d=0"",""Table 1: Study characteristics!B4:B171""))
)"),"wrong population")</f>
        <v>wrong population</v>
      </c>
    </row>
    <row r="612">
      <c r="A612" s="4" t="str">
        <f>IFERROR(__xludf.DUMMYFUNCTION("""COMPUTED_VALUE"""),"Derivaçäo ventricular cerebral: experiência com 35 pacientes")</f>
        <v>Derivaçäo ventricular cerebral: experiência com 35 pacientes</v>
      </c>
      <c r="B612" s="5" t="str">
        <f>IFERROR(__xludf.DUMMYFUNCTION("LEFT(FILTER(IMPORTRANGE(""https://docs.google.com/spreadsheets/d/1BJSV3WBYJGRhQ6zExamkszQ5VutGIcaQqmbD9ZTVXMQ/edit#gid=1251630045"",""articles_with_PRISMA_reasons!K2:K2113""), $A612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$A612=IMPORTRANGE(""https://docs.google.com/spreadsheets/d/1BJSV3WBYJGRhQ6zExamkszQ5VutGIcaQqmbD9ZTVXMQ/edit#gid=1251630045"",""articles_with_PRISMA_reasons!B2:B2113"")))-1)"),"Silva")</f>
        <v>Silva</v>
      </c>
      <c r="C612" s="6">
        <f>IFERROR(__xludf.DUMMYFUNCTION("FILTER(IMPORTRANGE(""https://docs.google.com/spreadsheets/d/1BJSV3WBYJGRhQ6zExamkszQ5VutGIcaQqmbD9ZTVXMQ/edit#gid=1251630045"",""articles_with_PRISMA_reasons!C2:C2113""), $A612=IMPORTRANGE(""https://docs.google.com/spreadsheets/d/1BJSV3WBYJGRhQ6zExamkszQ5"&amp;"VutGIcaQqmbD9ZTVXMQ/edit#gid=1251630045"",""articles_with_PRISMA_reasons!B2:B2113""))"),1994.0)</f>
        <v>1994</v>
      </c>
      <c r="D612" s="5" t="str">
        <f>IFERROR(__xludf.DUMMYFUNCTION("IFS(AND(
FILTER(IMPORTRANGE(""https://docs.google.com/spreadsheets/d/1BJSV3WBYJGRhQ6zExamkszQ5VutGIcaQqmbD9ZTVXMQ/edit#gid=1251630045"",""articles_with_PRISMA_reasons!Y2:Y2113""), $A612=IMPORTRANGE(""https://docs.google.com/spreadsheets/d/1BJSV3WBYJGRhQ6z"&amp;"ExamkszQ5VutGIcaQqmbD9ZTVXMQ/edit#gid=1251630045"",""articles_with_PRISMA_reasons!B2:B2113""))&gt;=2,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$A612=IMPORTRANGE(""https://docs.google.com/spreadsheets/d/1BJSV3WBYJGRhQ6zExamkszQ5VutGIcaQqmbD9ZTVXMQ/edit#gid=1251630045"",""articles_with_PRISMA_reasons!B2:B2113""))&lt;2),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$A612=IMPORTRANGE(""https://docs.google.com/spreadsheets/d/1BJSV3WBYJGRhQ6zExamkszQ5VutGIcaQqmbD9ZTVXMQ/edit#gid=1251630045"",""arti"&amp;"cles_with_PRISMA_reasons!B2:B2113""))&lt;2,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$A612=IMPORTRANGE(""https://docs.google.com"&amp;"/spreadsheets/d/1BJSV3WBYJGRhQ6zExamkszQ5VutGIcaQqmbD9ZTVXMQ/edit#gid=1251630045"",""articles_with_PRISMA_reasons!B2:B2113""))&gt;=2),
""Exclude""
)"),"Exclude")</f>
        <v>Exclude</v>
      </c>
      <c r="E612" s="5" t="str">
        <f>IFERROR(__xludf.DUMMYFUNCTION("IFS(
D612=""Exclude"",""Exclude"",
AND(
FILTER(IMPORTRANGE(""https://docs.google.com/spreadsheets/d/1qpEmbGH0JjaJbUdp21-y2cPbobDbMjr09BbtdKROZWc/edit#gid=1444865654"",""articles_with_PRISMA_reasons!W2:W2113""), $A612=IMPORTRANGE(""https://docs.google.com/"&amp;"spreadsheets/d/1qpEmbGH0JjaJbUdp21-y2cPbobDbMjr09BbtdKROZWc/edit#gid=1444865654"",""articles_with_PRISMA_reasons!B2:B2113""))&gt;=2,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$A612=IMPORTRANGE(""https://docs.google.com/spreadsheets/d/1qpEmbGH0JjaJbUdp21-y2cPbobDbMjr09BbtdKROZWc/edit#gid=1444865654"",""articles_with_PRISMA_reasons!B2:B2113""))&lt;2),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$A612=IMPORTRANGE(""https://docs.google.com/spreadsheets/d/1qpEmbGH0JjaJbUdp21-y2cPbobDbMjr09BbtdKRO"&amp;"ZWc/edit#gid=1444865654"",""articles_with_PRISMA_reasons!B2:B2113""))&lt;2,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$A612=IMPOR"&amp;"TRANGE(""https://docs.google.com/spreadsheets/d/1qpEmbGH0JjaJbUdp21-y2cPbobDbMjr09BbtdKROZWc/edit#gid=1444865654"",""articles_with_PRISMA_reasons!B2:B2113""))&gt;=2),
""Exclude""
)"),"Exclude")</f>
        <v>Exclude</v>
      </c>
      <c r="F612" s="5" t="str">
        <f>IFERROR(__xludf.DUMMYFUNCTION("IFS(
E612=""Exclude"",""Exclude"",
AND(
COUNTIF(
IMPORTRANGE(""https://docs.google.com/spreadsheets/d/1kGrh75X1cNR1D7_FcY9zMnHP8iPO4M5RCRjy6nZY0TY/edit#gid=0"",""Table 1: Study characteristics!B4:B171""),A612)&gt;0,
COUNTIF(Studies!$A$2:$A$85,FILTER(IMPORTRA"&amp;"NGE(""https://docs.google.com/spreadsheets/d/1kGrh75X1cNR1D7_FcY9zMnHP8iPO4M5RCRjy6nZY0TY/edit#gid=0"",""Table 1: Study characteristics!A4:A171""), $A612=IMPORTRANGE(""https://docs.google.com/spreadsheets/d/1kGrh75X1cNR1D7_FcY9zMnHP8iPO4M5RCRjy6nZY0TY/edi"&amp;"t#gid=0"",""Table 1: Study characteristics!B4:B171"")))&gt;0
),
""Include""
)"),"Exclude")</f>
        <v>Exclude</v>
      </c>
      <c r="G612" s="5" t="str">
        <f>IFERROR(__xludf.DUMMYFUNCTION("IFS(
D612=""Exclude"",
FILTER(IMPORTRANGE(""https://docs.google.com/spreadsheets/d/1BJSV3WBYJGRhQ6zExamkszQ5VutGIcaQqmbD9ZTVXMQ/edit#gid=1251630045"",""articles_with_PRISMA_reasons!AB2:AB2113""), $A612=IMPORTRANGE(""https://docs.google.com/spreadsheets/d/"&amp;"1BJSV3WBYJGRhQ6zExamkszQ5VutGIcaQqmbD9ZTVXMQ/edit#gid=1251630045"",""articles_with_PRISMA_reasons!B2:B2113"")),
E612=""Exclude"",
FILTER(IMPORTRANGE(""https://docs.google.com/spreadsheets/d/1qpEmbGH0JjaJbUdp21-y2cPbobDbMjr09BbtdKROZWc/edit#gid=1444865654"&amp;""",""articles_with_PRISMA_reasons!Z2:Z2113""), $A612=IMPORTRANGE(""https://docs.google.com/spreadsheets/d/1qpEmbGH0JjaJbUdp21-y2cPbobDbMjr09BbtdKROZWc/edit#gid=1444865654"",""articles_with_PRISMA_reasons!B2:B2113"")),F612
=""Include"",FILTER(IMPORTRANGE("&amp;"""https://docs.google.com/spreadsheets/d/1kGrh75X1cNR1D7_FcY9zMnHP8iPO4M5RCRjy6nZY0TY/edit#gid=0"",""Table 1: Study characteristics!A4:A171""), $A612=IMPORTRANGE(""https://docs.google.com/spreadsheets/d/1kGrh75X1cNR1D7_FcY9zMnHP8iPO4M5RCRjy6nZY0TY/edit#gi"&amp;"d=0"",""Table 1: Study characteristics!B4:B171""))
)"),"wrong population")</f>
        <v>wrong population</v>
      </c>
    </row>
    <row r="613">
      <c r="A613" s="4" t="str">
        <f>IFERROR(__xludf.DUMMYFUNCTION("""COMPUTED_VALUE"""),"Dermoid in the filum terminale of a newborn with myelomeningocele")</f>
        <v>Dermoid in the filum terminale of a newborn with myelomeningocele</v>
      </c>
      <c r="B613" s="5" t="str">
        <f>IFERROR(__xludf.DUMMYFUNCTION("LEFT(FILTER(IMPORTRANGE(""https://docs.google.com/spreadsheets/d/1BJSV3WBYJGRhQ6zExamkszQ5VutGIcaQqmbD9ZTVXMQ/edit#gid=1251630045"",""articles_with_PRISMA_reasons!K2:K2113""), $A613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$A613=IMPORTRANGE(""https://docs.google.com/spreadsheets/d/1BJSV3WBYJGRhQ6zExamkszQ5VutGIcaQqmbD9ZTVXMQ/edit#gid=1251630045"",""articles_with_PRISMA_reasons!B2:B2113"")))-1)"),"Chadduck")</f>
        <v>Chadduck</v>
      </c>
      <c r="C613" s="6">
        <f>IFERROR(__xludf.DUMMYFUNCTION("FILTER(IMPORTRANGE(""https://docs.google.com/spreadsheets/d/1BJSV3WBYJGRhQ6zExamkszQ5VutGIcaQqmbD9ZTVXMQ/edit#gid=1251630045"",""articles_with_PRISMA_reasons!C2:C2113""), $A613=IMPORTRANGE(""https://docs.google.com/spreadsheets/d/1BJSV3WBYJGRhQ6zExamkszQ5"&amp;"VutGIcaQqmbD9ZTVXMQ/edit#gid=1251630045"",""articles_with_PRISMA_reasons!B2:B2113""))"),1993.0)</f>
        <v>1993</v>
      </c>
      <c r="D613" s="5" t="str">
        <f>IFERROR(__xludf.DUMMYFUNCTION("IFS(AND(
FILTER(IMPORTRANGE(""https://docs.google.com/spreadsheets/d/1BJSV3WBYJGRhQ6zExamkszQ5VutGIcaQqmbD9ZTVXMQ/edit#gid=1251630045"",""articles_with_PRISMA_reasons!Y2:Y2113""), $A613=IMPORTRANGE(""https://docs.google.com/spreadsheets/d/1BJSV3WBYJGRhQ6z"&amp;"ExamkszQ5VutGIcaQqmbD9ZTVXMQ/edit#gid=1251630045"",""articles_with_PRISMA_reasons!B2:B2113""))&gt;=2,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$A613=IMPORTRANGE(""https://docs.google.com/spreadsheets/d/1BJSV3WBYJGRhQ6zExamkszQ5VutGIcaQqmbD9ZTVXMQ/edit#gid=1251630045"",""articles_with_PRISMA_reasons!B2:B2113""))&lt;2),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$A613=IMPORTRANGE(""https://docs.google.com/spreadsheets/d/1BJSV3WBYJGRhQ6zExamkszQ5VutGIcaQqmbD9ZTVXMQ/edit#gid=1251630045"",""arti"&amp;"cles_with_PRISMA_reasons!B2:B2113""))&lt;2,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$A613=IMPORTRANGE(""https://docs.google.com"&amp;"/spreadsheets/d/1BJSV3WBYJGRhQ6zExamkszQ5VutGIcaQqmbD9ZTVXMQ/edit#gid=1251630045"",""articles_with_PRISMA_reasons!B2:B2113""))&gt;=2),
""Exclude""
)"),"Exclude")</f>
        <v>Exclude</v>
      </c>
      <c r="E613" s="5" t="str">
        <f>IFERROR(__xludf.DUMMYFUNCTION("IFS(
D613=""Exclude"",""Exclude"",
AND(
FILTER(IMPORTRANGE(""https://docs.google.com/spreadsheets/d/1qpEmbGH0JjaJbUdp21-y2cPbobDbMjr09BbtdKROZWc/edit#gid=1444865654"",""articles_with_PRISMA_reasons!W2:W2113""), $A613=IMPORTRANGE(""https://docs.google.com/"&amp;"spreadsheets/d/1qpEmbGH0JjaJbUdp21-y2cPbobDbMjr09BbtdKROZWc/edit#gid=1444865654"",""articles_with_PRISMA_reasons!B2:B2113""))&gt;=2,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$A613=IMPORTRANGE(""https://docs.google.com/spreadsheets/d/1qpEmbGH0JjaJbUdp21-y2cPbobDbMjr09BbtdKROZWc/edit#gid=1444865654"",""articles_with_PRISMA_reasons!B2:B2113""))&lt;2),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$A613=IMPORTRANGE(""https://docs.google.com/spreadsheets/d/1qpEmbGH0JjaJbUdp21-y2cPbobDbMjr09BbtdKRO"&amp;"ZWc/edit#gid=1444865654"",""articles_with_PRISMA_reasons!B2:B2113""))&lt;2,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$A613=IMPOR"&amp;"TRANGE(""https://docs.google.com/spreadsheets/d/1qpEmbGH0JjaJbUdp21-y2cPbobDbMjr09BbtdKROZWc/edit#gid=1444865654"",""articles_with_PRISMA_reasons!B2:B2113""))&gt;=2),
""Exclude""
)"),"Exclude")</f>
        <v>Exclude</v>
      </c>
      <c r="F613" s="5" t="str">
        <f>IFERROR(__xludf.DUMMYFUNCTION("IFS(
E613=""Exclude"",""Exclude"",
AND(
COUNTIF(
IMPORTRANGE(""https://docs.google.com/spreadsheets/d/1kGrh75X1cNR1D7_FcY9zMnHP8iPO4M5RCRjy6nZY0TY/edit#gid=0"",""Table 1: Study characteristics!B4:B171""),A613)&gt;0,
COUNTIF(Studies!$A$2:$A$85,FILTER(IMPORTRA"&amp;"NGE(""https://docs.google.com/spreadsheets/d/1kGrh75X1cNR1D7_FcY9zMnHP8iPO4M5RCRjy6nZY0TY/edit#gid=0"",""Table 1: Study characteristics!A4:A171""), $A613=IMPORTRANGE(""https://docs.google.com/spreadsheets/d/1kGrh75X1cNR1D7_FcY9zMnHP8iPO4M5RCRjy6nZY0TY/edi"&amp;"t#gid=0"",""Table 1: Study characteristics!B4:B171"")))&gt;0
),
""Include""
)"),"Exclude")</f>
        <v>Exclude</v>
      </c>
      <c r="G613" s="5" t="str">
        <f>IFERROR(__xludf.DUMMYFUNCTION("IFS(
D613=""Exclude"",
FILTER(IMPORTRANGE(""https://docs.google.com/spreadsheets/d/1BJSV3WBYJGRhQ6zExamkszQ5VutGIcaQqmbD9ZTVXMQ/edit#gid=1251630045"",""articles_with_PRISMA_reasons!AB2:AB2113""), $A613=IMPORTRANGE(""https://docs.google.com/spreadsheets/d/"&amp;"1BJSV3WBYJGRhQ6zExamkszQ5VutGIcaQqmbD9ZTVXMQ/edit#gid=1251630045"",""articles_with_PRISMA_reasons!B2:B2113"")),
E613=""Exclude"",
FILTER(IMPORTRANGE(""https://docs.google.com/spreadsheets/d/1qpEmbGH0JjaJbUdp21-y2cPbobDbMjr09BbtdKROZWc/edit#gid=1444865654"&amp;""",""articles_with_PRISMA_reasons!Z2:Z2113""), $A613=IMPORTRANGE(""https://docs.google.com/spreadsheets/d/1qpEmbGH0JjaJbUdp21-y2cPbobDbMjr09BbtdKROZWc/edit#gid=1444865654"",""articles_with_PRISMA_reasons!B2:B2113"")),F613
=""Include"",FILTER(IMPORTRANGE("&amp;"""https://docs.google.com/spreadsheets/d/1kGrh75X1cNR1D7_FcY9zMnHP8iPO4M5RCRjy6nZY0TY/edit#gid=0"",""Table 1: Study characteristics!A4:A171""), $A613=IMPORTRANGE(""https://docs.google.com/spreadsheets/d/1kGrh75X1cNR1D7_FcY9zMnHP8iPO4M5RCRjy6nZY0TY/edit#gi"&amp;"d=0"",""Table 1: Study characteristics!B4:B171""))
)"),"wrong population")</f>
        <v>wrong population</v>
      </c>
    </row>
    <row r="614">
      <c r="A614" s="4" t="str">
        <f>IFERROR(__xludf.DUMMYFUNCTION("""COMPUTED_VALUE"""),"Dermoid of the posterior fossa in Chiari II malformation: The first reported case")</f>
        <v>Dermoid of the posterior fossa in Chiari II malformation: The first reported case</v>
      </c>
      <c r="B614" s="5" t="str">
        <f>IFERROR(__xludf.DUMMYFUNCTION("LEFT(FILTER(IMPORTRANGE(""https://docs.google.com/spreadsheets/d/1BJSV3WBYJGRhQ6zExamkszQ5VutGIcaQqmbD9ZTVXMQ/edit#gid=1251630045"",""articles_with_PRISMA_reasons!K2:K2113""), $A614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$A614=IMPORTRANGE(""https://docs.google.com/spreadsheets/d/1BJSV3WBYJGRhQ6zExamkszQ5VutGIcaQqmbD9ZTVXMQ/edit#gid=1251630045"",""articles_with_PRISMA_reasons!B2:B2113"")))-1)"),"Tubbs")</f>
        <v>Tubbs</v>
      </c>
      <c r="C614" s="6">
        <f>IFERROR(__xludf.DUMMYFUNCTION("FILTER(IMPORTRANGE(""https://docs.google.com/spreadsheets/d/1BJSV3WBYJGRhQ6zExamkszQ5VutGIcaQqmbD9ZTVXMQ/edit#gid=1251630045"",""articles_with_PRISMA_reasons!C2:C2113""), $A614=IMPORTRANGE(""https://docs.google.com/spreadsheets/d/1BJSV3WBYJGRhQ6zExamkszQ5"&amp;"VutGIcaQqmbD9ZTVXMQ/edit#gid=1251630045"",""articles_with_PRISMA_reasons!B2:B2113""))"),2017.0)</f>
        <v>2017</v>
      </c>
      <c r="D614" s="5" t="str">
        <f>IFERROR(__xludf.DUMMYFUNCTION("IFS(AND(
FILTER(IMPORTRANGE(""https://docs.google.com/spreadsheets/d/1BJSV3WBYJGRhQ6zExamkszQ5VutGIcaQqmbD9ZTVXMQ/edit#gid=1251630045"",""articles_with_PRISMA_reasons!Y2:Y2113""), $A614=IMPORTRANGE(""https://docs.google.com/spreadsheets/d/1BJSV3WBYJGRhQ6z"&amp;"ExamkszQ5VutGIcaQqmbD9ZTVXMQ/edit#gid=1251630045"",""articles_with_PRISMA_reasons!B2:B2113""))&gt;=2,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$A614=IMPORTRANGE(""https://docs.google.com/spreadsheets/d/1BJSV3WBYJGRhQ6zExamkszQ5VutGIcaQqmbD9ZTVXMQ/edit#gid=1251630045"",""articles_with_PRISMA_reasons!B2:B2113""))&lt;2),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$A614=IMPORTRANGE(""https://docs.google.com/spreadsheets/d/1BJSV3WBYJGRhQ6zExamkszQ5VutGIcaQqmbD9ZTVXMQ/edit#gid=1251630045"",""arti"&amp;"cles_with_PRISMA_reasons!B2:B2113""))&lt;2,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$A614=IMPORTRANGE(""https://docs.google.com"&amp;"/spreadsheets/d/1BJSV3WBYJGRhQ6zExamkszQ5VutGIcaQqmbD9ZTVXMQ/edit#gid=1251630045"",""articles_with_PRISMA_reasons!B2:B2113""))&gt;=2),
""Exclude""
)"),"Exclude")</f>
        <v>Exclude</v>
      </c>
      <c r="E614" s="5" t="str">
        <f>IFERROR(__xludf.DUMMYFUNCTION("IFS(
D614=""Exclude"",""Exclude"",
AND(
FILTER(IMPORTRANGE(""https://docs.google.com/spreadsheets/d/1qpEmbGH0JjaJbUdp21-y2cPbobDbMjr09BbtdKROZWc/edit#gid=1444865654"",""articles_with_PRISMA_reasons!W2:W2113""), $A614=IMPORTRANGE(""https://docs.google.com/"&amp;"spreadsheets/d/1qpEmbGH0JjaJbUdp21-y2cPbobDbMjr09BbtdKROZWc/edit#gid=1444865654"",""articles_with_PRISMA_reasons!B2:B2113""))&gt;=2,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$A614=IMPORTRANGE(""https://docs.google.com/spreadsheets/d/1qpEmbGH0JjaJbUdp21-y2cPbobDbMjr09BbtdKROZWc/edit#gid=1444865654"",""articles_with_PRISMA_reasons!B2:B2113""))&lt;2),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$A614=IMPORTRANGE(""https://docs.google.com/spreadsheets/d/1qpEmbGH0JjaJbUdp21-y2cPbobDbMjr09BbtdKRO"&amp;"ZWc/edit#gid=1444865654"",""articles_with_PRISMA_reasons!B2:B2113""))&lt;2,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$A614=IMPOR"&amp;"TRANGE(""https://docs.google.com/spreadsheets/d/1qpEmbGH0JjaJbUdp21-y2cPbobDbMjr09BbtdKROZWc/edit#gid=1444865654"",""articles_with_PRISMA_reasons!B2:B2113""))&gt;=2),
""Exclude""
)"),"Exclude")</f>
        <v>Exclude</v>
      </c>
      <c r="F614" s="5" t="str">
        <f>IFERROR(__xludf.DUMMYFUNCTION("IFS(
E614=""Exclude"",""Exclude"",
AND(
COUNTIF(
IMPORTRANGE(""https://docs.google.com/spreadsheets/d/1kGrh75X1cNR1D7_FcY9zMnHP8iPO4M5RCRjy6nZY0TY/edit#gid=0"",""Table 1: Study characteristics!B4:B171""),A614)&gt;0,
COUNTIF(Studies!$A$2:$A$85,FILTER(IMPORTRA"&amp;"NGE(""https://docs.google.com/spreadsheets/d/1kGrh75X1cNR1D7_FcY9zMnHP8iPO4M5RCRjy6nZY0TY/edit#gid=0"",""Table 1: Study characteristics!A4:A171""), $A614=IMPORTRANGE(""https://docs.google.com/spreadsheets/d/1kGrh75X1cNR1D7_FcY9zMnHP8iPO4M5RCRjy6nZY0TY/edi"&amp;"t#gid=0"",""Table 1: Study characteristics!B4:B171"")))&gt;0
),
""Include""
)"),"Exclude")</f>
        <v>Exclude</v>
      </c>
      <c r="G614" s="5" t="str">
        <f>IFERROR(__xludf.DUMMYFUNCTION("IFS(
D614=""Exclude"",
FILTER(IMPORTRANGE(""https://docs.google.com/spreadsheets/d/1BJSV3WBYJGRhQ6zExamkszQ5VutGIcaQqmbD9ZTVXMQ/edit#gid=1251630045"",""articles_with_PRISMA_reasons!AB2:AB2113""), $A614=IMPORTRANGE(""https://docs.google.com/spreadsheets/d/"&amp;"1BJSV3WBYJGRhQ6zExamkszQ5VutGIcaQqmbD9ZTVXMQ/edit#gid=1251630045"",""articles_with_PRISMA_reasons!B2:B2113"")),
E614=""Exclude"",
FILTER(IMPORTRANGE(""https://docs.google.com/spreadsheets/d/1qpEmbGH0JjaJbUdp21-y2cPbobDbMjr09BbtdKROZWc/edit#gid=1444865654"&amp;""",""articles_with_PRISMA_reasons!Z2:Z2113""), $A614=IMPORTRANGE(""https://docs.google.com/spreadsheets/d/1qpEmbGH0JjaJbUdp21-y2cPbobDbMjr09BbtdKROZWc/edit#gid=1444865654"",""articles_with_PRISMA_reasons!B2:B2113"")),F614
=""Include"",FILTER(IMPORTRANGE("&amp;"""https://docs.google.com/spreadsheets/d/1kGrh75X1cNR1D7_FcY9zMnHP8iPO4M5RCRjy6nZY0TY/edit#gid=0"",""Table 1: Study characteristics!A4:A171""), $A614=IMPORTRANGE(""https://docs.google.com/spreadsheets/d/1kGrh75X1cNR1D7_FcY9zMnHP8iPO4M5RCRjy6nZY0TY/edit#gi"&amp;"d=0"",""Table 1: Study characteristics!B4:B171""))
)"),"wrong study design")</f>
        <v>wrong study design</v>
      </c>
    </row>
    <row r="615">
      <c r="A615" s="4" t="str">
        <f>IFERROR(__xludf.DUMMYFUNCTION("""COMPUTED_VALUE"""),"Description of endoscopic ventricular anatomy in myelomeningocele")</f>
        <v>Description of endoscopic ventricular anatomy in myelomeningocele</v>
      </c>
      <c r="B615" s="5" t="str">
        <f>IFERROR(__xludf.DUMMYFUNCTION("LEFT(FILTER(IMPORTRANGE(""https://docs.google.com/spreadsheets/d/1BJSV3WBYJGRhQ6zExamkszQ5VutGIcaQqmbD9ZTVXMQ/edit#gid=1251630045"",""articles_with_PRISMA_reasons!K2:K2113""), $A615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$A615=IMPORTRANGE(""https://docs.google.com/spreadsheets/d/1BJSV3WBYJGRhQ6zExamkszQ5VutGIcaQqmbD9ZTVXMQ/edit#gid=1251630045"",""articles_with_PRISMA_reasons!B2:B2113"")))-1)"),"Salazar")</f>
        <v>Salazar</v>
      </c>
      <c r="C615" s="6">
        <f>IFERROR(__xludf.DUMMYFUNCTION("FILTER(IMPORTRANGE(""https://docs.google.com/spreadsheets/d/1BJSV3WBYJGRhQ6zExamkszQ5VutGIcaQqmbD9ZTVXMQ/edit#gid=1251630045"",""articles_with_PRISMA_reasons!C2:C2113""), $A615=IMPORTRANGE(""https://docs.google.com/spreadsheets/d/1BJSV3WBYJGRhQ6zExamkszQ5"&amp;"VutGIcaQqmbD9ZTVXMQ/edit#gid=1251630045"",""articles_with_PRISMA_reasons!B2:B2113""))"),2006.0)</f>
        <v>2006</v>
      </c>
      <c r="D615" s="5" t="str">
        <f>IFERROR(__xludf.DUMMYFUNCTION("IFS(AND(
FILTER(IMPORTRANGE(""https://docs.google.com/spreadsheets/d/1BJSV3WBYJGRhQ6zExamkszQ5VutGIcaQqmbD9ZTVXMQ/edit#gid=1251630045"",""articles_with_PRISMA_reasons!Y2:Y2113""), $A615=IMPORTRANGE(""https://docs.google.com/spreadsheets/d/1BJSV3WBYJGRhQ6z"&amp;"ExamkszQ5VutGIcaQqmbD9ZTVXMQ/edit#gid=1251630045"",""articles_with_PRISMA_reasons!B2:B2113""))&gt;=2,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$A615=IMPORTRANGE(""https://docs.google.com/spreadsheets/d/1BJSV3WBYJGRhQ6zExamkszQ5VutGIcaQqmbD9ZTVXMQ/edit#gid=1251630045"",""articles_with_PRISMA_reasons!B2:B2113""))&lt;2),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$A615=IMPORTRANGE(""https://docs.google.com/spreadsheets/d/1BJSV3WBYJGRhQ6zExamkszQ5VutGIcaQqmbD9ZTVXMQ/edit#gid=1251630045"",""arti"&amp;"cles_with_PRISMA_reasons!B2:B2113""))&lt;2,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$A615=IMPORTRANGE(""https://docs.google.com"&amp;"/spreadsheets/d/1BJSV3WBYJGRhQ6zExamkszQ5VutGIcaQqmbD9ZTVXMQ/edit#gid=1251630045"",""articles_with_PRISMA_reasons!B2:B2113""))&gt;=2),
""Exclude""
)"),"Exclude")</f>
        <v>Exclude</v>
      </c>
      <c r="E615" s="5" t="str">
        <f>IFERROR(__xludf.DUMMYFUNCTION("IFS(
D615=""Exclude"",""Exclude"",
AND(
FILTER(IMPORTRANGE(""https://docs.google.com/spreadsheets/d/1qpEmbGH0JjaJbUdp21-y2cPbobDbMjr09BbtdKROZWc/edit#gid=1444865654"",""articles_with_PRISMA_reasons!W2:W2113""), $A615=IMPORTRANGE(""https://docs.google.com/"&amp;"spreadsheets/d/1qpEmbGH0JjaJbUdp21-y2cPbobDbMjr09BbtdKROZWc/edit#gid=1444865654"",""articles_with_PRISMA_reasons!B2:B2113""))&gt;=2,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$A615=IMPORTRANGE(""https://docs.google.com/spreadsheets/d/1qpEmbGH0JjaJbUdp21-y2cPbobDbMjr09BbtdKROZWc/edit#gid=1444865654"",""articles_with_PRISMA_reasons!B2:B2113""))&lt;2),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$A615=IMPORTRANGE(""https://docs.google.com/spreadsheets/d/1qpEmbGH0JjaJbUdp21-y2cPbobDbMjr09BbtdKRO"&amp;"ZWc/edit#gid=1444865654"",""articles_with_PRISMA_reasons!B2:B2113""))&lt;2,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$A615=IMPOR"&amp;"TRANGE(""https://docs.google.com/spreadsheets/d/1qpEmbGH0JjaJbUdp21-y2cPbobDbMjr09BbtdKROZWc/edit#gid=1444865654"",""articles_with_PRISMA_reasons!B2:B2113""))&gt;=2),
""Exclude""
)"),"Exclude")</f>
        <v>Exclude</v>
      </c>
      <c r="F615" s="5" t="str">
        <f>IFERROR(__xludf.DUMMYFUNCTION("IFS(
E615=""Exclude"",""Exclude"",
AND(
COUNTIF(
IMPORTRANGE(""https://docs.google.com/spreadsheets/d/1kGrh75X1cNR1D7_FcY9zMnHP8iPO4M5RCRjy6nZY0TY/edit#gid=0"",""Table 1: Study characteristics!B4:B171""),A615)&gt;0,
COUNTIF(Studies!$A$2:$A$85,FILTER(IMPORTRA"&amp;"NGE(""https://docs.google.com/spreadsheets/d/1kGrh75X1cNR1D7_FcY9zMnHP8iPO4M5RCRjy6nZY0TY/edit#gid=0"",""Table 1: Study characteristics!A4:A171""), $A615=IMPORTRANGE(""https://docs.google.com/spreadsheets/d/1kGrh75X1cNR1D7_FcY9zMnHP8iPO4M5RCRjy6nZY0TY/edi"&amp;"t#gid=0"",""Table 1: Study characteristics!B4:B171"")))&gt;0
),
""Include""
)"),"Exclude")</f>
        <v>Exclude</v>
      </c>
      <c r="G615" s="5" t="str">
        <f>IFERROR(__xludf.DUMMYFUNCTION("IFS(
D615=""Exclude"",
FILTER(IMPORTRANGE(""https://docs.google.com/spreadsheets/d/1BJSV3WBYJGRhQ6zExamkszQ5VutGIcaQqmbD9ZTVXMQ/edit#gid=1251630045"",""articles_with_PRISMA_reasons!AB2:AB2113""), $A615=IMPORTRANGE(""https://docs.google.com/spreadsheets/d/"&amp;"1BJSV3WBYJGRhQ6zExamkszQ5VutGIcaQqmbD9ZTVXMQ/edit#gid=1251630045"",""articles_with_PRISMA_reasons!B2:B2113"")),
E615=""Exclude"",
FILTER(IMPORTRANGE(""https://docs.google.com/spreadsheets/d/1qpEmbGH0JjaJbUdp21-y2cPbobDbMjr09BbtdKROZWc/edit#gid=1444865654"&amp;""",""articles_with_PRISMA_reasons!Z2:Z2113""), $A615=IMPORTRANGE(""https://docs.google.com/spreadsheets/d/1qpEmbGH0JjaJbUdp21-y2cPbobDbMjr09BbtdKROZWc/edit#gid=1444865654"",""articles_with_PRISMA_reasons!B2:B2113"")),F615
=""Include"",FILTER(IMPORTRANGE("&amp;"""https://docs.google.com/spreadsheets/d/1kGrh75X1cNR1D7_FcY9zMnHP8iPO4M5RCRjy6nZY0TY/edit#gid=0"",""Table 1: Study characteristics!A4:A171""), $A615=IMPORTRANGE(""https://docs.google.com/spreadsheets/d/1kGrh75X1cNR1D7_FcY9zMnHP8iPO4M5RCRjy6nZY0TY/edit#gi"&amp;"d=0"",""Table 1: Study characteristics!B4:B171""))
)"),"wrong population")</f>
        <v>wrong population</v>
      </c>
    </row>
    <row r="616">
      <c r="A616" s="4" t="str">
        <f>IFERROR(__xludf.DUMMYFUNCTION("""COMPUTED_VALUE"""),"Detailed Analysis of Hydrocephalus and Hindbrain Herniation after Prenatal and Postnatal Myelomeningocele Closure: Report from a Single Institution")</f>
        <v>Detailed Analysis of Hydrocephalus and Hindbrain Herniation after Prenatal and Postnatal Myelomeningocele Closure: Report from a Single Institution</v>
      </c>
      <c r="B616" s="5" t="str">
        <f>IFERROR(__xludf.DUMMYFUNCTION("LEFT(FILTER(IMPORTRANGE(""https://docs.google.com/spreadsheets/d/1BJSV3WBYJGRhQ6zExamkszQ5VutGIcaQqmbD9ZTVXMQ/edit#gid=1251630045"",""articles_with_PRISMA_reasons!K2:K2113""), $A616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$A616=IMPORTRANGE(""https://docs.google.com/spreadsheets/d/1BJSV3WBYJGRhQ6zExamkszQ5VutGIcaQqmbD9ZTVXMQ/edit#gid=1251630045"",""articles_with_PRISMA_reasons!B2:B2113"")))-1)"),"Fl and ers")</f>
        <v>Fl and ers</v>
      </c>
      <c r="C616" s="6">
        <f>IFERROR(__xludf.DUMMYFUNCTION("FILTER(IMPORTRANGE(""https://docs.google.com/spreadsheets/d/1BJSV3WBYJGRhQ6zExamkszQ5VutGIcaQqmbD9ZTVXMQ/edit#gid=1251630045"",""articles_with_PRISMA_reasons!C2:C2113""), $A616=IMPORTRANGE(""https://docs.google.com/spreadsheets/d/1BJSV3WBYJGRhQ6zExamkszQ5"&amp;"VutGIcaQqmbD9ZTVXMQ/edit#gid=1251630045"",""articles_with_PRISMA_reasons!B2:B2113""))"),2020.0)</f>
        <v>2020</v>
      </c>
      <c r="D616" s="5" t="str">
        <f>IFERROR(__xludf.DUMMYFUNCTION("IFS(AND(
FILTER(IMPORTRANGE(""https://docs.google.com/spreadsheets/d/1BJSV3WBYJGRhQ6zExamkszQ5VutGIcaQqmbD9ZTVXMQ/edit#gid=1251630045"",""articles_with_PRISMA_reasons!Y2:Y2113""), $A616=IMPORTRANGE(""https://docs.google.com/spreadsheets/d/1BJSV3WBYJGRhQ6z"&amp;"ExamkszQ5VutGIcaQqmbD9ZTVXMQ/edit#gid=1251630045"",""articles_with_PRISMA_reasons!B2:B2113""))&gt;=2,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$A616=IMPORTRANGE(""https://docs.google.com/spreadsheets/d/1BJSV3WBYJGRhQ6zExamkszQ5VutGIcaQqmbD9ZTVXMQ/edit#gid=1251630045"",""articles_with_PRISMA_reasons!B2:B2113""))&lt;2),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$A616=IMPORTRANGE(""https://docs.google.com/spreadsheets/d/1BJSV3WBYJGRhQ6zExamkszQ5VutGIcaQqmbD9ZTVXMQ/edit#gid=1251630045"",""arti"&amp;"cles_with_PRISMA_reasons!B2:B2113""))&lt;2,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$A616=IMPORTRANGE(""https://docs.google.com"&amp;"/spreadsheets/d/1BJSV3WBYJGRhQ6zExamkszQ5VutGIcaQqmbD9ZTVXMQ/edit#gid=1251630045"",""articles_with_PRISMA_reasons!B2:B2113""))&gt;=2),
""Exclude""
)"),"Include")</f>
        <v>Include</v>
      </c>
      <c r="E616" s="5" t="str">
        <f>IFERROR(__xludf.DUMMYFUNCTION("IFS(
D616=""Exclude"",""Exclude"",
AND(
FILTER(IMPORTRANGE(""https://docs.google.com/spreadsheets/d/1qpEmbGH0JjaJbUdp21-y2cPbobDbMjr09BbtdKROZWc/edit#gid=1444865654"",""articles_with_PRISMA_reasons!W2:W2113""), $A616=IMPORTRANGE(""https://docs.google.com/"&amp;"spreadsheets/d/1qpEmbGH0JjaJbUdp21-y2cPbobDbMjr09BbtdKROZWc/edit#gid=1444865654"",""articles_with_PRISMA_reasons!B2:B2113""))&gt;=2,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$A616=IMPORTRANGE(""https://docs.google.com/spreadsheets/d/1qpEmbGH0JjaJbUdp21-y2cPbobDbMjr09BbtdKROZWc/edit#gid=1444865654"",""articles_with_PRISMA_reasons!B2:B2113""))&lt;2),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$A616=IMPORTRANGE(""https://docs.google.com/spreadsheets/d/1qpEmbGH0JjaJbUdp21-y2cPbobDbMjr09BbtdKRO"&amp;"ZWc/edit#gid=1444865654"",""articles_with_PRISMA_reasons!B2:B2113""))&lt;2,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$A616=IMPOR"&amp;"TRANGE(""https://docs.google.com/spreadsheets/d/1qpEmbGH0JjaJbUdp21-y2cPbobDbMjr09BbtdKROZWc/edit#gid=1444865654"",""articles_with_PRISMA_reasons!B2:B2113""))&gt;=2),
""Exclude""
)"),"Include")</f>
        <v>Include</v>
      </c>
      <c r="F616" s="5" t="str">
        <f>IFERROR(__xludf.DUMMYFUNCTION("IFS(
E616=""Exclude"",""Exclude"",
AND(
COUNTIF(
IMPORTRANGE(""https://docs.google.com/spreadsheets/d/1kGrh75X1cNR1D7_FcY9zMnHP8iPO4M5RCRjy6nZY0TY/edit#gid=0"",""Table 1: Study characteristics!B4:B171""),A616)&gt;0,
COUNTIF(Studies!$A$2:$A$85,FILTER(IMPORTRA"&amp;"NGE(""https://docs.google.com/spreadsheets/d/1kGrh75X1cNR1D7_FcY9zMnHP8iPO4M5RCRjy6nZY0TY/edit#gid=0"",""Table 1: Study characteristics!A4:A171""), $A616=IMPORTRANGE(""https://docs.google.com/spreadsheets/d/1kGrh75X1cNR1D7_FcY9zMnHP8iPO4M5RCRjy6nZY0TY/edi"&amp;"t#gid=0"",""Table 1: Study characteristics!B4:B171"")))&gt;0
),
""Include""
)"),"Include")</f>
        <v>Include</v>
      </c>
      <c r="G616" s="5" t="str">
        <f>IFERROR(__xludf.DUMMYFUNCTION("IFS(
D616=""Exclude"",
FILTER(IMPORTRANGE(""https://docs.google.com/spreadsheets/d/1BJSV3WBYJGRhQ6zExamkszQ5VutGIcaQqmbD9ZTVXMQ/edit#gid=1251630045"",""articles_with_PRISMA_reasons!AB2:AB2113""), $A616=IMPORTRANGE(""https://docs.google.com/spreadsheets/d/"&amp;"1BJSV3WBYJGRhQ6zExamkszQ5VutGIcaQqmbD9ZTVXMQ/edit#gid=1251630045"",""articles_with_PRISMA_reasons!B2:B2113"")),
E616=""Exclude"",
FILTER(IMPORTRANGE(""https://docs.google.com/spreadsheets/d/1qpEmbGH0JjaJbUdp21-y2cPbobDbMjr09BbtdKROZWc/edit#gid=1444865654"&amp;""",""articles_with_PRISMA_reasons!Z2:Z2113""), $A616=IMPORTRANGE(""https://docs.google.com/spreadsheets/d/1qpEmbGH0JjaJbUdp21-y2cPbobDbMjr09BbtdKROZWc/edit#gid=1444865654"",""articles_with_PRISMA_reasons!B2:B2113"")),F616
=""Include"",FILTER(IMPORTRANGE("&amp;"""https://docs.google.com/spreadsheets/d/1kGrh75X1cNR1D7_FcY9zMnHP8iPO4M5RCRjy6nZY0TY/edit#gid=0"",""Table 1: Study characteristics!A4:A171""), $A616=IMPORTRANGE(""https://docs.google.com/spreadsheets/d/1kGrh75X1cNR1D7_FcY9zMnHP8iPO4M5RCRjy6nZY0TY/edit#gi"&amp;"d=0"",""Table 1: Study characteristics!B4:B171""))
)"),"ID 46")</f>
        <v>ID 46</v>
      </c>
    </row>
    <row r="617">
      <c r="A617" s="4" t="str">
        <f>IFERROR(__xludf.DUMMYFUNCTION("""COMPUTED_VALUE"""),"Detailed evaluation of 2959 allogeneic and xenogeneic dense connective tissue grafts (Fascia lata, pericardium, and dura mater) used in the course of 20 years for duraplasty in neurosurgery")</f>
        <v>Detailed evaluation of 2959 allogeneic and xenogeneic dense connective tissue grafts (Fascia lata, pericardium, and dura mater) used in the course of 20 years for duraplasty in neurosurgery</v>
      </c>
      <c r="B617" s="5" t="str">
        <f>IFERROR(__xludf.DUMMYFUNCTION("LEFT(FILTER(IMPORTRANGE(""https://docs.google.com/spreadsheets/d/1BJSV3WBYJGRhQ6zExamkszQ5VutGIcaQqmbD9ZTVXMQ/edit#gid=1251630045"",""articles_with_PRISMA_reasons!K2:K2113""), $A617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$A617=IMPORTRANGE(""https://docs.google.com/spreadsheets/d/1BJSV3WBYJGRhQ6zExamkszQ5VutGIcaQqmbD9ZTVXMQ/edit#gid=1251630045"",""articles_with_PRISMA_reasons!B2:B2113"")))-1)"),"Suba")</f>
        <v>Suba</v>
      </c>
      <c r="C617" s="6">
        <f>IFERROR(__xludf.DUMMYFUNCTION("FILTER(IMPORTRANGE(""https://docs.google.com/spreadsheets/d/1BJSV3WBYJGRhQ6zExamkszQ5VutGIcaQqmbD9ZTVXMQ/edit#gid=1251630045"",""articles_with_PRISMA_reasons!C2:C2113""), $A617=IMPORTRANGE(""https://docs.google.com/spreadsheets/d/1BJSV3WBYJGRhQ6zExamkszQ5"&amp;"VutGIcaQqmbD9ZTVXMQ/edit#gid=1251630045"",""articles_with_PRISMA_reasons!B2:B2113""))"),1997.0)</f>
        <v>1997</v>
      </c>
      <c r="D617" s="5" t="str">
        <f>IFERROR(__xludf.DUMMYFUNCTION("IFS(AND(
FILTER(IMPORTRANGE(""https://docs.google.com/spreadsheets/d/1BJSV3WBYJGRhQ6zExamkszQ5VutGIcaQqmbD9ZTVXMQ/edit#gid=1251630045"",""articles_with_PRISMA_reasons!Y2:Y2113""), $A617=IMPORTRANGE(""https://docs.google.com/spreadsheets/d/1BJSV3WBYJGRhQ6z"&amp;"ExamkszQ5VutGIcaQqmbD9ZTVXMQ/edit#gid=1251630045"",""articles_with_PRISMA_reasons!B2:B2113""))&gt;=2,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$A617=IMPORTRANGE(""https://docs.google.com/spreadsheets/d/1BJSV3WBYJGRhQ6zExamkszQ5VutGIcaQqmbD9ZTVXMQ/edit#gid=1251630045"",""articles_with_PRISMA_reasons!B2:B2113""))&lt;2),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$A617=IMPORTRANGE(""https://docs.google.com/spreadsheets/d/1BJSV3WBYJGRhQ6zExamkszQ5VutGIcaQqmbD9ZTVXMQ/edit#gid=1251630045"",""arti"&amp;"cles_with_PRISMA_reasons!B2:B2113""))&lt;2,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$A617=IMPORTRANGE(""https://docs.google.com"&amp;"/spreadsheets/d/1BJSV3WBYJGRhQ6zExamkszQ5VutGIcaQqmbD9ZTVXMQ/edit#gid=1251630045"",""articles_with_PRISMA_reasons!B2:B2113""))&gt;=2),
""Exclude""
)"),"Exclude")</f>
        <v>Exclude</v>
      </c>
      <c r="E617" s="5" t="str">
        <f>IFERROR(__xludf.DUMMYFUNCTION("IFS(
D617=""Exclude"",""Exclude"",
AND(
FILTER(IMPORTRANGE(""https://docs.google.com/spreadsheets/d/1qpEmbGH0JjaJbUdp21-y2cPbobDbMjr09BbtdKROZWc/edit#gid=1444865654"",""articles_with_PRISMA_reasons!W2:W2113""), $A617=IMPORTRANGE(""https://docs.google.com/"&amp;"spreadsheets/d/1qpEmbGH0JjaJbUdp21-y2cPbobDbMjr09BbtdKROZWc/edit#gid=1444865654"",""articles_with_PRISMA_reasons!B2:B2113""))&gt;=2,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$A617=IMPORTRANGE(""https://docs.google.com/spreadsheets/d/1qpEmbGH0JjaJbUdp21-y2cPbobDbMjr09BbtdKROZWc/edit#gid=1444865654"",""articles_with_PRISMA_reasons!B2:B2113""))&lt;2),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$A617=IMPORTRANGE(""https://docs.google.com/spreadsheets/d/1qpEmbGH0JjaJbUdp21-y2cPbobDbMjr09BbtdKRO"&amp;"ZWc/edit#gid=1444865654"",""articles_with_PRISMA_reasons!B2:B2113""))&lt;2,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$A617=IMPOR"&amp;"TRANGE(""https://docs.google.com/spreadsheets/d/1qpEmbGH0JjaJbUdp21-y2cPbobDbMjr09BbtdKROZWc/edit#gid=1444865654"",""articles_with_PRISMA_reasons!B2:B2113""))&gt;=2),
""Exclude""
)"),"Exclude")</f>
        <v>Exclude</v>
      </c>
      <c r="F617" s="5" t="str">
        <f>IFERROR(__xludf.DUMMYFUNCTION("IFS(
E617=""Exclude"",""Exclude"",
AND(
COUNTIF(
IMPORTRANGE(""https://docs.google.com/spreadsheets/d/1kGrh75X1cNR1D7_FcY9zMnHP8iPO4M5RCRjy6nZY0TY/edit#gid=0"",""Table 1: Study characteristics!B4:B171""),A617)&gt;0,
COUNTIF(Studies!$A$2:$A$85,FILTER(IMPORTRA"&amp;"NGE(""https://docs.google.com/spreadsheets/d/1kGrh75X1cNR1D7_FcY9zMnHP8iPO4M5RCRjy6nZY0TY/edit#gid=0"",""Table 1: Study characteristics!A4:A171""), $A617=IMPORTRANGE(""https://docs.google.com/spreadsheets/d/1kGrh75X1cNR1D7_FcY9zMnHP8iPO4M5RCRjy6nZY0TY/edi"&amp;"t#gid=0"",""Table 1: Study characteristics!B4:B171"")))&gt;0
),
""Include""
)"),"Exclude")</f>
        <v>Exclude</v>
      </c>
      <c r="G617" s="5" t="str">
        <f>IFERROR(__xludf.DUMMYFUNCTION("IFS(
D617=""Exclude"",
FILTER(IMPORTRANGE(""https://docs.google.com/spreadsheets/d/1BJSV3WBYJGRhQ6zExamkszQ5VutGIcaQqmbD9ZTVXMQ/edit#gid=1251630045"",""articles_with_PRISMA_reasons!AB2:AB2113""), $A617=IMPORTRANGE(""https://docs.google.com/spreadsheets/d/"&amp;"1BJSV3WBYJGRhQ6zExamkszQ5VutGIcaQqmbD9ZTVXMQ/edit#gid=1251630045"",""articles_with_PRISMA_reasons!B2:B2113"")),
E617=""Exclude"",
FILTER(IMPORTRANGE(""https://docs.google.com/spreadsheets/d/1qpEmbGH0JjaJbUdp21-y2cPbobDbMjr09BbtdKROZWc/edit#gid=1444865654"&amp;""",""articles_with_PRISMA_reasons!Z2:Z2113""), $A617=IMPORTRANGE(""https://docs.google.com/spreadsheets/d/1qpEmbGH0JjaJbUdp21-y2cPbobDbMjr09BbtdKROZWc/edit#gid=1444865654"",""articles_with_PRISMA_reasons!B2:B2113"")),F617
=""Include"",FILTER(IMPORTRANGE("&amp;"""https://docs.google.com/spreadsheets/d/1kGrh75X1cNR1D7_FcY9zMnHP8iPO4M5RCRjy6nZY0TY/edit#gid=0"",""Table 1: Study characteristics!A4:A171""), $A617=IMPORTRANGE(""https://docs.google.com/spreadsheets/d/1kGrh75X1cNR1D7_FcY9zMnHP8iPO4M5RCRjy6nZY0TY/edit#gi"&amp;"d=0"",""Table 1: Study characteristics!B4:B171""))
)"),"wrong population")</f>
        <v>wrong population</v>
      </c>
    </row>
    <row r="618">
      <c r="A618" s="4" t="str">
        <f>IFERROR(__xludf.DUMMYFUNCTION("""COMPUTED_VALUE"""),"Detection of Novel mutation in VANGL1 gene indicating genetic association of Myelomeningocele")</f>
        <v>Detection of Novel mutation in VANGL1 gene indicating genetic association of Myelomeningocele</v>
      </c>
      <c r="B618" s="5" t="str">
        <f>IFERROR(__xludf.DUMMYFUNCTION("LEFT(FILTER(IMPORTRANGE(""https://docs.google.com/spreadsheets/d/1BJSV3WBYJGRhQ6zExamkszQ5VutGIcaQqmbD9ZTVXMQ/edit#gid=1251630045"",""articles_with_PRISMA_reasons!K2:K2113""), $A618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$A618=IMPORTRANGE(""https://docs.google.com/spreadsheets/d/1BJSV3WBYJGRhQ6zExamkszQ5VutGIcaQqmbD9ZTVXMQ/edit#gid=1251630045"",""articles_with_PRISMA_reasons!B2:B2113"")))-1)"),"Fatima")</f>
        <v>Fatima</v>
      </c>
      <c r="C618" s="6">
        <f>IFERROR(__xludf.DUMMYFUNCTION("FILTER(IMPORTRANGE(""https://docs.google.com/spreadsheets/d/1BJSV3WBYJGRhQ6zExamkszQ5VutGIcaQqmbD9ZTVXMQ/edit#gid=1251630045"",""articles_with_PRISMA_reasons!C2:C2113""), $A618=IMPORTRANGE(""https://docs.google.com/spreadsheets/d/1BJSV3WBYJGRhQ6zExamkszQ5"&amp;"VutGIcaQqmbD9ZTVXMQ/edit#gid=1251630045"",""articles_with_PRISMA_reasons!B2:B2113""))"),2021.0)</f>
        <v>2021</v>
      </c>
      <c r="D618" s="5" t="str">
        <f>IFERROR(__xludf.DUMMYFUNCTION("IFS(AND(
FILTER(IMPORTRANGE(""https://docs.google.com/spreadsheets/d/1BJSV3WBYJGRhQ6zExamkszQ5VutGIcaQqmbD9ZTVXMQ/edit#gid=1251630045"",""articles_with_PRISMA_reasons!Y2:Y2113""), $A618=IMPORTRANGE(""https://docs.google.com/spreadsheets/d/1BJSV3WBYJGRhQ6z"&amp;"ExamkszQ5VutGIcaQqmbD9ZTVXMQ/edit#gid=1251630045"",""articles_with_PRISMA_reasons!B2:B2113""))&gt;=2,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$A618=IMPORTRANGE(""https://docs.google.com/spreadsheets/d/1BJSV3WBYJGRhQ6zExamkszQ5VutGIcaQqmbD9ZTVXMQ/edit#gid=1251630045"",""articles_with_PRISMA_reasons!B2:B2113""))&lt;2),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$A618=IMPORTRANGE(""https://docs.google.com/spreadsheets/d/1BJSV3WBYJGRhQ6zExamkszQ5VutGIcaQqmbD9ZTVXMQ/edit#gid=1251630045"",""arti"&amp;"cles_with_PRISMA_reasons!B2:B2113""))&lt;2,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$A618=IMPORTRANGE(""https://docs.google.com"&amp;"/spreadsheets/d/1BJSV3WBYJGRhQ6zExamkszQ5VutGIcaQqmbD9ZTVXMQ/edit#gid=1251630045"",""articles_with_PRISMA_reasons!B2:B2113""))&gt;=2),
""Exclude""
)"),"Exclude")</f>
        <v>Exclude</v>
      </c>
      <c r="E618" s="5" t="str">
        <f>IFERROR(__xludf.DUMMYFUNCTION("IFS(
D618=""Exclude"",""Exclude"",
AND(
FILTER(IMPORTRANGE(""https://docs.google.com/spreadsheets/d/1qpEmbGH0JjaJbUdp21-y2cPbobDbMjr09BbtdKROZWc/edit#gid=1444865654"",""articles_with_PRISMA_reasons!W2:W2113""), $A618=IMPORTRANGE(""https://docs.google.com/"&amp;"spreadsheets/d/1qpEmbGH0JjaJbUdp21-y2cPbobDbMjr09BbtdKROZWc/edit#gid=1444865654"",""articles_with_PRISMA_reasons!B2:B2113""))&gt;=2,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$A618=IMPORTRANGE(""https://docs.google.com/spreadsheets/d/1qpEmbGH0JjaJbUdp21-y2cPbobDbMjr09BbtdKROZWc/edit#gid=1444865654"",""articles_with_PRISMA_reasons!B2:B2113""))&lt;2),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$A618=IMPORTRANGE(""https://docs.google.com/spreadsheets/d/1qpEmbGH0JjaJbUdp21-y2cPbobDbMjr09BbtdKRO"&amp;"ZWc/edit#gid=1444865654"",""articles_with_PRISMA_reasons!B2:B2113""))&lt;2,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$A618=IMPOR"&amp;"TRANGE(""https://docs.google.com/spreadsheets/d/1qpEmbGH0JjaJbUdp21-y2cPbobDbMjr09BbtdKROZWc/edit#gid=1444865654"",""articles_with_PRISMA_reasons!B2:B2113""))&gt;=2),
""Exclude""
)"),"Exclude")</f>
        <v>Exclude</v>
      </c>
      <c r="F618" s="5" t="str">
        <f>IFERROR(__xludf.DUMMYFUNCTION("IFS(
E618=""Exclude"",""Exclude"",
AND(
COUNTIF(
IMPORTRANGE(""https://docs.google.com/spreadsheets/d/1kGrh75X1cNR1D7_FcY9zMnHP8iPO4M5RCRjy6nZY0TY/edit#gid=0"",""Table 1: Study characteristics!B4:B171""),A618)&gt;0,
COUNTIF(Studies!$A$2:$A$85,FILTER(IMPORTRA"&amp;"NGE(""https://docs.google.com/spreadsheets/d/1kGrh75X1cNR1D7_FcY9zMnHP8iPO4M5RCRjy6nZY0TY/edit#gid=0"",""Table 1: Study characteristics!A4:A171""), $A618=IMPORTRANGE(""https://docs.google.com/spreadsheets/d/1kGrh75X1cNR1D7_FcY9zMnHP8iPO4M5RCRjy6nZY0TY/edi"&amp;"t#gid=0"",""Table 1: Study characteristics!B4:B171"")))&gt;0
),
""Include""
)"),"Exclude")</f>
        <v>Exclude</v>
      </c>
      <c r="G618" s="5" t="str">
        <f>IFERROR(__xludf.DUMMYFUNCTION("IFS(
D618=""Exclude"",
FILTER(IMPORTRANGE(""https://docs.google.com/spreadsheets/d/1BJSV3WBYJGRhQ6zExamkszQ5VutGIcaQqmbD9ZTVXMQ/edit#gid=1251630045"",""articles_with_PRISMA_reasons!AB2:AB2113""), $A618=IMPORTRANGE(""https://docs.google.com/spreadsheets/d/"&amp;"1BJSV3WBYJGRhQ6zExamkszQ5VutGIcaQqmbD9ZTVXMQ/edit#gid=1251630045"",""articles_with_PRISMA_reasons!B2:B2113"")),
E618=""Exclude"",
FILTER(IMPORTRANGE(""https://docs.google.com/spreadsheets/d/1qpEmbGH0JjaJbUdp21-y2cPbobDbMjr09BbtdKROZWc/edit#gid=1444865654"&amp;""",""articles_with_PRISMA_reasons!Z2:Z2113""), $A618=IMPORTRANGE(""https://docs.google.com/spreadsheets/d/1qpEmbGH0JjaJbUdp21-y2cPbobDbMjr09BbtdKROZWc/edit#gid=1444865654"",""articles_with_PRISMA_reasons!B2:B2113"")),F618
=""Include"",FILTER(IMPORTRANGE("&amp;"""https://docs.google.com/spreadsheets/d/1kGrh75X1cNR1D7_FcY9zMnHP8iPO4M5RCRjy6nZY0TY/edit#gid=0"",""Table 1: Study characteristics!A4:A171""), $A618=IMPORTRANGE(""https://docs.google.com/spreadsheets/d/1kGrh75X1cNR1D7_FcY9zMnHP8iPO4M5RCRjy6nZY0TY/edit#gi"&amp;"d=0"",""Table 1: Study characteristics!B4:B171""))
)"),"wrong intervention")</f>
        <v>wrong intervention</v>
      </c>
    </row>
    <row r="619">
      <c r="A619" s="4" t="str">
        <f>IFERROR(__xludf.DUMMYFUNCTION("""COMPUTED_VALUE"""),"Determinants and outcomes of ventriculoperitoneal shunt infections in Enugu, Nigeria")</f>
        <v>Determinants and outcomes of ventriculoperitoneal shunt infections in Enugu, Nigeria</v>
      </c>
      <c r="B619" s="5" t="str">
        <f>IFERROR(__xludf.DUMMYFUNCTION("LEFT(FILTER(IMPORTRANGE(""https://docs.google.com/spreadsheets/d/1BJSV3WBYJGRhQ6zExamkszQ5VutGIcaQqmbD9ZTVXMQ/edit#gid=1251630045"",""articles_with_PRISMA_reasons!K2:K2113""), $A619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$A619=IMPORTRANGE(""https://docs.google.com/spreadsheets/d/1BJSV3WBYJGRhQ6zExamkszQ5VutGIcaQqmbD9ZTVXMQ/edit#gid=1251630045"",""articles_with_PRISMA_reasons!B2:B2113"")))-1)"),"Uche")</f>
        <v>Uche</v>
      </c>
      <c r="C619" s="6">
        <f>IFERROR(__xludf.DUMMYFUNCTION("FILTER(IMPORTRANGE(""https://docs.google.com/spreadsheets/d/1BJSV3WBYJGRhQ6zExamkszQ5VutGIcaQqmbD9ZTVXMQ/edit#gid=1251630045"",""articles_with_PRISMA_reasons!C2:C2113""), $A619=IMPORTRANGE(""https://docs.google.com/spreadsheets/d/1BJSV3WBYJGRhQ6zExamkszQ5"&amp;"VutGIcaQqmbD9ZTVXMQ/edit#gid=1251630045"",""articles_with_PRISMA_reasons!B2:B2113""))"),2013.0)</f>
        <v>2013</v>
      </c>
      <c r="D619" s="5" t="str">
        <f>IFERROR(__xludf.DUMMYFUNCTION("IFS(AND(
FILTER(IMPORTRANGE(""https://docs.google.com/spreadsheets/d/1BJSV3WBYJGRhQ6zExamkszQ5VutGIcaQqmbD9ZTVXMQ/edit#gid=1251630045"",""articles_with_PRISMA_reasons!Y2:Y2113""), $A619=IMPORTRANGE(""https://docs.google.com/spreadsheets/d/1BJSV3WBYJGRhQ6z"&amp;"ExamkszQ5VutGIcaQqmbD9ZTVXMQ/edit#gid=1251630045"",""articles_with_PRISMA_reasons!B2:B2113""))&gt;=2,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$A619=IMPORTRANGE(""https://docs.google.com/spreadsheets/d/1BJSV3WBYJGRhQ6zExamkszQ5VutGIcaQqmbD9ZTVXMQ/edit#gid=1251630045"",""articles_with_PRISMA_reasons!B2:B2113""))&lt;2),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$A619=IMPORTRANGE(""https://docs.google.com/spreadsheets/d/1BJSV3WBYJGRhQ6zExamkszQ5VutGIcaQqmbD9ZTVXMQ/edit#gid=1251630045"",""arti"&amp;"cles_with_PRISMA_reasons!B2:B2113""))&lt;2,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$A619=IMPORTRANGE(""https://docs.google.com"&amp;"/spreadsheets/d/1BJSV3WBYJGRhQ6zExamkszQ5VutGIcaQqmbD9ZTVXMQ/edit#gid=1251630045"",""articles_with_PRISMA_reasons!B2:B2113""))&gt;=2),
""Exclude""
)"),"Exclude")</f>
        <v>Exclude</v>
      </c>
      <c r="E619" s="5" t="str">
        <f>IFERROR(__xludf.DUMMYFUNCTION("IFS(
D619=""Exclude"",""Exclude"",
AND(
FILTER(IMPORTRANGE(""https://docs.google.com/spreadsheets/d/1qpEmbGH0JjaJbUdp21-y2cPbobDbMjr09BbtdKROZWc/edit#gid=1444865654"",""articles_with_PRISMA_reasons!W2:W2113""), $A619=IMPORTRANGE(""https://docs.google.com/"&amp;"spreadsheets/d/1qpEmbGH0JjaJbUdp21-y2cPbobDbMjr09BbtdKROZWc/edit#gid=1444865654"",""articles_with_PRISMA_reasons!B2:B2113""))&gt;=2,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$A619=IMPORTRANGE(""https://docs.google.com/spreadsheets/d/1qpEmbGH0JjaJbUdp21-y2cPbobDbMjr09BbtdKROZWc/edit#gid=1444865654"",""articles_with_PRISMA_reasons!B2:B2113""))&lt;2),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$A619=IMPORTRANGE(""https://docs.google.com/spreadsheets/d/1qpEmbGH0JjaJbUdp21-y2cPbobDbMjr09BbtdKRO"&amp;"ZWc/edit#gid=1444865654"",""articles_with_PRISMA_reasons!B2:B2113""))&lt;2,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$A619=IMPOR"&amp;"TRANGE(""https://docs.google.com/spreadsheets/d/1qpEmbGH0JjaJbUdp21-y2cPbobDbMjr09BbtdKROZWc/edit#gid=1444865654"",""articles_with_PRISMA_reasons!B2:B2113""))&gt;=2),
""Exclude""
)"),"Exclude")</f>
        <v>Exclude</v>
      </c>
      <c r="F619" s="5" t="str">
        <f>IFERROR(__xludf.DUMMYFUNCTION("IFS(
E619=""Exclude"",""Exclude"",
AND(
COUNTIF(
IMPORTRANGE(""https://docs.google.com/spreadsheets/d/1kGrh75X1cNR1D7_FcY9zMnHP8iPO4M5RCRjy6nZY0TY/edit#gid=0"",""Table 1: Study characteristics!B4:B171""),A619)&gt;0,
COUNTIF(Studies!$A$2:$A$85,FILTER(IMPORTRA"&amp;"NGE(""https://docs.google.com/spreadsheets/d/1kGrh75X1cNR1D7_FcY9zMnHP8iPO4M5RCRjy6nZY0TY/edit#gid=0"",""Table 1: Study characteristics!A4:A171""), $A619=IMPORTRANGE(""https://docs.google.com/spreadsheets/d/1kGrh75X1cNR1D7_FcY9zMnHP8iPO4M5RCRjy6nZY0TY/edi"&amp;"t#gid=0"",""Table 1: Study characteristics!B4:B171"")))&gt;0
),
""Include""
)"),"Exclude")</f>
        <v>Exclude</v>
      </c>
      <c r="G619" s="5" t="str">
        <f>IFERROR(__xludf.DUMMYFUNCTION("IFS(
D619=""Exclude"",
FILTER(IMPORTRANGE(""https://docs.google.com/spreadsheets/d/1BJSV3WBYJGRhQ6zExamkszQ5VutGIcaQqmbD9ZTVXMQ/edit#gid=1251630045"",""articles_with_PRISMA_reasons!AB2:AB2113""), $A619=IMPORTRANGE(""https://docs.google.com/spreadsheets/d/"&amp;"1BJSV3WBYJGRhQ6zExamkszQ5VutGIcaQqmbD9ZTVXMQ/edit#gid=1251630045"",""articles_with_PRISMA_reasons!B2:B2113"")),
E619=""Exclude"",
FILTER(IMPORTRANGE(""https://docs.google.com/spreadsheets/d/1qpEmbGH0JjaJbUdp21-y2cPbobDbMjr09BbtdKROZWc/edit#gid=1444865654"&amp;""",""articles_with_PRISMA_reasons!Z2:Z2113""), $A619=IMPORTRANGE(""https://docs.google.com/spreadsheets/d/1qpEmbGH0JjaJbUdp21-y2cPbobDbMjr09BbtdKROZWc/edit#gid=1444865654"",""articles_with_PRISMA_reasons!B2:B2113"")),F619
=""Include"",FILTER(IMPORTRANGE("&amp;"""https://docs.google.com/spreadsheets/d/1kGrh75X1cNR1D7_FcY9zMnHP8iPO4M5RCRjy6nZY0TY/edit#gid=0"",""Table 1: Study characteristics!A4:A171""), $A619=IMPORTRANGE(""https://docs.google.com/spreadsheets/d/1kGrh75X1cNR1D7_FcY9zMnHP8iPO4M5RCRjy6nZY0TY/edit#gi"&amp;"d=0"",""Table 1: Study characteristics!B4:B171""))
)"),"wrong population")</f>
        <v>wrong population</v>
      </c>
    </row>
    <row r="620">
      <c r="A620" s="4" t="str">
        <f>IFERROR(__xludf.DUMMYFUNCTION("""COMPUTED_VALUE"""),"Determination of the Effect of Diameter of the Sac on Prognosis in 64 Cases Operated for Meningomyelocele")</f>
        <v>Determination of the Effect of Diameter of the Sac on Prognosis in 64 Cases Operated for Meningomyelocele</v>
      </c>
      <c r="B620" s="5" t="str">
        <f>IFERROR(__xludf.DUMMYFUNCTION("LEFT(FILTER(IMPORTRANGE(""https://docs.google.com/spreadsheets/d/1BJSV3WBYJGRhQ6zExamkszQ5VutGIcaQqmbD9ZTVXMQ/edit#gid=1251630045"",""articles_with_PRISMA_reasons!K2:K2113""), $A620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$A620=IMPORTRANGE(""https://docs.google.com/spreadsheets/d/1BJSV3WBYJGRhQ6zExamkszQ5VutGIcaQqmbD9ZTVXMQ/edit#gid=1251630045"",""articles_with_PRISMA_reasons!B2:B2113"")))-1)"),"Metehan")</f>
        <v>Metehan</v>
      </c>
      <c r="C620" s="6">
        <f>IFERROR(__xludf.DUMMYFUNCTION("FILTER(IMPORTRANGE(""https://docs.google.com/spreadsheets/d/1BJSV3WBYJGRhQ6zExamkszQ5VutGIcaQqmbD9ZTVXMQ/edit#gid=1251630045"",""articles_with_PRISMA_reasons!C2:C2113""), $A620=IMPORTRANGE(""https://docs.google.com/spreadsheets/d/1BJSV3WBYJGRhQ6zExamkszQ5"&amp;"VutGIcaQqmbD9ZTVXMQ/edit#gid=1251630045"",""articles_with_PRISMA_reasons!B2:B2113""))"),2017.0)</f>
        <v>2017</v>
      </c>
      <c r="D620" s="5" t="str">
        <f>IFERROR(__xludf.DUMMYFUNCTION("IFS(AND(
FILTER(IMPORTRANGE(""https://docs.google.com/spreadsheets/d/1BJSV3WBYJGRhQ6zExamkszQ5VutGIcaQqmbD9ZTVXMQ/edit#gid=1251630045"",""articles_with_PRISMA_reasons!Y2:Y2113""), $A620=IMPORTRANGE(""https://docs.google.com/spreadsheets/d/1BJSV3WBYJGRhQ6z"&amp;"ExamkszQ5VutGIcaQqmbD9ZTVXMQ/edit#gid=1251630045"",""articles_with_PRISMA_reasons!B2:B2113""))&gt;=2,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$A620=IMPORTRANGE(""https://docs.google.com/spreadsheets/d/1BJSV3WBYJGRhQ6zExamkszQ5VutGIcaQqmbD9ZTVXMQ/edit#gid=1251630045"",""articles_with_PRISMA_reasons!B2:B2113""))&lt;2),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$A620=IMPORTRANGE(""https://docs.google.com/spreadsheets/d/1BJSV3WBYJGRhQ6zExamkszQ5VutGIcaQqmbD9ZTVXMQ/edit#gid=1251630045"",""arti"&amp;"cles_with_PRISMA_reasons!B2:B2113""))&lt;2,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$A620=IMPORTRANGE(""https://docs.google.com"&amp;"/spreadsheets/d/1BJSV3WBYJGRhQ6zExamkszQ5VutGIcaQqmbD9ZTVXMQ/edit#gid=1251630045"",""articles_with_PRISMA_reasons!B2:B2113""))&gt;=2),
""Exclude""
)"),"Include")</f>
        <v>Include</v>
      </c>
      <c r="E620" s="5" t="str">
        <f>IFERROR(__xludf.DUMMYFUNCTION("IFS(
D620=""Exclude"",""Exclude"",
AND(
FILTER(IMPORTRANGE(""https://docs.google.com/spreadsheets/d/1qpEmbGH0JjaJbUdp21-y2cPbobDbMjr09BbtdKROZWc/edit#gid=1444865654"",""articles_with_PRISMA_reasons!W2:W2113""), $A620=IMPORTRANGE(""https://docs.google.com/"&amp;"spreadsheets/d/1qpEmbGH0JjaJbUdp21-y2cPbobDbMjr09BbtdKROZWc/edit#gid=1444865654"",""articles_with_PRISMA_reasons!B2:B2113""))&gt;=2,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$A620=IMPORTRANGE(""https://docs.google.com/spreadsheets/d/1qpEmbGH0JjaJbUdp21-y2cPbobDbMjr09BbtdKROZWc/edit#gid=1444865654"",""articles_with_PRISMA_reasons!B2:B2113""))&lt;2),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$A620=IMPORTRANGE(""https://docs.google.com/spreadsheets/d/1qpEmbGH0JjaJbUdp21-y2cPbobDbMjr09BbtdKRO"&amp;"ZWc/edit#gid=1444865654"",""articles_with_PRISMA_reasons!B2:B2113""))&lt;2,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$A620=IMPOR"&amp;"TRANGE(""https://docs.google.com/spreadsheets/d/1qpEmbGH0JjaJbUdp21-y2cPbobDbMjr09BbtdKROZWc/edit#gid=1444865654"",""articles_with_PRISMA_reasons!B2:B2113""))&gt;=2),
""Exclude""
)"),"Include")</f>
        <v>Include</v>
      </c>
      <c r="F620" s="5" t="str">
        <f>IFERROR(__xludf.DUMMYFUNCTION("IFS(
E620=""Exclude"",""Exclude"",
AND(
COUNTIF(
IMPORTRANGE(""https://docs.google.com/spreadsheets/d/1kGrh75X1cNR1D7_FcY9zMnHP8iPO4M5RCRjy6nZY0TY/edit#gid=0"",""Table 1: Study characteristics!B4:B171""),A620)&gt;0,
COUNTIF(Studies!$A$2:$A$85,FILTER(IMPORTRA"&amp;"NGE(""https://docs.google.com/spreadsheets/d/1kGrh75X1cNR1D7_FcY9zMnHP8iPO4M5RCRjy6nZY0TY/edit#gid=0"",""Table 1: Study characteristics!A4:A171""), $A620=IMPORTRANGE(""https://docs.google.com/spreadsheets/d/1kGrh75X1cNR1D7_FcY9zMnHP8iPO4M5RCRjy6nZY0TY/edi"&amp;"t#gid=0"",""Table 1: Study characteristics!B4:B171"")))&gt;0
),
""Include""
)"),"Include")</f>
        <v>Include</v>
      </c>
      <c r="G620" s="5" t="str">
        <f>IFERROR(__xludf.DUMMYFUNCTION("IFS(
D620=""Exclude"",
FILTER(IMPORTRANGE(""https://docs.google.com/spreadsheets/d/1BJSV3WBYJGRhQ6zExamkszQ5VutGIcaQqmbD9ZTVXMQ/edit#gid=1251630045"",""articles_with_PRISMA_reasons!AB2:AB2113""), $A620=IMPORTRANGE(""https://docs.google.com/spreadsheets/d/"&amp;"1BJSV3WBYJGRhQ6zExamkszQ5VutGIcaQqmbD9ZTVXMQ/edit#gid=1251630045"",""articles_with_PRISMA_reasons!B2:B2113"")),
E620=""Exclude"",
FILTER(IMPORTRANGE(""https://docs.google.com/spreadsheets/d/1qpEmbGH0JjaJbUdp21-y2cPbobDbMjr09BbtdKROZWc/edit#gid=1444865654"&amp;""",""articles_with_PRISMA_reasons!Z2:Z2113""), $A620=IMPORTRANGE(""https://docs.google.com/spreadsheets/d/1qpEmbGH0JjaJbUdp21-y2cPbobDbMjr09BbtdKROZWc/edit#gid=1444865654"",""articles_with_PRISMA_reasons!B2:B2113"")),F620
=""Include"",FILTER(IMPORTRANGE("&amp;"""https://docs.google.com/spreadsheets/d/1kGrh75X1cNR1D7_FcY9zMnHP8iPO4M5RCRjy6nZY0TY/edit#gid=0"",""Table 1: Study characteristics!A4:A171""), $A620=IMPORTRANGE(""https://docs.google.com/spreadsheets/d/1kGrh75X1cNR1D7_FcY9zMnHP8iPO4M5RCRjy6nZY0TY/edit#gi"&amp;"d=0"",""Table 1: Study characteristics!B4:B171""))
)"),"ID 47")</f>
        <v>ID 47</v>
      </c>
    </row>
    <row r="621">
      <c r="A621" s="4" t="str">
        <f>IFERROR(__xludf.DUMMYFUNCTION("""COMPUTED_VALUE"""),"Determine the prevalence of early post-operative complications in the treatment of meningomyelocele")</f>
        <v>Determine the prevalence of early post-operative complications in the treatment of meningomyelocele</v>
      </c>
      <c r="B621" s="5" t="str">
        <f>IFERROR(__xludf.DUMMYFUNCTION("LEFT(FILTER(IMPORTRANGE(""https://docs.google.com/spreadsheets/d/1BJSV3WBYJGRhQ6zExamkszQ5VutGIcaQqmbD9ZTVXMQ/edit#gid=1251630045"",""articles_with_PRISMA_reasons!K2:K2113""), $A621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$A621=IMPORTRANGE(""https://docs.google.com/spreadsheets/d/1BJSV3WBYJGRhQ6zExamkszQ5VutGIcaQqmbD9ZTVXMQ/edit#gid=1251630045"",""articles_with_PRISMA_reasons!B2:B2113"")))-1)"),"Hussain")</f>
        <v>Hussain</v>
      </c>
      <c r="C621" s="6">
        <f>IFERROR(__xludf.DUMMYFUNCTION("FILTER(IMPORTRANGE(""https://docs.google.com/spreadsheets/d/1BJSV3WBYJGRhQ6zExamkszQ5VutGIcaQqmbD9ZTVXMQ/edit#gid=1251630045"",""articles_with_PRISMA_reasons!C2:C2113""), $A621=IMPORTRANGE(""https://docs.google.com/spreadsheets/d/1BJSV3WBYJGRhQ6zExamkszQ5"&amp;"VutGIcaQqmbD9ZTVXMQ/edit#gid=1251630045"",""articles_with_PRISMA_reasons!B2:B2113""))"),2020.0)</f>
        <v>2020</v>
      </c>
      <c r="D621" s="5" t="str">
        <f>IFERROR(__xludf.DUMMYFUNCTION("IFS(AND(
FILTER(IMPORTRANGE(""https://docs.google.com/spreadsheets/d/1BJSV3WBYJGRhQ6zExamkszQ5VutGIcaQqmbD9ZTVXMQ/edit#gid=1251630045"",""articles_with_PRISMA_reasons!Y2:Y2113""), $A621=IMPORTRANGE(""https://docs.google.com/spreadsheets/d/1BJSV3WBYJGRhQ6z"&amp;"ExamkszQ5VutGIcaQqmbD9ZTVXMQ/edit#gid=1251630045"",""articles_with_PRISMA_reasons!B2:B2113""))&gt;=2,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$A621=IMPORTRANGE(""https://docs.google.com/spreadsheets/d/1BJSV3WBYJGRhQ6zExamkszQ5VutGIcaQqmbD9ZTVXMQ/edit#gid=1251630045"",""articles_with_PRISMA_reasons!B2:B2113""))&lt;2),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$A621=IMPORTRANGE(""https://docs.google.com/spreadsheets/d/1BJSV3WBYJGRhQ6zExamkszQ5VutGIcaQqmbD9ZTVXMQ/edit#gid=1251630045"",""arti"&amp;"cles_with_PRISMA_reasons!B2:B2113""))&lt;2,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$A621=IMPORTRANGE(""https://docs.google.com"&amp;"/spreadsheets/d/1BJSV3WBYJGRhQ6zExamkszQ5VutGIcaQqmbD9ZTVXMQ/edit#gid=1251630045"",""articles_with_PRISMA_reasons!B2:B2113""))&gt;=2),
""Exclude""
)"),"Exclude")</f>
        <v>Exclude</v>
      </c>
      <c r="E621" s="5" t="str">
        <f>IFERROR(__xludf.DUMMYFUNCTION("IFS(
D621=""Exclude"",""Exclude"",
AND(
FILTER(IMPORTRANGE(""https://docs.google.com/spreadsheets/d/1qpEmbGH0JjaJbUdp21-y2cPbobDbMjr09BbtdKROZWc/edit#gid=1444865654"",""articles_with_PRISMA_reasons!W2:W2113""), $A621=IMPORTRANGE(""https://docs.google.com/"&amp;"spreadsheets/d/1qpEmbGH0JjaJbUdp21-y2cPbobDbMjr09BbtdKROZWc/edit#gid=1444865654"",""articles_with_PRISMA_reasons!B2:B2113""))&gt;=2,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$A621=IMPORTRANGE(""https://docs.google.com/spreadsheets/d/1qpEmbGH0JjaJbUdp21-y2cPbobDbMjr09BbtdKROZWc/edit#gid=1444865654"",""articles_with_PRISMA_reasons!B2:B2113""))&lt;2),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$A621=IMPORTRANGE(""https://docs.google.com/spreadsheets/d/1qpEmbGH0JjaJbUdp21-y2cPbobDbMjr09BbtdKRO"&amp;"ZWc/edit#gid=1444865654"",""articles_with_PRISMA_reasons!B2:B2113""))&lt;2,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$A621=IMPOR"&amp;"TRANGE(""https://docs.google.com/spreadsheets/d/1qpEmbGH0JjaJbUdp21-y2cPbobDbMjr09BbtdKROZWc/edit#gid=1444865654"",""articles_with_PRISMA_reasons!B2:B2113""))&gt;=2),
""Exclude""
)"),"Exclude")</f>
        <v>Exclude</v>
      </c>
      <c r="F621" s="5" t="str">
        <f>IFERROR(__xludf.DUMMYFUNCTION("IFS(
E621=""Exclude"",""Exclude"",
AND(
COUNTIF(
IMPORTRANGE(""https://docs.google.com/spreadsheets/d/1kGrh75X1cNR1D7_FcY9zMnHP8iPO4M5RCRjy6nZY0TY/edit#gid=0"",""Table 1: Study characteristics!B4:B171""),A621)&gt;0,
COUNTIF(Studies!$A$2:$A$85,FILTER(IMPORTRA"&amp;"NGE(""https://docs.google.com/spreadsheets/d/1kGrh75X1cNR1D7_FcY9zMnHP8iPO4M5RCRjy6nZY0TY/edit#gid=0"",""Table 1: Study characteristics!A4:A171""), $A621=IMPORTRANGE(""https://docs.google.com/spreadsheets/d/1kGrh75X1cNR1D7_FcY9zMnHP8iPO4M5RCRjy6nZY0TY/edi"&amp;"t#gid=0"",""Table 1: Study characteristics!B4:B171"")))&gt;0
),
""Include""
)"),"Exclude")</f>
        <v>Exclude</v>
      </c>
      <c r="G621" s="5" t="str">
        <f>IFERROR(__xludf.DUMMYFUNCTION("IFS(
D621=""Exclude"",
FILTER(IMPORTRANGE(""https://docs.google.com/spreadsheets/d/1BJSV3WBYJGRhQ6zExamkszQ5VutGIcaQqmbD9ZTVXMQ/edit#gid=1251630045"",""articles_with_PRISMA_reasons!AB2:AB2113""), $A621=IMPORTRANGE(""https://docs.google.com/spreadsheets/d/"&amp;"1BJSV3WBYJGRhQ6zExamkszQ5VutGIcaQqmbD9ZTVXMQ/edit#gid=1251630045"",""articles_with_PRISMA_reasons!B2:B2113"")),
E621=""Exclude"",
FILTER(IMPORTRANGE(""https://docs.google.com/spreadsheets/d/1qpEmbGH0JjaJbUdp21-y2cPbobDbMjr09BbtdKROZWc/edit#gid=1444865654"&amp;""",""articles_with_PRISMA_reasons!Z2:Z2113""), $A621=IMPORTRANGE(""https://docs.google.com/spreadsheets/d/1qpEmbGH0JjaJbUdp21-y2cPbobDbMjr09BbtdKROZWc/edit#gid=1444865654"",""articles_with_PRISMA_reasons!B2:B2113"")),F621
=""Include"",FILTER(IMPORTRANGE("&amp;"""https://docs.google.com/spreadsheets/d/1kGrh75X1cNR1D7_FcY9zMnHP8iPO4M5RCRjy6nZY0TY/edit#gid=0"",""Table 1: Study characteristics!A4:A171""), $A621=IMPORTRANGE(""https://docs.google.com/spreadsheets/d/1kGrh75X1cNR1D7_FcY9zMnHP8iPO4M5RCRjy6nZY0TY/edit#gi"&amp;"d=0"",""Table 1: Study characteristics!B4:B171""))
)"),"wrong population")</f>
        <v>wrong population</v>
      </c>
    </row>
    <row r="622">
      <c r="A622" s="4" t="str">
        <f>IFERROR(__xludf.DUMMYFUNCTION("""COMPUTED_VALUE"""),"Detrusor action in children with myelomeningocele")</f>
        <v>Detrusor action in children with myelomeningocele</v>
      </c>
      <c r="B622" s="5" t="str">
        <f>IFERROR(__xludf.DUMMYFUNCTION("LEFT(FILTER(IMPORTRANGE(""https://docs.google.com/spreadsheets/d/1BJSV3WBYJGRhQ6zExamkszQ5VutGIcaQqmbD9ZTVXMQ/edit#gid=1251630045"",""articles_with_PRISMA_reasons!K2:K2113""), $A622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$A622=IMPORTRANGE(""https://docs.google.com/spreadsheets/d/1BJSV3WBYJGRhQ6zExamkszQ5VutGIcaQqmbD9ZTVXMQ/edit#gid=1251630045"",""articles_with_PRISMA_reasons!B2:B2113"")))-1)"),"Cooper")</f>
        <v>Cooper</v>
      </c>
      <c r="C622" s="6">
        <f>IFERROR(__xludf.DUMMYFUNCTION("FILTER(IMPORTRANGE(""https://docs.google.com/spreadsheets/d/1BJSV3WBYJGRhQ6zExamkszQ5VutGIcaQqmbD9ZTVXMQ/edit#gid=1251630045"",""articles_with_PRISMA_reasons!C2:C2113""), $A622=IMPORTRANGE(""https://docs.google.com/spreadsheets/d/1BJSV3WBYJGRhQ6zExamkszQ5"&amp;"VutGIcaQqmbD9ZTVXMQ/edit#gid=1251630045"",""articles_with_PRISMA_reasons!B2:B2113""))"),1968.0)</f>
        <v>1968</v>
      </c>
      <c r="D622" s="5" t="str">
        <f>IFERROR(__xludf.DUMMYFUNCTION("IFS(AND(
FILTER(IMPORTRANGE(""https://docs.google.com/spreadsheets/d/1BJSV3WBYJGRhQ6zExamkszQ5VutGIcaQqmbD9ZTVXMQ/edit#gid=1251630045"",""articles_with_PRISMA_reasons!Y2:Y2113""), $A622=IMPORTRANGE(""https://docs.google.com/spreadsheets/d/1BJSV3WBYJGRhQ6z"&amp;"ExamkszQ5VutGIcaQqmbD9ZTVXMQ/edit#gid=1251630045"",""articles_with_PRISMA_reasons!B2:B2113""))&gt;=2,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$A622=IMPORTRANGE(""https://docs.google.com/spreadsheets/d/1BJSV3WBYJGRhQ6zExamkszQ5VutGIcaQqmbD9ZTVXMQ/edit#gid=1251630045"",""articles_with_PRISMA_reasons!B2:B2113""))&lt;2),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$A622=IMPORTRANGE(""https://docs.google.com/spreadsheets/d/1BJSV3WBYJGRhQ6zExamkszQ5VutGIcaQqmbD9ZTVXMQ/edit#gid=1251630045"",""arti"&amp;"cles_with_PRISMA_reasons!B2:B2113""))&lt;2,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$A622=IMPORTRANGE(""https://docs.google.com"&amp;"/spreadsheets/d/1BJSV3WBYJGRhQ6zExamkszQ5VutGIcaQqmbD9ZTVXMQ/edit#gid=1251630045"",""articles_with_PRISMA_reasons!B2:B2113""))&gt;=2),
""Exclude""
)"),"Exclude")</f>
        <v>Exclude</v>
      </c>
      <c r="E622" s="5" t="str">
        <f>IFERROR(__xludf.DUMMYFUNCTION("IFS(
D622=""Exclude"",""Exclude"",
AND(
FILTER(IMPORTRANGE(""https://docs.google.com/spreadsheets/d/1qpEmbGH0JjaJbUdp21-y2cPbobDbMjr09BbtdKROZWc/edit#gid=1444865654"",""articles_with_PRISMA_reasons!W2:W2113""), $A622=IMPORTRANGE(""https://docs.google.com/"&amp;"spreadsheets/d/1qpEmbGH0JjaJbUdp21-y2cPbobDbMjr09BbtdKROZWc/edit#gid=1444865654"",""articles_with_PRISMA_reasons!B2:B2113""))&gt;=2,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$A622=IMPORTRANGE(""https://docs.google.com/spreadsheets/d/1qpEmbGH0JjaJbUdp21-y2cPbobDbMjr09BbtdKROZWc/edit#gid=1444865654"",""articles_with_PRISMA_reasons!B2:B2113""))&lt;2),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$A622=IMPORTRANGE(""https://docs.google.com/spreadsheets/d/1qpEmbGH0JjaJbUdp21-y2cPbobDbMjr09BbtdKRO"&amp;"ZWc/edit#gid=1444865654"",""articles_with_PRISMA_reasons!B2:B2113""))&lt;2,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$A622=IMPOR"&amp;"TRANGE(""https://docs.google.com/spreadsheets/d/1qpEmbGH0JjaJbUdp21-y2cPbobDbMjr09BbtdKROZWc/edit#gid=1444865654"",""articles_with_PRISMA_reasons!B2:B2113""))&gt;=2),
""Exclude""
)"),"Exclude")</f>
        <v>Exclude</v>
      </c>
      <c r="F622" s="5" t="str">
        <f>IFERROR(__xludf.DUMMYFUNCTION("IFS(
E622=""Exclude"",""Exclude"",
AND(
COUNTIF(
IMPORTRANGE(""https://docs.google.com/spreadsheets/d/1kGrh75X1cNR1D7_FcY9zMnHP8iPO4M5RCRjy6nZY0TY/edit#gid=0"",""Table 1: Study characteristics!B4:B171""),A622)&gt;0,
COUNTIF(Studies!$A$2:$A$85,FILTER(IMPORTRA"&amp;"NGE(""https://docs.google.com/spreadsheets/d/1kGrh75X1cNR1D7_FcY9zMnHP8iPO4M5RCRjy6nZY0TY/edit#gid=0"",""Table 1: Study characteristics!A4:A171""), $A622=IMPORTRANGE(""https://docs.google.com/spreadsheets/d/1kGrh75X1cNR1D7_FcY9zMnHP8iPO4M5RCRjy6nZY0TY/edi"&amp;"t#gid=0"",""Table 1: Study characteristics!B4:B171"")))&gt;0
),
""Include""
)"),"Exclude")</f>
        <v>Exclude</v>
      </c>
      <c r="G622" s="5" t="str">
        <f>IFERROR(__xludf.DUMMYFUNCTION("IFS(
D622=""Exclude"",
FILTER(IMPORTRANGE(""https://docs.google.com/spreadsheets/d/1BJSV3WBYJGRhQ6zExamkszQ5VutGIcaQqmbD9ZTVXMQ/edit#gid=1251630045"",""articles_with_PRISMA_reasons!AB2:AB2113""), $A622=IMPORTRANGE(""https://docs.google.com/spreadsheets/d/"&amp;"1BJSV3WBYJGRhQ6zExamkszQ5VutGIcaQqmbD9ZTVXMQ/edit#gid=1251630045"",""articles_with_PRISMA_reasons!B2:B2113"")),
E622=""Exclude"",
FILTER(IMPORTRANGE(""https://docs.google.com/spreadsheets/d/1qpEmbGH0JjaJbUdp21-y2cPbobDbMjr09BbtdKROZWc/edit#gid=1444865654"&amp;""",""articles_with_PRISMA_reasons!Z2:Z2113""), $A622=IMPORTRANGE(""https://docs.google.com/spreadsheets/d/1qpEmbGH0JjaJbUdp21-y2cPbobDbMjr09BbtdKROZWc/edit#gid=1444865654"",""articles_with_PRISMA_reasons!B2:B2113"")),F622
=""Include"",FILTER(IMPORTRANGE("&amp;"""https://docs.google.com/spreadsheets/d/1kGrh75X1cNR1D7_FcY9zMnHP8iPO4M5RCRjy6nZY0TY/edit#gid=0"",""Table 1: Study characteristics!A4:A171""), $A622=IMPORTRANGE(""https://docs.google.com/spreadsheets/d/1kGrh75X1cNR1D7_FcY9zMnHP8iPO4M5RCRjy6nZY0TY/edit#gi"&amp;"d=0"",""Table 1: Study characteristics!B4:B171""))
)"),"wrong study design")</f>
        <v>wrong study design</v>
      </c>
    </row>
    <row r="623">
      <c r="A623" s="4" t="str">
        <f>IFERROR(__xludf.DUMMYFUNCTION("""COMPUTED_VALUE"""),"Development of severe hyponatremia due to cerebrospinal fluid leakage following meningomyelocele surgery in a newborn")</f>
        <v>Development of severe hyponatremia due to cerebrospinal fluid leakage following meningomyelocele surgery in a newborn</v>
      </c>
      <c r="B623" s="5" t="str">
        <f>IFERROR(__xludf.DUMMYFUNCTION("LEFT(FILTER(IMPORTRANGE(""https://docs.google.com/spreadsheets/d/1BJSV3WBYJGRhQ6zExamkszQ5VutGIcaQqmbD9ZTVXMQ/edit#gid=1251630045"",""articles_with_PRISMA_reasons!K2:K2113""), $A623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$A623=IMPORTRANGE(""https://docs.google.com/spreadsheets/d/1BJSV3WBYJGRhQ6zExamkszQ5VutGIcaQqmbD9ZTVXMQ/edit#gid=1251630045"",""articles_with_PRISMA_reasons!B2:B2113"")))-1)"),"Turgut")</f>
        <v>Turgut</v>
      </c>
      <c r="C623" s="6">
        <f>IFERROR(__xludf.DUMMYFUNCTION("FILTER(IMPORTRANGE(""https://docs.google.com/spreadsheets/d/1BJSV3WBYJGRhQ6zExamkszQ5VutGIcaQqmbD9ZTVXMQ/edit#gid=1251630045"",""articles_with_PRISMA_reasons!C2:C2113""), $A623=IMPORTRANGE(""https://docs.google.com/spreadsheets/d/1BJSV3WBYJGRhQ6zExamkszQ5"&amp;"VutGIcaQqmbD9ZTVXMQ/edit#gid=1251630045"",""articles_with_PRISMA_reasons!B2:B2113""))"),2018.0)</f>
        <v>2018</v>
      </c>
      <c r="D623" s="5" t="str">
        <f>IFERROR(__xludf.DUMMYFUNCTION("IFS(AND(
FILTER(IMPORTRANGE(""https://docs.google.com/spreadsheets/d/1BJSV3WBYJGRhQ6zExamkszQ5VutGIcaQqmbD9ZTVXMQ/edit#gid=1251630045"",""articles_with_PRISMA_reasons!Y2:Y2113""), $A623=IMPORTRANGE(""https://docs.google.com/spreadsheets/d/1BJSV3WBYJGRhQ6z"&amp;"ExamkszQ5VutGIcaQqmbD9ZTVXMQ/edit#gid=1251630045"",""articles_with_PRISMA_reasons!B2:B2113""))&gt;=2,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$A623=IMPORTRANGE(""https://docs.google.com/spreadsheets/d/1BJSV3WBYJGRhQ6zExamkszQ5VutGIcaQqmbD9ZTVXMQ/edit#gid=1251630045"",""articles_with_PRISMA_reasons!B2:B2113""))&lt;2),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$A623=IMPORTRANGE(""https://docs.google.com/spreadsheets/d/1BJSV3WBYJGRhQ6zExamkszQ5VutGIcaQqmbD9ZTVXMQ/edit#gid=1251630045"",""arti"&amp;"cles_with_PRISMA_reasons!B2:B2113""))&lt;2,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$A623=IMPORTRANGE(""https://docs.google.com"&amp;"/spreadsheets/d/1BJSV3WBYJGRhQ6zExamkszQ5VutGIcaQqmbD9ZTVXMQ/edit#gid=1251630045"",""articles_with_PRISMA_reasons!B2:B2113""))&gt;=2),
""Exclude""
)"),"Exclude")</f>
        <v>Exclude</v>
      </c>
      <c r="E623" s="5" t="str">
        <f>IFERROR(__xludf.DUMMYFUNCTION("IFS(
D623=""Exclude"",""Exclude"",
AND(
FILTER(IMPORTRANGE(""https://docs.google.com/spreadsheets/d/1qpEmbGH0JjaJbUdp21-y2cPbobDbMjr09BbtdKROZWc/edit#gid=1444865654"",""articles_with_PRISMA_reasons!W2:W2113""), $A623=IMPORTRANGE(""https://docs.google.com/"&amp;"spreadsheets/d/1qpEmbGH0JjaJbUdp21-y2cPbobDbMjr09BbtdKROZWc/edit#gid=1444865654"",""articles_with_PRISMA_reasons!B2:B2113""))&gt;=2,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$A623=IMPORTRANGE(""https://docs.google.com/spreadsheets/d/1qpEmbGH0JjaJbUdp21-y2cPbobDbMjr09BbtdKROZWc/edit#gid=1444865654"",""articles_with_PRISMA_reasons!B2:B2113""))&lt;2),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$A623=IMPORTRANGE(""https://docs.google.com/spreadsheets/d/1qpEmbGH0JjaJbUdp21-y2cPbobDbMjr09BbtdKRO"&amp;"ZWc/edit#gid=1444865654"",""articles_with_PRISMA_reasons!B2:B2113""))&lt;2,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$A623=IMPOR"&amp;"TRANGE(""https://docs.google.com/spreadsheets/d/1qpEmbGH0JjaJbUdp21-y2cPbobDbMjr09BbtdKROZWc/edit#gid=1444865654"",""articles_with_PRISMA_reasons!B2:B2113""))&gt;=2),
""Exclude""
)"),"Exclude")</f>
        <v>Exclude</v>
      </c>
      <c r="F623" s="5" t="str">
        <f>IFERROR(__xludf.DUMMYFUNCTION("IFS(
E623=""Exclude"",""Exclude"",
AND(
COUNTIF(
IMPORTRANGE(""https://docs.google.com/spreadsheets/d/1kGrh75X1cNR1D7_FcY9zMnHP8iPO4M5RCRjy6nZY0TY/edit#gid=0"",""Table 1: Study characteristics!B4:B171""),A623)&gt;0,
COUNTIF(Studies!$A$2:$A$85,FILTER(IMPORTRA"&amp;"NGE(""https://docs.google.com/spreadsheets/d/1kGrh75X1cNR1D7_FcY9zMnHP8iPO4M5RCRjy6nZY0TY/edit#gid=0"",""Table 1: Study characteristics!A4:A171""), $A623=IMPORTRANGE(""https://docs.google.com/spreadsheets/d/1kGrh75X1cNR1D7_FcY9zMnHP8iPO4M5RCRjy6nZY0TY/edi"&amp;"t#gid=0"",""Table 1: Study characteristics!B4:B171"")))&gt;0
),
""Include""
)"),"Exclude")</f>
        <v>Exclude</v>
      </c>
      <c r="G623" s="5" t="str">
        <f>IFERROR(__xludf.DUMMYFUNCTION("IFS(
D623=""Exclude"",
FILTER(IMPORTRANGE(""https://docs.google.com/spreadsheets/d/1BJSV3WBYJGRhQ6zExamkszQ5VutGIcaQqmbD9ZTVXMQ/edit#gid=1251630045"",""articles_with_PRISMA_reasons!AB2:AB2113""), $A623=IMPORTRANGE(""https://docs.google.com/spreadsheets/d/"&amp;"1BJSV3WBYJGRhQ6zExamkszQ5VutGIcaQqmbD9ZTVXMQ/edit#gid=1251630045"",""articles_with_PRISMA_reasons!B2:B2113"")),
E623=""Exclude"",
FILTER(IMPORTRANGE(""https://docs.google.com/spreadsheets/d/1qpEmbGH0JjaJbUdp21-y2cPbobDbMjr09BbtdKROZWc/edit#gid=1444865654"&amp;""",""articles_with_PRISMA_reasons!Z2:Z2113""), $A623=IMPORTRANGE(""https://docs.google.com/spreadsheets/d/1qpEmbGH0JjaJbUdp21-y2cPbobDbMjr09BbtdKROZWc/edit#gid=1444865654"",""articles_with_PRISMA_reasons!B2:B2113"")),F623
=""Include"",FILTER(IMPORTRANGE("&amp;"""https://docs.google.com/spreadsheets/d/1kGrh75X1cNR1D7_FcY9zMnHP8iPO4M5RCRjy6nZY0TY/edit#gid=0"",""Table 1: Study characteristics!A4:A171""), $A623=IMPORTRANGE(""https://docs.google.com/spreadsheets/d/1kGrh75X1cNR1D7_FcY9zMnHP8iPO4M5RCRjy6nZY0TY/edit#gi"&amp;"d=0"",""Table 1: Study characteristics!B4:B171""))
)"),"wrong study design")</f>
        <v>wrong study design</v>
      </c>
    </row>
    <row r="624">
      <c r="A624" s="4" t="str">
        <f>IFERROR(__xludf.DUMMYFUNCTION("""COMPUTED_VALUE"""),"Developmental brain anomaly due to fetal hydrocephalus")</f>
        <v>Developmental brain anomaly due to fetal hydrocephalus</v>
      </c>
      <c r="B624" s="5" t="str">
        <f>IFERROR(__xludf.DUMMYFUNCTION("LEFT(FILTER(IMPORTRANGE(""https://docs.google.com/spreadsheets/d/1BJSV3WBYJGRhQ6zExamkszQ5VutGIcaQqmbD9ZTVXMQ/edit#gid=1251630045"",""articles_with_PRISMA_reasons!K2:K2113""), $A624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$A624=IMPORTRANGE(""https://docs.google.com/spreadsheets/d/1BJSV3WBYJGRhQ6zExamkszQ5VutGIcaQqmbD9ZTVXMQ/edit#gid=1251630045"",""articles_with_PRISMA_reasons!B2:B2113"")))-1)"),"Das")</f>
        <v>Das</v>
      </c>
      <c r="C624" s="6">
        <f>IFERROR(__xludf.DUMMYFUNCTION("FILTER(IMPORTRANGE(""https://docs.google.com/spreadsheets/d/1BJSV3WBYJGRhQ6zExamkszQ5VutGIcaQqmbD9ZTVXMQ/edit#gid=1251630045"",""articles_with_PRISMA_reasons!C2:C2113""), $A624=IMPORTRANGE(""https://docs.google.com/spreadsheets/d/1BJSV3WBYJGRhQ6zExamkszQ5"&amp;"VutGIcaQqmbD9ZTVXMQ/edit#gid=1251630045"",""articles_with_PRISMA_reasons!B2:B2113""))"),2013.0)</f>
        <v>2013</v>
      </c>
      <c r="D624" s="5" t="str">
        <f>IFERROR(__xludf.DUMMYFUNCTION("IFS(AND(
FILTER(IMPORTRANGE(""https://docs.google.com/spreadsheets/d/1BJSV3WBYJGRhQ6zExamkszQ5VutGIcaQqmbD9ZTVXMQ/edit#gid=1251630045"",""articles_with_PRISMA_reasons!Y2:Y2113""), $A624=IMPORTRANGE(""https://docs.google.com/spreadsheets/d/1BJSV3WBYJGRhQ6z"&amp;"ExamkszQ5VutGIcaQqmbD9ZTVXMQ/edit#gid=1251630045"",""articles_with_PRISMA_reasons!B2:B2113""))&gt;=2,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$A624=IMPORTRANGE(""https://docs.google.com/spreadsheets/d/1BJSV3WBYJGRhQ6zExamkszQ5VutGIcaQqmbD9ZTVXMQ/edit#gid=1251630045"",""articles_with_PRISMA_reasons!B2:B2113""))&lt;2),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$A624=IMPORTRANGE(""https://docs.google.com/spreadsheets/d/1BJSV3WBYJGRhQ6zExamkszQ5VutGIcaQqmbD9ZTVXMQ/edit#gid=1251630045"",""arti"&amp;"cles_with_PRISMA_reasons!B2:B2113""))&lt;2,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$A624=IMPORTRANGE(""https://docs.google.com"&amp;"/spreadsheets/d/1BJSV3WBYJGRhQ6zExamkszQ5VutGIcaQqmbD9ZTVXMQ/edit#gid=1251630045"",""articles_with_PRISMA_reasons!B2:B2113""))&gt;=2),
""Exclude""
)"),"Exclude")</f>
        <v>Exclude</v>
      </c>
      <c r="E624" s="5" t="str">
        <f>IFERROR(__xludf.DUMMYFUNCTION("IFS(
D624=""Exclude"",""Exclude"",
AND(
FILTER(IMPORTRANGE(""https://docs.google.com/spreadsheets/d/1qpEmbGH0JjaJbUdp21-y2cPbobDbMjr09BbtdKROZWc/edit#gid=1444865654"",""articles_with_PRISMA_reasons!W2:W2113""), $A624=IMPORTRANGE(""https://docs.google.com/"&amp;"spreadsheets/d/1qpEmbGH0JjaJbUdp21-y2cPbobDbMjr09BbtdKROZWc/edit#gid=1444865654"",""articles_with_PRISMA_reasons!B2:B2113""))&gt;=2,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$A624=IMPORTRANGE(""https://docs.google.com/spreadsheets/d/1qpEmbGH0JjaJbUdp21-y2cPbobDbMjr09BbtdKROZWc/edit#gid=1444865654"",""articles_with_PRISMA_reasons!B2:B2113""))&lt;2),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$A624=IMPORTRANGE(""https://docs.google.com/spreadsheets/d/1qpEmbGH0JjaJbUdp21-y2cPbobDbMjr09BbtdKRO"&amp;"ZWc/edit#gid=1444865654"",""articles_with_PRISMA_reasons!B2:B2113""))&lt;2,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$A624=IMPOR"&amp;"TRANGE(""https://docs.google.com/spreadsheets/d/1qpEmbGH0JjaJbUdp21-y2cPbobDbMjr09BbtdKROZWc/edit#gid=1444865654"",""articles_with_PRISMA_reasons!B2:B2113""))&gt;=2),
""Exclude""
)"),"Exclude")</f>
        <v>Exclude</v>
      </c>
      <c r="F624" s="5" t="str">
        <f>IFERROR(__xludf.DUMMYFUNCTION("IFS(
E624=""Exclude"",""Exclude"",
AND(
COUNTIF(
IMPORTRANGE(""https://docs.google.com/spreadsheets/d/1kGrh75X1cNR1D7_FcY9zMnHP8iPO4M5RCRjy6nZY0TY/edit#gid=0"",""Table 1: Study characteristics!B4:B171""),A624)&gt;0,
COUNTIF(Studies!$A$2:$A$85,FILTER(IMPORTRA"&amp;"NGE(""https://docs.google.com/spreadsheets/d/1kGrh75X1cNR1D7_FcY9zMnHP8iPO4M5RCRjy6nZY0TY/edit#gid=0"",""Table 1: Study characteristics!A4:A171""), $A624=IMPORTRANGE(""https://docs.google.com/spreadsheets/d/1kGrh75X1cNR1D7_FcY9zMnHP8iPO4M5RCRjy6nZY0TY/edi"&amp;"t#gid=0"",""Table 1: Study characteristics!B4:B171"")))&gt;0
),
""Include""
)"),"Exclude")</f>
        <v>Exclude</v>
      </c>
      <c r="G624" s="5" t="str">
        <f>IFERROR(__xludf.DUMMYFUNCTION("IFS(
D624=""Exclude"",
FILTER(IMPORTRANGE(""https://docs.google.com/spreadsheets/d/1BJSV3WBYJGRhQ6zExamkszQ5VutGIcaQqmbD9ZTVXMQ/edit#gid=1251630045"",""articles_with_PRISMA_reasons!AB2:AB2113""), $A624=IMPORTRANGE(""https://docs.google.com/spreadsheets/d/"&amp;"1BJSV3WBYJGRhQ6zExamkszQ5VutGIcaQqmbD9ZTVXMQ/edit#gid=1251630045"",""articles_with_PRISMA_reasons!B2:B2113"")),
E624=""Exclude"",
FILTER(IMPORTRANGE(""https://docs.google.com/spreadsheets/d/1qpEmbGH0JjaJbUdp21-y2cPbobDbMjr09BbtdKROZWc/edit#gid=1444865654"&amp;""",""articles_with_PRISMA_reasons!Z2:Z2113""), $A624=IMPORTRANGE(""https://docs.google.com/spreadsheets/d/1qpEmbGH0JjaJbUdp21-y2cPbobDbMjr09BbtdKROZWc/edit#gid=1444865654"",""articles_with_PRISMA_reasons!B2:B2113"")),F624
=""Include"",FILTER(IMPORTRANGE("&amp;"""https://docs.google.com/spreadsheets/d/1kGrh75X1cNR1D7_FcY9zMnHP8iPO4M5RCRjy6nZY0TY/edit#gid=0"",""Table 1: Study characteristics!A4:A171""), $A624=IMPORTRANGE(""https://docs.google.com/spreadsheets/d/1kGrh75X1cNR1D7_FcY9zMnHP8iPO4M5RCRjy6nZY0TY/edit#gi"&amp;"d=0"",""Table 1: Study characteristics!B4:B171""))
)"),"wrong study design")</f>
        <v>wrong study design</v>
      </c>
    </row>
    <row r="625">
      <c r="A625" s="4" t="str">
        <f>IFERROR(__xludf.DUMMYFUNCTION("""COMPUTED_VALUE"""),"Developmental disabilities across the lifespan")</f>
        <v>Developmental disabilities across the lifespan</v>
      </c>
      <c r="B625" s="5" t="str">
        <f>IFERROR(__xludf.DUMMYFUNCTION("LEFT(FILTER(IMPORTRANGE(""https://docs.google.com/spreadsheets/d/1BJSV3WBYJGRhQ6zExamkszQ5VutGIcaQqmbD9ZTVXMQ/edit#gid=1251630045"",""articles_with_PRISMA_reasons!K2:K2113""), $A625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$A625=IMPORTRANGE(""https://docs.google.com/spreadsheets/d/1BJSV3WBYJGRhQ6zExamkszQ5VutGIcaQqmbD9ZTVXMQ/edit#gid=1251630045"",""articles_with_PRISMA_reasons!B2:B2113"")))-1)"),"Patel")</f>
        <v>Patel</v>
      </c>
      <c r="C625" s="6">
        <f>IFERROR(__xludf.DUMMYFUNCTION("FILTER(IMPORTRANGE(""https://docs.google.com/spreadsheets/d/1BJSV3WBYJGRhQ6zExamkszQ5VutGIcaQqmbD9ZTVXMQ/edit#gid=1251630045"",""articles_with_PRISMA_reasons!C2:C2113""), $A625=IMPORTRANGE(""https://docs.google.com/spreadsheets/d/1BJSV3WBYJGRhQ6zExamkszQ5"&amp;"VutGIcaQqmbD9ZTVXMQ/edit#gid=1251630045"",""articles_with_PRISMA_reasons!B2:B2113""))"),2010.0)</f>
        <v>2010</v>
      </c>
      <c r="D625" s="5" t="str">
        <f>IFERROR(__xludf.DUMMYFUNCTION("IFS(AND(
FILTER(IMPORTRANGE(""https://docs.google.com/spreadsheets/d/1BJSV3WBYJGRhQ6zExamkszQ5VutGIcaQqmbD9ZTVXMQ/edit#gid=1251630045"",""articles_with_PRISMA_reasons!Y2:Y2113""), $A625=IMPORTRANGE(""https://docs.google.com/spreadsheets/d/1BJSV3WBYJGRhQ6z"&amp;"ExamkszQ5VutGIcaQqmbD9ZTVXMQ/edit#gid=1251630045"",""articles_with_PRISMA_reasons!B2:B2113""))&gt;=2,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$A625=IMPORTRANGE(""https://docs.google.com/spreadsheets/d/1BJSV3WBYJGRhQ6zExamkszQ5VutGIcaQqmbD9ZTVXMQ/edit#gid=1251630045"",""articles_with_PRISMA_reasons!B2:B2113""))&lt;2),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$A625=IMPORTRANGE(""https://docs.google.com/spreadsheets/d/1BJSV3WBYJGRhQ6zExamkszQ5VutGIcaQqmbD9ZTVXMQ/edit#gid=1251630045"",""arti"&amp;"cles_with_PRISMA_reasons!B2:B2113""))&lt;2,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$A625=IMPORTRANGE(""https://docs.google.com"&amp;"/spreadsheets/d/1BJSV3WBYJGRhQ6zExamkszQ5VutGIcaQqmbD9ZTVXMQ/edit#gid=1251630045"",""articles_with_PRISMA_reasons!B2:B2113""))&gt;=2),
""Exclude""
)"),"Exclude")</f>
        <v>Exclude</v>
      </c>
      <c r="E625" s="5" t="str">
        <f>IFERROR(__xludf.DUMMYFUNCTION("IFS(
D625=""Exclude"",""Exclude"",
AND(
FILTER(IMPORTRANGE(""https://docs.google.com/spreadsheets/d/1qpEmbGH0JjaJbUdp21-y2cPbobDbMjr09BbtdKROZWc/edit#gid=1444865654"",""articles_with_PRISMA_reasons!W2:W2113""), $A625=IMPORTRANGE(""https://docs.google.com/"&amp;"spreadsheets/d/1qpEmbGH0JjaJbUdp21-y2cPbobDbMjr09BbtdKROZWc/edit#gid=1444865654"",""articles_with_PRISMA_reasons!B2:B2113""))&gt;=2,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$A625=IMPORTRANGE(""https://docs.google.com/spreadsheets/d/1qpEmbGH0JjaJbUdp21-y2cPbobDbMjr09BbtdKROZWc/edit#gid=1444865654"",""articles_with_PRISMA_reasons!B2:B2113""))&lt;2),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$A625=IMPORTRANGE(""https://docs.google.com/spreadsheets/d/1qpEmbGH0JjaJbUdp21-y2cPbobDbMjr09BbtdKRO"&amp;"ZWc/edit#gid=1444865654"",""articles_with_PRISMA_reasons!B2:B2113""))&lt;2,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$A625=IMPOR"&amp;"TRANGE(""https://docs.google.com/spreadsheets/d/1qpEmbGH0JjaJbUdp21-y2cPbobDbMjr09BbtdKROZWc/edit#gid=1444865654"",""articles_with_PRISMA_reasons!B2:B2113""))&gt;=2),
""Exclude""
)"),"Exclude")</f>
        <v>Exclude</v>
      </c>
      <c r="F625" s="5" t="str">
        <f>IFERROR(__xludf.DUMMYFUNCTION("IFS(
E625=""Exclude"",""Exclude"",
AND(
COUNTIF(
IMPORTRANGE(""https://docs.google.com/spreadsheets/d/1kGrh75X1cNR1D7_FcY9zMnHP8iPO4M5RCRjy6nZY0TY/edit#gid=0"",""Table 1: Study characteristics!B4:B171""),A625)&gt;0,
COUNTIF(Studies!$A$2:$A$85,FILTER(IMPORTRA"&amp;"NGE(""https://docs.google.com/spreadsheets/d/1kGrh75X1cNR1D7_FcY9zMnHP8iPO4M5RCRjy6nZY0TY/edit#gid=0"",""Table 1: Study characteristics!A4:A171""), $A625=IMPORTRANGE(""https://docs.google.com/spreadsheets/d/1kGrh75X1cNR1D7_FcY9zMnHP8iPO4M5RCRjy6nZY0TY/edi"&amp;"t#gid=0"",""Table 1: Study characteristics!B4:B171"")))&gt;0
),
""Include""
)"),"Exclude")</f>
        <v>Exclude</v>
      </c>
      <c r="G625" s="5" t="str">
        <f>IFERROR(__xludf.DUMMYFUNCTION("IFS(
D625=""Exclude"",
FILTER(IMPORTRANGE(""https://docs.google.com/spreadsheets/d/1BJSV3WBYJGRhQ6zExamkszQ5VutGIcaQqmbD9ZTVXMQ/edit#gid=1251630045"",""articles_with_PRISMA_reasons!AB2:AB2113""), $A625=IMPORTRANGE(""https://docs.google.com/spreadsheets/d/"&amp;"1BJSV3WBYJGRhQ6zExamkszQ5VutGIcaQqmbD9ZTVXMQ/edit#gid=1251630045"",""articles_with_PRISMA_reasons!B2:B2113"")),
E625=""Exclude"",
FILTER(IMPORTRANGE(""https://docs.google.com/spreadsheets/d/1qpEmbGH0JjaJbUdp21-y2cPbobDbMjr09BbtdKROZWc/edit#gid=1444865654"&amp;""",""articles_with_PRISMA_reasons!Z2:Z2113""), $A625=IMPORTRANGE(""https://docs.google.com/spreadsheets/d/1qpEmbGH0JjaJbUdp21-y2cPbobDbMjr09BbtdKROZWc/edit#gid=1444865654"",""articles_with_PRISMA_reasons!B2:B2113"")),F625
=""Include"",FILTER(IMPORTRANGE("&amp;"""https://docs.google.com/spreadsheets/d/1kGrh75X1cNR1D7_FcY9zMnHP8iPO4M5RCRjy6nZY0TY/edit#gid=0"",""Table 1: Study characteristics!A4:A171""), $A625=IMPORTRANGE(""https://docs.google.com/spreadsheets/d/1kGrh75X1cNR1D7_FcY9zMnHP8iPO4M5RCRjy6nZY0TY/edit#gi"&amp;"d=0"",""Table 1: Study characteristics!B4:B171""))
)"),"wrong study design")</f>
        <v>wrong study design</v>
      </c>
    </row>
    <row r="626">
      <c r="A626" s="4" t="str">
        <f>IFERROR(__xludf.DUMMYFUNCTION("""COMPUTED_VALUE"""),"Diagnosis and management of congenital neurologic disease during pregnancy")</f>
        <v>Diagnosis and management of congenital neurologic disease during pregnancy</v>
      </c>
      <c r="B626" s="5" t="str">
        <f>IFERROR(__xludf.DUMMYFUNCTION("LEFT(FILTER(IMPORTRANGE(""https://docs.google.com/spreadsheets/d/1BJSV3WBYJGRhQ6zExamkszQ5VutGIcaQqmbD9ZTVXMQ/edit#gid=1251630045"",""articles_with_PRISMA_reasons!K2:K2113""), $A626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$A626=IMPORTRANGE(""https://docs.google.com/spreadsheets/d/1BJSV3WBYJGRhQ6zExamkszQ5VutGIcaQqmbD9ZTVXMQ/edit#gid=1251630045"",""articles_with_PRISMA_reasons!B2:B2113"")))-1)"),"M and el")</f>
        <v>M and el</v>
      </c>
      <c r="C626" s="6">
        <f>IFERROR(__xludf.DUMMYFUNCTION("FILTER(IMPORTRANGE(""https://docs.google.com/spreadsheets/d/1BJSV3WBYJGRhQ6zExamkszQ5VutGIcaQqmbD9ZTVXMQ/edit#gid=1251630045"",""articles_with_PRISMA_reasons!C2:C2113""), $A626=IMPORTRANGE(""https://docs.google.com/spreadsheets/d/1BJSV3WBYJGRhQ6zExamkszQ5"&amp;"VutGIcaQqmbD9ZTVXMQ/edit#gid=1251630045"",""articles_with_PRISMA_reasons!B2:B2113""))"),2020.0)</f>
        <v>2020</v>
      </c>
      <c r="D626" s="5" t="str">
        <f>IFERROR(__xludf.DUMMYFUNCTION("IFS(AND(
FILTER(IMPORTRANGE(""https://docs.google.com/spreadsheets/d/1BJSV3WBYJGRhQ6zExamkszQ5VutGIcaQqmbD9ZTVXMQ/edit#gid=1251630045"",""articles_with_PRISMA_reasons!Y2:Y2113""), $A626=IMPORTRANGE(""https://docs.google.com/spreadsheets/d/1BJSV3WBYJGRhQ6z"&amp;"ExamkszQ5VutGIcaQqmbD9ZTVXMQ/edit#gid=1251630045"",""articles_with_PRISMA_reasons!B2:B2113""))&gt;=2,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$A626=IMPORTRANGE(""https://docs.google.com/spreadsheets/d/1BJSV3WBYJGRhQ6zExamkszQ5VutGIcaQqmbD9ZTVXMQ/edit#gid=1251630045"",""articles_with_PRISMA_reasons!B2:B2113""))&lt;2),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$A626=IMPORTRANGE(""https://docs.google.com/spreadsheets/d/1BJSV3WBYJGRhQ6zExamkszQ5VutGIcaQqmbD9ZTVXMQ/edit#gid=1251630045"",""arti"&amp;"cles_with_PRISMA_reasons!B2:B2113""))&lt;2,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$A626=IMPORTRANGE(""https://docs.google.com"&amp;"/spreadsheets/d/1BJSV3WBYJGRhQ6zExamkszQ5VutGIcaQqmbD9ZTVXMQ/edit#gid=1251630045"",""articles_with_PRISMA_reasons!B2:B2113""))&gt;=2),
""Exclude""
)"),"Exclude")</f>
        <v>Exclude</v>
      </c>
      <c r="E626" s="5" t="str">
        <f>IFERROR(__xludf.DUMMYFUNCTION("IFS(
D626=""Exclude"",""Exclude"",
AND(
FILTER(IMPORTRANGE(""https://docs.google.com/spreadsheets/d/1qpEmbGH0JjaJbUdp21-y2cPbobDbMjr09BbtdKROZWc/edit#gid=1444865654"",""articles_with_PRISMA_reasons!W2:W2113""), $A626=IMPORTRANGE(""https://docs.google.com/"&amp;"spreadsheets/d/1qpEmbGH0JjaJbUdp21-y2cPbobDbMjr09BbtdKROZWc/edit#gid=1444865654"",""articles_with_PRISMA_reasons!B2:B2113""))&gt;=2,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$A626=IMPORTRANGE(""https://docs.google.com/spreadsheets/d/1qpEmbGH0JjaJbUdp21-y2cPbobDbMjr09BbtdKROZWc/edit#gid=1444865654"",""articles_with_PRISMA_reasons!B2:B2113""))&lt;2),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$A626=IMPORTRANGE(""https://docs.google.com/spreadsheets/d/1qpEmbGH0JjaJbUdp21-y2cPbobDbMjr09BbtdKRO"&amp;"ZWc/edit#gid=1444865654"",""articles_with_PRISMA_reasons!B2:B2113""))&lt;2,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$A626=IMPOR"&amp;"TRANGE(""https://docs.google.com/spreadsheets/d/1qpEmbGH0JjaJbUdp21-y2cPbobDbMjr09BbtdKROZWc/edit#gid=1444865654"",""articles_with_PRISMA_reasons!B2:B2113""))&gt;=2),
""Exclude""
)"),"Exclude")</f>
        <v>Exclude</v>
      </c>
      <c r="F626" s="5" t="str">
        <f>IFERROR(__xludf.DUMMYFUNCTION("IFS(
E626=""Exclude"",""Exclude"",
AND(
COUNTIF(
IMPORTRANGE(""https://docs.google.com/spreadsheets/d/1kGrh75X1cNR1D7_FcY9zMnHP8iPO4M5RCRjy6nZY0TY/edit#gid=0"",""Table 1: Study characteristics!B4:B171""),A626)&gt;0,
COUNTIF(Studies!$A$2:$A$85,FILTER(IMPORTRA"&amp;"NGE(""https://docs.google.com/spreadsheets/d/1kGrh75X1cNR1D7_FcY9zMnHP8iPO4M5RCRjy6nZY0TY/edit#gid=0"",""Table 1: Study characteristics!A4:A171""), $A626=IMPORTRANGE(""https://docs.google.com/spreadsheets/d/1kGrh75X1cNR1D7_FcY9zMnHP8iPO4M5RCRjy6nZY0TY/edi"&amp;"t#gid=0"",""Table 1: Study characteristics!B4:B171"")))&gt;0
),
""Include""
)"),"Exclude")</f>
        <v>Exclude</v>
      </c>
      <c r="G626" s="5" t="str">
        <f>IFERROR(__xludf.DUMMYFUNCTION("IFS(
D626=""Exclude"",
FILTER(IMPORTRANGE(""https://docs.google.com/spreadsheets/d/1BJSV3WBYJGRhQ6zExamkszQ5VutGIcaQqmbD9ZTVXMQ/edit#gid=1251630045"",""articles_with_PRISMA_reasons!AB2:AB2113""), $A626=IMPORTRANGE(""https://docs.google.com/spreadsheets/d/"&amp;"1BJSV3WBYJGRhQ6zExamkszQ5VutGIcaQqmbD9ZTVXMQ/edit#gid=1251630045"",""articles_with_PRISMA_reasons!B2:B2113"")),
E626=""Exclude"",
FILTER(IMPORTRANGE(""https://docs.google.com/spreadsheets/d/1qpEmbGH0JjaJbUdp21-y2cPbobDbMjr09BbtdKROZWc/edit#gid=1444865654"&amp;""",""articles_with_PRISMA_reasons!Z2:Z2113""), $A626=IMPORTRANGE(""https://docs.google.com/spreadsheets/d/1qpEmbGH0JjaJbUdp21-y2cPbobDbMjr09BbtdKROZWc/edit#gid=1444865654"",""articles_with_PRISMA_reasons!B2:B2113"")),F626
=""Include"",FILTER(IMPORTRANGE("&amp;"""https://docs.google.com/spreadsheets/d/1kGrh75X1cNR1D7_FcY9zMnHP8iPO4M5RCRjy6nZY0TY/edit#gid=0"",""Table 1: Study characteristics!A4:A171""), $A626=IMPORTRANGE(""https://docs.google.com/spreadsheets/d/1kGrh75X1cNR1D7_FcY9zMnHP8iPO4M5RCRjy6nZY0TY/edit#gi"&amp;"d=0"",""Table 1: Study characteristics!B4:B171""))
)"),"wrong population")</f>
        <v>wrong population</v>
      </c>
    </row>
    <row r="627">
      <c r="A627" s="4" t="str">
        <f>IFERROR(__xludf.DUMMYFUNCTION("""COMPUTED_VALUE"""),"Diagnosis and treatment of congenital hydrocephalus")</f>
        <v>Diagnosis and treatment of congenital hydrocephalus</v>
      </c>
      <c r="B627" s="5" t="str">
        <f>IFERROR(__xludf.DUMMYFUNCTION("LEFT(FILTER(IMPORTRANGE(""https://docs.google.com/spreadsheets/d/1BJSV3WBYJGRhQ6zExamkszQ5VutGIcaQqmbD9ZTVXMQ/edit#gid=1251630045"",""articles_with_PRISMA_reasons!K2:K2113""), $A627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$A627=IMPORTRANGE(""https://docs.google.com/spreadsheets/d/1BJSV3WBYJGRhQ6zExamkszQ5VutGIcaQqmbD9ZTVXMQ/edit#gid=1251630045"",""articles_with_PRISMA_reasons!B2:B2113"")))-1)"),"Yamasaki")</f>
        <v>Yamasaki</v>
      </c>
      <c r="C627" s="6">
        <f>IFERROR(__xludf.DUMMYFUNCTION("FILTER(IMPORTRANGE(""https://docs.google.com/spreadsheets/d/1BJSV3WBYJGRhQ6zExamkszQ5VutGIcaQqmbD9ZTVXMQ/edit#gid=1251630045"",""articles_with_PRISMA_reasons!C2:C2113""), $A627=IMPORTRANGE(""https://docs.google.com/spreadsheets/d/1BJSV3WBYJGRhQ6zExamkszQ5"&amp;"VutGIcaQqmbD9ZTVXMQ/edit#gid=1251630045"",""articles_with_PRISMA_reasons!B2:B2113""))"),2009.0)</f>
        <v>2009</v>
      </c>
      <c r="D627" s="5" t="str">
        <f>IFERROR(__xludf.DUMMYFUNCTION("IFS(AND(
FILTER(IMPORTRANGE(""https://docs.google.com/spreadsheets/d/1BJSV3WBYJGRhQ6zExamkszQ5VutGIcaQqmbD9ZTVXMQ/edit#gid=1251630045"",""articles_with_PRISMA_reasons!Y2:Y2113""), $A627=IMPORTRANGE(""https://docs.google.com/spreadsheets/d/1BJSV3WBYJGRhQ6z"&amp;"ExamkszQ5VutGIcaQqmbD9ZTVXMQ/edit#gid=1251630045"",""articles_with_PRISMA_reasons!B2:B2113""))&gt;=2,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$A627=IMPORTRANGE(""https://docs.google.com/spreadsheets/d/1BJSV3WBYJGRhQ6zExamkszQ5VutGIcaQqmbD9ZTVXMQ/edit#gid=1251630045"",""articles_with_PRISMA_reasons!B2:B2113""))&lt;2),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$A627=IMPORTRANGE(""https://docs.google.com/spreadsheets/d/1BJSV3WBYJGRhQ6zExamkszQ5VutGIcaQqmbD9ZTVXMQ/edit#gid=1251630045"",""arti"&amp;"cles_with_PRISMA_reasons!B2:B2113""))&lt;2,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$A627=IMPORTRANGE(""https://docs.google.com"&amp;"/spreadsheets/d/1BJSV3WBYJGRhQ6zExamkszQ5VutGIcaQqmbD9ZTVXMQ/edit#gid=1251630045"",""articles_with_PRISMA_reasons!B2:B2113""))&gt;=2),
""Exclude""
)"),"Exclude")</f>
        <v>Exclude</v>
      </c>
      <c r="E627" s="5" t="str">
        <f>IFERROR(__xludf.DUMMYFUNCTION("IFS(
D627=""Exclude"",""Exclude"",
AND(
FILTER(IMPORTRANGE(""https://docs.google.com/spreadsheets/d/1qpEmbGH0JjaJbUdp21-y2cPbobDbMjr09BbtdKROZWc/edit#gid=1444865654"",""articles_with_PRISMA_reasons!W2:W2113""), $A627=IMPORTRANGE(""https://docs.google.com/"&amp;"spreadsheets/d/1qpEmbGH0JjaJbUdp21-y2cPbobDbMjr09BbtdKROZWc/edit#gid=1444865654"",""articles_with_PRISMA_reasons!B2:B2113""))&gt;=2,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$A627=IMPORTRANGE(""https://docs.google.com/spreadsheets/d/1qpEmbGH0JjaJbUdp21-y2cPbobDbMjr09BbtdKROZWc/edit#gid=1444865654"",""articles_with_PRISMA_reasons!B2:B2113""))&lt;2),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$A627=IMPORTRANGE(""https://docs.google.com/spreadsheets/d/1qpEmbGH0JjaJbUdp21-y2cPbobDbMjr09BbtdKRO"&amp;"ZWc/edit#gid=1444865654"",""articles_with_PRISMA_reasons!B2:B2113""))&lt;2,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$A627=IMPOR"&amp;"TRANGE(""https://docs.google.com/spreadsheets/d/1qpEmbGH0JjaJbUdp21-y2cPbobDbMjr09BbtdKROZWc/edit#gid=1444865654"",""articles_with_PRISMA_reasons!B2:B2113""))&gt;=2),
""Exclude""
)"),"Exclude")</f>
        <v>Exclude</v>
      </c>
      <c r="F627" s="5" t="str">
        <f>IFERROR(__xludf.DUMMYFUNCTION("IFS(
E627=""Exclude"",""Exclude"",
AND(
COUNTIF(
IMPORTRANGE(""https://docs.google.com/spreadsheets/d/1kGrh75X1cNR1D7_FcY9zMnHP8iPO4M5RCRjy6nZY0TY/edit#gid=0"",""Table 1: Study characteristics!B4:B171""),A627)&gt;0,
COUNTIF(Studies!$A$2:$A$85,FILTER(IMPORTRA"&amp;"NGE(""https://docs.google.com/spreadsheets/d/1kGrh75X1cNR1D7_FcY9zMnHP8iPO4M5RCRjy6nZY0TY/edit#gid=0"",""Table 1: Study characteristics!A4:A171""), $A627=IMPORTRANGE(""https://docs.google.com/spreadsheets/d/1kGrh75X1cNR1D7_FcY9zMnHP8iPO4M5RCRjy6nZY0TY/edi"&amp;"t#gid=0"",""Table 1: Study characteristics!B4:B171"")))&gt;0
),
""Include""
)"),"Exclude")</f>
        <v>Exclude</v>
      </c>
      <c r="G627" s="5" t="str">
        <f>IFERROR(__xludf.DUMMYFUNCTION("IFS(
D627=""Exclude"",
FILTER(IMPORTRANGE(""https://docs.google.com/spreadsheets/d/1BJSV3WBYJGRhQ6zExamkszQ5VutGIcaQqmbD9ZTVXMQ/edit#gid=1251630045"",""articles_with_PRISMA_reasons!AB2:AB2113""), $A627=IMPORTRANGE(""https://docs.google.com/spreadsheets/d/"&amp;"1BJSV3WBYJGRhQ6zExamkszQ5VutGIcaQqmbD9ZTVXMQ/edit#gid=1251630045"",""articles_with_PRISMA_reasons!B2:B2113"")),
E627=""Exclude"",
FILTER(IMPORTRANGE(""https://docs.google.com/spreadsheets/d/1qpEmbGH0JjaJbUdp21-y2cPbobDbMjr09BbtdKROZWc/edit#gid=1444865654"&amp;""",""articles_with_PRISMA_reasons!Z2:Z2113""), $A627=IMPORTRANGE(""https://docs.google.com/spreadsheets/d/1qpEmbGH0JjaJbUdp21-y2cPbobDbMjr09BbtdKROZWc/edit#gid=1444865654"",""articles_with_PRISMA_reasons!B2:B2113"")),F627
=""Include"",FILTER(IMPORTRANGE("&amp;"""https://docs.google.com/spreadsheets/d/1kGrh75X1cNR1D7_FcY9zMnHP8iPO4M5RCRjy6nZY0TY/edit#gid=0"",""Table 1: Study characteristics!A4:A171""), $A627=IMPORTRANGE(""https://docs.google.com/spreadsheets/d/1kGrh75X1cNR1D7_FcY9zMnHP8iPO4M5RCRjy6nZY0TY/edit#gi"&amp;"d=0"",""Table 1: Study characteristics!B4:B171""))
)"),"wrong study design")</f>
        <v>wrong study design</v>
      </c>
    </row>
    <row r="628">
      <c r="A628" s="4" t="str">
        <f>IFERROR(__xludf.DUMMYFUNCTION("""COMPUTED_VALUE"""),"Diagnosis of Arnold-Chiari deformity in newborn")</f>
        <v>Diagnosis of Arnold-Chiari deformity in newborn</v>
      </c>
      <c r="B628" s="5" t="str">
        <f>IFERROR(__xludf.DUMMYFUNCTION("LEFT(FILTER(IMPORTRANGE(""https://docs.google.com/spreadsheets/d/1BJSV3WBYJGRhQ6zExamkszQ5VutGIcaQqmbD9ZTVXMQ/edit#gid=1251630045"",""articles_with_PRISMA_reasons!K2:K2113""), $A628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$A628=IMPORTRANGE(""https://docs.google.com/spreadsheets/d/1BJSV3WBYJGRhQ6zExamkszQ5VutGIcaQqmbD9ZTVXMQ/edit#gid=1251630045"",""articles_with_PRISMA_reasons!B2:B2113"")))-1)"),"Bliesener")</f>
        <v>Bliesener</v>
      </c>
      <c r="C628" s="6">
        <f>IFERROR(__xludf.DUMMYFUNCTION("FILTER(IMPORTRANGE(""https://docs.google.com/spreadsheets/d/1BJSV3WBYJGRhQ6zExamkszQ5VutGIcaQqmbD9ZTVXMQ/edit#gid=1251630045"",""articles_with_PRISMA_reasons!C2:C2113""), $A628=IMPORTRANGE(""https://docs.google.com/spreadsheets/d/1BJSV3WBYJGRhQ6zExamkszQ5"&amp;"VutGIcaQqmbD9ZTVXMQ/edit#gid=1251630045"",""articles_with_PRISMA_reasons!B2:B2113""))"),1985.0)</f>
        <v>1985</v>
      </c>
      <c r="D628" s="5" t="str">
        <f>IFERROR(__xludf.DUMMYFUNCTION("IFS(AND(
FILTER(IMPORTRANGE(""https://docs.google.com/spreadsheets/d/1BJSV3WBYJGRhQ6zExamkszQ5VutGIcaQqmbD9ZTVXMQ/edit#gid=1251630045"",""articles_with_PRISMA_reasons!Y2:Y2113""), $A628=IMPORTRANGE(""https://docs.google.com/spreadsheets/d/1BJSV3WBYJGRhQ6z"&amp;"ExamkszQ5VutGIcaQqmbD9ZTVXMQ/edit#gid=1251630045"",""articles_with_PRISMA_reasons!B2:B2113""))&gt;=2,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$A628=IMPORTRANGE(""https://docs.google.com/spreadsheets/d/1BJSV3WBYJGRhQ6zExamkszQ5VutGIcaQqmbD9ZTVXMQ/edit#gid=1251630045"",""articles_with_PRISMA_reasons!B2:B2113""))&lt;2),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$A628=IMPORTRANGE(""https://docs.google.com/spreadsheets/d/1BJSV3WBYJGRhQ6zExamkszQ5VutGIcaQqmbD9ZTVXMQ/edit#gid=1251630045"",""arti"&amp;"cles_with_PRISMA_reasons!B2:B2113""))&lt;2,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$A628=IMPORTRANGE(""https://docs.google.com"&amp;"/spreadsheets/d/1BJSV3WBYJGRhQ6zExamkszQ5VutGIcaQqmbD9ZTVXMQ/edit#gid=1251630045"",""articles_with_PRISMA_reasons!B2:B2113""))&gt;=2),
""Exclude""
)"),"Exclude")</f>
        <v>Exclude</v>
      </c>
      <c r="E628" s="5" t="str">
        <f>IFERROR(__xludf.DUMMYFUNCTION("IFS(
D628=""Exclude"",""Exclude"",
AND(
FILTER(IMPORTRANGE(""https://docs.google.com/spreadsheets/d/1qpEmbGH0JjaJbUdp21-y2cPbobDbMjr09BbtdKROZWc/edit#gid=1444865654"",""articles_with_PRISMA_reasons!W2:W2113""), $A628=IMPORTRANGE(""https://docs.google.com/"&amp;"spreadsheets/d/1qpEmbGH0JjaJbUdp21-y2cPbobDbMjr09BbtdKROZWc/edit#gid=1444865654"",""articles_with_PRISMA_reasons!B2:B2113""))&gt;=2,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$A628=IMPORTRANGE(""https://docs.google.com/spreadsheets/d/1qpEmbGH0JjaJbUdp21-y2cPbobDbMjr09BbtdKROZWc/edit#gid=1444865654"",""articles_with_PRISMA_reasons!B2:B2113""))&lt;2),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$A628=IMPORTRANGE(""https://docs.google.com/spreadsheets/d/1qpEmbGH0JjaJbUdp21-y2cPbobDbMjr09BbtdKRO"&amp;"ZWc/edit#gid=1444865654"",""articles_with_PRISMA_reasons!B2:B2113""))&lt;2,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$A628=IMPOR"&amp;"TRANGE(""https://docs.google.com/spreadsheets/d/1qpEmbGH0JjaJbUdp21-y2cPbobDbMjr09BbtdKROZWc/edit#gid=1444865654"",""articles_with_PRISMA_reasons!B2:B2113""))&gt;=2),
""Exclude""
)"),"Exclude")</f>
        <v>Exclude</v>
      </c>
      <c r="F628" s="5" t="str">
        <f>IFERROR(__xludf.DUMMYFUNCTION("IFS(
E628=""Exclude"",""Exclude"",
AND(
COUNTIF(
IMPORTRANGE(""https://docs.google.com/spreadsheets/d/1kGrh75X1cNR1D7_FcY9zMnHP8iPO4M5RCRjy6nZY0TY/edit#gid=0"",""Table 1: Study characteristics!B4:B171""),A628)&gt;0,
COUNTIF(Studies!$A$2:$A$85,FILTER(IMPORTRA"&amp;"NGE(""https://docs.google.com/spreadsheets/d/1kGrh75X1cNR1D7_FcY9zMnHP8iPO4M5RCRjy6nZY0TY/edit#gid=0"",""Table 1: Study characteristics!A4:A171""), $A628=IMPORTRANGE(""https://docs.google.com/spreadsheets/d/1kGrh75X1cNR1D7_FcY9zMnHP8iPO4M5RCRjy6nZY0TY/edi"&amp;"t#gid=0"",""Table 1: Study characteristics!B4:B171"")))&gt;0
),
""Include""
)"),"Exclude")</f>
        <v>Exclude</v>
      </c>
      <c r="G628" s="5" t="str">
        <f>IFERROR(__xludf.DUMMYFUNCTION("IFS(
D628=""Exclude"",
FILTER(IMPORTRANGE(""https://docs.google.com/spreadsheets/d/1BJSV3WBYJGRhQ6zExamkszQ5VutGIcaQqmbD9ZTVXMQ/edit#gid=1251630045"",""articles_with_PRISMA_reasons!AB2:AB2113""), $A628=IMPORTRANGE(""https://docs.google.com/spreadsheets/d/"&amp;"1BJSV3WBYJGRhQ6zExamkszQ5VutGIcaQqmbD9ZTVXMQ/edit#gid=1251630045"",""articles_with_PRISMA_reasons!B2:B2113"")),
E628=""Exclude"",
FILTER(IMPORTRANGE(""https://docs.google.com/spreadsheets/d/1qpEmbGH0JjaJbUdp21-y2cPbobDbMjr09BbtdKROZWc/edit#gid=1444865654"&amp;""",""articles_with_PRISMA_reasons!Z2:Z2113""), $A628=IMPORTRANGE(""https://docs.google.com/spreadsheets/d/1qpEmbGH0JjaJbUdp21-y2cPbobDbMjr09BbtdKROZWc/edit#gid=1444865654"",""articles_with_PRISMA_reasons!B2:B2113"")),F628
=""Include"",FILTER(IMPORTRANGE("&amp;"""https://docs.google.com/spreadsheets/d/1kGrh75X1cNR1D7_FcY9zMnHP8iPO4M5RCRjy6nZY0TY/edit#gid=0"",""Table 1: Study characteristics!A4:A171""), $A628=IMPORTRANGE(""https://docs.google.com/spreadsheets/d/1kGrh75X1cNR1D7_FcY9zMnHP8iPO4M5RCRjy6nZY0TY/edit#gi"&amp;"d=0"",""Table 1: Study characteristics!B4:B171""))
)"),"wrong study design")</f>
        <v>wrong study design</v>
      </c>
    </row>
    <row r="629">
      <c r="A629" s="4" t="str">
        <f>IFERROR(__xludf.DUMMYFUNCTION("""COMPUTED_VALUE"""),"Diagnosis of brain neuropathology in utero")</f>
        <v>Diagnosis of brain neuropathology in utero</v>
      </c>
      <c r="B629" s="5" t="str">
        <f>IFERROR(__xludf.DUMMYFUNCTION("LEFT(FILTER(IMPORTRANGE(""https://docs.google.com/spreadsheets/d/1BJSV3WBYJGRhQ6zExamkszQ5VutGIcaQqmbD9ZTVXMQ/edit#gid=1251630045"",""articles_with_PRISMA_reasons!K2:K2113""), $A629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$A629=IMPORTRANGE(""https://docs.google.com/spreadsheets/d/1BJSV3WBYJGRhQ6zExamkszQ5VutGIcaQqmbD9ZTVXMQ/edit#gid=1251630045"",""articles_with_PRISMA_reasons!B2:B2113"")))-1)"),"Pretorius")</f>
        <v>Pretorius</v>
      </c>
      <c r="C629" s="6">
        <f>IFERROR(__xludf.DUMMYFUNCTION("FILTER(IMPORTRANGE(""https://docs.google.com/spreadsheets/d/1BJSV3WBYJGRhQ6zExamkszQ5VutGIcaQqmbD9ZTVXMQ/edit#gid=1251630045"",""articles_with_PRISMA_reasons!C2:C2113""), $A629=IMPORTRANGE(""https://docs.google.com/spreadsheets/d/1BJSV3WBYJGRhQ6zExamkszQ5"&amp;"VutGIcaQqmbD9ZTVXMQ/edit#gid=1251630045"",""articles_with_PRISMA_reasons!B2:B2113""))"),1986.0)</f>
        <v>1986</v>
      </c>
      <c r="D629" s="5" t="str">
        <f>IFERROR(__xludf.DUMMYFUNCTION("IFS(AND(
FILTER(IMPORTRANGE(""https://docs.google.com/spreadsheets/d/1BJSV3WBYJGRhQ6zExamkszQ5VutGIcaQqmbD9ZTVXMQ/edit#gid=1251630045"",""articles_with_PRISMA_reasons!Y2:Y2113""), $A629=IMPORTRANGE(""https://docs.google.com/spreadsheets/d/1BJSV3WBYJGRhQ6z"&amp;"ExamkszQ5VutGIcaQqmbD9ZTVXMQ/edit#gid=1251630045"",""articles_with_PRISMA_reasons!B2:B2113""))&gt;=2,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$A629=IMPORTRANGE(""https://docs.google.com/spreadsheets/d/1BJSV3WBYJGRhQ6zExamkszQ5VutGIcaQqmbD9ZTVXMQ/edit#gid=1251630045"",""articles_with_PRISMA_reasons!B2:B2113""))&lt;2),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$A629=IMPORTRANGE(""https://docs.google.com/spreadsheets/d/1BJSV3WBYJGRhQ6zExamkszQ5VutGIcaQqmbD9ZTVXMQ/edit#gid=1251630045"",""arti"&amp;"cles_with_PRISMA_reasons!B2:B2113""))&lt;2,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$A629=IMPORTRANGE(""https://docs.google.com"&amp;"/spreadsheets/d/1BJSV3WBYJGRhQ6zExamkszQ5VutGIcaQqmbD9ZTVXMQ/edit#gid=1251630045"",""articles_with_PRISMA_reasons!B2:B2113""))&gt;=2),
""Exclude""
)"),"Exclude")</f>
        <v>Exclude</v>
      </c>
      <c r="E629" s="5" t="str">
        <f>IFERROR(__xludf.DUMMYFUNCTION("IFS(
D629=""Exclude"",""Exclude"",
AND(
FILTER(IMPORTRANGE(""https://docs.google.com/spreadsheets/d/1qpEmbGH0JjaJbUdp21-y2cPbobDbMjr09BbtdKROZWc/edit#gid=1444865654"",""articles_with_PRISMA_reasons!W2:W2113""), $A629=IMPORTRANGE(""https://docs.google.com/"&amp;"spreadsheets/d/1qpEmbGH0JjaJbUdp21-y2cPbobDbMjr09BbtdKROZWc/edit#gid=1444865654"",""articles_with_PRISMA_reasons!B2:B2113""))&gt;=2,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$A629=IMPORTRANGE(""https://docs.google.com/spreadsheets/d/1qpEmbGH0JjaJbUdp21-y2cPbobDbMjr09BbtdKROZWc/edit#gid=1444865654"",""articles_with_PRISMA_reasons!B2:B2113""))&lt;2),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$A629=IMPORTRANGE(""https://docs.google.com/spreadsheets/d/1qpEmbGH0JjaJbUdp21-y2cPbobDbMjr09BbtdKRO"&amp;"ZWc/edit#gid=1444865654"",""articles_with_PRISMA_reasons!B2:B2113""))&lt;2,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$A629=IMPOR"&amp;"TRANGE(""https://docs.google.com/spreadsheets/d/1qpEmbGH0JjaJbUdp21-y2cPbobDbMjr09BbtdKROZWc/edit#gid=1444865654"",""articles_with_PRISMA_reasons!B2:B2113""))&gt;=2),
""Exclude""
)"),"Exclude")</f>
        <v>Exclude</v>
      </c>
      <c r="F629" s="5" t="str">
        <f>IFERROR(__xludf.DUMMYFUNCTION("IFS(
E629=""Exclude"",""Exclude"",
AND(
COUNTIF(
IMPORTRANGE(""https://docs.google.com/spreadsheets/d/1kGrh75X1cNR1D7_FcY9zMnHP8iPO4M5RCRjy6nZY0TY/edit#gid=0"",""Table 1: Study characteristics!B4:B171""),A629)&gt;0,
COUNTIF(Studies!$A$2:$A$85,FILTER(IMPORTRA"&amp;"NGE(""https://docs.google.com/spreadsheets/d/1kGrh75X1cNR1D7_FcY9zMnHP8iPO4M5RCRjy6nZY0TY/edit#gid=0"",""Table 1: Study characteristics!A4:A171""), $A629=IMPORTRANGE(""https://docs.google.com/spreadsheets/d/1kGrh75X1cNR1D7_FcY9zMnHP8iPO4M5RCRjy6nZY0TY/edi"&amp;"t#gid=0"",""Table 1: Study characteristics!B4:B171"")))&gt;0
),
""Include""
)"),"Exclude")</f>
        <v>Exclude</v>
      </c>
      <c r="G629" s="5" t="str">
        <f>IFERROR(__xludf.DUMMYFUNCTION("IFS(
D629=""Exclude"",
FILTER(IMPORTRANGE(""https://docs.google.com/spreadsheets/d/1BJSV3WBYJGRhQ6zExamkszQ5VutGIcaQqmbD9ZTVXMQ/edit#gid=1251630045"",""articles_with_PRISMA_reasons!AB2:AB2113""), $A629=IMPORTRANGE(""https://docs.google.com/spreadsheets/d/"&amp;"1BJSV3WBYJGRhQ6zExamkszQ5VutGIcaQqmbD9ZTVXMQ/edit#gid=1251630045"",""articles_with_PRISMA_reasons!B2:B2113"")),
E629=""Exclude"",
FILTER(IMPORTRANGE(""https://docs.google.com/spreadsheets/d/1qpEmbGH0JjaJbUdp21-y2cPbobDbMjr09BbtdKROZWc/edit#gid=1444865654"&amp;""",""articles_with_PRISMA_reasons!Z2:Z2113""), $A629=IMPORTRANGE(""https://docs.google.com/spreadsheets/d/1qpEmbGH0JjaJbUdp21-y2cPbobDbMjr09BbtdKROZWc/edit#gid=1444865654"",""articles_with_PRISMA_reasons!B2:B2113"")),F629
=""Include"",FILTER(IMPORTRANGE("&amp;"""https://docs.google.com/spreadsheets/d/1kGrh75X1cNR1D7_FcY9zMnHP8iPO4M5RCRjy6nZY0TY/edit#gid=0"",""Table 1: Study characteristics!A4:A171""), $A629=IMPORTRANGE(""https://docs.google.com/spreadsheets/d/1kGrh75X1cNR1D7_FcY9zMnHP8iPO4M5RCRjy6nZY0TY/edit#gi"&amp;"d=0"",""Table 1: Study characteristics!B4:B171""))
)"),"wrong study design")</f>
        <v>wrong study design</v>
      </c>
    </row>
    <row r="630">
      <c r="A630" s="4" t="str">
        <f>IFERROR(__xludf.DUMMYFUNCTION("""COMPUTED_VALUE"""),"Diagnosis of congenital abnormalities with post-mortem ultrasound in perinatal death")</f>
        <v>Diagnosis of congenital abnormalities with post-mortem ultrasound in perinatal death</v>
      </c>
      <c r="B630" s="5" t="str">
        <f>IFERROR(__xludf.DUMMYFUNCTION("LEFT(FILTER(IMPORTRANGE(""https://docs.google.com/spreadsheets/d/1BJSV3WBYJGRhQ6zExamkszQ5VutGIcaQqmbD9ZTVXMQ/edit#gid=1251630045"",""articles_with_PRISMA_reasons!K2:K2113""), $A630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$A630=IMPORTRANGE(""https://docs.google.com/spreadsheets/d/1BJSV3WBYJGRhQ6zExamkszQ5VutGIcaQqmbD9ZTVXMQ/edit#gid=1251630045"",""articles_with_PRISMA_reasons!B2:B2113"")))-1)"),"Bartoli")</f>
        <v>Bartoli</v>
      </c>
      <c r="C630" s="6">
        <f>IFERROR(__xludf.DUMMYFUNCTION("FILTER(IMPORTRANGE(""https://docs.google.com/spreadsheets/d/1BJSV3WBYJGRhQ6zExamkszQ5VutGIcaQqmbD9ZTVXMQ/edit#gid=1251630045"",""articles_with_PRISMA_reasons!C2:C2113""), $A630=IMPORTRANGE(""https://docs.google.com/spreadsheets/d/1BJSV3WBYJGRhQ6zExamkszQ5"&amp;"VutGIcaQqmbD9ZTVXMQ/edit#gid=1251630045"",""articles_with_PRISMA_reasons!B2:B2113""))"),2018.0)</f>
        <v>2018</v>
      </c>
      <c r="D630" s="5" t="str">
        <f>IFERROR(__xludf.DUMMYFUNCTION("IFS(AND(
FILTER(IMPORTRANGE(""https://docs.google.com/spreadsheets/d/1BJSV3WBYJGRhQ6zExamkszQ5VutGIcaQqmbD9ZTVXMQ/edit#gid=1251630045"",""articles_with_PRISMA_reasons!Y2:Y2113""), $A630=IMPORTRANGE(""https://docs.google.com/spreadsheets/d/1BJSV3WBYJGRhQ6z"&amp;"ExamkszQ5VutGIcaQqmbD9ZTVXMQ/edit#gid=1251630045"",""articles_with_PRISMA_reasons!B2:B2113""))&gt;=2,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$A630=IMPORTRANGE(""https://docs.google.com/spreadsheets/d/1BJSV3WBYJGRhQ6zExamkszQ5VutGIcaQqmbD9ZTVXMQ/edit#gid=1251630045"",""articles_with_PRISMA_reasons!B2:B2113""))&lt;2),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$A630=IMPORTRANGE(""https://docs.google.com/spreadsheets/d/1BJSV3WBYJGRhQ6zExamkszQ5VutGIcaQqmbD9ZTVXMQ/edit#gid=1251630045"",""arti"&amp;"cles_with_PRISMA_reasons!B2:B2113""))&lt;2,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$A630=IMPORTRANGE(""https://docs.google.com"&amp;"/spreadsheets/d/1BJSV3WBYJGRhQ6zExamkszQ5VutGIcaQqmbD9ZTVXMQ/edit#gid=1251630045"",""articles_with_PRISMA_reasons!B2:B2113""))&gt;=2),
""Exclude""
)"),"Exclude")</f>
        <v>Exclude</v>
      </c>
      <c r="E630" s="5" t="str">
        <f>IFERROR(__xludf.DUMMYFUNCTION("IFS(
D630=""Exclude"",""Exclude"",
AND(
FILTER(IMPORTRANGE(""https://docs.google.com/spreadsheets/d/1qpEmbGH0JjaJbUdp21-y2cPbobDbMjr09BbtdKROZWc/edit#gid=1444865654"",""articles_with_PRISMA_reasons!W2:W2113""), $A630=IMPORTRANGE(""https://docs.google.com/"&amp;"spreadsheets/d/1qpEmbGH0JjaJbUdp21-y2cPbobDbMjr09BbtdKROZWc/edit#gid=1444865654"",""articles_with_PRISMA_reasons!B2:B2113""))&gt;=2,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$A630=IMPORTRANGE(""https://docs.google.com/spreadsheets/d/1qpEmbGH0JjaJbUdp21-y2cPbobDbMjr09BbtdKROZWc/edit#gid=1444865654"",""articles_with_PRISMA_reasons!B2:B2113""))&lt;2),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$A630=IMPORTRANGE(""https://docs.google.com/spreadsheets/d/1qpEmbGH0JjaJbUdp21-y2cPbobDbMjr09BbtdKRO"&amp;"ZWc/edit#gid=1444865654"",""articles_with_PRISMA_reasons!B2:B2113""))&lt;2,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$A630=IMPOR"&amp;"TRANGE(""https://docs.google.com/spreadsheets/d/1qpEmbGH0JjaJbUdp21-y2cPbobDbMjr09BbtdKROZWc/edit#gid=1444865654"",""articles_with_PRISMA_reasons!B2:B2113""))&gt;=2),
""Exclude""
)"),"Exclude")</f>
        <v>Exclude</v>
      </c>
      <c r="F630" s="5" t="str">
        <f>IFERROR(__xludf.DUMMYFUNCTION("IFS(
E630=""Exclude"",""Exclude"",
AND(
COUNTIF(
IMPORTRANGE(""https://docs.google.com/spreadsheets/d/1kGrh75X1cNR1D7_FcY9zMnHP8iPO4M5RCRjy6nZY0TY/edit#gid=0"",""Table 1: Study characteristics!B4:B171""),A630)&gt;0,
COUNTIF(Studies!$A$2:$A$85,FILTER(IMPORTRA"&amp;"NGE(""https://docs.google.com/spreadsheets/d/1kGrh75X1cNR1D7_FcY9zMnHP8iPO4M5RCRjy6nZY0TY/edit#gid=0"",""Table 1: Study characteristics!A4:A171""), $A630=IMPORTRANGE(""https://docs.google.com/spreadsheets/d/1kGrh75X1cNR1D7_FcY9zMnHP8iPO4M5RCRjy6nZY0TY/edi"&amp;"t#gid=0"",""Table 1: Study characteristics!B4:B171"")))&gt;0
),
""Include""
)"),"Exclude")</f>
        <v>Exclude</v>
      </c>
      <c r="G630" s="5" t="str">
        <f>IFERROR(__xludf.DUMMYFUNCTION("IFS(
D630=""Exclude"",
FILTER(IMPORTRANGE(""https://docs.google.com/spreadsheets/d/1BJSV3WBYJGRhQ6zExamkszQ5VutGIcaQqmbD9ZTVXMQ/edit#gid=1251630045"",""articles_with_PRISMA_reasons!AB2:AB2113""), $A630=IMPORTRANGE(""https://docs.google.com/spreadsheets/d/"&amp;"1BJSV3WBYJGRhQ6zExamkszQ5VutGIcaQqmbD9ZTVXMQ/edit#gid=1251630045"",""articles_with_PRISMA_reasons!B2:B2113"")),
E630=""Exclude"",
FILTER(IMPORTRANGE(""https://docs.google.com/spreadsheets/d/1qpEmbGH0JjaJbUdp21-y2cPbobDbMjr09BbtdKROZWc/edit#gid=1444865654"&amp;""",""articles_with_PRISMA_reasons!Z2:Z2113""), $A630=IMPORTRANGE(""https://docs.google.com/spreadsheets/d/1qpEmbGH0JjaJbUdp21-y2cPbobDbMjr09BbtdKROZWc/edit#gid=1444865654"",""articles_with_PRISMA_reasons!B2:B2113"")),F630
=""Include"",FILTER(IMPORTRANGE("&amp;"""https://docs.google.com/spreadsheets/d/1kGrh75X1cNR1D7_FcY9zMnHP8iPO4M5RCRjy6nZY0TY/edit#gid=0"",""Table 1: Study characteristics!A4:A171""), $A630=IMPORTRANGE(""https://docs.google.com/spreadsheets/d/1kGrh75X1cNR1D7_FcY9zMnHP8iPO4M5RCRjy6nZY0TY/edit#gi"&amp;"d=0"",""Table 1: Study characteristics!B4:B171""))
)"),"wrong study design")</f>
        <v>wrong study design</v>
      </c>
    </row>
    <row r="631">
      <c r="A631" s="4" t="str">
        <f>IFERROR(__xludf.DUMMYFUNCTION("""COMPUTED_VALUE"""),"Diagnosis of urinary tract disorders in congenital spinal lesions")</f>
        <v>Diagnosis of urinary tract disorders in congenital spinal lesions</v>
      </c>
      <c r="B631" s="5" t="str">
        <f>IFERROR(__xludf.DUMMYFUNCTION("LEFT(FILTER(IMPORTRANGE(""https://docs.google.com/spreadsheets/d/1BJSV3WBYJGRhQ6zExamkszQ5VutGIcaQqmbD9ZTVXMQ/edit#gid=1251630045"",""articles_with_PRISMA_reasons!K2:K2113""), $A631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$A631=IMPORTRANGE(""https://docs.google.com/spreadsheets/d/1BJSV3WBYJGRhQ6zExamkszQ5VutGIcaQqmbD9ZTVXMQ/edit#gid=1251630045"",""articles_with_PRISMA_reasons!B2:B2113"")))-1)"),"Pekarovic")</f>
        <v>Pekarovic</v>
      </c>
      <c r="C631" s="6">
        <f>IFERROR(__xludf.DUMMYFUNCTION("FILTER(IMPORTRANGE(""https://docs.google.com/spreadsheets/d/1BJSV3WBYJGRhQ6zExamkszQ5VutGIcaQqmbD9ZTVXMQ/edit#gid=1251630045"",""articles_with_PRISMA_reasons!C2:C2113""), $A631=IMPORTRANGE(""https://docs.google.com/spreadsheets/d/1BJSV3WBYJGRhQ6zExamkszQ5"&amp;"VutGIcaQqmbD9ZTVXMQ/edit#gid=1251630045"",""articles_with_PRISMA_reasons!B2:B2113""))"),1974.0)</f>
        <v>1974</v>
      </c>
      <c r="D631" s="5" t="str">
        <f>IFERROR(__xludf.DUMMYFUNCTION("IFS(AND(
FILTER(IMPORTRANGE(""https://docs.google.com/spreadsheets/d/1BJSV3WBYJGRhQ6zExamkszQ5VutGIcaQqmbD9ZTVXMQ/edit#gid=1251630045"",""articles_with_PRISMA_reasons!Y2:Y2113""), $A631=IMPORTRANGE(""https://docs.google.com/spreadsheets/d/1BJSV3WBYJGRhQ6z"&amp;"ExamkszQ5VutGIcaQqmbD9ZTVXMQ/edit#gid=1251630045"",""articles_with_PRISMA_reasons!B2:B2113""))&gt;=2,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$A631=IMPORTRANGE(""https://docs.google.com/spreadsheets/d/1BJSV3WBYJGRhQ6zExamkszQ5VutGIcaQqmbD9ZTVXMQ/edit#gid=1251630045"",""articles_with_PRISMA_reasons!B2:B2113""))&lt;2),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$A631=IMPORTRANGE(""https://docs.google.com/spreadsheets/d/1BJSV3WBYJGRhQ6zExamkszQ5VutGIcaQqmbD9ZTVXMQ/edit#gid=1251630045"",""arti"&amp;"cles_with_PRISMA_reasons!B2:B2113""))&lt;2,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$A631=IMPORTRANGE(""https://docs.google.com"&amp;"/spreadsheets/d/1BJSV3WBYJGRhQ6zExamkszQ5VutGIcaQqmbD9ZTVXMQ/edit#gid=1251630045"",""articles_with_PRISMA_reasons!B2:B2113""))&gt;=2),
""Exclude""
)"),"Exclude")</f>
        <v>Exclude</v>
      </c>
      <c r="E631" s="5" t="str">
        <f>IFERROR(__xludf.DUMMYFUNCTION("IFS(
D631=""Exclude"",""Exclude"",
AND(
FILTER(IMPORTRANGE(""https://docs.google.com/spreadsheets/d/1qpEmbGH0JjaJbUdp21-y2cPbobDbMjr09BbtdKROZWc/edit#gid=1444865654"",""articles_with_PRISMA_reasons!W2:W2113""), $A631=IMPORTRANGE(""https://docs.google.com/"&amp;"spreadsheets/d/1qpEmbGH0JjaJbUdp21-y2cPbobDbMjr09BbtdKROZWc/edit#gid=1444865654"",""articles_with_PRISMA_reasons!B2:B2113""))&gt;=2,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$A631=IMPORTRANGE(""https://docs.google.com/spreadsheets/d/1qpEmbGH0JjaJbUdp21-y2cPbobDbMjr09BbtdKROZWc/edit#gid=1444865654"",""articles_with_PRISMA_reasons!B2:B2113""))&lt;2),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$A631=IMPORTRANGE(""https://docs.google.com/spreadsheets/d/1qpEmbGH0JjaJbUdp21-y2cPbobDbMjr09BbtdKRO"&amp;"ZWc/edit#gid=1444865654"",""articles_with_PRISMA_reasons!B2:B2113""))&lt;2,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$A631=IMPOR"&amp;"TRANGE(""https://docs.google.com/spreadsheets/d/1qpEmbGH0JjaJbUdp21-y2cPbobDbMjr09BbtdKROZWc/edit#gid=1444865654"",""articles_with_PRISMA_reasons!B2:B2113""))&gt;=2),
""Exclude""
)"),"Exclude")</f>
        <v>Exclude</v>
      </c>
      <c r="F631" s="5" t="str">
        <f>IFERROR(__xludf.DUMMYFUNCTION("IFS(
E631=""Exclude"",""Exclude"",
AND(
COUNTIF(
IMPORTRANGE(""https://docs.google.com/spreadsheets/d/1kGrh75X1cNR1D7_FcY9zMnHP8iPO4M5RCRjy6nZY0TY/edit#gid=0"",""Table 1: Study characteristics!B4:B171""),A631)&gt;0,
COUNTIF(Studies!$A$2:$A$85,FILTER(IMPORTRA"&amp;"NGE(""https://docs.google.com/spreadsheets/d/1kGrh75X1cNR1D7_FcY9zMnHP8iPO4M5RCRjy6nZY0TY/edit#gid=0"",""Table 1: Study characteristics!A4:A171""), $A631=IMPORTRANGE(""https://docs.google.com/spreadsheets/d/1kGrh75X1cNR1D7_FcY9zMnHP8iPO4M5RCRjy6nZY0TY/edi"&amp;"t#gid=0"",""Table 1: Study characteristics!B4:B171"")))&gt;0
),
""Include""
)"),"Exclude")</f>
        <v>Exclude</v>
      </c>
      <c r="G631" s="5" t="str">
        <f>IFERROR(__xludf.DUMMYFUNCTION("IFS(
D631=""Exclude"",
FILTER(IMPORTRANGE(""https://docs.google.com/spreadsheets/d/1BJSV3WBYJGRhQ6zExamkszQ5VutGIcaQqmbD9ZTVXMQ/edit#gid=1251630045"",""articles_with_PRISMA_reasons!AB2:AB2113""), $A631=IMPORTRANGE(""https://docs.google.com/spreadsheets/d/"&amp;"1BJSV3WBYJGRhQ6zExamkszQ5VutGIcaQqmbD9ZTVXMQ/edit#gid=1251630045"",""articles_with_PRISMA_reasons!B2:B2113"")),
E631=""Exclude"",
FILTER(IMPORTRANGE(""https://docs.google.com/spreadsheets/d/1qpEmbGH0JjaJbUdp21-y2cPbobDbMjr09BbtdKROZWc/edit#gid=1444865654"&amp;""",""articles_with_PRISMA_reasons!Z2:Z2113""), $A631=IMPORTRANGE(""https://docs.google.com/spreadsheets/d/1qpEmbGH0JjaJbUdp21-y2cPbobDbMjr09BbtdKROZWc/edit#gid=1444865654"",""articles_with_PRISMA_reasons!B2:B2113"")),F631
=""Include"",FILTER(IMPORTRANGE("&amp;"""https://docs.google.com/spreadsheets/d/1kGrh75X1cNR1D7_FcY9zMnHP8iPO4M5RCRjy6nZY0TY/edit#gid=0"",""Table 1: Study characteristics!A4:A171""), $A631=IMPORTRANGE(""https://docs.google.com/spreadsheets/d/1kGrh75X1cNR1D7_FcY9zMnHP8iPO4M5RCRjy6nZY0TY/edit#gi"&amp;"d=0"",""Table 1: Study characteristics!B4:B171""))
)"),"wrong study design")</f>
        <v>wrong study design</v>
      </c>
    </row>
    <row r="632">
      <c r="A632" s="4" t="str">
        <f>IFERROR(__xludf.DUMMYFUNCTION("""COMPUTED_VALUE"""),"Diagnosis, treatment, and long-term outcomes of fetal hydrocephalus")</f>
        <v>Diagnosis, treatment, and long-term outcomes of fetal hydrocephalus</v>
      </c>
      <c r="B632" s="5" t="str">
        <f>IFERROR(__xludf.DUMMYFUNCTION("LEFT(FILTER(IMPORTRANGE(""https://docs.google.com/spreadsheets/d/1BJSV3WBYJGRhQ6zExamkszQ5VutGIcaQqmbD9ZTVXMQ/edit#gid=1251630045"",""articles_with_PRISMA_reasons!K2:K2113""), $A632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$A632=IMPORTRANGE(""https://docs.google.com/spreadsheets/d/1BJSV3WBYJGRhQ6zExamkszQ5VutGIcaQqmbD9ZTVXMQ/edit#gid=1251630045"",""articles_with_PRISMA_reasons!B2:B2113"")))-1)"),"Nonaka")</f>
        <v>Nonaka</v>
      </c>
      <c r="C632" s="6">
        <f>IFERROR(__xludf.DUMMYFUNCTION("FILTER(IMPORTRANGE(""https://docs.google.com/spreadsheets/d/1BJSV3WBYJGRhQ6zExamkszQ5VutGIcaQqmbD9ZTVXMQ/edit#gid=1251630045"",""articles_with_PRISMA_reasons!C2:C2113""), $A632=IMPORTRANGE(""https://docs.google.com/spreadsheets/d/1BJSV3WBYJGRhQ6zExamkszQ5"&amp;"VutGIcaQqmbD9ZTVXMQ/edit#gid=1251630045"",""articles_with_PRISMA_reasons!B2:B2113""))"),2012.0)</f>
        <v>2012</v>
      </c>
      <c r="D632" s="5" t="str">
        <f>IFERROR(__xludf.DUMMYFUNCTION("IFS(AND(
FILTER(IMPORTRANGE(""https://docs.google.com/spreadsheets/d/1BJSV3WBYJGRhQ6zExamkszQ5VutGIcaQqmbD9ZTVXMQ/edit#gid=1251630045"",""articles_with_PRISMA_reasons!Y2:Y2113""), $A632=IMPORTRANGE(""https://docs.google.com/spreadsheets/d/1BJSV3WBYJGRhQ6z"&amp;"ExamkszQ5VutGIcaQqmbD9ZTVXMQ/edit#gid=1251630045"",""articles_with_PRISMA_reasons!B2:B2113""))&gt;=2,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$A632=IMPORTRANGE(""https://docs.google.com/spreadsheets/d/1BJSV3WBYJGRhQ6zExamkszQ5VutGIcaQqmbD9ZTVXMQ/edit#gid=1251630045"",""articles_with_PRISMA_reasons!B2:B2113""))&lt;2),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$A632=IMPORTRANGE(""https://docs.google.com/spreadsheets/d/1BJSV3WBYJGRhQ6zExamkszQ5VutGIcaQqmbD9ZTVXMQ/edit#gid=1251630045"",""arti"&amp;"cles_with_PRISMA_reasons!B2:B2113""))&lt;2,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$A632=IMPORTRANGE(""https://docs.google.com"&amp;"/spreadsheets/d/1BJSV3WBYJGRhQ6zExamkszQ5VutGIcaQqmbD9ZTVXMQ/edit#gid=1251630045"",""articles_with_PRISMA_reasons!B2:B2113""))&gt;=2),
""Exclude""
)"),"Include")</f>
        <v>Include</v>
      </c>
      <c r="E632" s="5" t="str">
        <f>IFERROR(__xludf.DUMMYFUNCTION("IFS(
D632=""Exclude"",""Exclude"",
AND(
FILTER(IMPORTRANGE(""https://docs.google.com/spreadsheets/d/1qpEmbGH0JjaJbUdp21-y2cPbobDbMjr09BbtdKROZWc/edit#gid=1444865654"",""articles_with_PRISMA_reasons!W2:W2113""), $A632=IMPORTRANGE(""https://docs.google.com/"&amp;"spreadsheets/d/1qpEmbGH0JjaJbUdp21-y2cPbobDbMjr09BbtdKROZWc/edit#gid=1444865654"",""articles_with_PRISMA_reasons!B2:B2113""))&gt;=2,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$A632=IMPORTRANGE(""https://docs.google.com/spreadsheets/d/1qpEmbGH0JjaJbUdp21-y2cPbobDbMjr09BbtdKROZWc/edit#gid=1444865654"",""articles_with_PRISMA_reasons!B2:B2113""))&lt;2),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$A632=IMPORTRANGE(""https://docs.google.com/spreadsheets/d/1qpEmbGH0JjaJbUdp21-y2cPbobDbMjr09BbtdKRO"&amp;"ZWc/edit#gid=1444865654"",""articles_with_PRISMA_reasons!B2:B2113""))&lt;2,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$A632=IMPOR"&amp;"TRANGE(""https://docs.google.com/spreadsheets/d/1qpEmbGH0JjaJbUdp21-y2cPbobDbMjr09BbtdKROZWc/edit#gid=1444865654"",""articles_with_PRISMA_reasons!B2:B2113""))&gt;=2),
""Exclude""
)"),"Include")</f>
        <v>Include</v>
      </c>
      <c r="F632" s="2" t="s">
        <v>8</v>
      </c>
      <c r="G632" s="2" t="s">
        <v>17</v>
      </c>
    </row>
    <row r="633">
      <c r="A633" s="4" t="str">
        <f>IFERROR(__xludf.DUMMYFUNCTION("""COMPUTED_VALUE"""),"Diagnostic laparoscopy for intraabdominal evaluation and ventriculoperitoneal shunt placement in children: A means to avoid ventriculoatrial shunting")</f>
        <v>Diagnostic laparoscopy for intraabdominal evaluation and ventriculoperitoneal shunt placement in children: A means to avoid ventriculoatrial shunting</v>
      </c>
      <c r="B633" s="5" t="str">
        <f>IFERROR(__xludf.DUMMYFUNCTION("LEFT(FILTER(IMPORTRANGE(""https://docs.google.com/spreadsheets/d/1BJSV3WBYJGRhQ6zExamkszQ5VutGIcaQqmbD9ZTVXMQ/edit#gid=1251630045"",""articles_with_PRISMA_reasons!K2:K2113""), $A633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$A633=IMPORTRANGE(""https://docs.google.com/spreadsheets/d/1BJSV3WBYJGRhQ6zExamkszQ5VutGIcaQqmbD9ZTVXMQ/edit#gid=1251630045"",""articles_with_PRISMA_reasons!B2:B2113"")))-1)"),"Farach")</f>
        <v>Farach</v>
      </c>
      <c r="C633" s="6">
        <f>IFERROR(__xludf.DUMMYFUNCTION("FILTER(IMPORTRANGE(""https://docs.google.com/spreadsheets/d/1BJSV3WBYJGRhQ6zExamkszQ5VutGIcaQqmbD9ZTVXMQ/edit#gid=1251630045"",""articles_with_PRISMA_reasons!C2:C2113""), $A633=IMPORTRANGE(""https://docs.google.com/spreadsheets/d/1BJSV3WBYJGRhQ6zExamkszQ5"&amp;"VutGIcaQqmbD9ZTVXMQ/edit#gid=1251630045"",""articles_with_PRISMA_reasons!B2:B2113""))"),2015.0)</f>
        <v>2015</v>
      </c>
      <c r="D633" s="5" t="str">
        <f>IFERROR(__xludf.DUMMYFUNCTION("IFS(AND(
FILTER(IMPORTRANGE(""https://docs.google.com/spreadsheets/d/1BJSV3WBYJGRhQ6zExamkszQ5VutGIcaQqmbD9ZTVXMQ/edit#gid=1251630045"",""articles_with_PRISMA_reasons!Y2:Y2113""), $A633=IMPORTRANGE(""https://docs.google.com/spreadsheets/d/1BJSV3WBYJGRhQ6z"&amp;"ExamkszQ5VutGIcaQqmbD9ZTVXMQ/edit#gid=1251630045"",""articles_with_PRISMA_reasons!B2:B2113""))&gt;=2,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$A633=IMPORTRANGE(""https://docs.google.com/spreadsheets/d/1BJSV3WBYJGRhQ6zExamkszQ5VutGIcaQqmbD9ZTVXMQ/edit#gid=1251630045"",""articles_with_PRISMA_reasons!B2:B2113""))&lt;2),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$A633=IMPORTRANGE(""https://docs.google.com/spreadsheets/d/1BJSV3WBYJGRhQ6zExamkszQ5VutGIcaQqmbD9ZTVXMQ/edit#gid=1251630045"",""arti"&amp;"cles_with_PRISMA_reasons!B2:B2113""))&lt;2,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$A633=IMPORTRANGE(""https://docs.google.com"&amp;"/spreadsheets/d/1BJSV3WBYJGRhQ6zExamkszQ5VutGIcaQqmbD9ZTVXMQ/edit#gid=1251630045"",""articles_with_PRISMA_reasons!B2:B2113""))&gt;=2),
""Exclude""
)"),"Exclude")</f>
        <v>Exclude</v>
      </c>
      <c r="E633" s="5" t="str">
        <f>IFERROR(__xludf.DUMMYFUNCTION("IFS(
D633=""Exclude"",""Exclude"",
AND(
FILTER(IMPORTRANGE(""https://docs.google.com/spreadsheets/d/1qpEmbGH0JjaJbUdp21-y2cPbobDbMjr09BbtdKROZWc/edit#gid=1444865654"",""articles_with_PRISMA_reasons!W2:W2113""), $A633=IMPORTRANGE(""https://docs.google.com/"&amp;"spreadsheets/d/1qpEmbGH0JjaJbUdp21-y2cPbobDbMjr09BbtdKROZWc/edit#gid=1444865654"",""articles_with_PRISMA_reasons!B2:B2113""))&gt;=2,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$A633=IMPORTRANGE(""https://docs.google.com/spreadsheets/d/1qpEmbGH0JjaJbUdp21-y2cPbobDbMjr09BbtdKROZWc/edit#gid=1444865654"",""articles_with_PRISMA_reasons!B2:B2113""))&lt;2),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$A633=IMPORTRANGE(""https://docs.google.com/spreadsheets/d/1qpEmbGH0JjaJbUdp21-y2cPbobDbMjr09BbtdKRO"&amp;"ZWc/edit#gid=1444865654"",""articles_with_PRISMA_reasons!B2:B2113""))&lt;2,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$A633=IMPOR"&amp;"TRANGE(""https://docs.google.com/spreadsheets/d/1qpEmbGH0JjaJbUdp21-y2cPbobDbMjr09BbtdKROZWc/edit#gid=1444865654"",""articles_with_PRISMA_reasons!B2:B2113""))&gt;=2),
""Exclude""
)"),"Exclude")</f>
        <v>Exclude</v>
      </c>
      <c r="F633" s="5" t="str">
        <f>IFERROR(__xludf.DUMMYFUNCTION("IFS(
E633=""Exclude"",""Exclude"",
AND(
COUNTIF(
IMPORTRANGE(""https://docs.google.com/spreadsheets/d/1kGrh75X1cNR1D7_FcY9zMnHP8iPO4M5RCRjy6nZY0TY/edit#gid=0"",""Table 1: Study characteristics!B4:B171""),A633)&gt;0,
COUNTIF(Studies!$A$2:$A$85,FILTER(IMPORTRA"&amp;"NGE(""https://docs.google.com/spreadsheets/d/1kGrh75X1cNR1D7_FcY9zMnHP8iPO4M5RCRjy6nZY0TY/edit#gid=0"",""Table 1: Study characteristics!A4:A171""), $A633=IMPORTRANGE(""https://docs.google.com/spreadsheets/d/1kGrh75X1cNR1D7_FcY9zMnHP8iPO4M5RCRjy6nZY0TY/edi"&amp;"t#gid=0"",""Table 1: Study characteristics!B4:B171"")))&gt;0
),
""Include""
)"),"Exclude")</f>
        <v>Exclude</v>
      </c>
      <c r="G633" s="5" t="str">
        <f>IFERROR(__xludf.DUMMYFUNCTION("IFS(
D633=""Exclude"",
FILTER(IMPORTRANGE(""https://docs.google.com/spreadsheets/d/1BJSV3WBYJGRhQ6zExamkszQ5VutGIcaQqmbD9ZTVXMQ/edit#gid=1251630045"",""articles_with_PRISMA_reasons!AB2:AB2113""), $A633=IMPORTRANGE(""https://docs.google.com/spreadsheets/d/"&amp;"1BJSV3WBYJGRhQ6zExamkszQ5VutGIcaQqmbD9ZTVXMQ/edit#gid=1251630045"",""articles_with_PRISMA_reasons!B2:B2113"")),
E633=""Exclude"",
FILTER(IMPORTRANGE(""https://docs.google.com/spreadsheets/d/1qpEmbGH0JjaJbUdp21-y2cPbobDbMjr09BbtdKROZWc/edit#gid=1444865654"&amp;""",""articles_with_PRISMA_reasons!Z2:Z2113""), $A633=IMPORTRANGE(""https://docs.google.com/spreadsheets/d/1qpEmbGH0JjaJbUdp21-y2cPbobDbMjr09BbtdKROZWc/edit#gid=1444865654"",""articles_with_PRISMA_reasons!B2:B2113"")),F633
=""Include"",FILTER(IMPORTRANGE("&amp;"""https://docs.google.com/spreadsheets/d/1kGrh75X1cNR1D7_FcY9zMnHP8iPO4M5RCRjy6nZY0TY/edit#gid=0"",""Table 1: Study characteristics!A4:A171""), $A633=IMPORTRANGE(""https://docs.google.com/spreadsheets/d/1kGrh75X1cNR1D7_FcY9zMnHP8iPO4M5RCRjy6nZY0TY/edit#gi"&amp;"d=0"",""Table 1: Study characteristics!B4:B171""))
)"),"wrong population")</f>
        <v>wrong population</v>
      </c>
    </row>
    <row r="634">
      <c r="A634" s="4" t="str">
        <f>IFERROR(__xludf.DUMMYFUNCTION("""COMPUTED_VALUE"""),"Diagnostic of fetal malformation by ultrasonography state of development")</f>
        <v>Diagnostic of fetal malformation by ultrasonography state of development</v>
      </c>
      <c r="B634" s="5" t="str">
        <f>IFERROR(__xludf.DUMMYFUNCTION("LEFT(FILTER(IMPORTRANGE(""https://docs.google.com/spreadsheets/d/1BJSV3WBYJGRhQ6zExamkszQ5VutGIcaQqmbD9ZTVXMQ/edit#gid=1251630045"",""articles_with_PRISMA_reasons!K2:K2113""), $A634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$A634=IMPORTRANGE(""https://docs.google.com/spreadsheets/d/1BJSV3WBYJGRhQ6zExamkszQ5VutGIcaQqmbD9ZTVXMQ/edit#gid=1251630045"",""articles_with_PRISMA_reasons!B2:B2113"")))-1)"),"Fendel")</f>
        <v>Fendel</v>
      </c>
      <c r="C634" s="6">
        <f>IFERROR(__xludf.DUMMYFUNCTION("FILTER(IMPORTRANGE(""https://docs.google.com/spreadsheets/d/1BJSV3WBYJGRhQ6zExamkszQ5VutGIcaQqmbD9ZTVXMQ/edit#gid=1251630045"",""articles_with_PRISMA_reasons!C2:C2113""), $A634=IMPORTRANGE(""https://docs.google.com/spreadsheets/d/1BJSV3WBYJGRhQ6zExamkszQ5"&amp;"VutGIcaQqmbD9ZTVXMQ/edit#gid=1251630045"",""articles_with_PRISMA_reasons!B2:B2113""))"),1983.0)</f>
        <v>1983</v>
      </c>
      <c r="D634" s="5" t="str">
        <f>IFERROR(__xludf.DUMMYFUNCTION("IFS(AND(
FILTER(IMPORTRANGE(""https://docs.google.com/spreadsheets/d/1BJSV3WBYJGRhQ6zExamkszQ5VutGIcaQqmbD9ZTVXMQ/edit#gid=1251630045"",""articles_with_PRISMA_reasons!Y2:Y2113""), $A634=IMPORTRANGE(""https://docs.google.com/spreadsheets/d/1BJSV3WBYJGRhQ6z"&amp;"ExamkszQ5VutGIcaQqmbD9ZTVXMQ/edit#gid=1251630045"",""articles_with_PRISMA_reasons!B2:B2113""))&gt;=2,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$A634=IMPORTRANGE(""https://docs.google.com/spreadsheets/d/1BJSV3WBYJGRhQ6zExamkszQ5VutGIcaQqmbD9ZTVXMQ/edit#gid=1251630045"",""articles_with_PRISMA_reasons!B2:B2113""))&lt;2),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$A634=IMPORTRANGE(""https://docs.google.com/spreadsheets/d/1BJSV3WBYJGRhQ6zExamkszQ5VutGIcaQqmbD9ZTVXMQ/edit#gid=1251630045"",""arti"&amp;"cles_with_PRISMA_reasons!B2:B2113""))&lt;2,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$A634=IMPORTRANGE(""https://docs.google.com"&amp;"/spreadsheets/d/1BJSV3WBYJGRhQ6zExamkszQ5VutGIcaQqmbD9ZTVXMQ/edit#gid=1251630045"",""articles_with_PRISMA_reasons!B2:B2113""))&gt;=2),
""Exclude""
)"),"Exclude")</f>
        <v>Exclude</v>
      </c>
      <c r="E634" s="5" t="str">
        <f>IFERROR(__xludf.DUMMYFUNCTION("IFS(
D634=""Exclude"",""Exclude"",
AND(
FILTER(IMPORTRANGE(""https://docs.google.com/spreadsheets/d/1qpEmbGH0JjaJbUdp21-y2cPbobDbMjr09BbtdKROZWc/edit#gid=1444865654"",""articles_with_PRISMA_reasons!W2:W2113""), $A634=IMPORTRANGE(""https://docs.google.com/"&amp;"spreadsheets/d/1qpEmbGH0JjaJbUdp21-y2cPbobDbMjr09BbtdKROZWc/edit#gid=1444865654"",""articles_with_PRISMA_reasons!B2:B2113""))&gt;=2,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$A634=IMPORTRANGE(""https://docs.google.com/spreadsheets/d/1qpEmbGH0JjaJbUdp21-y2cPbobDbMjr09BbtdKROZWc/edit#gid=1444865654"",""articles_with_PRISMA_reasons!B2:B2113""))&lt;2),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$A634=IMPORTRANGE(""https://docs.google.com/spreadsheets/d/1qpEmbGH0JjaJbUdp21-y2cPbobDbMjr09BbtdKRO"&amp;"ZWc/edit#gid=1444865654"",""articles_with_PRISMA_reasons!B2:B2113""))&lt;2,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$A634=IMPOR"&amp;"TRANGE(""https://docs.google.com/spreadsheets/d/1qpEmbGH0JjaJbUdp21-y2cPbobDbMjr09BbtdKROZWc/edit#gid=1444865654"",""articles_with_PRISMA_reasons!B2:B2113""))&gt;=2),
""Exclude""
)"),"Exclude")</f>
        <v>Exclude</v>
      </c>
      <c r="F634" s="5" t="str">
        <f>IFERROR(__xludf.DUMMYFUNCTION("IFS(
E634=""Exclude"",""Exclude"",
AND(
COUNTIF(
IMPORTRANGE(""https://docs.google.com/spreadsheets/d/1kGrh75X1cNR1D7_FcY9zMnHP8iPO4M5RCRjy6nZY0TY/edit#gid=0"",""Table 1: Study characteristics!B4:B171""),A634)&gt;0,
COUNTIF(Studies!$A$2:$A$85,FILTER(IMPORTRA"&amp;"NGE(""https://docs.google.com/spreadsheets/d/1kGrh75X1cNR1D7_FcY9zMnHP8iPO4M5RCRjy6nZY0TY/edit#gid=0"",""Table 1: Study characteristics!A4:A171""), $A634=IMPORTRANGE(""https://docs.google.com/spreadsheets/d/1kGrh75X1cNR1D7_FcY9zMnHP8iPO4M5RCRjy6nZY0TY/edi"&amp;"t#gid=0"",""Table 1: Study characteristics!B4:B171"")))&gt;0
),
""Include""
)"),"Exclude")</f>
        <v>Exclude</v>
      </c>
      <c r="G634" s="5" t="str">
        <f>IFERROR(__xludf.DUMMYFUNCTION("IFS(
D634=""Exclude"",
FILTER(IMPORTRANGE(""https://docs.google.com/spreadsheets/d/1BJSV3WBYJGRhQ6zExamkszQ5VutGIcaQqmbD9ZTVXMQ/edit#gid=1251630045"",""articles_with_PRISMA_reasons!AB2:AB2113""), $A634=IMPORTRANGE(""https://docs.google.com/spreadsheets/d/"&amp;"1BJSV3WBYJGRhQ6zExamkszQ5VutGIcaQqmbD9ZTVXMQ/edit#gid=1251630045"",""articles_with_PRISMA_reasons!B2:B2113"")),
E634=""Exclude"",
FILTER(IMPORTRANGE(""https://docs.google.com/spreadsheets/d/1qpEmbGH0JjaJbUdp21-y2cPbobDbMjr09BbtdKROZWc/edit#gid=1444865654"&amp;""",""articles_with_PRISMA_reasons!Z2:Z2113""), $A634=IMPORTRANGE(""https://docs.google.com/spreadsheets/d/1qpEmbGH0JjaJbUdp21-y2cPbobDbMjr09BbtdKROZWc/edit#gid=1444865654"",""articles_with_PRISMA_reasons!B2:B2113"")),F634
=""Include"",FILTER(IMPORTRANGE("&amp;"""https://docs.google.com/spreadsheets/d/1kGrh75X1cNR1D7_FcY9zMnHP8iPO4M5RCRjy6nZY0TY/edit#gid=0"",""Table 1: Study characteristics!A4:A171""), $A634=IMPORTRANGE(""https://docs.google.com/spreadsheets/d/1kGrh75X1cNR1D7_FcY9zMnHP8iPO4M5RCRjy6nZY0TY/edit#gi"&amp;"d=0"",""Table 1: Study characteristics!B4:B171""))
)"),"wrong population")</f>
        <v>wrong population</v>
      </c>
    </row>
    <row r="635">
      <c r="A635" s="4" t="str">
        <f>IFERROR(__xludf.DUMMYFUNCTION("""COMPUTED_VALUE"""),"DIASTEMATOMYELIA AND THE KLIPPEL-FEIL SYNDROME. RELATIONSHIP TO HYDROCEPHALUS, SYRINGOMYELIA, MENINGOCELE, MENINGOMYELOCELE, AND INIENCEPHALUS")</f>
        <v>DIASTEMATOMYELIA AND THE KLIPPEL-FEIL SYNDROME. RELATIONSHIP TO HYDROCEPHALUS, SYRINGOMYELIA, MENINGOCELE, MENINGOMYELOCELE, AND INIENCEPHALUS</v>
      </c>
      <c r="B635" s="5" t="str">
        <f>IFERROR(__xludf.DUMMYFUNCTION("LEFT(FILTER(IMPORTRANGE(""https://docs.google.com/spreadsheets/d/1BJSV3WBYJGRhQ6zExamkszQ5VutGIcaQqmbD9ZTVXMQ/edit#gid=1251630045"",""articles_with_PRISMA_reasons!K2:K2113""), $A635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$A635=IMPORTRANGE(""https://docs.google.com/spreadsheets/d/1BJSV3WBYJGRhQ6zExamkszQ5VutGIcaQqmbD9ZTVXMQ/edit#gid=1251630045"",""articles_with_PRISMA_reasons!B2:B2113"")))-1)"),"Gardner")</f>
        <v>Gardner</v>
      </c>
      <c r="C635" s="6">
        <f>IFERROR(__xludf.DUMMYFUNCTION("FILTER(IMPORTRANGE(""https://docs.google.com/spreadsheets/d/1BJSV3WBYJGRhQ6zExamkszQ5VutGIcaQqmbD9ZTVXMQ/edit#gid=1251630045"",""articles_with_PRISMA_reasons!C2:C2113""), $A635=IMPORTRANGE(""https://docs.google.com/spreadsheets/d/1BJSV3WBYJGRhQ6zExamkszQ5"&amp;"VutGIcaQqmbD9ZTVXMQ/edit#gid=1251630045"",""articles_with_PRISMA_reasons!B2:B2113""))"),1964.0)</f>
        <v>1964</v>
      </c>
      <c r="D635" s="5" t="str">
        <f>IFERROR(__xludf.DUMMYFUNCTION("IFS(AND(
FILTER(IMPORTRANGE(""https://docs.google.com/spreadsheets/d/1BJSV3WBYJGRhQ6zExamkszQ5VutGIcaQqmbD9ZTVXMQ/edit#gid=1251630045"",""articles_with_PRISMA_reasons!Y2:Y2113""), $A635=IMPORTRANGE(""https://docs.google.com/spreadsheets/d/1BJSV3WBYJGRhQ6z"&amp;"ExamkszQ5VutGIcaQqmbD9ZTVXMQ/edit#gid=1251630045"",""articles_with_PRISMA_reasons!B2:B2113""))&gt;=2,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$A635=IMPORTRANGE(""https://docs.google.com/spreadsheets/d/1BJSV3WBYJGRhQ6zExamkszQ5VutGIcaQqmbD9ZTVXMQ/edit#gid=1251630045"",""articles_with_PRISMA_reasons!B2:B2113""))&lt;2),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$A635=IMPORTRANGE(""https://docs.google.com/spreadsheets/d/1BJSV3WBYJGRhQ6zExamkszQ5VutGIcaQqmbD9ZTVXMQ/edit#gid=1251630045"",""arti"&amp;"cles_with_PRISMA_reasons!B2:B2113""))&lt;2,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$A635=IMPORTRANGE(""https://docs.google.com"&amp;"/spreadsheets/d/1BJSV3WBYJGRhQ6zExamkszQ5VutGIcaQqmbD9ZTVXMQ/edit#gid=1251630045"",""articles_with_PRISMA_reasons!B2:B2113""))&gt;=2),
""Exclude""
)"),"Exclude")</f>
        <v>Exclude</v>
      </c>
      <c r="E635" s="5" t="str">
        <f>IFERROR(__xludf.DUMMYFUNCTION("IFS(
D635=""Exclude"",""Exclude"",
AND(
FILTER(IMPORTRANGE(""https://docs.google.com/spreadsheets/d/1qpEmbGH0JjaJbUdp21-y2cPbobDbMjr09BbtdKROZWc/edit#gid=1444865654"",""articles_with_PRISMA_reasons!W2:W2113""), $A635=IMPORTRANGE(""https://docs.google.com/"&amp;"spreadsheets/d/1qpEmbGH0JjaJbUdp21-y2cPbobDbMjr09BbtdKROZWc/edit#gid=1444865654"",""articles_with_PRISMA_reasons!B2:B2113""))&gt;=2,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$A635=IMPORTRANGE(""https://docs.google.com/spreadsheets/d/1qpEmbGH0JjaJbUdp21-y2cPbobDbMjr09BbtdKROZWc/edit#gid=1444865654"",""articles_with_PRISMA_reasons!B2:B2113""))&lt;2),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$A635=IMPORTRANGE(""https://docs.google.com/spreadsheets/d/1qpEmbGH0JjaJbUdp21-y2cPbobDbMjr09BbtdKRO"&amp;"ZWc/edit#gid=1444865654"",""articles_with_PRISMA_reasons!B2:B2113""))&lt;2,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$A635=IMPOR"&amp;"TRANGE(""https://docs.google.com/spreadsheets/d/1qpEmbGH0JjaJbUdp21-y2cPbobDbMjr09BbtdKROZWc/edit#gid=1444865654"",""articles_with_PRISMA_reasons!B2:B2113""))&gt;=2),
""Exclude""
)"),"Exclude")</f>
        <v>Exclude</v>
      </c>
      <c r="F635" s="5" t="str">
        <f>IFERROR(__xludf.DUMMYFUNCTION("IFS(
E635=""Exclude"",""Exclude"",
AND(
COUNTIF(
IMPORTRANGE(""https://docs.google.com/spreadsheets/d/1kGrh75X1cNR1D7_FcY9zMnHP8iPO4M5RCRjy6nZY0TY/edit#gid=0"",""Table 1: Study characteristics!B4:B171""),A635)&gt;0,
COUNTIF(Studies!$A$2:$A$85,FILTER(IMPORTRA"&amp;"NGE(""https://docs.google.com/spreadsheets/d/1kGrh75X1cNR1D7_FcY9zMnHP8iPO4M5RCRjy6nZY0TY/edit#gid=0"",""Table 1: Study characteristics!A4:A171""), $A635=IMPORTRANGE(""https://docs.google.com/spreadsheets/d/1kGrh75X1cNR1D7_FcY9zMnHP8iPO4M5RCRjy6nZY0TY/edi"&amp;"t#gid=0"",""Table 1: Study characteristics!B4:B171"")))&gt;0
),
""Include""
)"),"Exclude")</f>
        <v>Exclude</v>
      </c>
      <c r="G635" s="5" t="str">
        <f>IFERROR(__xludf.DUMMYFUNCTION("IFS(
D635=""Exclude"",
FILTER(IMPORTRANGE(""https://docs.google.com/spreadsheets/d/1BJSV3WBYJGRhQ6zExamkszQ5VutGIcaQqmbD9ZTVXMQ/edit#gid=1251630045"",""articles_with_PRISMA_reasons!AB2:AB2113""), $A635=IMPORTRANGE(""https://docs.google.com/spreadsheets/d/"&amp;"1BJSV3WBYJGRhQ6zExamkszQ5VutGIcaQqmbD9ZTVXMQ/edit#gid=1251630045"",""articles_with_PRISMA_reasons!B2:B2113"")),
E635=""Exclude"",
FILTER(IMPORTRANGE(""https://docs.google.com/spreadsheets/d/1qpEmbGH0JjaJbUdp21-y2cPbobDbMjr09BbtdKROZWc/edit#gid=1444865654"&amp;""",""articles_with_PRISMA_reasons!Z2:Z2113""), $A635=IMPORTRANGE(""https://docs.google.com/spreadsheets/d/1qpEmbGH0JjaJbUdp21-y2cPbobDbMjr09BbtdKROZWc/edit#gid=1444865654"",""articles_with_PRISMA_reasons!B2:B2113"")),F635
=""Include"",FILTER(IMPORTRANGE("&amp;"""https://docs.google.com/spreadsheets/d/1kGrh75X1cNR1D7_FcY9zMnHP8iPO4M5RCRjy6nZY0TY/edit#gid=0"",""Table 1: Study characteristics!A4:A171""), $A635=IMPORTRANGE(""https://docs.google.com/spreadsheets/d/1kGrh75X1cNR1D7_FcY9zMnHP8iPO4M5RCRjy6nZY0TY/edit#gi"&amp;"d=0"",""Table 1: Study characteristics!B4:B171""))
)"),"background article")</f>
        <v>background article</v>
      </c>
    </row>
    <row r="636">
      <c r="A636" s="4" t="str">
        <f>IFERROR(__xludf.DUMMYFUNCTION("""COMPUTED_VALUE"""),"Diastematomyelia and tumor in adults: Report of two cases and literature review")</f>
        <v>Diastematomyelia and tumor in adults: Report of two cases and literature review</v>
      </c>
      <c r="B636" s="5" t="str">
        <f>IFERROR(__xludf.DUMMYFUNCTION("LEFT(FILTER(IMPORTRANGE(""https://docs.google.com/spreadsheets/d/1BJSV3WBYJGRhQ6zExamkszQ5VutGIcaQqmbD9ZTVXMQ/edit#gid=1251630045"",""articles_with_PRISMA_reasons!K2:K2113""), $A636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$A636=IMPORTRANGE(""https://docs.google.com/spreadsheets/d/1BJSV3WBYJGRhQ6zExamkszQ5VutGIcaQqmbD9ZTVXMQ/edit#gid=1251630045"",""articles_with_PRISMA_reasons!B2:B2113"")))-1)"),"Conti")</f>
        <v>Conti</v>
      </c>
      <c r="C636" s="6">
        <f>IFERROR(__xludf.DUMMYFUNCTION("FILTER(IMPORTRANGE(""https://docs.google.com/spreadsheets/d/1BJSV3WBYJGRhQ6zExamkszQ5VutGIcaQqmbD9ZTVXMQ/edit#gid=1251630045"",""articles_with_PRISMA_reasons!C2:C2113""), $A636=IMPORTRANGE(""https://docs.google.com/spreadsheets/d/1BJSV3WBYJGRhQ6zExamkszQ5"&amp;"VutGIcaQqmbD9ZTVXMQ/edit#gid=1251630045"",""articles_with_PRISMA_reasons!B2:B2113""))"),2010.0)</f>
        <v>2010</v>
      </c>
      <c r="D636" s="5" t="str">
        <f>IFERROR(__xludf.DUMMYFUNCTION("IFS(AND(
FILTER(IMPORTRANGE(""https://docs.google.com/spreadsheets/d/1BJSV3WBYJGRhQ6zExamkszQ5VutGIcaQqmbD9ZTVXMQ/edit#gid=1251630045"",""articles_with_PRISMA_reasons!Y2:Y2113""), $A636=IMPORTRANGE(""https://docs.google.com/spreadsheets/d/1BJSV3WBYJGRhQ6z"&amp;"ExamkszQ5VutGIcaQqmbD9ZTVXMQ/edit#gid=1251630045"",""articles_with_PRISMA_reasons!B2:B2113""))&gt;=2,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$A636=IMPORTRANGE(""https://docs.google.com/spreadsheets/d/1BJSV3WBYJGRhQ6zExamkszQ5VutGIcaQqmbD9ZTVXMQ/edit#gid=1251630045"",""articles_with_PRISMA_reasons!B2:B2113""))&lt;2),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$A636=IMPORTRANGE(""https://docs.google.com/spreadsheets/d/1BJSV3WBYJGRhQ6zExamkszQ5VutGIcaQqmbD9ZTVXMQ/edit#gid=1251630045"",""arti"&amp;"cles_with_PRISMA_reasons!B2:B2113""))&lt;2,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$A636=IMPORTRANGE(""https://docs.google.com"&amp;"/spreadsheets/d/1BJSV3WBYJGRhQ6zExamkszQ5VutGIcaQqmbD9ZTVXMQ/edit#gid=1251630045"",""articles_with_PRISMA_reasons!B2:B2113""))&gt;=2),
""Exclude""
)"),"Exclude")</f>
        <v>Exclude</v>
      </c>
      <c r="E636" s="5" t="str">
        <f>IFERROR(__xludf.DUMMYFUNCTION("IFS(
D636=""Exclude"",""Exclude"",
AND(
FILTER(IMPORTRANGE(""https://docs.google.com/spreadsheets/d/1qpEmbGH0JjaJbUdp21-y2cPbobDbMjr09BbtdKROZWc/edit#gid=1444865654"",""articles_with_PRISMA_reasons!W2:W2113""), $A636=IMPORTRANGE(""https://docs.google.com/"&amp;"spreadsheets/d/1qpEmbGH0JjaJbUdp21-y2cPbobDbMjr09BbtdKROZWc/edit#gid=1444865654"",""articles_with_PRISMA_reasons!B2:B2113""))&gt;=2,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$A636=IMPORTRANGE(""https://docs.google.com/spreadsheets/d/1qpEmbGH0JjaJbUdp21-y2cPbobDbMjr09BbtdKROZWc/edit#gid=1444865654"",""articles_with_PRISMA_reasons!B2:B2113""))&lt;2),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$A636=IMPORTRANGE(""https://docs.google.com/spreadsheets/d/1qpEmbGH0JjaJbUdp21-y2cPbobDbMjr09BbtdKRO"&amp;"ZWc/edit#gid=1444865654"",""articles_with_PRISMA_reasons!B2:B2113""))&lt;2,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$A636=IMPOR"&amp;"TRANGE(""https://docs.google.com/spreadsheets/d/1qpEmbGH0JjaJbUdp21-y2cPbobDbMjr09BbtdKROZWc/edit#gid=1444865654"",""articles_with_PRISMA_reasons!B2:B2113""))&gt;=2),
""Exclude""
)"),"Exclude")</f>
        <v>Exclude</v>
      </c>
      <c r="F636" s="5" t="str">
        <f>IFERROR(__xludf.DUMMYFUNCTION("IFS(
E636=""Exclude"",""Exclude"",
AND(
COUNTIF(
IMPORTRANGE(""https://docs.google.com/spreadsheets/d/1kGrh75X1cNR1D7_FcY9zMnHP8iPO4M5RCRjy6nZY0TY/edit#gid=0"",""Table 1: Study characteristics!B4:B171""),A636)&gt;0,
COUNTIF(Studies!$A$2:$A$85,FILTER(IMPORTRA"&amp;"NGE(""https://docs.google.com/spreadsheets/d/1kGrh75X1cNR1D7_FcY9zMnHP8iPO4M5RCRjy6nZY0TY/edit#gid=0"",""Table 1: Study characteristics!A4:A171""), $A636=IMPORTRANGE(""https://docs.google.com/spreadsheets/d/1kGrh75X1cNR1D7_FcY9zMnHP8iPO4M5RCRjy6nZY0TY/edi"&amp;"t#gid=0"",""Table 1: Study characteristics!B4:B171"")))&gt;0
),
""Include""
)"),"Exclude")</f>
        <v>Exclude</v>
      </c>
      <c r="G636" s="5" t="str">
        <f>IFERROR(__xludf.DUMMYFUNCTION("IFS(
D636=""Exclude"",
FILTER(IMPORTRANGE(""https://docs.google.com/spreadsheets/d/1BJSV3WBYJGRhQ6zExamkszQ5VutGIcaQqmbD9ZTVXMQ/edit#gid=1251630045"",""articles_with_PRISMA_reasons!AB2:AB2113""), $A636=IMPORTRANGE(""https://docs.google.com/spreadsheets/d/"&amp;"1BJSV3WBYJGRhQ6zExamkszQ5VutGIcaQqmbD9ZTVXMQ/edit#gid=1251630045"",""articles_with_PRISMA_reasons!B2:B2113"")),
E636=""Exclude"",
FILTER(IMPORTRANGE(""https://docs.google.com/spreadsheets/d/1qpEmbGH0JjaJbUdp21-y2cPbobDbMjr09BbtdKROZWc/edit#gid=1444865654"&amp;""",""articles_with_PRISMA_reasons!Z2:Z2113""), $A636=IMPORTRANGE(""https://docs.google.com/spreadsheets/d/1qpEmbGH0JjaJbUdp21-y2cPbobDbMjr09BbtdKROZWc/edit#gid=1444865654"",""articles_with_PRISMA_reasons!B2:B2113"")),F636
=""Include"",FILTER(IMPORTRANGE("&amp;"""https://docs.google.com/spreadsheets/d/1kGrh75X1cNR1D7_FcY9zMnHP8iPO4M5RCRjy6nZY0TY/edit#gid=0"",""Table 1: Study characteristics!A4:A171""), $A636=IMPORTRANGE(""https://docs.google.com/spreadsheets/d/1kGrh75X1cNR1D7_FcY9zMnHP8iPO4M5RCRjy6nZY0TY/edit#gi"&amp;"d=0"",""Table 1: Study characteristics!B4:B171""))
)"),"wrong study design")</f>
        <v>wrong study design</v>
      </c>
    </row>
    <row r="637">
      <c r="A637" s="4" t="str">
        <f>IFERROR(__xludf.DUMMYFUNCTION("""COMPUTED_VALUE"""),"Diastematomyelia: A 35-year experience")</f>
        <v>Diastematomyelia: A 35-year experience</v>
      </c>
      <c r="B637" s="5" t="str">
        <f>IFERROR(__xludf.DUMMYFUNCTION("LEFT(FILTER(IMPORTRANGE(""https://docs.google.com/spreadsheets/d/1BJSV3WBYJGRhQ6zExamkszQ5VutGIcaQqmbD9ZTVXMQ/edit#gid=1251630045"",""articles_with_PRISMA_reasons!K2:K2113""), $A637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$A637=IMPORTRANGE(""https://docs.google.com/spreadsheets/d/1BJSV3WBYJGRhQ6zExamkszQ5VutGIcaQqmbD9ZTVXMQ/edit#gid=1251630045"",""articles_with_PRISMA_reasons!B2:B2113"")))-1)"),"Huang")</f>
        <v>Huang</v>
      </c>
      <c r="C637" s="6">
        <f>IFERROR(__xludf.DUMMYFUNCTION("FILTER(IMPORTRANGE(""https://docs.google.com/spreadsheets/d/1BJSV3WBYJGRhQ6zExamkszQ5VutGIcaQqmbD9ZTVXMQ/edit#gid=1251630045"",""articles_with_PRISMA_reasons!C2:C2113""), $A637=IMPORTRANGE(""https://docs.google.com/spreadsheets/d/1BJSV3WBYJGRhQ6zExamkszQ5"&amp;"VutGIcaQqmbD9ZTVXMQ/edit#gid=1251630045"",""articles_with_PRISMA_reasons!B2:B2113""))"),2013.0)</f>
        <v>2013</v>
      </c>
      <c r="D637" s="5" t="str">
        <f>IFERROR(__xludf.DUMMYFUNCTION("IFS(AND(
FILTER(IMPORTRANGE(""https://docs.google.com/spreadsheets/d/1BJSV3WBYJGRhQ6zExamkszQ5VutGIcaQqmbD9ZTVXMQ/edit#gid=1251630045"",""articles_with_PRISMA_reasons!Y2:Y2113""), $A637=IMPORTRANGE(""https://docs.google.com/spreadsheets/d/1BJSV3WBYJGRhQ6z"&amp;"ExamkszQ5VutGIcaQqmbD9ZTVXMQ/edit#gid=1251630045"",""articles_with_PRISMA_reasons!B2:B2113""))&gt;=2,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$A637=IMPORTRANGE(""https://docs.google.com/spreadsheets/d/1BJSV3WBYJGRhQ6zExamkszQ5VutGIcaQqmbD9ZTVXMQ/edit#gid=1251630045"",""articles_with_PRISMA_reasons!B2:B2113""))&lt;2),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$A637=IMPORTRANGE(""https://docs.google.com/spreadsheets/d/1BJSV3WBYJGRhQ6zExamkszQ5VutGIcaQqmbD9ZTVXMQ/edit#gid=1251630045"",""arti"&amp;"cles_with_PRISMA_reasons!B2:B2113""))&lt;2,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$A637=IMPORTRANGE(""https://docs.google.com"&amp;"/spreadsheets/d/1BJSV3WBYJGRhQ6zExamkszQ5VutGIcaQqmbD9ZTVXMQ/edit#gid=1251630045"",""articles_with_PRISMA_reasons!B2:B2113""))&gt;=2),
""Exclude""
)"),"Exclude")</f>
        <v>Exclude</v>
      </c>
      <c r="E637" s="5" t="str">
        <f>IFERROR(__xludf.DUMMYFUNCTION("IFS(
D637=""Exclude"",""Exclude"",
AND(
FILTER(IMPORTRANGE(""https://docs.google.com/spreadsheets/d/1qpEmbGH0JjaJbUdp21-y2cPbobDbMjr09BbtdKROZWc/edit#gid=1444865654"",""articles_with_PRISMA_reasons!W2:W2113""), $A637=IMPORTRANGE(""https://docs.google.com/"&amp;"spreadsheets/d/1qpEmbGH0JjaJbUdp21-y2cPbobDbMjr09BbtdKROZWc/edit#gid=1444865654"",""articles_with_PRISMA_reasons!B2:B2113""))&gt;=2,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$A637=IMPORTRANGE(""https://docs.google.com/spreadsheets/d/1qpEmbGH0JjaJbUdp21-y2cPbobDbMjr09BbtdKROZWc/edit#gid=1444865654"",""articles_with_PRISMA_reasons!B2:B2113""))&lt;2),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$A637=IMPORTRANGE(""https://docs.google.com/spreadsheets/d/1qpEmbGH0JjaJbUdp21-y2cPbobDbMjr09BbtdKRO"&amp;"ZWc/edit#gid=1444865654"",""articles_with_PRISMA_reasons!B2:B2113""))&lt;2,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$A637=IMPOR"&amp;"TRANGE(""https://docs.google.com/spreadsheets/d/1qpEmbGH0JjaJbUdp21-y2cPbobDbMjr09BbtdKROZWc/edit#gid=1444865654"",""articles_with_PRISMA_reasons!B2:B2113""))&gt;=2),
""Exclude""
)"),"Exclude")</f>
        <v>Exclude</v>
      </c>
      <c r="F637" s="5" t="str">
        <f>IFERROR(__xludf.DUMMYFUNCTION("IFS(
E637=""Exclude"",""Exclude"",
AND(
COUNTIF(
IMPORTRANGE(""https://docs.google.com/spreadsheets/d/1kGrh75X1cNR1D7_FcY9zMnHP8iPO4M5RCRjy6nZY0TY/edit#gid=0"",""Table 1: Study characteristics!B4:B171""),A637)&gt;0,
COUNTIF(Studies!$A$2:$A$85,FILTER(IMPORTRA"&amp;"NGE(""https://docs.google.com/spreadsheets/d/1kGrh75X1cNR1D7_FcY9zMnHP8iPO4M5RCRjy6nZY0TY/edit#gid=0"",""Table 1: Study characteristics!A4:A171""), $A637=IMPORTRANGE(""https://docs.google.com/spreadsheets/d/1kGrh75X1cNR1D7_FcY9zMnHP8iPO4M5RCRjy6nZY0TY/edi"&amp;"t#gid=0"",""Table 1: Study characteristics!B4:B171"")))&gt;0
),
""Include""
)"),"Exclude")</f>
        <v>Exclude</v>
      </c>
      <c r="G637" s="5" t="str">
        <f>IFERROR(__xludf.DUMMYFUNCTION("IFS(
D637=""Exclude"",
FILTER(IMPORTRANGE(""https://docs.google.com/spreadsheets/d/1BJSV3WBYJGRhQ6zExamkszQ5VutGIcaQqmbD9ZTVXMQ/edit#gid=1251630045"",""articles_with_PRISMA_reasons!AB2:AB2113""), $A637=IMPORTRANGE(""https://docs.google.com/spreadsheets/d/"&amp;"1BJSV3WBYJGRhQ6zExamkszQ5VutGIcaQqmbD9ZTVXMQ/edit#gid=1251630045"",""articles_with_PRISMA_reasons!B2:B2113"")),
E637=""Exclude"",
FILTER(IMPORTRANGE(""https://docs.google.com/spreadsheets/d/1qpEmbGH0JjaJbUdp21-y2cPbobDbMjr09BbtdKROZWc/edit#gid=1444865654"&amp;""",""articles_with_PRISMA_reasons!Z2:Z2113""), $A637=IMPORTRANGE(""https://docs.google.com/spreadsheets/d/1qpEmbGH0JjaJbUdp21-y2cPbobDbMjr09BbtdKROZWc/edit#gid=1444865654"",""articles_with_PRISMA_reasons!B2:B2113"")),F637
=""Include"",FILTER(IMPORTRANGE("&amp;"""https://docs.google.com/spreadsheets/d/1kGrh75X1cNR1D7_FcY9zMnHP8iPO4M5RCRjy6nZY0TY/edit#gid=0"",""Table 1: Study characteristics!A4:A171""), $A637=IMPORTRANGE(""https://docs.google.com/spreadsheets/d/1kGrh75X1cNR1D7_FcY9zMnHP8iPO4M5RCRjy6nZY0TY/edit#gi"&amp;"d=0"",""Table 1: Study characteristics!B4:B171""))
)"),"wrong population")</f>
        <v>wrong population</v>
      </c>
    </row>
    <row r="638">
      <c r="A638" s="4" t="str">
        <f>IFERROR(__xludf.DUMMYFUNCTION("""COMPUTED_VALUE"""),"Dicephalus dibrachius dipus: A case report")</f>
        <v>Dicephalus dibrachius dipus: A case report</v>
      </c>
      <c r="B638" s="5" t="str">
        <f>IFERROR(__xludf.DUMMYFUNCTION("LEFT(FILTER(IMPORTRANGE(""https://docs.google.com/spreadsheets/d/1BJSV3WBYJGRhQ6zExamkszQ5VutGIcaQqmbD9ZTVXMQ/edit#gid=1251630045"",""articles_with_PRISMA_reasons!K2:K2113""), $A638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$A638=IMPORTRANGE(""https://docs.google.com/spreadsheets/d/1BJSV3WBYJGRhQ6zExamkszQ5VutGIcaQqmbD9ZTVXMQ/edit#gid=1251630045"",""articles_with_PRISMA_reasons!B2:B2113"")))-1)"),"Renitha")</f>
        <v>Renitha</v>
      </c>
      <c r="C638" s="6">
        <f>IFERROR(__xludf.DUMMYFUNCTION("FILTER(IMPORTRANGE(""https://docs.google.com/spreadsheets/d/1BJSV3WBYJGRhQ6zExamkszQ5VutGIcaQqmbD9ZTVXMQ/edit#gid=1251630045"",""articles_with_PRISMA_reasons!C2:C2113""), $A638=IMPORTRANGE(""https://docs.google.com/spreadsheets/d/1BJSV3WBYJGRhQ6zExamkszQ5"&amp;"VutGIcaQqmbD9ZTVXMQ/edit#gid=1251630045"",""articles_with_PRISMA_reasons!B2:B2113""))"),2009.0)</f>
        <v>2009</v>
      </c>
      <c r="D638" s="5" t="str">
        <f>IFERROR(__xludf.DUMMYFUNCTION("IFS(AND(
FILTER(IMPORTRANGE(""https://docs.google.com/spreadsheets/d/1BJSV3WBYJGRhQ6zExamkszQ5VutGIcaQqmbD9ZTVXMQ/edit#gid=1251630045"",""articles_with_PRISMA_reasons!Y2:Y2113""), $A638=IMPORTRANGE(""https://docs.google.com/spreadsheets/d/1BJSV3WBYJGRhQ6z"&amp;"ExamkszQ5VutGIcaQqmbD9ZTVXMQ/edit#gid=1251630045"",""articles_with_PRISMA_reasons!B2:B2113""))&gt;=2,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$A638=IMPORTRANGE(""https://docs.google.com/spreadsheets/d/1BJSV3WBYJGRhQ6zExamkszQ5VutGIcaQqmbD9ZTVXMQ/edit#gid=1251630045"",""articles_with_PRISMA_reasons!B2:B2113""))&lt;2),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$A638=IMPORTRANGE(""https://docs.google.com/spreadsheets/d/1BJSV3WBYJGRhQ6zExamkszQ5VutGIcaQqmbD9ZTVXMQ/edit#gid=1251630045"",""arti"&amp;"cles_with_PRISMA_reasons!B2:B2113""))&lt;2,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$A638=IMPORTRANGE(""https://docs.google.com"&amp;"/spreadsheets/d/1BJSV3WBYJGRhQ6zExamkszQ5VutGIcaQqmbD9ZTVXMQ/edit#gid=1251630045"",""articles_with_PRISMA_reasons!B2:B2113""))&gt;=2),
""Exclude""
)"),"Exclude")</f>
        <v>Exclude</v>
      </c>
      <c r="E638" s="5" t="str">
        <f>IFERROR(__xludf.DUMMYFUNCTION("IFS(
D638=""Exclude"",""Exclude"",
AND(
FILTER(IMPORTRANGE(""https://docs.google.com/spreadsheets/d/1qpEmbGH0JjaJbUdp21-y2cPbobDbMjr09BbtdKROZWc/edit#gid=1444865654"",""articles_with_PRISMA_reasons!W2:W2113""), $A638=IMPORTRANGE(""https://docs.google.com/"&amp;"spreadsheets/d/1qpEmbGH0JjaJbUdp21-y2cPbobDbMjr09BbtdKROZWc/edit#gid=1444865654"",""articles_with_PRISMA_reasons!B2:B2113""))&gt;=2,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$A638=IMPORTRANGE(""https://docs.google.com/spreadsheets/d/1qpEmbGH0JjaJbUdp21-y2cPbobDbMjr09BbtdKROZWc/edit#gid=1444865654"",""articles_with_PRISMA_reasons!B2:B2113""))&lt;2),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$A638=IMPORTRANGE(""https://docs.google.com/spreadsheets/d/1qpEmbGH0JjaJbUdp21-y2cPbobDbMjr09BbtdKRO"&amp;"ZWc/edit#gid=1444865654"",""articles_with_PRISMA_reasons!B2:B2113""))&lt;2,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$A638=IMPOR"&amp;"TRANGE(""https://docs.google.com/spreadsheets/d/1qpEmbGH0JjaJbUdp21-y2cPbobDbMjr09BbtdKROZWc/edit#gid=1444865654"",""articles_with_PRISMA_reasons!B2:B2113""))&gt;=2),
""Exclude""
)"),"Exclude")</f>
        <v>Exclude</v>
      </c>
      <c r="F638" s="5" t="str">
        <f>IFERROR(__xludf.DUMMYFUNCTION("IFS(
E638=""Exclude"",""Exclude"",
AND(
COUNTIF(
IMPORTRANGE(""https://docs.google.com/spreadsheets/d/1kGrh75X1cNR1D7_FcY9zMnHP8iPO4M5RCRjy6nZY0TY/edit#gid=0"",""Table 1: Study characteristics!B4:B171""),A638)&gt;0,
COUNTIF(Studies!$A$2:$A$85,FILTER(IMPORTRA"&amp;"NGE(""https://docs.google.com/spreadsheets/d/1kGrh75X1cNR1D7_FcY9zMnHP8iPO4M5RCRjy6nZY0TY/edit#gid=0"",""Table 1: Study characteristics!A4:A171""), $A638=IMPORTRANGE(""https://docs.google.com/spreadsheets/d/1kGrh75X1cNR1D7_FcY9zMnHP8iPO4M5RCRjy6nZY0TY/edi"&amp;"t#gid=0"",""Table 1: Study characteristics!B4:B171"")))&gt;0
),
""Include""
)"),"Exclude")</f>
        <v>Exclude</v>
      </c>
      <c r="G638" s="5" t="str">
        <f>IFERROR(__xludf.DUMMYFUNCTION("IFS(
D638=""Exclude"",
FILTER(IMPORTRANGE(""https://docs.google.com/spreadsheets/d/1BJSV3WBYJGRhQ6zExamkszQ5VutGIcaQqmbD9ZTVXMQ/edit#gid=1251630045"",""articles_with_PRISMA_reasons!AB2:AB2113""), $A638=IMPORTRANGE(""https://docs.google.com/spreadsheets/d/"&amp;"1BJSV3WBYJGRhQ6zExamkszQ5VutGIcaQqmbD9ZTVXMQ/edit#gid=1251630045"",""articles_with_PRISMA_reasons!B2:B2113"")),
E638=""Exclude"",
FILTER(IMPORTRANGE(""https://docs.google.com/spreadsheets/d/1qpEmbGH0JjaJbUdp21-y2cPbobDbMjr09BbtdKROZWc/edit#gid=1444865654"&amp;""",""articles_with_PRISMA_reasons!Z2:Z2113""), $A638=IMPORTRANGE(""https://docs.google.com/spreadsheets/d/1qpEmbGH0JjaJbUdp21-y2cPbobDbMjr09BbtdKROZWc/edit#gid=1444865654"",""articles_with_PRISMA_reasons!B2:B2113"")),F638
=""Include"",FILTER(IMPORTRANGE("&amp;"""https://docs.google.com/spreadsheets/d/1kGrh75X1cNR1D7_FcY9zMnHP8iPO4M5RCRjy6nZY0TY/edit#gid=0"",""Table 1: Study characteristics!A4:A171""), $A638=IMPORTRANGE(""https://docs.google.com/spreadsheets/d/1kGrh75X1cNR1D7_FcY9zMnHP8iPO4M5RCRjy6nZY0TY/edit#gi"&amp;"d=0"",""Table 1: Study characteristics!B4:B171""))
)"),"wrong publication type")</f>
        <v>wrong publication type</v>
      </c>
    </row>
    <row r="639">
      <c r="A639" s="4" t="str">
        <f>IFERROR(__xludf.DUMMYFUNCTION("""COMPUTED_VALUE"""),"Differences in reading achievement between spina bifida children attending normal schools and those attending special schools")</f>
        <v>Differences in reading achievement between spina bifida children attending normal schools and those attending special schools</v>
      </c>
      <c r="B639" s="5" t="str">
        <f>IFERROR(__xludf.DUMMYFUNCTION("LEFT(FILTER(IMPORTRANGE(""https://docs.google.com/spreadsheets/d/1BJSV3WBYJGRhQ6zExamkszQ5VutGIcaQqmbD9ZTVXMQ/edit#gid=1251630045"",""articles_with_PRISMA_reasons!K2:K2113""), $A639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$A639=IMPORTRANGE(""https://docs.google.com/spreadsheets/d/1BJSV3WBYJGRhQ6zExamkszQ5VutGIcaQqmbD9ZTVXMQ/edit#gid=1251630045"",""articles_with_PRISMA_reasons!B2:B2113"")))-1)"),"Tew")</f>
        <v>Tew</v>
      </c>
      <c r="C639" s="6">
        <f>IFERROR(__xludf.DUMMYFUNCTION("FILTER(IMPORTRANGE(""https://docs.google.com/spreadsheets/d/1BJSV3WBYJGRhQ6zExamkszQ5VutGIcaQqmbD9ZTVXMQ/edit#gid=1251630045"",""articles_with_PRISMA_reasons!C2:C2113""), $A639=IMPORTRANGE(""https://docs.google.com/spreadsheets/d/1BJSV3WBYJGRhQ6zExamkszQ5"&amp;"VutGIcaQqmbD9ZTVXMQ/edit#gid=1251630045"",""articles_with_PRISMA_reasons!B2:B2113""))"),1978.0)</f>
        <v>1978</v>
      </c>
      <c r="D639" s="5" t="str">
        <f>IFERROR(__xludf.DUMMYFUNCTION("IFS(AND(
FILTER(IMPORTRANGE(""https://docs.google.com/spreadsheets/d/1BJSV3WBYJGRhQ6zExamkszQ5VutGIcaQqmbD9ZTVXMQ/edit#gid=1251630045"",""articles_with_PRISMA_reasons!Y2:Y2113""), $A639=IMPORTRANGE(""https://docs.google.com/spreadsheets/d/1BJSV3WBYJGRhQ6z"&amp;"ExamkszQ5VutGIcaQqmbD9ZTVXMQ/edit#gid=1251630045"",""articles_with_PRISMA_reasons!B2:B2113""))&gt;=2,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$A639=IMPORTRANGE(""https://docs.google.com/spreadsheets/d/1BJSV3WBYJGRhQ6zExamkszQ5VutGIcaQqmbD9ZTVXMQ/edit#gid=1251630045"",""articles_with_PRISMA_reasons!B2:B2113""))&lt;2),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$A639=IMPORTRANGE(""https://docs.google.com/spreadsheets/d/1BJSV3WBYJGRhQ6zExamkszQ5VutGIcaQqmbD9ZTVXMQ/edit#gid=1251630045"",""arti"&amp;"cles_with_PRISMA_reasons!B2:B2113""))&lt;2,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$A639=IMPORTRANGE(""https://docs.google.com"&amp;"/spreadsheets/d/1BJSV3WBYJGRhQ6zExamkszQ5VutGIcaQqmbD9ZTVXMQ/edit#gid=1251630045"",""articles_with_PRISMA_reasons!B2:B2113""))&gt;=2),
""Exclude""
)"),"Exclude")</f>
        <v>Exclude</v>
      </c>
      <c r="E639" s="5" t="str">
        <f>IFERROR(__xludf.DUMMYFUNCTION("IFS(
D639=""Exclude"",""Exclude"",
AND(
FILTER(IMPORTRANGE(""https://docs.google.com/spreadsheets/d/1qpEmbGH0JjaJbUdp21-y2cPbobDbMjr09BbtdKROZWc/edit#gid=1444865654"",""articles_with_PRISMA_reasons!W2:W2113""), $A639=IMPORTRANGE(""https://docs.google.com/"&amp;"spreadsheets/d/1qpEmbGH0JjaJbUdp21-y2cPbobDbMjr09BbtdKROZWc/edit#gid=1444865654"",""articles_with_PRISMA_reasons!B2:B2113""))&gt;=2,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$A639=IMPORTRANGE(""https://docs.google.com/spreadsheets/d/1qpEmbGH0JjaJbUdp21-y2cPbobDbMjr09BbtdKROZWc/edit#gid=1444865654"",""articles_with_PRISMA_reasons!B2:B2113""))&lt;2),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$A639=IMPORTRANGE(""https://docs.google.com/spreadsheets/d/1qpEmbGH0JjaJbUdp21-y2cPbobDbMjr09BbtdKRO"&amp;"ZWc/edit#gid=1444865654"",""articles_with_PRISMA_reasons!B2:B2113""))&lt;2,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$A639=IMPOR"&amp;"TRANGE(""https://docs.google.com/spreadsheets/d/1qpEmbGH0JjaJbUdp21-y2cPbobDbMjr09BbtdKROZWc/edit#gid=1444865654"",""articles_with_PRISMA_reasons!B2:B2113""))&gt;=2),
""Exclude""
)"),"Exclude")</f>
        <v>Exclude</v>
      </c>
      <c r="F639" s="5" t="str">
        <f>IFERROR(__xludf.DUMMYFUNCTION("IFS(
E639=""Exclude"",""Exclude"",
AND(
COUNTIF(
IMPORTRANGE(""https://docs.google.com/spreadsheets/d/1kGrh75X1cNR1D7_FcY9zMnHP8iPO4M5RCRjy6nZY0TY/edit#gid=0"",""Table 1: Study characteristics!B4:B171""),A639)&gt;0,
COUNTIF(Studies!$A$2:$A$85,FILTER(IMPORTRA"&amp;"NGE(""https://docs.google.com/spreadsheets/d/1kGrh75X1cNR1D7_FcY9zMnHP8iPO4M5RCRjy6nZY0TY/edit#gid=0"",""Table 1: Study characteristics!A4:A171""), $A639=IMPORTRANGE(""https://docs.google.com/spreadsheets/d/1kGrh75X1cNR1D7_FcY9zMnHP8iPO4M5RCRjy6nZY0TY/edi"&amp;"t#gid=0"",""Table 1: Study characteristics!B4:B171"")))&gt;0
),
""Include""
)"),"Exclude")</f>
        <v>Exclude</v>
      </c>
      <c r="G639" s="5" t="str">
        <f>IFERROR(__xludf.DUMMYFUNCTION("IFS(
D639=""Exclude"",
FILTER(IMPORTRANGE(""https://docs.google.com/spreadsheets/d/1BJSV3WBYJGRhQ6zExamkszQ5VutGIcaQqmbD9ZTVXMQ/edit#gid=1251630045"",""articles_with_PRISMA_reasons!AB2:AB2113""), $A639=IMPORTRANGE(""https://docs.google.com/spreadsheets/d/"&amp;"1BJSV3WBYJGRhQ6zExamkszQ5VutGIcaQqmbD9ZTVXMQ/edit#gid=1251630045"",""articles_with_PRISMA_reasons!B2:B2113"")),
E639=""Exclude"",
FILTER(IMPORTRANGE(""https://docs.google.com/spreadsheets/d/1qpEmbGH0JjaJbUdp21-y2cPbobDbMjr09BbtdKROZWc/edit#gid=1444865654"&amp;""",""articles_with_PRISMA_reasons!Z2:Z2113""), $A639=IMPORTRANGE(""https://docs.google.com/spreadsheets/d/1qpEmbGH0JjaJbUdp21-y2cPbobDbMjr09BbtdKROZWc/edit#gid=1444865654"",""articles_with_PRISMA_reasons!B2:B2113"")),F639
=""Include"",FILTER(IMPORTRANGE("&amp;"""https://docs.google.com/spreadsheets/d/1kGrh75X1cNR1D7_FcY9zMnHP8iPO4M5RCRjy6nZY0TY/edit#gid=0"",""Table 1: Study characteristics!A4:A171""), $A639=IMPORTRANGE(""https://docs.google.com/spreadsheets/d/1kGrh75X1cNR1D7_FcY9zMnHP8iPO4M5RCRjy6nZY0TY/edit#gi"&amp;"d=0"",""Table 1: Study characteristics!B4:B171""))
)"),"wrong population")</f>
        <v>wrong population</v>
      </c>
    </row>
    <row r="640">
      <c r="A640" s="4" t="str">
        <f>IFERROR(__xludf.DUMMYFUNCTION("""COMPUTED_VALUE"""),"Diffusion tensor imaging evaluation of white matter in adolescents with myelomeningocele and Chiari II malformation")</f>
        <v>Diffusion tensor imaging evaluation of white matter in adolescents with myelomeningocele and Chiari II malformation</v>
      </c>
      <c r="B640" s="5" t="str">
        <f>IFERROR(__xludf.DUMMYFUNCTION("LEFT(FILTER(IMPORTRANGE(""https://docs.google.com/spreadsheets/d/1BJSV3WBYJGRhQ6zExamkszQ5VutGIcaQqmbD9ZTVXMQ/edit#gid=1251630045"",""articles_with_PRISMA_reasons!K2:K2113""), $A640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$A640=IMPORTRANGE(""https://docs.google.com/spreadsheets/d/1BJSV3WBYJGRhQ6zExamkszQ5VutGIcaQqmbD9ZTVXMQ/edit#gid=1251630045"",""articles_with_PRISMA_reasons!B2:B2113"")))-1)"),"Ou")</f>
        <v>Ou</v>
      </c>
      <c r="C640" s="6">
        <f>IFERROR(__xludf.DUMMYFUNCTION("FILTER(IMPORTRANGE(""https://docs.google.com/spreadsheets/d/1BJSV3WBYJGRhQ6zExamkszQ5VutGIcaQqmbD9ZTVXMQ/edit#gid=1251630045"",""articles_with_PRISMA_reasons!C2:C2113""), $A640=IMPORTRANGE(""https://docs.google.com/spreadsheets/d/1BJSV3WBYJGRhQ6zExamkszQ5"&amp;"VutGIcaQqmbD9ZTVXMQ/edit#gid=1251630045"",""articles_with_PRISMA_reasons!B2:B2113""))"),2011.0)</f>
        <v>2011</v>
      </c>
      <c r="D640" s="5" t="str">
        <f>IFERROR(__xludf.DUMMYFUNCTION("IFS(AND(
FILTER(IMPORTRANGE(""https://docs.google.com/spreadsheets/d/1BJSV3WBYJGRhQ6zExamkszQ5VutGIcaQqmbD9ZTVXMQ/edit#gid=1251630045"",""articles_with_PRISMA_reasons!Y2:Y2113""), $A640=IMPORTRANGE(""https://docs.google.com/spreadsheets/d/1BJSV3WBYJGRhQ6z"&amp;"ExamkszQ5VutGIcaQqmbD9ZTVXMQ/edit#gid=1251630045"",""articles_with_PRISMA_reasons!B2:B2113""))&gt;=2,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$A640=IMPORTRANGE(""https://docs.google.com/spreadsheets/d/1BJSV3WBYJGRhQ6zExamkszQ5VutGIcaQqmbD9ZTVXMQ/edit#gid=1251630045"",""articles_with_PRISMA_reasons!B2:B2113""))&lt;2),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$A640=IMPORTRANGE(""https://docs.google.com/spreadsheets/d/1BJSV3WBYJGRhQ6zExamkszQ5VutGIcaQqmbD9ZTVXMQ/edit#gid=1251630045"",""arti"&amp;"cles_with_PRISMA_reasons!B2:B2113""))&lt;2,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$A640=IMPORTRANGE(""https://docs.google.com"&amp;"/spreadsheets/d/1BJSV3WBYJGRhQ6zExamkszQ5VutGIcaQqmbD9ZTVXMQ/edit#gid=1251630045"",""articles_with_PRISMA_reasons!B2:B2113""))&gt;=2),
""Exclude""
)"),"Exclude")</f>
        <v>Exclude</v>
      </c>
      <c r="E640" s="5" t="str">
        <f>IFERROR(__xludf.DUMMYFUNCTION("IFS(
D640=""Exclude"",""Exclude"",
AND(
FILTER(IMPORTRANGE(""https://docs.google.com/spreadsheets/d/1qpEmbGH0JjaJbUdp21-y2cPbobDbMjr09BbtdKROZWc/edit#gid=1444865654"",""articles_with_PRISMA_reasons!W2:W2113""), $A640=IMPORTRANGE(""https://docs.google.com/"&amp;"spreadsheets/d/1qpEmbGH0JjaJbUdp21-y2cPbobDbMjr09BbtdKROZWc/edit#gid=1444865654"",""articles_with_PRISMA_reasons!B2:B2113""))&gt;=2,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$A640=IMPORTRANGE(""https://docs.google.com/spreadsheets/d/1qpEmbGH0JjaJbUdp21-y2cPbobDbMjr09BbtdKROZWc/edit#gid=1444865654"",""articles_with_PRISMA_reasons!B2:B2113""))&lt;2),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$A640=IMPORTRANGE(""https://docs.google.com/spreadsheets/d/1qpEmbGH0JjaJbUdp21-y2cPbobDbMjr09BbtdKRO"&amp;"ZWc/edit#gid=1444865654"",""articles_with_PRISMA_reasons!B2:B2113""))&lt;2,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$A640=IMPOR"&amp;"TRANGE(""https://docs.google.com/spreadsheets/d/1qpEmbGH0JjaJbUdp21-y2cPbobDbMjr09BbtdKROZWc/edit#gid=1444865654"",""articles_with_PRISMA_reasons!B2:B2113""))&gt;=2),
""Exclude""
)"),"Exclude")</f>
        <v>Exclude</v>
      </c>
      <c r="F640" s="5" t="str">
        <f>IFERROR(__xludf.DUMMYFUNCTION("IFS(
E640=""Exclude"",""Exclude"",
AND(
COUNTIF(
IMPORTRANGE(""https://docs.google.com/spreadsheets/d/1kGrh75X1cNR1D7_FcY9zMnHP8iPO4M5RCRjy6nZY0TY/edit#gid=0"",""Table 1: Study characteristics!B4:B171""),A640)&gt;0,
COUNTIF(Studies!$A$2:$A$85,FILTER(IMPORTRA"&amp;"NGE(""https://docs.google.com/spreadsheets/d/1kGrh75X1cNR1D7_FcY9zMnHP8iPO4M5RCRjy6nZY0TY/edit#gid=0"",""Table 1: Study characteristics!A4:A171""), $A640=IMPORTRANGE(""https://docs.google.com/spreadsheets/d/1kGrh75X1cNR1D7_FcY9zMnHP8iPO4M5RCRjy6nZY0TY/edi"&amp;"t#gid=0"",""Table 1: Study characteristics!B4:B171"")))&gt;0
),
""Include""
)"),"Exclude")</f>
        <v>Exclude</v>
      </c>
      <c r="G640" s="5" t="str">
        <f>IFERROR(__xludf.DUMMYFUNCTION("IFS(
D640=""Exclude"",
FILTER(IMPORTRANGE(""https://docs.google.com/spreadsheets/d/1BJSV3WBYJGRhQ6zExamkszQ5VutGIcaQqmbD9ZTVXMQ/edit#gid=1251630045"",""articles_with_PRISMA_reasons!AB2:AB2113""), $A640=IMPORTRANGE(""https://docs.google.com/spreadsheets/d/"&amp;"1BJSV3WBYJGRhQ6zExamkszQ5VutGIcaQqmbD9ZTVXMQ/edit#gid=1251630045"",""articles_with_PRISMA_reasons!B2:B2113"")),
E640=""Exclude"",
FILTER(IMPORTRANGE(""https://docs.google.com/spreadsheets/d/1qpEmbGH0JjaJbUdp21-y2cPbobDbMjr09BbtdKROZWc/edit#gid=1444865654"&amp;""",""articles_with_PRISMA_reasons!Z2:Z2113""), $A640=IMPORTRANGE(""https://docs.google.com/spreadsheets/d/1qpEmbGH0JjaJbUdp21-y2cPbobDbMjr09BbtdKROZWc/edit#gid=1444865654"",""articles_with_PRISMA_reasons!B2:B2113"")),F640
=""Include"",FILTER(IMPORTRANGE("&amp;"""https://docs.google.com/spreadsheets/d/1kGrh75X1cNR1D7_FcY9zMnHP8iPO4M5RCRjy6nZY0TY/edit#gid=0"",""Table 1: Study characteristics!A4:A171""), $A640=IMPORTRANGE(""https://docs.google.com/spreadsheets/d/1kGrh75X1cNR1D7_FcY9zMnHP8iPO4M5RCRjy6nZY0TY/edit#gi"&amp;"d=0"",""Table 1: Study characteristics!B4:B171""))
)"),"wrong population")</f>
        <v>wrong population</v>
      </c>
    </row>
    <row r="641">
      <c r="A641" s="4" t="str">
        <f>IFERROR(__xludf.DUMMYFUNCTION("""COMPUTED_VALUE"""),"Diffusion tensor imaging in children following prenatal myelomeningocele repair and its predictive value for the need and timing of subsequent CSF diversion surgery for hydrocephalus")</f>
        <v>Diffusion tensor imaging in children following prenatal myelomeningocele repair and its predictive value for the need and timing of subsequent CSF diversion surgery for hydrocephalus</v>
      </c>
      <c r="B641" s="5" t="str">
        <f>IFERROR(__xludf.DUMMYFUNCTION("LEFT(FILTER(IMPORTRANGE(""https://docs.google.com/spreadsheets/d/1BJSV3WBYJGRhQ6zExamkszQ5VutGIcaQqmbD9ZTVXMQ/edit#gid=1251630045"",""articles_with_PRISMA_reasons!K2:K2113""), $A641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$A641=IMPORTRANGE(""https://docs.google.com/spreadsheets/d/1BJSV3WBYJGRhQ6zExamkszQ5VutGIcaQqmbD9ZTVXMQ/edit#gid=1251630045"",""articles_with_PRISMA_reasons!B2:B2113"")))-1)"),"Yuan")</f>
        <v>Yuan</v>
      </c>
      <c r="C641" s="6">
        <f>IFERROR(__xludf.DUMMYFUNCTION("FILTER(IMPORTRANGE(""https://docs.google.com/spreadsheets/d/1BJSV3WBYJGRhQ6zExamkszQ5VutGIcaQqmbD9ZTVXMQ/edit#gid=1251630045"",""articles_with_PRISMA_reasons!C2:C2113""), $A641=IMPORTRANGE(""https://docs.google.com/spreadsheets/d/1BJSV3WBYJGRhQ6zExamkszQ5"&amp;"VutGIcaQqmbD9ZTVXMQ/edit#gid=1251630045"",""articles_with_PRISMA_reasons!B2:B2113""))"),2021.0)</f>
        <v>2021</v>
      </c>
      <c r="D641" s="5" t="str">
        <f>IFERROR(__xludf.DUMMYFUNCTION("IFS(AND(
FILTER(IMPORTRANGE(""https://docs.google.com/spreadsheets/d/1BJSV3WBYJGRhQ6zExamkszQ5VutGIcaQqmbD9ZTVXMQ/edit#gid=1251630045"",""articles_with_PRISMA_reasons!Y2:Y2113""), $A641=IMPORTRANGE(""https://docs.google.com/spreadsheets/d/1BJSV3WBYJGRhQ6z"&amp;"ExamkszQ5VutGIcaQqmbD9ZTVXMQ/edit#gid=1251630045"",""articles_with_PRISMA_reasons!B2:B2113""))&gt;=2,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$A641=IMPORTRANGE(""https://docs.google.com/spreadsheets/d/1BJSV3WBYJGRhQ6zExamkszQ5VutGIcaQqmbD9ZTVXMQ/edit#gid=1251630045"",""articles_with_PRISMA_reasons!B2:B2113""))&lt;2),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$A641=IMPORTRANGE(""https://docs.google.com/spreadsheets/d/1BJSV3WBYJGRhQ6zExamkszQ5VutGIcaQqmbD9ZTVXMQ/edit#gid=1251630045"",""arti"&amp;"cles_with_PRISMA_reasons!B2:B2113""))&lt;2,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$A641=IMPORTRANGE(""https://docs.google.com"&amp;"/spreadsheets/d/1BJSV3WBYJGRhQ6zExamkszQ5VutGIcaQqmbD9ZTVXMQ/edit#gid=1251630045"",""articles_with_PRISMA_reasons!B2:B2113""))&gt;=2),
""Exclude""
)"),"Include")</f>
        <v>Include</v>
      </c>
      <c r="E641" s="5" t="str">
        <f>IFERROR(__xludf.DUMMYFUNCTION("IFS(
D641=""Exclude"",""Exclude"",
AND(
FILTER(IMPORTRANGE(""https://docs.google.com/spreadsheets/d/1qpEmbGH0JjaJbUdp21-y2cPbobDbMjr09BbtdKROZWc/edit#gid=1444865654"",""articles_with_PRISMA_reasons!W2:W2113""), $A641=IMPORTRANGE(""https://docs.google.com/"&amp;"spreadsheets/d/1qpEmbGH0JjaJbUdp21-y2cPbobDbMjr09BbtdKROZWc/edit#gid=1444865654"",""articles_with_PRISMA_reasons!B2:B2113""))&gt;=2,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$A641=IMPORTRANGE(""https://docs.google.com/spreadsheets/d/1qpEmbGH0JjaJbUdp21-y2cPbobDbMjr09BbtdKROZWc/edit#gid=1444865654"",""articles_with_PRISMA_reasons!B2:B2113""))&lt;2),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$A641=IMPORTRANGE(""https://docs.google.com/spreadsheets/d/1qpEmbGH0JjaJbUdp21-y2cPbobDbMjr09BbtdKRO"&amp;"ZWc/edit#gid=1444865654"",""articles_with_PRISMA_reasons!B2:B2113""))&lt;2,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$A641=IMPOR"&amp;"TRANGE(""https://docs.google.com/spreadsheets/d/1qpEmbGH0JjaJbUdp21-y2cPbobDbMjr09BbtdKROZWc/edit#gid=1444865654"",""articles_with_PRISMA_reasons!B2:B2113""))&gt;=2),
""Exclude""
)"),"Include")</f>
        <v>Include</v>
      </c>
      <c r="F641" s="2" t="s">
        <v>8</v>
      </c>
      <c r="G641" s="2" t="s">
        <v>9</v>
      </c>
    </row>
    <row r="642">
      <c r="A642" s="4" t="str">
        <f>IFERROR(__xludf.DUMMYFUNCTION("""COMPUTED_VALUE"""),"Direct Stimulation of Neural Placode and Nerve Roots in Open Myelomeningocele: The Efficacy of Neural Tube Reconstruction")</f>
        <v>Direct Stimulation of Neural Placode and Nerve Roots in Open Myelomeningocele: The Efficacy of Neural Tube Reconstruction</v>
      </c>
      <c r="B642" s="5" t="str">
        <f>IFERROR(__xludf.DUMMYFUNCTION("LEFT(FILTER(IMPORTRANGE(""https://docs.google.com/spreadsheets/d/1BJSV3WBYJGRhQ6zExamkszQ5VutGIcaQqmbD9ZTVXMQ/edit#gid=1251630045"",""articles_with_PRISMA_reasons!K2:K2113""), $A642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$A642=IMPORTRANGE(""https://docs.google.com/spreadsheets/d/1BJSV3WBYJGRhQ6zExamkszQ5VutGIcaQqmbD9ZTVXMQ/edit#gid=1251630045"",""articles_with_PRISMA_reasons!B2:B2113"")))-1)"),"Ezgu")</f>
        <v>Ezgu</v>
      </c>
      <c r="C642" s="6">
        <f>IFERROR(__xludf.DUMMYFUNCTION("FILTER(IMPORTRANGE(""https://docs.google.com/spreadsheets/d/1BJSV3WBYJGRhQ6zExamkszQ5VutGIcaQqmbD9ZTVXMQ/edit#gid=1251630045"",""articles_with_PRISMA_reasons!C2:C2113""), $A642=IMPORTRANGE(""https://docs.google.com/spreadsheets/d/1BJSV3WBYJGRhQ6zExamkszQ5"&amp;"VutGIcaQqmbD9ZTVXMQ/edit#gid=1251630045"",""articles_with_PRISMA_reasons!B2:B2113""))"),2021.0)</f>
        <v>2021</v>
      </c>
      <c r="D642" s="5" t="str">
        <f>IFERROR(__xludf.DUMMYFUNCTION("IFS(AND(
FILTER(IMPORTRANGE(""https://docs.google.com/spreadsheets/d/1BJSV3WBYJGRhQ6zExamkszQ5VutGIcaQqmbD9ZTVXMQ/edit#gid=1251630045"",""articles_with_PRISMA_reasons!Y2:Y2113""), $A642=IMPORTRANGE(""https://docs.google.com/spreadsheets/d/1BJSV3WBYJGRhQ6z"&amp;"ExamkszQ5VutGIcaQqmbD9ZTVXMQ/edit#gid=1251630045"",""articles_with_PRISMA_reasons!B2:B2113""))&gt;=2,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$A642=IMPORTRANGE(""https://docs.google.com/spreadsheets/d/1BJSV3WBYJGRhQ6zExamkszQ5VutGIcaQqmbD9ZTVXMQ/edit#gid=1251630045"",""articles_with_PRISMA_reasons!B2:B2113""))&lt;2),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$A642=IMPORTRANGE(""https://docs.google.com/spreadsheets/d/1BJSV3WBYJGRhQ6zExamkszQ5VutGIcaQqmbD9ZTVXMQ/edit#gid=1251630045"",""arti"&amp;"cles_with_PRISMA_reasons!B2:B2113""))&lt;2,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$A642=IMPORTRANGE(""https://docs.google.com"&amp;"/spreadsheets/d/1BJSV3WBYJGRhQ6zExamkszQ5VutGIcaQqmbD9ZTVXMQ/edit#gid=1251630045"",""articles_with_PRISMA_reasons!B2:B2113""))&gt;=2),
""Exclude""
)"),"Exclude")</f>
        <v>Exclude</v>
      </c>
      <c r="E642" s="5" t="str">
        <f>IFERROR(__xludf.DUMMYFUNCTION("IFS(
D642=""Exclude"",""Exclude"",
AND(
FILTER(IMPORTRANGE(""https://docs.google.com/spreadsheets/d/1qpEmbGH0JjaJbUdp21-y2cPbobDbMjr09BbtdKROZWc/edit#gid=1444865654"",""articles_with_PRISMA_reasons!W2:W2113""), $A642=IMPORTRANGE(""https://docs.google.com/"&amp;"spreadsheets/d/1qpEmbGH0JjaJbUdp21-y2cPbobDbMjr09BbtdKROZWc/edit#gid=1444865654"",""articles_with_PRISMA_reasons!B2:B2113""))&gt;=2,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$A642=IMPORTRANGE(""https://docs.google.com/spreadsheets/d/1qpEmbGH0JjaJbUdp21-y2cPbobDbMjr09BbtdKROZWc/edit#gid=1444865654"",""articles_with_PRISMA_reasons!B2:B2113""))&lt;2),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$A642=IMPORTRANGE(""https://docs.google.com/spreadsheets/d/1qpEmbGH0JjaJbUdp21-y2cPbobDbMjr09BbtdKRO"&amp;"ZWc/edit#gid=1444865654"",""articles_with_PRISMA_reasons!B2:B2113""))&lt;2,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$A642=IMPOR"&amp;"TRANGE(""https://docs.google.com/spreadsheets/d/1qpEmbGH0JjaJbUdp21-y2cPbobDbMjr09BbtdKROZWc/edit#gid=1444865654"",""articles_with_PRISMA_reasons!B2:B2113""))&gt;=2),
""Exclude""
)"),"Exclude")</f>
        <v>Exclude</v>
      </c>
      <c r="F642" s="5" t="str">
        <f>IFERROR(__xludf.DUMMYFUNCTION("IFS(
E642=""Exclude"",""Exclude"",
AND(
COUNTIF(
IMPORTRANGE(""https://docs.google.com/spreadsheets/d/1kGrh75X1cNR1D7_FcY9zMnHP8iPO4M5RCRjy6nZY0TY/edit#gid=0"",""Table 1: Study characteristics!B4:B171""),A642)&gt;0,
COUNTIF(Studies!$A$2:$A$85,FILTER(IMPORTRA"&amp;"NGE(""https://docs.google.com/spreadsheets/d/1kGrh75X1cNR1D7_FcY9zMnHP8iPO4M5RCRjy6nZY0TY/edit#gid=0"",""Table 1: Study characteristics!A4:A171""), $A642=IMPORTRANGE(""https://docs.google.com/spreadsheets/d/1kGrh75X1cNR1D7_FcY9zMnHP8iPO4M5RCRjy6nZY0TY/edi"&amp;"t#gid=0"",""Table 1: Study characteristics!B4:B171"")))&gt;0
),
""Include""
)"),"Exclude")</f>
        <v>Exclude</v>
      </c>
      <c r="G642" s="5" t="str">
        <f>IFERROR(__xludf.DUMMYFUNCTION("IFS(
D642=""Exclude"",
FILTER(IMPORTRANGE(""https://docs.google.com/spreadsheets/d/1BJSV3WBYJGRhQ6zExamkszQ5VutGIcaQqmbD9ZTVXMQ/edit#gid=1251630045"",""articles_with_PRISMA_reasons!AB2:AB2113""), $A642=IMPORTRANGE(""https://docs.google.com/spreadsheets/d/"&amp;"1BJSV3WBYJGRhQ6zExamkszQ5VutGIcaQqmbD9ZTVXMQ/edit#gid=1251630045"",""articles_with_PRISMA_reasons!B2:B2113"")),
E642=""Exclude"",
FILTER(IMPORTRANGE(""https://docs.google.com/spreadsheets/d/1qpEmbGH0JjaJbUdp21-y2cPbobDbMjr09BbtdKROZWc/edit#gid=1444865654"&amp;""",""articles_with_PRISMA_reasons!Z2:Z2113""), $A642=IMPORTRANGE(""https://docs.google.com/spreadsheets/d/1qpEmbGH0JjaJbUdp21-y2cPbobDbMjr09BbtdKROZWc/edit#gid=1444865654"",""articles_with_PRISMA_reasons!B2:B2113"")),F642
=""Include"",FILTER(IMPORTRANGE("&amp;"""https://docs.google.com/spreadsheets/d/1kGrh75X1cNR1D7_FcY9zMnHP8iPO4M5RCRjy6nZY0TY/edit#gid=0"",""Table 1: Study characteristics!A4:A171""), $A642=IMPORTRANGE(""https://docs.google.com/spreadsheets/d/1kGrh75X1cNR1D7_FcY9zMnHP8iPO4M5RCRjy6nZY0TY/edit#gi"&amp;"d=0"",""Table 1: Study characteristics!B4:B171""))
)"),"wrong population")</f>
        <v>wrong population</v>
      </c>
    </row>
    <row r="643">
      <c r="A643" s="4" t="str">
        <f>IFERROR(__xludf.DUMMYFUNCTION("""COMPUTED_VALUE"""),"Disabilities in children with hydrocephalus--a population-based study of children aged between four and twelve years")</f>
        <v>Disabilities in children with hydrocephalus--a population-based study of children aged between four and twelve years</v>
      </c>
      <c r="B643" s="5" t="str">
        <f>IFERROR(__xludf.DUMMYFUNCTION("LEFT(FILTER(IMPORTRANGE(""https://docs.google.com/spreadsheets/d/1BJSV3WBYJGRhQ6zExamkszQ5VutGIcaQqmbD9ZTVXMQ/edit#gid=1251630045"",""articles_with_PRISMA_reasons!K2:K2113""), $A643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$A643=IMPORTRANGE(""https://docs.google.com/spreadsheets/d/1BJSV3WBYJGRhQ6zExamkszQ5VutGIcaQqmbD9ZTVXMQ/edit#gid=1251630045"",""articles_with_PRISMA_reasons!B2:B2113"")))-1)"),"Persson")</f>
        <v>Persson</v>
      </c>
      <c r="C643" s="6">
        <f>IFERROR(__xludf.DUMMYFUNCTION("FILTER(IMPORTRANGE(""https://docs.google.com/spreadsheets/d/1BJSV3WBYJGRhQ6zExamkszQ5VutGIcaQqmbD9ZTVXMQ/edit#gid=1251630045"",""articles_with_PRISMA_reasons!C2:C2113""), $A643=IMPORTRANGE(""https://docs.google.com/spreadsheets/d/1BJSV3WBYJGRhQ6zExamkszQ5"&amp;"VutGIcaQqmbD9ZTVXMQ/edit#gid=1251630045"",""articles_with_PRISMA_reasons!B2:B2113""))"),2006.0)</f>
        <v>2006</v>
      </c>
      <c r="D643" s="5" t="str">
        <f>IFERROR(__xludf.DUMMYFUNCTION("IFS(AND(
FILTER(IMPORTRANGE(""https://docs.google.com/spreadsheets/d/1BJSV3WBYJGRhQ6zExamkszQ5VutGIcaQqmbD9ZTVXMQ/edit#gid=1251630045"",""articles_with_PRISMA_reasons!Y2:Y2113""), $A643=IMPORTRANGE(""https://docs.google.com/spreadsheets/d/1BJSV3WBYJGRhQ6z"&amp;"ExamkszQ5VutGIcaQqmbD9ZTVXMQ/edit#gid=1251630045"",""articles_with_PRISMA_reasons!B2:B2113""))&gt;=2,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$A643=IMPORTRANGE(""https://docs.google.com/spreadsheets/d/1BJSV3WBYJGRhQ6zExamkszQ5VutGIcaQqmbD9ZTVXMQ/edit#gid=1251630045"",""articles_with_PRISMA_reasons!B2:B2113""))&lt;2),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$A643=IMPORTRANGE(""https://docs.google.com/spreadsheets/d/1BJSV3WBYJGRhQ6zExamkszQ5VutGIcaQqmbD9ZTVXMQ/edit#gid=1251630045"",""arti"&amp;"cles_with_PRISMA_reasons!B2:B2113""))&lt;2,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$A643=IMPORTRANGE(""https://docs.google.com"&amp;"/spreadsheets/d/1BJSV3WBYJGRhQ6zExamkszQ5VutGIcaQqmbD9ZTVXMQ/edit#gid=1251630045"",""articles_with_PRISMA_reasons!B2:B2113""))&gt;=2),
""Exclude""
)"),"Exclude")</f>
        <v>Exclude</v>
      </c>
      <c r="E643" s="5" t="str">
        <f>IFERROR(__xludf.DUMMYFUNCTION("IFS(
D643=""Exclude"",""Exclude"",
AND(
FILTER(IMPORTRANGE(""https://docs.google.com/spreadsheets/d/1qpEmbGH0JjaJbUdp21-y2cPbobDbMjr09BbtdKROZWc/edit#gid=1444865654"",""articles_with_PRISMA_reasons!W2:W2113""), $A643=IMPORTRANGE(""https://docs.google.com/"&amp;"spreadsheets/d/1qpEmbGH0JjaJbUdp21-y2cPbobDbMjr09BbtdKROZWc/edit#gid=1444865654"",""articles_with_PRISMA_reasons!B2:B2113""))&gt;=2,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$A643=IMPORTRANGE(""https://docs.google.com/spreadsheets/d/1qpEmbGH0JjaJbUdp21-y2cPbobDbMjr09BbtdKROZWc/edit#gid=1444865654"",""articles_with_PRISMA_reasons!B2:B2113""))&lt;2),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$A643=IMPORTRANGE(""https://docs.google.com/spreadsheets/d/1qpEmbGH0JjaJbUdp21-y2cPbobDbMjr09BbtdKRO"&amp;"ZWc/edit#gid=1444865654"",""articles_with_PRISMA_reasons!B2:B2113""))&lt;2,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$A643=IMPOR"&amp;"TRANGE(""https://docs.google.com/spreadsheets/d/1qpEmbGH0JjaJbUdp21-y2cPbobDbMjr09BbtdKROZWc/edit#gid=1444865654"",""articles_with_PRISMA_reasons!B2:B2113""))&gt;=2),
""Exclude""
)"),"Exclude")</f>
        <v>Exclude</v>
      </c>
      <c r="F643" s="5" t="str">
        <f>IFERROR(__xludf.DUMMYFUNCTION("IFS(
E643=""Exclude"",""Exclude"",
AND(
COUNTIF(
IMPORTRANGE(""https://docs.google.com/spreadsheets/d/1kGrh75X1cNR1D7_FcY9zMnHP8iPO4M5RCRjy6nZY0TY/edit#gid=0"",""Table 1: Study characteristics!B4:B171""),A643)&gt;0,
COUNTIF(Studies!$A$2:$A$85,FILTER(IMPORTRA"&amp;"NGE(""https://docs.google.com/spreadsheets/d/1kGrh75X1cNR1D7_FcY9zMnHP8iPO4M5RCRjy6nZY0TY/edit#gid=0"",""Table 1: Study characteristics!A4:A171""), $A643=IMPORTRANGE(""https://docs.google.com/spreadsheets/d/1kGrh75X1cNR1D7_FcY9zMnHP8iPO4M5RCRjy6nZY0TY/edi"&amp;"t#gid=0"",""Table 1: Study characteristics!B4:B171"")))&gt;0
),
""Include""
)"),"Exclude")</f>
        <v>Exclude</v>
      </c>
      <c r="G643" s="5" t="str">
        <f>IFERROR(__xludf.DUMMYFUNCTION("IFS(
D643=""Exclude"",
FILTER(IMPORTRANGE(""https://docs.google.com/spreadsheets/d/1BJSV3WBYJGRhQ6zExamkszQ5VutGIcaQqmbD9ZTVXMQ/edit#gid=1251630045"",""articles_with_PRISMA_reasons!AB2:AB2113""), $A643=IMPORTRANGE(""https://docs.google.com/spreadsheets/d/"&amp;"1BJSV3WBYJGRhQ6zExamkszQ5VutGIcaQqmbD9ZTVXMQ/edit#gid=1251630045"",""articles_with_PRISMA_reasons!B2:B2113"")),
E643=""Exclude"",
FILTER(IMPORTRANGE(""https://docs.google.com/spreadsheets/d/1qpEmbGH0JjaJbUdp21-y2cPbobDbMjr09BbtdKROZWc/edit#gid=1444865654"&amp;""",""articles_with_PRISMA_reasons!Z2:Z2113""), $A643=IMPORTRANGE(""https://docs.google.com/spreadsheets/d/1qpEmbGH0JjaJbUdp21-y2cPbobDbMjr09BbtdKROZWc/edit#gid=1444865654"",""articles_with_PRISMA_reasons!B2:B2113"")),F643
=""Include"",FILTER(IMPORTRANGE("&amp;"""https://docs.google.com/spreadsheets/d/1kGrh75X1cNR1D7_FcY9zMnHP8iPO4M5RCRjy6nZY0TY/edit#gid=0"",""Table 1: Study characteristics!A4:A171""), $A643=IMPORTRANGE(""https://docs.google.com/spreadsheets/d/1kGrh75X1cNR1D7_FcY9zMnHP8iPO4M5RCRjy6nZY0TY/edit#gi"&amp;"d=0"",""Table 1: Study characteristics!B4:B171""))
)"),"wrong population")</f>
        <v>wrong population</v>
      </c>
    </row>
    <row r="644">
      <c r="A644" s="4" t="str">
        <f>IFERROR(__xludf.DUMMYFUNCTION("""COMPUTED_VALUE"""),"Disabled children and adolescents may be outsiders in the community")</f>
        <v>Disabled children and adolescents may be outsiders in the community</v>
      </c>
      <c r="B644" s="5" t="str">
        <f>IFERROR(__xludf.DUMMYFUNCTION("LEFT(FILTER(IMPORTRANGE(""https://docs.google.com/spreadsheets/d/1BJSV3WBYJGRhQ6zExamkszQ5VutGIcaQqmbD9ZTVXMQ/edit#gid=1251630045"",""articles_with_PRISMA_reasons!K2:K2113""), $A644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$A644=IMPORTRANGE(""https://docs.google.com/spreadsheets/d/1BJSV3WBYJGRhQ6zExamkszQ5VutGIcaQqmbD9ZTVXMQ/edit#gid=1251630045"",""articles_with_PRISMA_reasons!B2:B2113"")))-1)"),"Fagerskiold")</f>
        <v>Fagerskiold</v>
      </c>
      <c r="C644" s="6">
        <f>IFERROR(__xludf.DUMMYFUNCTION("FILTER(IMPORTRANGE(""https://docs.google.com/spreadsheets/d/1BJSV3WBYJGRhQ6zExamkszQ5VutGIcaQqmbD9ZTVXMQ/edit#gid=1251630045"",""articles_with_PRISMA_reasons!C2:C2113""), $A644=IMPORTRANGE(""https://docs.google.com/spreadsheets/d/1BJSV3WBYJGRhQ6zExamkszQ5"&amp;"VutGIcaQqmbD9ZTVXMQ/edit#gid=1251630045"",""articles_with_PRISMA_reasons!B2:B2113""))"),2010.0)</f>
        <v>2010</v>
      </c>
      <c r="D644" s="5" t="str">
        <f>IFERROR(__xludf.DUMMYFUNCTION("IFS(AND(
FILTER(IMPORTRANGE(""https://docs.google.com/spreadsheets/d/1BJSV3WBYJGRhQ6zExamkszQ5VutGIcaQqmbD9ZTVXMQ/edit#gid=1251630045"",""articles_with_PRISMA_reasons!Y2:Y2113""), $A644=IMPORTRANGE(""https://docs.google.com/spreadsheets/d/1BJSV3WBYJGRhQ6z"&amp;"ExamkszQ5VutGIcaQqmbD9ZTVXMQ/edit#gid=1251630045"",""articles_with_PRISMA_reasons!B2:B2113""))&gt;=2,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$A644=IMPORTRANGE(""https://docs.google.com/spreadsheets/d/1BJSV3WBYJGRhQ6zExamkszQ5VutGIcaQqmbD9ZTVXMQ/edit#gid=1251630045"",""articles_with_PRISMA_reasons!B2:B2113""))&lt;2),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$A644=IMPORTRANGE(""https://docs.google.com/spreadsheets/d/1BJSV3WBYJGRhQ6zExamkszQ5VutGIcaQqmbD9ZTVXMQ/edit#gid=1251630045"",""arti"&amp;"cles_with_PRISMA_reasons!B2:B2113""))&lt;2,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$A644=IMPORTRANGE(""https://docs.google.com"&amp;"/spreadsheets/d/1BJSV3WBYJGRhQ6zExamkszQ5VutGIcaQqmbD9ZTVXMQ/edit#gid=1251630045"",""articles_with_PRISMA_reasons!B2:B2113""))&gt;=2),
""Exclude""
)"),"Exclude")</f>
        <v>Exclude</v>
      </c>
      <c r="E644" s="5" t="str">
        <f>IFERROR(__xludf.DUMMYFUNCTION("IFS(
D644=""Exclude"",""Exclude"",
AND(
FILTER(IMPORTRANGE(""https://docs.google.com/spreadsheets/d/1qpEmbGH0JjaJbUdp21-y2cPbobDbMjr09BbtdKROZWc/edit#gid=1444865654"",""articles_with_PRISMA_reasons!W2:W2113""), $A644=IMPORTRANGE(""https://docs.google.com/"&amp;"spreadsheets/d/1qpEmbGH0JjaJbUdp21-y2cPbobDbMjr09BbtdKROZWc/edit#gid=1444865654"",""articles_with_PRISMA_reasons!B2:B2113""))&gt;=2,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$A644=IMPORTRANGE(""https://docs.google.com/spreadsheets/d/1qpEmbGH0JjaJbUdp21-y2cPbobDbMjr09BbtdKROZWc/edit#gid=1444865654"",""articles_with_PRISMA_reasons!B2:B2113""))&lt;2),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$A644=IMPORTRANGE(""https://docs.google.com/spreadsheets/d/1qpEmbGH0JjaJbUdp21-y2cPbobDbMjr09BbtdKRO"&amp;"ZWc/edit#gid=1444865654"",""articles_with_PRISMA_reasons!B2:B2113""))&lt;2,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$A644=IMPOR"&amp;"TRANGE(""https://docs.google.com/spreadsheets/d/1qpEmbGH0JjaJbUdp21-y2cPbobDbMjr09BbtdKROZWc/edit#gid=1444865654"",""articles_with_PRISMA_reasons!B2:B2113""))&gt;=2),
""Exclude""
)"),"Exclude")</f>
        <v>Exclude</v>
      </c>
      <c r="F644" s="5" t="str">
        <f>IFERROR(__xludf.DUMMYFUNCTION("IFS(
E644=""Exclude"",""Exclude"",
AND(
COUNTIF(
IMPORTRANGE(""https://docs.google.com/spreadsheets/d/1kGrh75X1cNR1D7_FcY9zMnHP8iPO4M5RCRjy6nZY0TY/edit#gid=0"",""Table 1: Study characteristics!B4:B171""),A644)&gt;0,
COUNTIF(Studies!$A$2:$A$85,FILTER(IMPORTRA"&amp;"NGE(""https://docs.google.com/spreadsheets/d/1kGrh75X1cNR1D7_FcY9zMnHP8iPO4M5RCRjy6nZY0TY/edit#gid=0"",""Table 1: Study characteristics!A4:A171""), $A644=IMPORTRANGE(""https://docs.google.com/spreadsheets/d/1kGrh75X1cNR1D7_FcY9zMnHP8iPO4M5RCRjy6nZY0TY/edi"&amp;"t#gid=0"",""Table 1: Study characteristics!B4:B171"")))&gt;0
),
""Include""
)"),"Exclude")</f>
        <v>Exclude</v>
      </c>
      <c r="G644" s="5" t="str">
        <f>IFERROR(__xludf.DUMMYFUNCTION("IFS(
D644=""Exclude"",
FILTER(IMPORTRANGE(""https://docs.google.com/spreadsheets/d/1BJSV3WBYJGRhQ6zExamkszQ5VutGIcaQqmbD9ZTVXMQ/edit#gid=1251630045"",""articles_with_PRISMA_reasons!AB2:AB2113""), $A644=IMPORTRANGE(""https://docs.google.com/spreadsheets/d/"&amp;"1BJSV3WBYJGRhQ6zExamkszQ5VutGIcaQqmbD9ZTVXMQ/edit#gid=1251630045"",""articles_with_PRISMA_reasons!B2:B2113"")),
E644=""Exclude"",
FILTER(IMPORTRANGE(""https://docs.google.com/spreadsheets/d/1qpEmbGH0JjaJbUdp21-y2cPbobDbMjr09BbtdKROZWc/edit#gid=1444865654"&amp;""",""articles_with_PRISMA_reasons!Z2:Z2113""), $A644=IMPORTRANGE(""https://docs.google.com/spreadsheets/d/1qpEmbGH0JjaJbUdp21-y2cPbobDbMjr09BbtdKROZWc/edit#gid=1444865654"",""articles_with_PRISMA_reasons!B2:B2113"")),F644
=""Include"",FILTER(IMPORTRANGE("&amp;"""https://docs.google.com/spreadsheets/d/1kGrh75X1cNR1D7_FcY9zMnHP8iPO4M5RCRjy6nZY0TY/edit#gid=0"",""Table 1: Study characteristics!A4:A171""), $A644=IMPORTRANGE(""https://docs.google.com/spreadsheets/d/1kGrh75X1cNR1D7_FcY9zMnHP8iPO4M5RCRjy6nZY0TY/edit#gi"&amp;"d=0"",""Table 1: Study characteristics!B4:B171""))
)"),"wrong population")</f>
        <v>wrong population</v>
      </c>
    </row>
    <row r="645">
      <c r="A645" s="4" t="str">
        <f>IFERROR(__xludf.DUMMYFUNCTION("""COMPUTED_VALUE"""),"Discomfort and pain in newborns with myelomeningocele: A prospective evaluation")</f>
        <v>Discomfort and pain in newborns with myelomeningocele: A prospective evaluation</v>
      </c>
      <c r="B645" s="5" t="str">
        <f>IFERROR(__xludf.DUMMYFUNCTION("LEFT(FILTER(IMPORTRANGE(""https://docs.google.com/spreadsheets/d/1BJSV3WBYJGRhQ6zExamkszQ5VutGIcaQqmbD9ZTVXMQ/edit#gid=1251630045"",""articles_with_PRISMA_reasons!K2:K2113""), $A645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$A645=IMPORTRANGE(""https://docs.google.com/spreadsheets/d/1BJSV3WBYJGRhQ6zExamkszQ5VutGIcaQqmbD9ZTVXMQ/edit#gid=1251630045"",""articles_with_PRISMA_reasons!B2:B2113"")))-1)"),"Ottenhoff")</f>
        <v>Ottenhoff</v>
      </c>
      <c r="C645" s="6">
        <f>IFERROR(__xludf.DUMMYFUNCTION("FILTER(IMPORTRANGE(""https://docs.google.com/spreadsheets/d/1BJSV3WBYJGRhQ6zExamkszQ5VutGIcaQqmbD9ZTVXMQ/edit#gid=1251630045"",""articles_with_PRISMA_reasons!C2:C2113""), $A645=IMPORTRANGE(""https://docs.google.com/spreadsheets/d/1BJSV3WBYJGRhQ6zExamkszQ5"&amp;"VutGIcaQqmbD9ZTVXMQ/edit#gid=1251630045"",""articles_with_PRISMA_reasons!B2:B2113""))"),2012.0)</f>
        <v>2012</v>
      </c>
      <c r="D645" s="5" t="str">
        <f>IFERROR(__xludf.DUMMYFUNCTION("IFS(AND(
FILTER(IMPORTRANGE(""https://docs.google.com/spreadsheets/d/1BJSV3WBYJGRhQ6zExamkszQ5VutGIcaQqmbD9ZTVXMQ/edit#gid=1251630045"",""articles_with_PRISMA_reasons!Y2:Y2113""), $A645=IMPORTRANGE(""https://docs.google.com/spreadsheets/d/1BJSV3WBYJGRhQ6z"&amp;"ExamkszQ5VutGIcaQqmbD9ZTVXMQ/edit#gid=1251630045"",""articles_with_PRISMA_reasons!B2:B2113""))&gt;=2,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$A645=IMPORTRANGE(""https://docs.google.com/spreadsheets/d/1BJSV3WBYJGRhQ6zExamkszQ5VutGIcaQqmbD9ZTVXMQ/edit#gid=1251630045"",""articles_with_PRISMA_reasons!B2:B2113""))&lt;2),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$A645=IMPORTRANGE(""https://docs.google.com/spreadsheets/d/1BJSV3WBYJGRhQ6zExamkszQ5VutGIcaQqmbD9ZTVXMQ/edit#gid=1251630045"",""arti"&amp;"cles_with_PRISMA_reasons!B2:B2113""))&lt;2,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$A645=IMPORTRANGE(""https://docs.google.com"&amp;"/spreadsheets/d/1BJSV3WBYJGRhQ6zExamkszQ5VutGIcaQqmbD9ZTVXMQ/edit#gid=1251630045"",""articles_with_PRISMA_reasons!B2:B2113""))&gt;=2),
""Exclude""
)"),"Exclude")</f>
        <v>Exclude</v>
      </c>
      <c r="E645" s="5" t="str">
        <f>IFERROR(__xludf.DUMMYFUNCTION("IFS(
D645=""Exclude"",""Exclude"",
AND(
FILTER(IMPORTRANGE(""https://docs.google.com/spreadsheets/d/1qpEmbGH0JjaJbUdp21-y2cPbobDbMjr09BbtdKROZWc/edit#gid=1444865654"",""articles_with_PRISMA_reasons!W2:W2113""), $A645=IMPORTRANGE(""https://docs.google.com/"&amp;"spreadsheets/d/1qpEmbGH0JjaJbUdp21-y2cPbobDbMjr09BbtdKROZWc/edit#gid=1444865654"",""articles_with_PRISMA_reasons!B2:B2113""))&gt;=2,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$A645=IMPORTRANGE(""https://docs.google.com/spreadsheets/d/1qpEmbGH0JjaJbUdp21-y2cPbobDbMjr09BbtdKROZWc/edit#gid=1444865654"",""articles_with_PRISMA_reasons!B2:B2113""))&lt;2),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$A645=IMPORTRANGE(""https://docs.google.com/spreadsheets/d/1qpEmbGH0JjaJbUdp21-y2cPbobDbMjr09BbtdKRO"&amp;"ZWc/edit#gid=1444865654"",""articles_with_PRISMA_reasons!B2:B2113""))&lt;2,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$A645=IMPOR"&amp;"TRANGE(""https://docs.google.com/spreadsheets/d/1qpEmbGH0JjaJbUdp21-y2cPbobDbMjr09BbtdKROZWc/edit#gid=1444865654"",""articles_with_PRISMA_reasons!B2:B2113""))&gt;=2),
""Exclude""
)"),"Exclude")</f>
        <v>Exclude</v>
      </c>
      <c r="F645" s="5" t="str">
        <f>IFERROR(__xludf.DUMMYFUNCTION("IFS(
E645=""Exclude"",""Exclude"",
AND(
COUNTIF(
IMPORTRANGE(""https://docs.google.com/spreadsheets/d/1kGrh75X1cNR1D7_FcY9zMnHP8iPO4M5RCRjy6nZY0TY/edit#gid=0"",""Table 1: Study characteristics!B4:B171""),A645)&gt;0,
COUNTIF(Studies!$A$2:$A$85,FILTER(IMPORTRA"&amp;"NGE(""https://docs.google.com/spreadsheets/d/1kGrh75X1cNR1D7_FcY9zMnHP8iPO4M5RCRjy6nZY0TY/edit#gid=0"",""Table 1: Study characteristics!A4:A171""), $A645=IMPORTRANGE(""https://docs.google.com/spreadsheets/d/1kGrh75X1cNR1D7_FcY9zMnHP8iPO4M5RCRjy6nZY0TY/edi"&amp;"t#gid=0"",""Table 1: Study characteristics!B4:B171"")))&gt;0
),
""Include""
)"),"Exclude")</f>
        <v>Exclude</v>
      </c>
      <c r="G645" s="5" t="str">
        <f>IFERROR(__xludf.DUMMYFUNCTION("IFS(
D645=""Exclude"",
FILTER(IMPORTRANGE(""https://docs.google.com/spreadsheets/d/1BJSV3WBYJGRhQ6zExamkszQ5VutGIcaQqmbD9ZTVXMQ/edit#gid=1251630045"",""articles_with_PRISMA_reasons!AB2:AB2113""), $A645=IMPORTRANGE(""https://docs.google.com/spreadsheets/d/"&amp;"1BJSV3WBYJGRhQ6zExamkszQ5VutGIcaQqmbD9ZTVXMQ/edit#gid=1251630045"",""articles_with_PRISMA_reasons!B2:B2113"")),
E645=""Exclude"",
FILTER(IMPORTRANGE(""https://docs.google.com/spreadsheets/d/1qpEmbGH0JjaJbUdp21-y2cPbobDbMjr09BbtdKROZWc/edit#gid=1444865654"&amp;""",""articles_with_PRISMA_reasons!Z2:Z2113""), $A645=IMPORTRANGE(""https://docs.google.com/spreadsheets/d/1qpEmbGH0JjaJbUdp21-y2cPbobDbMjr09BbtdKROZWc/edit#gid=1444865654"",""articles_with_PRISMA_reasons!B2:B2113"")),F645
=""Include"",FILTER(IMPORTRANGE("&amp;"""https://docs.google.com/spreadsheets/d/1kGrh75X1cNR1D7_FcY9zMnHP8iPO4M5RCRjy6nZY0TY/edit#gid=0"",""Table 1: Study characteristics!A4:A171""), $A645=IMPORTRANGE(""https://docs.google.com/spreadsheets/d/1kGrh75X1cNR1D7_FcY9zMnHP8iPO4M5RCRjy6nZY0TY/edit#gi"&amp;"d=0"",""Table 1: Study characteristics!B4:B171""))
)"),"wrong population")</f>
        <v>wrong population</v>
      </c>
    </row>
    <row r="646">
      <c r="A646" s="4" t="str">
        <f>IFERROR(__xludf.DUMMYFUNCTION("""COMPUTED_VALUE"""),"Disorders of growth and puberty in children with non-tumoral hydrocephalus")</f>
        <v>Disorders of growth and puberty in children with non-tumoral hydrocephalus</v>
      </c>
      <c r="B646" s="5" t="str">
        <f>IFERROR(__xludf.DUMMYFUNCTION("LEFT(FILTER(IMPORTRANGE(""https://docs.google.com/spreadsheets/d/1BJSV3WBYJGRhQ6zExamkszQ5VutGIcaQqmbD9ZTVXMQ/edit#gid=1251630045"",""articles_with_PRISMA_reasons!K2:K2113""), $A646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$A646=IMPORTRANGE(""https://docs.google.com/spreadsheets/d/1BJSV3WBYJGRhQ6zExamkszQ5VutGIcaQqmbD9ZTVXMQ/edit#gid=1251630045"",""articles_with_PRISMA_reasons!B2:B2113"")))-1)"),"Cholley")</f>
        <v>Cholley</v>
      </c>
      <c r="C646" s="6">
        <f>IFERROR(__xludf.DUMMYFUNCTION("FILTER(IMPORTRANGE(""https://docs.google.com/spreadsheets/d/1BJSV3WBYJGRhQ6zExamkszQ5VutGIcaQqmbD9ZTVXMQ/edit#gid=1251630045"",""articles_with_PRISMA_reasons!C2:C2113""), $A646=IMPORTRANGE(""https://docs.google.com/spreadsheets/d/1BJSV3WBYJGRhQ6zExamkszQ5"&amp;"VutGIcaQqmbD9ZTVXMQ/edit#gid=1251630045"",""articles_with_PRISMA_reasons!B2:B2113""))"),2001.0)</f>
        <v>2001</v>
      </c>
      <c r="D646" s="5" t="str">
        <f>IFERROR(__xludf.DUMMYFUNCTION("IFS(AND(
FILTER(IMPORTRANGE(""https://docs.google.com/spreadsheets/d/1BJSV3WBYJGRhQ6zExamkszQ5VutGIcaQqmbD9ZTVXMQ/edit#gid=1251630045"",""articles_with_PRISMA_reasons!Y2:Y2113""), $A646=IMPORTRANGE(""https://docs.google.com/spreadsheets/d/1BJSV3WBYJGRhQ6z"&amp;"ExamkszQ5VutGIcaQqmbD9ZTVXMQ/edit#gid=1251630045"",""articles_with_PRISMA_reasons!B2:B2113""))&gt;=2,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$A646=IMPORTRANGE(""https://docs.google.com/spreadsheets/d/1BJSV3WBYJGRhQ6zExamkszQ5VutGIcaQqmbD9ZTVXMQ/edit#gid=1251630045"",""articles_with_PRISMA_reasons!B2:B2113""))&lt;2),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$A646=IMPORTRANGE(""https://docs.google.com/spreadsheets/d/1BJSV3WBYJGRhQ6zExamkszQ5VutGIcaQqmbD9ZTVXMQ/edit#gid=1251630045"",""arti"&amp;"cles_with_PRISMA_reasons!B2:B2113""))&lt;2,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$A646=IMPORTRANGE(""https://docs.google.com"&amp;"/spreadsheets/d/1BJSV3WBYJGRhQ6zExamkszQ5VutGIcaQqmbD9ZTVXMQ/edit#gid=1251630045"",""articles_with_PRISMA_reasons!B2:B2113""))&gt;=2),
""Exclude""
)"),"Exclude")</f>
        <v>Exclude</v>
      </c>
      <c r="E646" s="5" t="str">
        <f>IFERROR(__xludf.DUMMYFUNCTION("IFS(
D646=""Exclude"",""Exclude"",
AND(
FILTER(IMPORTRANGE(""https://docs.google.com/spreadsheets/d/1qpEmbGH0JjaJbUdp21-y2cPbobDbMjr09BbtdKROZWc/edit#gid=1444865654"",""articles_with_PRISMA_reasons!W2:W2113""), $A646=IMPORTRANGE(""https://docs.google.com/"&amp;"spreadsheets/d/1qpEmbGH0JjaJbUdp21-y2cPbobDbMjr09BbtdKROZWc/edit#gid=1444865654"",""articles_with_PRISMA_reasons!B2:B2113""))&gt;=2,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$A646=IMPORTRANGE(""https://docs.google.com/spreadsheets/d/1qpEmbGH0JjaJbUdp21-y2cPbobDbMjr09BbtdKROZWc/edit#gid=1444865654"",""articles_with_PRISMA_reasons!B2:B2113""))&lt;2),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$A646=IMPORTRANGE(""https://docs.google.com/spreadsheets/d/1qpEmbGH0JjaJbUdp21-y2cPbobDbMjr09BbtdKRO"&amp;"ZWc/edit#gid=1444865654"",""articles_with_PRISMA_reasons!B2:B2113""))&lt;2,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$A646=IMPOR"&amp;"TRANGE(""https://docs.google.com/spreadsheets/d/1qpEmbGH0JjaJbUdp21-y2cPbobDbMjr09BbtdKROZWc/edit#gid=1444865654"",""articles_with_PRISMA_reasons!B2:B2113""))&gt;=2),
""Exclude""
)"),"Exclude")</f>
        <v>Exclude</v>
      </c>
      <c r="F646" s="5" t="str">
        <f>IFERROR(__xludf.DUMMYFUNCTION("IFS(
E646=""Exclude"",""Exclude"",
AND(
COUNTIF(
IMPORTRANGE(""https://docs.google.com/spreadsheets/d/1kGrh75X1cNR1D7_FcY9zMnHP8iPO4M5RCRjy6nZY0TY/edit#gid=0"",""Table 1: Study characteristics!B4:B171""),A646)&gt;0,
COUNTIF(Studies!$A$2:$A$85,FILTER(IMPORTRA"&amp;"NGE(""https://docs.google.com/spreadsheets/d/1kGrh75X1cNR1D7_FcY9zMnHP8iPO4M5RCRjy6nZY0TY/edit#gid=0"",""Table 1: Study characteristics!A4:A171""), $A646=IMPORTRANGE(""https://docs.google.com/spreadsheets/d/1kGrh75X1cNR1D7_FcY9zMnHP8iPO4M5RCRjy6nZY0TY/edi"&amp;"t#gid=0"",""Table 1: Study characteristics!B4:B171"")))&gt;0
),
""Include""
)"),"Exclude")</f>
        <v>Exclude</v>
      </c>
      <c r="G646" s="5" t="str">
        <f>IFERROR(__xludf.DUMMYFUNCTION("IFS(
D646=""Exclude"",
FILTER(IMPORTRANGE(""https://docs.google.com/spreadsheets/d/1BJSV3WBYJGRhQ6zExamkszQ5VutGIcaQqmbD9ZTVXMQ/edit#gid=1251630045"",""articles_with_PRISMA_reasons!AB2:AB2113""), $A646=IMPORTRANGE(""https://docs.google.com/spreadsheets/d/"&amp;"1BJSV3WBYJGRhQ6zExamkszQ5VutGIcaQqmbD9ZTVXMQ/edit#gid=1251630045"",""articles_with_PRISMA_reasons!B2:B2113"")),
E646=""Exclude"",
FILTER(IMPORTRANGE(""https://docs.google.com/spreadsheets/d/1qpEmbGH0JjaJbUdp21-y2cPbobDbMjr09BbtdKROZWc/edit#gid=1444865654"&amp;""",""articles_with_PRISMA_reasons!Z2:Z2113""), $A646=IMPORTRANGE(""https://docs.google.com/spreadsheets/d/1qpEmbGH0JjaJbUdp21-y2cPbobDbMjr09BbtdKROZWc/edit#gid=1444865654"",""articles_with_PRISMA_reasons!B2:B2113"")),F646
=""Include"",FILTER(IMPORTRANGE("&amp;"""https://docs.google.com/spreadsheets/d/1kGrh75X1cNR1D7_FcY9zMnHP8iPO4M5RCRjy6nZY0TY/edit#gid=0"",""Table 1: Study characteristics!A4:A171""), $A646=IMPORTRANGE(""https://docs.google.com/spreadsheets/d/1kGrh75X1cNR1D7_FcY9zMnHP8iPO4M5RCRjy6nZY0TY/edit#gi"&amp;"d=0"",""Table 1: Study characteristics!B4:B171""))
)"),"wrong intervention")</f>
        <v>wrong intervention</v>
      </c>
    </row>
    <row r="647">
      <c r="A647" s="4" t="str">
        <f>IFERROR(__xludf.DUMMYFUNCTION("""COMPUTED_VALUE"""),"Disorders of secondary neurulation: Mainly focused on pathoembryogenesis")</f>
        <v>Disorders of secondary neurulation: Mainly focused on pathoembryogenesis</v>
      </c>
      <c r="B647" s="5" t="str">
        <f>IFERROR(__xludf.DUMMYFUNCTION("LEFT(FILTER(IMPORTRANGE(""https://docs.google.com/spreadsheets/d/1BJSV3WBYJGRhQ6zExamkszQ5VutGIcaQqmbD9ZTVXMQ/edit#gid=1251630045"",""articles_with_PRISMA_reasons!K2:K2113""), $A647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$A647=IMPORTRANGE(""https://docs.google.com/spreadsheets/d/1BJSV3WBYJGRhQ6zExamkszQ5VutGIcaQqmbD9ZTVXMQ/edit#gid=1251630045"",""articles_with_PRISMA_reasons!B2:B2113"")))-1)"),"Yang")</f>
        <v>Yang</v>
      </c>
      <c r="C647" s="6">
        <f>IFERROR(__xludf.DUMMYFUNCTION("FILTER(IMPORTRANGE(""https://docs.google.com/spreadsheets/d/1BJSV3WBYJGRhQ6zExamkszQ5VutGIcaQqmbD9ZTVXMQ/edit#gid=1251630045"",""articles_with_PRISMA_reasons!C2:C2113""), $A647=IMPORTRANGE(""https://docs.google.com/spreadsheets/d/1BJSV3WBYJGRhQ6zExamkszQ5"&amp;"VutGIcaQqmbD9ZTVXMQ/edit#gid=1251630045"",""articles_with_PRISMA_reasons!B2:B2113""))"),2021.0)</f>
        <v>2021</v>
      </c>
      <c r="D647" s="5" t="str">
        <f>IFERROR(__xludf.DUMMYFUNCTION("IFS(AND(
FILTER(IMPORTRANGE(""https://docs.google.com/spreadsheets/d/1BJSV3WBYJGRhQ6zExamkszQ5VutGIcaQqmbD9ZTVXMQ/edit#gid=1251630045"",""articles_with_PRISMA_reasons!Y2:Y2113""), $A647=IMPORTRANGE(""https://docs.google.com/spreadsheets/d/1BJSV3WBYJGRhQ6z"&amp;"ExamkszQ5VutGIcaQqmbD9ZTVXMQ/edit#gid=1251630045"",""articles_with_PRISMA_reasons!B2:B2113""))&gt;=2,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$A647=IMPORTRANGE(""https://docs.google.com/spreadsheets/d/1BJSV3WBYJGRhQ6zExamkszQ5VutGIcaQqmbD9ZTVXMQ/edit#gid=1251630045"",""articles_with_PRISMA_reasons!B2:B2113""))&lt;2),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$A647=IMPORTRANGE(""https://docs.google.com/spreadsheets/d/1BJSV3WBYJGRhQ6zExamkszQ5VutGIcaQqmbD9ZTVXMQ/edit#gid=1251630045"",""arti"&amp;"cles_with_PRISMA_reasons!B2:B2113""))&lt;2,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$A647=IMPORTRANGE(""https://docs.google.com"&amp;"/spreadsheets/d/1BJSV3WBYJGRhQ6zExamkszQ5VutGIcaQqmbD9ZTVXMQ/edit#gid=1251630045"",""articles_with_PRISMA_reasons!B2:B2113""))&gt;=2),
""Exclude""
)"),"Exclude")</f>
        <v>Exclude</v>
      </c>
      <c r="E647" s="5" t="str">
        <f>IFERROR(__xludf.DUMMYFUNCTION("IFS(
D647=""Exclude"",""Exclude"",
AND(
FILTER(IMPORTRANGE(""https://docs.google.com/spreadsheets/d/1qpEmbGH0JjaJbUdp21-y2cPbobDbMjr09BbtdKROZWc/edit#gid=1444865654"",""articles_with_PRISMA_reasons!W2:W2113""), $A647=IMPORTRANGE(""https://docs.google.com/"&amp;"spreadsheets/d/1qpEmbGH0JjaJbUdp21-y2cPbobDbMjr09BbtdKROZWc/edit#gid=1444865654"",""articles_with_PRISMA_reasons!B2:B2113""))&gt;=2,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$A647=IMPORTRANGE(""https://docs.google.com/spreadsheets/d/1qpEmbGH0JjaJbUdp21-y2cPbobDbMjr09BbtdKROZWc/edit#gid=1444865654"",""articles_with_PRISMA_reasons!B2:B2113""))&lt;2),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$A647=IMPORTRANGE(""https://docs.google.com/spreadsheets/d/1qpEmbGH0JjaJbUdp21-y2cPbobDbMjr09BbtdKRO"&amp;"ZWc/edit#gid=1444865654"",""articles_with_PRISMA_reasons!B2:B2113""))&lt;2,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$A647=IMPOR"&amp;"TRANGE(""https://docs.google.com/spreadsheets/d/1qpEmbGH0JjaJbUdp21-y2cPbobDbMjr09BbtdKROZWc/edit#gid=1444865654"",""articles_with_PRISMA_reasons!B2:B2113""))&gt;=2),
""Exclude""
)"),"Exclude")</f>
        <v>Exclude</v>
      </c>
      <c r="F647" s="5" t="str">
        <f>IFERROR(__xludf.DUMMYFUNCTION("IFS(
E647=""Exclude"",""Exclude"",
AND(
COUNTIF(
IMPORTRANGE(""https://docs.google.com/spreadsheets/d/1kGrh75X1cNR1D7_FcY9zMnHP8iPO4M5RCRjy6nZY0TY/edit#gid=0"",""Table 1: Study characteristics!B4:B171""),A647)&gt;0,
COUNTIF(Studies!$A$2:$A$85,FILTER(IMPORTRA"&amp;"NGE(""https://docs.google.com/spreadsheets/d/1kGrh75X1cNR1D7_FcY9zMnHP8iPO4M5RCRjy6nZY0TY/edit#gid=0"",""Table 1: Study characteristics!A4:A171""), $A647=IMPORTRANGE(""https://docs.google.com/spreadsheets/d/1kGrh75X1cNR1D7_FcY9zMnHP8iPO4M5RCRjy6nZY0TY/edi"&amp;"t#gid=0"",""Table 1: Study characteristics!B4:B171"")))&gt;0
),
""Include""
)"),"Exclude")</f>
        <v>Exclude</v>
      </c>
      <c r="G647" s="5" t="str">
        <f>IFERROR(__xludf.DUMMYFUNCTION("IFS(
D647=""Exclude"",
FILTER(IMPORTRANGE(""https://docs.google.com/spreadsheets/d/1BJSV3WBYJGRhQ6zExamkszQ5VutGIcaQqmbD9ZTVXMQ/edit#gid=1251630045"",""articles_with_PRISMA_reasons!AB2:AB2113""), $A647=IMPORTRANGE(""https://docs.google.com/spreadsheets/d/"&amp;"1BJSV3WBYJGRhQ6zExamkszQ5VutGIcaQqmbD9ZTVXMQ/edit#gid=1251630045"",""articles_with_PRISMA_reasons!B2:B2113"")),
E647=""Exclude"",
FILTER(IMPORTRANGE(""https://docs.google.com/spreadsheets/d/1qpEmbGH0JjaJbUdp21-y2cPbobDbMjr09BbtdKROZWc/edit#gid=1444865654"&amp;""",""articles_with_PRISMA_reasons!Z2:Z2113""), $A647=IMPORTRANGE(""https://docs.google.com/spreadsheets/d/1qpEmbGH0JjaJbUdp21-y2cPbobDbMjr09BbtdKROZWc/edit#gid=1444865654"",""articles_with_PRISMA_reasons!B2:B2113"")),F647
=""Include"",FILTER(IMPORTRANGE("&amp;"""https://docs.google.com/spreadsheets/d/1kGrh75X1cNR1D7_FcY9zMnHP8iPO4M5RCRjy6nZY0TY/edit#gid=0"",""Table 1: Study characteristics!A4:A171""), $A647=IMPORTRANGE(""https://docs.google.com/spreadsheets/d/1kGrh75X1cNR1D7_FcY9zMnHP8iPO4M5RCRjy6nZY0TY/edit#gi"&amp;"d=0"",""Table 1: Study characteristics!B4:B171""))
)"),"wrong study design")</f>
        <v>wrong study design</v>
      </c>
    </row>
    <row r="648">
      <c r="A648" s="4" t="str">
        <f>IFERROR(__xludf.DUMMYFUNCTION("""COMPUTED_VALUE"""),"Disorders of the central nervous system")</f>
        <v>Disorders of the central nervous system</v>
      </c>
      <c r="B648" s="5" t="str">
        <f>IFERROR(__xludf.DUMMYFUNCTION("LEFT(FILTER(IMPORTRANGE(""https://docs.google.com/spreadsheets/d/1BJSV3WBYJGRhQ6zExamkszQ5VutGIcaQqmbD9ZTVXMQ/edit#gid=1251630045"",""articles_with_PRISMA_reasons!K2:K2113""), $A648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$A648=IMPORTRANGE(""https://docs.google.com/spreadsheets/d/1BJSV3WBYJGRhQ6zExamkszQ5VutGIcaQqmbD9ZTVXMQ/edit#gid=1251630045"",""articles_with_PRISMA_reasons!B2:B2113"")))-1)"),"Paidas")</f>
        <v>Paidas</v>
      </c>
      <c r="C648" s="6">
        <f>IFERROR(__xludf.DUMMYFUNCTION("FILTER(IMPORTRANGE(""https://docs.google.com/spreadsheets/d/1BJSV3WBYJGRhQ6zExamkszQ5VutGIcaQqmbD9ZTVXMQ/edit#gid=1251630045"",""articles_with_PRISMA_reasons!C2:C2113""), $A648=IMPORTRANGE(""https://docs.google.com/spreadsheets/d/1BJSV3WBYJGRhQ6zExamkszQ5"&amp;"VutGIcaQqmbD9ZTVXMQ/edit#gid=1251630045"",""articles_with_PRISMA_reasons!B2:B2113""))"),1994.0)</f>
        <v>1994</v>
      </c>
      <c r="D648" s="5" t="str">
        <f>IFERROR(__xludf.DUMMYFUNCTION("IFS(AND(
FILTER(IMPORTRANGE(""https://docs.google.com/spreadsheets/d/1BJSV3WBYJGRhQ6zExamkszQ5VutGIcaQqmbD9ZTVXMQ/edit#gid=1251630045"",""articles_with_PRISMA_reasons!Y2:Y2113""), $A648=IMPORTRANGE(""https://docs.google.com/spreadsheets/d/1BJSV3WBYJGRhQ6z"&amp;"ExamkszQ5VutGIcaQqmbD9ZTVXMQ/edit#gid=1251630045"",""articles_with_PRISMA_reasons!B2:B2113""))&gt;=2,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$A648=IMPORTRANGE(""https://docs.google.com/spreadsheets/d/1BJSV3WBYJGRhQ6zExamkszQ5VutGIcaQqmbD9ZTVXMQ/edit#gid=1251630045"",""articles_with_PRISMA_reasons!B2:B2113""))&lt;2),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$A648=IMPORTRANGE(""https://docs.google.com/spreadsheets/d/1BJSV3WBYJGRhQ6zExamkszQ5VutGIcaQqmbD9ZTVXMQ/edit#gid=1251630045"",""arti"&amp;"cles_with_PRISMA_reasons!B2:B2113""))&lt;2,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$A648=IMPORTRANGE(""https://docs.google.com"&amp;"/spreadsheets/d/1BJSV3WBYJGRhQ6zExamkszQ5VutGIcaQqmbD9ZTVXMQ/edit#gid=1251630045"",""articles_with_PRISMA_reasons!B2:B2113""))&gt;=2),
""Exclude""
)"),"Exclude")</f>
        <v>Exclude</v>
      </c>
      <c r="E648" s="5" t="str">
        <f>IFERROR(__xludf.DUMMYFUNCTION("IFS(
D648=""Exclude"",""Exclude"",
AND(
FILTER(IMPORTRANGE(""https://docs.google.com/spreadsheets/d/1qpEmbGH0JjaJbUdp21-y2cPbobDbMjr09BbtdKROZWc/edit#gid=1444865654"",""articles_with_PRISMA_reasons!W2:W2113""), $A648=IMPORTRANGE(""https://docs.google.com/"&amp;"spreadsheets/d/1qpEmbGH0JjaJbUdp21-y2cPbobDbMjr09BbtdKROZWc/edit#gid=1444865654"",""articles_with_PRISMA_reasons!B2:B2113""))&gt;=2,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$A648=IMPORTRANGE(""https://docs.google.com/spreadsheets/d/1qpEmbGH0JjaJbUdp21-y2cPbobDbMjr09BbtdKROZWc/edit#gid=1444865654"",""articles_with_PRISMA_reasons!B2:B2113""))&lt;2),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$A648=IMPORTRANGE(""https://docs.google.com/spreadsheets/d/1qpEmbGH0JjaJbUdp21-y2cPbobDbMjr09BbtdKRO"&amp;"ZWc/edit#gid=1444865654"",""articles_with_PRISMA_reasons!B2:B2113""))&lt;2,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$A648=IMPOR"&amp;"TRANGE(""https://docs.google.com/spreadsheets/d/1qpEmbGH0JjaJbUdp21-y2cPbobDbMjr09BbtdKROZWc/edit#gid=1444865654"",""articles_with_PRISMA_reasons!B2:B2113""))&gt;=2),
""Exclude""
)"),"Exclude")</f>
        <v>Exclude</v>
      </c>
      <c r="F648" s="5" t="str">
        <f>IFERROR(__xludf.DUMMYFUNCTION("IFS(
E648=""Exclude"",""Exclude"",
AND(
COUNTIF(
IMPORTRANGE(""https://docs.google.com/spreadsheets/d/1kGrh75X1cNR1D7_FcY9zMnHP8iPO4M5RCRjy6nZY0TY/edit#gid=0"",""Table 1: Study characteristics!B4:B171""),A648)&gt;0,
COUNTIF(Studies!$A$2:$A$85,FILTER(IMPORTRA"&amp;"NGE(""https://docs.google.com/spreadsheets/d/1kGrh75X1cNR1D7_FcY9zMnHP8iPO4M5RCRjy6nZY0TY/edit#gid=0"",""Table 1: Study characteristics!A4:A171""), $A648=IMPORTRANGE(""https://docs.google.com/spreadsheets/d/1kGrh75X1cNR1D7_FcY9zMnHP8iPO4M5RCRjy6nZY0TY/edi"&amp;"t#gid=0"",""Table 1: Study characteristics!B4:B171"")))&gt;0
),
""Include""
)"),"Exclude")</f>
        <v>Exclude</v>
      </c>
      <c r="G648" s="5" t="str">
        <f>IFERROR(__xludf.DUMMYFUNCTION("IFS(
D648=""Exclude"",
FILTER(IMPORTRANGE(""https://docs.google.com/spreadsheets/d/1BJSV3WBYJGRhQ6zExamkszQ5VutGIcaQqmbD9ZTVXMQ/edit#gid=1251630045"",""articles_with_PRISMA_reasons!AB2:AB2113""), $A648=IMPORTRANGE(""https://docs.google.com/spreadsheets/d/"&amp;"1BJSV3WBYJGRhQ6zExamkszQ5VutGIcaQqmbD9ZTVXMQ/edit#gid=1251630045"",""articles_with_PRISMA_reasons!B2:B2113"")),
E648=""Exclude"",
FILTER(IMPORTRANGE(""https://docs.google.com/spreadsheets/d/1qpEmbGH0JjaJbUdp21-y2cPbobDbMjr09BbtdKROZWc/edit#gid=1444865654"&amp;""",""articles_with_PRISMA_reasons!Z2:Z2113""), $A648=IMPORTRANGE(""https://docs.google.com/spreadsheets/d/1qpEmbGH0JjaJbUdp21-y2cPbobDbMjr09BbtdKROZWc/edit#gid=1444865654"",""articles_with_PRISMA_reasons!B2:B2113"")),F648
=""Include"",FILTER(IMPORTRANGE("&amp;"""https://docs.google.com/spreadsheets/d/1kGrh75X1cNR1D7_FcY9zMnHP8iPO4M5RCRjy6nZY0TY/edit#gid=0"",""Table 1: Study characteristics!A4:A171""), $A648=IMPORTRANGE(""https://docs.google.com/spreadsheets/d/1kGrh75X1cNR1D7_FcY9zMnHP8iPO4M5RCRjy6nZY0TY/edit#gi"&amp;"d=0"",""Table 1: Study characteristics!B4:B171""))
)"),"wrong study design")</f>
        <v>wrong study design</v>
      </c>
    </row>
    <row r="649">
      <c r="A649" s="4" t="str">
        <f>IFERROR(__xludf.DUMMYFUNCTION("""COMPUTED_VALUE"""),"Disostosis espondilocostal y colangitis aguda en urgencias pediátricas")</f>
        <v>Disostosis espondilocostal y colangitis aguda en urgencias pediátricas</v>
      </c>
      <c r="B649" s="5" t="str">
        <f>IFERROR(__xludf.DUMMYFUNCTION("LEFT(FILTER(IMPORTRANGE(""https://docs.google.com/spreadsheets/d/1BJSV3WBYJGRhQ6zExamkszQ5VutGIcaQqmbD9ZTVXMQ/edit#gid=1251630045"",""articles_with_PRISMA_reasons!K2:K2113""), $A649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$A649=IMPORTRANGE(""https://docs.google.com/spreadsheets/d/1BJSV3WBYJGRhQ6zExamkszQ5VutGIcaQqmbD9ZTVXMQ/edit#gid=1251630045"",""articles_with_PRISMA_reasons!B2:B2113"")))-1)"),"Avilés-Martínez")</f>
        <v>Avilés-Martínez</v>
      </c>
      <c r="C649" s="6">
        <f>IFERROR(__xludf.DUMMYFUNCTION("FILTER(IMPORTRANGE(""https://docs.google.com/spreadsheets/d/1BJSV3WBYJGRhQ6zExamkszQ5VutGIcaQqmbD9ZTVXMQ/edit#gid=1251630045"",""articles_with_PRISMA_reasons!C2:C2113""), $A649=IMPORTRANGE(""https://docs.google.com/spreadsheets/d/1BJSV3WBYJGRhQ6zExamkszQ5"&amp;"VutGIcaQqmbD9ZTVXMQ/edit#gid=1251630045"",""articles_with_PRISMA_reasons!B2:B2113""))"),2016.0)</f>
        <v>2016</v>
      </c>
      <c r="D649" s="5" t="str">
        <f>IFERROR(__xludf.DUMMYFUNCTION("IFS(AND(
FILTER(IMPORTRANGE(""https://docs.google.com/spreadsheets/d/1BJSV3WBYJGRhQ6zExamkszQ5VutGIcaQqmbD9ZTVXMQ/edit#gid=1251630045"",""articles_with_PRISMA_reasons!Y2:Y2113""), $A649=IMPORTRANGE(""https://docs.google.com/spreadsheets/d/1BJSV3WBYJGRhQ6z"&amp;"ExamkszQ5VutGIcaQqmbD9ZTVXMQ/edit#gid=1251630045"",""articles_with_PRISMA_reasons!B2:B2113""))&gt;=2,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$A649=IMPORTRANGE(""https://docs.google.com/spreadsheets/d/1BJSV3WBYJGRhQ6zExamkszQ5VutGIcaQqmbD9ZTVXMQ/edit#gid=1251630045"",""articles_with_PRISMA_reasons!B2:B2113""))&lt;2),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$A649=IMPORTRANGE(""https://docs.google.com/spreadsheets/d/1BJSV3WBYJGRhQ6zExamkszQ5VutGIcaQqmbD9ZTVXMQ/edit#gid=1251630045"",""arti"&amp;"cles_with_PRISMA_reasons!B2:B2113""))&lt;2,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$A649=IMPORTRANGE(""https://docs.google.com"&amp;"/spreadsheets/d/1BJSV3WBYJGRhQ6zExamkszQ5VutGIcaQqmbD9ZTVXMQ/edit#gid=1251630045"",""articles_with_PRISMA_reasons!B2:B2113""))&gt;=2),
""Exclude""
)"),"Exclude")</f>
        <v>Exclude</v>
      </c>
      <c r="E649" s="5" t="str">
        <f>IFERROR(__xludf.DUMMYFUNCTION("IFS(
D649=""Exclude"",""Exclude"",
AND(
FILTER(IMPORTRANGE(""https://docs.google.com/spreadsheets/d/1qpEmbGH0JjaJbUdp21-y2cPbobDbMjr09BbtdKROZWc/edit#gid=1444865654"",""articles_with_PRISMA_reasons!W2:W2113""), $A649=IMPORTRANGE(""https://docs.google.com/"&amp;"spreadsheets/d/1qpEmbGH0JjaJbUdp21-y2cPbobDbMjr09BbtdKROZWc/edit#gid=1444865654"",""articles_with_PRISMA_reasons!B2:B2113""))&gt;=2,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$A649=IMPORTRANGE(""https://docs.google.com/spreadsheets/d/1qpEmbGH0JjaJbUdp21-y2cPbobDbMjr09BbtdKROZWc/edit#gid=1444865654"",""articles_with_PRISMA_reasons!B2:B2113""))&lt;2),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$A649=IMPORTRANGE(""https://docs.google.com/spreadsheets/d/1qpEmbGH0JjaJbUdp21-y2cPbobDbMjr09BbtdKRO"&amp;"ZWc/edit#gid=1444865654"",""articles_with_PRISMA_reasons!B2:B2113""))&lt;2,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$A649=IMPOR"&amp;"TRANGE(""https://docs.google.com/spreadsheets/d/1qpEmbGH0JjaJbUdp21-y2cPbobDbMjr09BbtdKROZWc/edit#gid=1444865654"",""articles_with_PRISMA_reasons!B2:B2113""))&gt;=2),
""Exclude""
)"),"Exclude")</f>
        <v>Exclude</v>
      </c>
      <c r="F649" s="5" t="str">
        <f>IFERROR(__xludf.DUMMYFUNCTION("IFS(
E649=""Exclude"",""Exclude"",
AND(
COUNTIF(
IMPORTRANGE(""https://docs.google.com/spreadsheets/d/1kGrh75X1cNR1D7_FcY9zMnHP8iPO4M5RCRjy6nZY0TY/edit#gid=0"",""Table 1: Study characteristics!B4:B171""),A649)&gt;0,
COUNTIF(Studies!$A$2:$A$85,FILTER(IMPORTRA"&amp;"NGE(""https://docs.google.com/spreadsheets/d/1kGrh75X1cNR1D7_FcY9zMnHP8iPO4M5RCRjy6nZY0TY/edit#gid=0"",""Table 1: Study characteristics!A4:A171""), $A649=IMPORTRANGE(""https://docs.google.com/spreadsheets/d/1kGrh75X1cNR1D7_FcY9zMnHP8iPO4M5RCRjy6nZY0TY/edi"&amp;"t#gid=0"",""Table 1: Study characteristics!B4:B171"")))&gt;0
),
""Include""
)"),"Exclude")</f>
        <v>Exclude</v>
      </c>
      <c r="G649" s="5" t="str">
        <f>IFERROR(__xludf.DUMMYFUNCTION("IFS(
D649=""Exclude"",
FILTER(IMPORTRANGE(""https://docs.google.com/spreadsheets/d/1BJSV3WBYJGRhQ6zExamkszQ5VutGIcaQqmbD9ZTVXMQ/edit#gid=1251630045"",""articles_with_PRISMA_reasons!AB2:AB2113""), $A649=IMPORTRANGE(""https://docs.google.com/spreadsheets/d/"&amp;"1BJSV3WBYJGRhQ6zExamkszQ5VutGIcaQqmbD9ZTVXMQ/edit#gid=1251630045"",""articles_with_PRISMA_reasons!B2:B2113"")),
E649=""Exclude"",
FILTER(IMPORTRANGE(""https://docs.google.com/spreadsheets/d/1qpEmbGH0JjaJbUdp21-y2cPbobDbMjr09BbtdKROZWc/edit#gid=1444865654"&amp;""",""articles_with_PRISMA_reasons!Z2:Z2113""), $A649=IMPORTRANGE(""https://docs.google.com/spreadsheets/d/1qpEmbGH0JjaJbUdp21-y2cPbobDbMjr09BbtdKROZWc/edit#gid=1444865654"",""articles_with_PRISMA_reasons!B2:B2113"")),F649
=""Include"",FILTER(IMPORTRANGE("&amp;"""https://docs.google.com/spreadsheets/d/1kGrh75X1cNR1D7_FcY9zMnHP8iPO4M5RCRjy6nZY0TY/edit#gid=0"",""Table 1: Study characteristics!A4:A171""), $A649=IMPORTRANGE(""https://docs.google.com/spreadsheets/d/1kGrh75X1cNR1D7_FcY9zMnHP8iPO4M5RCRjy6nZY0TY/edit#gi"&amp;"d=0"",""Table 1: Study characteristics!B4:B171""))
)"),"wrong study design")</f>
        <v>wrong study design</v>
      </c>
    </row>
    <row r="650">
      <c r="A650" s="4" t="str">
        <f>IFERROR(__xludf.DUMMYFUNCTION("""COMPUTED_VALUE"""),"Disproportionately large communicating fourth ventricle resulting from adjustable valve shunt in an infant")</f>
        <v>Disproportionately large communicating fourth ventricle resulting from adjustable valve shunt in an infant</v>
      </c>
      <c r="B650" s="5" t="str">
        <f>IFERROR(__xludf.DUMMYFUNCTION("LEFT(FILTER(IMPORTRANGE(""https://docs.google.com/spreadsheets/d/1BJSV3WBYJGRhQ6zExamkszQ5VutGIcaQqmbD9ZTVXMQ/edit#gid=1251630045"",""articles_with_PRISMA_reasons!K2:K2113""), $A650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$A650=IMPORTRANGE(""https://docs.google.com/spreadsheets/d/1BJSV3WBYJGRhQ6zExamkszQ5VutGIcaQqmbD9ZTVXMQ/edit#gid=1251630045"",""articles_with_PRISMA_reasons!B2:B2113"")))-1)"),"Katano")</f>
        <v>Katano</v>
      </c>
      <c r="C650" s="6">
        <f>IFERROR(__xludf.DUMMYFUNCTION("FILTER(IMPORTRANGE(""https://docs.google.com/spreadsheets/d/1BJSV3WBYJGRhQ6zExamkszQ5VutGIcaQqmbD9ZTVXMQ/edit#gid=1251630045"",""articles_with_PRISMA_reasons!C2:C2113""), $A650=IMPORTRANGE(""https://docs.google.com/spreadsheets/d/1BJSV3WBYJGRhQ6zExamkszQ5"&amp;"VutGIcaQqmbD9ZTVXMQ/edit#gid=1251630045"",""articles_with_PRISMA_reasons!B2:B2113""))"),2012.0)</f>
        <v>2012</v>
      </c>
      <c r="D650" s="5" t="str">
        <f>IFERROR(__xludf.DUMMYFUNCTION("IFS(AND(
FILTER(IMPORTRANGE(""https://docs.google.com/spreadsheets/d/1BJSV3WBYJGRhQ6zExamkszQ5VutGIcaQqmbD9ZTVXMQ/edit#gid=1251630045"",""articles_with_PRISMA_reasons!Y2:Y2113""), $A650=IMPORTRANGE(""https://docs.google.com/spreadsheets/d/1BJSV3WBYJGRhQ6z"&amp;"ExamkszQ5VutGIcaQqmbD9ZTVXMQ/edit#gid=1251630045"",""articles_with_PRISMA_reasons!B2:B2113""))&gt;=2,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$A650=IMPORTRANGE(""https://docs.google.com/spreadsheets/d/1BJSV3WBYJGRhQ6zExamkszQ5VutGIcaQqmbD9ZTVXMQ/edit#gid=1251630045"",""articles_with_PRISMA_reasons!B2:B2113""))&lt;2),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$A650=IMPORTRANGE(""https://docs.google.com/spreadsheets/d/1BJSV3WBYJGRhQ6zExamkszQ5VutGIcaQqmbD9ZTVXMQ/edit#gid=1251630045"",""arti"&amp;"cles_with_PRISMA_reasons!B2:B2113""))&lt;2,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$A650=IMPORTRANGE(""https://docs.google.com"&amp;"/spreadsheets/d/1BJSV3WBYJGRhQ6zExamkszQ5VutGIcaQqmbD9ZTVXMQ/edit#gid=1251630045"",""articles_with_PRISMA_reasons!B2:B2113""))&gt;=2),
""Exclude""
)"),"Exclude")</f>
        <v>Exclude</v>
      </c>
      <c r="E650" s="5" t="str">
        <f>IFERROR(__xludf.DUMMYFUNCTION("IFS(
D650=""Exclude"",""Exclude"",
AND(
FILTER(IMPORTRANGE(""https://docs.google.com/spreadsheets/d/1qpEmbGH0JjaJbUdp21-y2cPbobDbMjr09BbtdKROZWc/edit#gid=1444865654"",""articles_with_PRISMA_reasons!W2:W2113""), $A650=IMPORTRANGE(""https://docs.google.com/"&amp;"spreadsheets/d/1qpEmbGH0JjaJbUdp21-y2cPbobDbMjr09BbtdKROZWc/edit#gid=1444865654"",""articles_with_PRISMA_reasons!B2:B2113""))&gt;=2,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$A650=IMPORTRANGE(""https://docs.google.com/spreadsheets/d/1qpEmbGH0JjaJbUdp21-y2cPbobDbMjr09BbtdKROZWc/edit#gid=1444865654"",""articles_with_PRISMA_reasons!B2:B2113""))&lt;2),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$A650=IMPORTRANGE(""https://docs.google.com/spreadsheets/d/1qpEmbGH0JjaJbUdp21-y2cPbobDbMjr09BbtdKRO"&amp;"ZWc/edit#gid=1444865654"",""articles_with_PRISMA_reasons!B2:B2113""))&lt;2,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$A650=IMPOR"&amp;"TRANGE(""https://docs.google.com/spreadsheets/d/1qpEmbGH0JjaJbUdp21-y2cPbobDbMjr09BbtdKROZWc/edit#gid=1444865654"",""articles_with_PRISMA_reasons!B2:B2113""))&gt;=2),
""Exclude""
)"),"Exclude")</f>
        <v>Exclude</v>
      </c>
      <c r="F650" s="5" t="str">
        <f>IFERROR(__xludf.DUMMYFUNCTION("IFS(
E650=""Exclude"",""Exclude"",
AND(
COUNTIF(
IMPORTRANGE(""https://docs.google.com/spreadsheets/d/1kGrh75X1cNR1D7_FcY9zMnHP8iPO4M5RCRjy6nZY0TY/edit#gid=0"",""Table 1: Study characteristics!B4:B171""),A650)&gt;0,
COUNTIF(Studies!$A$2:$A$85,FILTER(IMPORTRA"&amp;"NGE(""https://docs.google.com/spreadsheets/d/1kGrh75X1cNR1D7_FcY9zMnHP8iPO4M5RCRjy6nZY0TY/edit#gid=0"",""Table 1: Study characteristics!A4:A171""), $A650=IMPORTRANGE(""https://docs.google.com/spreadsheets/d/1kGrh75X1cNR1D7_FcY9zMnHP8iPO4M5RCRjy6nZY0TY/edi"&amp;"t#gid=0"",""Table 1: Study characteristics!B4:B171"")))&gt;0
),
""Include""
)"),"Exclude")</f>
        <v>Exclude</v>
      </c>
      <c r="G650" s="5" t="str">
        <f>IFERROR(__xludf.DUMMYFUNCTION("IFS(
D650=""Exclude"",
FILTER(IMPORTRANGE(""https://docs.google.com/spreadsheets/d/1BJSV3WBYJGRhQ6zExamkszQ5VutGIcaQqmbD9ZTVXMQ/edit#gid=1251630045"",""articles_with_PRISMA_reasons!AB2:AB2113""), $A650=IMPORTRANGE(""https://docs.google.com/spreadsheets/d/"&amp;"1BJSV3WBYJGRhQ6zExamkszQ5VutGIcaQqmbD9ZTVXMQ/edit#gid=1251630045"",""articles_with_PRISMA_reasons!B2:B2113"")),
E650=""Exclude"",
FILTER(IMPORTRANGE(""https://docs.google.com/spreadsheets/d/1qpEmbGH0JjaJbUdp21-y2cPbobDbMjr09BbtdKROZWc/edit#gid=1444865654"&amp;""",""articles_with_PRISMA_reasons!Z2:Z2113""), $A650=IMPORTRANGE(""https://docs.google.com/spreadsheets/d/1qpEmbGH0JjaJbUdp21-y2cPbobDbMjr09BbtdKROZWc/edit#gid=1444865654"",""articles_with_PRISMA_reasons!B2:B2113"")),F650
=""Include"",FILTER(IMPORTRANGE("&amp;"""https://docs.google.com/spreadsheets/d/1kGrh75X1cNR1D7_FcY9zMnHP8iPO4M5RCRjy6nZY0TY/edit#gid=0"",""Table 1: Study characteristics!A4:A171""), $A650=IMPORTRANGE(""https://docs.google.com/spreadsheets/d/1kGrh75X1cNR1D7_FcY9zMnHP8iPO4M5RCRjy6nZY0TY/edit#gi"&amp;"d=0"",""Table 1: Study characteristics!B4:B171""))
)"),"wrong study design")</f>
        <v>wrong study design</v>
      </c>
    </row>
    <row r="651">
      <c r="A651" s="4" t="str">
        <f>IFERROR(__xludf.DUMMYFUNCTION("""COMPUTED_VALUE"""),"Distal Ventriculoatrial Shunt Revision in Adult Myelomeningocele Patient Performed via Endovascular Transvenous Approach")</f>
        <v>Distal Ventriculoatrial Shunt Revision in Adult Myelomeningocele Patient Performed via Endovascular Transvenous Approach</v>
      </c>
      <c r="B651" s="5" t="str">
        <f>IFERROR(__xludf.DUMMYFUNCTION("LEFT(FILTER(IMPORTRANGE(""https://docs.google.com/spreadsheets/d/1BJSV3WBYJGRhQ6zExamkszQ5VutGIcaQqmbD9ZTVXMQ/edit#gid=1251630045"",""articles_with_PRISMA_reasons!K2:K2113""), $A651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$A651=IMPORTRANGE(""https://docs.google.com/spreadsheets/d/1BJSV3WBYJGRhQ6zExamkszQ5VutGIcaQqmbD9ZTVXMQ/edit#gid=1251630045"",""articles_with_PRISMA_reasons!B2:B2113"")))-1)"),"Teton")</f>
        <v>Teton</v>
      </c>
      <c r="C651" s="6">
        <f>IFERROR(__xludf.DUMMYFUNCTION("FILTER(IMPORTRANGE(""https://docs.google.com/spreadsheets/d/1BJSV3WBYJGRhQ6zExamkszQ5VutGIcaQqmbD9ZTVXMQ/edit#gid=1251630045"",""articles_with_PRISMA_reasons!C2:C2113""), $A651=IMPORTRANGE(""https://docs.google.com/spreadsheets/d/1BJSV3WBYJGRhQ6zExamkszQ5"&amp;"VutGIcaQqmbD9ZTVXMQ/edit#gid=1251630045"",""articles_with_PRISMA_reasons!B2:B2113""))"),2019.0)</f>
        <v>2019</v>
      </c>
      <c r="D651" s="5" t="str">
        <f>IFERROR(__xludf.DUMMYFUNCTION("IFS(AND(
FILTER(IMPORTRANGE(""https://docs.google.com/spreadsheets/d/1BJSV3WBYJGRhQ6zExamkszQ5VutGIcaQqmbD9ZTVXMQ/edit#gid=1251630045"",""articles_with_PRISMA_reasons!Y2:Y2113""), $A651=IMPORTRANGE(""https://docs.google.com/spreadsheets/d/1BJSV3WBYJGRhQ6z"&amp;"ExamkszQ5VutGIcaQqmbD9ZTVXMQ/edit#gid=1251630045"",""articles_with_PRISMA_reasons!B2:B2113""))&gt;=2,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$A651=IMPORTRANGE(""https://docs.google.com/spreadsheets/d/1BJSV3WBYJGRhQ6zExamkszQ5VutGIcaQqmbD9ZTVXMQ/edit#gid=1251630045"",""articles_with_PRISMA_reasons!B2:B2113""))&lt;2),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$A651=IMPORTRANGE(""https://docs.google.com/spreadsheets/d/1BJSV3WBYJGRhQ6zExamkszQ5VutGIcaQqmbD9ZTVXMQ/edit#gid=1251630045"",""arti"&amp;"cles_with_PRISMA_reasons!B2:B2113""))&lt;2,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$A651=IMPORTRANGE(""https://docs.google.com"&amp;"/spreadsheets/d/1BJSV3WBYJGRhQ6zExamkszQ5VutGIcaQqmbD9ZTVXMQ/edit#gid=1251630045"",""articles_with_PRISMA_reasons!B2:B2113""))&gt;=2),
""Exclude""
)"),"Exclude")</f>
        <v>Exclude</v>
      </c>
      <c r="E651" s="5" t="str">
        <f>IFERROR(__xludf.DUMMYFUNCTION("IFS(
D651=""Exclude"",""Exclude"",
AND(
FILTER(IMPORTRANGE(""https://docs.google.com/spreadsheets/d/1qpEmbGH0JjaJbUdp21-y2cPbobDbMjr09BbtdKROZWc/edit#gid=1444865654"",""articles_with_PRISMA_reasons!W2:W2113""), $A651=IMPORTRANGE(""https://docs.google.com/"&amp;"spreadsheets/d/1qpEmbGH0JjaJbUdp21-y2cPbobDbMjr09BbtdKROZWc/edit#gid=1444865654"",""articles_with_PRISMA_reasons!B2:B2113""))&gt;=2,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$A651=IMPORTRANGE(""https://docs.google.com/spreadsheets/d/1qpEmbGH0JjaJbUdp21-y2cPbobDbMjr09BbtdKROZWc/edit#gid=1444865654"",""articles_with_PRISMA_reasons!B2:B2113""))&lt;2),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$A651=IMPORTRANGE(""https://docs.google.com/spreadsheets/d/1qpEmbGH0JjaJbUdp21-y2cPbobDbMjr09BbtdKRO"&amp;"ZWc/edit#gid=1444865654"",""articles_with_PRISMA_reasons!B2:B2113""))&lt;2,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$A651=IMPOR"&amp;"TRANGE(""https://docs.google.com/spreadsheets/d/1qpEmbGH0JjaJbUdp21-y2cPbobDbMjr09BbtdKROZWc/edit#gid=1444865654"",""articles_with_PRISMA_reasons!B2:B2113""))&gt;=2),
""Exclude""
)"),"Exclude")</f>
        <v>Exclude</v>
      </c>
      <c r="F651" s="5" t="str">
        <f>IFERROR(__xludf.DUMMYFUNCTION("IFS(
E651=""Exclude"",""Exclude"",
AND(
COUNTIF(
IMPORTRANGE(""https://docs.google.com/spreadsheets/d/1kGrh75X1cNR1D7_FcY9zMnHP8iPO4M5RCRjy6nZY0TY/edit#gid=0"",""Table 1: Study characteristics!B4:B171""),A651)&gt;0,
COUNTIF(Studies!$A$2:$A$85,FILTER(IMPORTRA"&amp;"NGE(""https://docs.google.com/spreadsheets/d/1kGrh75X1cNR1D7_FcY9zMnHP8iPO4M5RCRjy6nZY0TY/edit#gid=0"",""Table 1: Study characteristics!A4:A171""), $A651=IMPORTRANGE(""https://docs.google.com/spreadsheets/d/1kGrh75X1cNR1D7_FcY9zMnHP8iPO4M5RCRjy6nZY0TY/edi"&amp;"t#gid=0"",""Table 1: Study characteristics!B4:B171"")))&gt;0
),
""Include""
)"),"Exclude")</f>
        <v>Exclude</v>
      </c>
      <c r="G651" s="5" t="str">
        <f>IFERROR(__xludf.DUMMYFUNCTION("IFS(
D651=""Exclude"",
FILTER(IMPORTRANGE(""https://docs.google.com/spreadsheets/d/1BJSV3WBYJGRhQ6zExamkszQ5VutGIcaQqmbD9ZTVXMQ/edit#gid=1251630045"",""articles_with_PRISMA_reasons!AB2:AB2113""), $A651=IMPORTRANGE(""https://docs.google.com/spreadsheets/d/"&amp;"1BJSV3WBYJGRhQ6zExamkszQ5VutGIcaQqmbD9ZTVXMQ/edit#gid=1251630045"",""articles_with_PRISMA_reasons!B2:B2113"")),
E651=""Exclude"",
FILTER(IMPORTRANGE(""https://docs.google.com/spreadsheets/d/1qpEmbGH0JjaJbUdp21-y2cPbobDbMjr09BbtdKROZWc/edit#gid=1444865654"&amp;""",""articles_with_PRISMA_reasons!Z2:Z2113""), $A651=IMPORTRANGE(""https://docs.google.com/spreadsheets/d/1qpEmbGH0JjaJbUdp21-y2cPbobDbMjr09BbtdKROZWc/edit#gid=1444865654"",""articles_with_PRISMA_reasons!B2:B2113"")),F651
=""Include"",FILTER(IMPORTRANGE("&amp;"""https://docs.google.com/spreadsheets/d/1kGrh75X1cNR1D7_FcY9zMnHP8iPO4M5RCRjy6nZY0TY/edit#gid=0"",""Table 1: Study characteristics!A4:A171""), $A651=IMPORTRANGE(""https://docs.google.com/spreadsheets/d/1kGrh75X1cNR1D7_FcY9zMnHP8iPO4M5RCRjy6nZY0TY/edit#gi"&amp;"d=0"",""Table 1: Study characteristics!B4:B171""))
)"),"wrong study design")</f>
        <v>wrong study design</v>
      </c>
    </row>
    <row r="652">
      <c r="A652" s="4" t="str">
        <f>IFERROR(__xludf.DUMMYFUNCTION("""COMPUTED_VALUE"""),"Distant large acute epidural hematoma after closed cerebrospinal fluid tapping through the anterior fontanelle: A case report and its pathogenesis")</f>
        <v>Distant large acute epidural hematoma after closed cerebrospinal fluid tapping through the anterior fontanelle: A case report and its pathogenesis</v>
      </c>
      <c r="B652" s="5" t="str">
        <f>IFERROR(__xludf.DUMMYFUNCTION("LEFT(FILTER(IMPORTRANGE(""https://docs.google.com/spreadsheets/d/1BJSV3WBYJGRhQ6zExamkszQ5VutGIcaQqmbD9ZTVXMQ/edit#gid=1251630045"",""articles_with_PRISMA_reasons!K2:K2113""), $A652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$A652=IMPORTRANGE(""https://docs.google.com/spreadsheets/d/1BJSV3WBYJGRhQ6zExamkszQ5VutGIcaQqmbD9ZTVXMQ/edit#gid=1251630045"",""articles_with_PRISMA_reasons!B2:B2113"")))-1)"),"Ezzat")</f>
        <v>Ezzat</v>
      </c>
      <c r="C652" s="6">
        <f>IFERROR(__xludf.DUMMYFUNCTION("FILTER(IMPORTRANGE(""https://docs.google.com/spreadsheets/d/1BJSV3WBYJGRhQ6zExamkszQ5VutGIcaQqmbD9ZTVXMQ/edit#gid=1251630045"",""articles_with_PRISMA_reasons!C2:C2113""), $A652=IMPORTRANGE(""https://docs.google.com/spreadsheets/d/1BJSV3WBYJGRhQ6zExamkszQ5"&amp;"VutGIcaQqmbD9ZTVXMQ/edit#gid=1251630045"",""articles_with_PRISMA_reasons!B2:B2113""))"),2021.0)</f>
        <v>2021</v>
      </c>
      <c r="D652" s="5" t="str">
        <f>IFERROR(__xludf.DUMMYFUNCTION("IFS(AND(
FILTER(IMPORTRANGE(""https://docs.google.com/spreadsheets/d/1BJSV3WBYJGRhQ6zExamkszQ5VutGIcaQqmbD9ZTVXMQ/edit#gid=1251630045"",""articles_with_PRISMA_reasons!Y2:Y2113""), $A652=IMPORTRANGE(""https://docs.google.com/spreadsheets/d/1BJSV3WBYJGRhQ6z"&amp;"ExamkszQ5VutGIcaQqmbD9ZTVXMQ/edit#gid=1251630045"",""articles_with_PRISMA_reasons!B2:B2113""))&gt;=2,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$A652=IMPORTRANGE(""https://docs.google.com/spreadsheets/d/1BJSV3WBYJGRhQ6zExamkszQ5VutGIcaQqmbD9ZTVXMQ/edit#gid=1251630045"",""articles_with_PRISMA_reasons!B2:B2113""))&lt;2),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$A652=IMPORTRANGE(""https://docs.google.com/spreadsheets/d/1BJSV3WBYJGRhQ6zExamkszQ5VutGIcaQqmbD9ZTVXMQ/edit#gid=1251630045"",""arti"&amp;"cles_with_PRISMA_reasons!B2:B2113""))&lt;2,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$A652=IMPORTRANGE(""https://docs.google.com"&amp;"/spreadsheets/d/1BJSV3WBYJGRhQ6zExamkszQ5VutGIcaQqmbD9ZTVXMQ/edit#gid=1251630045"",""articles_with_PRISMA_reasons!B2:B2113""))&gt;=2),
""Exclude""
)"),"Exclude")</f>
        <v>Exclude</v>
      </c>
      <c r="E652" s="5" t="str">
        <f>IFERROR(__xludf.DUMMYFUNCTION("IFS(
D652=""Exclude"",""Exclude"",
AND(
FILTER(IMPORTRANGE(""https://docs.google.com/spreadsheets/d/1qpEmbGH0JjaJbUdp21-y2cPbobDbMjr09BbtdKROZWc/edit#gid=1444865654"",""articles_with_PRISMA_reasons!W2:W2113""), $A652=IMPORTRANGE(""https://docs.google.com/"&amp;"spreadsheets/d/1qpEmbGH0JjaJbUdp21-y2cPbobDbMjr09BbtdKROZWc/edit#gid=1444865654"",""articles_with_PRISMA_reasons!B2:B2113""))&gt;=2,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$A652=IMPORTRANGE(""https://docs.google.com/spreadsheets/d/1qpEmbGH0JjaJbUdp21-y2cPbobDbMjr09BbtdKROZWc/edit#gid=1444865654"",""articles_with_PRISMA_reasons!B2:B2113""))&lt;2),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$A652=IMPORTRANGE(""https://docs.google.com/spreadsheets/d/1qpEmbGH0JjaJbUdp21-y2cPbobDbMjr09BbtdKRO"&amp;"ZWc/edit#gid=1444865654"",""articles_with_PRISMA_reasons!B2:B2113""))&lt;2,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$A652=IMPOR"&amp;"TRANGE(""https://docs.google.com/spreadsheets/d/1qpEmbGH0JjaJbUdp21-y2cPbobDbMjr09BbtdKROZWc/edit#gid=1444865654"",""articles_with_PRISMA_reasons!B2:B2113""))&gt;=2),
""Exclude""
)"),"Exclude")</f>
        <v>Exclude</v>
      </c>
      <c r="F652" s="5" t="str">
        <f>IFERROR(__xludf.DUMMYFUNCTION("IFS(
E652=""Exclude"",""Exclude"",
AND(
COUNTIF(
IMPORTRANGE(""https://docs.google.com/spreadsheets/d/1kGrh75X1cNR1D7_FcY9zMnHP8iPO4M5RCRjy6nZY0TY/edit#gid=0"",""Table 1: Study characteristics!B4:B171""),A652)&gt;0,
COUNTIF(Studies!$A$2:$A$85,FILTER(IMPORTRA"&amp;"NGE(""https://docs.google.com/spreadsheets/d/1kGrh75X1cNR1D7_FcY9zMnHP8iPO4M5RCRjy6nZY0TY/edit#gid=0"",""Table 1: Study characteristics!A4:A171""), $A652=IMPORTRANGE(""https://docs.google.com/spreadsheets/d/1kGrh75X1cNR1D7_FcY9zMnHP8iPO4M5RCRjy6nZY0TY/edi"&amp;"t#gid=0"",""Table 1: Study characteristics!B4:B171"")))&gt;0
),
""Include""
)"),"Exclude")</f>
        <v>Exclude</v>
      </c>
      <c r="G652" s="5" t="str">
        <f>IFERROR(__xludf.DUMMYFUNCTION("IFS(
D652=""Exclude"",
FILTER(IMPORTRANGE(""https://docs.google.com/spreadsheets/d/1BJSV3WBYJGRhQ6zExamkszQ5VutGIcaQqmbD9ZTVXMQ/edit#gid=1251630045"",""articles_with_PRISMA_reasons!AB2:AB2113""), $A652=IMPORTRANGE(""https://docs.google.com/spreadsheets/d/"&amp;"1BJSV3WBYJGRhQ6zExamkszQ5VutGIcaQqmbD9ZTVXMQ/edit#gid=1251630045"",""articles_with_PRISMA_reasons!B2:B2113"")),
E652=""Exclude"",
FILTER(IMPORTRANGE(""https://docs.google.com/spreadsheets/d/1qpEmbGH0JjaJbUdp21-y2cPbobDbMjr09BbtdKROZWc/edit#gid=1444865654"&amp;""",""articles_with_PRISMA_reasons!Z2:Z2113""), $A652=IMPORTRANGE(""https://docs.google.com/spreadsheets/d/1qpEmbGH0JjaJbUdp21-y2cPbobDbMjr09BbtdKROZWc/edit#gid=1444865654"",""articles_with_PRISMA_reasons!B2:B2113"")),F652
=""Include"",FILTER(IMPORTRANGE("&amp;"""https://docs.google.com/spreadsheets/d/1kGrh75X1cNR1D7_FcY9zMnHP8iPO4M5RCRjy6nZY0TY/edit#gid=0"",""Table 1: Study characteristics!A4:A171""), $A652=IMPORTRANGE(""https://docs.google.com/spreadsheets/d/1kGrh75X1cNR1D7_FcY9zMnHP8iPO4M5RCRjy6nZY0TY/edit#gi"&amp;"d=0"",""Table 1: Study characteristics!B4:B171""))
)"),"wrong publication type")</f>
        <v>wrong publication type</v>
      </c>
    </row>
    <row r="653">
      <c r="A653" s="4" t="str">
        <f>IFERROR(__xludf.DUMMYFUNCTION("""COMPUTED_VALUE"""),"Dizygotic opposite-sex twins with surgically repaired concordant myelomeningocele conceived by in vitro fertilization using intracytoplasmic sperm injection: a case report and review of the literature")</f>
        <v>Dizygotic opposite-sex twins with surgically repaired concordant myelomeningocele conceived by in vitro fertilization using intracytoplasmic sperm injection: a case report and review of the literature</v>
      </c>
      <c r="B653" s="5" t="str">
        <f>IFERROR(__xludf.DUMMYFUNCTION("LEFT(FILTER(IMPORTRANGE(""https://docs.google.com/spreadsheets/d/1BJSV3WBYJGRhQ6zExamkszQ5VutGIcaQqmbD9ZTVXMQ/edit#gid=1251630045"",""articles_with_PRISMA_reasons!K2:K2113""), $A653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$A653=IMPORTRANGE(""https://docs.google.com/spreadsheets/d/1BJSV3WBYJGRhQ6zExamkszQ5VutGIcaQqmbD9ZTVXMQ/edit#gid=1251630045"",""articles_with_PRISMA_reasons!B2:B2113"")))-1)"),"Stricker")</f>
        <v>Stricker</v>
      </c>
      <c r="C653" s="6">
        <f>IFERROR(__xludf.DUMMYFUNCTION("FILTER(IMPORTRANGE(""https://docs.google.com/spreadsheets/d/1BJSV3WBYJGRhQ6zExamkszQ5VutGIcaQqmbD9ZTVXMQ/edit#gid=1251630045"",""articles_with_PRISMA_reasons!C2:C2113""), $A653=IMPORTRANGE(""https://docs.google.com/spreadsheets/d/1BJSV3WBYJGRhQ6zExamkszQ5"&amp;"VutGIcaQqmbD9ZTVXMQ/edit#gid=1251630045"",""articles_with_PRISMA_reasons!B2:B2113""))"),2019.0)</f>
        <v>2019</v>
      </c>
      <c r="D653" s="5" t="str">
        <f>IFERROR(__xludf.DUMMYFUNCTION("IFS(AND(
FILTER(IMPORTRANGE(""https://docs.google.com/spreadsheets/d/1BJSV3WBYJGRhQ6zExamkszQ5VutGIcaQqmbD9ZTVXMQ/edit#gid=1251630045"",""articles_with_PRISMA_reasons!Y2:Y2113""), $A653=IMPORTRANGE(""https://docs.google.com/spreadsheets/d/1BJSV3WBYJGRhQ6z"&amp;"ExamkszQ5VutGIcaQqmbD9ZTVXMQ/edit#gid=1251630045"",""articles_with_PRISMA_reasons!B2:B2113""))&gt;=2,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$A653=IMPORTRANGE(""https://docs.google.com/spreadsheets/d/1BJSV3WBYJGRhQ6zExamkszQ5VutGIcaQqmbD9ZTVXMQ/edit#gid=1251630045"",""articles_with_PRISMA_reasons!B2:B2113""))&lt;2),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$A653=IMPORTRANGE(""https://docs.google.com/spreadsheets/d/1BJSV3WBYJGRhQ6zExamkszQ5VutGIcaQqmbD9ZTVXMQ/edit#gid=1251630045"",""arti"&amp;"cles_with_PRISMA_reasons!B2:B2113""))&lt;2,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$A653=IMPORTRANGE(""https://docs.google.com"&amp;"/spreadsheets/d/1BJSV3WBYJGRhQ6zExamkszQ5VutGIcaQqmbD9ZTVXMQ/edit#gid=1251630045"",""articles_with_PRISMA_reasons!B2:B2113""))&gt;=2),
""Exclude""
)"),"Exclude")</f>
        <v>Exclude</v>
      </c>
      <c r="E653" s="5" t="str">
        <f>IFERROR(__xludf.DUMMYFUNCTION("IFS(
D653=""Exclude"",""Exclude"",
AND(
FILTER(IMPORTRANGE(""https://docs.google.com/spreadsheets/d/1qpEmbGH0JjaJbUdp21-y2cPbobDbMjr09BbtdKROZWc/edit#gid=1444865654"",""articles_with_PRISMA_reasons!W2:W2113""), $A653=IMPORTRANGE(""https://docs.google.com/"&amp;"spreadsheets/d/1qpEmbGH0JjaJbUdp21-y2cPbobDbMjr09BbtdKROZWc/edit#gid=1444865654"",""articles_with_PRISMA_reasons!B2:B2113""))&gt;=2,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$A653=IMPORTRANGE(""https://docs.google.com/spreadsheets/d/1qpEmbGH0JjaJbUdp21-y2cPbobDbMjr09BbtdKROZWc/edit#gid=1444865654"",""articles_with_PRISMA_reasons!B2:B2113""))&lt;2),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$A653=IMPORTRANGE(""https://docs.google.com/spreadsheets/d/1qpEmbGH0JjaJbUdp21-y2cPbobDbMjr09BbtdKRO"&amp;"ZWc/edit#gid=1444865654"",""articles_with_PRISMA_reasons!B2:B2113""))&lt;2,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$A653=IMPOR"&amp;"TRANGE(""https://docs.google.com/spreadsheets/d/1qpEmbGH0JjaJbUdp21-y2cPbobDbMjr09BbtdKROZWc/edit#gid=1444865654"",""articles_with_PRISMA_reasons!B2:B2113""))&gt;=2),
""Exclude""
)"),"Exclude")</f>
        <v>Exclude</v>
      </c>
      <c r="F653" s="5" t="str">
        <f>IFERROR(__xludf.DUMMYFUNCTION("IFS(
E653=""Exclude"",""Exclude"",
AND(
COUNTIF(
IMPORTRANGE(""https://docs.google.com/spreadsheets/d/1kGrh75X1cNR1D7_FcY9zMnHP8iPO4M5RCRjy6nZY0TY/edit#gid=0"",""Table 1: Study characteristics!B4:B171""),A653)&gt;0,
COUNTIF(Studies!$A$2:$A$85,FILTER(IMPORTRA"&amp;"NGE(""https://docs.google.com/spreadsheets/d/1kGrh75X1cNR1D7_FcY9zMnHP8iPO4M5RCRjy6nZY0TY/edit#gid=0"",""Table 1: Study characteristics!A4:A171""), $A653=IMPORTRANGE(""https://docs.google.com/spreadsheets/d/1kGrh75X1cNR1D7_FcY9zMnHP8iPO4M5RCRjy6nZY0TY/edi"&amp;"t#gid=0"",""Table 1: Study characteristics!B4:B171"")))&gt;0
),
""Include""
)"),"Exclude")</f>
        <v>Exclude</v>
      </c>
      <c r="G653" s="5" t="str">
        <f>IFERROR(__xludf.DUMMYFUNCTION("IFS(
D653=""Exclude"",
FILTER(IMPORTRANGE(""https://docs.google.com/spreadsheets/d/1BJSV3WBYJGRhQ6zExamkszQ5VutGIcaQqmbD9ZTVXMQ/edit#gid=1251630045"",""articles_with_PRISMA_reasons!AB2:AB2113""), $A653=IMPORTRANGE(""https://docs.google.com/spreadsheets/d/"&amp;"1BJSV3WBYJGRhQ6zExamkszQ5VutGIcaQqmbD9ZTVXMQ/edit#gid=1251630045"",""articles_with_PRISMA_reasons!B2:B2113"")),
E653=""Exclude"",
FILTER(IMPORTRANGE(""https://docs.google.com/spreadsheets/d/1qpEmbGH0JjaJbUdp21-y2cPbobDbMjr09BbtdKROZWc/edit#gid=1444865654"&amp;""",""articles_with_PRISMA_reasons!Z2:Z2113""), $A653=IMPORTRANGE(""https://docs.google.com/spreadsheets/d/1qpEmbGH0JjaJbUdp21-y2cPbobDbMjr09BbtdKROZWc/edit#gid=1444865654"",""articles_with_PRISMA_reasons!B2:B2113"")),F653
=""Include"",FILTER(IMPORTRANGE("&amp;"""https://docs.google.com/spreadsheets/d/1kGrh75X1cNR1D7_FcY9zMnHP8iPO4M5RCRjy6nZY0TY/edit#gid=0"",""Table 1: Study characteristics!A4:A171""), $A653=IMPORTRANGE(""https://docs.google.com/spreadsheets/d/1kGrh75X1cNR1D7_FcY9zMnHP8iPO4M5RCRjy6nZY0TY/edit#gi"&amp;"d=0"",""Table 1: Study characteristics!B4:B171""))
)"),"wrong publication type")</f>
        <v>wrong publication type</v>
      </c>
    </row>
    <row r="654">
      <c r="A654" s="4" t="str">
        <f>IFERROR(__xludf.DUMMYFUNCTION("""COMPUTED_VALUE"""),"Dizygotic twins with myelomeningocele")</f>
        <v>Dizygotic twins with myelomeningocele</v>
      </c>
      <c r="B654" s="5" t="str">
        <f>IFERROR(__xludf.DUMMYFUNCTION("LEFT(FILTER(IMPORTRANGE(""https://docs.google.com/spreadsheets/d/1BJSV3WBYJGRhQ6zExamkszQ5VutGIcaQqmbD9ZTVXMQ/edit#gid=1251630045"",""articles_with_PRISMA_reasons!K2:K2113""), $A654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$A654=IMPORTRANGE(""https://docs.google.com/spreadsheets/d/1BJSV3WBYJGRhQ6zExamkszQ5VutGIcaQqmbD9ZTVXMQ/edit#gid=1251630045"",""articles_with_PRISMA_reasons!B2:B2113"")))-1)"),"Das")</f>
        <v>Das</v>
      </c>
      <c r="C654" s="6">
        <f>IFERROR(__xludf.DUMMYFUNCTION("FILTER(IMPORTRANGE(""https://docs.google.com/spreadsheets/d/1BJSV3WBYJGRhQ6zExamkszQ5VutGIcaQqmbD9ZTVXMQ/edit#gid=1251630045"",""articles_with_PRISMA_reasons!C2:C2113""), $A654=IMPORTRANGE(""https://docs.google.com/spreadsheets/d/1BJSV3WBYJGRhQ6zExamkszQ5"&amp;"VutGIcaQqmbD9ZTVXMQ/edit#gid=1251630045"",""articles_with_PRISMA_reasons!B2:B2113""))"),2003.0)</f>
        <v>2003</v>
      </c>
      <c r="D654" s="5" t="str">
        <f>IFERROR(__xludf.DUMMYFUNCTION("IFS(AND(
FILTER(IMPORTRANGE(""https://docs.google.com/spreadsheets/d/1BJSV3WBYJGRhQ6zExamkszQ5VutGIcaQqmbD9ZTVXMQ/edit#gid=1251630045"",""articles_with_PRISMA_reasons!Y2:Y2113""), $A654=IMPORTRANGE(""https://docs.google.com/spreadsheets/d/1BJSV3WBYJGRhQ6z"&amp;"ExamkszQ5VutGIcaQqmbD9ZTVXMQ/edit#gid=1251630045"",""articles_with_PRISMA_reasons!B2:B2113""))&gt;=2,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$A654=IMPORTRANGE(""https://docs.google.com/spreadsheets/d/1BJSV3WBYJGRhQ6zExamkszQ5VutGIcaQqmbD9ZTVXMQ/edit#gid=1251630045"",""articles_with_PRISMA_reasons!B2:B2113""))&lt;2),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$A654=IMPORTRANGE(""https://docs.google.com/spreadsheets/d/1BJSV3WBYJGRhQ6zExamkszQ5VutGIcaQqmbD9ZTVXMQ/edit#gid=1251630045"",""arti"&amp;"cles_with_PRISMA_reasons!B2:B2113""))&lt;2,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$A654=IMPORTRANGE(""https://docs.google.com"&amp;"/spreadsheets/d/1BJSV3WBYJGRhQ6zExamkszQ5VutGIcaQqmbD9ZTVXMQ/edit#gid=1251630045"",""articles_with_PRISMA_reasons!B2:B2113""))&gt;=2),
""Exclude""
)"),"Exclude")</f>
        <v>Exclude</v>
      </c>
      <c r="E654" s="5" t="str">
        <f>IFERROR(__xludf.DUMMYFUNCTION("IFS(
D654=""Exclude"",""Exclude"",
AND(
FILTER(IMPORTRANGE(""https://docs.google.com/spreadsheets/d/1qpEmbGH0JjaJbUdp21-y2cPbobDbMjr09BbtdKROZWc/edit#gid=1444865654"",""articles_with_PRISMA_reasons!W2:W2113""), $A654=IMPORTRANGE(""https://docs.google.com/"&amp;"spreadsheets/d/1qpEmbGH0JjaJbUdp21-y2cPbobDbMjr09BbtdKROZWc/edit#gid=1444865654"",""articles_with_PRISMA_reasons!B2:B2113""))&gt;=2,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$A654=IMPORTRANGE(""https://docs.google.com/spreadsheets/d/1qpEmbGH0JjaJbUdp21-y2cPbobDbMjr09BbtdKROZWc/edit#gid=1444865654"",""articles_with_PRISMA_reasons!B2:B2113""))&lt;2),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$A654=IMPORTRANGE(""https://docs.google.com/spreadsheets/d/1qpEmbGH0JjaJbUdp21-y2cPbobDbMjr09BbtdKRO"&amp;"ZWc/edit#gid=1444865654"",""articles_with_PRISMA_reasons!B2:B2113""))&lt;2,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$A654=IMPOR"&amp;"TRANGE(""https://docs.google.com/spreadsheets/d/1qpEmbGH0JjaJbUdp21-y2cPbobDbMjr09BbtdKROZWc/edit#gid=1444865654"",""articles_with_PRISMA_reasons!B2:B2113""))&gt;=2),
""Exclude""
)"),"Exclude")</f>
        <v>Exclude</v>
      </c>
      <c r="F654" s="5" t="str">
        <f>IFERROR(__xludf.DUMMYFUNCTION("IFS(
E654=""Exclude"",""Exclude"",
AND(
COUNTIF(
IMPORTRANGE(""https://docs.google.com/spreadsheets/d/1kGrh75X1cNR1D7_FcY9zMnHP8iPO4M5RCRjy6nZY0TY/edit#gid=0"",""Table 1: Study characteristics!B4:B171""),A654)&gt;0,
COUNTIF(Studies!$A$2:$A$85,FILTER(IMPORTRA"&amp;"NGE(""https://docs.google.com/spreadsheets/d/1kGrh75X1cNR1D7_FcY9zMnHP8iPO4M5RCRjy6nZY0TY/edit#gid=0"",""Table 1: Study characteristics!A4:A171""), $A654=IMPORTRANGE(""https://docs.google.com/spreadsheets/d/1kGrh75X1cNR1D7_FcY9zMnHP8iPO4M5RCRjy6nZY0TY/edi"&amp;"t#gid=0"",""Table 1: Study characteristics!B4:B171"")))&gt;0
),
""Include""
)"),"Exclude")</f>
        <v>Exclude</v>
      </c>
      <c r="G654" s="5" t="str">
        <f>IFERROR(__xludf.DUMMYFUNCTION("IFS(
D654=""Exclude"",
FILTER(IMPORTRANGE(""https://docs.google.com/spreadsheets/d/1BJSV3WBYJGRhQ6zExamkszQ5VutGIcaQqmbD9ZTVXMQ/edit#gid=1251630045"",""articles_with_PRISMA_reasons!AB2:AB2113""), $A654=IMPORTRANGE(""https://docs.google.com/spreadsheets/d/"&amp;"1BJSV3WBYJGRhQ6zExamkszQ5VutGIcaQqmbD9ZTVXMQ/edit#gid=1251630045"",""articles_with_PRISMA_reasons!B2:B2113"")),
E654=""Exclude"",
FILTER(IMPORTRANGE(""https://docs.google.com/spreadsheets/d/1qpEmbGH0JjaJbUdp21-y2cPbobDbMjr09BbtdKROZWc/edit#gid=1444865654"&amp;""",""articles_with_PRISMA_reasons!Z2:Z2113""), $A654=IMPORTRANGE(""https://docs.google.com/spreadsheets/d/1qpEmbGH0JjaJbUdp21-y2cPbobDbMjr09BbtdKROZWc/edit#gid=1444865654"",""articles_with_PRISMA_reasons!B2:B2113"")),F654
=""Include"",FILTER(IMPORTRANGE("&amp;"""https://docs.google.com/spreadsheets/d/1kGrh75X1cNR1D7_FcY9zMnHP8iPO4M5RCRjy6nZY0TY/edit#gid=0"",""Table 1: Study characteristics!A4:A171""), $A654=IMPORTRANGE(""https://docs.google.com/spreadsheets/d/1kGrh75X1cNR1D7_FcY9zMnHP8iPO4M5RCRjy6nZY0TY/edit#gi"&amp;"d=0"",""Table 1: Study characteristics!B4:B171""))
)"),"wrong publication type")</f>
        <v>wrong publication type</v>
      </c>
    </row>
    <row r="655">
      <c r="A655" s="4" t="str">
        <f>IFERROR(__xludf.DUMMYFUNCTION("""COMPUTED_VALUE"""),"Do children with myelomeningocele and hydrocephalus display nonverbal learning disabilities? An empirical approach to classification")</f>
        <v>Do children with myelomeningocele and hydrocephalus display nonverbal learning disabilities? An empirical approach to classification</v>
      </c>
      <c r="B655" s="5" t="str">
        <f>IFERROR(__xludf.DUMMYFUNCTION("LEFT(FILTER(IMPORTRANGE(""https://docs.google.com/spreadsheets/d/1BJSV3WBYJGRhQ6zExamkszQ5VutGIcaQqmbD9ZTVXMQ/edit#gid=1251630045"",""articles_with_PRISMA_reasons!K2:K2113""), $A655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$A655=IMPORTRANGE(""https://docs.google.com/spreadsheets/d/1BJSV3WBYJGRhQ6zExamkszQ5VutGIcaQqmbD9ZTVXMQ/edit#gid=1251630045"",""articles_with_PRISMA_reasons!B2:B2113"")))-1)"),"Yeates")</f>
        <v>Yeates</v>
      </c>
      <c r="C655" s="6">
        <f>IFERROR(__xludf.DUMMYFUNCTION("FILTER(IMPORTRANGE(""https://docs.google.com/spreadsheets/d/1BJSV3WBYJGRhQ6zExamkszQ5VutGIcaQqmbD9ZTVXMQ/edit#gid=1251630045"",""articles_with_PRISMA_reasons!C2:C2113""), $A655=IMPORTRANGE(""https://docs.google.com/spreadsheets/d/1BJSV3WBYJGRhQ6zExamkszQ5"&amp;"VutGIcaQqmbD9ZTVXMQ/edit#gid=1251630045"",""articles_with_PRISMA_reasons!B2:B2113""))"),2003.0)</f>
        <v>2003</v>
      </c>
      <c r="D655" s="5" t="str">
        <f>IFERROR(__xludf.DUMMYFUNCTION("IFS(AND(
FILTER(IMPORTRANGE(""https://docs.google.com/spreadsheets/d/1BJSV3WBYJGRhQ6zExamkszQ5VutGIcaQqmbD9ZTVXMQ/edit#gid=1251630045"",""articles_with_PRISMA_reasons!Y2:Y2113""), $A655=IMPORTRANGE(""https://docs.google.com/spreadsheets/d/1BJSV3WBYJGRhQ6z"&amp;"ExamkszQ5VutGIcaQqmbD9ZTVXMQ/edit#gid=1251630045"",""articles_with_PRISMA_reasons!B2:B2113""))&gt;=2,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$A655=IMPORTRANGE(""https://docs.google.com/spreadsheets/d/1BJSV3WBYJGRhQ6zExamkszQ5VutGIcaQqmbD9ZTVXMQ/edit#gid=1251630045"",""articles_with_PRISMA_reasons!B2:B2113""))&lt;2),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$A655=IMPORTRANGE(""https://docs.google.com/spreadsheets/d/1BJSV3WBYJGRhQ6zExamkszQ5VutGIcaQqmbD9ZTVXMQ/edit#gid=1251630045"",""arti"&amp;"cles_with_PRISMA_reasons!B2:B2113""))&lt;2,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$A655=IMPORTRANGE(""https://docs.google.com"&amp;"/spreadsheets/d/1BJSV3WBYJGRhQ6zExamkszQ5VutGIcaQqmbD9ZTVXMQ/edit#gid=1251630045"",""articles_with_PRISMA_reasons!B2:B2113""))&gt;=2),
""Exclude""
)"),"Exclude")</f>
        <v>Exclude</v>
      </c>
      <c r="E655" s="5" t="str">
        <f>IFERROR(__xludf.DUMMYFUNCTION("IFS(
D655=""Exclude"",""Exclude"",
AND(
FILTER(IMPORTRANGE(""https://docs.google.com/spreadsheets/d/1qpEmbGH0JjaJbUdp21-y2cPbobDbMjr09BbtdKROZWc/edit#gid=1444865654"",""articles_with_PRISMA_reasons!W2:W2113""), $A655=IMPORTRANGE(""https://docs.google.com/"&amp;"spreadsheets/d/1qpEmbGH0JjaJbUdp21-y2cPbobDbMjr09BbtdKROZWc/edit#gid=1444865654"",""articles_with_PRISMA_reasons!B2:B2113""))&gt;=2,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$A655=IMPORTRANGE(""https://docs.google.com/spreadsheets/d/1qpEmbGH0JjaJbUdp21-y2cPbobDbMjr09BbtdKROZWc/edit#gid=1444865654"",""articles_with_PRISMA_reasons!B2:B2113""))&lt;2),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$A655=IMPORTRANGE(""https://docs.google.com/spreadsheets/d/1qpEmbGH0JjaJbUdp21-y2cPbobDbMjr09BbtdKRO"&amp;"ZWc/edit#gid=1444865654"",""articles_with_PRISMA_reasons!B2:B2113""))&lt;2,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$A655=IMPOR"&amp;"TRANGE(""https://docs.google.com/spreadsheets/d/1qpEmbGH0JjaJbUdp21-y2cPbobDbMjr09BbtdKROZWc/edit#gid=1444865654"",""articles_with_PRISMA_reasons!B2:B2113""))&gt;=2),
""Exclude""
)"),"Exclude")</f>
        <v>Exclude</v>
      </c>
      <c r="F655" s="5" t="str">
        <f>IFERROR(__xludf.DUMMYFUNCTION("IFS(
E655=""Exclude"",""Exclude"",
AND(
COUNTIF(
IMPORTRANGE(""https://docs.google.com/spreadsheets/d/1kGrh75X1cNR1D7_FcY9zMnHP8iPO4M5RCRjy6nZY0TY/edit#gid=0"",""Table 1: Study characteristics!B4:B171""),A655)&gt;0,
COUNTIF(Studies!$A$2:$A$85,FILTER(IMPORTRA"&amp;"NGE(""https://docs.google.com/spreadsheets/d/1kGrh75X1cNR1D7_FcY9zMnHP8iPO4M5RCRjy6nZY0TY/edit#gid=0"",""Table 1: Study characteristics!A4:A171""), $A655=IMPORTRANGE(""https://docs.google.com/spreadsheets/d/1kGrh75X1cNR1D7_FcY9zMnHP8iPO4M5RCRjy6nZY0TY/edi"&amp;"t#gid=0"",""Table 1: Study characteristics!B4:B171"")))&gt;0
),
""Include""
)"),"Exclude")</f>
        <v>Exclude</v>
      </c>
      <c r="G655" s="5" t="str">
        <f>IFERROR(__xludf.DUMMYFUNCTION("IFS(
D655=""Exclude"",
FILTER(IMPORTRANGE(""https://docs.google.com/spreadsheets/d/1BJSV3WBYJGRhQ6zExamkszQ5VutGIcaQqmbD9ZTVXMQ/edit#gid=1251630045"",""articles_with_PRISMA_reasons!AB2:AB2113""), $A655=IMPORTRANGE(""https://docs.google.com/spreadsheets/d/"&amp;"1BJSV3WBYJGRhQ6zExamkszQ5VutGIcaQqmbD9ZTVXMQ/edit#gid=1251630045"",""articles_with_PRISMA_reasons!B2:B2113"")),
E655=""Exclude"",
FILTER(IMPORTRANGE(""https://docs.google.com/spreadsheets/d/1qpEmbGH0JjaJbUdp21-y2cPbobDbMjr09BbtdKROZWc/edit#gid=1444865654"&amp;""",""articles_with_PRISMA_reasons!Z2:Z2113""), $A655=IMPORTRANGE(""https://docs.google.com/spreadsheets/d/1qpEmbGH0JjaJbUdp21-y2cPbobDbMjr09BbtdKROZWc/edit#gid=1444865654"",""articles_with_PRISMA_reasons!B2:B2113"")),F655
=""Include"",FILTER(IMPORTRANGE("&amp;"""https://docs.google.com/spreadsheets/d/1kGrh75X1cNR1D7_FcY9zMnHP8iPO4M5RCRjy6nZY0TY/edit#gid=0"",""Table 1: Study characteristics!A4:A171""), $A655=IMPORTRANGE(""https://docs.google.com/spreadsheets/d/1kGrh75X1cNR1D7_FcY9zMnHP8iPO4M5RCRjy6nZY0TY/edit#gi"&amp;"d=0"",""Table 1: Study characteristics!B4:B171""))
)"),"wrong population")</f>
        <v>wrong population</v>
      </c>
    </row>
    <row r="656">
      <c r="A656" s="4" t="str">
        <f>IFERROR(__xludf.DUMMYFUNCTION("""COMPUTED_VALUE"""),"Do grip and pinch strength predict neurologic complications in children with spina bifida and hydrocephalus?")</f>
        <v>Do grip and pinch strength predict neurologic complications in children with spina bifida and hydrocephalus?</v>
      </c>
      <c r="B656" s="5" t="str">
        <f>IFERROR(__xludf.DUMMYFUNCTION("LEFT(FILTER(IMPORTRANGE(""https://docs.google.com/spreadsheets/d/1BJSV3WBYJGRhQ6zExamkszQ5VutGIcaQqmbD9ZTVXMQ/edit#gid=1251630045"",""articles_with_PRISMA_reasons!K2:K2113""), $A656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$A656=IMPORTRANGE(""https://docs.google.com/spreadsheets/d/1BJSV3WBYJGRhQ6zExamkszQ5VutGIcaQqmbD9ZTVXMQ/edit#gid=1251630045"",""articles_with_PRISMA_reasons!B2:B2113"")))-1)"),"Fried")</f>
        <v>Fried</v>
      </c>
      <c r="C656" s="6">
        <f>IFERROR(__xludf.DUMMYFUNCTION("FILTER(IMPORTRANGE(""https://docs.google.com/spreadsheets/d/1BJSV3WBYJGRhQ6zExamkszQ5VutGIcaQqmbD9ZTVXMQ/edit#gid=1251630045"",""articles_with_PRISMA_reasons!C2:C2113""), $A656=IMPORTRANGE(""https://docs.google.com/spreadsheets/d/1BJSV3WBYJGRhQ6zExamkszQ5"&amp;"VutGIcaQqmbD9ZTVXMQ/edit#gid=1251630045"",""articles_with_PRISMA_reasons!B2:B2113""))"),2006.0)</f>
        <v>2006</v>
      </c>
      <c r="D656" s="5" t="str">
        <f>IFERROR(__xludf.DUMMYFUNCTION("IFS(AND(
FILTER(IMPORTRANGE(""https://docs.google.com/spreadsheets/d/1BJSV3WBYJGRhQ6zExamkszQ5VutGIcaQqmbD9ZTVXMQ/edit#gid=1251630045"",""articles_with_PRISMA_reasons!Y2:Y2113""), $A656=IMPORTRANGE(""https://docs.google.com/spreadsheets/d/1BJSV3WBYJGRhQ6z"&amp;"ExamkszQ5VutGIcaQqmbD9ZTVXMQ/edit#gid=1251630045"",""articles_with_PRISMA_reasons!B2:B2113""))&gt;=2,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$A656=IMPORTRANGE(""https://docs.google.com/spreadsheets/d/1BJSV3WBYJGRhQ6zExamkszQ5VutGIcaQqmbD9ZTVXMQ/edit#gid=1251630045"",""articles_with_PRISMA_reasons!B2:B2113""))&lt;2),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$A656=IMPORTRANGE(""https://docs.google.com/spreadsheets/d/1BJSV3WBYJGRhQ6zExamkszQ5VutGIcaQqmbD9ZTVXMQ/edit#gid=1251630045"",""arti"&amp;"cles_with_PRISMA_reasons!B2:B2113""))&lt;2,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$A656=IMPORTRANGE(""https://docs.google.com"&amp;"/spreadsheets/d/1BJSV3WBYJGRhQ6zExamkszQ5VutGIcaQqmbD9ZTVXMQ/edit#gid=1251630045"",""articles_with_PRISMA_reasons!B2:B2113""))&gt;=2),
""Exclude""
)"),"Include")</f>
        <v>Include</v>
      </c>
      <c r="E656" s="5" t="str">
        <f>IFERROR(__xludf.DUMMYFUNCTION("IFS(
D656=""Exclude"",""Exclude"",
AND(
FILTER(IMPORTRANGE(""https://docs.google.com/spreadsheets/d/1qpEmbGH0JjaJbUdp21-y2cPbobDbMjr09BbtdKROZWc/edit#gid=1444865654"",""articles_with_PRISMA_reasons!W2:W2113""), $A656=IMPORTRANGE(""https://docs.google.com/"&amp;"spreadsheets/d/1qpEmbGH0JjaJbUdp21-y2cPbobDbMjr09BbtdKROZWc/edit#gid=1444865654"",""articles_with_PRISMA_reasons!B2:B2113""))&gt;=2,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$A656=IMPORTRANGE(""https://docs.google.com/spreadsheets/d/1qpEmbGH0JjaJbUdp21-y2cPbobDbMjr09BbtdKROZWc/edit#gid=1444865654"",""articles_with_PRISMA_reasons!B2:B2113""))&lt;2),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$A656=IMPORTRANGE(""https://docs.google.com/spreadsheets/d/1qpEmbGH0JjaJbUdp21-y2cPbobDbMjr09BbtdKRO"&amp;"ZWc/edit#gid=1444865654"",""articles_with_PRISMA_reasons!B2:B2113""))&lt;2,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$A656=IMPOR"&amp;"TRANGE(""https://docs.google.com/spreadsheets/d/1qpEmbGH0JjaJbUdp21-y2cPbobDbMjr09BbtdKROZWc/edit#gid=1444865654"",""articles_with_PRISMA_reasons!B2:B2113""))&gt;=2),
""Exclude""
)"),"Include")</f>
        <v>Include</v>
      </c>
      <c r="F656" s="2" t="s">
        <v>8</v>
      </c>
      <c r="G656" s="2" t="s">
        <v>16</v>
      </c>
    </row>
    <row r="657">
      <c r="A657" s="4" t="str">
        <f>IFERROR(__xludf.DUMMYFUNCTION("""COMPUTED_VALUE"""),"Does growth hormone (GH) enhance growth in GH-deficient children with myelomeningocele?")</f>
        <v>Does growth hormone (GH) enhance growth in GH-deficient children with myelomeningocele?</v>
      </c>
      <c r="B657" s="5" t="str">
        <f>IFERROR(__xludf.DUMMYFUNCTION("LEFT(FILTER(IMPORTRANGE(""https://docs.google.com/spreadsheets/d/1BJSV3WBYJGRhQ6zExamkszQ5VutGIcaQqmbD9ZTVXMQ/edit#gid=1251630045"",""articles_with_PRISMA_reasons!K2:K2113""), $A657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$A657=IMPORTRANGE(""https://docs.google.com/spreadsheets/d/1BJSV3WBYJGRhQ6zExamkszQ5VutGIcaQqmbD9ZTVXMQ/edit#gid=1251630045"",""articles_with_PRISMA_reasons!B2:B2113"")))-1)"),"Trollmann")</f>
        <v>Trollmann</v>
      </c>
      <c r="C657" s="6">
        <f>IFERROR(__xludf.DUMMYFUNCTION("FILTER(IMPORTRANGE(""https://docs.google.com/spreadsheets/d/1BJSV3WBYJGRhQ6zExamkszQ5VutGIcaQqmbD9ZTVXMQ/edit#gid=1251630045"",""articles_with_PRISMA_reasons!C2:C2113""), $A657=IMPORTRANGE(""https://docs.google.com/spreadsheets/d/1BJSV3WBYJGRhQ6zExamkszQ5"&amp;"VutGIcaQqmbD9ZTVXMQ/edit#gid=1251630045"",""articles_with_PRISMA_reasons!B2:B2113""))"),2000.0)</f>
        <v>2000</v>
      </c>
      <c r="D657" s="5" t="str">
        <f>IFERROR(__xludf.DUMMYFUNCTION("IFS(AND(
FILTER(IMPORTRANGE(""https://docs.google.com/spreadsheets/d/1BJSV3WBYJGRhQ6zExamkszQ5VutGIcaQqmbD9ZTVXMQ/edit#gid=1251630045"",""articles_with_PRISMA_reasons!Y2:Y2113""), $A657=IMPORTRANGE(""https://docs.google.com/spreadsheets/d/1BJSV3WBYJGRhQ6z"&amp;"ExamkszQ5VutGIcaQqmbD9ZTVXMQ/edit#gid=1251630045"",""articles_with_PRISMA_reasons!B2:B2113""))&gt;=2,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$A657=IMPORTRANGE(""https://docs.google.com/spreadsheets/d/1BJSV3WBYJGRhQ6zExamkszQ5VutGIcaQqmbD9ZTVXMQ/edit#gid=1251630045"",""articles_with_PRISMA_reasons!B2:B2113""))&lt;2),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$A657=IMPORTRANGE(""https://docs.google.com/spreadsheets/d/1BJSV3WBYJGRhQ6zExamkszQ5VutGIcaQqmbD9ZTVXMQ/edit#gid=1251630045"",""arti"&amp;"cles_with_PRISMA_reasons!B2:B2113""))&lt;2,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$A657=IMPORTRANGE(""https://docs.google.com"&amp;"/spreadsheets/d/1BJSV3WBYJGRhQ6zExamkszQ5VutGIcaQqmbD9ZTVXMQ/edit#gid=1251630045"",""articles_with_PRISMA_reasons!B2:B2113""))&gt;=2),
""Exclude""
)"),"Exclude")</f>
        <v>Exclude</v>
      </c>
      <c r="E657" s="5" t="str">
        <f>IFERROR(__xludf.DUMMYFUNCTION("IFS(
D657=""Exclude"",""Exclude"",
AND(
FILTER(IMPORTRANGE(""https://docs.google.com/spreadsheets/d/1qpEmbGH0JjaJbUdp21-y2cPbobDbMjr09BbtdKROZWc/edit#gid=1444865654"",""articles_with_PRISMA_reasons!W2:W2113""), $A657=IMPORTRANGE(""https://docs.google.com/"&amp;"spreadsheets/d/1qpEmbGH0JjaJbUdp21-y2cPbobDbMjr09BbtdKROZWc/edit#gid=1444865654"",""articles_with_PRISMA_reasons!B2:B2113""))&gt;=2,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$A657=IMPORTRANGE(""https://docs.google.com/spreadsheets/d/1qpEmbGH0JjaJbUdp21-y2cPbobDbMjr09BbtdKROZWc/edit#gid=1444865654"",""articles_with_PRISMA_reasons!B2:B2113""))&lt;2),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$A657=IMPORTRANGE(""https://docs.google.com/spreadsheets/d/1qpEmbGH0JjaJbUdp21-y2cPbobDbMjr09BbtdKRO"&amp;"ZWc/edit#gid=1444865654"",""articles_with_PRISMA_reasons!B2:B2113""))&lt;2,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$A657=IMPOR"&amp;"TRANGE(""https://docs.google.com/spreadsheets/d/1qpEmbGH0JjaJbUdp21-y2cPbobDbMjr09BbtdKROZWc/edit#gid=1444865654"",""articles_with_PRISMA_reasons!B2:B2113""))&gt;=2),
""Exclude""
)"),"Exclude")</f>
        <v>Exclude</v>
      </c>
      <c r="F657" s="5" t="str">
        <f>IFERROR(__xludf.DUMMYFUNCTION("IFS(
E657=""Exclude"",""Exclude"",
AND(
COUNTIF(
IMPORTRANGE(""https://docs.google.com/spreadsheets/d/1kGrh75X1cNR1D7_FcY9zMnHP8iPO4M5RCRjy6nZY0TY/edit#gid=0"",""Table 1: Study characteristics!B4:B171""),A657)&gt;0,
COUNTIF(Studies!$A$2:$A$85,FILTER(IMPORTRA"&amp;"NGE(""https://docs.google.com/spreadsheets/d/1kGrh75X1cNR1D7_FcY9zMnHP8iPO4M5RCRjy6nZY0TY/edit#gid=0"",""Table 1: Study characteristics!A4:A171""), $A657=IMPORTRANGE(""https://docs.google.com/spreadsheets/d/1kGrh75X1cNR1D7_FcY9zMnHP8iPO4M5RCRjy6nZY0TY/edi"&amp;"t#gid=0"",""Table 1: Study characteristics!B4:B171"")))&gt;0
),
""Include""
)"),"Exclude")</f>
        <v>Exclude</v>
      </c>
      <c r="G657" s="5" t="str">
        <f>IFERROR(__xludf.DUMMYFUNCTION("IFS(
D657=""Exclude"",
FILTER(IMPORTRANGE(""https://docs.google.com/spreadsheets/d/1BJSV3WBYJGRhQ6zExamkszQ5VutGIcaQqmbD9ZTVXMQ/edit#gid=1251630045"",""articles_with_PRISMA_reasons!AB2:AB2113""), $A657=IMPORTRANGE(""https://docs.google.com/spreadsheets/d/"&amp;"1BJSV3WBYJGRhQ6zExamkszQ5VutGIcaQqmbD9ZTVXMQ/edit#gid=1251630045"",""articles_with_PRISMA_reasons!B2:B2113"")),
E657=""Exclude"",
FILTER(IMPORTRANGE(""https://docs.google.com/spreadsheets/d/1qpEmbGH0JjaJbUdp21-y2cPbobDbMjr09BbtdKROZWc/edit#gid=1444865654"&amp;""",""articles_with_PRISMA_reasons!Z2:Z2113""), $A657=IMPORTRANGE(""https://docs.google.com/spreadsheets/d/1qpEmbGH0JjaJbUdp21-y2cPbobDbMjr09BbtdKROZWc/edit#gid=1444865654"",""articles_with_PRISMA_reasons!B2:B2113"")),F657
=""Include"",FILTER(IMPORTRANGE("&amp;"""https://docs.google.com/spreadsheets/d/1kGrh75X1cNR1D7_FcY9zMnHP8iPO4M5RCRjy6nZY0TY/edit#gid=0"",""Table 1: Study characteristics!A4:A171""), $A657=IMPORTRANGE(""https://docs.google.com/spreadsheets/d/1kGrh75X1cNR1D7_FcY9zMnHP8iPO4M5RCRjy6nZY0TY/edit#gi"&amp;"d=0"",""Table 1: Study characteristics!B4:B171""))
)"),"wrong population")</f>
        <v>wrong population</v>
      </c>
    </row>
    <row r="658">
      <c r="A658" s="4" t="str">
        <f>IFERROR(__xludf.DUMMYFUNCTION("""COMPUTED_VALUE"""),"Does locomotion improve the cognitive profile of children with meningomyelocele?")</f>
        <v>Does locomotion improve the cognitive profile of children with meningomyelocele?</v>
      </c>
      <c r="B658" s="5" t="str">
        <f>IFERROR(__xludf.DUMMYFUNCTION("LEFT(FILTER(IMPORTRANGE(""https://docs.google.com/spreadsheets/d/1BJSV3WBYJGRhQ6zExamkszQ5VutGIcaQqmbD9ZTVXMQ/edit#gid=1251630045"",""articles_with_PRISMA_reasons!K2:K2113""), $A658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$A658=IMPORTRANGE(""https://docs.google.com/spreadsheets/d/1BJSV3WBYJGRhQ6zExamkszQ5VutGIcaQqmbD9ZTVXMQ/edit#gid=1251630045"",""articles_with_PRISMA_reasons!B2:B2113"")))-1)"),"Rendeli")</f>
        <v>Rendeli</v>
      </c>
      <c r="C658" s="6">
        <f>IFERROR(__xludf.DUMMYFUNCTION("FILTER(IMPORTRANGE(""https://docs.google.com/spreadsheets/d/1BJSV3WBYJGRhQ6zExamkszQ5VutGIcaQqmbD9ZTVXMQ/edit#gid=1251630045"",""articles_with_PRISMA_reasons!C2:C2113""), $A658=IMPORTRANGE(""https://docs.google.com/spreadsheets/d/1BJSV3WBYJGRhQ6zExamkszQ5"&amp;"VutGIcaQqmbD9ZTVXMQ/edit#gid=1251630045"",""articles_with_PRISMA_reasons!B2:B2113""))"),2002.0)</f>
        <v>2002</v>
      </c>
      <c r="D658" s="5" t="str">
        <f>IFERROR(__xludf.DUMMYFUNCTION("IFS(AND(
FILTER(IMPORTRANGE(""https://docs.google.com/spreadsheets/d/1BJSV3WBYJGRhQ6zExamkszQ5VutGIcaQqmbD9ZTVXMQ/edit#gid=1251630045"",""articles_with_PRISMA_reasons!Y2:Y2113""), $A658=IMPORTRANGE(""https://docs.google.com/spreadsheets/d/1BJSV3WBYJGRhQ6z"&amp;"ExamkszQ5VutGIcaQqmbD9ZTVXMQ/edit#gid=1251630045"",""articles_with_PRISMA_reasons!B2:B2113""))&gt;=2,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$A658=IMPORTRANGE(""https://docs.google.com/spreadsheets/d/1BJSV3WBYJGRhQ6zExamkszQ5VutGIcaQqmbD9ZTVXMQ/edit#gid=1251630045"",""articles_with_PRISMA_reasons!B2:B2113""))&lt;2),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$A658=IMPORTRANGE(""https://docs.google.com/spreadsheets/d/1BJSV3WBYJGRhQ6zExamkszQ5VutGIcaQqmbD9ZTVXMQ/edit#gid=1251630045"",""arti"&amp;"cles_with_PRISMA_reasons!B2:B2113""))&lt;2,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$A658=IMPORTRANGE(""https://docs.google.com"&amp;"/spreadsheets/d/1BJSV3WBYJGRhQ6zExamkszQ5VutGIcaQqmbD9ZTVXMQ/edit#gid=1251630045"",""articles_with_PRISMA_reasons!B2:B2113""))&gt;=2),
""Exclude""
)"),"Include")</f>
        <v>Include</v>
      </c>
      <c r="E658" s="5" t="str">
        <f>IFERROR(__xludf.DUMMYFUNCTION("IFS(
D658=""Exclude"",""Exclude"",
AND(
FILTER(IMPORTRANGE(""https://docs.google.com/spreadsheets/d/1qpEmbGH0JjaJbUdp21-y2cPbobDbMjr09BbtdKROZWc/edit#gid=1444865654"",""articles_with_PRISMA_reasons!W2:W2113""), $A658=IMPORTRANGE(""https://docs.google.com/"&amp;"spreadsheets/d/1qpEmbGH0JjaJbUdp21-y2cPbobDbMjr09BbtdKROZWc/edit#gid=1444865654"",""articles_with_PRISMA_reasons!B2:B2113""))&gt;=2,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$A658=IMPORTRANGE(""https://docs.google.com/spreadsheets/d/1qpEmbGH0JjaJbUdp21-y2cPbobDbMjr09BbtdKROZWc/edit#gid=1444865654"",""articles_with_PRISMA_reasons!B2:B2113""))&lt;2),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$A658=IMPORTRANGE(""https://docs.google.com/spreadsheets/d/1qpEmbGH0JjaJbUdp21-y2cPbobDbMjr09BbtdKRO"&amp;"ZWc/edit#gid=1444865654"",""articles_with_PRISMA_reasons!B2:B2113""))&lt;2,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$A658=IMPOR"&amp;"TRANGE(""https://docs.google.com/spreadsheets/d/1qpEmbGH0JjaJbUdp21-y2cPbobDbMjr09BbtdKROZWc/edit#gid=1444865654"",""articles_with_PRISMA_reasons!B2:B2113""))&gt;=2),
""Exclude""
)"),"Include")</f>
        <v>Include</v>
      </c>
      <c r="F658" s="5" t="str">
        <f>IFERROR(__xludf.DUMMYFUNCTION("IFS(
E658=""Exclude"",""Exclude"",
AND(
COUNTIF(
IMPORTRANGE(""https://docs.google.com/spreadsheets/d/1kGrh75X1cNR1D7_FcY9zMnHP8iPO4M5RCRjy6nZY0TY/edit#gid=0"",""Table 1: Study characteristics!B4:B171""),A658)&gt;0,
COUNTIF(Studies!$A$2:$A$85,FILTER(IMPORTRA"&amp;"NGE(""https://docs.google.com/spreadsheets/d/1kGrh75X1cNR1D7_FcY9zMnHP8iPO4M5RCRjy6nZY0TY/edit#gid=0"",""Table 1: Study characteristics!A4:A171""), $A658=IMPORTRANGE(""https://docs.google.com/spreadsheets/d/1kGrh75X1cNR1D7_FcY9zMnHP8iPO4M5RCRjy6nZY0TY/edi"&amp;"t#gid=0"",""Table 1: Study characteristics!B4:B171"")))&gt;0
),
""Include""
)"),"Include")</f>
        <v>Include</v>
      </c>
      <c r="G658" s="5" t="str">
        <f>IFERROR(__xludf.DUMMYFUNCTION("IFS(
D658=""Exclude"",
FILTER(IMPORTRANGE(""https://docs.google.com/spreadsheets/d/1BJSV3WBYJGRhQ6zExamkszQ5VutGIcaQqmbD9ZTVXMQ/edit#gid=1251630045"",""articles_with_PRISMA_reasons!AB2:AB2113""), $A658=IMPORTRANGE(""https://docs.google.com/spreadsheets/d/"&amp;"1BJSV3WBYJGRhQ6zExamkszQ5VutGIcaQqmbD9ZTVXMQ/edit#gid=1251630045"",""articles_with_PRISMA_reasons!B2:B2113"")),
E658=""Exclude"",
FILTER(IMPORTRANGE(""https://docs.google.com/spreadsheets/d/1qpEmbGH0JjaJbUdp21-y2cPbobDbMjr09BbtdKROZWc/edit#gid=1444865654"&amp;""",""articles_with_PRISMA_reasons!Z2:Z2113""), $A658=IMPORTRANGE(""https://docs.google.com/spreadsheets/d/1qpEmbGH0JjaJbUdp21-y2cPbobDbMjr09BbtdKROZWc/edit#gid=1444865654"",""articles_with_PRISMA_reasons!B2:B2113"")),F658
=""Include"",FILTER(IMPORTRANGE("&amp;"""https://docs.google.com/spreadsheets/d/1kGrh75X1cNR1D7_FcY9zMnHP8iPO4M5RCRjy6nZY0TY/edit#gid=0"",""Table 1: Study characteristics!A4:A171""), $A658=IMPORTRANGE(""https://docs.google.com/spreadsheets/d/1kGrh75X1cNR1D7_FcY9zMnHP8iPO4M5RCRjy6nZY0TY/edit#gi"&amp;"d=0"",""Table 1: Study characteristics!B4:B171""))
)"),"ID 51")</f>
        <v>ID 51</v>
      </c>
    </row>
    <row r="659">
      <c r="A659" s="4" t="str">
        <f>IFERROR(__xludf.DUMMYFUNCTION("""COMPUTED_VALUE"""),"Does Shunt Selection Affect the Rate of Early Shunt Complications in Neonatal Myelomeningocele-Associated Hydrocephalus? A Multi-Center Study")</f>
        <v>Does Shunt Selection Affect the Rate of Early Shunt Complications in Neonatal Myelomeningocele-Associated Hydrocephalus? A Multi-Center Study</v>
      </c>
      <c r="B659" s="5" t="str">
        <f>IFERROR(__xludf.DUMMYFUNCTION("LEFT(FILTER(IMPORTRANGE(""https://docs.google.com/spreadsheets/d/1BJSV3WBYJGRhQ6zExamkszQ5VutGIcaQqmbD9ZTVXMQ/edit#gid=1251630045"",""articles_with_PRISMA_reasons!K2:K2113""), $A659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$A659=IMPORTRANGE(""https://docs.google.com/spreadsheets/d/1BJSV3WBYJGRhQ6zExamkszQ5VutGIcaQqmbD9ZTVXMQ/edit#gid=1251630045"",""articles_with_PRISMA_reasons!B2:B2113"")))-1)"),"Kahilogullari")</f>
        <v>Kahilogullari</v>
      </c>
      <c r="C659" s="6">
        <f>IFERROR(__xludf.DUMMYFUNCTION("FILTER(IMPORTRANGE(""https://docs.google.com/spreadsheets/d/1BJSV3WBYJGRhQ6zExamkszQ5VutGIcaQqmbD9ZTVXMQ/edit#gid=1251630045"",""articles_with_PRISMA_reasons!C2:C2113""), $A659=IMPORTRANGE(""https://docs.google.com/spreadsheets/d/1BJSV3WBYJGRhQ6zExamkszQ5"&amp;"VutGIcaQqmbD9ZTVXMQ/edit#gid=1251630045"",""articles_with_PRISMA_reasons!B2:B2113""))"),2018.0)</f>
        <v>2018</v>
      </c>
      <c r="D659" s="5" t="str">
        <f>IFERROR(__xludf.DUMMYFUNCTION("IFS(AND(
FILTER(IMPORTRANGE(""https://docs.google.com/spreadsheets/d/1BJSV3WBYJGRhQ6zExamkszQ5VutGIcaQqmbD9ZTVXMQ/edit#gid=1251630045"",""articles_with_PRISMA_reasons!Y2:Y2113""), $A659=IMPORTRANGE(""https://docs.google.com/spreadsheets/d/1BJSV3WBYJGRhQ6z"&amp;"ExamkszQ5VutGIcaQqmbD9ZTVXMQ/edit#gid=1251630045"",""articles_with_PRISMA_reasons!B2:B2113""))&gt;=2,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$A659=IMPORTRANGE(""https://docs.google.com/spreadsheets/d/1BJSV3WBYJGRhQ6zExamkszQ5VutGIcaQqmbD9ZTVXMQ/edit#gid=1251630045"",""articles_with_PRISMA_reasons!B2:B2113""))&lt;2),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$A659=IMPORTRANGE(""https://docs.google.com/spreadsheets/d/1BJSV3WBYJGRhQ6zExamkszQ5VutGIcaQqmbD9ZTVXMQ/edit#gid=1251630045"",""arti"&amp;"cles_with_PRISMA_reasons!B2:B2113""))&lt;2,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$A659=IMPORTRANGE(""https://docs.google.com"&amp;"/spreadsheets/d/1BJSV3WBYJGRhQ6zExamkszQ5VutGIcaQqmbD9ZTVXMQ/edit#gid=1251630045"",""articles_with_PRISMA_reasons!B2:B2113""))&gt;=2),
""Exclude""
)"),"Include")</f>
        <v>Include</v>
      </c>
      <c r="E659" s="5" t="str">
        <f>IFERROR(__xludf.DUMMYFUNCTION("IFS(
D659=""Exclude"",""Exclude"",
AND(
FILTER(IMPORTRANGE(""https://docs.google.com/spreadsheets/d/1qpEmbGH0JjaJbUdp21-y2cPbobDbMjr09BbtdKROZWc/edit#gid=1444865654"",""articles_with_PRISMA_reasons!W2:W2113""), $A659=IMPORTRANGE(""https://docs.google.com/"&amp;"spreadsheets/d/1qpEmbGH0JjaJbUdp21-y2cPbobDbMjr09BbtdKROZWc/edit#gid=1444865654"",""articles_with_PRISMA_reasons!B2:B2113""))&gt;=2,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$A659=IMPORTRANGE(""https://docs.google.com/spreadsheets/d/1qpEmbGH0JjaJbUdp21-y2cPbobDbMjr09BbtdKROZWc/edit#gid=1444865654"",""articles_with_PRISMA_reasons!B2:B2113""))&lt;2),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$A659=IMPORTRANGE(""https://docs.google.com/spreadsheets/d/1qpEmbGH0JjaJbUdp21-y2cPbobDbMjr09BbtdKRO"&amp;"ZWc/edit#gid=1444865654"",""articles_with_PRISMA_reasons!B2:B2113""))&lt;2,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$A659=IMPOR"&amp;"TRANGE(""https://docs.google.com/spreadsheets/d/1qpEmbGH0JjaJbUdp21-y2cPbobDbMjr09BbtdKROZWc/edit#gid=1444865654"",""articles_with_PRISMA_reasons!B2:B2113""))&gt;=2),
""Exclude""
)"),"Include")</f>
        <v>Include</v>
      </c>
      <c r="F659" s="5" t="str">
        <f>IFERROR(__xludf.DUMMYFUNCTION("IFS(
E659=""Exclude"",""Exclude"",
AND(
COUNTIF(
IMPORTRANGE(""https://docs.google.com/spreadsheets/d/1kGrh75X1cNR1D7_FcY9zMnHP8iPO4M5RCRjy6nZY0TY/edit#gid=0"",""Table 1: Study characteristics!B4:B171""),A659)&gt;0,
COUNTIF(Studies!$A$2:$A$85,FILTER(IMPORTRA"&amp;"NGE(""https://docs.google.com/spreadsheets/d/1kGrh75X1cNR1D7_FcY9zMnHP8iPO4M5RCRjy6nZY0TY/edit#gid=0"",""Table 1: Study characteristics!A4:A171""), $A659=IMPORTRANGE(""https://docs.google.com/spreadsheets/d/1kGrh75X1cNR1D7_FcY9zMnHP8iPO4M5RCRjy6nZY0TY/edi"&amp;"t#gid=0"",""Table 1: Study characteristics!B4:B171"")))&gt;0
),
""Include""
)"),"Include")</f>
        <v>Include</v>
      </c>
      <c r="G659" s="5" t="str">
        <f>IFERROR(__xludf.DUMMYFUNCTION("IFS(
D659=""Exclude"",
FILTER(IMPORTRANGE(""https://docs.google.com/spreadsheets/d/1BJSV3WBYJGRhQ6zExamkszQ5VutGIcaQqmbD9ZTVXMQ/edit#gid=1251630045"",""articles_with_PRISMA_reasons!AB2:AB2113""), $A659=IMPORTRANGE(""https://docs.google.com/spreadsheets/d/"&amp;"1BJSV3WBYJGRhQ6zExamkszQ5VutGIcaQqmbD9ZTVXMQ/edit#gid=1251630045"",""articles_with_PRISMA_reasons!B2:B2113"")),
E659=""Exclude"",
FILTER(IMPORTRANGE(""https://docs.google.com/spreadsheets/d/1qpEmbGH0JjaJbUdp21-y2cPbobDbMjr09BbtdKROZWc/edit#gid=1444865654"&amp;""",""articles_with_PRISMA_reasons!Z2:Z2113""), $A659=IMPORTRANGE(""https://docs.google.com/spreadsheets/d/1qpEmbGH0JjaJbUdp21-y2cPbobDbMjr09BbtdKROZWc/edit#gid=1444865654"",""articles_with_PRISMA_reasons!B2:B2113"")),F659
=""Include"",FILTER(IMPORTRANGE("&amp;"""https://docs.google.com/spreadsheets/d/1kGrh75X1cNR1D7_FcY9zMnHP8iPO4M5RCRjy6nZY0TY/edit#gid=0"",""Table 1: Study characteristics!A4:A171""), $A659=IMPORTRANGE(""https://docs.google.com/spreadsheets/d/1kGrh75X1cNR1D7_FcY9zMnHP8iPO4M5RCRjy6nZY0TY/edit#gi"&amp;"d=0"",""Table 1: Study characteristics!B4:B171""))
)"),"ID 52")</f>
        <v>ID 52</v>
      </c>
    </row>
    <row r="660">
      <c r="A660" s="4" t="str">
        <f>IFERROR(__xludf.DUMMYFUNCTION("""COMPUTED_VALUE"""),"Double meningomyelocele: Unusual case")</f>
        <v>Double meningomyelocele: Unusual case</v>
      </c>
      <c r="B660" s="5" t="str">
        <f>IFERROR(__xludf.DUMMYFUNCTION("LEFT(FILTER(IMPORTRANGE(""https://docs.google.com/spreadsheets/d/1BJSV3WBYJGRhQ6zExamkszQ5VutGIcaQqmbD9ZTVXMQ/edit#gid=1251630045"",""articles_with_PRISMA_reasons!K2:K2113""), $A660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$A660=IMPORTRANGE(""https://docs.google.com/spreadsheets/d/1BJSV3WBYJGRhQ6zExamkszQ5VutGIcaQqmbD9ZTVXMQ/edit#gid=1251630045"",""articles_with_PRISMA_reasons!B2:B2113"")))-1)"),"Abuzayed")</f>
        <v>Abuzayed</v>
      </c>
      <c r="C660" s="6">
        <f>IFERROR(__xludf.DUMMYFUNCTION("FILTER(IMPORTRANGE(""https://docs.google.com/spreadsheets/d/1BJSV3WBYJGRhQ6zExamkszQ5VutGIcaQqmbD9ZTVXMQ/edit#gid=1251630045"",""articles_with_PRISMA_reasons!C2:C2113""), $A660=IMPORTRANGE(""https://docs.google.com/spreadsheets/d/1BJSV3WBYJGRhQ6zExamkszQ5"&amp;"VutGIcaQqmbD9ZTVXMQ/edit#gid=1251630045"",""articles_with_PRISMA_reasons!B2:B2113""))"),2015.0)</f>
        <v>2015</v>
      </c>
      <c r="D660" s="5" t="str">
        <f>IFERROR(__xludf.DUMMYFUNCTION("IFS(AND(
FILTER(IMPORTRANGE(""https://docs.google.com/spreadsheets/d/1BJSV3WBYJGRhQ6zExamkszQ5VutGIcaQqmbD9ZTVXMQ/edit#gid=1251630045"",""articles_with_PRISMA_reasons!Y2:Y2113""), $A660=IMPORTRANGE(""https://docs.google.com/spreadsheets/d/1BJSV3WBYJGRhQ6z"&amp;"ExamkszQ5VutGIcaQqmbD9ZTVXMQ/edit#gid=1251630045"",""articles_with_PRISMA_reasons!B2:B2113""))&gt;=2,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$A660=IMPORTRANGE(""https://docs.google.com/spreadsheets/d/1BJSV3WBYJGRhQ6zExamkszQ5VutGIcaQqmbD9ZTVXMQ/edit#gid=1251630045"",""articles_with_PRISMA_reasons!B2:B2113""))&lt;2),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$A660=IMPORTRANGE(""https://docs.google.com/spreadsheets/d/1BJSV3WBYJGRhQ6zExamkszQ5VutGIcaQqmbD9ZTVXMQ/edit#gid=1251630045"",""arti"&amp;"cles_with_PRISMA_reasons!B2:B2113""))&lt;2,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$A660=IMPORTRANGE(""https://docs.google.com"&amp;"/spreadsheets/d/1BJSV3WBYJGRhQ6zExamkszQ5VutGIcaQqmbD9ZTVXMQ/edit#gid=1251630045"",""articles_with_PRISMA_reasons!B2:B2113""))&gt;=2),
""Exclude""
)"),"Exclude")</f>
        <v>Exclude</v>
      </c>
      <c r="E660" s="5" t="str">
        <f>IFERROR(__xludf.DUMMYFUNCTION("IFS(
D660=""Exclude"",""Exclude"",
AND(
FILTER(IMPORTRANGE(""https://docs.google.com/spreadsheets/d/1qpEmbGH0JjaJbUdp21-y2cPbobDbMjr09BbtdKROZWc/edit#gid=1444865654"",""articles_with_PRISMA_reasons!W2:W2113""), $A660=IMPORTRANGE(""https://docs.google.com/"&amp;"spreadsheets/d/1qpEmbGH0JjaJbUdp21-y2cPbobDbMjr09BbtdKROZWc/edit#gid=1444865654"",""articles_with_PRISMA_reasons!B2:B2113""))&gt;=2,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$A660=IMPORTRANGE(""https://docs.google.com/spreadsheets/d/1qpEmbGH0JjaJbUdp21-y2cPbobDbMjr09BbtdKROZWc/edit#gid=1444865654"",""articles_with_PRISMA_reasons!B2:B2113""))&lt;2),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$A660=IMPORTRANGE(""https://docs.google.com/spreadsheets/d/1qpEmbGH0JjaJbUdp21-y2cPbobDbMjr09BbtdKRO"&amp;"ZWc/edit#gid=1444865654"",""articles_with_PRISMA_reasons!B2:B2113""))&lt;2,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$A660=IMPOR"&amp;"TRANGE(""https://docs.google.com/spreadsheets/d/1qpEmbGH0JjaJbUdp21-y2cPbobDbMjr09BbtdKROZWc/edit#gid=1444865654"",""articles_with_PRISMA_reasons!B2:B2113""))&gt;=2),
""Exclude""
)"),"Exclude")</f>
        <v>Exclude</v>
      </c>
      <c r="F660" s="5" t="str">
        <f>IFERROR(__xludf.DUMMYFUNCTION("IFS(
E660=""Exclude"",""Exclude"",
AND(
COUNTIF(
IMPORTRANGE(""https://docs.google.com/spreadsheets/d/1kGrh75X1cNR1D7_FcY9zMnHP8iPO4M5RCRjy6nZY0TY/edit#gid=0"",""Table 1: Study characteristics!B4:B171""),A660)&gt;0,
COUNTIF(Studies!$A$2:$A$85,FILTER(IMPORTRA"&amp;"NGE(""https://docs.google.com/spreadsheets/d/1kGrh75X1cNR1D7_FcY9zMnHP8iPO4M5RCRjy6nZY0TY/edit#gid=0"",""Table 1: Study characteristics!A4:A171""), $A660=IMPORTRANGE(""https://docs.google.com/spreadsheets/d/1kGrh75X1cNR1D7_FcY9zMnHP8iPO4M5RCRjy6nZY0TY/edi"&amp;"t#gid=0"",""Table 1: Study characteristics!B4:B171"")))&gt;0
),
""Include""
)"),"Exclude")</f>
        <v>Exclude</v>
      </c>
      <c r="G660" s="5" t="str">
        <f>IFERROR(__xludf.DUMMYFUNCTION("IFS(
D660=""Exclude"",
FILTER(IMPORTRANGE(""https://docs.google.com/spreadsheets/d/1BJSV3WBYJGRhQ6zExamkszQ5VutGIcaQqmbD9ZTVXMQ/edit#gid=1251630045"",""articles_with_PRISMA_reasons!AB2:AB2113""), $A660=IMPORTRANGE(""https://docs.google.com/spreadsheets/d/"&amp;"1BJSV3WBYJGRhQ6zExamkszQ5VutGIcaQqmbD9ZTVXMQ/edit#gid=1251630045"",""articles_with_PRISMA_reasons!B2:B2113"")),
E660=""Exclude"",
FILTER(IMPORTRANGE(""https://docs.google.com/spreadsheets/d/1qpEmbGH0JjaJbUdp21-y2cPbobDbMjr09BbtdKROZWc/edit#gid=1444865654"&amp;""",""articles_with_PRISMA_reasons!Z2:Z2113""), $A660=IMPORTRANGE(""https://docs.google.com/spreadsheets/d/1qpEmbGH0JjaJbUdp21-y2cPbobDbMjr09BbtdKROZWc/edit#gid=1444865654"",""articles_with_PRISMA_reasons!B2:B2113"")),F660
=""Include"",FILTER(IMPORTRANGE("&amp;"""https://docs.google.com/spreadsheets/d/1kGrh75X1cNR1D7_FcY9zMnHP8iPO4M5RCRjy6nZY0TY/edit#gid=0"",""Table 1: Study characteristics!A4:A171""), $A660=IMPORTRANGE(""https://docs.google.com/spreadsheets/d/1kGrh75X1cNR1D7_FcY9zMnHP8iPO4M5RCRjy6nZY0TY/edit#gi"&amp;"d=0"",""Table 1: Study characteristics!B4:B171""))
)"),"wrong study design")</f>
        <v>wrong study design</v>
      </c>
    </row>
    <row r="661">
      <c r="A661" s="4" t="str">
        <f>IFERROR(__xludf.DUMMYFUNCTION("""COMPUTED_VALUE"""),"Double myelomeningocele in a neonate: Case report and review of the literature")</f>
        <v>Double myelomeningocele in a neonate: Case report and review of the literature</v>
      </c>
      <c r="B661" s="5" t="str">
        <f>IFERROR(__xludf.DUMMYFUNCTION("LEFT(FILTER(IMPORTRANGE(""https://docs.google.com/spreadsheets/d/1BJSV3WBYJGRhQ6zExamkszQ5VutGIcaQqmbD9ZTVXMQ/edit#gid=1251630045"",""articles_with_PRISMA_reasons!K2:K2113""), $A661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$A661=IMPORTRANGE(""https://docs.google.com/spreadsheets/d/1BJSV3WBYJGRhQ6zExamkszQ5VutGIcaQqmbD9ZTVXMQ/edit#gid=1251630045"",""articles_with_PRISMA_reasons!B2:B2113"")))-1)"),"Etus")</f>
        <v>Etus</v>
      </c>
      <c r="C661" s="6">
        <f>IFERROR(__xludf.DUMMYFUNCTION("FILTER(IMPORTRANGE(""https://docs.google.com/spreadsheets/d/1BJSV3WBYJGRhQ6zExamkszQ5VutGIcaQqmbD9ZTVXMQ/edit#gid=1251630045"",""articles_with_PRISMA_reasons!C2:C2113""), $A661=IMPORTRANGE(""https://docs.google.com/spreadsheets/d/1BJSV3WBYJGRhQ6zExamkszQ5"&amp;"VutGIcaQqmbD9ZTVXMQ/edit#gid=1251630045"",""articles_with_PRISMA_reasons!B2:B2113""))"),2006.0)</f>
        <v>2006</v>
      </c>
      <c r="D661" s="5" t="str">
        <f>IFERROR(__xludf.DUMMYFUNCTION("IFS(AND(
FILTER(IMPORTRANGE(""https://docs.google.com/spreadsheets/d/1BJSV3WBYJGRhQ6zExamkszQ5VutGIcaQqmbD9ZTVXMQ/edit#gid=1251630045"",""articles_with_PRISMA_reasons!Y2:Y2113""), $A661=IMPORTRANGE(""https://docs.google.com/spreadsheets/d/1BJSV3WBYJGRhQ6z"&amp;"ExamkszQ5VutGIcaQqmbD9ZTVXMQ/edit#gid=1251630045"",""articles_with_PRISMA_reasons!B2:B2113""))&gt;=2,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$A661=IMPORTRANGE(""https://docs.google.com/spreadsheets/d/1BJSV3WBYJGRhQ6zExamkszQ5VutGIcaQqmbD9ZTVXMQ/edit#gid=1251630045"",""articles_with_PRISMA_reasons!B2:B2113""))&lt;2),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$A661=IMPORTRANGE(""https://docs.google.com/spreadsheets/d/1BJSV3WBYJGRhQ6zExamkszQ5VutGIcaQqmbD9ZTVXMQ/edit#gid=1251630045"",""arti"&amp;"cles_with_PRISMA_reasons!B2:B2113""))&lt;2,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$A661=IMPORTRANGE(""https://docs.google.com"&amp;"/spreadsheets/d/1BJSV3WBYJGRhQ6zExamkszQ5VutGIcaQqmbD9ZTVXMQ/edit#gid=1251630045"",""articles_with_PRISMA_reasons!B2:B2113""))&gt;=2),
""Exclude""
)"),"Exclude")</f>
        <v>Exclude</v>
      </c>
      <c r="E661" s="5" t="str">
        <f>IFERROR(__xludf.DUMMYFUNCTION("IFS(
D661=""Exclude"",""Exclude"",
AND(
FILTER(IMPORTRANGE(""https://docs.google.com/spreadsheets/d/1qpEmbGH0JjaJbUdp21-y2cPbobDbMjr09BbtdKROZWc/edit#gid=1444865654"",""articles_with_PRISMA_reasons!W2:W2113""), $A661=IMPORTRANGE(""https://docs.google.com/"&amp;"spreadsheets/d/1qpEmbGH0JjaJbUdp21-y2cPbobDbMjr09BbtdKROZWc/edit#gid=1444865654"",""articles_with_PRISMA_reasons!B2:B2113""))&gt;=2,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$A661=IMPORTRANGE(""https://docs.google.com/spreadsheets/d/1qpEmbGH0JjaJbUdp21-y2cPbobDbMjr09BbtdKROZWc/edit#gid=1444865654"",""articles_with_PRISMA_reasons!B2:B2113""))&lt;2),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$A661=IMPORTRANGE(""https://docs.google.com/spreadsheets/d/1qpEmbGH0JjaJbUdp21-y2cPbobDbMjr09BbtdKRO"&amp;"ZWc/edit#gid=1444865654"",""articles_with_PRISMA_reasons!B2:B2113""))&lt;2,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$A661=IMPOR"&amp;"TRANGE(""https://docs.google.com/spreadsheets/d/1qpEmbGH0JjaJbUdp21-y2cPbobDbMjr09BbtdKROZWc/edit#gid=1444865654"",""articles_with_PRISMA_reasons!B2:B2113""))&gt;=2),
""Exclude""
)"),"Exclude")</f>
        <v>Exclude</v>
      </c>
      <c r="F661" s="5" t="str">
        <f>IFERROR(__xludf.DUMMYFUNCTION("IFS(
E661=""Exclude"",""Exclude"",
AND(
COUNTIF(
IMPORTRANGE(""https://docs.google.com/spreadsheets/d/1kGrh75X1cNR1D7_FcY9zMnHP8iPO4M5RCRjy6nZY0TY/edit#gid=0"",""Table 1: Study characteristics!B4:B171""),A661)&gt;0,
COUNTIF(Studies!$A$2:$A$85,FILTER(IMPORTRA"&amp;"NGE(""https://docs.google.com/spreadsheets/d/1kGrh75X1cNR1D7_FcY9zMnHP8iPO4M5RCRjy6nZY0TY/edit#gid=0"",""Table 1: Study characteristics!A4:A171""), $A661=IMPORTRANGE(""https://docs.google.com/spreadsheets/d/1kGrh75X1cNR1D7_FcY9zMnHP8iPO4M5RCRjy6nZY0TY/edi"&amp;"t#gid=0"",""Table 1: Study characteristics!B4:B171"")))&gt;0
),
""Include""
)"),"Exclude")</f>
        <v>Exclude</v>
      </c>
      <c r="G661" s="5" t="str">
        <f>IFERROR(__xludf.DUMMYFUNCTION("IFS(
D661=""Exclude"",
FILTER(IMPORTRANGE(""https://docs.google.com/spreadsheets/d/1BJSV3WBYJGRhQ6zExamkszQ5VutGIcaQqmbD9ZTVXMQ/edit#gid=1251630045"",""articles_with_PRISMA_reasons!AB2:AB2113""), $A661=IMPORTRANGE(""https://docs.google.com/spreadsheets/d/"&amp;"1BJSV3WBYJGRhQ6zExamkszQ5VutGIcaQqmbD9ZTVXMQ/edit#gid=1251630045"",""articles_with_PRISMA_reasons!B2:B2113"")),
E661=""Exclude"",
FILTER(IMPORTRANGE(""https://docs.google.com/spreadsheets/d/1qpEmbGH0JjaJbUdp21-y2cPbobDbMjr09BbtdKROZWc/edit#gid=1444865654"&amp;""",""articles_with_PRISMA_reasons!Z2:Z2113""), $A661=IMPORTRANGE(""https://docs.google.com/spreadsheets/d/1qpEmbGH0JjaJbUdp21-y2cPbobDbMjr09BbtdKROZWc/edit#gid=1444865654"",""articles_with_PRISMA_reasons!B2:B2113"")),F661
=""Include"",FILTER(IMPORTRANGE("&amp;"""https://docs.google.com/spreadsheets/d/1kGrh75X1cNR1D7_FcY9zMnHP8iPO4M5RCRjy6nZY0TY/edit#gid=0"",""Table 1: Study characteristics!A4:A171""), $A661=IMPORTRANGE(""https://docs.google.com/spreadsheets/d/1kGrh75X1cNR1D7_FcY9zMnHP8iPO4M5RCRjy6nZY0TY/edit#gi"&amp;"d=0"",""Table 1: Study characteristics!B4:B171""))
)"),"wrong publication type")</f>
        <v>wrong publication type</v>
      </c>
    </row>
    <row r="662">
      <c r="A662" s="4" t="str">
        <f>IFERROR(__xludf.DUMMYFUNCTION("""COMPUTED_VALUE"""),"Double myelomeningocele: case report")</f>
        <v>Double myelomeningocele: case report</v>
      </c>
      <c r="B662" s="5" t="str">
        <f>IFERROR(__xludf.DUMMYFUNCTION("LEFT(FILTER(IMPORTRANGE(""https://docs.google.com/spreadsheets/d/1BJSV3WBYJGRhQ6zExamkszQ5VutGIcaQqmbD9ZTVXMQ/edit#gid=1251630045"",""articles_with_PRISMA_reasons!K2:K2113""), $A662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$A662=IMPORTRANGE(""https://docs.google.com/spreadsheets/d/1BJSV3WBYJGRhQ6zExamkszQ5VutGIcaQqmbD9ZTVXMQ/edit#gid=1251630045"",""articles_with_PRISMA_reasons!B2:B2113"")))-1)"),"Bertal")</f>
        <v>Bertal</v>
      </c>
      <c r="C662" s="6" t="str">
        <f>IFERROR(__xludf.DUMMYFUNCTION("FILTER(IMPORTRANGE(""https://docs.google.com/spreadsheets/d/1BJSV3WBYJGRhQ6zExamkszQ5VutGIcaQqmbD9ZTVXMQ/edit#gid=1251630045"",""articles_with_PRISMA_reasons!C2:C2113""), $A662=IMPORTRANGE(""https://docs.google.com/spreadsheets/d/1BJSV3WBYJGRhQ6zExamkszQ5"&amp;"VutGIcaQqmbD9ZTVXMQ/edit#gid=1251630045"",""articles_with_PRISMA_reasons!B2:B2113""))"),"Jun")</f>
        <v>Jun</v>
      </c>
      <c r="D662" s="5" t="str">
        <f>IFERROR(__xludf.DUMMYFUNCTION("IFS(AND(
FILTER(IMPORTRANGE(""https://docs.google.com/spreadsheets/d/1BJSV3WBYJGRhQ6zExamkszQ5VutGIcaQqmbD9ZTVXMQ/edit#gid=1251630045"",""articles_with_PRISMA_reasons!Y2:Y2113""), $A662=IMPORTRANGE(""https://docs.google.com/spreadsheets/d/1BJSV3WBYJGRhQ6z"&amp;"ExamkszQ5VutGIcaQqmbD9ZTVXMQ/edit#gid=1251630045"",""articles_with_PRISMA_reasons!B2:B2113""))&gt;=2,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$A662=IMPORTRANGE(""https://docs.google.com/spreadsheets/d/1BJSV3WBYJGRhQ6zExamkszQ5VutGIcaQqmbD9ZTVXMQ/edit#gid=1251630045"",""articles_with_PRISMA_reasons!B2:B2113""))&lt;2),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$A662=IMPORTRANGE(""https://docs.google.com/spreadsheets/d/1BJSV3WBYJGRhQ6zExamkszQ5VutGIcaQqmbD9ZTVXMQ/edit#gid=1251630045"",""arti"&amp;"cles_with_PRISMA_reasons!B2:B2113""))&lt;2,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$A662=IMPORTRANGE(""https://docs.google.com"&amp;"/spreadsheets/d/1BJSV3WBYJGRhQ6zExamkszQ5VutGIcaQqmbD9ZTVXMQ/edit#gid=1251630045"",""articles_with_PRISMA_reasons!B2:B2113""))&gt;=2),
""Exclude""
)"),"Exclude")</f>
        <v>Exclude</v>
      </c>
      <c r="E662" s="5" t="str">
        <f>IFERROR(__xludf.DUMMYFUNCTION("IFS(
D662=""Exclude"",""Exclude"",
AND(
FILTER(IMPORTRANGE(""https://docs.google.com/spreadsheets/d/1qpEmbGH0JjaJbUdp21-y2cPbobDbMjr09BbtdKROZWc/edit#gid=1444865654"",""articles_with_PRISMA_reasons!W2:W2113""), $A662=IMPORTRANGE(""https://docs.google.com/"&amp;"spreadsheets/d/1qpEmbGH0JjaJbUdp21-y2cPbobDbMjr09BbtdKROZWc/edit#gid=1444865654"",""articles_with_PRISMA_reasons!B2:B2113""))&gt;=2,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$A662=IMPORTRANGE(""https://docs.google.com/spreadsheets/d/1qpEmbGH0JjaJbUdp21-y2cPbobDbMjr09BbtdKROZWc/edit#gid=1444865654"",""articles_with_PRISMA_reasons!B2:B2113""))&lt;2),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$A662=IMPORTRANGE(""https://docs.google.com/spreadsheets/d/1qpEmbGH0JjaJbUdp21-y2cPbobDbMjr09BbtdKRO"&amp;"ZWc/edit#gid=1444865654"",""articles_with_PRISMA_reasons!B2:B2113""))&lt;2,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$A662=IMPOR"&amp;"TRANGE(""https://docs.google.com/spreadsheets/d/1qpEmbGH0JjaJbUdp21-y2cPbobDbMjr09BbtdKROZWc/edit#gid=1444865654"",""articles_with_PRISMA_reasons!B2:B2113""))&gt;=2),
""Exclude""
)"),"Exclude")</f>
        <v>Exclude</v>
      </c>
      <c r="F662" s="5" t="str">
        <f>IFERROR(__xludf.DUMMYFUNCTION("IFS(
E662=""Exclude"",""Exclude"",
AND(
COUNTIF(
IMPORTRANGE(""https://docs.google.com/spreadsheets/d/1kGrh75X1cNR1D7_FcY9zMnHP8iPO4M5RCRjy6nZY0TY/edit#gid=0"",""Table 1: Study characteristics!B4:B171""),A662)&gt;0,
COUNTIF(Studies!$A$2:$A$85,FILTER(IMPORTRA"&amp;"NGE(""https://docs.google.com/spreadsheets/d/1kGrh75X1cNR1D7_FcY9zMnHP8iPO4M5RCRjy6nZY0TY/edit#gid=0"",""Table 1: Study characteristics!A4:A171""), $A662=IMPORTRANGE(""https://docs.google.com/spreadsheets/d/1kGrh75X1cNR1D7_FcY9zMnHP8iPO4M5RCRjy6nZY0TY/edi"&amp;"t#gid=0"",""Table 1: Study characteristics!B4:B171"")))&gt;0
),
""Include""
)"),"Exclude")</f>
        <v>Exclude</v>
      </c>
      <c r="G662" s="5" t="str">
        <f>IFERROR(__xludf.DUMMYFUNCTION("IFS(
D662=""Exclude"",
FILTER(IMPORTRANGE(""https://docs.google.com/spreadsheets/d/1BJSV3WBYJGRhQ6zExamkszQ5VutGIcaQqmbD9ZTVXMQ/edit#gid=1251630045"",""articles_with_PRISMA_reasons!AB2:AB2113""), $A662=IMPORTRANGE(""https://docs.google.com/spreadsheets/d/"&amp;"1BJSV3WBYJGRhQ6zExamkszQ5VutGIcaQqmbD9ZTVXMQ/edit#gid=1251630045"",""articles_with_PRISMA_reasons!B2:B2113"")),
E662=""Exclude"",
FILTER(IMPORTRANGE(""https://docs.google.com/spreadsheets/d/1qpEmbGH0JjaJbUdp21-y2cPbobDbMjr09BbtdKROZWc/edit#gid=1444865654"&amp;""",""articles_with_PRISMA_reasons!Z2:Z2113""), $A662=IMPORTRANGE(""https://docs.google.com/spreadsheets/d/1qpEmbGH0JjaJbUdp21-y2cPbobDbMjr09BbtdKROZWc/edit#gid=1444865654"",""articles_with_PRISMA_reasons!B2:B2113"")),F662
=""Include"",FILTER(IMPORTRANGE("&amp;"""https://docs.google.com/spreadsheets/d/1kGrh75X1cNR1D7_FcY9zMnHP8iPO4M5RCRjy6nZY0TY/edit#gid=0"",""Table 1: Study characteristics!A4:A171""), $A662=IMPORTRANGE(""https://docs.google.com/spreadsheets/d/1kGrh75X1cNR1D7_FcY9zMnHP8iPO4M5RCRjy6nZY0TY/edit#gi"&amp;"d=0"",""Table 1: Study characteristics!B4:B171""))
)"),"wrong publication type")</f>
        <v>wrong publication type</v>
      </c>
    </row>
    <row r="663">
      <c r="A663" s="4" t="str">
        <f>IFERROR(__xludf.DUMMYFUNCTION("""COMPUTED_VALUE"""),"Double spinal dysraphism. Report of three cases")</f>
        <v>Double spinal dysraphism. Report of three cases</v>
      </c>
      <c r="B663" s="5" t="str">
        <f>IFERROR(__xludf.DUMMYFUNCTION("LEFT(FILTER(IMPORTRANGE(""https://docs.google.com/spreadsheets/d/1BJSV3WBYJGRhQ6zExamkszQ5VutGIcaQqmbD9ZTVXMQ/edit#gid=1251630045"",""articles_with_PRISMA_reasons!K2:K2113""), $A663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$A663=IMPORTRANGE(""https://docs.google.com/spreadsheets/d/1BJSV3WBYJGRhQ6zExamkszQ5VutGIcaQqmbD9ZTVXMQ/edit#gid=1251630045"",""articles_with_PRISMA_reasons!B2:B2113"")))-1)"),"Keshavarzi")</f>
        <v>Keshavarzi</v>
      </c>
      <c r="C663" s="6" t="str">
        <f>IFERROR(__xludf.DUMMYFUNCTION("FILTER(IMPORTRANGE(""https://docs.google.com/spreadsheets/d/1BJSV3WBYJGRhQ6zExamkszQ5VutGIcaQqmbD9ZTVXMQ/edit#gid=1251630045"",""articles_with_PRISMA_reasons!C2:C2113""), $A663=IMPORTRANGE(""https://docs.google.com/spreadsheets/d/1BJSV3WBYJGRhQ6zExamkszQ5"&amp;"VutGIcaQqmbD9ZTVXMQ/edit#gid=1251630045"",""articles_with_PRISMA_reasons!B2:B2113""))"),"Apr")</f>
        <v>Apr</v>
      </c>
      <c r="D663" s="5" t="str">
        <f>IFERROR(__xludf.DUMMYFUNCTION("IFS(AND(
FILTER(IMPORTRANGE(""https://docs.google.com/spreadsheets/d/1BJSV3WBYJGRhQ6zExamkszQ5VutGIcaQqmbD9ZTVXMQ/edit#gid=1251630045"",""articles_with_PRISMA_reasons!Y2:Y2113""), $A663=IMPORTRANGE(""https://docs.google.com/spreadsheets/d/1BJSV3WBYJGRhQ6z"&amp;"ExamkszQ5VutGIcaQqmbD9ZTVXMQ/edit#gid=1251630045"",""articles_with_PRISMA_reasons!B2:B2113""))&gt;=2,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$A663=IMPORTRANGE(""https://docs.google.com/spreadsheets/d/1BJSV3WBYJGRhQ6zExamkszQ5VutGIcaQqmbD9ZTVXMQ/edit#gid=1251630045"",""articles_with_PRISMA_reasons!B2:B2113""))&lt;2),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$A663=IMPORTRANGE(""https://docs.google.com/spreadsheets/d/1BJSV3WBYJGRhQ6zExamkszQ5VutGIcaQqmbD9ZTVXMQ/edit#gid=1251630045"",""arti"&amp;"cles_with_PRISMA_reasons!B2:B2113""))&lt;2,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$A663=IMPORTRANGE(""https://docs.google.com"&amp;"/spreadsheets/d/1BJSV3WBYJGRhQ6zExamkszQ5VutGIcaQqmbD9ZTVXMQ/edit#gid=1251630045"",""articles_with_PRISMA_reasons!B2:B2113""))&gt;=2),
""Exclude""
)"),"Include")</f>
        <v>Include</v>
      </c>
      <c r="E663" s="5" t="str">
        <f>IFERROR(__xludf.DUMMYFUNCTION("IFS(
D663=""Exclude"",""Exclude"",
AND(
FILTER(IMPORTRANGE(""https://docs.google.com/spreadsheets/d/1qpEmbGH0JjaJbUdp21-y2cPbobDbMjr09BbtdKROZWc/edit#gid=1444865654"",""articles_with_PRISMA_reasons!W2:W2113""), $A663=IMPORTRANGE(""https://docs.google.com/"&amp;"spreadsheets/d/1qpEmbGH0JjaJbUdp21-y2cPbobDbMjr09BbtdKROZWc/edit#gid=1444865654"",""articles_with_PRISMA_reasons!B2:B2113""))&gt;=2,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$A663=IMPORTRANGE(""https://docs.google.com/spreadsheets/d/1qpEmbGH0JjaJbUdp21-y2cPbobDbMjr09BbtdKROZWc/edit#gid=1444865654"",""articles_with_PRISMA_reasons!B2:B2113""))&lt;2),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$A663=IMPORTRANGE(""https://docs.google.com/spreadsheets/d/1qpEmbGH0JjaJbUdp21-y2cPbobDbMjr09BbtdKRO"&amp;"ZWc/edit#gid=1444865654"",""articles_with_PRISMA_reasons!B2:B2113""))&lt;2,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$A663=IMPOR"&amp;"TRANGE(""https://docs.google.com/spreadsheets/d/1qpEmbGH0JjaJbUdp21-y2cPbobDbMjr09BbtdKROZWc/edit#gid=1444865654"",""articles_with_PRISMA_reasons!B2:B2113""))&gt;=2),
""Exclude""
)"),"Include")</f>
        <v>Include</v>
      </c>
      <c r="F663" s="5" t="str">
        <f>IFERROR(__xludf.DUMMYFUNCTION("IFS(
E663=""Exclude"",""Exclude"",
AND(
COUNTIF(
IMPORTRANGE(""https://docs.google.com/spreadsheets/d/1kGrh75X1cNR1D7_FcY9zMnHP8iPO4M5RCRjy6nZY0TY/edit#gid=0"",""Table 1: Study characteristics!B4:B171""),A663)&gt;0,
COUNTIF(Studies!$A$2:$A$85,FILTER(IMPORTRA"&amp;"NGE(""https://docs.google.com/spreadsheets/d/1kGrh75X1cNR1D7_FcY9zMnHP8iPO4M5RCRjy6nZY0TY/edit#gid=0"",""Table 1: Study characteristics!A4:A171""), $A663=IMPORTRANGE(""https://docs.google.com/spreadsheets/d/1kGrh75X1cNR1D7_FcY9zMnHP8iPO4M5RCRjy6nZY0TY/edi"&amp;"t#gid=0"",""Table 1: Study characteristics!B4:B171"")))&gt;0
),
""Include""
)"),"Include")</f>
        <v>Include</v>
      </c>
      <c r="G663" s="5" t="str">
        <f>IFERROR(__xludf.DUMMYFUNCTION("IFS(
D663=""Exclude"",
FILTER(IMPORTRANGE(""https://docs.google.com/spreadsheets/d/1BJSV3WBYJGRhQ6zExamkszQ5VutGIcaQqmbD9ZTVXMQ/edit#gid=1251630045"",""articles_with_PRISMA_reasons!AB2:AB2113""), $A663=IMPORTRANGE(""https://docs.google.com/spreadsheets/d/"&amp;"1BJSV3WBYJGRhQ6zExamkszQ5VutGIcaQqmbD9ZTVXMQ/edit#gid=1251630045"",""articles_with_PRISMA_reasons!B2:B2113"")),
E663=""Exclude"",
FILTER(IMPORTRANGE(""https://docs.google.com/spreadsheets/d/1qpEmbGH0JjaJbUdp21-y2cPbobDbMjr09BbtdKROZWc/edit#gid=1444865654"&amp;""",""articles_with_PRISMA_reasons!Z2:Z2113""), $A663=IMPORTRANGE(""https://docs.google.com/spreadsheets/d/1qpEmbGH0JjaJbUdp21-y2cPbobDbMjr09BbtdKROZWc/edit#gid=1444865654"",""articles_with_PRISMA_reasons!B2:B2113"")),F663
=""Include"",FILTER(IMPORTRANGE("&amp;"""https://docs.google.com/spreadsheets/d/1kGrh75X1cNR1D7_FcY9zMnHP8iPO4M5RCRjy6nZY0TY/edit#gid=0"",""Table 1: Study characteristics!A4:A171""), $A663=IMPORTRANGE(""https://docs.google.com/spreadsheets/d/1kGrh75X1cNR1D7_FcY9zMnHP8iPO4M5RCRjy6nZY0TY/edit#gi"&amp;"d=0"",""Table 1: Study characteristics!B4:B171""))
)"),"ID 53")</f>
        <v>ID 53</v>
      </c>
    </row>
    <row r="664">
      <c r="A664" s="4" t="str">
        <f>IFERROR(__xludf.DUMMYFUNCTION("""COMPUTED_VALUE"""),"Driver education: the needs of the learner driver with spina bifida and hydrocephalus")</f>
        <v>Driver education: the needs of the learner driver with spina bifida and hydrocephalus</v>
      </c>
      <c r="B664" s="5" t="str">
        <f>IFERROR(__xludf.DUMMYFUNCTION("LEFT(FILTER(IMPORTRANGE(""https://docs.google.com/spreadsheets/d/1BJSV3WBYJGRhQ6zExamkszQ5VutGIcaQqmbD9ZTVXMQ/edit#gid=1251630045"",""articles_with_PRISMA_reasons!K2:K2113""), $A664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$A664=IMPORTRANGE(""https://docs.google.com/spreadsheets/d/1BJSV3WBYJGRhQ6zExamkszQ5VutGIcaQqmbD9ZTVXMQ/edit#gid=1251630045"",""articles_with_PRISMA_reasons!B2:B2113"")))-1)"),"Simms")</f>
        <v>Simms</v>
      </c>
      <c r="C664" s="6">
        <f>IFERROR(__xludf.DUMMYFUNCTION("FILTER(IMPORTRANGE(""https://docs.google.com/spreadsheets/d/1BJSV3WBYJGRhQ6zExamkszQ5VutGIcaQqmbD9ZTVXMQ/edit#gid=1251630045"",""articles_with_PRISMA_reasons!C2:C2113""), $A664=IMPORTRANGE(""https://docs.google.com/spreadsheets/d/1BJSV3WBYJGRhQ6zExamkszQ5"&amp;"VutGIcaQqmbD9ZTVXMQ/edit#gid=1251630045"",""articles_with_PRISMA_reasons!B2:B2113""))"),1989.0)</f>
        <v>1989</v>
      </c>
      <c r="D664" s="5" t="str">
        <f>IFERROR(__xludf.DUMMYFUNCTION("IFS(AND(
FILTER(IMPORTRANGE(""https://docs.google.com/spreadsheets/d/1BJSV3WBYJGRhQ6zExamkszQ5VutGIcaQqmbD9ZTVXMQ/edit#gid=1251630045"",""articles_with_PRISMA_reasons!Y2:Y2113""), $A664=IMPORTRANGE(""https://docs.google.com/spreadsheets/d/1BJSV3WBYJGRhQ6z"&amp;"ExamkszQ5VutGIcaQqmbD9ZTVXMQ/edit#gid=1251630045"",""articles_with_PRISMA_reasons!B2:B2113""))&gt;=2,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$A664=IMPORTRANGE(""https://docs.google.com/spreadsheets/d/1BJSV3WBYJGRhQ6zExamkszQ5VutGIcaQqmbD9ZTVXMQ/edit#gid=1251630045"",""articles_with_PRISMA_reasons!B2:B2113""))&lt;2),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$A664=IMPORTRANGE(""https://docs.google.com/spreadsheets/d/1BJSV3WBYJGRhQ6zExamkszQ5VutGIcaQqmbD9ZTVXMQ/edit#gid=1251630045"",""arti"&amp;"cles_with_PRISMA_reasons!B2:B2113""))&lt;2,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$A664=IMPORTRANGE(""https://docs.google.com"&amp;"/spreadsheets/d/1BJSV3WBYJGRhQ6zExamkszQ5VutGIcaQqmbD9ZTVXMQ/edit#gid=1251630045"",""articles_with_PRISMA_reasons!B2:B2113""))&gt;=2),
""Exclude""
)"),"Exclude")</f>
        <v>Exclude</v>
      </c>
      <c r="E664" s="5" t="str">
        <f>IFERROR(__xludf.DUMMYFUNCTION("IFS(
D664=""Exclude"",""Exclude"",
AND(
FILTER(IMPORTRANGE(""https://docs.google.com/spreadsheets/d/1qpEmbGH0JjaJbUdp21-y2cPbobDbMjr09BbtdKROZWc/edit#gid=1444865654"",""articles_with_PRISMA_reasons!W2:W2113""), $A664=IMPORTRANGE(""https://docs.google.com/"&amp;"spreadsheets/d/1qpEmbGH0JjaJbUdp21-y2cPbobDbMjr09BbtdKROZWc/edit#gid=1444865654"",""articles_with_PRISMA_reasons!B2:B2113""))&gt;=2,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$A664=IMPORTRANGE(""https://docs.google.com/spreadsheets/d/1qpEmbGH0JjaJbUdp21-y2cPbobDbMjr09BbtdKROZWc/edit#gid=1444865654"",""articles_with_PRISMA_reasons!B2:B2113""))&lt;2),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$A664=IMPORTRANGE(""https://docs.google.com/spreadsheets/d/1qpEmbGH0JjaJbUdp21-y2cPbobDbMjr09BbtdKRO"&amp;"ZWc/edit#gid=1444865654"",""articles_with_PRISMA_reasons!B2:B2113""))&lt;2,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$A664=IMPOR"&amp;"TRANGE(""https://docs.google.com/spreadsheets/d/1qpEmbGH0JjaJbUdp21-y2cPbobDbMjr09BbtdKROZWc/edit#gid=1444865654"",""articles_with_PRISMA_reasons!B2:B2113""))&gt;=2),
""Exclude""
)"),"Exclude")</f>
        <v>Exclude</v>
      </c>
      <c r="F664" s="5" t="str">
        <f>IFERROR(__xludf.DUMMYFUNCTION("IFS(
E664=""Exclude"",""Exclude"",
AND(
COUNTIF(
IMPORTRANGE(""https://docs.google.com/spreadsheets/d/1kGrh75X1cNR1D7_FcY9zMnHP8iPO4M5RCRjy6nZY0TY/edit#gid=0"",""Table 1: Study characteristics!B4:B171""),A664)&gt;0,
COUNTIF(Studies!$A$2:$A$85,FILTER(IMPORTRA"&amp;"NGE(""https://docs.google.com/spreadsheets/d/1kGrh75X1cNR1D7_FcY9zMnHP8iPO4M5RCRjy6nZY0TY/edit#gid=0"",""Table 1: Study characteristics!A4:A171""), $A664=IMPORTRANGE(""https://docs.google.com/spreadsheets/d/1kGrh75X1cNR1D7_FcY9zMnHP8iPO4M5RCRjy6nZY0TY/edi"&amp;"t#gid=0"",""Table 1: Study characteristics!B4:B171"")))&gt;0
),
""Include""
)"),"Exclude")</f>
        <v>Exclude</v>
      </c>
      <c r="G664" s="5" t="str">
        <f>IFERROR(__xludf.DUMMYFUNCTION("IFS(
D664=""Exclude"",
FILTER(IMPORTRANGE(""https://docs.google.com/spreadsheets/d/1BJSV3WBYJGRhQ6zExamkszQ5VutGIcaQqmbD9ZTVXMQ/edit#gid=1251630045"",""articles_with_PRISMA_reasons!AB2:AB2113""), $A664=IMPORTRANGE(""https://docs.google.com/spreadsheets/d/"&amp;"1BJSV3WBYJGRhQ6zExamkszQ5VutGIcaQqmbD9ZTVXMQ/edit#gid=1251630045"",""articles_with_PRISMA_reasons!B2:B2113"")),
E664=""Exclude"",
FILTER(IMPORTRANGE(""https://docs.google.com/spreadsheets/d/1qpEmbGH0JjaJbUdp21-y2cPbobDbMjr09BbtdKROZWc/edit#gid=1444865654"&amp;""",""articles_with_PRISMA_reasons!Z2:Z2113""), $A664=IMPORTRANGE(""https://docs.google.com/spreadsheets/d/1qpEmbGH0JjaJbUdp21-y2cPbobDbMjr09BbtdKROZWc/edit#gid=1444865654"",""articles_with_PRISMA_reasons!B2:B2113"")),F664
=""Include"",FILTER(IMPORTRANGE("&amp;"""https://docs.google.com/spreadsheets/d/1kGrh75X1cNR1D7_FcY9zMnHP8iPO4M5RCRjy6nZY0TY/edit#gid=0"",""Table 1: Study characteristics!A4:A171""), $A664=IMPORTRANGE(""https://docs.google.com/spreadsheets/d/1kGrh75X1cNR1D7_FcY9zMnHP8iPO4M5RCRjy6nZY0TY/edit#gi"&amp;"d=0"",""Table 1: Study characteristics!B4:B171""))
)"),"wrong population")</f>
        <v>wrong population</v>
      </c>
    </row>
    <row r="665">
      <c r="A665" s="4" t="str">
        <f>IFERROR(__xludf.DUMMYFUNCTION("""COMPUTED_VALUE"""),"Drugs in infertility and fetal safety")</f>
        <v>Drugs in infertility and fetal safety</v>
      </c>
      <c r="B665" s="5" t="str">
        <f>IFERROR(__xludf.DUMMYFUNCTION("LEFT(FILTER(IMPORTRANGE(""https://docs.google.com/spreadsheets/d/1BJSV3WBYJGRhQ6zExamkszQ5VutGIcaQqmbD9ZTVXMQ/edit#gid=1251630045"",""articles_with_PRISMA_reasons!K2:K2113""), $A665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$A665=IMPORTRANGE(""https://docs.google.com/spreadsheets/d/1BJSV3WBYJGRhQ6zExamkszQ5VutGIcaQqmbD9ZTVXMQ/edit#gid=1251630045"",""articles_with_PRISMA_reasons!B2:B2113"")))-1)"),"Elizur")</f>
        <v>Elizur</v>
      </c>
      <c r="C665" s="6">
        <f>IFERROR(__xludf.DUMMYFUNCTION("FILTER(IMPORTRANGE(""https://docs.google.com/spreadsheets/d/1BJSV3WBYJGRhQ6zExamkszQ5VutGIcaQqmbD9ZTVXMQ/edit#gid=1251630045"",""articles_with_PRISMA_reasons!C2:C2113""), $A665=IMPORTRANGE(""https://docs.google.com/spreadsheets/d/1BJSV3WBYJGRhQ6zExamkszQ5"&amp;"VutGIcaQqmbD9ZTVXMQ/edit#gid=1251630045"",""articles_with_PRISMA_reasons!B2:B2113""))"),2008.0)</f>
        <v>2008</v>
      </c>
      <c r="D665" s="5" t="str">
        <f>IFERROR(__xludf.DUMMYFUNCTION("IFS(AND(
FILTER(IMPORTRANGE(""https://docs.google.com/spreadsheets/d/1BJSV3WBYJGRhQ6zExamkszQ5VutGIcaQqmbD9ZTVXMQ/edit#gid=1251630045"",""articles_with_PRISMA_reasons!Y2:Y2113""), $A665=IMPORTRANGE(""https://docs.google.com/spreadsheets/d/1BJSV3WBYJGRhQ6z"&amp;"ExamkszQ5VutGIcaQqmbD9ZTVXMQ/edit#gid=1251630045"",""articles_with_PRISMA_reasons!B2:B2113""))&gt;=2,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$A665=IMPORTRANGE(""https://docs.google.com/spreadsheets/d/1BJSV3WBYJGRhQ6zExamkszQ5VutGIcaQqmbD9ZTVXMQ/edit#gid=1251630045"",""articles_with_PRISMA_reasons!B2:B2113""))&lt;2),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$A665=IMPORTRANGE(""https://docs.google.com/spreadsheets/d/1BJSV3WBYJGRhQ6zExamkszQ5VutGIcaQqmbD9ZTVXMQ/edit#gid=1251630045"",""arti"&amp;"cles_with_PRISMA_reasons!B2:B2113""))&lt;2,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$A665=IMPORTRANGE(""https://docs.google.com"&amp;"/spreadsheets/d/1BJSV3WBYJGRhQ6zExamkszQ5VutGIcaQqmbD9ZTVXMQ/edit#gid=1251630045"",""articles_with_PRISMA_reasons!B2:B2113""))&gt;=2),
""Exclude""
)"),"Exclude")</f>
        <v>Exclude</v>
      </c>
      <c r="E665" s="5" t="str">
        <f>IFERROR(__xludf.DUMMYFUNCTION("IFS(
D665=""Exclude"",""Exclude"",
AND(
FILTER(IMPORTRANGE(""https://docs.google.com/spreadsheets/d/1qpEmbGH0JjaJbUdp21-y2cPbobDbMjr09BbtdKROZWc/edit#gid=1444865654"",""articles_with_PRISMA_reasons!W2:W2113""), $A665=IMPORTRANGE(""https://docs.google.com/"&amp;"spreadsheets/d/1qpEmbGH0JjaJbUdp21-y2cPbobDbMjr09BbtdKROZWc/edit#gid=1444865654"",""articles_with_PRISMA_reasons!B2:B2113""))&gt;=2,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$A665=IMPORTRANGE(""https://docs.google.com/spreadsheets/d/1qpEmbGH0JjaJbUdp21-y2cPbobDbMjr09BbtdKROZWc/edit#gid=1444865654"",""articles_with_PRISMA_reasons!B2:B2113""))&lt;2),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$A665=IMPORTRANGE(""https://docs.google.com/spreadsheets/d/1qpEmbGH0JjaJbUdp21-y2cPbobDbMjr09BbtdKRO"&amp;"ZWc/edit#gid=1444865654"",""articles_with_PRISMA_reasons!B2:B2113""))&lt;2,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$A665=IMPOR"&amp;"TRANGE(""https://docs.google.com/spreadsheets/d/1qpEmbGH0JjaJbUdp21-y2cPbobDbMjr09BbtdKROZWc/edit#gid=1444865654"",""articles_with_PRISMA_reasons!B2:B2113""))&gt;=2),
""Exclude""
)"),"Exclude")</f>
        <v>Exclude</v>
      </c>
      <c r="F665" s="5" t="str">
        <f>IFERROR(__xludf.DUMMYFUNCTION("IFS(
E665=""Exclude"",""Exclude"",
AND(
COUNTIF(
IMPORTRANGE(""https://docs.google.com/spreadsheets/d/1kGrh75X1cNR1D7_FcY9zMnHP8iPO4M5RCRjy6nZY0TY/edit#gid=0"",""Table 1: Study characteristics!B4:B171""),A665)&gt;0,
COUNTIF(Studies!$A$2:$A$85,FILTER(IMPORTRA"&amp;"NGE(""https://docs.google.com/spreadsheets/d/1kGrh75X1cNR1D7_FcY9zMnHP8iPO4M5RCRjy6nZY0TY/edit#gid=0"",""Table 1: Study characteristics!A4:A171""), $A665=IMPORTRANGE(""https://docs.google.com/spreadsheets/d/1kGrh75X1cNR1D7_FcY9zMnHP8iPO4M5RCRjy6nZY0TY/edi"&amp;"t#gid=0"",""Table 1: Study characteristics!B4:B171"")))&gt;0
),
""Include""
)"),"Exclude")</f>
        <v>Exclude</v>
      </c>
      <c r="G665" s="5" t="str">
        <f>IFERROR(__xludf.DUMMYFUNCTION("IFS(
D665=""Exclude"",
FILTER(IMPORTRANGE(""https://docs.google.com/spreadsheets/d/1BJSV3WBYJGRhQ6zExamkszQ5VutGIcaQqmbD9ZTVXMQ/edit#gid=1251630045"",""articles_with_PRISMA_reasons!AB2:AB2113""), $A665=IMPORTRANGE(""https://docs.google.com/spreadsheets/d/"&amp;"1BJSV3WBYJGRhQ6zExamkszQ5VutGIcaQqmbD9ZTVXMQ/edit#gid=1251630045"",""articles_with_PRISMA_reasons!B2:B2113"")),
E665=""Exclude"",
FILTER(IMPORTRANGE(""https://docs.google.com/spreadsheets/d/1qpEmbGH0JjaJbUdp21-y2cPbobDbMjr09BbtdKROZWc/edit#gid=1444865654"&amp;""",""articles_with_PRISMA_reasons!Z2:Z2113""), $A665=IMPORTRANGE(""https://docs.google.com/spreadsheets/d/1qpEmbGH0JjaJbUdp21-y2cPbobDbMjr09BbtdKROZWc/edit#gid=1444865654"",""articles_with_PRISMA_reasons!B2:B2113"")),F665
=""Include"",FILTER(IMPORTRANGE("&amp;"""https://docs.google.com/spreadsheets/d/1kGrh75X1cNR1D7_FcY9zMnHP8iPO4M5RCRjy6nZY0TY/edit#gid=0"",""Table 1: Study characteristics!A4:A171""), $A665=IMPORTRANGE(""https://docs.google.com/spreadsheets/d/1kGrh75X1cNR1D7_FcY9zMnHP8iPO4M5RCRjy6nZY0TY/edit#gi"&amp;"d=0"",""Table 1: Study characteristics!B4:B171""))
)"),"wrong study design")</f>
        <v>wrong study design</v>
      </c>
    </row>
    <row r="666">
      <c r="A666" s="4" t="str">
        <f>IFERROR(__xludf.DUMMYFUNCTION("""COMPUTED_VALUE"""),"Dual Myelomeningoceles in Twins: Case Report, Review, and Insights for Etiology")</f>
        <v>Dual Myelomeningoceles in Twins: Case Report, Review, and Insights for Etiology</v>
      </c>
      <c r="B666" s="5" t="str">
        <f>IFERROR(__xludf.DUMMYFUNCTION("LEFT(FILTER(IMPORTRANGE(""https://docs.google.com/spreadsheets/d/1BJSV3WBYJGRhQ6zExamkszQ5VutGIcaQqmbD9ZTVXMQ/edit#gid=1251630045"",""articles_with_PRISMA_reasons!K2:K2113""), $A666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$A666=IMPORTRANGE(""https://docs.google.com/spreadsheets/d/1BJSV3WBYJGRhQ6zExamkszQ5VutGIcaQqmbD9ZTVXMQ/edit#gid=1251630045"",""articles_with_PRISMA_reasons!B2:B2113"")))-1)"),"Kobets")</f>
        <v>Kobets</v>
      </c>
      <c r="C666" s="6">
        <f>IFERROR(__xludf.DUMMYFUNCTION("FILTER(IMPORTRANGE(""https://docs.google.com/spreadsheets/d/1BJSV3WBYJGRhQ6zExamkszQ5VutGIcaQqmbD9ZTVXMQ/edit#gid=1251630045"",""articles_with_PRISMA_reasons!C2:C2113""), $A666=IMPORTRANGE(""https://docs.google.com/spreadsheets/d/1BJSV3WBYJGRhQ6zExamkszQ5"&amp;"VutGIcaQqmbD9ZTVXMQ/edit#gid=1251630045"",""articles_with_PRISMA_reasons!B2:B2113""))"),2021.0)</f>
        <v>2021</v>
      </c>
      <c r="D666" s="5" t="str">
        <f>IFERROR(__xludf.DUMMYFUNCTION("IFS(AND(
FILTER(IMPORTRANGE(""https://docs.google.com/spreadsheets/d/1BJSV3WBYJGRhQ6zExamkszQ5VutGIcaQqmbD9ZTVXMQ/edit#gid=1251630045"",""articles_with_PRISMA_reasons!Y2:Y2113""), $A666=IMPORTRANGE(""https://docs.google.com/spreadsheets/d/1BJSV3WBYJGRhQ6z"&amp;"ExamkszQ5VutGIcaQqmbD9ZTVXMQ/edit#gid=1251630045"",""articles_with_PRISMA_reasons!B2:B2113""))&gt;=2,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$A666=IMPORTRANGE(""https://docs.google.com/spreadsheets/d/1BJSV3WBYJGRhQ6zExamkszQ5VutGIcaQqmbD9ZTVXMQ/edit#gid=1251630045"",""articles_with_PRISMA_reasons!B2:B2113""))&lt;2),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$A666=IMPORTRANGE(""https://docs.google.com/spreadsheets/d/1BJSV3WBYJGRhQ6zExamkszQ5VutGIcaQqmbD9ZTVXMQ/edit#gid=1251630045"",""arti"&amp;"cles_with_PRISMA_reasons!B2:B2113""))&lt;2,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$A666=IMPORTRANGE(""https://docs.google.com"&amp;"/spreadsheets/d/1BJSV3WBYJGRhQ6zExamkszQ5VutGIcaQqmbD9ZTVXMQ/edit#gid=1251630045"",""articles_with_PRISMA_reasons!B2:B2113""))&gt;=2),
""Exclude""
)"),"Exclude")</f>
        <v>Exclude</v>
      </c>
      <c r="E666" s="5" t="str">
        <f>IFERROR(__xludf.DUMMYFUNCTION("IFS(
D666=""Exclude"",""Exclude"",
AND(
FILTER(IMPORTRANGE(""https://docs.google.com/spreadsheets/d/1qpEmbGH0JjaJbUdp21-y2cPbobDbMjr09BbtdKROZWc/edit#gid=1444865654"",""articles_with_PRISMA_reasons!W2:W2113""), $A666=IMPORTRANGE(""https://docs.google.com/"&amp;"spreadsheets/d/1qpEmbGH0JjaJbUdp21-y2cPbobDbMjr09BbtdKROZWc/edit#gid=1444865654"",""articles_with_PRISMA_reasons!B2:B2113""))&gt;=2,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$A666=IMPORTRANGE(""https://docs.google.com/spreadsheets/d/1qpEmbGH0JjaJbUdp21-y2cPbobDbMjr09BbtdKROZWc/edit#gid=1444865654"",""articles_with_PRISMA_reasons!B2:B2113""))&lt;2),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$A666=IMPORTRANGE(""https://docs.google.com/spreadsheets/d/1qpEmbGH0JjaJbUdp21-y2cPbobDbMjr09BbtdKRO"&amp;"ZWc/edit#gid=1444865654"",""articles_with_PRISMA_reasons!B2:B2113""))&lt;2,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$A666=IMPOR"&amp;"TRANGE(""https://docs.google.com/spreadsheets/d/1qpEmbGH0JjaJbUdp21-y2cPbobDbMjr09BbtdKROZWc/edit#gid=1444865654"",""articles_with_PRISMA_reasons!B2:B2113""))&gt;=2),
""Exclude""
)"),"Exclude")</f>
        <v>Exclude</v>
      </c>
      <c r="F666" s="5" t="str">
        <f>IFERROR(__xludf.DUMMYFUNCTION("IFS(
E666=""Exclude"",""Exclude"",
AND(
COUNTIF(
IMPORTRANGE(""https://docs.google.com/spreadsheets/d/1kGrh75X1cNR1D7_FcY9zMnHP8iPO4M5RCRjy6nZY0TY/edit#gid=0"",""Table 1: Study characteristics!B4:B171""),A666)&gt;0,
COUNTIF(Studies!$A$2:$A$85,FILTER(IMPORTRA"&amp;"NGE(""https://docs.google.com/spreadsheets/d/1kGrh75X1cNR1D7_FcY9zMnHP8iPO4M5RCRjy6nZY0TY/edit#gid=0"",""Table 1: Study characteristics!A4:A171""), $A666=IMPORTRANGE(""https://docs.google.com/spreadsheets/d/1kGrh75X1cNR1D7_FcY9zMnHP8iPO4M5RCRjy6nZY0TY/edi"&amp;"t#gid=0"",""Table 1: Study characteristics!B4:B171"")))&gt;0
),
""Include""
)"),"Exclude")</f>
        <v>Exclude</v>
      </c>
      <c r="G666" s="5" t="str">
        <f>IFERROR(__xludf.DUMMYFUNCTION("IFS(
D666=""Exclude"",
FILTER(IMPORTRANGE(""https://docs.google.com/spreadsheets/d/1BJSV3WBYJGRhQ6zExamkszQ5VutGIcaQqmbD9ZTVXMQ/edit#gid=1251630045"",""articles_with_PRISMA_reasons!AB2:AB2113""), $A666=IMPORTRANGE(""https://docs.google.com/spreadsheets/d/"&amp;"1BJSV3WBYJGRhQ6zExamkszQ5VutGIcaQqmbD9ZTVXMQ/edit#gid=1251630045"",""articles_with_PRISMA_reasons!B2:B2113"")),
E666=""Exclude"",
FILTER(IMPORTRANGE(""https://docs.google.com/spreadsheets/d/1qpEmbGH0JjaJbUdp21-y2cPbobDbMjr09BbtdKROZWc/edit#gid=1444865654"&amp;""",""articles_with_PRISMA_reasons!Z2:Z2113""), $A666=IMPORTRANGE(""https://docs.google.com/spreadsheets/d/1qpEmbGH0JjaJbUdp21-y2cPbobDbMjr09BbtdKROZWc/edit#gid=1444865654"",""articles_with_PRISMA_reasons!B2:B2113"")),F666
=""Include"",FILTER(IMPORTRANGE("&amp;"""https://docs.google.com/spreadsheets/d/1kGrh75X1cNR1D7_FcY9zMnHP8iPO4M5RCRjy6nZY0TY/edit#gid=0"",""Table 1: Study characteristics!A4:A171""), $A666=IMPORTRANGE(""https://docs.google.com/spreadsheets/d/1kGrh75X1cNR1D7_FcY9zMnHP8iPO4M5RCRjy6nZY0TY/edit#gi"&amp;"d=0"",""Table 1: Study characteristics!B4:B171""))
)"),"wrong publication type")</f>
        <v>wrong publication type</v>
      </c>
    </row>
    <row r="667">
      <c r="A667" s="4" t="str">
        <f>IFERROR(__xludf.DUMMYFUNCTION("""COMPUTED_VALUE"""),"Dynamic changes of ventricular width in children with shunted hydrocephalus after myelomeningocele. Clinical relevance")</f>
        <v>Dynamic changes of ventricular width in children with shunted hydrocephalus after myelomeningocele. Clinical relevance</v>
      </c>
      <c r="B667" s="5" t="str">
        <f>IFERROR(__xludf.DUMMYFUNCTION("LEFT(FILTER(IMPORTRANGE(""https://docs.google.com/spreadsheets/d/1BJSV3WBYJGRhQ6zExamkszQ5VutGIcaQqmbD9ZTVXMQ/edit#gid=1251630045"",""articles_with_PRISMA_reasons!K2:K2113""), $A667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$A667=IMPORTRANGE(""https://docs.google.com/spreadsheets/d/1BJSV3WBYJGRhQ6zExamkszQ5VutGIcaQqmbD9ZTVXMQ/edit#gid=1251630045"",""articles_with_PRISMA_reasons!B2:B2113"")))-1)"),"Grafe")</f>
        <v>Grafe</v>
      </c>
      <c r="C667" s="6">
        <f>IFERROR(__xludf.DUMMYFUNCTION("FILTER(IMPORTRANGE(""https://docs.google.com/spreadsheets/d/1BJSV3WBYJGRhQ6zExamkszQ5VutGIcaQqmbD9ZTVXMQ/edit#gid=1251630045"",""articles_with_PRISMA_reasons!C2:C2113""), $A667=IMPORTRANGE(""https://docs.google.com/spreadsheets/d/1BJSV3WBYJGRhQ6zExamkszQ5"&amp;"VutGIcaQqmbD9ZTVXMQ/edit#gid=1251630045"",""articles_with_PRISMA_reasons!B2:B2113""))"),1990.0)</f>
        <v>1990</v>
      </c>
      <c r="D667" s="5" t="str">
        <f>IFERROR(__xludf.DUMMYFUNCTION("IFS(AND(
FILTER(IMPORTRANGE(""https://docs.google.com/spreadsheets/d/1BJSV3WBYJGRhQ6zExamkszQ5VutGIcaQqmbD9ZTVXMQ/edit#gid=1251630045"",""articles_with_PRISMA_reasons!Y2:Y2113""), $A667=IMPORTRANGE(""https://docs.google.com/spreadsheets/d/1BJSV3WBYJGRhQ6z"&amp;"ExamkszQ5VutGIcaQqmbD9ZTVXMQ/edit#gid=1251630045"",""articles_with_PRISMA_reasons!B2:B2113""))&gt;=2,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$A667=IMPORTRANGE(""https://docs.google.com/spreadsheets/d/1BJSV3WBYJGRhQ6zExamkszQ5VutGIcaQqmbD9ZTVXMQ/edit#gid=1251630045"",""articles_with_PRISMA_reasons!B2:B2113""))&lt;2),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$A667=IMPORTRANGE(""https://docs.google.com/spreadsheets/d/1BJSV3WBYJGRhQ6zExamkszQ5VutGIcaQqmbD9ZTVXMQ/edit#gid=1251630045"",""arti"&amp;"cles_with_PRISMA_reasons!B2:B2113""))&lt;2,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$A667=IMPORTRANGE(""https://docs.google.com"&amp;"/spreadsheets/d/1BJSV3WBYJGRhQ6zExamkszQ5VutGIcaQqmbD9ZTVXMQ/edit#gid=1251630045"",""articles_with_PRISMA_reasons!B2:B2113""))&gt;=2),
""Exclude""
)"),"Exclude")</f>
        <v>Exclude</v>
      </c>
      <c r="E667" s="5" t="str">
        <f>IFERROR(__xludf.DUMMYFUNCTION("IFS(
D667=""Exclude"",""Exclude"",
AND(
FILTER(IMPORTRANGE(""https://docs.google.com/spreadsheets/d/1qpEmbGH0JjaJbUdp21-y2cPbobDbMjr09BbtdKROZWc/edit#gid=1444865654"",""articles_with_PRISMA_reasons!W2:W2113""), $A667=IMPORTRANGE(""https://docs.google.com/"&amp;"spreadsheets/d/1qpEmbGH0JjaJbUdp21-y2cPbobDbMjr09BbtdKROZWc/edit#gid=1444865654"",""articles_with_PRISMA_reasons!B2:B2113""))&gt;=2,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$A667=IMPORTRANGE(""https://docs.google.com/spreadsheets/d/1qpEmbGH0JjaJbUdp21-y2cPbobDbMjr09BbtdKROZWc/edit#gid=1444865654"",""articles_with_PRISMA_reasons!B2:B2113""))&lt;2),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$A667=IMPORTRANGE(""https://docs.google.com/spreadsheets/d/1qpEmbGH0JjaJbUdp21-y2cPbobDbMjr09BbtdKRO"&amp;"ZWc/edit#gid=1444865654"",""articles_with_PRISMA_reasons!B2:B2113""))&lt;2,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$A667=IMPOR"&amp;"TRANGE(""https://docs.google.com/spreadsheets/d/1qpEmbGH0JjaJbUdp21-y2cPbobDbMjr09BbtdKROZWc/edit#gid=1444865654"",""articles_with_PRISMA_reasons!B2:B2113""))&gt;=2),
""Exclude""
)"),"Exclude")</f>
        <v>Exclude</v>
      </c>
      <c r="F667" s="5" t="str">
        <f>IFERROR(__xludf.DUMMYFUNCTION("IFS(
E667=""Exclude"",""Exclude"",
AND(
COUNTIF(
IMPORTRANGE(""https://docs.google.com/spreadsheets/d/1kGrh75X1cNR1D7_FcY9zMnHP8iPO4M5RCRjy6nZY0TY/edit#gid=0"",""Table 1: Study characteristics!B4:B171""),A667)&gt;0,
COUNTIF(Studies!$A$2:$A$85,FILTER(IMPORTRA"&amp;"NGE(""https://docs.google.com/spreadsheets/d/1kGrh75X1cNR1D7_FcY9zMnHP8iPO4M5RCRjy6nZY0TY/edit#gid=0"",""Table 1: Study characteristics!A4:A171""), $A667=IMPORTRANGE(""https://docs.google.com/spreadsheets/d/1kGrh75X1cNR1D7_FcY9zMnHP8iPO4M5RCRjy6nZY0TY/edi"&amp;"t#gid=0"",""Table 1: Study characteristics!B4:B171"")))&gt;0
),
""Include""
)"),"Exclude")</f>
        <v>Exclude</v>
      </c>
      <c r="G667" s="5" t="str">
        <f>IFERROR(__xludf.DUMMYFUNCTION("IFS(
D667=""Exclude"",
FILTER(IMPORTRANGE(""https://docs.google.com/spreadsheets/d/1BJSV3WBYJGRhQ6zExamkszQ5VutGIcaQqmbD9ZTVXMQ/edit#gid=1251630045"",""articles_with_PRISMA_reasons!AB2:AB2113""), $A667=IMPORTRANGE(""https://docs.google.com/spreadsheets/d/"&amp;"1BJSV3WBYJGRhQ6zExamkszQ5VutGIcaQqmbD9ZTVXMQ/edit#gid=1251630045"",""articles_with_PRISMA_reasons!B2:B2113"")),
E667=""Exclude"",
FILTER(IMPORTRANGE(""https://docs.google.com/spreadsheets/d/1qpEmbGH0JjaJbUdp21-y2cPbobDbMjr09BbtdKROZWc/edit#gid=1444865654"&amp;""",""articles_with_PRISMA_reasons!Z2:Z2113""), $A667=IMPORTRANGE(""https://docs.google.com/spreadsheets/d/1qpEmbGH0JjaJbUdp21-y2cPbobDbMjr09BbtdKROZWc/edit#gid=1444865654"",""articles_with_PRISMA_reasons!B2:B2113"")),F667
=""Include"",FILTER(IMPORTRANGE("&amp;"""https://docs.google.com/spreadsheets/d/1kGrh75X1cNR1D7_FcY9zMnHP8iPO4M5RCRjy6nZY0TY/edit#gid=0"",""Table 1: Study characteristics!A4:A171""), $A667=IMPORTRANGE(""https://docs.google.com/spreadsheets/d/1kGrh75X1cNR1D7_FcY9zMnHP8iPO4M5RCRjy6nZY0TY/edit#gi"&amp;"d=0"",""Table 1: Study characteristics!B4:B171""))
)"),"wrong study design")</f>
        <v>wrong study design</v>
      </c>
    </row>
    <row r="668">
      <c r="A668" s="4" t="str">
        <f>IFERROR(__xludf.DUMMYFUNCTION("""COMPUTED_VALUE"""),"Dyspnea associated with vocal cord paralysis and type-2 chiari malformation")</f>
        <v>Dyspnea associated with vocal cord paralysis and type-2 chiari malformation</v>
      </c>
      <c r="B668" s="5" t="str">
        <f>IFERROR(__xludf.DUMMYFUNCTION("LEFT(FILTER(IMPORTRANGE(""https://docs.google.com/spreadsheets/d/1BJSV3WBYJGRhQ6zExamkszQ5VutGIcaQqmbD9ZTVXMQ/edit#gid=1251630045"",""articles_with_PRISMA_reasons!K2:K2113""), $A668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$A668=IMPORTRANGE(""https://docs.google.com/spreadsheets/d/1BJSV3WBYJGRhQ6zExamkszQ5VutGIcaQqmbD9ZTVXMQ/edit#gid=1251630045"",""articles_with_PRISMA_reasons!B2:B2113"")))-1)"),"Ceylan")</f>
        <v>Ceylan</v>
      </c>
      <c r="C668" s="6">
        <f>IFERROR(__xludf.DUMMYFUNCTION("FILTER(IMPORTRANGE(""https://docs.google.com/spreadsheets/d/1BJSV3WBYJGRhQ6zExamkszQ5VutGIcaQqmbD9ZTVXMQ/edit#gid=1251630045"",""articles_with_PRISMA_reasons!C2:C2113""), $A668=IMPORTRANGE(""https://docs.google.com/spreadsheets/d/1BJSV3WBYJGRhQ6zExamkszQ5"&amp;"VutGIcaQqmbD9ZTVXMQ/edit#gid=1251630045"",""articles_with_PRISMA_reasons!B2:B2113""))"),2013.0)</f>
        <v>2013</v>
      </c>
      <c r="D668" s="5" t="str">
        <f>IFERROR(__xludf.DUMMYFUNCTION("IFS(AND(
FILTER(IMPORTRANGE(""https://docs.google.com/spreadsheets/d/1BJSV3WBYJGRhQ6zExamkszQ5VutGIcaQqmbD9ZTVXMQ/edit#gid=1251630045"",""articles_with_PRISMA_reasons!Y2:Y2113""), $A668=IMPORTRANGE(""https://docs.google.com/spreadsheets/d/1BJSV3WBYJGRhQ6z"&amp;"ExamkszQ5VutGIcaQqmbD9ZTVXMQ/edit#gid=1251630045"",""articles_with_PRISMA_reasons!B2:B2113""))&gt;=2,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$A668=IMPORTRANGE(""https://docs.google.com/spreadsheets/d/1BJSV3WBYJGRhQ6zExamkszQ5VutGIcaQqmbD9ZTVXMQ/edit#gid=1251630045"",""articles_with_PRISMA_reasons!B2:B2113""))&lt;2),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$A668=IMPORTRANGE(""https://docs.google.com/spreadsheets/d/1BJSV3WBYJGRhQ6zExamkszQ5VutGIcaQqmbD9ZTVXMQ/edit#gid=1251630045"",""arti"&amp;"cles_with_PRISMA_reasons!B2:B2113""))&lt;2,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$A668=IMPORTRANGE(""https://docs.google.com"&amp;"/spreadsheets/d/1BJSV3WBYJGRhQ6zExamkszQ5VutGIcaQqmbD9ZTVXMQ/edit#gid=1251630045"",""articles_with_PRISMA_reasons!B2:B2113""))&gt;=2),
""Exclude""
)"),"Exclude")</f>
        <v>Exclude</v>
      </c>
      <c r="E668" s="5" t="str">
        <f>IFERROR(__xludf.DUMMYFUNCTION("IFS(
D668=""Exclude"",""Exclude"",
AND(
FILTER(IMPORTRANGE(""https://docs.google.com/spreadsheets/d/1qpEmbGH0JjaJbUdp21-y2cPbobDbMjr09BbtdKROZWc/edit#gid=1444865654"",""articles_with_PRISMA_reasons!W2:W2113""), $A668=IMPORTRANGE(""https://docs.google.com/"&amp;"spreadsheets/d/1qpEmbGH0JjaJbUdp21-y2cPbobDbMjr09BbtdKROZWc/edit#gid=1444865654"",""articles_with_PRISMA_reasons!B2:B2113""))&gt;=2,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$A668=IMPORTRANGE(""https://docs.google.com/spreadsheets/d/1qpEmbGH0JjaJbUdp21-y2cPbobDbMjr09BbtdKROZWc/edit#gid=1444865654"",""articles_with_PRISMA_reasons!B2:B2113""))&lt;2),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$A668=IMPORTRANGE(""https://docs.google.com/spreadsheets/d/1qpEmbGH0JjaJbUdp21-y2cPbobDbMjr09BbtdKRO"&amp;"ZWc/edit#gid=1444865654"",""articles_with_PRISMA_reasons!B2:B2113""))&lt;2,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$A668=IMPOR"&amp;"TRANGE(""https://docs.google.com/spreadsheets/d/1qpEmbGH0JjaJbUdp21-y2cPbobDbMjr09BbtdKROZWc/edit#gid=1444865654"",""articles_with_PRISMA_reasons!B2:B2113""))&gt;=2),
""Exclude""
)"),"Exclude")</f>
        <v>Exclude</v>
      </c>
      <c r="F668" s="5" t="str">
        <f>IFERROR(__xludf.DUMMYFUNCTION("IFS(
E668=""Exclude"",""Exclude"",
AND(
COUNTIF(
IMPORTRANGE(""https://docs.google.com/spreadsheets/d/1kGrh75X1cNR1D7_FcY9zMnHP8iPO4M5RCRjy6nZY0TY/edit#gid=0"",""Table 1: Study characteristics!B4:B171""),A668)&gt;0,
COUNTIF(Studies!$A$2:$A$85,FILTER(IMPORTRA"&amp;"NGE(""https://docs.google.com/spreadsheets/d/1kGrh75X1cNR1D7_FcY9zMnHP8iPO4M5RCRjy6nZY0TY/edit#gid=0"",""Table 1: Study characteristics!A4:A171""), $A668=IMPORTRANGE(""https://docs.google.com/spreadsheets/d/1kGrh75X1cNR1D7_FcY9zMnHP8iPO4M5RCRjy6nZY0TY/edi"&amp;"t#gid=0"",""Table 1: Study characteristics!B4:B171"")))&gt;0
),
""Include""
)"),"Exclude")</f>
        <v>Exclude</v>
      </c>
      <c r="G668" s="5" t="str">
        <f>IFERROR(__xludf.DUMMYFUNCTION("IFS(
D668=""Exclude"",
FILTER(IMPORTRANGE(""https://docs.google.com/spreadsheets/d/1BJSV3WBYJGRhQ6zExamkszQ5VutGIcaQqmbD9ZTVXMQ/edit#gid=1251630045"",""articles_with_PRISMA_reasons!AB2:AB2113""), $A668=IMPORTRANGE(""https://docs.google.com/spreadsheets/d/"&amp;"1BJSV3WBYJGRhQ6zExamkszQ5VutGIcaQqmbD9ZTVXMQ/edit#gid=1251630045"",""articles_with_PRISMA_reasons!B2:B2113"")),
E668=""Exclude"",
FILTER(IMPORTRANGE(""https://docs.google.com/spreadsheets/d/1qpEmbGH0JjaJbUdp21-y2cPbobDbMjr09BbtdKROZWc/edit#gid=1444865654"&amp;""",""articles_with_PRISMA_reasons!Z2:Z2113""), $A668=IMPORTRANGE(""https://docs.google.com/spreadsheets/d/1qpEmbGH0JjaJbUdp21-y2cPbobDbMjr09BbtdKROZWc/edit#gid=1444865654"",""articles_with_PRISMA_reasons!B2:B2113"")),F668
=""Include"",FILTER(IMPORTRANGE("&amp;"""https://docs.google.com/spreadsheets/d/1kGrh75X1cNR1D7_FcY9zMnHP8iPO4M5RCRjy6nZY0TY/edit#gid=0"",""Table 1: Study characteristics!A4:A171""), $A668=IMPORTRANGE(""https://docs.google.com/spreadsheets/d/1kGrh75X1cNR1D7_FcY9zMnHP8iPO4M5RCRjy6nZY0TY/edit#gi"&amp;"d=0"",""Table 1: Study characteristics!B4:B171""))
)"),"wrong study design")</f>
        <v>wrong study design</v>
      </c>
    </row>
    <row r="669">
      <c r="A669" s="4" t="str">
        <f>IFERROR(__xludf.DUMMYFUNCTION("""COMPUTED_VALUE"""),"Dysraphic lesions of the cervical spinal cord")</f>
        <v>Dysraphic lesions of the cervical spinal cord</v>
      </c>
      <c r="B669" s="5" t="str">
        <f>IFERROR(__xludf.DUMMYFUNCTION("LEFT(FILTER(IMPORTRANGE(""https://docs.google.com/spreadsheets/d/1BJSV3WBYJGRhQ6zExamkszQ5VutGIcaQqmbD9ZTVXMQ/edit#gid=1251630045"",""articles_with_PRISMA_reasons!K2:K2113""), $A669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$A669=IMPORTRANGE(""https://docs.google.com/spreadsheets/d/1BJSV3WBYJGRhQ6zExamkszQ5VutGIcaQqmbD9ZTVXMQ/edit#gid=1251630045"",""articles_with_PRISMA_reasons!B2:B2113"")))-1)"),"Steinbok")</f>
        <v>Steinbok</v>
      </c>
      <c r="C669" s="6">
        <f>IFERROR(__xludf.DUMMYFUNCTION("FILTER(IMPORTRANGE(""https://docs.google.com/spreadsheets/d/1BJSV3WBYJGRhQ6zExamkszQ5VutGIcaQqmbD9ZTVXMQ/edit#gid=1251630045"",""articles_with_PRISMA_reasons!C2:C2113""), $A669=IMPORTRANGE(""https://docs.google.com/spreadsheets/d/1BJSV3WBYJGRhQ6zExamkszQ5"&amp;"VutGIcaQqmbD9ZTVXMQ/edit#gid=1251630045"",""articles_with_PRISMA_reasons!B2:B2113""))"),1995.0)</f>
        <v>1995</v>
      </c>
      <c r="D669" s="5" t="str">
        <f>IFERROR(__xludf.DUMMYFUNCTION("IFS(AND(
FILTER(IMPORTRANGE(""https://docs.google.com/spreadsheets/d/1BJSV3WBYJGRhQ6zExamkszQ5VutGIcaQqmbD9ZTVXMQ/edit#gid=1251630045"",""articles_with_PRISMA_reasons!Y2:Y2113""), $A669=IMPORTRANGE(""https://docs.google.com/spreadsheets/d/1BJSV3WBYJGRhQ6z"&amp;"ExamkszQ5VutGIcaQqmbD9ZTVXMQ/edit#gid=1251630045"",""articles_with_PRISMA_reasons!B2:B2113""))&gt;=2,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$A669=IMPORTRANGE(""https://docs.google.com/spreadsheets/d/1BJSV3WBYJGRhQ6zExamkszQ5VutGIcaQqmbD9ZTVXMQ/edit#gid=1251630045"",""articles_with_PRISMA_reasons!B2:B2113""))&lt;2),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$A669=IMPORTRANGE(""https://docs.google.com/spreadsheets/d/1BJSV3WBYJGRhQ6zExamkszQ5VutGIcaQqmbD9ZTVXMQ/edit#gid=1251630045"",""arti"&amp;"cles_with_PRISMA_reasons!B2:B2113""))&lt;2,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$A669=IMPORTRANGE(""https://docs.google.com"&amp;"/spreadsheets/d/1BJSV3WBYJGRhQ6zExamkszQ5VutGIcaQqmbD9ZTVXMQ/edit#gid=1251630045"",""articles_with_PRISMA_reasons!B2:B2113""))&gt;=2),
""Exclude""
)"),"Exclude")</f>
        <v>Exclude</v>
      </c>
      <c r="E669" s="5" t="str">
        <f>IFERROR(__xludf.DUMMYFUNCTION("IFS(
D669=""Exclude"",""Exclude"",
AND(
FILTER(IMPORTRANGE(""https://docs.google.com/spreadsheets/d/1qpEmbGH0JjaJbUdp21-y2cPbobDbMjr09BbtdKROZWc/edit#gid=1444865654"",""articles_with_PRISMA_reasons!W2:W2113""), $A669=IMPORTRANGE(""https://docs.google.com/"&amp;"spreadsheets/d/1qpEmbGH0JjaJbUdp21-y2cPbobDbMjr09BbtdKROZWc/edit#gid=1444865654"",""articles_with_PRISMA_reasons!B2:B2113""))&gt;=2,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$A669=IMPORTRANGE(""https://docs.google.com/spreadsheets/d/1qpEmbGH0JjaJbUdp21-y2cPbobDbMjr09BbtdKROZWc/edit#gid=1444865654"",""articles_with_PRISMA_reasons!B2:B2113""))&lt;2),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$A669=IMPORTRANGE(""https://docs.google.com/spreadsheets/d/1qpEmbGH0JjaJbUdp21-y2cPbobDbMjr09BbtdKRO"&amp;"ZWc/edit#gid=1444865654"",""articles_with_PRISMA_reasons!B2:B2113""))&lt;2,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$A669=IMPOR"&amp;"TRANGE(""https://docs.google.com/spreadsheets/d/1qpEmbGH0JjaJbUdp21-y2cPbobDbMjr09BbtdKROZWc/edit#gid=1444865654"",""articles_with_PRISMA_reasons!B2:B2113""))&gt;=2),
""Exclude""
)"),"Exclude")</f>
        <v>Exclude</v>
      </c>
      <c r="F669" s="5" t="str">
        <f>IFERROR(__xludf.DUMMYFUNCTION("IFS(
E669=""Exclude"",""Exclude"",
AND(
COUNTIF(
IMPORTRANGE(""https://docs.google.com/spreadsheets/d/1kGrh75X1cNR1D7_FcY9zMnHP8iPO4M5RCRjy6nZY0TY/edit#gid=0"",""Table 1: Study characteristics!B4:B171""),A669)&gt;0,
COUNTIF(Studies!$A$2:$A$85,FILTER(IMPORTRA"&amp;"NGE(""https://docs.google.com/spreadsheets/d/1kGrh75X1cNR1D7_FcY9zMnHP8iPO4M5RCRjy6nZY0TY/edit#gid=0"",""Table 1: Study characteristics!A4:A171""), $A669=IMPORTRANGE(""https://docs.google.com/spreadsheets/d/1kGrh75X1cNR1D7_FcY9zMnHP8iPO4M5RCRjy6nZY0TY/edi"&amp;"t#gid=0"",""Table 1: Study characteristics!B4:B171"")))&gt;0
),
""Include""
)"),"Exclude")</f>
        <v>Exclude</v>
      </c>
      <c r="G669" s="5" t="str">
        <f>IFERROR(__xludf.DUMMYFUNCTION("IFS(
D669=""Exclude"",
FILTER(IMPORTRANGE(""https://docs.google.com/spreadsheets/d/1BJSV3WBYJGRhQ6zExamkszQ5VutGIcaQqmbD9ZTVXMQ/edit#gid=1251630045"",""articles_with_PRISMA_reasons!AB2:AB2113""), $A669=IMPORTRANGE(""https://docs.google.com/spreadsheets/d/"&amp;"1BJSV3WBYJGRhQ6zExamkszQ5VutGIcaQqmbD9ZTVXMQ/edit#gid=1251630045"",""articles_with_PRISMA_reasons!B2:B2113"")),
E669=""Exclude"",
FILTER(IMPORTRANGE(""https://docs.google.com/spreadsheets/d/1qpEmbGH0JjaJbUdp21-y2cPbobDbMjr09BbtdKROZWc/edit#gid=1444865654"&amp;""",""articles_with_PRISMA_reasons!Z2:Z2113""), $A669=IMPORTRANGE(""https://docs.google.com/spreadsheets/d/1qpEmbGH0JjaJbUdp21-y2cPbobDbMjr09BbtdKROZWc/edit#gid=1444865654"",""articles_with_PRISMA_reasons!B2:B2113"")),F669
=""Include"",FILTER(IMPORTRANGE("&amp;"""https://docs.google.com/spreadsheets/d/1kGrh75X1cNR1D7_FcY9zMnHP8iPO4M5RCRjy6nZY0TY/edit#gid=0"",""Table 1: Study characteristics!A4:A171""), $A669=IMPORTRANGE(""https://docs.google.com/spreadsheets/d/1kGrh75X1cNR1D7_FcY9zMnHP8iPO4M5RCRjy6nZY0TY/edit#gi"&amp;"d=0"",""Table 1: Study characteristics!B4:B171""))
)"),"wrong population")</f>
        <v>wrong population</v>
      </c>
    </row>
    <row r="670">
      <c r="A670" s="4" t="str">
        <f>IFERROR(__xludf.DUMMYFUNCTION("""COMPUTED_VALUE"""),"Early brain injury in children: development and reorganization of cognitive function")</f>
        <v>Early brain injury in children: development and reorganization of cognitive function</v>
      </c>
      <c r="B670" s="5" t="str">
        <f>IFERROR(__xludf.DUMMYFUNCTION("LEFT(FILTER(IMPORTRANGE(""https://docs.google.com/spreadsheets/d/1BJSV3WBYJGRhQ6zExamkszQ5VutGIcaQqmbD9ZTVXMQ/edit#gid=1251630045"",""articles_with_PRISMA_reasons!K2:K2113""), $A670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$A670=IMPORTRANGE(""https://docs.google.com/spreadsheets/d/1BJSV3WBYJGRhQ6zExamkszQ5VutGIcaQqmbD9ZTVXMQ/edit#gid=1251630045"",""articles_with_PRISMA_reasons!B2:B2113"")))-1)"),"Ewing-Cobbs")</f>
        <v>Ewing-Cobbs</v>
      </c>
      <c r="C670" s="6">
        <f>IFERROR(__xludf.DUMMYFUNCTION("FILTER(IMPORTRANGE(""https://docs.google.com/spreadsheets/d/1BJSV3WBYJGRhQ6zExamkszQ5VutGIcaQqmbD9ZTVXMQ/edit#gid=1251630045"",""articles_with_PRISMA_reasons!C2:C2113""), $A670=IMPORTRANGE(""https://docs.google.com/spreadsheets/d/1BJSV3WBYJGRhQ6zExamkszQ5"&amp;"VutGIcaQqmbD9ZTVXMQ/edit#gid=1251630045"",""articles_with_PRISMA_reasons!B2:B2113""))"),2003.0)</f>
        <v>2003</v>
      </c>
      <c r="D670" s="5" t="str">
        <f>IFERROR(__xludf.DUMMYFUNCTION("IFS(AND(
FILTER(IMPORTRANGE(""https://docs.google.com/spreadsheets/d/1BJSV3WBYJGRhQ6zExamkszQ5VutGIcaQqmbD9ZTVXMQ/edit#gid=1251630045"",""articles_with_PRISMA_reasons!Y2:Y2113""), $A670=IMPORTRANGE(""https://docs.google.com/spreadsheets/d/1BJSV3WBYJGRhQ6z"&amp;"ExamkszQ5VutGIcaQqmbD9ZTVXMQ/edit#gid=1251630045"",""articles_with_PRISMA_reasons!B2:B2113""))&gt;=2,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$A670=IMPORTRANGE(""https://docs.google.com/spreadsheets/d/1BJSV3WBYJGRhQ6zExamkszQ5VutGIcaQqmbD9ZTVXMQ/edit#gid=1251630045"",""articles_with_PRISMA_reasons!B2:B2113""))&lt;2),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$A670=IMPORTRANGE(""https://docs.google.com/spreadsheets/d/1BJSV3WBYJGRhQ6zExamkszQ5VutGIcaQqmbD9ZTVXMQ/edit#gid=1251630045"",""arti"&amp;"cles_with_PRISMA_reasons!B2:B2113""))&lt;2,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$A670=IMPORTRANGE(""https://docs.google.com"&amp;"/spreadsheets/d/1BJSV3WBYJGRhQ6zExamkszQ5VutGIcaQqmbD9ZTVXMQ/edit#gid=1251630045"",""articles_with_PRISMA_reasons!B2:B2113""))&gt;=2),
""Exclude""
)"),"Exclude")</f>
        <v>Exclude</v>
      </c>
      <c r="E670" s="5" t="str">
        <f>IFERROR(__xludf.DUMMYFUNCTION("IFS(
D670=""Exclude"",""Exclude"",
AND(
FILTER(IMPORTRANGE(""https://docs.google.com/spreadsheets/d/1qpEmbGH0JjaJbUdp21-y2cPbobDbMjr09BbtdKROZWc/edit#gid=1444865654"",""articles_with_PRISMA_reasons!W2:W2113""), $A670=IMPORTRANGE(""https://docs.google.com/"&amp;"spreadsheets/d/1qpEmbGH0JjaJbUdp21-y2cPbobDbMjr09BbtdKROZWc/edit#gid=1444865654"",""articles_with_PRISMA_reasons!B2:B2113""))&gt;=2,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$A670=IMPORTRANGE(""https://docs.google.com/spreadsheets/d/1qpEmbGH0JjaJbUdp21-y2cPbobDbMjr09BbtdKROZWc/edit#gid=1444865654"",""articles_with_PRISMA_reasons!B2:B2113""))&lt;2),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$A670=IMPORTRANGE(""https://docs.google.com/spreadsheets/d/1qpEmbGH0JjaJbUdp21-y2cPbobDbMjr09BbtdKRO"&amp;"ZWc/edit#gid=1444865654"",""articles_with_PRISMA_reasons!B2:B2113""))&lt;2,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$A670=IMPOR"&amp;"TRANGE(""https://docs.google.com/spreadsheets/d/1qpEmbGH0JjaJbUdp21-y2cPbobDbMjr09BbtdKROZWc/edit#gid=1444865654"",""articles_with_PRISMA_reasons!B2:B2113""))&gt;=2),
""Exclude""
)"),"Exclude")</f>
        <v>Exclude</v>
      </c>
      <c r="F670" s="5" t="str">
        <f>IFERROR(__xludf.DUMMYFUNCTION("IFS(
E670=""Exclude"",""Exclude"",
AND(
COUNTIF(
IMPORTRANGE(""https://docs.google.com/spreadsheets/d/1kGrh75X1cNR1D7_FcY9zMnHP8iPO4M5RCRjy6nZY0TY/edit#gid=0"",""Table 1: Study characteristics!B4:B171""),A670)&gt;0,
COUNTIF(Studies!$A$2:$A$85,FILTER(IMPORTRA"&amp;"NGE(""https://docs.google.com/spreadsheets/d/1kGrh75X1cNR1D7_FcY9zMnHP8iPO4M5RCRjy6nZY0TY/edit#gid=0"",""Table 1: Study characteristics!A4:A171""), $A670=IMPORTRANGE(""https://docs.google.com/spreadsheets/d/1kGrh75X1cNR1D7_FcY9zMnHP8iPO4M5RCRjy6nZY0TY/edi"&amp;"t#gid=0"",""Table 1: Study characteristics!B4:B171"")))&gt;0
),
""Include""
)"),"Exclude")</f>
        <v>Exclude</v>
      </c>
      <c r="G670" s="5" t="str">
        <f>IFERROR(__xludf.DUMMYFUNCTION("IFS(
D670=""Exclude"",
FILTER(IMPORTRANGE(""https://docs.google.com/spreadsheets/d/1BJSV3WBYJGRhQ6zExamkszQ5VutGIcaQqmbD9ZTVXMQ/edit#gid=1251630045"",""articles_with_PRISMA_reasons!AB2:AB2113""), $A670=IMPORTRANGE(""https://docs.google.com/spreadsheets/d/"&amp;"1BJSV3WBYJGRhQ6zExamkszQ5VutGIcaQqmbD9ZTVXMQ/edit#gid=1251630045"",""articles_with_PRISMA_reasons!B2:B2113"")),
E670=""Exclude"",
FILTER(IMPORTRANGE(""https://docs.google.com/spreadsheets/d/1qpEmbGH0JjaJbUdp21-y2cPbobDbMjr09BbtdKROZWc/edit#gid=1444865654"&amp;""",""articles_with_PRISMA_reasons!Z2:Z2113""), $A670=IMPORTRANGE(""https://docs.google.com/spreadsheets/d/1qpEmbGH0JjaJbUdp21-y2cPbobDbMjr09BbtdKROZWc/edit#gid=1444865654"",""articles_with_PRISMA_reasons!B2:B2113"")),F670
=""Include"",FILTER(IMPORTRANGE("&amp;"""https://docs.google.com/spreadsheets/d/1kGrh75X1cNR1D7_FcY9zMnHP8iPO4M5RCRjy6nZY0TY/edit#gid=0"",""Table 1: Study characteristics!A4:A171""), $A670=IMPORTRANGE(""https://docs.google.com/spreadsheets/d/1kGrh75X1cNR1D7_FcY9zMnHP8iPO4M5RCRjy6nZY0TY/edit#gi"&amp;"d=0"",""Table 1: Study characteristics!B4:B171""))
)"),"wrong study design")</f>
        <v>wrong study design</v>
      </c>
    </row>
    <row r="671">
      <c r="A671" s="4" t="str">
        <f>IFERROR(__xludf.DUMMYFUNCTION("""COMPUTED_VALUE"""),"Early infantile hydrocephalus assessed by the posterior fossa ratio method")</f>
        <v>Early infantile hydrocephalus assessed by the posterior fossa ratio method</v>
      </c>
      <c r="B671" s="5" t="str">
        <f>IFERROR(__xludf.DUMMYFUNCTION("LEFT(FILTER(IMPORTRANGE(""https://docs.google.com/spreadsheets/d/1BJSV3WBYJGRhQ6zExamkszQ5VutGIcaQqmbD9ZTVXMQ/edit#gid=1251630045"",""articles_with_PRISMA_reasons!K2:K2113""), $A671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$A671=IMPORTRANGE(""https://docs.google.com/spreadsheets/d/1BJSV3WBYJGRhQ6zExamkszQ5VutGIcaQqmbD9ZTVXMQ/edit#gid=1251630045"",""articles_with_PRISMA_reasons!B2:B2113"")))-1)"),"Krogness")</f>
        <v>Krogness</v>
      </c>
      <c r="C671" s="6">
        <f>IFERROR(__xludf.DUMMYFUNCTION("FILTER(IMPORTRANGE(""https://docs.google.com/spreadsheets/d/1BJSV3WBYJGRhQ6zExamkszQ5VutGIcaQqmbD9ZTVXMQ/edit#gid=1251630045"",""articles_with_PRISMA_reasons!C2:C2113""), $A671=IMPORTRANGE(""https://docs.google.com/spreadsheets/d/1BJSV3WBYJGRhQ6zExamkszQ5"&amp;"VutGIcaQqmbD9ZTVXMQ/edit#gid=1251630045"",""articles_with_PRISMA_reasons!B2:B2113""))"),1978.0)</f>
        <v>1978</v>
      </c>
      <c r="D671" s="5" t="str">
        <f>IFERROR(__xludf.DUMMYFUNCTION("IFS(AND(
FILTER(IMPORTRANGE(""https://docs.google.com/spreadsheets/d/1BJSV3WBYJGRhQ6zExamkszQ5VutGIcaQqmbD9ZTVXMQ/edit#gid=1251630045"",""articles_with_PRISMA_reasons!Y2:Y2113""), $A671=IMPORTRANGE(""https://docs.google.com/spreadsheets/d/1BJSV3WBYJGRhQ6z"&amp;"ExamkszQ5VutGIcaQqmbD9ZTVXMQ/edit#gid=1251630045"",""articles_with_PRISMA_reasons!B2:B2113""))&gt;=2,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$A671=IMPORTRANGE(""https://docs.google.com/spreadsheets/d/1BJSV3WBYJGRhQ6zExamkszQ5VutGIcaQqmbD9ZTVXMQ/edit#gid=1251630045"",""articles_with_PRISMA_reasons!B2:B2113""))&lt;2),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$A671=IMPORTRANGE(""https://docs.google.com/spreadsheets/d/1BJSV3WBYJGRhQ6zExamkszQ5VutGIcaQqmbD9ZTVXMQ/edit#gid=1251630045"",""arti"&amp;"cles_with_PRISMA_reasons!B2:B2113""))&lt;2,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$A671=IMPORTRANGE(""https://docs.google.com"&amp;"/spreadsheets/d/1BJSV3WBYJGRhQ6zExamkszQ5VutGIcaQqmbD9ZTVXMQ/edit#gid=1251630045"",""articles_with_PRISMA_reasons!B2:B2113""))&gt;=2),
""Exclude""
)"),"Exclude")</f>
        <v>Exclude</v>
      </c>
      <c r="E671" s="5" t="str">
        <f>IFERROR(__xludf.DUMMYFUNCTION("IFS(
D671=""Exclude"",""Exclude"",
AND(
FILTER(IMPORTRANGE(""https://docs.google.com/spreadsheets/d/1qpEmbGH0JjaJbUdp21-y2cPbobDbMjr09BbtdKROZWc/edit#gid=1444865654"",""articles_with_PRISMA_reasons!W2:W2113""), $A671=IMPORTRANGE(""https://docs.google.com/"&amp;"spreadsheets/d/1qpEmbGH0JjaJbUdp21-y2cPbobDbMjr09BbtdKROZWc/edit#gid=1444865654"",""articles_with_PRISMA_reasons!B2:B2113""))&gt;=2,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$A671=IMPORTRANGE(""https://docs.google.com/spreadsheets/d/1qpEmbGH0JjaJbUdp21-y2cPbobDbMjr09BbtdKROZWc/edit#gid=1444865654"",""articles_with_PRISMA_reasons!B2:B2113""))&lt;2),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$A671=IMPORTRANGE(""https://docs.google.com/spreadsheets/d/1qpEmbGH0JjaJbUdp21-y2cPbobDbMjr09BbtdKRO"&amp;"ZWc/edit#gid=1444865654"",""articles_with_PRISMA_reasons!B2:B2113""))&lt;2,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$A671=IMPOR"&amp;"TRANGE(""https://docs.google.com/spreadsheets/d/1qpEmbGH0JjaJbUdp21-y2cPbobDbMjr09BbtdKROZWc/edit#gid=1444865654"",""articles_with_PRISMA_reasons!B2:B2113""))&gt;=2),
""Exclude""
)"),"Exclude")</f>
        <v>Exclude</v>
      </c>
      <c r="F671" s="5" t="str">
        <f>IFERROR(__xludf.DUMMYFUNCTION("IFS(
E671=""Exclude"",""Exclude"",
AND(
COUNTIF(
IMPORTRANGE(""https://docs.google.com/spreadsheets/d/1kGrh75X1cNR1D7_FcY9zMnHP8iPO4M5RCRjy6nZY0TY/edit#gid=0"",""Table 1: Study characteristics!B4:B171""),A671)&gt;0,
COUNTIF(Studies!$A$2:$A$85,FILTER(IMPORTRA"&amp;"NGE(""https://docs.google.com/spreadsheets/d/1kGrh75X1cNR1D7_FcY9zMnHP8iPO4M5RCRjy6nZY0TY/edit#gid=0"",""Table 1: Study characteristics!A4:A171""), $A671=IMPORTRANGE(""https://docs.google.com/spreadsheets/d/1kGrh75X1cNR1D7_FcY9zMnHP8iPO4M5RCRjy6nZY0TY/edi"&amp;"t#gid=0"",""Table 1: Study characteristics!B4:B171"")))&gt;0
),
""Include""
)"),"Exclude")</f>
        <v>Exclude</v>
      </c>
      <c r="G671" s="5" t="str">
        <f>IFERROR(__xludf.DUMMYFUNCTION("IFS(
D671=""Exclude"",
FILTER(IMPORTRANGE(""https://docs.google.com/spreadsheets/d/1BJSV3WBYJGRhQ6zExamkszQ5VutGIcaQqmbD9ZTVXMQ/edit#gid=1251630045"",""articles_with_PRISMA_reasons!AB2:AB2113""), $A671=IMPORTRANGE(""https://docs.google.com/spreadsheets/d/"&amp;"1BJSV3WBYJGRhQ6zExamkszQ5VutGIcaQqmbD9ZTVXMQ/edit#gid=1251630045"",""articles_with_PRISMA_reasons!B2:B2113"")),
E671=""Exclude"",
FILTER(IMPORTRANGE(""https://docs.google.com/spreadsheets/d/1qpEmbGH0JjaJbUdp21-y2cPbobDbMjr09BbtdKROZWc/edit#gid=1444865654"&amp;""",""articles_with_PRISMA_reasons!Z2:Z2113""), $A671=IMPORTRANGE(""https://docs.google.com/spreadsheets/d/1qpEmbGH0JjaJbUdp21-y2cPbobDbMjr09BbtdKROZWc/edit#gid=1444865654"",""articles_with_PRISMA_reasons!B2:B2113"")),F671
=""Include"",FILTER(IMPORTRANGE("&amp;"""https://docs.google.com/spreadsheets/d/1kGrh75X1cNR1D7_FcY9zMnHP8iPO4M5RCRjy6nZY0TY/edit#gid=0"",""Table 1: Study characteristics!A4:A171""), $A671=IMPORTRANGE(""https://docs.google.com/spreadsheets/d/1kGrh75X1cNR1D7_FcY9zMnHP8iPO4M5RCRjy6nZY0TY/edit#gi"&amp;"d=0"",""Table 1: Study characteristics!B4:B171""))
)"),"wrong study design")</f>
        <v>wrong study design</v>
      </c>
    </row>
    <row r="672">
      <c r="A672" s="4" t="str">
        <f>IFERROR(__xludf.DUMMYFUNCTION("""COMPUTED_VALUE"""),"Early management of meningomyelocele")</f>
        <v>Early management of meningomyelocele</v>
      </c>
      <c r="B672" s="5" t="str">
        <f>IFERROR(__xludf.DUMMYFUNCTION("LEFT(FILTER(IMPORTRANGE(""https://docs.google.com/spreadsheets/d/1BJSV3WBYJGRhQ6zExamkszQ5VutGIcaQqmbD9ZTVXMQ/edit#gid=1251630045"",""articles_with_PRISMA_reasons!K2:K2113""), $A672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$A672=IMPORTRANGE(""https://docs.google.com/spreadsheets/d/1BJSV3WBYJGRhQ6zExamkszQ5VutGIcaQqmbD9ZTVXMQ/edit#gid=1251630045"",""articles_with_PRISMA_reasons!B2:B2113"")))-1)"),"Brown")</f>
        <v>Brown</v>
      </c>
      <c r="C672" s="6">
        <f>IFERROR(__xludf.DUMMYFUNCTION("FILTER(IMPORTRANGE(""https://docs.google.com/spreadsheets/d/1BJSV3WBYJGRhQ6zExamkszQ5VutGIcaQqmbD9ZTVXMQ/edit#gid=1251630045"",""articles_with_PRISMA_reasons!C2:C2113""), $A672=IMPORTRANGE(""https://docs.google.com/spreadsheets/d/1BJSV3WBYJGRhQ6zExamkszQ5"&amp;"VutGIcaQqmbD9ZTVXMQ/edit#gid=1251630045"",""articles_with_PRISMA_reasons!B2:B2113""))"),2000.0)</f>
        <v>2000</v>
      </c>
      <c r="D672" s="5" t="str">
        <f>IFERROR(__xludf.DUMMYFUNCTION("IFS(AND(
FILTER(IMPORTRANGE(""https://docs.google.com/spreadsheets/d/1BJSV3WBYJGRhQ6zExamkszQ5VutGIcaQqmbD9ZTVXMQ/edit#gid=1251630045"",""articles_with_PRISMA_reasons!Y2:Y2113""), $A672=IMPORTRANGE(""https://docs.google.com/spreadsheets/d/1BJSV3WBYJGRhQ6z"&amp;"ExamkszQ5VutGIcaQqmbD9ZTVXMQ/edit#gid=1251630045"",""articles_with_PRISMA_reasons!B2:B2113""))&gt;=2,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$A672=IMPORTRANGE(""https://docs.google.com/spreadsheets/d/1BJSV3WBYJGRhQ6zExamkszQ5VutGIcaQqmbD9ZTVXMQ/edit#gid=1251630045"",""articles_with_PRISMA_reasons!B2:B2113""))&lt;2),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$A672=IMPORTRANGE(""https://docs.google.com/spreadsheets/d/1BJSV3WBYJGRhQ6zExamkszQ5VutGIcaQqmbD9ZTVXMQ/edit#gid=1251630045"",""arti"&amp;"cles_with_PRISMA_reasons!B2:B2113""))&lt;2,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$A672=IMPORTRANGE(""https://docs.google.com"&amp;"/spreadsheets/d/1BJSV3WBYJGRhQ6zExamkszQ5VutGIcaQqmbD9ZTVXMQ/edit#gid=1251630045"",""articles_with_PRISMA_reasons!B2:B2113""))&gt;=2),
""Exclude""
)"),"Include")</f>
        <v>Include</v>
      </c>
      <c r="E672" s="5" t="str">
        <f>IFERROR(__xludf.DUMMYFUNCTION("IFS(
D672=""Exclude"",""Exclude"",
AND(
FILTER(IMPORTRANGE(""https://docs.google.com/spreadsheets/d/1qpEmbGH0JjaJbUdp21-y2cPbobDbMjr09BbtdKROZWc/edit#gid=1444865654"",""articles_with_PRISMA_reasons!W2:W2113""), $A672=IMPORTRANGE(""https://docs.google.com/"&amp;"spreadsheets/d/1qpEmbGH0JjaJbUdp21-y2cPbobDbMjr09BbtdKROZWc/edit#gid=1444865654"",""articles_with_PRISMA_reasons!B2:B2113""))&gt;=2,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$A672=IMPORTRANGE(""https://docs.google.com/spreadsheets/d/1qpEmbGH0JjaJbUdp21-y2cPbobDbMjr09BbtdKROZWc/edit#gid=1444865654"",""articles_with_PRISMA_reasons!B2:B2113""))&lt;2),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$A672=IMPORTRANGE(""https://docs.google.com/spreadsheets/d/1qpEmbGH0JjaJbUdp21-y2cPbobDbMjr09BbtdKRO"&amp;"ZWc/edit#gid=1444865654"",""articles_with_PRISMA_reasons!B2:B2113""))&lt;2,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$A672=IMPOR"&amp;"TRANGE(""https://docs.google.com/spreadsheets/d/1qpEmbGH0JjaJbUdp21-y2cPbobDbMjr09BbtdKROZWc/edit#gid=1444865654"",""articles_with_PRISMA_reasons!B2:B2113""))&gt;=2),
""Exclude""
)"),"Exclude")</f>
        <v>Exclude</v>
      </c>
      <c r="F672" s="5" t="str">
        <f>IFERROR(__xludf.DUMMYFUNCTION("IFS(
E672=""Exclude"",""Exclude"",
AND(
COUNTIF(
IMPORTRANGE(""https://docs.google.com/spreadsheets/d/1kGrh75X1cNR1D7_FcY9zMnHP8iPO4M5RCRjy6nZY0TY/edit#gid=0"",""Table 1: Study characteristics!B4:B171""),A672)&gt;0,
COUNTIF(Studies!$A$2:$A$85,FILTER(IMPORTRA"&amp;"NGE(""https://docs.google.com/spreadsheets/d/1kGrh75X1cNR1D7_FcY9zMnHP8iPO4M5RCRjy6nZY0TY/edit#gid=0"",""Table 1: Study characteristics!A4:A171""), $A672=IMPORTRANGE(""https://docs.google.com/spreadsheets/d/1kGrh75X1cNR1D7_FcY9zMnHP8iPO4M5RCRjy6nZY0TY/edi"&amp;"t#gid=0"",""Table 1: Study characteristics!B4:B171"")))&gt;0
),
""Include""
)"),"Exclude")</f>
        <v>Exclude</v>
      </c>
      <c r="G672" s="5" t="str">
        <f>IFERROR(__xludf.DUMMYFUNCTION("IFS(
D672=""Exclude"",
FILTER(IMPORTRANGE(""https://docs.google.com/spreadsheets/d/1BJSV3WBYJGRhQ6zExamkszQ5VutGIcaQqmbD9ZTVXMQ/edit#gid=1251630045"",""articles_with_PRISMA_reasons!AB2:AB2113""), $A672=IMPORTRANGE(""https://docs.google.com/spreadsheets/d/"&amp;"1BJSV3WBYJGRhQ6zExamkszQ5VutGIcaQqmbD9ZTVXMQ/edit#gid=1251630045"",""articles_with_PRISMA_reasons!B2:B2113"")),
E672=""Exclude"",
FILTER(IMPORTRANGE(""https://docs.google.com/spreadsheets/d/1qpEmbGH0JjaJbUdp21-y2cPbobDbMjr09BbtdKROZWc/edit#gid=1444865654"&amp;""",""articles_with_PRISMA_reasons!Z2:Z2113""), $A672=IMPORTRANGE(""https://docs.google.com/spreadsheets/d/1qpEmbGH0JjaJbUdp21-y2cPbobDbMjr09BbtdKROZWc/edit#gid=1444865654"",""articles_with_PRISMA_reasons!B2:B2113"")),F672
=""Include"",FILTER(IMPORTRANGE("&amp;"""https://docs.google.com/spreadsheets/d/1kGrh75X1cNR1D7_FcY9zMnHP8iPO4M5RCRjy6nZY0TY/edit#gid=0"",""Table 1: Study characteristics!A4:A171""), $A672=IMPORTRANGE(""https://docs.google.com/spreadsheets/d/1kGrh75X1cNR1D7_FcY9zMnHP8iPO4M5RCRjy6nZY0TY/edit#gi"&amp;"d=0"",""Table 1: Study characteristics!B4:B171""))
)"),"Full text unavailable")</f>
        <v>Full text unavailable</v>
      </c>
    </row>
    <row r="673">
      <c r="A673" s="4" t="str">
        <f>IFERROR(__xludf.DUMMYFUNCTION("""COMPUTED_VALUE"""),"Early outcome of combined endoscopic third ventriculostomy and choroid plexus cauterization in childhood hydrocephalus")</f>
        <v>Early outcome of combined endoscopic third ventriculostomy and choroid plexus cauterization in childhood hydrocephalus</v>
      </c>
      <c r="B673" s="5" t="str">
        <f>IFERROR(__xludf.DUMMYFUNCTION("LEFT(FILTER(IMPORTRANGE(""https://docs.google.com/spreadsheets/d/1BJSV3WBYJGRhQ6zExamkszQ5VutGIcaQqmbD9ZTVXMQ/edit#gid=1251630045"",""articles_with_PRISMA_reasons!K2:K2113""), $A673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$A673=IMPORTRANGE(""https://docs.google.com/spreadsheets/d/1BJSV3WBYJGRhQ6zExamkszQ5VutGIcaQqmbD9ZTVXMQ/edit#gid=1251630045"",""articles_with_PRISMA_reasons!B2:B2113"")))-1)"),"Bankole")</f>
        <v>Bankole</v>
      </c>
      <c r="C673" s="6">
        <f>IFERROR(__xludf.DUMMYFUNCTION("FILTER(IMPORTRANGE(""https://docs.google.com/spreadsheets/d/1BJSV3WBYJGRhQ6zExamkszQ5VutGIcaQqmbD9ZTVXMQ/edit#gid=1251630045"",""articles_with_PRISMA_reasons!C2:C2113""), $A673=IMPORTRANGE(""https://docs.google.com/spreadsheets/d/1BJSV3WBYJGRhQ6zExamkszQ5"&amp;"VutGIcaQqmbD9ZTVXMQ/edit#gid=1251630045"",""articles_with_PRISMA_reasons!B2:B2113""))"),2015.0)</f>
        <v>2015</v>
      </c>
      <c r="D673" s="5" t="str">
        <f>IFERROR(__xludf.DUMMYFUNCTION("IFS(AND(
FILTER(IMPORTRANGE(""https://docs.google.com/spreadsheets/d/1BJSV3WBYJGRhQ6zExamkszQ5VutGIcaQqmbD9ZTVXMQ/edit#gid=1251630045"",""articles_with_PRISMA_reasons!Y2:Y2113""), $A673=IMPORTRANGE(""https://docs.google.com/spreadsheets/d/1BJSV3WBYJGRhQ6z"&amp;"ExamkszQ5VutGIcaQqmbD9ZTVXMQ/edit#gid=1251630045"",""articles_with_PRISMA_reasons!B2:B2113""))&gt;=2,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$A673=IMPORTRANGE(""https://docs.google.com/spreadsheets/d/1BJSV3WBYJGRhQ6zExamkszQ5VutGIcaQqmbD9ZTVXMQ/edit#gid=1251630045"",""articles_with_PRISMA_reasons!B2:B2113""))&lt;2),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$A673=IMPORTRANGE(""https://docs.google.com/spreadsheets/d/1BJSV3WBYJGRhQ6zExamkszQ5VutGIcaQqmbD9ZTVXMQ/edit#gid=1251630045"",""arti"&amp;"cles_with_PRISMA_reasons!B2:B2113""))&lt;2,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$A673=IMPORTRANGE(""https://docs.google.com"&amp;"/spreadsheets/d/1BJSV3WBYJGRhQ6zExamkszQ5VutGIcaQqmbD9ZTVXMQ/edit#gid=1251630045"",""articles_with_PRISMA_reasons!B2:B2113""))&gt;=2),
""Exclude""
)"),"Include")</f>
        <v>Include</v>
      </c>
      <c r="E673" s="5" t="str">
        <f>IFERROR(__xludf.DUMMYFUNCTION("IFS(
D673=""Exclude"",""Exclude"",
AND(
FILTER(IMPORTRANGE(""https://docs.google.com/spreadsheets/d/1qpEmbGH0JjaJbUdp21-y2cPbobDbMjr09BbtdKROZWc/edit#gid=1444865654"",""articles_with_PRISMA_reasons!W2:W2113""), $A673=IMPORTRANGE(""https://docs.google.com/"&amp;"spreadsheets/d/1qpEmbGH0JjaJbUdp21-y2cPbobDbMjr09BbtdKROZWc/edit#gid=1444865654"",""articles_with_PRISMA_reasons!B2:B2113""))&gt;=2,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$A673=IMPORTRANGE(""https://docs.google.com/spreadsheets/d/1qpEmbGH0JjaJbUdp21-y2cPbobDbMjr09BbtdKROZWc/edit#gid=1444865654"",""articles_with_PRISMA_reasons!B2:B2113""))&lt;2),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$A673=IMPORTRANGE(""https://docs.google.com/spreadsheets/d/1qpEmbGH0JjaJbUdp21-y2cPbobDbMjr09BbtdKRO"&amp;"ZWc/edit#gid=1444865654"",""articles_with_PRISMA_reasons!B2:B2113""))&lt;2,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$A673=IMPOR"&amp;"TRANGE(""https://docs.google.com/spreadsheets/d/1qpEmbGH0JjaJbUdp21-y2cPbobDbMjr09BbtdKROZWc/edit#gid=1444865654"",""articles_with_PRISMA_reasons!B2:B2113""))&gt;=2),
""Exclude""
)"),"Include")</f>
        <v>Include</v>
      </c>
      <c r="F673" s="2" t="s">
        <v>8</v>
      </c>
      <c r="G673" s="2" t="s">
        <v>17</v>
      </c>
    </row>
    <row r="674">
      <c r="A674" s="4" t="str">
        <f>IFERROR(__xludf.DUMMYFUNCTION("""COMPUTED_VALUE"""),"Early postoperative colonic ventriculoperitoneal shunt migration with trans-anal protrusion: A unique case report")</f>
        <v>Early postoperative colonic ventriculoperitoneal shunt migration with trans-anal protrusion: A unique case report</v>
      </c>
      <c r="B674" s="5" t="str">
        <f>IFERROR(__xludf.DUMMYFUNCTION("LEFT(FILTER(IMPORTRANGE(""https://docs.google.com/spreadsheets/d/1BJSV3WBYJGRhQ6zExamkszQ5VutGIcaQqmbD9ZTVXMQ/edit#gid=1251630045"",""articles_with_PRISMA_reasons!K2:K2113""), $A674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$A674=IMPORTRANGE(""https://docs.google.com/spreadsheets/d/1BJSV3WBYJGRhQ6zExamkszQ5VutGIcaQqmbD9ZTVXMQ/edit#gid=1251630045"",""articles_with_PRISMA_reasons!B2:B2113"")))-1)"),"Alhendawy")</f>
        <v>Alhendawy</v>
      </c>
      <c r="C674" s="6">
        <f>IFERROR(__xludf.DUMMYFUNCTION("FILTER(IMPORTRANGE(""https://docs.google.com/spreadsheets/d/1BJSV3WBYJGRhQ6zExamkszQ5VutGIcaQqmbD9ZTVXMQ/edit#gid=1251630045"",""articles_with_PRISMA_reasons!C2:C2113""), $A674=IMPORTRANGE(""https://docs.google.com/spreadsheets/d/1BJSV3WBYJGRhQ6zExamkszQ5"&amp;"VutGIcaQqmbD9ZTVXMQ/edit#gid=1251630045"",""articles_with_PRISMA_reasons!B2:B2113""))"),2021.0)</f>
        <v>2021</v>
      </c>
      <c r="D674" s="5" t="str">
        <f>IFERROR(__xludf.DUMMYFUNCTION("IFS(AND(
FILTER(IMPORTRANGE(""https://docs.google.com/spreadsheets/d/1BJSV3WBYJGRhQ6zExamkszQ5VutGIcaQqmbD9ZTVXMQ/edit#gid=1251630045"",""articles_with_PRISMA_reasons!Y2:Y2113""), $A674=IMPORTRANGE(""https://docs.google.com/spreadsheets/d/1BJSV3WBYJGRhQ6z"&amp;"ExamkszQ5VutGIcaQqmbD9ZTVXMQ/edit#gid=1251630045"",""articles_with_PRISMA_reasons!B2:B2113""))&gt;=2,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$A674=IMPORTRANGE(""https://docs.google.com/spreadsheets/d/1BJSV3WBYJGRhQ6zExamkszQ5VutGIcaQqmbD9ZTVXMQ/edit#gid=1251630045"",""articles_with_PRISMA_reasons!B2:B2113""))&lt;2),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$A674=IMPORTRANGE(""https://docs.google.com/spreadsheets/d/1BJSV3WBYJGRhQ6zExamkszQ5VutGIcaQqmbD9ZTVXMQ/edit#gid=1251630045"",""arti"&amp;"cles_with_PRISMA_reasons!B2:B2113""))&lt;2,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$A674=IMPORTRANGE(""https://docs.google.com"&amp;"/spreadsheets/d/1BJSV3WBYJGRhQ6zExamkszQ5VutGIcaQqmbD9ZTVXMQ/edit#gid=1251630045"",""articles_with_PRISMA_reasons!B2:B2113""))&gt;=2),
""Exclude""
)"),"Exclude")</f>
        <v>Exclude</v>
      </c>
      <c r="E674" s="5" t="str">
        <f>IFERROR(__xludf.DUMMYFUNCTION("IFS(
D674=""Exclude"",""Exclude"",
AND(
FILTER(IMPORTRANGE(""https://docs.google.com/spreadsheets/d/1qpEmbGH0JjaJbUdp21-y2cPbobDbMjr09BbtdKROZWc/edit#gid=1444865654"",""articles_with_PRISMA_reasons!W2:W2113""), $A674=IMPORTRANGE(""https://docs.google.com/"&amp;"spreadsheets/d/1qpEmbGH0JjaJbUdp21-y2cPbobDbMjr09BbtdKROZWc/edit#gid=1444865654"",""articles_with_PRISMA_reasons!B2:B2113""))&gt;=2,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$A674=IMPORTRANGE(""https://docs.google.com/spreadsheets/d/1qpEmbGH0JjaJbUdp21-y2cPbobDbMjr09BbtdKROZWc/edit#gid=1444865654"",""articles_with_PRISMA_reasons!B2:B2113""))&lt;2),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$A674=IMPORTRANGE(""https://docs.google.com/spreadsheets/d/1qpEmbGH0JjaJbUdp21-y2cPbobDbMjr09BbtdKRO"&amp;"ZWc/edit#gid=1444865654"",""articles_with_PRISMA_reasons!B2:B2113""))&lt;2,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$A674=IMPOR"&amp;"TRANGE(""https://docs.google.com/spreadsheets/d/1qpEmbGH0JjaJbUdp21-y2cPbobDbMjr09BbtdKROZWc/edit#gid=1444865654"",""articles_with_PRISMA_reasons!B2:B2113""))&gt;=2),
""Exclude""
)"),"Exclude")</f>
        <v>Exclude</v>
      </c>
      <c r="F674" s="5" t="str">
        <f>IFERROR(__xludf.DUMMYFUNCTION("IFS(
E674=""Exclude"",""Exclude"",
AND(
COUNTIF(
IMPORTRANGE(""https://docs.google.com/spreadsheets/d/1kGrh75X1cNR1D7_FcY9zMnHP8iPO4M5RCRjy6nZY0TY/edit#gid=0"",""Table 1: Study characteristics!B4:B171""),A674)&gt;0,
COUNTIF(Studies!$A$2:$A$85,FILTER(IMPORTRA"&amp;"NGE(""https://docs.google.com/spreadsheets/d/1kGrh75X1cNR1D7_FcY9zMnHP8iPO4M5RCRjy6nZY0TY/edit#gid=0"",""Table 1: Study characteristics!A4:A171""), $A674=IMPORTRANGE(""https://docs.google.com/spreadsheets/d/1kGrh75X1cNR1D7_FcY9zMnHP8iPO4M5RCRjy6nZY0TY/edi"&amp;"t#gid=0"",""Table 1: Study characteristics!B4:B171"")))&gt;0
),
""Include""
)"),"Exclude")</f>
        <v>Exclude</v>
      </c>
      <c r="G674" s="5" t="str">
        <f>IFERROR(__xludf.DUMMYFUNCTION("IFS(
D674=""Exclude"",
FILTER(IMPORTRANGE(""https://docs.google.com/spreadsheets/d/1BJSV3WBYJGRhQ6zExamkszQ5VutGIcaQqmbD9ZTVXMQ/edit#gid=1251630045"",""articles_with_PRISMA_reasons!AB2:AB2113""), $A674=IMPORTRANGE(""https://docs.google.com/spreadsheets/d/"&amp;"1BJSV3WBYJGRhQ6zExamkszQ5VutGIcaQqmbD9ZTVXMQ/edit#gid=1251630045"",""articles_with_PRISMA_reasons!B2:B2113"")),
E674=""Exclude"",
FILTER(IMPORTRANGE(""https://docs.google.com/spreadsheets/d/1qpEmbGH0JjaJbUdp21-y2cPbobDbMjr09BbtdKROZWc/edit#gid=1444865654"&amp;""",""articles_with_PRISMA_reasons!Z2:Z2113""), $A674=IMPORTRANGE(""https://docs.google.com/spreadsheets/d/1qpEmbGH0JjaJbUdp21-y2cPbobDbMjr09BbtdKROZWc/edit#gid=1444865654"",""articles_with_PRISMA_reasons!B2:B2113"")),F674
=""Include"",FILTER(IMPORTRANGE("&amp;"""https://docs.google.com/spreadsheets/d/1kGrh75X1cNR1D7_FcY9zMnHP8iPO4M5RCRjy6nZY0TY/edit#gid=0"",""Table 1: Study characteristics!A4:A171""), $A674=IMPORTRANGE(""https://docs.google.com/spreadsheets/d/1kGrh75X1cNR1D7_FcY9zMnHP8iPO4M5RCRjy6nZY0TY/edit#gi"&amp;"d=0"",""Table 1: Study characteristics!B4:B171""))
)"),"wrong publication type")</f>
        <v>wrong publication type</v>
      </c>
    </row>
    <row r="675">
      <c r="A675" s="4" t="str">
        <f>IFERROR(__xludf.DUMMYFUNCTION("""COMPUTED_VALUE"""),"Early pregnancy scanning for fetal anomalies-the new standard?")</f>
        <v>Early pregnancy scanning for fetal anomalies-the new standard?</v>
      </c>
      <c r="B675" s="5" t="str">
        <f>IFERROR(__xludf.DUMMYFUNCTION("LEFT(FILTER(IMPORTRANGE(""https://docs.google.com/spreadsheets/d/1BJSV3WBYJGRhQ6zExamkszQ5VutGIcaQqmbD9ZTVXMQ/edit#gid=1251630045"",""articles_with_PRISMA_reasons!K2:K2113""), $A675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$A675=IMPORTRANGE(""https://docs.google.com/spreadsheets/d/1BJSV3WBYJGRhQ6zExamkszQ5VutGIcaQqmbD9ZTVXMQ/edit#gid=1251630045"",""articles_with_PRISMA_reasons!B2:B2113"")))-1)"),"Katorza")</f>
        <v>Katorza</v>
      </c>
      <c r="C675" s="6">
        <f>IFERROR(__xludf.DUMMYFUNCTION("FILTER(IMPORTRANGE(""https://docs.google.com/spreadsheets/d/1BJSV3WBYJGRhQ6zExamkszQ5VutGIcaQqmbD9ZTVXMQ/edit#gid=1251630045"",""articles_with_PRISMA_reasons!C2:C2113""), $A675=IMPORTRANGE(""https://docs.google.com/spreadsheets/d/1BJSV3WBYJGRhQ6zExamkszQ5"&amp;"VutGIcaQqmbD9ZTVXMQ/edit#gid=1251630045"",""articles_with_PRISMA_reasons!B2:B2113""))"),2012.0)</f>
        <v>2012</v>
      </c>
      <c r="D675" s="5" t="str">
        <f>IFERROR(__xludf.DUMMYFUNCTION("IFS(AND(
FILTER(IMPORTRANGE(""https://docs.google.com/spreadsheets/d/1BJSV3WBYJGRhQ6zExamkszQ5VutGIcaQqmbD9ZTVXMQ/edit#gid=1251630045"",""articles_with_PRISMA_reasons!Y2:Y2113""), $A675=IMPORTRANGE(""https://docs.google.com/spreadsheets/d/1BJSV3WBYJGRhQ6z"&amp;"ExamkszQ5VutGIcaQqmbD9ZTVXMQ/edit#gid=1251630045"",""articles_with_PRISMA_reasons!B2:B2113""))&gt;=2,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$A675=IMPORTRANGE(""https://docs.google.com/spreadsheets/d/1BJSV3WBYJGRhQ6zExamkszQ5VutGIcaQqmbD9ZTVXMQ/edit#gid=1251630045"",""articles_with_PRISMA_reasons!B2:B2113""))&lt;2),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$A675=IMPORTRANGE(""https://docs.google.com/spreadsheets/d/1BJSV3WBYJGRhQ6zExamkszQ5VutGIcaQqmbD9ZTVXMQ/edit#gid=1251630045"",""arti"&amp;"cles_with_PRISMA_reasons!B2:B2113""))&lt;2,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$A675=IMPORTRANGE(""https://docs.google.com"&amp;"/spreadsheets/d/1BJSV3WBYJGRhQ6zExamkszQ5VutGIcaQqmbD9ZTVXMQ/edit#gid=1251630045"",""articles_with_PRISMA_reasons!B2:B2113""))&gt;=2),
""Exclude""
)"),"Exclude")</f>
        <v>Exclude</v>
      </c>
      <c r="E675" s="5" t="str">
        <f>IFERROR(__xludf.DUMMYFUNCTION("IFS(
D675=""Exclude"",""Exclude"",
AND(
FILTER(IMPORTRANGE(""https://docs.google.com/spreadsheets/d/1qpEmbGH0JjaJbUdp21-y2cPbobDbMjr09BbtdKROZWc/edit#gid=1444865654"",""articles_with_PRISMA_reasons!W2:W2113""), $A675=IMPORTRANGE(""https://docs.google.com/"&amp;"spreadsheets/d/1qpEmbGH0JjaJbUdp21-y2cPbobDbMjr09BbtdKROZWc/edit#gid=1444865654"",""articles_with_PRISMA_reasons!B2:B2113""))&gt;=2,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$A675=IMPORTRANGE(""https://docs.google.com/spreadsheets/d/1qpEmbGH0JjaJbUdp21-y2cPbobDbMjr09BbtdKROZWc/edit#gid=1444865654"",""articles_with_PRISMA_reasons!B2:B2113""))&lt;2),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$A675=IMPORTRANGE(""https://docs.google.com/spreadsheets/d/1qpEmbGH0JjaJbUdp21-y2cPbobDbMjr09BbtdKRO"&amp;"ZWc/edit#gid=1444865654"",""articles_with_PRISMA_reasons!B2:B2113""))&lt;2,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$A675=IMPOR"&amp;"TRANGE(""https://docs.google.com/spreadsheets/d/1qpEmbGH0JjaJbUdp21-y2cPbobDbMjr09BbtdKROZWc/edit#gid=1444865654"",""articles_with_PRISMA_reasons!B2:B2113""))&gt;=2),
""Exclude""
)"),"Exclude")</f>
        <v>Exclude</v>
      </c>
      <c r="F675" s="5" t="str">
        <f>IFERROR(__xludf.DUMMYFUNCTION("IFS(
E675=""Exclude"",""Exclude"",
AND(
COUNTIF(
IMPORTRANGE(""https://docs.google.com/spreadsheets/d/1kGrh75X1cNR1D7_FcY9zMnHP8iPO4M5RCRjy6nZY0TY/edit#gid=0"",""Table 1: Study characteristics!B4:B171""),A675)&gt;0,
COUNTIF(Studies!$A$2:$A$85,FILTER(IMPORTRA"&amp;"NGE(""https://docs.google.com/spreadsheets/d/1kGrh75X1cNR1D7_FcY9zMnHP8iPO4M5RCRjy6nZY0TY/edit#gid=0"",""Table 1: Study characteristics!A4:A171""), $A675=IMPORTRANGE(""https://docs.google.com/spreadsheets/d/1kGrh75X1cNR1D7_FcY9zMnHP8iPO4M5RCRjy6nZY0TY/edi"&amp;"t#gid=0"",""Table 1: Study characteristics!B4:B171"")))&gt;0
),
""Include""
)"),"Exclude")</f>
        <v>Exclude</v>
      </c>
      <c r="G675" s="5" t="str">
        <f>IFERROR(__xludf.DUMMYFUNCTION("IFS(
D675=""Exclude"",
FILTER(IMPORTRANGE(""https://docs.google.com/spreadsheets/d/1BJSV3WBYJGRhQ6zExamkszQ5VutGIcaQqmbD9ZTVXMQ/edit#gid=1251630045"",""articles_with_PRISMA_reasons!AB2:AB2113""), $A675=IMPORTRANGE(""https://docs.google.com/spreadsheets/d/"&amp;"1BJSV3WBYJGRhQ6zExamkszQ5VutGIcaQqmbD9ZTVXMQ/edit#gid=1251630045"",""articles_with_PRISMA_reasons!B2:B2113"")),
E675=""Exclude"",
FILTER(IMPORTRANGE(""https://docs.google.com/spreadsheets/d/1qpEmbGH0JjaJbUdp21-y2cPbobDbMjr09BbtdKROZWc/edit#gid=1444865654"&amp;""",""articles_with_PRISMA_reasons!Z2:Z2113""), $A675=IMPORTRANGE(""https://docs.google.com/spreadsheets/d/1qpEmbGH0JjaJbUdp21-y2cPbobDbMjr09BbtdKROZWc/edit#gid=1444865654"",""articles_with_PRISMA_reasons!B2:B2113"")),F675
=""Include"",FILTER(IMPORTRANGE("&amp;"""https://docs.google.com/spreadsheets/d/1kGrh75X1cNR1D7_FcY9zMnHP8iPO4M5RCRjy6nZY0TY/edit#gid=0"",""Table 1: Study characteristics!A4:A171""), $A675=IMPORTRANGE(""https://docs.google.com/spreadsheets/d/1kGrh75X1cNR1D7_FcY9zMnHP8iPO4M5RCRjy6nZY0TY/edit#gi"&amp;"d=0"",""Table 1: Study characteristics!B4:B171""))
)"),"wrong population")</f>
        <v>wrong population</v>
      </c>
    </row>
    <row r="676">
      <c r="A676" s="4" t="str">
        <f>IFERROR(__xludf.DUMMYFUNCTION("""COMPUTED_VALUE"""),"Early repair of myelomeningocele (spina bifida cystica)")</f>
        <v>Early repair of myelomeningocele (spina bifida cystica)</v>
      </c>
      <c r="B676" s="5" t="str">
        <f>IFERROR(__xludf.DUMMYFUNCTION("LEFT(FILTER(IMPORTRANGE(""https://docs.google.com/spreadsheets/d/1BJSV3WBYJGRhQ6zExamkszQ5VutGIcaQqmbD9ZTVXMQ/edit#gid=1251630045"",""articles_with_PRISMA_reasons!K2:K2113""), $A676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$A676=IMPORTRANGE(""https://docs.google.com/spreadsheets/d/1BJSV3WBYJGRhQ6zExamkszQ5VutGIcaQqmbD9ZTVXMQ/edit#gid=1251630045"",""articles_with_PRISMA_reasons!B2:B2113"")))-1)"),"Heimburger")</f>
        <v>Heimburger</v>
      </c>
      <c r="C676" s="6">
        <f>IFERROR(__xludf.DUMMYFUNCTION("FILTER(IMPORTRANGE(""https://docs.google.com/spreadsheets/d/1BJSV3WBYJGRhQ6zExamkszQ5VutGIcaQqmbD9ZTVXMQ/edit#gid=1251630045"",""articles_with_PRISMA_reasons!C2:C2113""), $A676=IMPORTRANGE(""https://docs.google.com/spreadsheets/d/1BJSV3WBYJGRhQ6zExamkszQ5"&amp;"VutGIcaQqmbD9ZTVXMQ/edit#gid=1251630045"",""articles_with_PRISMA_reasons!B2:B2113""))"),1972.0)</f>
        <v>1972</v>
      </c>
      <c r="D676" s="5" t="str">
        <f>IFERROR(__xludf.DUMMYFUNCTION("IFS(AND(
FILTER(IMPORTRANGE(""https://docs.google.com/spreadsheets/d/1BJSV3WBYJGRhQ6zExamkszQ5VutGIcaQqmbD9ZTVXMQ/edit#gid=1251630045"",""articles_with_PRISMA_reasons!Y2:Y2113""), $A676=IMPORTRANGE(""https://docs.google.com/spreadsheets/d/1BJSV3WBYJGRhQ6z"&amp;"ExamkszQ5VutGIcaQqmbD9ZTVXMQ/edit#gid=1251630045"",""articles_with_PRISMA_reasons!B2:B2113""))&gt;=2,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$A676=IMPORTRANGE(""https://docs.google.com/spreadsheets/d/1BJSV3WBYJGRhQ6zExamkszQ5VutGIcaQqmbD9ZTVXMQ/edit#gid=1251630045"",""articles_with_PRISMA_reasons!B2:B2113""))&lt;2),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$A676=IMPORTRANGE(""https://docs.google.com/spreadsheets/d/1BJSV3WBYJGRhQ6zExamkszQ5VutGIcaQqmbD9ZTVXMQ/edit#gid=1251630045"",""arti"&amp;"cles_with_PRISMA_reasons!B2:B2113""))&lt;2,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$A676=IMPORTRANGE(""https://docs.google.com"&amp;"/spreadsheets/d/1BJSV3WBYJGRhQ6zExamkszQ5VutGIcaQqmbD9ZTVXMQ/edit#gid=1251630045"",""articles_with_PRISMA_reasons!B2:B2113""))&gt;=2),
""Exclude""
)"),"Exclude")</f>
        <v>Exclude</v>
      </c>
      <c r="E676" s="5" t="str">
        <f>IFERROR(__xludf.DUMMYFUNCTION("IFS(
D676=""Exclude"",""Exclude"",
AND(
FILTER(IMPORTRANGE(""https://docs.google.com/spreadsheets/d/1qpEmbGH0JjaJbUdp21-y2cPbobDbMjr09BbtdKROZWc/edit#gid=1444865654"",""articles_with_PRISMA_reasons!W2:W2113""), $A676=IMPORTRANGE(""https://docs.google.com/"&amp;"spreadsheets/d/1qpEmbGH0JjaJbUdp21-y2cPbobDbMjr09BbtdKROZWc/edit#gid=1444865654"",""articles_with_PRISMA_reasons!B2:B2113""))&gt;=2,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$A676=IMPORTRANGE(""https://docs.google.com/spreadsheets/d/1qpEmbGH0JjaJbUdp21-y2cPbobDbMjr09BbtdKROZWc/edit#gid=1444865654"",""articles_with_PRISMA_reasons!B2:B2113""))&lt;2),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$A676=IMPORTRANGE(""https://docs.google.com/spreadsheets/d/1qpEmbGH0JjaJbUdp21-y2cPbobDbMjr09BbtdKRO"&amp;"ZWc/edit#gid=1444865654"",""articles_with_PRISMA_reasons!B2:B2113""))&lt;2,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$A676=IMPOR"&amp;"TRANGE(""https://docs.google.com/spreadsheets/d/1qpEmbGH0JjaJbUdp21-y2cPbobDbMjr09BbtdKROZWc/edit#gid=1444865654"",""articles_with_PRISMA_reasons!B2:B2113""))&gt;=2),
""Exclude""
)"),"Exclude")</f>
        <v>Exclude</v>
      </c>
      <c r="F676" s="5" t="str">
        <f>IFERROR(__xludf.DUMMYFUNCTION("IFS(
E676=""Exclude"",""Exclude"",
AND(
COUNTIF(
IMPORTRANGE(""https://docs.google.com/spreadsheets/d/1kGrh75X1cNR1D7_FcY9zMnHP8iPO4M5RCRjy6nZY0TY/edit#gid=0"",""Table 1: Study characteristics!B4:B171""),A676)&gt;0,
COUNTIF(Studies!$A$2:$A$85,FILTER(IMPORTRA"&amp;"NGE(""https://docs.google.com/spreadsheets/d/1kGrh75X1cNR1D7_FcY9zMnHP8iPO4M5RCRjy6nZY0TY/edit#gid=0"",""Table 1: Study characteristics!A4:A171""), $A676=IMPORTRANGE(""https://docs.google.com/spreadsheets/d/1kGrh75X1cNR1D7_FcY9zMnHP8iPO4M5RCRjy6nZY0TY/edi"&amp;"t#gid=0"",""Table 1: Study characteristics!B4:B171"")))&gt;0
),
""Include""
)"),"Exclude")</f>
        <v>Exclude</v>
      </c>
      <c r="G676" s="5" t="str">
        <f>IFERROR(__xludf.DUMMYFUNCTION("IFS(
D676=""Exclude"",
FILTER(IMPORTRANGE(""https://docs.google.com/spreadsheets/d/1BJSV3WBYJGRhQ6zExamkszQ5VutGIcaQqmbD9ZTVXMQ/edit#gid=1251630045"",""articles_with_PRISMA_reasons!AB2:AB2113""), $A676=IMPORTRANGE(""https://docs.google.com/spreadsheets/d/"&amp;"1BJSV3WBYJGRhQ6zExamkszQ5VutGIcaQqmbD9ZTVXMQ/edit#gid=1251630045"",""articles_with_PRISMA_reasons!B2:B2113"")),
E676=""Exclude"",
FILTER(IMPORTRANGE(""https://docs.google.com/spreadsheets/d/1qpEmbGH0JjaJbUdp21-y2cPbobDbMjr09BbtdKROZWc/edit#gid=1444865654"&amp;""",""articles_with_PRISMA_reasons!Z2:Z2113""), $A676=IMPORTRANGE(""https://docs.google.com/spreadsheets/d/1qpEmbGH0JjaJbUdp21-y2cPbobDbMjr09BbtdKROZWc/edit#gid=1444865654"",""articles_with_PRISMA_reasons!B2:B2113"")),F676
=""Include"",FILTER(IMPORTRANGE("&amp;"""https://docs.google.com/spreadsheets/d/1kGrh75X1cNR1D7_FcY9zMnHP8iPO4M5RCRjy6nZY0TY/edit#gid=0"",""Table 1: Study characteristics!A4:A171""), $A676=IMPORTRANGE(""https://docs.google.com/spreadsheets/d/1kGrh75X1cNR1D7_FcY9zMnHP8iPO4M5RCRjy6nZY0TY/edit#gi"&amp;"d=0"",""Table 1: Study characteristics!B4:B171""))
)"),"wrong study design")</f>
        <v>wrong study design</v>
      </c>
    </row>
    <row r="677">
      <c r="A677" s="7" t="str">
        <f>IFERROR(__xludf.DUMMYFUNCTION("""COMPUTED_VALUE"""),"Early repair of myelomeningocele and simultaneous insertion of ventriculoperitoneal shunt: Technique and results")</f>
        <v>Early repair of myelomeningocele and simultaneous insertion of ventriculoperitoneal shunt: Technique and results</v>
      </c>
      <c r="B677" s="8" t="str">
        <f>IFERROR(__xludf.DUMMYFUNCTION("LEFT(FILTER(IMPORTRANGE(""https://docs.google.com/spreadsheets/d/1BJSV3WBYJGRhQ6zExamkszQ5VutGIcaQqmbD9ZTVXMQ/edit#gid=1251630045"",""articles_with_PRISMA_reasons!K2:K2113""), $A677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$A677=IMPORTRANGE(""https://docs.google.com/spreadsheets/d/1BJSV3WBYJGRhQ6zExamkszQ5VutGIcaQqmbD9ZTVXMQ/edit#gid=1251630045"",""articles_with_PRISMA_reasons!B2:B2113"")))-1)"),"Hubballah")</f>
        <v>Hubballah</v>
      </c>
      <c r="C677" s="9">
        <f>IFERROR(__xludf.DUMMYFUNCTION("FILTER(IMPORTRANGE(""https://docs.google.com/spreadsheets/d/1BJSV3WBYJGRhQ6zExamkszQ5VutGIcaQqmbD9ZTVXMQ/edit#gid=1251630045"",""articles_with_PRISMA_reasons!C2:C2113""), $A677=IMPORTRANGE(""https://docs.google.com/spreadsheets/d/1BJSV3WBYJGRhQ6zExamkszQ5"&amp;"VutGIcaQqmbD9ZTVXMQ/edit#gid=1251630045"",""articles_with_PRISMA_reasons!B2:B2113""))"),1987.0)</f>
        <v>1987</v>
      </c>
      <c r="D677" s="8" t="str">
        <f>IFERROR(__xludf.DUMMYFUNCTION("IFS(AND(
FILTER(IMPORTRANGE(""https://docs.google.com/spreadsheets/d/1BJSV3WBYJGRhQ6zExamkszQ5VutGIcaQqmbD9ZTVXMQ/edit#gid=1251630045"",""articles_with_PRISMA_reasons!Y2:Y2113""), $A677=IMPORTRANGE(""https://docs.google.com/spreadsheets/d/1BJSV3WBYJGRhQ6z"&amp;"ExamkszQ5VutGIcaQqmbD9ZTVXMQ/edit#gid=1251630045"",""articles_with_PRISMA_reasons!B2:B2113""))&gt;=2,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$A677=IMPORTRANGE(""https://docs.google.com/spreadsheets/d/1BJSV3WBYJGRhQ6zExamkszQ5VutGIcaQqmbD9ZTVXMQ/edit#gid=1251630045"",""articles_with_PRISMA_reasons!B2:B2113""))&lt;2),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$A677=IMPORTRANGE(""https://docs.google.com/spreadsheets/d/1BJSV3WBYJGRhQ6zExamkszQ5VutGIcaQqmbD9ZTVXMQ/edit#gid=1251630045"",""arti"&amp;"cles_with_PRISMA_reasons!B2:B2113""))&lt;2,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$A677=IMPORTRANGE(""https://docs.google.com"&amp;"/spreadsheets/d/1BJSV3WBYJGRhQ6zExamkszQ5VutGIcaQqmbD9ZTVXMQ/edit#gid=1251630045"",""articles_with_PRISMA_reasons!B2:B2113""))&gt;=2),
""Exclude""
)"),"Include")</f>
        <v>Include</v>
      </c>
      <c r="E677" s="8" t="str">
        <f>IFERROR(__xludf.DUMMYFUNCTION("IFS(
D677=""Exclude"",""Exclude"",
AND(
FILTER(IMPORTRANGE(""https://docs.google.com/spreadsheets/d/1qpEmbGH0JjaJbUdp21-y2cPbobDbMjr09BbtdKROZWc/edit#gid=1444865654"",""articles_with_PRISMA_reasons!W2:W2113""), $A677=IMPORTRANGE(""https://docs.google.com/"&amp;"spreadsheets/d/1qpEmbGH0JjaJbUdp21-y2cPbobDbMjr09BbtdKROZWc/edit#gid=1444865654"",""articles_with_PRISMA_reasons!B2:B2113""))&gt;=2,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$A677=IMPORTRANGE(""https://docs.google.com/spreadsheets/d/1qpEmbGH0JjaJbUdp21-y2cPbobDbMjr09BbtdKROZWc/edit#gid=1444865654"",""articles_with_PRISMA_reasons!B2:B2113""))&lt;2),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$A677=IMPORTRANGE(""https://docs.google.com/spreadsheets/d/1qpEmbGH0JjaJbUdp21-y2cPbobDbMjr09BbtdKRO"&amp;"ZWc/edit#gid=1444865654"",""articles_with_PRISMA_reasons!B2:B2113""))&lt;2,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$A677=IMPOR"&amp;"TRANGE(""https://docs.google.com/spreadsheets/d/1qpEmbGH0JjaJbUdp21-y2cPbobDbMjr09BbtdKROZWc/edit#gid=1444865654"",""articles_with_PRISMA_reasons!B2:B2113""))&gt;=2),
""Exclude""
)"),"Include")</f>
        <v>Include</v>
      </c>
      <c r="F677" s="10" t="s">
        <v>8</v>
      </c>
      <c r="G677" s="10" t="s">
        <v>10</v>
      </c>
    </row>
    <row r="678">
      <c r="A678" s="4" t="str">
        <f>IFERROR(__xludf.DUMMYFUNCTION("""COMPUTED_VALUE"""),"Early shunt complications in 46 children with hydrocephalus")</f>
        <v>Early shunt complications in 46 children with hydrocephalus</v>
      </c>
      <c r="B678" s="5" t="str">
        <f>IFERROR(__xludf.DUMMYFUNCTION("LEFT(FILTER(IMPORTRANGE(""https://docs.google.com/spreadsheets/d/1BJSV3WBYJGRhQ6zExamkszQ5VutGIcaQqmbD9ZTVXMQ/edit#gid=1251630045"",""articles_with_PRISMA_reasons!K2:K2113""), $A678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$A678=IMPORTRANGE(""https://docs.google.com/spreadsheets/d/1BJSV3WBYJGRhQ6zExamkszQ5VutGIcaQqmbD9ZTVXMQ/edit#gid=1251630045"",""articles_with_PRISMA_reasons!B2:B2113"")))-1)"),"Braga")</f>
        <v>Braga</v>
      </c>
      <c r="C678" s="6">
        <f>IFERROR(__xludf.DUMMYFUNCTION("FILTER(IMPORTRANGE(""https://docs.google.com/spreadsheets/d/1BJSV3WBYJGRhQ6zExamkszQ5VutGIcaQqmbD9ZTVXMQ/edit#gid=1251630045"",""articles_with_PRISMA_reasons!C2:C2113""), $A678=IMPORTRANGE(""https://docs.google.com/spreadsheets/d/1BJSV3WBYJGRhQ6zExamkszQ5"&amp;"VutGIcaQqmbD9ZTVXMQ/edit#gid=1251630045"",""articles_with_PRISMA_reasons!B2:B2113""))"),2009.0)</f>
        <v>2009</v>
      </c>
      <c r="D678" s="5" t="str">
        <f>IFERROR(__xludf.DUMMYFUNCTION("IFS(AND(
FILTER(IMPORTRANGE(""https://docs.google.com/spreadsheets/d/1BJSV3WBYJGRhQ6zExamkszQ5VutGIcaQqmbD9ZTVXMQ/edit#gid=1251630045"",""articles_with_PRISMA_reasons!Y2:Y2113""), $A678=IMPORTRANGE(""https://docs.google.com/spreadsheets/d/1BJSV3WBYJGRhQ6z"&amp;"ExamkszQ5VutGIcaQqmbD9ZTVXMQ/edit#gid=1251630045"",""articles_with_PRISMA_reasons!B2:B2113""))&gt;=2,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$A678=IMPORTRANGE(""https://docs.google.com/spreadsheets/d/1BJSV3WBYJGRhQ6zExamkszQ5VutGIcaQqmbD9ZTVXMQ/edit#gid=1251630045"",""articles_with_PRISMA_reasons!B2:B2113""))&lt;2),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$A678=IMPORTRANGE(""https://docs.google.com/spreadsheets/d/1BJSV3WBYJGRhQ6zExamkszQ5VutGIcaQqmbD9ZTVXMQ/edit#gid=1251630045"",""arti"&amp;"cles_with_PRISMA_reasons!B2:B2113""))&lt;2,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$A678=IMPORTRANGE(""https://docs.google.com"&amp;"/spreadsheets/d/1BJSV3WBYJGRhQ6zExamkszQ5VutGIcaQqmbD9ZTVXMQ/edit#gid=1251630045"",""articles_with_PRISMA_reasons!B2:B2113""))&gt;=2),
""Exclude""
)"),"Include")</f>
        <v>Include</v>
      </c>
      <c r="E678" s="5" t="str">
        <f>IFERROR(__xludf.DUMMYFUNCTION("IFS(
D678=""Exclude"",""Exclude"",
AND(
FILTER(IMPORTRANGE(""https://docs.google.com/spreadsheets/d/1qpEmbGH0JjaJbUdp21-y2cPbobDbMjr09BbtdKROZWc/edit#gid=1444865654"",""articles_with_PRISMA_reasons!W2:W2113""), $A678=IMPORTRANGE(""https://docs.google.com/"&amp;"spreadsheets/d/1qpEmbGH0JjaJbUdp21-y2cPbobDbMjr09BbtdKROZWc/edit#gid=1444865654"",""articles_with_PRISMA_reasons!B2:B2113""))&gt;=2,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$A678=IMPORTRANGE(""https://docs.google.com/spreadsheets/d/1qpEmbGH0JjaJbUdp21-y2cPbobDbMjr09BbtdKROZWc/edit#gid=1444865654"",""articles_with_PRISMA_reasons!B2:B2113""))&lt;2),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$A678=IMPORTRANGE(""https://docs.google.com/spreadsheets/d/1qpEmbGH0JjaJbUdp21-y2cPbobDbMjr09BbtdKRO"&amp;"ZWc/edit#gid=1444865654"",""articles_with_PRISMA_reasons!B2:B2113""))&lt;2,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$A678=IMPOR"&amp;"TRANGE(""https://docs.google.com/spreadsheets/d/1qpEmbGH0JjaJbUdp21-y2cPbobDbMjr09BbtdKROZWc/edit#gid=1444865654"",""articles_with_PRISMA_reasons!B2:B2113""))&gt;=2),
""Exclude""
)"),"Exclude")</f>
        <v>Exclude</v>
      </c>
      <c r="F678" s="5" t="str">
        <f>IFERROR(__xludf.DUMMYFUNCTION("IFS(
E678=""Exclude"",""Exclude"",
AND(
COUNTIF(
IMPORTRANGE(""https://docs.google.com/spreadsheets/d/1kGrh75X1cNR1D7_FcY9zMnHP8iPO4M5RCRjy6nZY0TY/edit#gid=0"",""Table 1: Study characteristics!B4:B171""),A678)&gt;0,
COUNTIF(Studies!$A$2:$A$85,FILTER(IMPORTRA"&amp;"NGE(""https://docs.google.com/spreadsheets/d/1kGrh75X1cNR1D7_FcY9zMnHP8iPO4M5RCRjy6nZY0TY/edit#gid=0"",""Table 1: Study characteristics!A4:A171""), $A678=IMPORTRANGE(""https://docs.google.com/spreadsheets/d/1kGrh75X1cNR1D7_FcY9zMnHP8iPO4M5RCRjy6nZY0TY/edi"&amp;"t#gid=0"",""Table 1: Study characteristics!B4:B171"")))&gt;0
),
""Include""
)"),"Exclude")</f>
        <v>Exclude</v>
      </c>
      <c r="G678" s="5" t="str">
        <f>IFERROR(__xludf.DUMMYFUNCTION("IFS(
D678=""Exclude"",
FILTER(IMPORTRANGE(""https://docs.google.com/spreadsheets/d/1BJSV3WBYJGRhQ6zExamkszQ5VutGIcaQqmbD9ZTVXMQ/edit#gid=1251630045"",""articles_with_PRISMA_reasons!AB2:AB2113""), $A678=IMPORTRANGE(""https://docs.google.com/spreadsheets/d/"&amp;"1BJSV3WBYJGRhQ6zExamkszQ5VutGIcaQqmbD9ZTVXMQ/edit#gid=1251630045"",""articles_with_PRISMA_reasons!B2:B2113"")),
E678=""Exclude"",
FILTER(IMPORTRANGE(""https://docs.google.com/spreadsheets/d/1qpEmbGH0JjaJbUdp21-y2cPbobDbMjr09BbtdKROZWc/edit#gid=1444865654"&amp;""",""articles_with_PRISMA_reasons!Z2:Z2113""), $A678=IMPORTRANGE(""https://docs.google.com/spreadsheets/d/1qpEmbGH0JjaJbUdp21-y2cPbobDbMjr09BbtdKROZWc/edit#gid=1444865654"",""articles_with_PRISMA_reasons!B2:B2113"")),F678
=""Include"",FILTER(IMPORTRANGE("&amp;"""https://docs.google.com/spreadsheets/d/1kGrh75X1cNR1D7_FcY9zMnHP8iPO4M5RCRjy6nZY0TY/edit#gid=0"",""Table 1: Study characteristics!A4:A171""), $A678=IMPORTRANGE(""https://docs.google.com/spreadsheets/d/1kGrh75X1cNR1D7_FcY9zMnHP8iPO4M5RCRjy6nZY0TY/edit#gi"&amp;"d=0"",""Table 1: Study characteristics!B4:B171""))
)"),"wrong population")</f>
        <v>wrong population</v>
      </c>
    </row>
    <row r="679">
      <c r="A679" s="4" t="str">
        <f>IFERROR(__xludf.DUMMYFUNCTION("""COMPUTED_VALUE"""),"Early start of clean intermittent catheterization versus expectant management in children with spina bifida")</f>
        <v>Early start of clean intermittent catheterization versus expectant management in children with spina bifida</v>
      </c>
      <c r="B679" s="5" t="str">
        <f>IFERROR(__xludf.DUMMYFUNCTION("LEFT(FILTER(IMPORTRANGE(""https://docs.google.com/spreadsheets/d/1BJSV3WBYJGRhQ6zExamkszQ5VutGIcaQqmbD9ZTVXMQ/edit#gid=1251630045"",""articles_with_PRISMA_reasons!K2:K2113""), $A679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$A679=IMPORTRANGE(""https://docs.google.com/spreadsheets/d/1BJSV3WBYJGRhQ6zExamkszQ5VutGIcaQqmbD9ZTVXMQ/edit#gid=1251630045"",""articles_with_PRISMA_reasons!B2:B2113"")))-1)"),"Elzeneini")</f>
        <v>Elzeneini</v>
      </c>
      <c r="C679" s="6">
        <f>IFERROR(__xludf.DUMMYFUNCTION("FILTER(IMPORTRANGE(""https://docs.google.com/spreadsheets/d/1BJSV3WBYJGRhQ6zExamkszQ5VutGIcaQqmbD9ZTVXMQ/edit#gid=1251630045"",""articles_with_PRISMA_reasons!C2:C2113""), $A679=IMPORTRANGE(""https://docs.google.com/spreadsheets/d/1BJSV3WBYJGRhQ6zExamkszQ5"&amp;"VutGIcaQqmbD9ZTVXMQ/edit#gid=1251630045"",""articles_with_PRISMA_reasons!B2:B2113""))"),2019.0)</f>
        <v>2019</v>
      </c>
      <c r="D679" s="5" t="str">
        <f>IFERROR(__xludf.DUMMYFUNCTION("IFS(AND(
FILTER(IMPORTRANGE(""https://docs.google.com/spreadsheets/d/1BJSV3WBYJGRhQ6zExamkszQ5VutGIcaQqmbD9ZTVXMQ/edit#gid=1251630045"",""articles_with_PRISMA_reasons!Y2:Y2113""), $A679=IMPORTRANGE(""https://docs.google.com/spreadsheets/d/1BJSV3WBYJGRhQ6z"&amp;"ExamkszQ5VutGIcaQqmbD9ZTVXMQ/edit#gid=1251630045"",""articles_with_PRISMA_reasons!B2:B2113""))&gt;=2,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$A679=IMPORTRANGE(""https://docs.google.com/spreadsheets/d/1BJSV3WBYJGRhQ6zExamkszQ5VutGIcaQqmbD9ZTVXMQ/edit#gid=1251630045"",""articles_with_PRISMA_reasons!B2:B2113""))&lt;2),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$A679=IMPORTRANGE(""https://docs.google.com/spreadsheets/d/1BJSV3WBYJGRhQ6zExamkszQ5VutGIcaQqmbD9ZTVXMQ/edit#gid=1251630045"",""arti"&amp;"cles_with_PRISMA_reasons!B2:B2113""))&lt;2,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$A679=IMPORTRANGE(""https://docs.google.com"&amp;"/spreadsheets/d/1BJSV3WBYJGRhQ6zExamkszQ5VutGIcaQqmbD9ZTVXMQ/edit#gid=1251630045"",""articles_with_PRISMA_reasons!B2:B2113""))&gt;=2),
""Exclude""
)"),"Exclude")</f>
        <v>Exclude</v>
      </c>
      <c r="E679" s="5" t="str">
        <f>IFERROR(__xludf.DUMMYFUNCTION("IFS(
D679=""Exclude"",""Exclude"",
AND(
FILTER(IMPORTRANGE(""https://docs.google.com/spreadsheets/d/1qpEmbGH0JjaJbUdp21-y2cPbobDbMjr09BbtdKROZWc/edit#gid=1444865654"",""articles_with_PRISMA_reasons!W2:W2113""), $A679=IMPORTRANGE(""https://docs.google.com/"&amp;"spreadsheets/d/1qpEmbGH0JjaJbUdp21-y2cPbobDbMjr09BbtdKROZWc/edit#gid=1444865654"",""articles_with_PRISMA_reasons!B2:B2113""))&gt;=2,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$A679=IMPORTRANGE(""https://docs.google.com/spreadsheets/d/1qpEmbGH0JjaJbUdp21-y2cPbobDbMjr09BbtdKROZWc/edit#gid=1444865654"",""articles_with_PRISMA_reasons!B2:B2113""))&lt;2),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$A679=IMPORTRANGE(""https://docs.google.com/spreadsheets/d/1qpEmbGH0JjaJbUdp21-y2cPbobDbMjr09BbtdKRO"&amp;"ZWc/edit#gid=1444865654"",""articles_with_PRISMA_reasons!B2:B2113""))&lt;2,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$A679=IMPOR"&amp;"TRANGE(""https://docs.google.com/spreadsheets/d/1qpEmbGH0JjaJbUdp21-y2cPbobDbMjr09BbtdKROZWc/edit#gid=1444865654"",""articles_with_PRISMA_reasons!B2:B2113""))&gt;=2),
""Exclude""
)"),"Exclude")</f>
        <v>Exclude</v>
      </c>
      <c r="F679" s="5" t="str">
        <f>IFERROR(__xludf.DUMMYFUNCTION("IFS(
E679=""Exclude"",""Exclude"",
AND(
COUNTIF(
IMPORTRANGE(""https://docs.google.com/spreadsheets/d/1kGrh75X1cNR1D7_FcY9zMnHP8iPO4M5RCRjy6nZY0TY/edit#gid=0"",""Table 1: Study characteristics!B4:B171""),A679)&gt;0,
COUNTIF(Studies!$A$2:$A$85,FILTER(IMPORTRA"&amp;"NGE(""https://docs.google.com/spreadsheets/d/1kGrh75X1cNR1D7_FcY9zMnHP8iPO4M5RCRjy6nZY0TY/edit#gid=0"",""Table 1: Study characteristics!A4:A171""), $A679=IMPORTRANGE(""https://docs.google.com/spreadsheets/d/1kGrh75X1cNR1D7_FcY9zMnHP8iPO4M5RCRjy6nZY0TY/edi"&amp;"t#gid=0"",""Table 1: Study characteristics!B4:B171"")))&gt;0
),
""Include""
)"),"Exclude")</f>
        <v>Exclude</v>
      </c>
      <c r="G679" s="5" t="str">
        <f>IFERROR(__xludf.DUMMYFUNCTION("IFS(
D679=""Exclude"",
FILTER(IMPORTRANGE(""https://docs.google.com/spreadsheets/d/1BJSV3WBYJGRhQ6zExamkszQ5VutGIcaQqmbD9ZTVXMQ/edit#gid=1251630045"",""articles_with_PRISMA_reasons!AB2:AB2113""), $A679=IMPORTRANGE(""https://docs.google.com/spreadsheets/d/"&amp;"1BJSV3WBYJGRhQ6zExamkszQ5VutGIcaQqmbD9ZTVXMQ/edit#gid=1251630045"",""articles_with_PRISMA_reasons!B2:B2113"")),
E679=""Exclude"",
FILTER(IMPORTRANGE(""https://docs.google.com/spreadsheets/d/1qpEmbGH0JjaJbUdp21-y2cPbobDbMjr09BbtdKROZWc/edit#gid=1444865654"&amp;""",""articles_with_PRISMA_reasons!Z2:Z2113""), $A679=IMPORTRANGE(""https://docs.google.com/spreadsheets/d/1qpEmbGH0JjaJbUdp21-y2cPbobDbMjr09BbtdKROZWc/edit#gid=1444865654"",""articles_with_PRISMA_reasons!B2:B2113"")),F679
=""Include"",FILTER(IMPORTRANGE("&amp;"""https://docs.google.com/spreadsheets/d/1kGrh75X1cNR1D7_FcY9zMnHP8iPO4M5RCRjy6nZY0TY/edit#gid=0"",""Table 1: Study characteristics!A4:A171""), $A679=IMPORTRANGE(""https://docs.google.com/spreadsheets/d/1kGrh75X1cNR1D7_FcY9zMnHP8iPO4M5RCRjy6nZY0TY/edit#gi"&amp;"d=0"",""Table 1: Study characteristics!B4:B171""))
)"),"wrong population")</f>
        <v>wrong population</v>
      </c>
    </row>
    <row r="680">
      <c r="A680" s="4" t="str">
        <f>IFERROR(__xludf.DUMMYFUNCTION("""COMPUTED_VALUE"""),"Early third ventriculostomy in meningomyelocele infants - shunt independence?")</f>
        <v>Early third ventriculostomy in meningomyelocele infants - shunt independence?</v>
      </c>
      <c r="B680" s="5" t="str">
        <f>IFERROR(__xludf.DUMMYFUNCTION("LEFT(FILTER(IMPORTRANGE(""https://docs.google.com/spreadsheets/d/1BJSV3WBYJGRhQ6zExamkszQ5VutGIcaQqmbD9ZTVXMQ/edit#gid=1251630045"",""articles_with_PRISMA_reasons!K2:K2113""), $A680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$A680=IMPORTRANGE(""https://docs.google.com/spreadsheets/d/1BJSV3WBYJGRhQ6zExamkszQ5VutGIcaQqmbD9ZTVXMQ/edit#gid=1251630045"",""articles_with_PRISMA_reasons!B2:B2113"")))-1)"),"Natelson")</f>
        <v>Natelson</v>
      </c>
      <c r="C680" s="6">
        <f>IFERROR(__xludf.DUMMYFUNCTION("FILTER(IMPORTRANGE(""https://docs.google.com/spreadsheets/d/1BJSV3WBYJGRhQ6zExamkszQ5VutGIcaQqmbD9ZTVXMQ/edit#gid=1251630045"",""articles_with_PRISMA_reasons!C2:C2113""), $A680=IMPORTRANGE(""https://docs.google.com/spreadsheets/d/1BJSV3WBYJGRhQ6zExamkszQ5"&amp;"VutGIcaQqmbD9ZTVXMQ/edit#gid=1251630045"",""articles_with_PRISMA_reasons!B2:B2113""))"),1981.0)</f>
        <v>1981</v>
      </c>
      <c r="D680" s="5" t="str">
        <f>IFERROR(__xludf.DUMMYFUNCTION("IFS(AND(
FILTER(IMPORTRANGE(""https://docs.google.com/spreadsheets/d/1BJSV3WBYJGRhQ6zExamkszQ5VutGIcaQqmbD9ZTVXMQ/edit#gid=1251630045"",""articles_with_PRISMA_reasons!Y2:Y2113""), $A680=IMPORTRANGE(""https://docs.google.com/spreadsheets/d/1BJSV3WBYJGRhQ6z"&amp;"ExamkszQ5VutGIcaQqmbD9ZTVXMQ/edit#gid=1251630045"",""articles_with_PRISMA_reasons!B2:B2113""))&gt;=2,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$A680=IMPORTRANGE(""https://docs.google.com/spreadsheets/d/1BJSV3WBYJGRhQ6zExamkszQ5VutGIcaQqmbD9ZTVXMQ/edit#gid=1251630045"",""articles_with_PRISMA_reasons!B2:B2113""))&lt;2),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$A680=IMPORTRANGE(""https://docs.google.com/spreadsheets/d/1BJSV3WBYJGRhQ6zExamkszQ5VutGIcaQqmbD9ZTVXMQ/edit#gid=1251630045"",""arti"&amp;"cles_with_PRISMA_reasons!B2:B2113""))&lt;2,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$A680=IMPORTRANGE(""https://docs.google.com"&amp;"/spreadsheets/d/1BJSV3WBYJGRhQ6zExamkszQ5VutGIcaQqmbD9ZTVXMQ/edit#gid=1251630045"",""articles_with_PRISMA_reasons!B2:B2113""))&gt;=2),
""Exclude""
)"),"Include")</f>
        <v>Include</v>
      </c>
      <c r="E680" s="5" t="str">
        <f>IFERROR(__xludf.DUMMYFUNCTION("IFS(
D680=""Exclude"",""Exclude"",
AND(
FILTER(IMPORTRANGE(""https://docs.google.com/spreadsheets/d/1qpEmbGH0JjaJbUdp21-y2cPbobDbMjr09BbtdKROZWc/edit#gid=1444865654"",""articles_with_PRISMA_reasons!W2:W2113""), $A680=IMPORTRANGE(""https://docs.google.com/"&amp;"spreadsheets/d/1qpEmbGH0JjaJbUdp21-y2cPbobDbMjr09BbtdKROZWc/edit#gid=1444865654"",""articles_with_PRISMA_reasons!B2:B2113""))&gt;=2,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$A680=IMPORTRANGE(""https://docs.google.com/spreadsheets/d/1qpEmbGH0JjaJbUdp21-y2cPbobDbMjr09BbtdKROZWc/edit#gid=1444865654"",""articles_with_PRISMA_reasons!B2:B2113""))&lt;2),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$A680=IMPORTRANGE(""https://docs.google.com/spreadsheets/d/1qpEmbGH0JjaJbUdp21-y2cPbobDbMjr09BbtdKRO"&amp;"ZWc/edit#gid=1444865654"",""articles_with_PRISMA_reasons!B2:B2113""))&lt;2,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$A680=IMPOR"&amp;"TRANGE(""https://docs.google.com/spreadsheets/d/1qpEmbGH0JjaJbUdp21-y2cPbobDbMjr09BbtdKROZWc/edit#gid=1444865654"",""articles_with_PRISMA_reasons!B2:B2113""))&gt;=2),
""Exclude""
)"),"Include")</f>
        <v>Include</v>
      </c>
      <c r="F680" s="2" t="s">
        <v>8</v>
      </c>
      <c r="G680" s="2" t="s">
        <v>16</v>
      </c>
    </row>
    <row r="681">
      <c r="A681" s="4" t="str">
        <f>IFERROR(__xludf.DUMMYFUNCTION("""COMPUTED_VALUE"""),"Echoencephalography in myelomeningoceles")</f>
        <v>Echoencephalography in myelomeningoceles</v>
      </c>
      <c r="B681" s="5" t="str">
        <f>IFERROR(__xludf.DUMMYFUNCTION("LEFT(FILTER(IMPORTRANGE(""https://docs.google.com/spreadsheets/d/1BJSV3WBYJGRhQ6zExamkszQ5VutGIcaQqmbD9ZTVXMQ/edit#gid=1251630045"",""articles_with_PRISMA_reasons!K2:K2113""), $A681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$A681=IMPORTRANGE(""https://docs.google.com/spreadsheets/d/1BJSV3WBYJGRhQ6zExamkszQ5VutGIcaQqmbD9ZTVXMQ/edit#gid=1251630045"",""articles_with_PRISMA_reasons!B2:B2113"")))-1)"),"Veyrac")</f>
        <v>Veyrac</v>
      </c>
      <c r="C681" s="6">
        <f>IFERROR(__xludf.DUMMYFUNCTION("FILTER(IMPORTRANGE(""https://docs.google.com/spreadsheets/d/1BJSV3WBYJGRhQ6zExamkszQ5VutGIcaQqmbD9ZTVXMQ/edit#gid=1251630045"",""articles_with_PRISMA_reasons!C2:C2113""), $A681=IMPORTRANGE(""https://docs.google.com/spreadsheets/d/1BJSV3WBYJGRhQ6zExamkszQ5"&amp;"VutGIcaQqmbD9ZTVXMQ/edit#gid=1251630045"",""articles_with_PRISMA_reasons!B2:B2113""))"),1983.0)</f>
        <v>1983</v>
      </c>
      <c r="D681" s="5" t="str">
        <f>IFERROR(__xludf.DUMMYFUNCTION("IFS(AND(
FILTER(IMPORTRANGE(""https://docs.google.com/spreadsheets/d/1BJSV3WBYJGRhQ6zExamkszQ5VutGIcaQqmbD9ZTVXMQ/edit#gid=1251630045"",""articles_with_PRISMA_reasons!Y2:Y2113""), $A681=IMPORTRANGE(""https://docs.google.com/spreadsheets/d/1BJSV3WBYJGRhQ6z"&amp;"ExamkszQ5VutGIcaQqmbD9ZTVXMQ/edit#gid=1251630045"",""articles_with_PRISMA_reasons!B2:B2113""))&gt;=2,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$A681=IMPORTRANGE(""https://docs.google.com/spreadsheets/d/1BJSV3WBYJGRhQ6zExamkszQ5VutGIcaQqmbD9ZTVXMQ/edit#gid=1251630045"",""articles_with_PRISMA_reasons!B2:B2113""))&lt;2),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$A681=IMPORTRANGE(""https://docs.google.com/spreadsheets/d/1BJSV3WBYJGRhQ6zExamkszQ5VutGIcaQqmbD9ZTVXMQ/edit#gid=1251630045"",""arti"&amp;"cles_with_PRISMA_reasons!B2:B2113""))&lt;2,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$A681=IMPORTRANGE(""https://docs.google.com"&amp;"/spreadsheets/d/1BJSV3WBYJGRhQ6zExamkszQ5VutGIcaQqmbD9ZTVXMQ/edit#gid=1251630045"",""articles_with_PRISMA_reasons!B2:B2113""))&gt;=2),
""Exclude""
)"),"Exclude")</f>
        <v>Exclude</v>
      </c>
      <c r="E681" s="5" t="str">
        <f>IFERROR(__xludf.DUMMYFUNCTION("IFS(
D681=""Exclude"",""Exclude"",
AND(
FILTER(IMPORTRANGE(""https://docs.google.com/spreadsheets/d/1qpEmbGH0JjaJbUdp21-y2cPbobDbMjr09BbtdKROZWc/edit#gid=1444865654"",""articles_with_PRISMA_reasons!W2:W2113""), $A681=IMPORTRANGE(""https://docs.google.com/"&amp;"spreadsheets/d/1qpEmbGH0JjaJbUdp21-y2cPbobDbMjr09BbtdKROZWc/edit#gid=1444865654"",""articles_with_PRISMA_reasons!B2:B2113""))&gt;=2,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$A681=IMPORTRANGE(""https://docs.google.com/spreadsheets/d/1qpEmbGH0JjaJbUdp21-y2cPbobDbMjr09BbtdKROZWc/edit#gid=1444865654"",""articles_with_PRISMA_reasons!B2:B2113""))&lt;2),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$A681=IMPORTRANGE(""https://docs.google.com/spreadsheets/d/1qpEmbGH0JjaJbUdp21-y2cPbobDbMjr09BbtdKRO"&amp;"ZWc/edit#gid=1444865654"",""articles_with_PRISMA_reasons!B2:B2113""))&lt;2,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$A681=IMPOR"&amp;"TRANGE(""https://docs.google.com/spreadsheets/d/1qpEmbGH0JjaJbUdp21-y2cPbobDbMjr09BbtdKROZWc/edit#gid=1444865654"",""articles_with_PRISMA_reasons!B2:B2113""))&gt;=2),
""Exclude""
)"),"Exclude")</f>
        <v>Exclude</v>
      </c>
      <c r="F681" s="5" t="str">
        <f>IFERROR(__xludf.DUMMYFUNCTION("IFS(
E681=""Exclude"",""Exclude"",
AND(
COUNTIF(
IMPORTRANGE(""https://docs.google.com/spreadsheets/d/1kGrh75X1cNR1D7_FcY9zMnHP8iPO4M5RCRjy6nZY0TY/edit#gid=0"",""Table 1: Study characteristics!B4:B171""),A681)&gt;0,
COUNTIF(Studies!$A$2:$A$85,FILTER(IMPORTRA"&amp;"NGE(""https://docs.google.com/spreadsheets/d/1kGrh75X1cNR1D7_FcY9zMnHP8iPO4M5RCRjy6nZY0TY/edit#gid=0"",""Table 1: Study characteristics!A4:A171""), $A681=IMPORTRANGE(""https://docs.google.com/spreadsheets/d/1kGrh75X1cNR1D7_FcY9zMnHP8iPO4M5RCRjy6nZY0TY/edi"&amp;"t#gid=0"",""Table 1: Study characteristics!B4:B171"")))&gt;0
),
""Include""
)"),"Exclude")</f>
        <v>Exclude</v>
      </c>
      <c r="G681" s="5" t="str">
        <f>IFERROR(__xludf.DUMMYFUNCTION("IFS(
D681=""Exclude"",
FILTER(IMPORTRANGE(""https://docs.google.com/spreadsheets/d/1BJSV3WBYJGRhQ6zExamkszQ5VutGIcaQqmbD9ZTVXMQ/edit#gid=1251630045"",""articles_with_PRISMA_reasons!AB2:AB2113""), $A681=IMPORTRANGE(""https://docs.google.com/spreadsheets/d/"&amp;"1BJSV3WBYJGRhQ6zExamkszQ5VutGIcaQqmbD9ZTVXMQ/edit#gid=1251630045"",""articles_with_PRISMA_reasons!B2:B2113"")),
E681=""Exclude"",
FILTER(IMPORTRANGE(""https://docs.google.com/spreadsheets/d/1qpEmbGH0JjaJbUdp21-y2cPbobDbMjr09BbtdKROZWc/edit#gid=1444865654"&amp;""",""articles_with_PRISMA_reasons!Z2:Z2113""), $A681=IMPORTRANGE(""https://docs.google.com/spreadsheets/d/1qpEmbGH0JjaJbUdp21-y2cPbobDbMjr09BbtdKROZWc/edit#gid=1444865654"",""articles_with_PRISMA_reasons!B2:B2113"")),F681
=""Include"",FILTER(IMPORTRANGE("&amp;"""https://docs.google.com/spreadsheets/d/1kGrh75X1cNR1D7_FcY9zMnHP8iPO4M5RCRjy6nZY0TY/edit#gid=0"",""Table 1: Study characteristics!A4:A171""), $A681=IMPORTRANGE(""https://docs.google.com/spreadsheets/d/1kGrh75X1cNR1D7_FcY9zMnHP8iPO4M5RCRjy6nZY0TY/edit#gi"&amp;"d=0"",""Table 1: Study characteristics!B4:B171""))
)"),"wrong study design")</f>
        <v>wrong study design</v>
      </c>
    </row>
    <row r="682">
      <c r="A682" s="4" t="str">
        <f>IFERROR(__xludf.DUMMYFUNCTION("""COMPUTED_VALUE"""),"Economic benefit of neurosurgical intervention for infant hydrocephalus in Haiti")</f>
        <v>Economic benefit of neurosurgical intervention for infant hydrocephalus in Haiti</v>
      </c>
      <c r="B682" s="5" t="str">
        <f>IFERROR(__xludf.DUMMYFUNCTION("LEFT(FILTER(IMPORTRANGE(""https://docs.google.com/spreadsheets/d/1BJSV3WBYJGRhQ6zExamkszQ5VutGIcaQqmbD9ZTVXMQ/edit#gid=1251630045"",""articles_with_PRISMA_reasons!K2:K2113""), $A682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$A682=IMPORTRANGE(""https://docs.google.com/spreadsheets/d/1BJSV3WBYJGRhQ6zExamkszQ5VutGIcaQqmbD9ZTVXMQ/edit#gid=1251630045"",""articles_with_PRISMA_reasons!B2:B2113"")))-1)"),"Hubbard")</f>
        <v>Hubbard</v>
      </c>
      <c r="C682" s="6">
        <f>IFERROR(__xludf.DUMMYFUNCTION("FILTER(IMPORTRANGE(""https://docs.google.com/spreadsheets/d/1BJSV3WBYJGRhQ6zExamkszQ5VutGIcaQqmbD9ZTVXMQ/edit#gid=1251630045"",""articles_with_PRISMA_reasons!C2:C2113""), $A682=IMPORTRANGE(""https://docs.google.com/spreadsheets/d/1BJSV3WBYJGRhQ6zExamkszQ5"&amp;"VutGIcaQqmbD9ZTVXMQ/edit#gid=1251630045"",""articles_with_PRISMA_reasons!B2:B2113""))"),2019.0)</f>
        <v>2019</v>
      </c>
      <c r="D682" s="5" t="str">
        <f>IFERROR(__xludf.DUMMYFUNCTION("IFS(AND(
FILTER(IMPORTRANGE(""https://docs.google.com/spreadsheets/d/1BJSV3WBYJGRhQ6zExamkszQ5VutGIcaQqmbD9ZTVXMQ/edit#gid=1251630045"",""articles_with_PRISMA_reasons!Y2:Y2113""), $A682=IMPORTRANGE(""https://docs.google.com/spreadsheets/d/1BJSV3WBYJGRhQ6z"&amp;"ExamkszQ5VutGIcaQqmbD9ZTVXMQ/edit#gid=1251630045"",""articles_with_PRISMA_reasons!B2:B2113""))&gt;=2,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$A682=IMPORTRANGE(""https://docs.google.com/spreadsheets/d/1BJSV3WBYJGRhQ6zExamkszQ5VutGIcaQqmbD9ZTVXMQ/edit#gid=1251630045"",""articles_with_PRISMA_reasons!B2:B2113""))&lt;2),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$A682=IMPORTRANGE(""https://docs.google.com/spreadsheets/d/1BJSV3WBYJGRhQ6zExamkszQ5VutGIcaQqmbD9ZTVXMQ/edit#gid=1251630045"",""arti"&amp;"cles_with_PRISMA_reasons!B2:B2113""))&lt;2,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$A682=IMPORTRANGE(""https://docs.google.com"&amp;"/spreadsheets/d/1BJSV3WBYJGRhQ6zExamkszQ5VutGIcaQqmbD9ZTVXMQ/edit#gid=1251630045"",""articles_with_PRISMA_reasons!B2:B2113""))&gt;=2),
""Exclude""
)"),"Exclude")</f>
        <v>Exclude</v>
      </c>
      <c r="E682" s="5" t="str">
        <f>IFERROR(__xludf.DUMMYFUNCTION("IFS(
D682=""Exclude"",""Exclude"",
AND(
FILTER(IMPORTRANGE(""https://docs.google.com/spreadsheets/d/1qpEmbGH0JjaJbUdp21-y2cPbobDbMjr09BbtdKROZWc/edit#gid=1444865654"",""articles_with_PRISMA_reasons!W2:W2113""), $A682=IMPORTRANGE(""https://docs.google.com/"&amp;"spreadsheets/d/1qpEmbGH0JjaJbUdp21-y2cPbobDbMjr09BbtdKROZWc/edit#gid=1444865654"",""articles_with_PRISMA_reasons!B2:B2113""))&gt;=2,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$A682=IMPORTRANGE(""https://docs.google.com/spreadsheets/d/1qpEmbGH0JjaJbUdp21-y2cPbobDbMjr09BbtdKROZWc/edit#gid=1444865654"",""articles_with_PRISMA_reasons!B2:B2113""))&lt;2),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$A682=IMPORTRANGE(""https://docs.google.com/spreadsheets/d/1qpEmbGH0JjaJbUdp21-y2cPbobDbMjr09BbtdKRO"&amp;"ZWc/edit#gid=1444865654"",""articles_with_PRISMA_reasons!B2:B2113""))&lt;2,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$A682=IMPOR"&amp;"TRANGE(""https://docs.google.com/spreadsheets/d/1qpEmbGH0JjaJbUdp21-y2cPbobDbMjr09BbtdKROZWc/edit#gid=1444865654"",""articles_with_PRISMA_reasons!B2:B2113""))&gt;=2),
""Exclude""
)"),"Exclude")</f>
        <v>Exclude</v>
      </c>
      <c r="F682" s="5" t="str">
        <f>IFERROR(__xludf.DUMMYFUNCTION("IFS(
E682=""Exclude"",""Exclude"",
AND(
COUNTIF(
IMPORTRANGE(""https://docs.google.com/spreadsheets/d/1kGrh75X1cNR1D7_FcY9zMnHP8iPO4M5RCRjy6nZY0TY/edit#gid=0"",""Table 1: Study characteristics!B4:B171""),A682)&gt;0,
COUNTIF(Studies!$A$2:$A$85,FILTER(IMPORTRA"&amp;"NGE(""https://docs.google.com/spreadsheets/d/1kGrh75X1cNR1D7_FcY9zMnHP8iPO4M5RCRjy6nZY0TY/edit#gid=0"",""Table 1: Study characteristics!A4:A171""), $A682=IMPORTRANGE(""https://docs.google.com/spreadsheets/d/1kGrh75X1cNR1D7_FcY9zMnHP8iPO4M5RCRjy6nZY0TY/edi"&amp;"t#gid=0"",""Table 1: Study characteristics!B4:B171"")))&gt;0
),
""Include""
)"),"Exclude")</f>
        <v>Exclude</v>
      </c>
      <c r="G682" s="5" t="str">
        <f>IFERROR(__xludf.DUMMYFUNCTION("IFS(
D682=""Exclude"",
FILTER(IMPORTRANGE(""https://docs.google.com/spreadsheets/d/1BJSV3WBYJGRhQ6zExamkszQ5VutGIcaQqmbD9ZTVXMQ/edit#gid=1251630045"",""articles_with_PRISMA_reasons!AB2:AB2113""), $A682=IMPORTRANGE(""https://docs.google.com/spreadsheets/d/"&amp;"1BJSV3WBYJGRhQ6zExamkszQ5VutGIcaQqmbD9ZTVXMQ/edit#gid=1251630045"",""articles_with_PRISMA_reasons!B2:B2113"")),
E682=""Exclude"",
FILTER(IMPORTRANGE(""https://docs.google.com/spreadsheets/d/1qpEmbGH0JjaJbUdp21-y2cPbobDbMjr09BbtdKROZWc/edit#gid=1444865654"&amp;""",""articles_with_PRISMA_reasons!Z2:Z2113""), $A682=IMPORTRANGE(""https://docs.google.com/spreadsheets/d/1qpEmbGH0JjaJbUdp21-y2cPbobDbMjr09BbtdKROZWc/edit#gid=1444865654"",""articles_with_PRISMA_reasons!B2:B2113"")),F682
=""Include"",FILTER(IMPORTRANGE("&amp;"""https://docs.google.com/spreadsheets/d/1kGrh75X1cNR1D7_FcY9zMnHP8iPO4M5RCRjy6nZY0TY/edit#gid=0"",""Table 1: Study characteristics!A4:A171""), $A682=IMPORTRANGE(""https://docs.google.com/spreadsheets/d/1kGrh75X1cNR1D7_FcY9zMnHP8iPO4M5RCRjy6nZY0TY/edit#gi"&amp;"d=0"",""Table 1: Study characteristics!B4:B171""))
)"),"wrong outcome")</f>
        <v>wrong outcome</v>
      </c>
    </row>
    <row r="683">
      <c r="A683" s="4" t="str">
        <f>IFERROR(__xludf.DUMMYFUNCTION("""COMPUTED_VALUE"""),"ECT in the treatment of a depressed adolescent with meningomyelocele, hydrocephalus, and seizures")</f>
        <v>ECT in the treatment of a depressed adolescent with meningomyelocele, hydrocephalus, and seizures</v>
      </c>
      <c r="B683" s="5" t="str">
        <f>IFERROR(__xludf.DUMMYFUNCTION("LEFT(FILTER(IMPORTRANGE(""https://docs.google.com/spreadsheets/d/1BJSV3WBYJGRhQ6zExamkszQ5VutGIcaQqmbD9ZTVXMQ/edit#gid=1251630045"",""articles_with_PRISMA_reasons!K2:K2113""), $A683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$A683=IMPORTRANGE(""https://docs.google.com/spreadsheets/d/1BJSV3WBYJGRhQ6zExamkszQ5VutGIcaQqmbD9ZTVXMQ/edit#gid=1251630045"",""articles_with_PRISMA_reasons!B2:B2113"")))-1)"),"Mansheim")</f>
        <v>Mansheim</v>
      </c>
      <c r="C683" s="6">
        <f>IFERROR(__xludf.DUMMYFUNCTION("FILTER(IMPORTRANGE(""https://docs.google.com/spreadsheets/d/1BJSV3WBYJGRhQ6zExamkszQ5VutGIcaQqmbD9ZTVXMQ/edit#gid=1251630045"",""articles_with_PRISMA_reasons!C2:C2113""), $A683=IMPORTRANGE(""https://docs.google.com/spreadsheets/d/1BJSV3WBYJGRhQ6zExamkszQ5"&amp;"VutGIcaQqmbD9ZTVXMQ/edit#gid=1251630045"",""articles_with_PRISMA_reasons!B2:B2113""))"),1983.0)</f>
        <v>1983</v>
      </c>
      <c r="D683" s="5" t="str">
        <f>IFERROR(__xludf.DUMMYFUNCTION("IFS(AND(
FILTER(IMPORTRANGE(""https://docs.google.com/spreadsheets/d/1BJSV3WBYJGRhQ6zExamkszQ5VutGIcaQqmbD9ZTVXMQ/edit#gid=1251630045"",""articles_with_PRISMA_reasons!Y2:Y2113""), $A683=IMPORTRANGE(""https://docs.google.com/spreadsheets/d/1BJSV3WBYJGRhQ6z"&amp;"ExamkszQ5VutGIcaQqmbD9ZTVXMQ/edit#gid=1251630045"",""articles_with_PRISMA_reasons!B2:B2113""))&gt;=2,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$A683=IMPORTRANGE(""https://docs.google.com/spreadsheets/d/1BJSV3WBYJGRhQ6zExamkszQ5VutGIcaQqmbD9ZTVXMQ/edit#gid=1251630045"",""articles_with_PRISMA_reasons!B2:B2113""))&lt;2),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$A683=IMPORTRANGE(""https://docs.google.com/spreadsheets/d/1BJSV3WBYJGRhQ6zExamkszQ5VutGIcaQqmbD9ZTVXMQ/edit#gid=1251630045"",""arti"&amp;"cles_with_PRISMA_reasons!B2:B2113""))&lt;2,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$A683=IMPORTRANGE(""https://docs.google.com"&amp;"/spreadsheets/d/1BJSV3WBYJGRhQ6zExamkszQ5VutGIcaQqmbD9ZTVXMQ/edit#gid=1251630045"",""articles_with_PRISMA_reasons!B2:B2113""))&gt;=2),
""Exclude""
)"),"Exclude")</f>
        <v>Exclude</v>
      </c>
      <c r="E683" s="5" t="str">
        <f>IFERROR(__xludf.DUMMYFUNCTION("IFS(
D683=""Exclude"",""Exclude"",
AND(
FILTER(IMPORTRANGE(""https://docs.google.com/spreadsheets/d/1qpEmbGH0JjaJbUdp21-y2cPbobDbMjr09BbtdKROZWc/edit#gid=1444865654"",""articles_with_PRISMA_reasons!W2:W2113""), $A683=IMPORTRANGE(""https://docs.google.com/"&amp;"spreadsheets/d/1qpEmbGH0JjaJbUdp21-y2cPbobDbMjr09BbtdKROZWc/edit#gid=1444865654"",""articles_with_PRISMA_reasons!B2:B2113""))&gt;=2,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$A683=IMPORTRANGE(""https://docs.google.com/spreadsheets/d/1qpEmbGH0JjaJbUdp21-y2cPbobDbMjr09BbtdKROZWc/edit#gid=1444865654"",""articles_with_PRISMA_reasons!B2:B2113""))&lt;2),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$A683=IMPORTRANGE(""https://docs.google.com/spreadsheets/d/1qpEmbGH0JjaJbUdp21-y2cPbobDbMjr09BbtdKRO"&amp;"ZWc/edit#gid=1444865654"",""articles_with_PRISMA_reasons!B2:B2113""))&lt;2,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$A683=IMPOR"&amp;"TRANGE(""https://docs.google.com/spreadsheets/d/1qpEmbGH0JjaJbUdp21-y2cPbobDbMjr09BbtdKROZWc/edit#gid=1444865654"",""articles_with_PRISMA_reasons!B2:B2113""))&gt;=2),
""Exclude""
)"),"Exclude")</f>
        <v>Exclude</v>
      </c>
      <c r="F683" s="5" t="str">
        <f>IFERROR(__xludf.DUMMYFUNCTION("IFS(
E683=""Exclude"",""Exclude"",
AND(
COUNTIF(
IMPORTRANGE(""https://docs.google.com/spreadsheets/d/1kGrh75X1cNR1D7_FcY9zMnHP8iPO4M5RCRjy6nZY0TY/edit#gid=0"",""Table 1: Study characteristics!B4:B171""),A683)&gt;0,
COUNTIF(Studies!$A$2:$A$85,FILTER(IMPORTRA"&amp;"NGE(""https://docs.google.com/spreadsheets/d/1kGrh75X1cNR1D7_FcY9zMnHP8iPO4M5RCRjy6nZY0TY/edit#gid=0"",""Table 1: Study characteristics!A4:A171""), $A683=IMPORTRANGE(""https://docs.google.com/spreadsheets/d/1kGrh75X1cNR1D7_FcY9zMnHP8iPO4M5RCRjy6nZY0TY/edi"&amp;"t#gid=0"",""Table 1: Study characteristics!B4:B171"")))&gt;0
),
""Include""
)"),"Exclude")</f>
        <v>Exclude</v>
      </c>
      <c r="G683" s="5" t="str">
        <f>IFERROR(__xludf.DUMMYFUNCTION("IFS(
D683=""Exclude"",
FILTER(IMPORTRANGE(""https://docs.google.com/spreadsheets/d/1BJSV3WBYJGRhQ6zExamkszQ5VutGIcaQqmbD9ZTVXMQ/edit#gid=1251630045"",""articles_with_PRISMA_reasons!AB2:AB2113""), $A683=IMPORTRANGE(""https://docs.google.com/spreadsheets/d/"&amp;"1BJSV3WBYJGRhQ6zExamkszQ5VutGIcaQqmbD9ZTVXMQ/edit#gid=1251630045"",""articles_with_PRISMA_reasons!B2:B2113"")),
E683=""Exclude"",
FILTER(IMPORTRANGE(""https://docs.google.com/spreadsheets/d/1qpEmbGH0JjaJbUdp21-y2cPbobDbMjr09BbtdKROZWc/edit#gid=1444865654"&amp;""",""articles_with_PRISMA_reasons!Z2:Z2113""), $A683=IMPORTRANGE(""https://docs.google.com/spreadsheets/d/1qpEmbGH0JjaJbUdp21-y2cPbobDbMjr09BbtdKROZWc/edit#gid=1444865654"",""articles_with_PRISMA_reasons!B2:B2113"")),F683
=""Include"",FILTER(IMPORTRANGE("&amp;"""https://docs.google.com/spreadsheets/d/1kGrh75X1cNR1D7_FcY9zMnHP8iPO4M5RCRjy6nZY0TY/edit#gid=0"",""Table 1: Study characteristics!A4:A171""), $A683=IMPORTRANGE(""https://docs.google.com/spreadsheets/d/1kGrh75X1cNR1D7_FcY9zMnHP8iPO4M5RCRjy6nZY0TY/edit#gi"&amp;"d=0"",""Table 1: Study characteristics!B4:B171""))
)"),"wrong study design")</f>
        <v>wrong study design</v>
      </c>
    </row>
    <row r="684">
      <c r="A684" s="4" t="str">
        <f>IFERROR(__xludf.DUMMYFUNCTION("""COMPUTED_VALUE"""),"Editorial: Prognosis of meningomyelocele")</f>
        <v>Editorial: Prognosis of meningomyelocele</v>
      </c>
      <c r="B684" s="5" t="str">
        <f>IFERROR(__xludf.DUMMYFUNCTION("LEFT(FILTER(IMPORTRANGE(""https://docs.google.com/spreadsheets/d/1BJSV3WBYJGRhQ6zExamkszQ5VutGIcaQqmbD9ZTVXMQ/edit#gid=1251630045"",""articles_with_PRISMA_reasons!K2:K2113""), $A684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$A684=IMPORTRANGE(""https://docs.google.com/spreadsheets/d/1BJSV3WBYJGRhQ6zExamkszQ5VutGIcaQqmbD9ZTVXMQ/edit#gid=1251630045"",""articles_with_PRISMA_reasons!B2:B2113"")))-1)"),"Shurtleff")</f>
        <v>Shurtleff</v>
      </c>
      <c r="C684" s="6">
        <f>IFERROR(__xludf.DUMMYFUNCTION("FILTER(IMPORTRANGE(""https://docs.google.com/spreadsheets/d/1BJSV3WBYJGRhQ6zExamkszQ5VutGIcaQqmbD9ZTVXMQ/edit#gid=1251630045"",""articles_with_PRISMA_reasons!C2:C2113""), $A684=IMPORTRANGE(""https://docs.google.com/spreadsheets/d/1BJSV3WBYJGRhQ6zExamkszQ5"&amp;"VutGIcaQqmbD9ZTVXMQ/edit#gid=1251630045"",""articles_with_PRISMA_reasons!B2:B2113""))"),1975.0)</f>
        <v>1975</v>
      </c>
      <c r="D684" s="5" t="str">
        <f>IFERROR(__xludf.DUMMYFUNCTION("IFS(AND(
FILTER(IMPORTRANGE(""https://docs.google.com/spreadsheets/d/1BJSV3WBYJGRhQ6zExamkszQ5VutGIcaQqmbD9ZTVXMQ/edit#gid=1251630045"",""articles_with_PRISMA_reasons!Y2:Y2113""), $A684=IMPORTRANGE(""https://docs.google.com/spreadsheets/d/1BJSV3WBYJGRhQ6z"&amp;"ExamkszQ5VutGIcaQqmbD9ZTVXMQ/edit#gid=1251630045"",""articles_with_PRISMA_reasons!B2:B2113""))&gt;=2,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$A684=IMPORTRANGE(""https://docs.google.com/spreadsheets/d/1BJSV3WBYJGRhQ6zExamkszQ5VutGIcaQqmbD9ZTVXMQ/edit#gid=1251630045"",""articles_with_PRISMA_reasons!B2:B2113""))&lt;2),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$A684=IMPORTRANGE(""https://docs.google.com/spreadsheets/d/1BJSV3WBYJGRhQ6zExamkszQ5VutGIcaQqmbD9ZTVXMQ/edit#gid=1251630045"",""arti"&amp;"cles_with_PRISMA_reasons!B2:B2113""))&lt;2,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$A684=IMPORTRANGE(""https://docs.google.com"&amp;"/spreadsheets/d/1BJSV3WBYJGRhQ6zExamkszQ5VutGIcaQqmbD9ZTVXMQ/edit#gid=1251630045"",""articles_with_PRISMA_reasons!B2:B2113""))&gt;=2),
""Exclude""
)"),"Exclude")</f>
        <v>Exclude</v>
      </c>
      <c r="E684" s="5" t="str">
        <f>IFERROR(__xludf.DUMMYFUNCTION("IFS(
D684=""Exclude"",""Exclude"",
AND(
FILTER(IMPORTRANGE(""https://docs.google.com/spreadsheets/d/1qpEmbGH0JjaJbUdp21-y2cPbobDbMjr09BbtdKROZWc/edit#gid=1444865654"",""articles_with_PRISMA_reasons!W2:W2113""), $A684=IMPORTRANGE(""https://docs.google.com/"&amp;"spreadsheets/d/1qpEmbGH0JjaJbUdp21-y2cPbobDbMjr09BbtdKROZWc/edit#gid=1444865654"",""articles_with_PRISMA_reasons!B2:B2113""))&gt;=2,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$A684=IMPORTRANGE(""https://docs.google.com/spreadsheets/d/1qpEmbGH0JjaJbUdp21-y2cPbobDbMjr09BbtdKROZWc/edit#gid=1444865654"",""articles_with_PRISMA_reasons!B2:B2113""))&lt;2),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$A684=IMPORTRANGE(""https://docs.google.com/spreadsheets/d/1qpEmbGH0JjaJbUdp21-y2cPbobDbMjr09BbtdKRO"&amp;"ZWc/edit#gid=1444865654"",""articles_with_PRISMA_reasons!B2:B2113""))&lt;2,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$A684=IMPOR"&amp;"TRANGE(""https://docs.google.com/spreadsheets/d/1qpEmbGH0JjaJbUdp21-y2cPbobDbMjr09BbtdKROZWc/edit#gid=1444865654"",""articles_with_PRISMA_reasons!B2:B2113""))&gt;=2),
""Exclude""
)"),"Exclude")</f>
        <v>Exclude</v>
      </c>
      <c r="F684" s="5" t="str">
        <f>IFERROR(__xludf.DUMMYFUNCTION("IFS(
E684=""Exclude"",""Exclude"",
AND(
COUNTIF(
IMPORTRANGE(""https://docs.google.com/spreadsheets/d/1kGrh75X1cNR1D7_FcY9zMnHP8iPO4M5RCRjy6nZY0TY/edit#gid=0"",""Table 1: Study characteristics!B4:B171""),A684)&gt;0,
COUNTIF(Studies!$A$2:$A$85,FILTER(IMPORTRA"&amp;"NGE(""https://docs.google.com/spreadsheets/d/1kGrh75X1cNR1D7_FcY9zMnHP8iPO4M5RCRjy6nZY0TY/edit#gid=0"",""Table 1: Study characteristics!A4:A171""), $A684=IMPORTRANGE(""https://docs.google.com/spreadsheets/d/1kGrh75X1cNR1D7_FcY9zMnHP8iPO4M5RCRjy6nZY0TY/edi"&amp;"t#gid=0"",""Table 1: Study characteristics!B4:B171"")))&gt;0
),
""Include""
)"),"Exclude")</f>
        <v>Exclude</v>
      </c>
      <c r="G684" s="5" t="str">
        <f>IFERROR(__xludf.DUMMYFUNCTION("IFS(
D684=""Exclude"",
FILTER(IMPORTRANGE(""https://docs.google.com/spreadsheets/d/1BJSV3WBYJGRhQ6zExamkszQ5VutGIcaQqmbD9ZTVXMQ/edit#gid=1251630045"",""articles_with_PRISMA_reasons!AB2:AB2113""), $A684=IMPORTRANGE(""https://docs.google.com/spreadsheets/d/"&amp;"1BJSV3WBYJGRhQ6zExamkszQ5VutGIcaQqmbD9ZTVXMQ/edit#gid=1251630045"",""articles_with_PRISMA_reasons!B2:B2113"")),
E684=""Exclude"",
FILTER(IMPORTRANGE(""https://docs.google.com/spreadsheets/d/1qpEmbGH0JjaJbUdp21-y2cPbobDbMjr09BbtdKROZWc/edit#gid=1444865654"&amp;""",""articles_with_PRISMA_reasons!Z2:Z2113""), $A684=IMPORTRANGE(""https://docs.google.com/spreadsheets/d/1qpEmbGH0JjaJbUdp21-y2cPbobDbMjr09BbtdKROZWc/edit#gid=1444865654"",""articles_with_PRISMA_reasons!B2:B2113"")),F684
=""Include"",FILTER(IMPORTRANGE("&amp;"""https://docs.google.com/spreadsheets/d/1kGrh75X1cNR1D7_FcY9zMnHP8iPO4M5RCRjy6nZY0TY/edit#gid=0"",""Table 1: Study characteristics!A4:A171""), $A684=IMPORTRANGE(""https://docs.google.com/spreadsheets/d/1kGrh75X1cNR1D7_FcY9zMnHP8iPO4M5RCRjy6nZY0TY/edit#gi"&amp;"d=0"",""Table 1: Study characteristics!B4:B171""))
)"),"wrong study design")</f>
        <v>wrong study design</v>
      </c>
    </row>
    <row r="685">
      <c r="A685" s="4" t="str">
        <f>IFERROR(__xludf.DUMMYFUNCTION("""COMPUTED_VALUE"""),"Efavirenz in pregnancy")</f>
        <v>Efavirenz in pregnancy</v>
      </c>
      <c r="B685" s="5" t="str">
        <f>IFERROR(__xludf.DUMMYFUNCTION("LEFT(FILTER(IMPORTRANGE(""https://docs.google.com/spreadsheets/d/1BJSV3WBYJGRhQ6zExamkszQ5VutGIcaQqmbD9ZTVXMQ/edit#gid=1251630045"",""articles_with_PRISMA_reasons!K2:K2113""), $A685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$A685=IMPORTRANGE(""https://docs.google.com/spreadsheets/d/1BJSV3WBYJGRhQ6zExamkszQ5VutGIcaQqmbD9ZTVXMQ/edit#gid=1251630045"",""articles_with_PRISMA_reasons!B2:B2113"")))-1)"),"Clayden")</f>
        <v>Clayden</v>
      </c>
      <c r="C685" s="6">
        <f>IFERROR(__xludf.DUMMYFUNCTION("FILTER(IMPORTRANGE(""https://docs.google.com/spreadsheets/d/1BJSV3WBYJGRhQ6zExamkszQ5VutGIcaQqmbD9ZTVXMQ/edit#gid=1251630045"",""articles_with_PRISMA_reasons!C2:C2113""), $A685=IMPORTRANGE(""https://docs.google.com/spreadsheets/d/1BJSV3WBYJGRhQ6zExamkszQ5"&amp;"VutGIcaQqmbD9ZTVXMQ/edit#gid=1251630045"",""articles_with_PRISMA_reasons!B2:B2113""))"),2010.0)</f>
        <v>2010</v>
      </c>
      <c r="D685" s="5" t="str">
        <f>IFERROR(__xludf.DUMMYFUNCTION("IFS(AND(
FILTER(IMPORTRANGE(""https://docs.google.com/spreadsheets/d/1BJSV3WBYJGRhQ6zExamkszQ5VutGIcaQqmbD9ZTVXMQ/edit#gid=1251630045"",""articles_with_PRISMA_reasons!Y2:Y2113""), $A685=IMPORTRANGE(""https://docs.google.com/spreadsheets/d/1BJSV3WBYJGRhQ6z"&amp;"ExamkszQ5VutGIcaQqmbD9ZTVXMQ/edit#gid=1251630045"",""articles_with_PRISMA_reasons!B2:B2113""))&gt;=2,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$A685=IMPORTRANGE(""https://docs.google.com/spreadsheets/d/1BJSV3WBYJGRhQ6zExamkszQ5VutGIcaQqmbD9ZTVXMQ/edit#gid=1251630045"",""articles_with_PRISMA_reasons!B2:B2113""))&lt;2),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$A685=IMPORTRANGE(""https://docs.google.com/spreadsheets/d/1BJSV3WBYJGRhQ6zExamkszQ5VutGIcaQqmbD9ZTVXMQ/edit#gid=1251630045"",""arti"&amp;"cles_with_PRISMA_reasons!B2:B2113""))&lt;2,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$A685=IMPORTRANGE(""https://docs.google.com"&amp;"/spreadsheets/d/1BJSV3WBYJGRhQ6zExamkszQ5VutGIcaQqmbD9ZTVXMQ/edit#gid=1251630045"",""articles_with_PRISMA_reasons!B2:B2113""))&gt;=2),
""Exclude""
)"),"Exclude")</f>
        <v>Exclude</v>
      </c>
      <c r="E685" s="5" t="str">
        <f>IFERROR(__xludf.DUMMYFUNCTION("IFS(
D685=""Exclude"",""Exclude"",
AND(
FILTER(IMPORTRANGE(""https://docs.google.com/spreadsheets/d/1qpEmbGH0JjaJbUdp21-y2cPbobDbMjr09BbtdKROZWc/edit#gid=1444865654"",""articles_with_PRISMA_reasons!W2:W2113""), $A685=IMPORTRANGE(""https://docs.google.com/"&amp;"spreadsheets/d/1qpEmbGH0JjaJbUdp21-y2cPbobDbMjr09BbtdKROZWc/edit#gid=1444865654"",""articles_with_PRISMA_reasons!B2:B2113""))&gt;=2,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$A685=IMPORTRANGE(""https://docs.google.com/spreadsheets/d/1qpEmbGH0JjaJbUdp21-y2cPbobDbMjr09BbtdKROZWc/edit#gid=1444865654"",""articles_with_PRISMA_reasons!B2:B2113""))&lt;2),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$A685=IMPORTRANGE(""https://docs.google.com/spreadsheets/d/1qpEmbGH0JjaJbUdp21-y2cPbobDbMjr09BbtdKRO"&amp;"ZWc/edit#gid=1444865654"",""articles_with_PRISMA_reasons!B2:B2113""))&lt;2,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$A685=IMPOR"&amp;"TRANGE(""https://docs.google.com/spreadsheets/d/1qpEmbGH0JjaJbUdp21-y2cPbobDbMjr09BbtdKROZWc/edit#gid=1444865654"",""articles_with_PRISMA_reasons!B2:B2113""))&gt;=2),
""Exclude""
)"),"Exclude")</f>
        <v>Exclude</v>
      </c>
      <c r="F685" s="5" t="str">
        <f>IFERROR(__xludf.DUMMYFUNCTION("IFS(
E685=""Exclude"",""Exclude"",
AND(
COUNTIF(
IMPORTRANGE(""https://docs.google.com/spreadsheets/d/1kGrh75X1cNR1D7_FcY9zMnHP8iPO4M5RCRjy6nZY0TY/edit#gid=0"",""Table 1: Study characteristics!B4:B171""),A685)&gt;0,
COUNTIF(Studies!$A$2:$A$85,FILTER(IMPORTRA"&amp;"NGE(""https://docs.google.com/spreadsheets/d/1kGrh75X1cNR1D7_FcY9zMnHP8iPO4M5RCRjy6nZY0TY/edit#gid=0"",""Table 1: Study characteristics!A4:A171""), $A685=IMPORTRANGE(""https://docs.google.com/spreadsheets/d/1kGrh75X1cNR1D7_FcY9zMnHP8iPO4M5RCRjy6nZY0TY/edi"&amp;"t#gid=0"",""Table 1: Study characteristics!B4:B171"")))&gt;0
),
""Include""
)"),"Exclude")</f>
        <v>Exclude</v>
      </c>
      <c r="G685" s="5" t="str">
        <f>IFERROR(__xludf.DUMMYFUNCTION("IFS(
D685=""Exclude"",
FILTER(IMPORTRANGE(""https://docs.google.com/spreadsheets/d/1BJSV3WBYJGRhQ6zExamkszQ5VutGIcaQqmbD9ZTVXMQ/edit#gid=1251630045"",""articles_with_PRISMA_reasons!AB2:AB2113""), $A685=IMPORTRANGE(""https://docs.google.com/spreadsheets/d/"&amp;"1BJSV3WBYJGRhQ6zExamkszQ5VutGIcaQqmbD9ZTVXMQ/edit#gid=1251630045"",""articles_with_PRISMA_reasons!B2:B2113"")),
E685=""Exclude"",
FILTER(IMPORTRANGE(""https://docs.google.com/spreadsheets/d/1qpEmbGH0JjaJbUdp21-y2cPbobDbMjr09BbtdKROZWc/edit#gid=1444865654"&amp;""",""articles_with_PRISMA_reasons!Z2:Z2113""), $A685=IMPORTRANGE(""https://docs.google.com/spreadsheets/d/1qpEmbGH0JjaJbUdp21-y2cPbobDbMjr09BbtdKROZWc/edit#gid=1444865654"",""articles_with_PRISMA_reasons!B2:B2113"")),F685
=""Include"",FILTER(IMPORTRANGE("&amp;"""https://docs.google.com/spreadsheets/d/1kGrh75X1cNR1D7_FcY9zMnHP8iPO4M5RCRjy6nZY0TY/edit#gid=0"",""Table 1: Study characteristics!A4:A171""), $A685=IMPORTRANGE(""https://docs.google.com/spreadsheets/d/1kGrh75X1cNR1D7_FcY9zMnHP8iPO4M5RCRjy6nZY0TY/edit#gi"&amp;"d=0"",""Table 1: Study characteristics!B4:B171""))
)"),"wrong study design")</f>
        <v>wrong study design</v>
      </c>
    </row>
    <row r="686">
      <c r="A686" s="4" t="str">
        <f>IFERROR(__xludf.DUMMYFUNCTION("""COMPUTED_VALUE"""),"Efectividad y técnica quirúrgica de la neuroendoscopía para el tratamiento de la hidrocefalia en menores de un año")</f>
        <v>Efectividad y técnica quirúrgica de la neuroendoscopía para el tratamiento de la hidrocefalia en menores de un año</v>
      </c>
      <c r="B686" s="5" t="str">
        <f>IFERROR(__xludf.DUMMYFUNCTION("LEFT(FILTER(IMPORTRANGE(""https://docs.google.com/spreadsheets/d/1BJSV3WBYJGRhQ6zExamkszQ5VutGIcaQqmbD9ZTVXMQ/edit#gid=1251630045"",""articles_with_PRISMA_reasons!K2:K2113""), $A686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$A686=IMPORTRANGE(""https://docs.google.com/spreadsheets/d/1BJSV3WBYJGRhQ6zExamkszQ5VutGIcaQqmbD9ZTVXMQ/edit#gid=1251630045"",""articles_with_PRISMA_reasons!B2:B2113"")))-1)"),"Hinojosa")</f>
        <v>Hinojosa</v>
      </c>
      <c r="C686" s="6">
        <f>IFERROR(__xludf.DUMMYFUNCTION("FILTER(IMPORTRANGE(""https://docs.google.com/spreadsheets/d/1BJSV3WBYJGRhQ6zExamkszQ5VutGIcaQqmbD9ZTVXMQ/edit#gid=1251630045"",""articles_with_PRISMA_reasons!C2:C2113""), $A686=IMPORTRANGE(""https://docs.google.com/spreadsheets/d/1BJSV3WBYJGRhQ6zExamkszQ5"&amp;"VutGIcaQqmbD9ZTVXMQ/edit#gid=1251630045"",""articles_with_PRISMA_reasons!B2:B2113""))"),2017.0)</f>
        <v>2017</v>
      </c>
      <c r="D686" s="5" t="str">
        <f>IFERROR(__xludf.DUMMYFUNCTION("IFS(AND(
FILTER(IMPORTRANGE(""https://docs.google.com/spreadsheets/d/1BJSV3WBYJGRhQ6zExamkszQ5VutGIcaQqmbD9ZTVXMQ/edit#gid=1251630045"",""articles_with_PRISMA_reasons!Y2:Y2113""), $A686=IMPORTRANGE(""https://docs.google.com/spreadsheets/d/1BJSV3WBYJGRhQ6z"&amp;"ExamkszQ5VutGIcaQqmbD9ZTVXMQ/edit#gid=1251630045"",""articles_with_PRISMA_reasons!B2:B2113""))&gt;=2,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$A686=IMPORTRANGE(""https://docs.google.com/spreadsheets/d/1BJSV3WBYJGRhQ6zExamkszQ5VutGIcaQqmbD9ZTVXMQ/edit#gid=1251630045"",""articles_with_PRISMA_reasons!B2:B2113""))&lt;2),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$A686=IMPORTRANGE(""https://docs.google.com/spreadsheets/d/1BJSV3WBYJGRhQ6zExamkszQ5VutGIcaQqmbD9ZTVXMQ/edit#gid=1251630045"",""arti"&amp;"cles_with_PRISMA_reasons!B2:B2113""))&lt;2,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$A686=IMPORTRANGE(""https://docs.google.com"&amp;"/spreadsheets/d/1BJSV3WBYJGRhQ6zExamkszQ5VutGIcaQqmbD9ZTVXMQ/edit#gid=1251630045"",""articles_with_PRISMA_reasons!B2:B2113""))&gt;=2),
""Exclude""
)"),"Include")</f>
        <v>Include</v>
      </c>
      <c r="E686" s="5" t="str">
        <f>IFERROR(__xludf.DUMMYFUNCTION("IFS(
D686=""Exclude"",""Exclude"",
AND(
FILTER(IMPORTRANGE(""https://docs.google.com/spreadsheets/d/1qpEmbGH0JjaJbUdp21-y2cPbobDbMjr09BbtdKROZWc/edit#gid=1444865654"",""articles_with_PRISMA_reasons!W2:W2113""), $A686=IMPORTRANGE(""https://docs.google.com/"&amp;"spreadsheets/d/1qpEmbGH0JjaJbUdp21-y2cPbobDbMjr09BbtdKROZWc/edit#gid=1444865654"",""articles_with_PRISMA_reasons!B2:B2113""))&gt;=2,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$A686=IMPORTRANGE(""https://docs.google.com/spreadsheets/d/1qpEmbGH0JjaJbUdp21-y2cPbobDbMjr09BbtdKROZWc/edit#gid=1444865654"",""articles_with_PRISMA_reasons!B2:B2113""))&lt;2),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$A686=IMPORTRANGE(""https://docs.google.com/spreadsheets/d/1qpEmbGH0JjaJbUdp21-y2cPbobDbMjr09BbtdKRO"&amp;"ZWc/edit#gid=1444865654"",""articles_with_PRISMA_reasons!B2:B2113""))&lt;2,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$A686=IMPOR"&amp;"TRANGE(""https://docs.google.com/spreadsheets/d/1qpEmbGH0JjaJbUdp21-y2cPbobDbMjr09BbtdKROZWc/edit#gid=1444865654"",""articles_with_PRISMA_reasons!B2:B2113""))&gt;=2),
""Exclude""
)"),"Include")</f>
        <v>Include</v>
      </c>
      <c r="F686" s="2" t="s">
        <v>8</v>
      </c>
      <c r="G686" s="2" t="s">
        <v>9</v>
      </c>
    </row>
    <row r="687">
      <c r="A687" s="4" t="str">
        <f>IFERROR(__xludf.DUMMYFUNCTION("""COMPUTED_VALUE"""),"Effect of hydrocephalus on neuronal migration and maturation")</f>
        <v>Effect of hydrocephalus on neuronal migration and maturation</v>
      </c>
      <c r="B687" s="5" t="str">
        <f>IFERROR(__xludf.DUMMYFUNCTION("LEFT(FILTER(IMPORTRANGE(""https://docs.google.com/spreadsheets/d/1BJSV3WBYJGRhQ6zExamkszQ5VutGIcaQqmbD9ZTVXMQ/edit#gid=1251630045"",""articles_with_PRISMA_reasons!K2:K2113""), $A687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$A687=IMPORTRANGE(""https://docs.google.com/spreadsheets/d/1BJSV3WBYJGRhQ6zExamkszQ5VutGIcaQqmbD9ZTVXMQ/edit#gid=1251630045"",""articles_with_PRISMA_reasons!B2:B2113"")))-1)"),"Sobkowiak")</f>
        <v>Sobkowiak</v>
      </c>
      <c r="C687" s="6">
        <f>IFERROR(__xludf.DUMMYFUNCTION("FILTER(IMPORTRANGE(""https://docs.google.com/spreadsheets/d/1BJSV3WBYJGRhQ6zExamkszQ5VutGIcaQqmbD9ZTVXMQ/edit#gid=1251630045"",""articles_with_PRISMA_reasons!C2:C2113""), $A687=IMPORTRANGE(""https://docs.google.com/spreadsheets/d/1BJSV3WBYJGRhQ6zExamkszQ5"&amp;"VutGIcaQqmbD9ZTVXMQ/edit#gid=1251630045"",""articles_with_PRISMA_reasons!B2:B2113""))"),1992.0)</f>
        <v>1992</v>
      </c>
      <c r="D687" s="5" t="str">
        <f>IFERROR(__xludf.DUMMYFUNCTION("IFS(AND(
FILTER(IMPORTRANGE(""https://docs.google.com/spreadsheets/d/1BJSV3WBYJGRhQ6zExamkszQ5VutGIcaQqmbD9ZTVXMQ/edit#gid=1251630045"",""articles_with_PRISMA_reasons!Y2:Y2113""), $A687=IMPORTRANGE(""https://docs.google.com/spreadsheets/d/1BJSV3WBYJGRhQ6z"&amp;"ExamkszQ5VutGIcaQqmbD9ZTVXMQ/edit#gid=1251630045"",""articles_with_PRISMA_reasons!B2:B2113""))&gt;=2,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$A687=IMPORTRANGE(""https://docs.google.com/spreadsheets/d/1BJSV3WBYJGRhQ6zExamkszQ5VutGIcaQqmbD9ZTVXMQ/edit#gid=1251630045"",""articles_with_PRISMA_reasons!B2:B2113""))&lt;2),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$A687=IMPORTRANGE(""https://docs.google.com/spreadsheets/d/1BJSV3WBYJGRhQ6zExamkszQ5VutGIcaQqmbD9ZTVXMQ/edit#gid=1251630045"",""arti"&amp;"cles_with_PRISMA_reasons!B2:B2113""))&lt;2,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$A687=IMPORTRANGE(""https://docs.google.com"&amp;"/spreadsheets/d/1BJSV3WBYJGRhQ6zExamkszQ5VutGIcaQqmbD9ZTVXMQ/edit#gid=1251630045"",""articles_with_PRISMA_reasons!B2:B2113""))&gt;=2),
""Exclude""
)"),"Exclude")</f>
        <v>Exclude</v>
      </c>
      <c r="E687" s="5" t="str">
        <f>IFERROR(__xludf.DUMMYFUNCTION("IFS(
D687=""Exclude"",""Exclude"",
AND(
FILTER(IMPORTRANGE(""https://docs.google.com/spreadsheets/d/1qpEmbGH0JjaJbUdp21-y2cPbobDbMjr09BbtdKROZWc/edit#gid=1444865654"",""articles_with_PRISMA_reasons!W2:W2113""), $A687=IMPORTRANGE(""https://docs.google.com/"&amp;"spreadsheets/d/1qpEmbGH0JjaJbUdp21-y2cPbobDbMjr09BbtdKROZWc/edit#gid=1444865654"",""articles_with_PRISMA_reasons!B2:B2113""))&gt;=2,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$A687=IMPORTRANGE(""https://docs.google.com/spreadsheets/d/1qpEmbGH0JjaJbUdp21-y2cPbobDbMjr09BbtdKROZWc/edit#gid=1444865654"",""articles_with_PRISMA_reasons!B2:B2113""))&lt;2),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$A687=IMPORTRANGE(""https://docs.google.com/spreadsheets/d/1qpEmbGH0JjaJbUdp21-y2cPbobDbMjr09BbtdKRO"&amp;"ZWc/edit#gid=1444865654"",""articles_with_PRISMA_reasons!B2:B2113""))&lt;2,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$A687=IMPOR"&amp;"TRANGE(""https://docs.google.com/spreadsheets/d/1qpEmbGH0JjaJbUdp21-y2cPbobDbMjr09BbtdKROZWc/edit#gid=1444865654"",""articles_with_PRISMA_reasons!B2:B2113""))&gt;=2),
""Exclude""
)"),"Exclude")</f>
        <v>Exclude</v>
      </c>
      <c r="F687" s="5" t="str">
        <f>IFERROR(__xludf.DUMMYFUNCTION("IFS(
E687=""Exclude"",""Exclude"",
AND(
COUNTIF(
IMPORTRANGE(""https://docs.google.com/spreadsheets/d/1kGrh75X1cNR1D7_FcY9zMnHP8iPO4M5RCRjy6nZY0TY/edit#gid=0"",""Table 1: Study characteristics!B4:B171""),A687)&gt;0,
COUNTIF(Studies!$A$2:$A$85,FILTER(IMPORTRA"&amp;"NGE(""https://docs.google.com/spreadsheets/d/1kGrh75X1cNR1D7_FcY9zMnHP8iPO4M5RCRjy6nZY0TY/edit#gid=0"",""Table 1: Study characteristics!A4:A171""), $A687=IMPORTRANGE(""https://docs.google.com/spreadsheets/d/1kGrh75X1cNR1D7_FcY9zMnHP8iPO4M5RCRjy6nZY0TY/edi"&amp;"t#gid=0"",""Table 1: Study characteristics!B4:B171"")))&gt;0
),
""Include""
)"),"Exclude")</f>
        <v>Exclude</v>
      </c>
      <c r="G687" s="5" t="str">
        <f>IFERROR(__xludf.DUMMYFUNCTION("IFS(
D687=""Exclude"",
FILTER(IMPORTRANGE(""https://docs.google.com/spreadsheets/d/1BJSV3WBYJGRhQ6zExamkszQ5VutGIcaQqmbD9ZTVXMQ/edit#gid=1251630045"",""articles_with_PRISMA_reasons!AB2:AB2113""), $A687=IMPORTRANGE(""https://docs.google.com/spreadsheets/d/"&amp;"1BJSV3WBYJGRhQ6zExamkszQ5VutGIcaQqmbD9ZTVXMQ/edit#gid=1251630045"",""articles_with_PRISMA_reasons!B2:B2113"")),
E687=""Exclude"",
FILTER(IMPORTRANGE(""https://docs.google.com/spreadsheets/d/1qpEmbGH0JjaJbUdp21-y2cPbobDbMjr09BbtdKROZWc/edit#gid=1444865654"&amp;""",""articles_with_PRISMA_reasons!Z2:Z2113""), $A687=IMPORTRANGE(""https://docs.google.com/spreadsheets/d/1qpEmbGH0JjaJbUdp21-y2cPbobDbMjr09BbtdKROZWc/edit#gid=1444865654"",""articles_with_PRISMA_reasons!B2:B2113"")),F687
=""Include"",FILTER(IMPORTRANGE("&amp;"""https://docs.google.com/spreadsheets/d/1kGrh75X1cNR1D7_FcY9zMnHP8iPO4M5RCRjy6nZY0TY/edit#gid=0"",""Table 1: Study characteristics!A4:A171""), $A687=IMPORTRANGE(""https://docs.google.com/spreadsheets/d/1kGrh75X1cNR1D7_FcY9zMnHP8iPO4M5RCRjy6nZY0TY/edit#gi"&amp;"d=0"",""Table 1: Study characteristics!B4:B171""))
)"),"wrong study design")</f>
        <v>wrong study design</v>
      </c>
    </row>
    <row r="688">
      <c r="A688" s="4" t="str">
        <f>IFERROR(__xludf.DUMMYFUNCTION("""COMPUTED_VALUE"""),"Effect of intrauterine myelomeningocele repair on central nervous system structure and function")</f>
        <v>Effect of intrauterine myelomeningocele repair on central nervous system structure and function</v>
      </c>
      <c r="B688" s="5" t="str">
        <f>IFERROR(__xludf.DUMMYFUNCTION("LEFT(FILTER(IMPORTRANGE(""https://docs.google.com/spreadsheets/d/1BJSV3WBYJGRhQ6zExamkszQ5VutGIcaQqmbD9ZTVXMQ/edit#gid=1251630045"",""articles_with_PRISMA_reasons!K2:K2113""), $A688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$A688=IMPORTRANGE(""https://docs.google.com/spreadsheets/d/1BJSV3WBYJGRhQ6zExamkszQ5VutGIcaQqmbD9ZTVXMQ/edit#gid=1251630045"",""articles_with_PRISMA_reasons!B2:B2113"")))-1)"),"Nickolaus")</f>
        <v>Nickolaus</v>
      </c>
      <c r="C688" s="6">
        <f>IFERROR(__xludf.DUMMYFUNCTION("FILTER(IMPORTRANGE(""https://docs.google.com/spreadsheets/d/1BJSV3WBYJGRhQ6zExamkszQ5VutGIcaQqmbD9ZTVXMQ/edit#gid=1251630045"",""articles_with_PRISMA_reasons!C2:C2113""), $A688=IMPORTRANGE(""https://docs.google.com/spreadsheets/d/1BJSV3WBYJGRhQ6zExamkszQ5"&amp;"VutGIcaQqmbD9ZTVXMQ/edit#gid=1251630045"",""articles_with_PRISMA_reasons!B2:B2113""))"),1999.0)</f>
        <v>1999</v>
      </c>
      <c r="D688" s="5" t="str">
        <f>IFERROR(__xludf.DUMMYFUNCTION("IFS(AND(
FILTER(IMPORTRANGE(""https://docs.google.com/spreadsheets/d/1BJSV3WBYJGRhQ6zExamkszQ5VutGIcaQqmbD9ZTVXMQ/edit#gid=1251630045"",""articles_with_PRISMA_reasons!Y2:Y2113""), $A688=IMPORTRANGE(""https://docs.google.com/spreadsheets/d/1BJSV3WBYJGRhQ6z"&amp;"ExamkszQ5VutGIcaQqmbD9ZTVXMQ/edit#gid=1251630045"",""articles_with_PRISMA_reasons!B2:B2113""))&gt;=2,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$A688=IMPORTRANGE(""https://docs.google.com/spreadsheets/d/1BJSV3WBYJGRhQ6zExamkszQ5VutGIcaQqmbD9ZTVXMQ/edit#gid=1251630045"",""articles_with_PRISMA_reasons!B2:B2113""))&lt;2),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$A688=IMPORTRANGE(""https://docs.google.com/spreadsheets/d/1BJSV3WBYJGRhQ6zExamkszQ5VutGIcaQqmbD9ZTVXMQ/edit#gid=1251630045"",""arti"&amp;"cles_with_PRISMA_reasons!B2:B2113""))&lt;2,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$A688=IMPORTRANGE(""https://docs.google.com"&amp;"/spreadsheets/d/1BJSV3WBYJGRhQ6zExamkszQ5VutGIcaQqmbD9ZTVXMQ/edit#gid=1251630045"",""articles_with_PRISMA_reasons!B2:B2113""))&gt;=2),
""Exclude""
)"),"Exclude")</f>
        <v>Exclude</v>
      </c>
      <c r="E688" s="5" t="str">
        <f>IFERROR(__xludf.DUMMYFUNCTION("IFS(
D688=""Exclude"",""Exclude"",
AND(
FILTER(IMPORTRANGE(""https://docs.google.com/spreadsheets/d/1qpEmbGH0JjaJbUdp21-y2cPbobDbMjr09BbtdKROZWc/edit#gid=1444865654"",""articles_with_PRISMA_reasons!W2:W2113""), $A688=IMPORTRANGE(""https://docs.google.com/"&amp;"spreadsheets/d/1qpEmbGH0JjaJbUdp21-y2cPbobDbMjr09BbtdKROZWc/edit#gid=1444865654"",""articles_with_PRISMA_reasons!B2:B2113""))&gt;=2,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$A688=IMPORTRANGE(""https://docs.google.com/spreadsheets/d/1qpEmbGH0JjaJbUdp21-y2cPbobDbMjr09BbtdKROZWc/edit#gid=1444865654"",""articles_with_PRISMA_reasons!B2:B2113""))&lt;2),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$A688=IMPORTRANGE(""https://docs.google.com/spreadsheets/d/1qpEmbGH0JjaJbUdp21-y2cPbobDbMjr09BbtdKRO"&amp;"ZWc/edit#gid=1444865654"",""articles_with_PRISMA_reasons!B2:B2113""))&lt;2,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$A688=IMPOR"&amp;"TRANGE(""https://docs.google.com/spreadsheets/d/1qpEmbGH0JjaJbUdp21-y2cPbobDbMjr09BbtdKROZWc/edit#gid=1444865654"",""articles_with_PRISMA_reasons!B2:B2113""))&gt;=2),
""Exclude""
)"),"Exclude")</f>
        <v>Exclude</v>
      </c>
      <c r="F688" s="5" t="str">
        <f>IFERROR(__xludf.DUMMYFUNCTION("IFS(
E688=""Exclude"",""Exclude"",
AND(
COUNTIF(
IMPORTRANGE(""https://docs.google.com/spreadsheets/d/1kGrh75X1cNR1D7_FcY9zMnHP8iPO4M5RCRjy6nZY0TY/edit#gid=0"",""Table 1: Study characteristics!B4:B171""),A688)&gt;0,
COUNTIF(Studies!$A$2:$A$85,FILTER(IMPORTRA"&amp;"NGE(""https://docs.google.com/spreadsheets/d/1kGrh75X1cNR1D7_FcY9zMnHP8iPO4M5RCRjy6nZY0TY/edit#gid=0"",""Table 1: Study characteristics!A4:A171""), $A688=IMPORTRANGE(""https://docs.google.com/spreadsheets/d/1kGrh75X1cNR1D7_FcY9zMnHP8iPO4M5RCRjy6nZY0TY/edi"&amp;"t#gid=0"",""Table 1: Study characteristics!B4:B171"")))&gt;0
),
""Include""
)"),"Exclude")</f>
        <v>Exclude</v>
      </c>
      <c r="G688" s="5" t="str">
        <f>IFERROR(__xludf.DUMMYFUNCTION("IFS(
D688=""Exclude"",
FILTER(IMPORTRANGE(""https://docs.google.com/spreadsheets/d/1BJSV3WBYJGRhQ6zExamkszQ5VutGIcaQqmbD9ZTVXMQ/edit#gid=1251630045"",""articles_with_PRISMA_reasons!AB2:AB2113""), $A688=IMPORTRANGE(""https://docs.google.com/spreadsheets/d/"&amp;"1BJSV3WBYJGRhQ6zExamkszQ5VutGIcaQqmbD9ZTVXMQ/edit#gid=1251630045"",""articles_with_PRISMA_reasons!B2:B2113"")),
E688=""Exclude"",
FILTER(IMPORTRANGE(""https://docs.google.com/spreadsheets/d/1qpEmbGH0JjaJbUdp21-y2cPbobDbMjr09BbtdKROZWc/edit#gid=1444865654"&amp;""",""articles_with_PRISMA_reasons!Z2:Z2113""), $A688=IMPORTRANGE(""https://docs.google.com/spreadsheets/d/1qpEmbGH0JjaJbUdp21-y2cPbobDbMjr09BbtdKROZWc/edit#gid=1444865654"",""articles_with_PRISMA_reasons!B2:B2113"")),F688
=""Include"",FILTER(IMPORTRANGE("&amp;"""https://docs.google.com/spreadsheets/d/1kGrh75X1cNR1D7_FcY9zMnHP8iPO4M5RCRjy6nZY0TY/edit#gid=0"",""Table 1: Study characteristics!A4:A171""), $A688=IMPORTRANGE(""https://docs.google.com/spreadsheets/d/1kGrh75X1cNR1D7_FcY9zMnHP8iPO4M5RCRjy6nZY0TY/edit#gi"&amp;"d=0"",""Table 1: Study characteristics!B4:B171""))
)"),"Ante-natal intervention")</f>
        <v>Ante-natal intervention</v>
      </c>
    </row>
    <row r="689">
      <c r="A689" s="4" t="str">
        <f>IFERROR(__xludf.DUMMYFUNCTION("""COMPUTED_VALUE"""),"Effect of meningomyelocele closure on the intracranial pulse pressure")</f>
        <v>Effect of meningomyelocele closure on the intracranial pulse pressure</v>
      </c>
      <c r="B689" s="5" t="str">
        <f>IFERROR(__xludf.DUMMYFUNCTION("LEFT(FILTER(IMPORTRANGE(""https://docs.google.com/spreadsheets/d/1BJSV3WBYJGRhQ6zExamkszQ5VutGIcaQqmbD9ZTVXMQ/edit#gid=1251630045"",""articles_with_PRISMA_reasons!K2:K2113""), $A689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$A689=IMPORTRANGE(""https://docs.google.com/spreadsheets/d/1BJSV3WBYJGRhQ6zExamkszQ5VutGIcaQqmbD9ZTVXMQ/edit#gid=1251630045"",""articles_with_PRISMA_reasons!B2:B2113"")))-1)"),"Linder")</f>
        <v>Linder</v>
      </c>
      <c r="C689" s="6">
        <f>IFERROR(__xludf.DUMMYFUNCTION("FILTER(IMPORTRANGE(""https://docs.google.com/spreadsheets/d/1BJSV3WBYJGRhQ6zExamkszQ5VutGIcaQqmbD9ZTVXMQ/edit#gid=1251630045"",""articles_with_PRISMA_reasons!C2:C2113""), $A689=IMPORTRANGE(""https://docs.google.com/spreadsheets/d/1BJSV3WBYJGRhQ6zExamkszQ5"&amp;"VutGIcaQqmbD9ZTVXMQ/edit#gid=1251630045"",""articles_with_PRISMA_reasons!B2:B2113""))"),1984.0)</f>
        <v>1984</v>
      </c>
      <c r="D689" s="5" t="str">
        <f>IFERROR(__xludf.DUMMYFUNCTION("IFS(AND(
FILTER(IMPORTRANGE(""https://docs.google.com/spreadsheets/d/1BJSV3WBYJGRhQ6zExamkszQ5VutGIcaQqmbD9ZTVXMQ/edit#gid=1251630045"",""articles_with_PRISMA_reasons!Y2:Y2113""), $A689=IMPORTRANGE(""https://docs.google.com/spreadsheets/d/1BJSV3WBYJGRhQ6z"&amp;"ExamkszQ5VutGIcaQqmbD9ZTVXMQ/edit#gid=1251630045"",""articles_with_PRISMA_reasons!B2:B2113""))&gt;=2,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$A689=IMPORTRANGE(""https://docs.google.com/spreadsheets/d/1BJSV3WBYJGRhQ6zExamkszQ5VutGIcaQqmbD9ZTVXMQ/edit#gid=1251630045"",""articles_with_PRISMA_reasons!B2:B2113""))&lt;2),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$A689=IMPORTRANGE(""https://docs.google.com/spreadsheets/d/1BJSV3WBYJGRhQ6zExamkszQ5VutGIcaQqmbD9ZTVXMQ/edit#gid=1251630045"",""arti"&amp;"cles_with_PRISMA_reasons!B2:B2113""))&lt;2,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$A689=IMPORTRANGE(""https://docs.google.com"&amp;"/spreadsheets/d/1BJSV3WBYJGRhQ6zExamkszQ5VutGIcaQqmbD9ZTVXMQ/edit#gid=1251630045"",""articles_with_PRISMA_reasons!B2:B2113""))&gt;=2),
""Exclude""
)"),"Exclude")</f>
        <v>Exclude</v>
      </c>
      <c r="E689" s="5" t="str">
        <f>IFERROR(__xludf.DUMMYFUNCTION("IFS(
D689=""Exclude"",""Exclude"",
AND(
FILTER(IMPORTRANGE(""https://docs.google.com/spreadsheets/d/1qpEmbGH0JjaJbUdp21-y2cPbobDbMjr09BbtdKROZWc/edit#gid=1444865654"",""articles_with_PRISMA_reasons!W2:W2113""), $A689=IMPORTRANGE(""https://docs.google.com/"&amp;"spreadsheets/d/1qpEmbGH0JjaJbUdp21-y2cPbobDbMjr09BbtdKROZWc/edit#gid=1444865654"",""articles_with_PRISMA_reasons!B2:B2113""))&gt;=2,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$A689=IMPORTRANGE(""https://docs.google.com/spreadsheets/d/1qpEmbGH0JjaJbUdp21-y2cPbobDbMjr09BbtdKROZWc/edit#gid=1444865654"",""articles_with_PRISMA_reasons!B2:B2113""))&lt;2),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$A689=IMPORTRANGE(""https://docs.google.com/spreadsheets/d/1qpEmbGH0JjaJbUdp21-y2cPbobDbMjr09BbtdKRO"&amp;"ZWc/edit#gid=1444865654"",""articles_with_PRISMA_reasons!B2:B2113""))&lt;2,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$A689=IMPOR"&amp;"TRANGE(""https://docs.google.com/spreadsheets/d/1qpEmbGH0JjaJbUdp21-y2cPbobDbMjr09BbtdKROZWc/edit#gid=1444865654"",""articles_with_PRISMA_reasons!B2:B2113""))&gt;=2),
""Exclude""
)"),"Exclude")</f>
        <v>Exclude</v>
      </c>
      <c r="F689" s="5" t="str">
        <f>IFERROR(__xludf.DUMMYFUNCTION("IFS(
E689=""Exclude"",""Exclude"",
AND(
COUNTIF(
IMPORTRANGE(""https://docs.google.com/spreadsheets/d/1kGrh75X1cNR1D7_FcY9zMnHP8iPO4M5RCRjy6nZY0TY/edit#gid=0"",""Table 1: Study characteristics!B4:B171""),A689)&gt;0,
COUNTIF(Studies!$A$2:$A$85,FILTER(IMPORTRA"&amp;"NGE(""https://docs.google.com/spreadsheets/d/1kGrh75X1cNR1D7_FcY9zMnHP8iPO4M5RCRjy6nZY0TY/edit#gid=0"",""Table 1: Study characteristics!A4:A171""), $A689=IMPORTRANGE(""https://docs.google.com/spreadsheets/d/1kGrh75X1cNR1D7_FcY9zMnHP8iPO4M5RCRjy6nZY0TY/edi"&amp;"t#gid=0"",""Table 1: Study characteristics!B4:B171"")))&gt;0
),
""Include""
)"),"Exclude")</f>
        <v>Exclude</v>
      </c>
      <c r="G689" s="5" t="str">
        <f>IFERROR(__xludf.DUMMYFUNCTION("IFS(
D689=""Exclude"",
FILTER(IMPORTRANGE(""https://docs.google.com/spreadsheets/d/1BJSV3WBYJGRhQ6zExamkszQ5VutGIcaQqmbD9ZTVXMQ/edit#gid=1251630045"",""articles_with_PRISMA_reasons!AB2:AB2113""), $A689=IMPORTRANGE(""https://docs.google.com/spreadsheets/d/"&amp;"1BJSV3WBYJGRhQ6zExamkszQ5VutGIcaQqmbD9ZTVXMQ/edit#gid=1251630045"",""articles_with_PRISMA_reasons!B2:B2113"")),
E689=""Exclude"",
FILTER(IMPORTRANGE(""https://docs.google.com/spreadsheets/d/1qpEmbGH0JjaJbUdp21-y2cPbobDbMjr09BbtdKROZWc/edit#gid=1444865654"&amp;""",""articles_with_PRISMA_reasons!Z2:Z2113""), $A689=IMPORTRANGE(""https://docs.google.com/spreadsheets/d/1qpEmbGH0JjaJbUdp21-y2cPbobDbMjr09BbtdKROZWc/edit#gid=1444865654"",""articles_with_PRISMA_reasons!B2:B2113"")),F689
=""Include"",FILTER(IMPORTRANGE("&amp;"""https://docs.google.com/spreadsheets/d/1kGrh75X1cNR1D7_FcY9zMnHP8iPO4M5RCRjy6nZY0TY/edit#gid=0"",""Table 1: Study characteristics!A4:A171""), $A689=IMPORTRANGE(""https://docs.google.com/spreadsheets/d/1kGrh75X1cNR1D7_FcY9zMnHP8iPO4M5RCRjy6nZY0TY/edit#gi"&amp;"d=0"",""Table 1: Study characteristics!B4:B171""))
)"),"wrong study design")</f>
        <v>wrong study design</v>
      </c>
    </row>
    <row r="690">
      <c r="A690" s="4" t="str">
        <f>IFERROR(__xludf.DUMMYFUNCTION("""COMPUTED_VALUE"""),"Effectiveness of Intraventricular Endoscopic Lamina Terminalis Fenestration in Comparison with Standard ETV: Systematic Review of Literature")</f>
        <v>Effectiveness of Intraventricular Endoscopic Lamina Terminalis Fenestration in Comparison with Standard ETV: Systematic Review of Literature</v>
      </c>
      <c r="B690" s="5" t="str">
        <f>IFERROR(__xludf.DUMMYFUNCTION("LEFT(FILTER(IMPORTRANGE(""https://docs.google.com/spreadsheets/d/1BJSV3WBYJGRhQ6zExamkszQ5VutGIcaQqmbD9ZTVXMQ/edit#gid=1251630045"",""articles_with_PRISMA_reasons!K2:K2113""), $A690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$A690=IMPORTRANGE(""https://docs.google.com/spreadsheets/d/1BJSV3WBYJGRhQ6zExamkszQ5VutGIcaQqmbD9ZTVXMQ/edit#gid=1251630045"",""articles_with_PRISMA_reasons!B2:B2113"")))-1)"),"Giussani")</f>
        <v>Giussani</v>
      </c>
      <c r="C690" s="6">
        <f>IFERROR(__xludf.DUMMYFUNCTION("FILTER(IMPORTRANGE(""https://docs.google.com/spreadsheets/d/1BJSV3WBYJGRhQ6zExamkszQ5VutGIcaQqmbD9ZTVXMQ/edit#gid=1251630045"",""articles_with_PRISMA_reasons!C2:C2113""), $A690=IMPORTRANGE(""https://docs.google.com/spreadsheets/d/1BJSV3WBYJGRhQ6zExamkszQ5"&amp;"VutGIcaQqmbD9ZTVXMQ/edit#gid=1251630045"",""articles_with_PRISMA_reasons!B2:B2113""))"),2017.0)</f>
        <v>2017</v>
      </c>
      <c r="D690" s="5" t="str">
        <f>IFERROR(__xludf.DUMMYFUNCTION("IFS(AND(
FILTER(IMPORTRANGE(""https://docs.google.com/spreadsheets/d/1BJSV3WBYJGRhQ6zExamkszQ5VutGIcaQqmbD9ZTVXMQ/edit#gid=1251630045"",""articles_with_PRISMA_reasons!Y2:Y2113""), $A690=IMPORTRANGE(""https://docs.google.com/spreadsheets/d/1BJSV3WBYJGRhQ6z"&amp;"ExamkszQ5VutGIcaQqmbD9ZTVXMQ/edit#gid=1251630045"",""articles_with_PRISMA_reasons!B2:B2113""))&gt;=2,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$A690=IMPORTRANGE(""https://docs.google.com/spreadsheets/d/1BJSV3WBYJGRhQ6zExamkszQ5VutGIcaQqmbD9ZTVXMQ/edit#gid=1251630045"",""articles_with_PRISMA_reasons!B2:B2113""))&lt;2),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$A690=IMPORTRANGE(""https://docs.google.com/spreadsheets/d/1BJSV3WBYJGRhQ6zExamkszQ5VutGIcaQqmbD9ZTVXMQ/edit#gid=1251630045"",""arti"&amp;"cles_with_PRISMA_reasons!B2:B2113""))&lt;2,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$A690=IMPORTRANGE(""https://docs.google.com"&amp;"/spreadsheets/d/1BJSV3WBYJGRhQ6zExamkszQ5VutGIcaQqmbD9ZTVXMQ/edit#gid=1251630045"",""articles_with_PRISMA_reasons!B2:B2113""))&gt;=2),
""Exclude""
)"),"Exclude")</f>
        <v>Exclude</v>
      </c>
      <c r="E690" s="5" t="str">
        <f>IFERROR(__xludf.DUMMYFUNCTION("IFS(
D690=""Exclude"",""Exclude"",
AND(
FILTER(IMPORTRANGE(""https://docs.google.com/spreadsheets/d/1qpEmbGH0JjaJbUdp21-y2cPbobDbMjr09BbtdKROZWc/edit#gid=1444865654"",""articles_with_PRISMA_reasons!W2:W2113""), $A690=IMPORTRANGE(""https://docs.google.com/"&amp;"spreadsheets/d/1qpEmbGH0JjaJbUdp21-y2cPbobDbMjr09BbtdKROZWc/edit#gid=1444865654"",""articles_with_PRISMA_reasons!B2:B2113""))&gt;=2,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$A690=IMPORTRANGE(""https://docs.google.com/spreadsheets/d/1qpEmbGH0JjaJbUdp21-y2cPbobDbMjr09BbtdKROZWc/edit#gid=1444865654"",""articles_with_PRISMA_reasons!B2:B2113""))&lt;2),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$A690=IMPORTRANGE(""https://docs.google.com/spreadsheets/d/1qpEmbGH0JjaJbUdp21-y2cPbobDbMjr09BbtdKRO"&amp;"ZWc/edit#gid=1444865654"",""articles_with_PRISMA_reasons!B2:B2113""))&lt;2,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$A690=IMPOR"&amp;"TRANGE(""https://docs.google.com/spreadsheets/d/1qpEmbGH0JjaJbUdp21-y2cPbobDbMjr09BbtdKROZWc/edit#gid=1444865654"",""articles_with_PRISMA_reasons!B2:B2113""))&gt;=2),
""Exclude""
)"),"Exclude")</f>
        <v>Exclude</v>
      </c>
      <c r="F690" s="5" t="str">
        <f>IFERROR(__xludf.DUMMYFUNCTION("IFS(
E690=""Exclude"",""Exclude"",
AND(
COUNTIF(
IMPORTRANGE(""https://docs.google.com/spreadsheets/d/1kGrh75X1cNR1D7_FcY9zMnHP8iPO4M5RCRjy6nZY0TY/edit#gid=0"",""Table 1: Study characteristics!B4:B171""),A690)&gt;0,
COUNTIF(Studies!$A$2:$A$85,FILTER(IMPORTRA"&amp;"NGE(""https://docs.google.com/spreadsheets/d/1kGrh75X1cNR1D7_FcY9zMnHP8iPO4M5RCRjy6nZY0TY/edit#gid=0"",""Table 1: Study characteristics!A4:A171""), $A690=IMPORTRANGE(""https://docs.google.com/spreadsheets/d/1kGrh75X1cNR1D7_FcY9zMnHP8iPO4M5RCRjy6nZY0TY/edi"&amp;"t#gid=0"",""Table 1: Study characteristics!B4:B171"")))&gt;0
),
""Include""
)"),"Exclude")</f>
        <v>Exclude</v>
      </c>
      <c r="G690" s="5" t="str">
        <f>IFERROR(__xludf.DUMMYFUNCTION("IFS(
D690=""Exclude"",
FILTER(IMPORTRANGE(""https://docs.google.com/spreadsheets/d/1BJSV3WBYJGRhQ6zExamkszQ5VutGIcaQqmbD9ZTVXMQ/edit#gid=1251630045"",""articles_with_PRISMA_reasons!AB2:AB2113""), $A690=IMPORTRANGE(""https://docs.google.com/spreadsheets/d/"&amp;"1BJSV3WBYJGRhQ6zExamkszQ5VutGIcaQqmbD9ZTVXMQ/edit#gid=1251630045"",""articles_with_PRISMA_reasons!B2:B2113"")),
E690=""Exclude"",
FILTER(IMPORTRANGE(""https://docs.google.com/spreadsheets/d/1qpEmbGH0JjaJbUdp21-y2cPbobDbMjr09BbtdKROZWc/edit#gid=1444865654"&amp;""",""articles_with_PRISMA_reasons!Z2:Z2113""), $A690=IMPORTRANGE(""https://docs.google.com/spreadsheets/d/1qpEmbGH0JjaJbUdp21-y2cPbobDbMjr09BbtdKROZWc/edit#gid=1444865654"",""articles_with_PRISMA_reasons!B2:B2113"")),F690
=""Include"",FILTER(IMPORTRANGE("&amp;"""https://docs.google.com/spreadsheets/d/1kGrh75X1cNR1D7_FcY9zMnHP8iPO4M5RCRjy6nZY0TY/edit#gid=0"",""Table 1: Study characteristics!A4:A171""), $A690=IMPORTRANGE(""https://docs.google.com/spreadsheets/d/1kGrh75X1cNR1D7_FcY9zMnHP8iPO4M5RCRjy6nZY0TY/edit#gi"&amp;"d=0"",""Table 1: Study characteristics!B4:B171""))
)"),"wrong study design")</f>
        <v>wrong study design</v>
      </c>
    </row>
    <row r="691">
      <c r="A691" s="4" t="str">
        <f>IFERROR(__xludf.DUMMYFUNCTION("""COMPUTED_VALUE"""),"Effects of a remedial program on visual-motor perception in spina bifida children")</f>
        <v>Effects of a remedial program on visual-motor perception in spina bifida children</v>
      </c>
      <c r="B691" s="5" t="str">
        <f>IFERROR(__xludf.DUMMYFUNCTION("LEFT(FILTER(IMPORTRANGE(""https://docs.google.com/spreadsheets/d/1BJSV3WBYJGRhQ6zExamkszQ5VutGIcaQqmbD9ZTVXMQ/edit#gid=1251630045"",""articles_with_PRISMA_reasons!K2:K2113""), $A691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$A691=IMPORTRANGE(""https://docs.google.com/spreadsheets/d/1BJSV3WBYJGRhQ6zExamkszQ5VutGIcaQqmbD9ZTVXMQ/edit#gid=1251630045"",""articles_with_PRISMA_reasons!B2:B2113"")))-1)"),"Gluckman")</f>
        <v>Gluckman</v>
      </c>
      <c r="C691" s="6">
        <f>IFERROR(__xludf.DUMMYFUNCTION("FILTER(IMPORTRANGE(""https://docs.google.com/spreadsheets/d/1BJSV3WBYJGRhQ6zExamkszQ5VutGIcaQqmbD9ZTVXMQ/edit#gid=1251630045"",""articles_with_PRISMA_reasons!C2:C2113""), $A691=IMPORTRANGE(""https://docs.google.com/spreadsheets/d/1BJSV3WBYJGRhQ6zExamkszQ5"&amp;"VutGIcaQqmbD9ZTVXMQ/edit#gid=1251630045"",""articles_with_PRISMA_reasons!B2:B2113""))"),1980.0)</f>
        <v>1980</v>
      </c>
      <c r="D691" s="5" t="str">
        <f>IFERROR(__xludf.DUMMYFUNCTION("IFS(AND(
FILTER(IMPORTRANGE(""https://docs.google.com/spreadsheets/d/1BJSV3WBYJGRhQ6zExamkszQ5VutGIcaQqmbD9ZTVXMQ/edit#gid=1251630045"",""articles_with_PRISMA_reasons!Y2:Y2113""), $A691=IMPORTRANGE(""https://docs.google.com/spreadsheets/d/1BJSV3WBYJGRhQ6z"&amp;"ExamkszQ5VutGIcaQqmbD9ZTVXMQ/edit#gid=1251630045"",""articles_with_PRISMA_reasons!B2:B2113""))&gt;=2,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$A691=IMPORTRANGE(""https://docs.google.com/spreadsheets/d/1BJSV3WBYJGRhQ6zExamkszQ5VutGIcaQqmbD9ZTVXMQ/edit#gid=1251630045"",""articles_with_PRISMA_reasons!B2:B2113""))&lt;2),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$A691=IMPORTRANGE(""https://docs.google.com/spreadsheets/d/1BJSV3WBYJGRhQ6zExamkszQ5VutGIcaQqmbD9ZTVXMQ/edit#gid=1251630045"",""arti"&amp;"cles_with_PRISMA_reasons!B2:B2113""))&lt;2,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$A691=IMPORTRANGE(""https://docs.google.com"&amp;"/spreadsheets/d/1BJSV3WBYJGRhQ6zExamkszQ5VutGIcaQqmbD9ZTVXMQ/edit#gid=1251630045"",""articles_with_PRISMA_reasons!B2:B2113""))&gt;=2),
""Exclude""
)"),"Exclude")</f>
        <v>Exclude</v>
      </c>
      <c r="E691" s="5" t="str">
        <f>IFERROR(__xludf.DUMMYFUNCTION("IFS(
D691=""Exclude"",""Exclude"",
AND(
FILTER(IMPORTRANGE(""https://docs.google.com/spreadsheets/d/1qpEmbGH0JjaJbUdp21-y2cPbobDbMjr09BbtdKROZWc/edit#gid=1444865654"",""articles_with_PRISMA_reasons!W2:W2113""), $A691=IMPORTRANGE(""https://docs.google.com/"&amp;"spreadsheets/d/1qpEmbGH0JjaJbUdp21-y2cPbobDbMjr09BbtdKROZWc/edit#gid=1444865654"",""articles_with_PRISMA_reasons!B2:B2113""))&gt;=2,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$A691=IMPORTRANGE(""https://docs.google.com/spreadsheets/d/1qpEmbGH0JjaJbUdp21-y2cPbobDbMjr09BbtdKROZWc/edit#gid=1444865654"",""articles_with_PRISMA_reasons!B2:B2113""))&lt;2),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$A691=IMPORTRANGE(""https://docs.google.com/spreadsheets/d/1qpEmbGH0JjaJbUdp21-y2cPbobDbMjr09BbtdKRO"&amp;"ZWc/edit#gid=1444865654"",""articles_with_PRISMA_reasons!B2:B2113""))&lt;2,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$A691=IMPOR"&amp;"TRANGE(""https://docs.google.com/spreadsheets/d/1qpEmbGH0JjaJbUdp21-y2cPbobDbMjr09BbtdKROZWc/edit#gid=1444865654"",""articles_with_PRISMA_reasons!B2:B2113""))&gt;=2),
""Exclude""
)"),"Exclude")</f>
        <v>Exclude</v>
      </c>
      <c r="F691" s="5" t="str">
        <f>IFERROR(__xludf.DUMMYFUNCTION("IFS(
E691=""Exclude"",""Exclude"",
AND(
COUNTIF(
IMPORTRANGE(""https://docs.google.com/spreadsheets/d/1kGrh75X1cNR1D7_FcY9zMnHP8iPO4M5RCRjy6nZY0TY/edit#gid=0"",""Table 1: Study characteristics!B4:B171""),A691)&gt;0,
COUNTIF(Studies!$A$2:$A$85,FILTER(IMPORTRA"&amp;"NGE(""https://docs.google.com/spreadsheets/d/1kGrh75X1cNR1D7_FcY9zMnHP8iPO4M5RCRjy6nZY0TY/edit#gid=0"",""Table 1: Study characteristics!A4:A171""), $A691=IMPORTRANGE(""https://docs.google.com/spreadsheets/d/1kGrh75X1cNR1D7_FcY9zMnHP8iPO4M5RCRjy6nZY0TY/edi"&amp;"t#gid=0"",""Table 1: Study characteristics!B4:B171"")))&gt;0
),
""Include""
)"),"Exclude")</f>
        <v>Exclude</v>
      </c>
      <c r="G691" s="5" t="str">
        <f>IFERROR(__xludf.DUMMYFUNCTION("IFS(
D691=""Exclude"",
FILTER(IMPORTRANGE(""https://docs.google.com/spreadsheets/d/1BJSV3WBYJGRhQ6zExamkszQ5VutGIcaQqmbD9ZTVXMQ/edit#gid=1251630045"",""articles_with_PRISMA_reasons!AB2:AB2113""), $A691=IMPORTRANGE(""https://docs.google.com/spreadsheets/d/"&amp;"1BJSV3WBYJGRhQ6zExamkszQ5VutGIcaQqmbD9ZTVXMQ/edit#gid=1251630045"",""articles_with_PRISMA_reasons!B2:B2113"")),
E691=""Exclude"",
FILTER(IMPORTRANGE(""https://docs.google.com/spreadsheets/d/1qpEmbGH0JjaJbUdp21-y2cPbobDbMjr09BbtdKROZWc/edit#gid=1444865654"&amp;""",""articles_with_PRISMA_reasons!Z2:Z2113""), $A691=IMPORTRANGE(""https://docs.google.com/spreadsheets/d/1qpEmbGH0JjaJbUdp21-y2cPbobDbMjr09BbtdKROZWc/edit#gid=1444865654"",""articles_with_PRISMA_reasons!B2:B2113"")),F691
=""Include"",FILTER(IMPORTRANGE("&amp;"""https://docs.google.com/spreadsheets/d/1kGrh75X1cNR1D7_FcY9zMnHP8iPO4M5RCRjy6nZY0TY/edit#gid=0"",""Table 1: Study characteristics!A4:A171""), $A691=IMPORTRANGE(""https://docs.google.com/spreadsheets/d/1kGrh75X1cNR1D7_FcY9zMnHP8iPO4M5RCRjy6nZY0TY/edit#gi"&amp;"d=0"",""Table 1: Study characteristics!B4:B171""))
)"),"wrong intervention")</f>
        <v>wrong intervention</v>
      </c>
    </row>
    <row r="692">
      <c r="A692" s="4" t="str">
        <f>IFERROR(__xludf.DUMMYFUNCTION("""COMPUTED_VALUE"""),"Effects of Photobiomodulation on Superficial Sensitivity and Muscle Activity of Individuals With Myelomeningocele")</f>
        <v>Effects of Photobiomodulation on Superficial Sensitivity and Muscle Activity of Individuals With Myelomeningocele</v>
      </c>
      <c r="B692" s="2" t="s">
        <v>25</v>
      </c>
      <c r="C692" s="6">
        <f>IFERROR(__xludf.DUMMYFUNCTION("FILTER(IMPORTRANGE(""https://docs.google.com/spreadsheets/d/1BJSV3WBYJGRhQ6zExamkszQ5VutGIcaQqmbD9ZTVXMQ/edit#gid=1251630045"",""articles_with_PRISMA_reasons!C2:C2113""), $A692=IMPORTRANGE(""https://docs.google.com/spreadsheets/d/1BJSV3WBYJGRhQ6zExamkszQ5"&amp;"VutGIcaQqmbD9ZTVXMQ/edit#gid=1251630045"",""articles_with_PRISMA_reasons!B2:B2113""))"),2019.0)</f>
        <v>2019</v>
      </c>
      <c r="D692" s="5" t="str">
        <f>IFERROR(__xludf.DUMMYFUNCTION("IFS(AND(
FILTER(IMPORTRANGE(""https://docs.google.com/spreadsheets/d/1BJSV3WBYJGRhQ6zExamkszQ5VutGIcaQqmbD9ZTVXMQ/edit#gid=1251630045"",""articles_with_PRISMA_reasons!Y2:Y2113""), $A692=IMPORTRANGE(""https://docs.google.com/spreadsheets/d/1BJSV3WBYJGRhQ6z"&amp;"ExamkszQ5VutGIcaQqmbD9ZTVXMQ/edit#gid=1251630045"",""articles_with_PRISMA_reasons!B2:B2113""))&gt;=2,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$A692=IMPORTRANGE(""https://docs.google.com/spreadsheets/d/1BJSV3WBYJGRhQ6zExamkszQ5VutGIcaQqmbD9ZTVXMQ/edit#gid=1251630045"",""articles_with_PRISMA_reasons!B2:B2113""))&lt;2),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$A692=IMPORTRANGE(""https://docs.google.com/spreadsheets/d/1BJSV3WBYJGRhQ6zExamkszQ5VutGIcaQqmbD9ZTVXMQ/edit#gid=1251630045"",""arti"&amp;"cles_with_PRISMA_reasons!B2:B2113""))&lt;2,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$A692=IMPORTRANGE(""https://docs.google.com"&amp;"/spreadsheets/d/1BJSV3WBYJGRhQ6zExamkszQ5VutGIcaQqmbD9ZTVXMQ/edit#gid=1251630045"",""articles_with_PRISMA_reasons!B2:B2113""))&gt;=2),
""Exclude""
)"),"Exclude")</f>
        <v>Exclude</v>
      </c>
      <c r="E692" s="5" t="str">
        <f>IFERROR(__xludf.DUMMYFUNCTION("IFS(
D692=""Exclude"",""Exclude"",
AND(
FILTER(IMPORTRANGE(""https://docs.google.com/spreadsheets/d/1qpEmbGH0JjaJbUdp21-y2cPbobDbMjr09BbtdKROZWc/edit#gid=1444865654"",""articles_with_PRISMA_reasons!W2:W2113""), $A692=IMPORTRANGE(""https://docs.google.com/"&amp;"spreadsheets/d/1qpEmbGH0JjaJbUdp21-y2cPbobDbMjr09BbtdKROZWc/edit#gid=1444865654"",""articles_with_PRISMA_reasons!B2:B2113""))&gt;=2,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$A692=IMPORTRANGE(""https://docs.google.com/spreadsheets/d/1qpEmbGH0JjaJbUdp21-y2cPbobDbMjr09BbtdKROZWc/edit#gid=1444865654"",""articles_with_PRISMA_reasons!B2:B2113""))&lt;2),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$A692=IMPORTRANGE(""https://docs.google.com/spreadsheets/d/1qpEmbGH0JjaJbUdp21-y2cPbobDbMjr09BbtdKRO"&amp;"ZWc/edit#gid=1444865654"",""articles_with_PRISMA_reasons!B2:B2113""))&lt;2,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$A692=IMPOR"&amp;"TRANGE(""https://docs.google.com/spreadsheets/d/1qpEmbGH0JjaJbUdp21-y2cPbobDbMjr09BbtdKROZWc/edit#gid=1444865654"",""articles_with_PRISMA_reasons!B2:B2113""))&gt;=2),
""Exclude""
)"),"Exclude")</f>
        <v>Exclude</v>
      </c>
      <c r="F692" s="5" t="str">
        <f>IFERROR(__xludf.DUMMYFUNCTION("IFS(
E692=""Exclude"",""Exclude"",
AND(
COUNTIF(
IMPORTRANGE(""https://docs.google.com/spreadsheets/d/1kGrh75X1cNR1D7_FcY9zMnHP8iPO4M5RCRjy6nZY0TY/edit#gid=0"",""Table 1: Study characteristics!B4:B171""),A692)&gt;0,
COUNTIF(Studies!$A$2:$A$85,FILTER(IMPORTRA"&amp;"NGE(""https://docs.google.com/spreadsheets/d/1kGrh75X1cNR1D7_FcY9zMnHP8iPO4M5RCRjy6nZY0TY/edit#gid=0"",""Table 1: Study characteristics!A4:A171""), $A692=IMPORTRANGE(""https://docs.google.com/spreadsheets/d/1kGrh75X1cNR1D7_FcY9zMnHP8iPO4M5RCRjy6nZY0TY/edi"&amp;"t#gid=0"",""Table 1: Study characteristics!B4:B171"")))&gt;0
),
""Include""
)"),"Exclude")</f>
        <v>Exclude</v>
      </c>
      <c r="G692" s="5" t="str">
        <f>IFERROR(__xludf.DUMMYFUNCTION("IFS(
D692=""Exclude"",
FILTER(IMPORTRANGE(""https://docs.google.com/spreadsheets/d/1BJSV3WBYJGRhQ6zExamkszQ5VutGIcaQqmbD9ZTVXMQ/edit#gid=1251630045"",""articles_with_PRISMA_reasons!AB2:AB2113""), $A692=IMPORTRANGE(""https://docs.google.com/spreadsheets/d/"&amp;"1BJSV3WBYJGRhQ6zExamkszQ5VutGIcaQqmbD9ZTVXMQ/edit#gid=1251630045"",""articles_with_PRISMA_reasons!B2:B2113"")),
E692=""Exclude"",
FILTER(IMPORTRANGE(""https://docs.google.com/spreadsheets/d/1qpEmbGH0JjaJbUdp21-y2cPbobDbMjr09BbtdKROZWc/edit#gid=1444865654"&amp;""",""articles_with_PRISMA_reasons!Z2:Z2113""), $A692=IMPORTRANGE(""https://docs.google.com/spreadsheets/d/1qpEmbGH0JjaJbUdp21-y2cPbobDbMjr09BbtdKROZWc/edit#gid=1444865654"",""articles_with_PRISMA_reasons!B2:B2113"")),F692
=""Include"",FILTER(IMPORTRANGE("&amp;"""https://docs.google.com/spreadsheets/d/1kGrh75X1cNR1D7_FcY9zMnHP8iPO4M5RCRjy6nZY0TY/edit#gid=0"",""Table 1: Study characteristics!A4:A171""), $A692=IMPORTRANGE(""https://docs.google.com/spreadsheets/d/1kGrh75X1cNR1D7_FcY9zMnHP8iPO4M5RCRjy6nZY0TY/edit#gi"&amp;"d=0"",""Table 1: Study characteristics!B4:B171""))
)"),"wrong study design")</f>
        <v>wrong study design</v>
      </c>
    </row>
    <row r="693">
      <c r="A693" s="4" t="str">
        <f>IFERROR(__xludf.DUMMYFUNCTION("""COMPUTED_VALUE"""),"Effects of reading goals on reading comprehension, reading rate, and allocation of working memory in children and adolescents with spina bifida meningomyelocele")</f>
        <v>Effects of reading goals on reading comprehension, reading rate, and allocation of working memory in children and adolescents with spina bifida meningomyelocele</v>
      </c>
      <c r="B693" s="5" t="str">
        <f>IFERROR(__xludf.DUMMYFUNCTION("LEFT(FILTER(IMPORTRANGE(""https://docs.google.com/spreadsheets/d/1BJSV3WBYJGRhQ6zExamkszQ5VutGIcaQqmbD9ZTVXMQ/edit#gid=1251630045"",""articles_with_PRISMA_reasons!K2:K2113""), $A693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$A693=IMPORTRANGE(""https://docs.google.com/spreadsheets/d/1BJSV3WBYJGRhQ6zExamkszQ5VutGIcaQqmbD9ZTVXMQ/edit#gid=1251630045"",""articles_with_PRISMA_reasons!B2:B2113"")))-1)"),"English")</f>
        <v>English</v>
      </c>
      <c r="C693" s="6">
        <f>IFERROR(__xludf.DUMMYFUNCTION("FILTER(IMPORTRANGE(""https://docs.google.com/spreadsheets/d/1BJSV3WBYJGRhQ6zExamkszQ5VutGIcaQqmbD9ZTVXMQ/edit#gid=1251630045"",""articles_with_PRISMA_reasons!C2:C2113""), $A693=IMPORTRANGE(""https://docs.google.com/spreadsheets/d/1BJSV3WBYJGRhQ6zExamkszQ5"&amp;"VutGIcaQqmbD9ZTVXMQ/edit#gid=1251630045"",""articles_with_PRISMA_reasons!B2:B2113""))"),2010.0)</f>
        <v>2010</v>
      </c>
      <c r="D693" s="5" t="str">
        <f>IFERROR(__xludf.DUMMYFUNCTION("IFS(AND(
FILTER(IMPORTRANGE(""https://docs.google.com/spreadsheets/d/1BJSV3WBYJGRhQ6zExamkszQ5VutGIcaQqmbD9ZTVXMQ/edit#gid=1251630045"",""articles_with_PRISMA_reasons!Y2:Y2113""), $A693=IMPORTRANGE(""https://docs.google.com/spreadsheets/d/1BJSV3WBYJGRhQ6z"&amp;"ExamkszQ5VutGIcaQqmbD9ZTVXMQ/edit#gid=1251630045"",""articles_with_PRISMA_reasons!B2:B2113""))&gt;=2,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$A693=IMPORTRANGE(""https://docs.google.com/spreadsheets/d/1BJSV3WBYJGRhQ6zExamkszQ5VutGIcaQqmbD9ZTVXMQ/edit#gid=1251630045"",""articles_with_PRISMA_reasons!B2:B2113""))&lt;2),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$A693=IMPORTRANGE(""https://docs.google.com/spreadsheets/d/1BJSV3WBYJGRhQ6zExamkszQ5VutGIcaQqmbD9ZTVXMQ/edit#gid=1251630045"",""arti"&amp;"cles_with_PRISMA_reasons!B2:B2113""))&lt;2,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$A693=IMPORTRANGE(""https://docs.google.com"&amp;"/spreadsheets/d/1BJSV3WBYJGRhQ6zExamkszQ5VutGIcaQqmbD9ZTVXMQ/edit#gid=1251630045"",""articles_with_PRISMA_reasons!B2:B2113""))&gt;=2),
""Exclude""
)"),"Exclude")</f>
        <v>Exclude</v>
      </c>
      <c r="E693" s="5" t="str">
        <f>IFERROR(__xludf.DUMMYFUNCTION("IFS(
D693=""Exclude"",""Exclude"",
AND(
FILTER(IMPORTRANGE(""https://docs.google.com/spreadsheets/d/1qpEmbGH0JjaJbUdp21-y2cPbobDbMjr09BbtdKROZWc/edit#gid=1444865654"",""articles_with_PRISMA_reasons!W2:W2113""), $A693=IMPORTRANGE(""https://docs.google.com/"&amp;"spreadsheets/d/1qpEmbGH0JjaJbUdp21-y2cPbobDbMjr09BbtdKROZWc/edit#gid=1444865654"",""articles_with_PRISMA_reasons!B2:B2113""))&gt;=2,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$A693=IMPORTRANGE(""https://docs.google.com/spreadsheets/d/1qpEmbGH0JjaJbUdp21-y2cPbobDbMjr09BbtdKROZWc/edit#gid=1444865654"",""articles_with_PRISMA_reasons!B2:B2113""))&lt;2),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$A693=IMPORTRANGE(""https://docs.google.com/spreadsheets/d/1qpEmbGH0JjaJbUdp21-y2cPbobDbMjr09BbtdKRO"&amp;"ZWc/edit#gid=1444865654"",""articles_with_PRISMA_reasons!B2:B2113""))&lt;2,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$A693=IMPOR"&amp;"TRANGE(""https://docs.google.com/spreadsheets/d/1qpEmbGH0JjaJbUdp21-y2cPbobDbMjr09BbtdKROZWc/edit#gid=1444865654"",""articles_with_PRISMA_reasons!B2:B2113""))&gt;=2),
""Exclude""
)"),"Exclude")</f>
        <v>Exclude</v>
      </c>
      <c r="F693" s="5" t="str">
        <f>IFERROR(__xludf.DUMMYFUNCTION("IFS(
E693=""Exclude"",""Exclude"",
AND(
COUNTIF(
IMPORTRANGE(""https://docs.google.com/spreadsheets/d/1kGrh75X1cNR1D7_FcY9zMnHP8iPO4M5RCRjy6nZY0TY/edit#gid=0"",""Table 1: Study characteristics!B4:B171""),A693)&gt;0,
COUNTIF(Studies!$A$2:$A$85,FILTER(IMPORTRA"&amp;"NGE(""https://docs.google.com/spreadsheets/d/1kGrh75X1cNR1D7_FcY9zMnHP8iPO4M5RCRjy6nZY0TY/edit#gid=0"",""Table 1: Study characteristics!A4:A171""), $A693=IMPORTRANGE(""https://docs.google.com/spreadsheets/d/1kGrh75X1cNR1D7_FcY9zMnHP8iPO4M5RCRjy6nZY0TY/edi"&amp;"t#gid=0"",""Table 1: Study characteristics!B4:B171"")))&gt;0
),
""Include""
)"),"Exclude")</f>
        <v>Exclude</v>
      </c>
      <c r="G693" s="5" t="str">
        <f>IFERROR(__xludf.DUMMYFUNCTION("IFS(
D693=""Exclude"",
FILTER(IMPORTRANGE(""https://docs.google.com/spreadsheets/d/1BJSV3WBYJGRhQ6zExamkszQ5VutGIcaQqmbD9ZTVXMQ/edit#gid=1251630045"",""articles_with_PRISMA_reasons!AB2:AB2113""), $A693=IMPORTRANGE(""https://docs.google.com/spreadsheets/d/"&amp;"1BJSV3WBYJGRhQ6zExamkszQ5VutGIcaQqmbD9ZTVXMQ/edit#gid=1251630045"",""articles_with_PRISMA_reasons!B2:B2113"")),
E693=""Exclude"",
FILTER(IMPORTRANGE(""https://docs.google.com/spreadsheets/d/1qpEmbGH0JjaJbUdp21-y2cPbobDbMjr09BbtdKROZWc/edit#gid=1444865654"&amp;""",""articles_with_PRISMA_reasons!Z2:Z2113""), $A693=IMPORTRANGE(""https://docs.google.com/spreadsheets/d/1qpEmbGH0JjaJbUdp21-y2cPbobDbMjr09BbtdKROZWc/edit#gid=1444865654"",""articles_with_PRISMA_reasons!B2:B2113"")),F693
=""Include"",FILTER(IMPORTRANGE("&amp;"""https://docs.google.com/spreadsheets/d/1kGrh75X1cNR1D7_FcY9zMnHP8iPO4M5RCRjy6nZY0TY/edit#gid=0"",""Table 1: Study characteristics!A4:A171""), $A693=IMPORTRANGE(""https://docs.google.com/spreadsheets/d/1kGrh75X1cNR1D7_FcY9zMnHP8iPO4M5RCRjy6nZY0TY/edit#gi"&amp;"d=0"",""Table 1: Study characteristics!B4:B171""))
)"),"wrong population")</f>
        <v>wrong population</v>
      </c>
    </row>
    <row r="694">
      <c r="A694" s="4" t="str">
        <f>IFERROR(__xludf.DUMMYFUNCTION("""COMPUTED_VALUE"""),"Embryogenesis of triple neural tube defects: Sonic hedgehog-a key?")</f>
        <v>Embryogenesis of triple neural tube defects: Sonic hedgehog-a key?</v>
      </c>
      <c r="B694" s="5" t="str">
        <f>IFERROR(__xludf.DUMMYFUNCTION("LEFT(FILTER(IMPORTRANGE(""https://docs.google.com/spreadsheets/d/1BJSV3WBYJGRhQ6zExamkszQ5VutGIcaQqmbD9ZTVXMQ/edit#gid=1251630045"",""articles_with_PRISMA_reasons!K2:K2113""), $A694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$A694=IMPORTRANGE(""https://docs.google.com/spreadsheets/d/1BJSV3WBYJGRhQ6zExamkszQ5VutGIcaQqmbD9ZTVXMQ/edit#gid=1251630045"",""articles_with_PRISMA_reasons!B2:B2113"")))-1)"),"Mahalik")</f>
        <v>Mahalik</v>
      </c>
      <c r="C694" s="6">
        <f>IFERROR(__xludf.DUMMYFUNCTION("FILTER(IMPORTRANGE(""https://docs.google.com/spreadsheets/d/1BJSV3WBYJGRhQ6zExamkszQ5VutGIcaQqmbD9ZTVXMQ/edit#gid=1251630045"",""articles_with_PRISMA_reasons!C2:C2113""), $A694=IMPORTRANGE(""https://docs.google.com/spreadsheets/d/1BJSV3WBYJGRhQ6zExamkszQ5"&amp;"VutGIcaQqmbD9ZTVXMQ/edit#gid=1251630045"",""articles_with_PRISMA_reasons!B2:B2113""))"),2011.0)</f>
        <v>2011</v>
      </c>
      <c r="D694" s="5" t="str">
        <f>IFERROR(__xludf.DUMMYFUNCTION("IFS(AND(
FILTER(IMPORTRANGE(""https://docs.google.com/spreadsheets/d/1BJSV3WBYJGRhQ6zExamkszQ5VutGIcaQqmbD9ZTVXMQ/edit#gid=1251630045"",""articles_with_PRISMA_reasons!Y2:Y2113""), $A694=IMPORTRANGE(""https://docs.google.com/spreadsheets/d/1BJSV3WBYJGRhQ6z"&amp;"ExamkszQ5VutGIcaQqmbD9ZTVXMQ/edit#gid=1251630045"",""articles_with_PRISMA_reasons!B2:B2113""))&gt;=2,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$A694=IMPORTRANGE(""https://docs.google.com/spreadsheets/d/1BJSV3WBYJGRhQ6zExamkszQ5VutGIcaQqmbD9ZTVXMQ/edit#gid=1251630045"",""articles_with_PRISMA_reasons!B2:B2113""))&lt;2),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$A694=IMPORTRANGE(""https://docs.google.com/spreadsheets/d/1BJSV3WBYJGRhQ6zExamkszQ5VutGIcaQqmbD9ZTVXMQ/edit#gid=1251630045"",""arti"&amp;"cles_with_PRISMA_reasons!B2:B2113""))&lt;2,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$A694=IMPORTRANGE(""https://docs.google.com"&amp;"/spreadsheets/d/1BJSV3WBYJGRhQ6zExamkszQ5VutGIcaQqmbD9ZTVXMQ/edit#gid=1251630045"",""articles_with_PRISMA_reasons!B2:B2113""))&gt;=2),
""Exclude""
)"),"Exclude")</f>
        <v>Exclude</v>
      </c>
      <c r="E694" s="5" t="str">
        <f>IFERROR(__xludf.DUMMYFUNCTION("IFS(
D694=""Exclude"",""Exclude"",
AND(
FILTER(IMPORTRANGE(""https://docs.google.com/spreadsheets/d/1qpEmbGH0JjaJbUdp21-y2cPbobDbMjr09BbtdKROZWc/edit#gid=1444865654"",""articles_with_PRISMA_reasons!W2:W2113""), $A694=IMPORTRANGE(""https://docs.google.com/"&amp;"spreadsheets/d/1qpEmbGH0JjaJbUdp21-y2cPbobDbMjr09BbtdKROZWc/edit#gid=1444865654"",""articles_with_PRISMA_reasons!B2:B2113""))&gt;=2,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$A694=IMPORTRANGE(""https://docs.google.com/spreadsheets/d/1qpEmbGH0JjaJbUdp21-y2cPbobDbMjr09BbtdKROZWc/edit#gid=1444865654"",""articles_with_PRISMA_reasons!B2:B2113""))&lt;2),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$A694=IMPORTRANGE(""https://docs.google.com/spreadsheets/d/1qpEmbGH0JjaJbUdp21-y2cPbobDbMjr09BbtdKRO"&amp;"ZWc/edit#gid=1444865654"",""articles_with_PRISMA_reasons!B2:B2113""))&lt;2,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$A694=IMPOR"&amp;"TRANGE(""https://docs.google.com/spreadsheets/d/1qpEmbGH0JjaJbUdp21-y2cPbobDbMjr09BbtdKROZWc/edit#gid=1444865654"",""articles_with_PRISMA_reasons!B2:B2113""))&gt;=2),
""Exclude""
)"),"Exclude")</f>
        <v>Exclude</v>
      </c>
      <c r="F694" s="5" t="str">
        <f>IFERROR(__xludf.DUMMYFUNCTION("IFS(
E694=""Exclude"",""Exclude"",
AND(
COUNTIF(
IMPORTRANGE(""https://docs.google.com/spreadsheets/d/1kGrh75X1cNR1D7_FcY9zMnHP8iPO4M5RCRjy6nZY0TY/edit#gid=0"",""Table 1: Study characteristics!B4:B171""),A694)&gt;0,
COUNTIF(Studies!$A$2:$A$85,FILTER(IMPORTRA"&amp;"NGE(""https://docs.google.com/spreadsheets/d/1kGrh75X1cNR1D7_FcY9zMnHP8iPO4M5RCRjy6nZY0TY/edit#gid=0"",""Table 1: Study characteristics!A4:A171""), $A694=IMPORTRANGE(""https://docs.google.com/spreadsheets/d/1kGrh75X1cNR1D7_FcY9zMnHP8iPO4M5RCRjy6nZY0TY/edi"&amp;"t#gid=0"",""Table 1: Study characteristics!B4:B171"")))&gt;0
),
""Include""
)"),"Exclude")</f>
        <v>Exclude</v>
      </c>
      <c r="G694" s="5" t="str">
        <f>IFERROR(__xludf.DUMMYFUNCTION("IFS(
D694=""Exclude"",
FILTER(IMPORTRANGE(""https://docs.google.com/spreadsheets/d/1BJSV3WBYJGRhQ6zExamkszQ5VutGIcaQqmbD9ZTVXMQ/edit#gid=1251630045"",""articles_with_PRISMA_reasons!AB2:AB2113""), $A694=IMPORTRANGE(""https://docs.google.com/spreadsheets/d/"&amp;"1BJSV3WBYJGRhQ6zExamkszQ5VutGIcaQqmbD9ZTVXMQ/edit#gid=1251630045"",""articles_with_PRISMA_reasons!B2:B2113"")),
E694=""Exclude"",
FILTER(IMPORTRANGE(""https://docs.google.com/spreadsheets/d/1qpEmbGH0JjaJbUdp21-y2cPbobDbMjr09BbtdKROZWc/edit#gid=1444865654"&amp;""",""articles_with_PRISMA_reasons!Z2:Z2113""), $A694=IMPORTRANGE(""https://docs.google.com/spreadsheets/d/1qpEmbGH0JjaJbUdp21-y2cPbobDbMjr09BbtdKROZWc/edit#gid=1444865654"",""articles_with_PRISMA_reasons!B2:B2113"")),F694
=""Include"",FILTER(IMPORTRANGE("&amp;"""https://docs.google.com/spreadsheets/d/1kGrh75X1cNR1D7_FcY9zMnHP8iPO4M5RCRjy6nZY0TY/edit#gid=0"",""Table 1: Study characteristics!A4:A171""), $A694=IMPORTRANGE(""https://docs.google.com/spreadsheets/d/1kGrh75X1cNR1D7_FcY9zMnHP8iPO4M5RCRjy6nZY0TY/edit#gi"&amp;"d=0"",""Table 1: Study characteristics!B4:B171""))
)"),"wrong study design")</f>
        <v>wrong study design</v>
      </c>
    </row>
    <row r="695">
      <c r="A695" s="4" t="str">
        <f>IFERROR(__xludf.DUMMYFUNCTION("""COMPUTED_VALUE"""),"Emergency surgery of the neonates")</f>
        <v>Emergency surgery of the neonates</v>
      </c>
      <c r="B695" s="5" t="str">
        <f>IFERROR(__xludf.DUMMYFUNCTION("LEFT(FILTER(IMPORTRANGE(""https://docs.google.com/spreadsheets/d/1BJSV3WBYJGRhQ6zExamkszQ5VutGIcaQqmbD9ZTVXMQ/edit#gid=1251630045"",""articles_with_PRISMA_reasons!K2:K2113""), $A695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$A695=IMPORTRANGE(""https://docs.google.com/spreadsheets/d/1BJSV3WBYJGRhQ6zExamkszQ5VutGIcaQqmbD9ZTVXMQ/edit#gid=1251630045"",""articles_with_PRISMA_reasons!B2:B2113"")))-1)"),"Louhimo")</f>
        <v>Louhimo</v>
      </c>
      <c r="C695" s="6">
        <f>IFERROR(__xludf.DUMMYFUNCTION("FILTER(IMPORTRANGE(""https://docs.google.com/spreadsheets/d/1BJSV3WBYJGRhQ6zExamkszQ5VutGIcaQqmbD9ZTVXMQ/edit#gid=1251630045"",""articles_with_PRISMA_reasons!C2:C2113""), $A695=IMPORTRANGE(""https://docs.google.com/spreadsheets/d/1BJSV3WBYJGRhQ6zExamkszQ5"&amp;"VutGIcaQqmbD9ZTVXMQ/edit#gid=1251630045"",""articles_with_PRISMA_reasons!B2:B2113""))"),1978.0)</f>
        <v>1978</v>
      </c>
      <c r="D695" s="5" t="str">
        <f>IFERROR(__xludf.DUMMYFUNCTION("IFS(AND(
FILTER(IMPORTRANGE(""https://docs.google.com/spreadsheets/d/1BJSV3WBYJGRhQ6zExamkszQ5VutGIcaQqmbD9ZTVXMQ/edit#gid=1251630045"",""articles_with_PRISMA_reasons!Y2:Y2113""), $A695=IMPORTRANGE(""https://docs.google.com/spreadsheets/d/1BJSV3WBYJGRhQ6z"&amp;"ExamkszQ5VutGIcaQqmbD9ZTVXMQ/edit#gid=1251630045"",""articles_with_PRISMA_reasons!B2:B2113""))&gt;=2,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$A695=IMPORTRANGE(""https://docs.google.com/spreadsheets/d/1BJSV3WBYJGRhQ6zExamkszQ5VutGIcaQqmbD9ZTVXMQ/edit#gid=1251630045"",""articles_with_PRISMA_reasons!B2:B2113""))&lt;2),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$A695=IMPORTRANGE(""https://docs.google.com/spreadsheets/d/1BJSV3WBYJGRhQ6zExamkszQ5VutGIcaQqmbD9ZTVXMQ/edit#gid=1251630045"",""arti"&amp;"cles_with_PRISMA_reasons!B2:B2113""))&lt;2,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$A695=IMPORTRANGE(""https://docs.google.com"&amp;"/spreadsheets/d/1BJSV3WBYJGRhQ6zExamkszQ5VutGIcaQqmbD9ZTVXMQ/edit#gid=1251630045"",""articles_with_PRISMA_reasons!B2:B2113""))&gt;=2),
""Exclude""
)"),"Exclude")</f>
        <v>Exclude</v>
      </c>
      <c r="E695" s="5" t="str">
        <f>IFERROR(__xludf.DUMMYFUNCTION("IFS(
D695=""Exclude"",""Exclude"",
AND(
FILTER(IMPORTRANGE(""https://docs.google.com/spreadsheets/d/1qpEmbGH0JjaJbUdp21-y2cPbobDbMjr09BbtdKROZWc/edit#gid=1444865654"",""articles_with_PRISMA_reasons!W2:W2113""), $A695=IMPORTRANGE(""https://docs.google.com/"&amp;"spreadsheets/d/1qpEmbGH0JjaJbUdp21-y2cPbobDbMjr09BbtdKROZWc/edit#gid=1444865654"",""articles_with_PRISMA_reasons!B2:B2113""))&gt;=2,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$A695=IMPORTRANGE(""https://docs.google.com/spreadsheets/d/1qpEmbGH0JjaJbUdp21-y2cPbobDbMjr09BbtdKROZWc/edit#gid=1444865654"",""articles_with_PRISMA_reasons!B2:B2113""))&lt;2),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$A695=IMPORTRANGE(""https://docs.google.com/spreadsheets/d/1qpEmbGH0JjaJbUdp21-y2cPbobDbMjr09BbtdKRO"&amp;"ZWc/edit#gid=1444865654"",""articles_with_PRISMA_reasons!B2:B2113""))&lt;2,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$A695=IMPOR"&amp;"TRANGE(""https://docs.google.com/spreadsheets/d/1qpEmbGH0JjaJbUdp21-y2cPbobDbMjr09BbtdKROZWc/edit#gid=1444865654"",""articles_with_PRISMA_reasons!B2:B2113""))&gt;=2),
""Exclude""
)"),"Exclude")</f>
        <v>Exclude</v>
      </c>
      <c r="F695" s="5" t="str">
        <f>IFERROR(__xludf.DUMMYFUNCTION("IFS(
E695=""Exclude"",""Exclude"",
AND(
COUNTIF(
IMPORTRANGE(""https://docs.google.com/spreadsheets/d/1kGrh75X1cNR1D7_FcY9zMnHP8iPO4M5RCRjy6nZY0TY/edit#gid=0"",""Table 1: Study characteristics!B4:B171""),A695)&gt;0,
COUNTIF(Studies!$A$2:$A$85,FILTER(IMPORTRA"&amp;"NGE(""https://docs.google.com/spreadsheets/d/1kGrh75X1cNR1D7_FcY9zMnHP8iPO4M5RCRjy6nZY0TY/edit#gid=0"",""Table 1: Study characteristics!A4:A171""), $A695=IMPORTRANGE(""https://docs.google.com/spreadsheets/d/1kGrh75X1cNR1D7_FcY9zMnHP8iPO4M5RCRjy6nZY0TY/edi"&amp;"t#gid=0"",""Table 1: Study characteristics!B4:B171"")))&gt;0
),
""Include""
)"),"Exclude")</f>
        <v>Exclude</v>
      </c>
      <c r="G695" s="5" t="str">
        <f>IFERROR(__xludf.DUMMYFUNCTION("IFS(
D695=""Exclude"",
FILTER(IMPORTRANGE(""https://docs.google.com/spreadsheets/d/1BJSV3WBYJGRhQ6zExamkszQ5VutGIcaQqmbD9ZTVXMQ/edit#gid=1251630045"",""articles_with_PRISMA_reasons!AB2:AB2113""), $A695=IMPORTRANGE(""https://docs.google.com/spreadsheets/d/"&amp;"1BJSV3WBYJGRhQ6zExamkszQ5VutGIcaQqmbD9ZTVXMQ/edit#gid=1251630045"",""articles_with_PRISMA_reasons!B2:B2113"")),
E695=""Exclude"",
FILTER(IMPORTRANGE(""https://docs.google.com/spreadsheets/d/1qpEmbGH0JjaJbUdp21-y2cPbobDbMjr09BbtdKROZWc/edit#gid=1444865654"&amp;""",""articles_with_PRISMA_reasons!Z2:Z2113""), $A695=IMPORTRANGE(""https://docs.google.com/spreadsheets/d/1qpEmbGH0JjaJbUdp21-y2cPbobDbMjr09BbtdKROZWc/edit#gid=1444865654"",""articles_with_PRISMA_reasons!B2:B2113"")),F695
=""Include"",FILTER(IMPORTRANGE("&amp;"""https://docs.google.com/spreadsheets/d/1kGrh75X1cNR1D7_FcY9zMnHP8iPO4M5RCRjy6nZY0TY/edit#gid=0"",""Table 1: Study characteristics!A4:A171""), $A695=IMPORTRANGE(""https://docs.google.com/spreadsheets/d/1kGrh75X1cNR1D7_FcY9zMnHP8iPO4M5RCRjy6nZY0TY/edit#gi"&amp;"d=0"",""Table 1: Study characteristics!B4:B171""))
)"),"wrong population")</f>
        <v>wrong population</v>
      </c>
    </row>
    <row r="696">
      <c r="A696" s="4" t="str">
        <f>IFERROR(__xludf.DUMMYFUNCTION("""COMPUTED_VALUE"""),"Emerging magnetic resonance imaging techniques in open spina bifida in utero")</f>
        <v>Emerging magnetic resonance imaging techniques in open spina bifida in utero</v>
      </c>
      <c r="B696" s="5" t="str">
        <f>IFERROR(__xludf.DUMMYFUNCTION("LEFT(FILTER(IMPORTRANGE(""https://docs.google.com/spreadsheets/d/1BJSV3WBYJGRhQ6zExamkszQ5VutGIcaQqmbD9ZTVXMQ/edit#gid=1251630045"",""articles_with_PRISMA_reasons!K2:K2113""), $A696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$A696=IMPORTRANGE(""https://docs.google.com/spreadsheets/d/1BJSV3WBYJGRhQ6zExamkszQ5VutGIcaQqmbD9ZTVXMQ/edit#gid=1251630045"",""articles_with_PRISMA_reasons!B2:B2113"")))-1)"),"Tuura")</f>
        <v>Tuura</v>
      </c>
      <c r="C696" s="6">
        <f>IFERROR(__xludf.DUMMYFUNCTION("FILTER(IMPORTRANGE(""https://docs.google.com/spreadsheets/d/1BJSV3WBYJGRhQ6zExamkszQ5VutGIcaQqmbD9ZTVXMQ/edit#gid=1251630045"",""articles_with_PRISMA_reasons!C2:C2113""), $A696=IMPORTRANGE(""https://docs.google.com/spreadsheets/d/1BJSV3WBYJGRhQ6zExamkszQ5"&amp;"VutGIcaQqmbD9ZTVXMQ/edit#gid=1251630045"",""articles_with_PRISMA_reasons!B2:B2113""))"),2021.0)</f>
        <v>2021</v>
      </c>
      <c r="D696" s="5" t="str">
        <f>IFERROR(__xludf.DUMMYFUNCTION("IFS(AND(
FILTER(IMPORTRANGE(""https://docs.google.com/spreadsheets/d/1BJSV3WBYJGRhQ6zExamkszQ5VutGIcaQqmbD9ZTVXMQ/edit#gid=1251630045"",""articles_with_PRISMA_reasons!Y2:Y2113""), $A696=IMPORTRANGE(""https://docs.google.com/spreadsheets/d/1BJSV3WBYJGRhQ6z"&amp;"ExamkszQ5VutGIcaQqmbD9ZTVXMQ/edit#gid=1251630045"",""articles_with_PRISMA_reasons!B2:B2113""))&gt;=2,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$A696=IMPORTRANGE(""https://docs.google.com/spreadsheets/d/1BJSV3WBYJGRhQ6zExamkszQ5VutGIcaQqmbD9ZTVXMQ/edit#gid=1251630045"",""articles_with_PRISMA_reasons!B2:B2113""))&lt;2),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$A696=IMPORTRANGE(""https://docs.google.com/spreadsheets/d/1BJSV3WBYJGRhQ6zExamkszQ5VutGIcaQqmbD9ZTVXMQ/edit#gid=1251630045"",""arti"&amp;"cles_with_PRISMA_reasons!B2:B2113""))&lt;2,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$A696=IMPORTRANGE(""https://docs.google.com"&amp;"/spreadsheets/d/1BJSV3WBYJGRhQ6zExamkszQ5VutGIcaQqmbD9ZTVXMQ/edit#gid=1251630045"",""articles_with_PRISMA_reasons!B2:B2113""))&gt;=2),
""Exclude""
)"),"Exclude")</f>
        <v>Exclude</v>
      </c>
      <c r="E696" s="5" t="str">
        <f>IFERROR(__xludf.DUMMYFUNCTION("IFS(
D696=""Exclude"",""Exclude"",
AND(
FILTER(IMPORTRANGE(""https://docs.google.com/spreadsheets/d/1qpEmbGH0JjaJbUdp21-y2cPbobDbMjr09BbtdKROZWc/edit#gid=1444865654"",""articles_with_PRISMA_reasons!W2:W2113""), $A696=IMPORTRANGE(""https://docs.google.com/"&amp;"spreadsheets/d/1qpEmbGH0JjaJbUdp21-y2cPbobDbMjr09BbtdKROZWc/edit#gid=1444865654"",""articles_with_PRISMA_reasons!B2:B2113""))&gt;=2,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$A696=IMPORTRANGE(""https://docs.google.com/spreadsheets/d/1qpEmbGH0JjaJbUdp21-y2cPbobDbMjr09BbtdKROZWc/edit#gid=1444865654"",""articles_with_PRISMA_reasons!B2:B2113""))&lt;2),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$A696=IMPORTRANGE(""https://docs.google.com/spreadsheets/d/1qpEmbGH0JjaJbUdp21-y2cPbobDbMjr09BbtdKRO"&amp;"ZWc/edit#gid=1444865654"",""articles_with_PRISMA_reasons!B2:B2113""))&lt;2,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$A696=IMPOR"&amp;"TRANGE(""https://docs.google.com/spreadsheets/d/1qpEmbGH0JjaJbUdp21-y2cPbobDbMjr09BbtdKROZWc/edit#gid=1444865654"",""articles_with_PRISMA_reasons!B2:B2113""))&gt;=2),
""Exclude""
)"),"Exclude")</f>
        <v>Exclude</v>
      </c>
      <c r="F696" s="5" t="str">
        <f>IFERROR(__xludf.DUMMYFUNCTION("IFS(
E696=""Exclude"",""Exclude"",
AND(
COUNTIF(
IMPORTRANGE(""https://docs.google.com/spreadsheets/d/1kGrh75X1cNR1D7_FcY9zMnHP8iPO4M5RCRjy6nZY0TY/edit#gid=0"",""Table 1: Study characteristics!B4:B171""),A696)&gt;0,
COUNTIF(Studies!$A$2:$A$85,FILTER(IMPORTRA"&amp;"NGE(""https://docs.google.com/spreadsheets/d/1kGrh75X1cNR1D7_FcY9zMnHP8iPO4M5RCRjy6nZY0TY/edit#gid=0"",""Table 1: Study characteristics!A4:A171""), $A696=IMPORTRANGE(""https://docs.google.com/spreadsheets/d/1kGrh75X1cNR1D7_FcY9zMnHP8iPO4M5RCRjy6nZY0TY/edi"&amp;"t#gid=0"",""Table 1: Study characteristics!B4:B171"")))&gt;0
),
""Include""
)"),"Exclude")</f>
        <v>Exclude</v>
      </c>
      <c r="G696" s="5" t="str">
        <f>IFERROR(__xludf.DUMMYFUNCTION("IFS(
D696=""Exclude"",
FILTER(IMPORTRANGE(""https://docs.google.com/spreadsheets/d/1BJSV3WBYJGRhQ6zExamkszQ5VutGIcaQqmbD9ZTVXMQ/edit#gid=1251630045"",""articles_with_PRISMA_reasons!AB2:AB2113""), $A696=IMPORTRANGE(""https://docs.google.com/spreadsheets/d/"&amp;"1BJSV3WBYJGRhQ6zExamkszQ5VutGIcaQqmbD9ZTVXMQ/edit#gid=1251630045"",""articles_with_PRISMA_reasons!B2:B2113"")),
E696=""Exclude"",
FILTER(IMPORTRANGE(""https://docs.google.com/spreadsheets/d/1qpEmbGH0JjaJbUdp21-y2cPbobDbMjr09BbtdKROZWc/edit#gid=1444865654"&amp;""",""articles_with_PRISMA_reasons!Z2:Z2113""), $A696=IMPORTRANGE(""https://docs.google.com/spreadsheets/d/1qpEmbGH0JjaJbUdp21-y2cPbobDbMjr09BbtdKROZWc/edit#gid=1444865654"",""articles_with_PRISMA_reasons!B2:B2113"")),F696
=""Include"",FILTER(IMPORTRANGE("&amp;"""https://docs.google.com/spreadsheets/d/1kGrh75X1cNR1D7_FcY9zMnHP8iPO4M5RCRjy6nZY0TY/edit#gid=0"",""Table 1: Study characteristics!A4:A171""), $A696=IMPORTRANGE(""https://docs.google.com/spreadsheets/d/1kGrh75X1cNR1D7_FcY9zMnHP8iPO4M5RCRjy6nZY0TY/edit#gi"&amp;"d=0"",""Table 1: Study characteristics!B4:B171""))
)"),"wrong population")</f>
        <v>wrong population</v>
      </c>
    </row>
    <row r="697">
      <c r="A697" s="4" t="str">
        <f>IFERROR(__xludf.DUMMYFUNCTION("""COMPUTED_VALUE"""),"Encephalocele in Uganda: ethnic distinctions in lesion location, endoscopic management of hydrocephalus, and survival in 110 consecutive children")</f>
        <v>Encephalocele in Uganda: ethnic distinctions in lesion location, endoscopic management of hydrocephalus, and survival in 110 consecutive children</v>
      </c>
      <c r="B697" s="5" t="str">
        <f>IFERROR(__xludf.DUMMYFUNCTION("LEFT(FILTER(IMPORTRANGE(""https://docs.google.com/spreadsheets/d/1BJSV3WBYJGRhQ6zExamkszQ5VutGIcaQqmbD9ZTVXMQ/edit#gid=1251630045"",""articles_with_PRISMA_reasons!K2:K2113""), $A697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$A697=IMPORTRANGE(""https://docs.google.com/spreadsheets/d/1BJSV3WBYJGRhQ6zExamkszQ5VutGIcaQqmbD9ZTVXMQ/edit#gid=1251630045"",""articles_with_PRISMA_reasons!B2:B2113"")))-1)"),"Warf")</f>
        <v>Warf</v>
      </c>
      <c r="C697" s="6">
        <f>IFERROR(__xludf.DUMMYFUNCTION("FILTER(IMPORTRANGE(""https://docs.google.com/spreadsheets/d/1BJSV3WBYJGRhQ6zExamkszQ5VutGIcaQqmbD9ZTVXMQ/edit#gid=1251630045"",""articles_with_PRISMA_reasons!C2:C2113""), $A697=IMPORTRANGE(""https://docs.google.com/spreadsheets/d/1BJSV3WBYJGRhQ6zExamkszQ5"&amp;"VutGIcaQqmbD9ZTVXMQ/edit#gid=1251630045"",""articles_with_PRISMA_reasons!B2:B2113""))"),2011.0)</f>
        <v>2011</v>
      </c>
      <c r="D697" s="5" t="str">
        <f>IFERROR(__xludf.DUMMYFUNCTION("IFS(AND(
FILTER(IMPORTRANGE(""https://docs.google.com/spreadsheets/d/1BJSV3WBYJGRhQ6zExamkszQ5VutGIcaQqmbD9ZTVXMQ/edit#gid=1251630045"",""articles_with_PRISMA_reasons!Y2:Y2113""), $A697=IMPORTRANGE(""https://docs.google.com/spreadsheets/d/1BJSV3WBYJGRhQ6z"&amp;"ExamkszQ5VutGIcaQqmbD9ZTVXMQ/edit#gid=1251630045"",""articles_with_PRISMA_reasons!B2:B2113""))&gt;=2,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$A697=IMPORTRANGE(""https://docs.google.com/spreadsheets/d/1BJSV3WBYJGRhQ6zExamkszQ5VutGIcaQqmbD9ZTVXMQ/edit#gid=1251630045"",""articles_with_PRISMA_reasons!B2:B2113""))&lt;2),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$A697=IMPORTRANGE(""https://docs.google.com/spreadsheets/d/1BJSV3WBYJGRhQ6zExamkszQ5VutGIcaQqmbD9ZTVXMQ/edit#gid=1251630045"",""arti"&amp;"cles_with_PRISMA_reasons!B2:B2113""))&lt;2,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$A697=IMPORTRANGE(""https://docs.google.com"&amp;"/spreadsheets/d/1BJSV3WBYJGRhQ6zExamkszQ5VutGIcaQqmbD9ZTVXMQ/edit#gid=1251630045"",""articles_with_PRISMA_reasons!B2:B2113""))&gt;=2),
""Exclude""
)"),"Exclude")</f>
        <v>Exclude</v>
      </c>
      <c r="E697" s="5" t="str">
        <f>IFERROR(__xludf.DUMMYFUNCTION("IFS(
D697=""Exclude"",""Exclude"",
AND(
FILTER(IMPORTRANGE(""https://docs.google.com/spreadsheets/d/1qpEmbGH0JjaJbUdp21-y2cPbobDbMjr09BbtdKROZWc/edit#gid=1444865654"",""articles_with_PRISMA_reasons!W2:W2113""), $A697=IMPORTRANGE(""https://docs.google.com/"&amp;"spreadsheets/d/1qpEmbGH0JjaJbUdp21-y2cPbobDbMjr09BbtdKROZWc/edit#gid=1444865654"",""articles_with_PRISMA_reasons!B2:B2113""))&gt;=2,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$A697=IMPORTRANGE(""https://docs.google.com/spreadsheets/d/1qpEmbGH0JjaJbUdp21-y2cPbobDbMjr09BbtdKROZWc/edit#gid=1444865654"",""articles_with_PRISMA_reasons!B2:B2113""))&lt;2),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$A697=IMPORTRANGE(""https://docs.google.com/spreadsheets/d/1qpEmbGH0JjaJbUdp21-y2cPbobDbMjr09BbtdKRO"&amp;"ZWc/edit#gid=1444865654"",""articles_with_PRISMA_reasons!B2:B2113""))&lt;2,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$A697=IMPOR"&amp;"TRANGE(""https://docs.google.com/spreadsheets/d/1qpEmbGH0JjaJbUdp21-y2cPbobDbMjr09BbtdKROZWc/edit#gid=1444865654"",""articles_with_PRISMA_reasons!B2:B2113""))&gt;=2),
""Exclude""
)"),"Exclude")</f>
        <v>Exclude</v>
      </c>
      <c r="F697" s="5" t="str">
        <f>IFERROR(__xludf.DUMMYFUNCTION("IFS(
E697=""Exclude"",""Exclude"",
AND(
COUNTIF(
IMPORTRANGE(""https://docs.google.com/spreadsheets/d/1kGrh75X1cNR1D7_FcY9zMnHP8iPO4M5RCRjy6nZY0TY/edit#gid=0"",""Table 1: Study characteristics!B4:B171""),A697)&gt;0,
COUNTIF(Studies!$A$2:$A$85,FILTER(IMPORTRA"&amp;"NGE(""https://docs.google.com/spreadsheets/d/1kGrh75X1cNR1D7_FcY9zMnHP8iPO4M5RCRjy6nZY0TY/edit#gid=0"",""Table 1: Study characteristics!A4:A171""), $A697=IMPORTRANGE(""https://docs.google.com/spreadsheets/d/1kGrh75X1cNR1D7_FcY9zMnHP8iPO4M5RCRjy6nZY0TY/edi"&amp;"t#gid=0"",""Table 1: Study characteristics!B4:B171"")))&gt;0
),
""Include""
)"),"Exclude")</f>
        <v>Exclude</v>
      </c>
      <c r="G697" s="5" t="str">
        <f>IFERROR(__xludf.DUMMYFUNCTION("IFS(
D697=""Exclude"",
FILTER(IMPORTRANGE(""https://docs.google.com/spreadsheets/d/1BJSV3WBYJGRhQ6zExamkszQ5VutGIcaQqmbD9ZTVXMQ/edit#gid=1251630045"",""articles_with_PRISMA_reasons!AB2:AB2113""), $A697=IMPORTRANGE(""https://docs.google.com/spreadsheets/d/"&amp;"1BJSV3WBYJGRhQ6zExamkszQ5VutGIcaQqmbD9ZTVXMQ/edit#gid=1251630045"",""articles_with_PRISMA_reasons!B2:B2113"")),
E697=""Exclude"",
FILTER(IMPORTRANGE(""https://docs.google.com/spreadsheets/d/1qpEmbGH0JjaJbUdp21-y2cPbobDbMjr09BbtdKROZWc/edit#gid=1444865654"&amp;""",""articles_with_PRISMA_reasons!Z2:Z2113""), $A697=IMPORTRANGE(""https://docs.google.com/spreadsheets/d/1qpEmbGH0JjaJbUdp21-y2cPbobDbMjr09BbtdKROZWc/edit#gid=1444865654"",""articles_with_PRISMA_reasons!B2:B2113"")),F697
=""Include"",FILTER(IMPORTRANGE("&amp;"""https://docs.google.com/spreadsheets/d/1kGrh75X1cNR1D7_FcY9zMnHP8iPO4M5RCRjy6nZY0TY/edit#gid=0"",""Table 1: Study characteristics!A4:A171""), $A697=IMPORTRANGE(""https://docs.google.com/spreadsheets/d/1kGrh75X1cNR1D7_FcY9zMnHP8iPO4M5RCRjy6nZY0TY/edit#gi"&amp;"d=0"",""Table 1: Study characteristics!B4:B171""))
)"),"wrong population")</f>
        <v>wrong population</v>
      </c>
    </row>
    <row r="698">
      <c r="A698" s="4" t="str">
        <f>IFERROR(__xludf.DUMMYFUNCTION("""COMPUTED_VALUE"""),"Encephaloceles: a review 1971-1990")</f>
        <v>Encephaloceles: a review 1971-1990</v>
      </c>
      <c r="B698" s="5" t="str">
        <f>IFERROR(__xludf.DUMMYFUNCTION("LEFT(FILTER(IMPORTRANGE(""https://docs.google.com/spreadsheets/d/1BJSV3WBYJGRhQ6zExamkszQ5VutGIcaQqmbD9ZTVXMQ/edit#gid=1251630045"",""articles_with_PRISMA_reasons!K2:K2113""), $A698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$A698=IMPORTRANGE(""https://docs.google.com/spreadsheets/d/1BJSV3WBYJGRhQ6zExamkszQ5VutGIcaQqmbD9ZTVXMQ/edit#gid=1251630045"",""articles_with_PRISMA_reasons!B2:B2113"")))-1)"),"Docherty")</f>
        <v>Docherty</v>
      </c>
      <c r="C698" s="6">
        <f>IFERROR(__xludf.DUMMYFUNCTION("FILTER(IMPORTRANGE(""https://docs.google.com/spreadsheets/d/1BJSV3WBYJGRhQ6zExamkszQ5VutGIcaQqmbD9ZTVXMQ/edit#gid=1251630045"",""articles_with_PRISMA_reasons!C2:C2113""), $A698=IMPORTRANGE(""https://docs.google.com/spreadsheets/d/1BJSV3WBYJGRhQ6zExamkszQ5"&amp;"VutGIcaQqmbD9ZTVXMQ/edit#gid=1251630045"",""articles_with_PRISMA_reasons!B2:B2113""))"),1991.0)</f>
        <v>1991</v>
      </c>
      <c r="D698" s="5" t="str">
        <f>IFERROR(__xludf.DUMMYFUNCTION("IFS(AND(
FILTER(IMPORTRANGE(""https://docs.google.com/spreadsheets/d/1BJSV3WBYJGRhQ6zExamkszQ5VutGIcaQqmbD9ZTVXMQ/edit#gid=1251630045"",""articles_with_PRISMA_reasons!Y2:Y2113""), $A698=IMPORTRANGE(""https://docs.google.com/spreadsheets/d/1BJSV3WBYJGRhQ6z"&amp;"ExamkszQ5VutGIcaQqmbD9ZTVXMQ/edit#gid=1251630045"",""articles_with_PRISMA_reasons!B2:B2113""))&gt;=2,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$A698=IMPORTRANGE(""https://docs.google.com/spreadsheets/d/1BJSV3WBYJGRhQ6zExamkszQ5VutGIcaQqmbD9ZTVXMQ/edit#gid=1251630045"",""articles_with_PRISMA_reasons!B2:B2113""))&lt;2),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$A698=IMPORTRANGE(""https://docs.google.com/spreadsheets/d/1BJSV3WBYJGRhQ6zExamkszQ5VutGIcaQqmbD9ZTVXMQ/edit#gid=1251630045"",""arti"&amp;"cles_with_PRISMA_reasons!B2:B2113""))&lt;2,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$A698=IMPORTRANGE(""https://docs.google.com"&amp;"/spreadsheets/d/1BJSV3WBYJGRhQ6zExamkszQ5VutGIcaQqmbD9ZTVXMQ/edit#gid=1251630045"",""articles_with_PRISMA_reasons!B2:B2113""))&gt;=2),
""Exclude""
)"),"Exclude")</f>
        <v>Exclude</v>
      </c>
      <c r="E698" s="5" t="str">
        <f>IFERROR(__xludf.DUMMYFUNCTION("IFS(
D698=""Exclude"",""Exclude"",
AND(
FILTER(IMPORTRANGE(""https://docs.google.com/spreadsheets/d/1qpEmbGH0JjaJbUdp21-y2cPbobDbMjr09BbtdKROZWc/edit#gid=1444865654"",""articles_with_PRISMA_reasons!W2:W2113""), $A698=IMPORTRANGE(""https://docs.google.com/"&amp;"spreadsheets/d/1qpEmbGH0JjaJbUdp21-y2cPbobDbMjr09BbtdKROZWc/edit#gid=1444865654"",""articles_with_PRISMA_reasons!B2:B2113""))&gt;=2,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$A698=IMPORTRANGE(""https://docs.google.com/spreadsheets/d/1qpEmbGH0JjaJbUdp21-y2cPbobDbMjr09BbtdKROZWc/edit#gid=1444865654"",""articles_with_PRISMA_reasons!B2:B2113""))&lt;2),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$A698=IMPORTRANGE(""https://docs.google.com/spreadsheets/d/1qpEmbGH0JjaJbUdp21-y2cPbobDbMjr09BbtdKRO"&amp;"ZWc/edit#gid=1444865654"",""articles_with_PRISMA_reasons!B2:B2113""))&lt;2,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$A698=IMPOR"&amp;"TRANGE(""https://docs.google.com/spreadsheets/d/1qpEmbGH0JjaJbUdp21-y2cPbobDbMjr09BbtdKROZWc/edit#gid=1444865654"",""articles_with_PRISMA_reasons!B2:B2113""))&gt;=2),
""Exclude""
)"),"Exclude")</f>
        <v>Exclude</v>
      </c>
      <c r="F698" s="5" t="str">
        <f>IFERROR(__xludf.DUMMYFUNCTION("IFS(
E698=""Exclude"",""Exclude"",
AND(
COUNTIF(
IMPORTRANGE(""https://docs.google.com/spreadsheets/d/1kGrh75X1cNR1D7_FcY9zMnHP8iPO4M5RCRjy6nZY0TY/edit#gid=0"",""Table 1: Study characteristics!B4:B171""),A698)&gt;0,
COUNTIF(Studies!$A$2:$A$85,FILTER(IMPORTRA"&amp;"NGE(""https://docs.google.com/spreadsheets/d/1kGrh75X1cNR1D7_FcY9zMnHP8iPO4M5RCRjy6nZY0TY/edit#gid=0"",""Table 1: Study characteristics!A4:A171""), $A698=IMPORTRANGE(""https://docs.google.com/spreadsheets/d/1kGrh75X1cNR1D7_FcY9zMnHP8iPO4M5RCRjy6nZY0TY/edi"&amp;"t#gid=0"",""Table 1: Study characteristics!B4:B171"")))&gt;0
),
""Include""
)"),"Exclude")</f>
        <v>Exclude</v>
      </c>
      <c r="G698" s="5" t="str">
        <f>IFERROR(__xludf.DUMMYFUNCTION("IFS(
D698=""Exclude"",
FILTER(IMPORTRANGE(""https://docs.google.com/spreadsheets/d/1BJSV3WBYJGRhQ6zExamkszQ5VutGIcaQqmbD9ZTVXMQ/edit#gid=1251630045"",""articles_with_PRISMA_reasons!AB2:AB2113""), $A698=IMPORTRANGE(""https://docs.google.com/spreadsheets/d/"&amp;"1BJSV3WBYJGRhQ6zExamkszQ5VutGIcaQqmbD9ZTVXMQ/edit#gid=1251630045"",""articles_with_PRISMA_reasons!B2:B2113"")),
E698=""Exclude"",
FILTER(IMPORTRANGE(""https://docs.google.com/spreadsheets/d/1qpEmbGH0JjaJbUdp21-y2cPbobDbMjr09BbtdKROZWc/edit#gid=1444865654"&amp;""",""articles_with_PRISMA_reasons!Z2:Z2113""), $A698=IMPORTRANGE(""https://docs.google.com/spreadsheets/d/1qpEmbGH0JjaJbUdp21-y2cPbobDbMjr09BbtdKROZWc/edit#gid=1444865654"",""articles_with_PRISMA_reasons!B2:B2113"")),F698
=""Include"",FILTER(IMPORTRANGE("&amp;"""https://docs.google.com/spreadsheets/d/1kGrh75X1cNR1D7_FcY9zMnHP8iPO4M5RCRjy6nZY0TY/edit#gid=0"",""Table 1: Study characteristics!A4:A171""), $A698=IMPORTRANGE(""https://docs.google.com/spreadsheets/d/1kGrh75X1cNR1D7_FcY9zMnHP8iPO4M5RCRjy6nZY0TY/edit#gi"&amp;"d=0"",""Table 1: Study characteristics!B4:B171""))
)"),"wrong population")</f>
        <v>wrong population</v>
      </c>
    </row>
    <row r="699">
      <c r="A699" s="4" t="str">
        <f>IFERROR(__xludf.DUMMYFUNCTION("""COMPUTED_VALUE"""),"Endoscopic intraventricular surgery for treatment of hydrocephalus and loculated CSF space in children less than one year of age")</f>
        <v>Endoscopic intraventricular surgery for treatment of hydrocephalus and loculated CSF space in children less than one year of age</v>
      </c>
      <c r="B699" s="5" t="str">
        <f>IFERROR(__xludf.DUMMYFUNCTION("LEFT(FILTER(IMPORTRANGE(""https://docs.google.com/spreadsheets/d/1BJSV3WBYJGRhQ6zExamkszQ5VutGIcaQqmbD9ZTVXMQ/edit#gid=1251630045"",""articles_with_PRISMA_reasons!K2:K2113""), $A699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$A699=IMPORTRANGE(""https://docs.google.com/spreadsheets/d/1BJSV3WBYJGRhQ6zExamkszQ5VutGIcaQqmbD9ZTVXMQ/edit#gid=1251630045"",""articles_with_PRISMA_reasons!B2:B2113"")))-1)"),"Mehdorn")</f>
        <v>Mehdorn</v>
      </c>
      <c r="C699" s="6">
        <f>IFERROR(__xludf.DUMMYFUNCTION("FILTER(IMPORTRANGE(""https://docs.google.com/spreadsheets/d/1BJSV3WBYJGRhQ6zExamkszQ5VutGIcaQqmbD9ZTVXMQ/edit#gid=1251630045"",""articles_with_PRISMA_reasons!C2:C2113""), $A699=IMPORTRANGE(""https://docs.google.com/spreadsheets/d/1BJSV3WBYJGRhQ6zExamkszQ5"&amp;"VutGIcaQqmbD9ZTVXMQ/edit#gid=1251630045"",""articles_with_PRISMA_reasons!B2:B2113""))"),2002.0)</f>
        <v>2002</v>
      </c>
      <c r="D699" s="5" t="str">
        <f>IFERROR(__xludf.DUMMYFUNCTION("IFS(AND(
FILTER(IMPORTRANGE(""https://docs.google.com/spreadsheets/d/1BJSV3WBYJGRhQ6zExamkszQ5VutGIcaQqmbD9ZTVXMQ/edit#gid=1251630045"",""articles_with_PRISMA_reasons!Y2:Y2113""), $A699=IMPORTRANGE(""https://docs.google.com/spreadsheets/d/1BJSV3WBYJGRhQ6z"&amp;"ExamkszQ5VutGIcaQqmbD9ZTVXMQ/edit#gid=1251630045"",""articles_with_PRISMA_reasons!B2:B2113""))&gt;=2,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$A699=IMPORTRANGE(""https://docs.google.com/spreadsheets/d/1BJSV3WBYJGRhQ6zExamkszQ5VutGIcaQqmbD9ZTVXMQ/edit#gid=1251630045"",""articles_with_PRISMA_reasons!B2:B2113""))&lt;2),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$A699=IMPORTRANGE(""https://docs.google.com/spreadsheets/d/1BJSV3WBYJGRhQ6zExamkszQ5VutGIcaQqmbD9ZTVXMQ/edit#gid=1251630045"",""arti"&amp;"cles_with_PRISMA_reasons!B2:B2113""))&lt;2,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$A699=IMPORTRANGE(""https://docs.google.com"&amp;"/spreadsheets/d/1BJSV3WBYJGRhQ6zExamkszQ5VutGIcaQqmbD9ZTVXMQ/edit#gid=1251630045"",""articles_with_PRISMA_reasons!B2:B2113""))&gt;=2),
""Exclude""
)"),"Include")</f>
        <v>Include</v>
      </c>
      <c r="E699" s="5" t="str">
        <f>IFERROR(__xludf.DUMMYFUNCTION("IFS(
D699=""Exclude"",""Exclude"",
AND(
FILTER(IMPORTRANGE(""https://docs.google.com/spreadsheets/d/1qpEmbGH0JjaJbUdp21-y2cPbobDbMjr09BbtdKROZWc/edit#gid=1444865654"",""articles_with_PRISMA_reasons!W2:W2113""), $A699=IMPORTRANGE(""https://docs.google.com/"&amp;"spreadsheets/d/1qpEmbGH0JjaJbUdp21-y2cPbobDbMjr09BbtdKROZWc/edit#gid=1444865654"",""articles_with_PRISMA_reasons!B2:B2113""))&gt;=2,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$A699=IMPORTRANGE(""https://docs.google.com/spreadsheets/d/1qpEmbGH0JjaJbUdp21-y2cPbobDbMjr09BbtdKROZWc/edit#gid=1444865654"",""articles_with_PRISMA_reasons!B2:B2113""))&lt;2),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$A699=IMPORTRANGE(""https://docs.google.com/spreadsheets/d/1qpEmbGH0JjaJbUdp21-y2cPbobDbMjr09BbtdKRO"&amp;"ZWc/edit#gid=1444865654"",""articles_with_PRISMA_reasons!B2:B2113""))&lt;2,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$A699=IMPOR"&amp;"TRANGE(""https://docs.google.com/spreadsheets/d/1qpEmbGH0JjaJbUdp21-y2cPbobDbMjr09BbtdKROZWc/edit#gid=1444865654"",""articles_with_PRISMA_reasons!B2:B2113""))&gt;=2),
""Exclude""
)"),"Exclude")</f>
        <v>Exclude</v>
      </c>
      <c r="F699" s="5" t="str">
        <f>IFERROR(__xludf.DUMMYFUNCTION("IFS(
E699=""Exclude"",""Exclude"",
AND(
COUNTIF(
IMPORTRANGE(""https://docs.google.com/spreadsheets/d/1kGrh75X1cNR1D7_FcY9zMnHP8iPO4M5RCRjy6nZY0TY/edit#gid=0"",""Table 1: Study characteristics!B4:B171""),A699)&gt;0,
COUNTIF(Studies!$A$2:$A$85,FILTER(IMPORTRA"&amp;"NGE(""https://docs.google.com/spreadsheets/d/1kGrh75X1cNR1D7_FcY9zMnHP8iPO4M5RCRjy6nZY0TY/edit#gid=0"",""Table 1: Study characteristics!A4:A171""), $A699=IMPORTRANGE(""https://docs.google.com/spreadsheets/d/1kGrh75X1cNR1D7_FcY9zMnHP8iPO4M5RCRjy6nZY0TY/edi"&amp;"t#gid=0"",""Table 1: Study characteristics!B4:B171"")))&gt;0
),
""Include""
)"),"Exclude")</f>
        <v>Exclude</v>
      </c>
      <c r="G699" s="5" t="str">
        <f>IFERROR(__xludf.DUMMYFUNCTION("IFS(
D699=""Exclude"",
FILTER(IMPORTRANGE(""https://docs.google.com/spreadsheets/d/1BJSV3WBYJGRhQ6zExamkszQ5VutGIcaQqmbD9ZTVXMQ/edit#gid=1251630045"",""articles_with_PRISMA_reasons!AB2:AB2113""), $A699=IMPORTRANGE(""https://docs.google.com/spreadsheets/d/"&amp;"1BJSV3WBYJGRhQ6zExamkszQ5VutGIcaQqmbD9ZTVXMQ/edit#gid=1251630045"",""articles_with_PRISMA_reasons!B2:B2113"")),
E699=""Exclude"",
FILTER(IMPORTRANGE(""https://docs.google.com/spreadsheets/d/1qpEmbGH0JjaJbUdp21-y2cPbobDbMjr09BbtdKROZWc/edit#gid=1444865654"&amp;""",""articles_with_PRISMA_reasons!Z2:Z2113""), $A699=IMPORTRANGE(""https://docs.google.com/spreadsheets/d/1qpEmbGH0JjaJbUdp21-y2cPbobDbMjr09BbtdKROZWc/edit#gid=1444865654"",""articles_with_PRISMA_reasons!B2:B2113"")),F699
=""Include"",FILTER(IMPORTRANGE("&amp;"""https://docs.google.com/spreadsheets/d/1kGrh75X1cNR1D7_FcY9zMnHP8iPO4M5RCRjy6nZY0TY/edit#gid=0"",""Table 1: Study characteristics!A4:A171""), $A699=IMPORTRANGE(""https://docs.google.com/spreadsheets/d/1kGrh75X1cNR1D7_FcY9zMnHP8iPO4M5RCRjy6nZY0TY/edit#gi"&amp;"d=0"",""Table 1: Study characteristics!B4:B171""))
)"),"wrong study design")</f>
        <v>wrong study design</v>
      </c>
    </row>
    <row r="700">
      <c r="A700" s="4" t="str">
        <f>IFERROR(__xludf.DUMMYFUNCTION("""COMPUTED_VALUE"""),"Endoscopic Management of Arnold-Chiari Malformation Type i with or without Syringomyelia")</f>
        <v>Endoscopic Management of Arnold-Chiari Malformation Type i with or without Syringomyelia</v>
      </c>
      <c r="B700" s="5" t="str">
        <f>IFERROR(__xludf.DUMMYFUNCTION("LEFT(FILTER(IMPORTRANGE(""https://docs.google.com/spreadsheets/d/1BJSV3WBYJGRhQ6zExamkszQ5VutGIcaQqmbD9ZTVXMQ/edit#gid=1251630045"",""articles_with_PRISMA_reasons!K2:K2113""), $A700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$A700=IMPORTRANGE(""https://docs.google.com/spreadsheets/d/1BJSV3WBYJGRhQ6zExamkszQ5VutGIcaQqmbD9ZTVXMQ/edit#gid=1251630045"",""articles_with_PRISMA_reasons!B2:B2113"")))-1)"),"Ratre")</f>
        <v>Ratre</v>
      </c>
      <c r="C700" s="6">
        <f>IFERROR(__xludf.DUMMYFUNCTION("FILTER(IMPORTRANGE(""https://docs.google.com/spreadsheets/d/1BJSV3WBYJGRhQ6zExamkszQ5VutGIcaQqmbD9ZTVXMQ/edit#gid=1251630045"",""articles_with_PRISMA_reasons!C2:C2113""), $A700=IMPORTRANGE(""https://docs.google.com/spreadsheets/d/1BJSV3WBYJGRhQ6zExamkszQ5"&amp;"VutGIcaQqmbD9ZTVXMQ/edit#gid=1251630045"",""articles_with_PRISMA_reasons!B2:B2113""))"),2018.0)</f>
        <v>2018</v>
      </c>
      <c r="D700" s="5" t="str">
        <f>IFERROR(__xludf.DUMMYFUNCTION("IFS(AND(
FILTER(IMPORTRANGE(""https://docs.google.com/spreadsheets/d/1BJSV3WBYJGRhQ6zExamkszQ5VutGIcaQqmbD9ZTVXMQ/edit#gid=1251630045"",""articles_with_PRISMA_reasons!Y2:Y2113""), $A700=IMPORTRANGE(""https://docs.google.com/spreadsheets/d/1BJSV3WBYJGRhQ6z"&amp;"ExamkszQ5VutGIcaQqmbD9ZTVXMQ/edit#gid=1251630045"",""articles_with_PRISMA_reasons!B2:B2113""))&gt;=2,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$A700=IMPORTRANGE(""https://docs.google.com/spreadsheets/d/1BJSV3WBYJGRhQ6zExamkszQ5VutGIcaQqmbD9ZTVXMQ/edit#gid=1251630045"",""articles_with_PRISMA_reasons!B2:B2113""))&lt;2),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$A700=IMPORTRANGE(""https://docs.google.com/spreadsheets/d/1BJSV3WBYJGRhQ6zExamkszQ5VutGIcaQqmbD9ZTVXMQ/edit#gid=1251630045"",""arti"&amp;"cles_with_PRISMA_reasons!B2:B2113""))&lt;2,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$A700=IMPORTRANGE(""https://docs.google.com"&amp;"/spreadsheets/d/1BJSV3WBYJGRhQ6zExamkszQ5VutGIcaQqmbD9ZTVXMQ/edit#gid=1251630045"",""articles_with_PRISMA_reasons!B2:B2113""))&gt;=2),
""Exclude""
)"),"Exclude")</f>
        <v>Exclude</v>
      </c>
      <c r="E700" s="5" t="str">
        <f>IFERROR(__xludf.DUMMYFUNCTION("IFS(
D700=""Exclude"",""Exclude"",
AND(
FILTER(IMPORTRANGE(""https://docs.google.com/spreadsheets/d/1qpEmbGH0JjaJbUdp21-y2cPbobDbMjr09BbtdKROZWc/edit#gid=1444865654"",""articles_with_PRISMA_reasons!W2:W2113""), $A700=IMPORTRANGE(""https://docs.google.com/"&amp;"spreadsheets/d/1qpEmbGH0JjaJbUdp21-y2cPbobDbMjr09BbtdKROZWc/edit#gid=1444865654"",""articles_with_PRISMA_reasons!B2:B2113""))&gt;=2,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$A700=IMPORTRANGE(""https://docs.google.com/spreadsheets/d/1qpEmbGH0JjaJbUdp21-y2cPbobDbMjr09BbtdKROZWc/edit#gid=1444865654"",""articles_with_PRISMA_reasons!B2:B2113""))&lt;2),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$A700=IMPORTRANGE(""https://docs.google.com/spreadsheets/d/1qpEmbGH0JjaJbUdp21-y2cPbobDbMjr09BbtdKRO"&amp;"ZWc/edit#gid=1444865654"",""articles_with_PRISMA_reasons!B2:B2113""))&lt;2,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$A700=IMPOR"&amp;"TRANGE(""https://docs.google.com/spreadsheets/d/1qpEmbGH0JjaJbUdp21-y2cPbobDbMjr09BbtdKROZWc/edit#gid=1444865654"",""articles_with_PRISMA_reasons!B2:B2113""))&gt;=2),
""Exclude""
)"),"Exclude")</f>
        <v>Exclude</v>
      </c>
      <c r="F700" s="5" t="str">
        <f>IFERROR(__xludf.DUMMYFUNCTION("IFS(
E700=""Exclude"",""Exclude"",
AND(
COUNTIF(
IMPORTRANGE(""https://docs.google.com/spreadsheets/d/1kGrh75X1cNR1D7_FcY9zMnHP8iPO4M5RCRjy6nZY0TY/edit#gid=0"",""Table 1: Study characteristics!B4:B171""),A700)&gt;0,
COUNTIF(Studies!$A$2:$A$85,FILTER(IMPORTRA"&amp;"NGE(""https://docs.google.com/spreadsheets/d/1kGrh75X1cNR1D7_FcY9zMnHP8iPO4M5RCRjy6nZY0TY/edit#gid=0"",""Table 1: Study characteristics!A4:A171""), $A700=IMPORTRANGE(""https://docs.google.com/spreadsheets/d/1kGrh75X1cNR1D7_FcY9zMnHP8iPO4M5RCRjy6nZY0TY/edi"&amp;"t#gid=0"",""Table 1: Study characteristics!B4:B171"")))&gt;0
),
""Include""
)"),"Exclude")</f>
        <v>Exclude</v>
      </c>
      <c r="G700" s="5" t="str">
        <f>IFERROR(__xludf.DUMMYFUNCTION("IFS(
D700=""Exclude"",
FILTER(IMPORTRANGE(""https://docs.google.com/spreadsheets/d/1BJSV3WBYJGRhQ6zExamkszQ5VutGIcaQqmbD9ZTVXMQ/edit#gid=1251630045"",""articles_with_PRISMA_reasons!AB2:AB2113""), $A700=IMPORTRANGE(""https://docs.google.com/spreadsheets/d/"&amp;"1BJSV3WBYJGRhQ6zExamkszQ5VutGIcaQqmbD9ZTVXMQ/edit#gid=1251630045"",""articles_with_PRISMA_reasons!B2:B2113"")),
E700=""Exclude"",
FILTER(IMPORTRANGE(""https://docs.google.com/spreadsheets/d/1qpEmbGH0JjaJbUdp21-y2cPbobDbMjr09BbtdKROZWc/edit#gid=1444865654"&amp;""",""articles_with_PRISMA_reasons!Z2:Z2113""), $A700=IMPORTRANGE(""https://docs.google.com/spreadsheets/d/1qpEmbGH0JjaJbUdp21-y2cPbobDbMjr09BbtdKROZWc/edit#gid=1444865654"",""articles_with_PRISMA_reasons!B2:B2113"")),F700
=""Include"",FILTER(IMPORTRANGE("&amp;"""https://docs.google.com/spreadsheets/d/1kGrh75X1cNR1D7_FcY9zMnHP8iPO4M5RCRjy6nZY0TY/edit#gid=0"",""Table 1: Study characteristics!A4:A171""), $A700=IMPORTRANGE(""https://docs.google.com/spreadsheets/d/1kGrh75X1cNR1D7_FcY9zMnHP8iPO4M5RCRjy6nZY0TY/edit#gi"&amp;"d=0"",""Table 1: Study characteristics!B4:B171""))
)"),"wrong population")</f>
        <v>wrong population</v>
      </c>
    </row>
    <row r="701">
      <c r="A701" s="4" t="str">
        <f>IFERROR(__xludf.DUMMYFUNCTION("""COMPUTED_VALUE"""),"Endoscopic resection of odontoid process in Arnold Chiari malformation type II")</f>
        <v>Endoscopic resection of odontoid process in Arnold Chiari malformation type II</v>
      </c>
      <c r="B701" s="5" t="str">
        <f>IFERROR(__xludf.DUMMYFUNCTION("LEFT(FILTER(IMPORTRANGE(""https://docs.google.com/spreadsheets/d/1BJSV3WBYJGRhQ6zExamkszQ5VutGIcaQqmbD9ZTVXMQ/edit#gid=1251630045"",""articles_with_PRISMA_reasons!K2:K2113""), $A701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$A701=IMPORTRANGE(""https://docs.google.com/spreadsheets/d/1BJSV3WBYJGRhQ6zExamkszQ5VutGIcaQqmbD9ZTVXMQ/edit#gid=1251630045"",""articles_with_PRISMA_reasons!B2:B2113"")))-1)"),"Tomazic")</f>
        <v>Tomazic</v>
      </c>
      <c r="C701" s="6">
        <f>IFERROR(__xludf.DUMMYFUNCTION("FILTER(IMPORTRANGE(""https://docs.google.com/spreadsheets/d/1BJSV3WBYJGRhQ6zExamkszQ5VutGIcaQqmbD9ZTVXMQ/edit#gid=1251630045"",""articles_with_PRISMA_reasons!C2:C2113""), $A701=IMPORTRANGE(""https://docs.google.com/spreadsheets/d/1BJSV3WBYJGRhQ6zExamkszQ5"&amp;"VutGIcaQqmbD9ZTVXMQ/edit#gid=1251630045"",""articles_with_PRISMA_reasons!B2:B2113""))"),2011.0)</f>
        <v>2011</v>
      </c>
      <c r="D701" s="5" t="str">
        <f>IFERROR(__xludf.DUMMYFUNCTION("IFS(AND(
FILTER(IMPORTRANGE(""https://docs.google.com/spreadsheets/d/1BJSV3WBYJGRhQ6zExamkszQ5VutGIcaQqmbD9ZTVXMQ/edit#gid=1251630045"",""articles_with_PRISMA_reasons!Y2:Y2113""), $A701=IMPORTRANGE(""https://docs.google.com/spreadsheets/d/1BJSV3WBYJGRhQ6z"&amp;"ExamkszQ5VutGIcaQqmbD9ZTVXMQ/edit#gid=1251630045"",""articles_with_PRISMA_reasons!B2:B2113""))&gt;=2,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$A701=IMPORTRANGE(""https://docs.google.com/spreadsheets/d/1BJSV3WBYJGRhQ6zExamkszQ5VutGIcaQqmbD9ZTVXMQ/edit#gid=1251630045"",""articles_with_PRISMA_reasons!B2:B2113""))&lt;2),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$A701=IMPORTRANGE(""https://docs.google.com/spreadsheets/d/1BJSV3WBYJGRhQ6zExamkszQ5VutGIcaQqmbD9ZTVXMQ/edit#gid=1251630045"",""arti"&amp;"cles_with_PRISMA_reasons!B2:B2113""))&lt;2,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$A701=IMPORTRANGE(""https://docs.google.com"&amp;"/spreadsheets/d/1BJSV3WBYJGRhQ6zExamkszQ5VutGIcaQqmbD9ZTVXMQ/edit#gid=1251630045"",""articles_with_PRISMA_reasons!B2:B2113""))&gt;=2),
""Exclude""
)"),"Exclude")</f>
        <v>Exclude</v>
      </c>
      <c r="E701" s="5" t="str">
        <f>IFERROR(__xludf.DUMMYFUNCTION("IFS(
D701=""Exclude"",""Exclude"",
AND(
FILTER(IMPORTRANGE(""https://docs.google.com/spreadsheets/d/1qpEmbGH0JjaJbUdp21-y2cPbobDbMjr09BbtdKROZWc/edit#gid=1444865654"",""articles_with_PRISMA_reasons!W2:W2113""), $A701=IMPORTRANGE(""https://docs.google.com/"&amp;"spreadsheets/d/1qpEmbGH0JjaJbUdp21-y2cPbobDbMjr09BbtdKROZWc/edit#gid=1444865654"",""articles_with_PRISMA_reasons!B2:B2113""))&gt;=2,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$A701=IMPORTRANGE(""https://docs.google.com/spreadsheets/d/1qpEmbGH0JjaJbUdp21-y2cPbobDbMjr09BbtdKROZWc/edit#gid=1444865654"",""articles_with_PRISMA_reasons!B2:B2113""))&lt;2),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$A701=IMPORTRANGE(""https://docs.google.com/spreadsheets/d/1qpEmbGH0JjaJbUdp21-y2cPbobDbMjr09BbtdKRO"&amp;"ZWc/edit#gid=1444865654"",""articles_with_PRISMA_reasons!B2:B2113""))&lt;2,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$A701=IMPOR"&amp;"TRANGE(""https://docs.google.com/spreadsheets/d/1qpEmbGH0JjaJbUdp21-y2cPbobDbMjr09BbtdKROZWc/edit#gid=1444865654"",""articles_with_PRISMA_reasons!B2:B2113""))&gt;=2),
""Exclude""
)"),"Exclude")</f>
        <v>Exclude</v>
      </c>
      <c r="F701" s="5" t="str">
        <f>IFERROR(__xludf.DUMMYFUNCTION("IFS(
E701=""Exclude"",""Exclude"",
AND(
COUNTIF(
IMPORTRANGE(""https://docs.google.com/spreadsheets/d/1kGrh75X1cNR1D7_FcY9zMnHP8iPO4M5RCRjy6nZY0TY/edit#gid=0"",""Table 1: Study characteristics!B4:B171""),A701)&gt;0,
COUNTIF(Studies!$A$2:$A$85,FILTER(IMPORTRA"&amp;"NGE(""https://docs.google.com/spreadsheets/d/1kGrh75X1cNR1D7_FcY9zMnHP8iPO4M5RCRjy6nZY0TY/edit#gid=0"",""Table 1: Study characteristics!A4:A171""), $A701=IMPORTRANGE(""https://docs.google.com/spreadsheets/d/1kGrh75X1cNR1D7_FcY9zMnHP8iPO4M5RCRjy6nZY0TY/edi"&amp;"t#gid=0"",""Table 1: Study characteristics!B4:B171"")))&gt;0
),
""Include""
)"),"Exclude")</f>
        <v>Exclude</v>
      </c>
      <c r="G701" s="5" t="str">
        <f>IFERROR(__xludf.DUMMYFUNCTION("IFS(
D701=""Exclude"",
FILTER(IMPORTRANGE(""https://docs.google.com/spreadsheets/d/1BJSV3WBYJGRhQ6zExamkszQ5VutGIcaQqmbD9ZTVXMQ/edit#gid=1251630045"",""articles_with_PRISMA_reasons!AB2:AB2113""), $A701=IMPORTRANGE(""https://docs.google.com/spreadsheets/d/"&amp;"1BJSV3WBYJGRhQ6zExamkszQ5VutGIcaQqmbD9ZTVXMQ/edit#gid=1251630045"",""articles_with_PRISMA_reasons!B2:B2113"")),
E701=""Exclude"",
FILTER(IMPORTRANGE(""https://docs.google.com/spreadsheets/d/1qpEmbGH0JjaJbUdp21-y2cPbobDbMjr09BbtdKROZWc/edit#gid=1444865654"&amp;""",""articles_with_PRISMA_reasons!Z2:Z2113""), $A701=IMPORTRANGE(""https://docs.google.com/spreadsheets/d/1qpEmbGH0JjaJbUdp21-y2cPbobDbMjr09BbtdKROZWc/edit#gid=1444865654"",""articles_with_PRISMA_reasons!B2:B2113"")),F701
=""Include"",FILTER(IMPORTRANGE("&amp;"""https://docs.google.com/spreadsheets/d/1kGrh75X1cNR1D7_FcY9zMnHP8iPO4M5RCRjy6nZY0TY/edit#gid=0"",""Table 1: Study characteristics!A4:A171""), $A701=IMPORTRANGE(""https://docs.google.com/spreadsheets/d/1kGrh75X1cNR1D7_FcY9zMnHP8iPO4M5RCRjy6nZY0TY/edit#gi"&amp;"d=0"",""Table 1: Study characteristics!B4:B171""))
)"),"wrong publication type")</f>
        <v>wrong publication type</v>
      </c>
    </row>
    <row r="702">
      <c r="A702" s="4" t="str">
        <f>IFERROR(__xludf.DUMMYFUNCTION("""COMPUTED_VALUE"""),"Endoscopic revision of adherent ventricular catheter. Evaluation of the method")</f>
        <v>Endoscopic revision of adherent ventricular catheter. Evaluation of the method</v>
      </c>
      <c r="B702" s="5" t="str">
        <f>IFERROR(__xludf.DUMMYFUNCTION("LEFT(FILTER(IMPORTRANGE(""https://docs.google.com/spreadsheets/d/1BJSV3WBYJGRhQ6zExamkszQ5VutGIcaQqmbD9ZTVXMQ/edit#gid=1251630045"",""articles_with_PRISMA_reasons!K2:K2113""), $A702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$A702=IMPORTRANGE(""https://docs.google.com/spreadsheets/d/1BJSV3WBYJGRhQ6zExamkszQ5VutGIcaQqmbD9ZTVXMQ/edit#gid=1251630045"",""articles_with_PRISMA_reasons!B2:B2113"")))-1)"),"Sagan")</f>
        <v>Sagan</v>
      </c>
      <c r="C702" s="6">
        <f>IFERROR(__xludf.DUMMYFUNCTION("FILTER(IMPORTRANGE(""https://docs.google.com/spreadsheets/d/1BJSV3WBYJGRhQ6zExamkszQ5VutGIcaQqmbD9ZTVXMQ/edit#gid=1251630045"",""articles_with_PRISMA_reasons!C2:C2113""), $A702=IMPORTRANGE(""https://docs.google.com/spreadsheets/d/1BJSV3WBYJGRhQ6zExamkszQ5"&amp;"VutGIcaQqmbD9ZTVXMQ/edit#gid=1251630045"",""articles_with_PRISMA_reasons!B2:B2113""))"),2005.0)</f>
        <v>2005</v>
      </c>
      <c r="D702" s="5" t="str">
        <f>IFERROR(__xludf.DUMMYFUNCTION("IFS(AND(
FILTER(IMPORTRANGE(""https://docs.google.com/spreadsheets/d/1BJSV3WBYJGRhQ6zExamkszQ5VutGIcaQqmbD9ZTVXMQ/edit#gid=1251630045"",""articles_with_PRISMA_reasons!Y2:Y2113""), $A702=IMPORTRANGE(""https://docs.google.com/spreadsheets/d/1BJSV3WBYJGRhQ6z"&amp;"ExamkszQ5VutGIcaQqmbD9ZTVXMQ/edit#gid=1251630045"",""articles_with_PRISMA_reasons!B2:B2113""))&gt;=2,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$A702=IMPORTRANGE(""https://docs.google.com/spreadsheets/d/1BJSV3WBYJGRhQ6zExamkszQ5VutGIcaQqmbD9ZTVXMQ/edit#gid=1251630045"",""articles_with_PRISMA_reasons!B2:B2113""))&lt;2),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$A702=IMPORTRANGE(""https://docs.google.com/spreadsheets/d/1BJSV3WBYJGRhQ6zExamkszQ5VutGIcaQqmbD9ZTVXMQ/edit#gid=1251630045"",""arti"&amp;"cles_with_PRISMA_reasons!B2:B2113""))&lt;2,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$A702=IMPORTRANGE(""https://docs.google.com"&amp;"/spreadsheets/d/1BJSV3WBYJGRhQ6zExamkszQ5VutGIcaQqmbD9ZTVXMQ/edit#gid=1251630045"",""articles_with_PRISMA_reasons!B2:B2113""))&gt;=2),
""Exclude""
)"),"Include")</f>
        <v>Include</v>
      </c>
      <c r="E702" s="5" t="str">
        <f>IFERROR(__xludf.DUMMYFUNCTION("IFS(
D702=""Exclude"",""Exclude"",
AND(
FILTER(IMPORTRANGE(""https://docs.google.com/spreadsheets/d/1qpEmbGH0JjaJbUdp21-y2cPbobDbMjr09BbtdKROZWc/edit#gid=1444865654"",""articles_with_PRISMA_reasons!W2:W2113""), $A702=IMPORTRANGE(""https://docs.google.com/"&amp;"spreadsheets/d/1qpEmbGH0JjaJbUdp21-y2cPbobDbMjr09BbtdKROZWc/edit#gid=1444865654"",""articles_with_PRISMA_reasons!B2:B2113""))&gt;=2,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$A702=IMPORTRANGE(""https://docs.google.com/spreadsheets/d/1qpEmbGH0JjaJbUdp21-y2cPbobDbMjr09BbtdKROZWc/edit#gid=1444865654"",""articles_with_PRISMA_reasons!B2:B2113""))&lt;2),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$A702=IMPORTRANGE(""https://docs.google.com/spreadsheets/d/1qpEmbGH0JjaJbUdp21-y2cPbobDbMjr09BbtdKRO"&amp;"ZWc/edit#gid=1444865654"",""articles_with_PRISMA_reasons!B2:B2113""))&lt;2,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$A702=IMPOR"&amp;"TRANGE(""https://docs.google.com/spreadsheets/d/1qpEmbGH0JjaJbUdp21-y2cPbobDbMjr09BbtdKROZWc/edit#gid=1444865654"",""articles_with_PRISMA_reasons!B2:B2113""))&gt;=2),
""Exclude""
)"),"Exclude")</f>
        <v>Exclude</v>
      </c>
      <c r="F702" s="5" t="str">
        <f>IFERROR(__xludf.DUMMYFUNCTION("IFS(
E702=""Exclude"",""Exclude"",
AND(
COUNTIF(
IMPORTRANGE(""https://docs.google.com/spreadsheets/d/1kGrh75X1cNR1D7_FcY9zMnHP8iPO4M5RCRjy6nZY0TY/edit#gid=0"",""Table 1: Study characteristics!B4:B171""),A702)&gt;0,
COUNTIF(Studies!$A$2:$A$85,FILTER(IMPORTRA"&amp;"NGE(""https://docs.google.com/spreadsheets/d/1kGrh75X1cNR1D7_FcY9zMnHP8iPO4M5RCRjy6nZY0TY/edit#gid=0"",""Table 1: Study characteristics!A4:A171""), $A702=IMPORTRANGE(""https://docs.google.com/spreadsheets/d/1kGrh75X1cNR1D7_FcY9zMnHP8iPO4M5RCRjy6nZY0TY/edi"&amp;"t#gid=0"",""Table 1: Study characteristics!B4:B171"")))&gt;0
),
""Include""
)"),"Exclude")</f>
        <v>Exclude</v>
      </c>
      <c r="G702" s="5" t="str">
        <f>IFERROR(__xludf.DUMMYFUNCTION("IFS(
D702=""Exclude"",
FILTER(IMPORTRANGE(""https://docs.google.com/spreadsheets/d/1BJSV3WBYJGRhQ6zExamkszQ5VutGIcaQqmbD9ZTVXMQ/edit#gid=1251630045"",""articles_with_PRISMA_reasons!AB2:AB2113""), $A702=IMPORTRANGE(""https://docs.google.com/spreadsheets/d/"&amp;"1BJSV3WBYJGRhQ6zExamkszQ5VutGIcaQqmbD9ZTVXMQ/edit#gid=1251630045"",""articles_with_PRISMA_reasons!B2:B2113"")),
E702=""Exclude"",
FILTER(IMPORTRANGE(""https://docs.google.com/spreadsheets/d/1qpEmbGH0JjaJbUdp21-y2cPbobDbMjr09BbtdKROZWc/edit#gid=1444865654"&amp;""",""articles_with_PRISMA_reasons!Z2:Z2113""), $A702=IMPORTRANGE(""https://docs.google.com/spreadsheets/d/1qpEmbGH0JjaJbUdp21-y2cPbobDbMjr09BbtdKROZWc/edit#gid=1444865654"",""articles_with_PRISMA_reasons!B2:B2113"")),F702
=""Include"",FILTER(IMPORTRANGE("&amp;"""https://docs.google.com/spreadsheets/d/1kGrh75X1cNR1D7_FcY9zMnHP8iPO4M5RCRjy6nZY0TY/edit#gid=0"",""Table 1: Study characteristics!A4:A171""), $A702=IMPORTRANGE(""https://docs.google.com/spreadsheets/d/1kGrh75X1cNR1D7_FcY9zMnHP8iPO4M5RCRjy6nZY0TY/edit#gi"&amp;"d=0"",""Table 1: Study characteristics!B4:B171""))
)"),"Full text unavailable")</f>
        <v>Full text unavailable</v>
      </c>
    </row>
    <row r="703">
      <c r="A703" s="4" t="str">
        <f>IFERROR(__xludf.DUMMYFUNCTION("""COMPUTED_VALUE"""),"Endoscopic third ventriculocisternostomy in hydrocephalic children under 2 years of age: Appropriate or not? A single-center retrospective cohort study")</f>
        <v>Endoscopic third ventriculocisternostomy in hydrocephalic children under 2 years of age: Appropriate or not? A single-center retrospective cohort study</v>
      </c>
      <c r="B703" s="5" t="str">
        <f>IFERROR(__xludf.DUMMYFUNCTION("LEFT(FILTER(IMPORTRANGE(""https://docs.google.com/spreadsheets/d/1BJSV3WBYJGRhQ6zExamkszQ5VutGIcaQqmbD9ZTVXMQ/edit#gid=1251630045"",""articles_with_PRISMA_reasons!K2:K2113""), $A703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$A703=IMPORTRANGE(""https://docs.google.com/spreadsheets/d/1BJSV3WBYJGRhQ6zExamkszQ5VutGIcaQqmbD9ZTVXMQ/edit#gid=1251630045"",""articles_with_PRISMA_reasons!B2:B2113"")))-1)"),"Fani")</f>
        <v>Fani</v>
      </c>
      <c r="C703" s="6">
        <f>IFERROR(__xludf.DUMMYFUNCTION("FILTER(IMPORTRANGE(""https://docs.google.com/spreadsheets/d/1BJSV3WBYJGRhQ6zExamkszQ5VutGIcaQqmbD9ZTVXMQ/edit#gid=1251630045"",""articles_with_PRISMA_reasons!C2:C2113""), $A703=IMPORTRANGE(""https://docs.google.com/spreadsheets/d/1BJSV3WBYJGRhQ6zExamkszQ5"&amp;"VutGIcaQqmbD9ZTVXMQ/edit#gid=1251630045"",""articles_with_PRISMA_reasons!B2:B2113""))"),2013.0)</f>
        <v>2013</v>
      </c>
      <c r="D703" s="5" t="str">
        <f>IFERROR(__xludf.DUMMYFUNCTION("IFS(AND(
FILTER(IMPORTRANGE(""https://docs.google.com/spreadsheets/d/1BJSV3WBYJGRhQ6zExamkszQ5VutGIcaQqmbD9ZTVXMQ/edit#gid=1251630045"",""articles_with_PRISMA_reasons!Y2:Y2113""), $A703=IMPORTRANGE(""https://docs.google.com/spreadsheets/d/1BJSV3WBYJGRhQ6z"&amp;"ExamkszQ5VutGIcaQqmbD9ZTVXMQ/edit#gid=1251630045"",""articles_with_PRISMA_reasons!B2:B2113""))&gt;=2,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$A703=IMPORTRANGE(""https://docs.google.com/spreadsheets/d/1BJSV3WBYJGRhQ6zExamkszQ5VutGIcaQqmbD9ZTVXMQ/edit#gid=1251630045"",""articles_with_PRISMA_reasons!B2:B2113""))&lt;2),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$A703=IMPORTRANGE(""https://docs.google.com/spreadsheets/d/1BJSV3WBYJGRhQ6zExamkszQ5VutGIcaQqmbD9ZTVXMQ/edit#gid=1251630045"",""arti"&amp;"cles_with_PRISMA_reasons!B2:B2113""))&lt;2,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$A703=IMPORTRANGE(""https://docs.google.com"&amp;"/spreadsheets/d/1BJSV3WBYJGRhQ6zExamkszQ5VutGIcaQqmbD9ZTVXMQ/edit#gid=1251630045"",""articles_with_PRISMA_reasons!B2:B2113""))&gt;=2),
""Exclude""
)"),"Include")</f>
        <v>Include</v>
      </c>
      <c r="E703" s="5" t="str">
        <f>IFERROR(__xludf.DUMMYFUNCTION("IFS(
D703=""Exclude"",""Exclude"",
AND(
FILTER(IMPORTRANGE(""https://docs.google.com/spreadsheets/d/1qpEmbGH0JjaJbUdp21-y2cPbobDbMjr09BbtdKROZWc/edit#gid=1444865654"",""articles_with_PRISMA_reasons!W2:W2113""), $A703=IMPORTRANGE(""https://docs.google.com/"&amp;"spreadsheets/d/1qpEmbGH0JjaJbUdp21-y2cPbobDbMjr09BbtdKROZWc/edit#gid=1444865654"",""articles_with_PRISMA_reasons!B2:B2113""))&gt;=2,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$A703=IMPORTRANGE(""https://docs.google.com/spreadsheets/d/1qpEmbGH0JjaJbUdp21-y2cPbobDbMjr09BbtdKROZWc/edit#gid=1444865654"",""articles_with_PRISMA_reasons!B2:B2113""))&lt;2),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$A703=IMPORTRANGE(""https://docs.google.com/spreadsheets/d/1qpEmbGH0JjaJbUdp21-y2cPbobDbMjr09BbtdKRO"&amp;"ZWc/edit#gid=1444865654"",""articles_with_PRISMA_reasons!B2:B2113""))&lt;2,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$A703=IMPOR"&amp;"TRANGE(""https://docs.google.com/spreadsheets/d/1qpEmbGH0JjaJbUdp21-y2cPbobDbMjr09BbtdKROZWc/edit#gid=1444865654"",""articles_with_PRISMA_reasons!B2:B2113""))&gt;=2),
""Exclude""
)"),"Include")</f>
        <v>Include</v>
      </c>
      <c r="F703" s="5" t="str">
        <f>IFERROR(__xludf.DUMMYFUNCTION("IFS(
E703=""Exclude"",""Exclude"",
AND(
COUNTIF(
IMPORTRANGE(""https://docs.google.com/spreadsheets/d/1kGrh75X1cNR1D7_FcY9zMnHP8iPO4M5RCRjy6nZY0TY/edit#gid=0"",""Table 1: Study characteristics!B4:B171""),A703)&gt;0,
COUNTIF(Studies!$A$2:$A$85,FILTER(IMPORTRA"&amp;"NGE(""https://docs.google.com/spreadsheets/d/1kGrh75X1cNR1D7_FcY9zMnHP8iPO4M5RCRjy6nZY0TY/edit#gid=0"",""Table 1: Study characteristics!A4:A171""), $A703=IMPORTRANGE(""https://docs.google.com/spreadsheets/d/1kGrh75X1cNR1D7_FcY9zMnHP8iPO4M5RCRjy6nZY0TY/edi"&amp;"t#gid=0"",""Table 1: Study characteristics!B4:B171"")))&gt;0
),
""Include""
)"),"Include")</f>
        <v>Include</v>
      </c>
      <c r="G703" s="5" t="str">
        <f>IFERROR(__xludf.DUMMYFUNCTION("IFS(
D703=""Exclude"",
FILTER(IMPORTRANGE(""https://docs.google.com/spreadsheets/d/1BJSV3WBYJGRhQ6zExamkszQ5VutGIcaQqmbD9ZTVXMQ/edit#gid=1251630045"",""articles_with_PRISMA_reasons!AB2:AB2113""), $A703=IMPORTRANGE(""https://docs.google.com/spreadsheets/d/"&amp;"1BJSV3WBYJGRhQ6zExamkszQ5VutGIcaQqmbD9ZTVXMQ/edit#gid=1251630045"",""articles_with_PRISMA_reasons!B2:B2113"")),
E703=""Exclude"",
FILTER(IMPORTRANGE(""https://docs.google.com/spreadsheets/d/1qpEmbGH0JjaJbUdp21-y2cPbobDbMjr09BbtdKROZWc/edit#gid=1444865654"&amp;""",""articles_with_PRISMA_reasons!Z2:Z2113""), $A703=IMPORTRANGE(""https://docs.google.com/spreadsheets/d/1qpEmbGH0JjaJbUdp21-y2cPbobDbMjr09BbtdKROZWc/edit#gid=1444865654"",""articles_with_PRISMA_reasons!B2:B2113"")),F703
=""Include"",FILTER(IMPORTRANGE("&amp;"""https://docs.google.com/spreadsheets/d/1kGrh75X1cNR1D7_FcY9zMnHP8iPO4M5RCRjy6nZY0TY/edit#gid=0"",""Table 1: Study characteristics!A4:A171""), $A703=IMPORTRANGE(""https://docs.google.com/spreadsheets/d/1kGrh75X1cNR1D7_FcY9zMnHP8iPO4M5RCRjy6nZY0TY/edit#gi"&amp;"d=0"",""Table 1: Study characteristics!B4:B171""))
)"),"ID 58")</f>
        <v>ID 58</v>
      </c>
    </row>
    <row r="704">
      <c r="A704" s="4" t="str">
        <f>IFERROR(__xludf.DUMMYFUNCTION("""COMPUTED_VALUE"""),"Endoscopic third ventriculostomy")</f>
        <v>Endoscopic third ventriculostomy</v>
      </c>
      <c r="B704" s="5" t="str">
        <f>IFERROR(__xludf.DUMMYFUNCTION("LEFT(FILTER(IMPORTRANGE(""https://docs.google.com/spreadsheets/d/1BJSV3WBYJGRhQ6zExamkszQ5VutGIcaQqmbD9ZTVXMQ/edit#gid=1251630045"",""articles_with_PRISMA_reasons!K2:K2113""), $A704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$A704=IMPORTRANGE(""https://docs.google.com/spreadsheets/d/1BJSV3WBYJGRhQ6zExamkszQ5VutGIcaQqmbD9ZTVXMQ/edit#gid=1251630045"",""articles_with_PRISMA_reasons!B2:B2113"")))-1)"),"Yadav")</f>
        <v>Yadav</v>
      </c>
      <c r="C704" s="6">
        <f>IFERROR(__xludf.DUMMYFUNCTION("FILTER(IMPORTRANGE(""https://docs.google.com/spreadsheets/d/1BJSV3WBYJGRhQ6zExamkszQ5VutGIcaQqmbD9ZTVXMQ/edit#gid=1251630045"",""articles_with_PRISMA_reasons!C2:C2113""), $A704=IMPORTRANGE(""https://docs.google.com/spreadsheets/d/1BJSV3WBYJGRhQ6zExamkszQ5"&amp;"VutGIcaQqmbD9ZTVXMQ/edit#gid=1251630045"",""articles_with_PRISMA_reasons!B2:B2113""))"),2012.0)</f>
        <v>2012</v>
      </c>
      <c r="D704" s="5" t="str">
        <f>IFERROR(__xludf.DUMMYFUNCTION("IFS(AND(
FILTER(IMPORTRANGE(""https://docs.google.com/spreadsheets/d/1BJSV3WBYJGRhQ6zExamkszQ5VutGIcaQqmbD9ZTVXMQ/edit#gid=1251630045"",""articles_with_PRISMA_reasons!Y2:Y2113""), $A704=IMPORTRANGE(""https://docs.google.com/spreadsheets/d/1BJSV3WBYJGRhQ6z"&amp;"ExamkszQ5VutGIcaQqmbD9ZTVXMQ/edit#gid=1251630045"",""articles_with_PRISMA_reasons!B2:B2113""))&gt;=2,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$A704=IMPORTRANGE(""https://docs.google.com/spreadsheets/d/1BJSV3WBYJGRhQ6zExamkszQ5VutGIcaQqmbD9ZTVXMQ/edit#gid=1251630045"",""articles_with_PRISMA_reasons!B2:B2113""))&lt;2),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$A704=IMPORTRANGE(""https://docs.google.com/spreadsheets/d/1BJSV3WBYJGRhQ6zExamkszQ5VutGIcaQqmbD9ZTVXMQ/edit#gid=1251630045"",""arti"&amp;"cles_with_PRISMA_reasons!B2:B2113""))&lt;2,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$A704=IMPORTRANGE(""https://docs.google.com"&amp;"/spreadsheets/d/1BJSV3WBYJGRhQ6zExamkszQ5VutGIcaQqmbD9ZTVXMQ/edit#gid=1251630045"",""articles_with_PRISMA_reasons!B2:B2113""))&gt;=2),
""Exclude""
)"),"Exclude")</f>
        <v>Exclude</v>
      </c>
      <c r="E704" s="5" t="str">
        <f>IFERROR(__xludf.DUMMYFUNCTION("IFS(
D704=""Exclude"",""Exclude"",
AND(
FILTER(IMPORTRANGE(""https://docs.google.com/spreadsheets/d/1qpEmbGH0JjaJbUdp21-y2cPbobDbMjr09BbtdKROZWc/edit#gid=1444865654"",""articles_with_PRISMA_reasons!W2:W2113""), $A704=IMPORTRANGE(""https://docs.google.com/"&amp;"spreadsheets/d/1qpEmbGH0JjaJbUdp21-y2cPbobDbMjr09BbtdKROZWc/edit#gid=1444865654"",""articles_with_PRISMA_reasons!B2:B2113""))&gt;=2,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$A704=IMPORTRANGE(""https://docs.google.com/spreadsheets/d/1qpEmbGH0JjaJbUdp21-y2cPbobDbMjr09BbtdKROZWc/edit#gid=1444865654"",""articles_with_PRISMA_reasons!B2:B2113""))&lt;2),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$A704=IMPORTRANGE(""https://docs.google.com/spreadsheets/d/1qpEmbGH0JjaJbUdp21-y2cPbobDbMjr09BbtdKRO"&amp;"ZWc/edit#gid=1444865654"",""articles_with_PRISMA_reasons!B2:B2113""))&lt;2,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$A704=IMPOR"&amp;"TRANGE(""https://docs.google.com/spreadsheets/d/1qpEmbGH0JjaJbUdp21-y2cPbobDbMjr09BbtdKROZWc/edit#gid=1444865654"",""articles_with_PRISMA_reasons!B2:B2113""))&gt;=2),
""Exclude""
)"),"Exclude")</f>
        <v>Exclude</v>
      </c>
      <c r="F704" s="5" t="str">
        <f>IFERROR(__xludf.DUMMYFUNCTION("IFS(
E704=""Exclude"",""Exclude"",
AND(
COUNTIF(
IMPORTRANGE(""https://docs.google.com/spreadsheets/d/1kGrh75X1cNR1D7_FcY9zMnHP8iPO4M5RCRjy6nZY0TY/edit#gid=0"",""Table 1: Study characteristics!B4:B171""),A704)&gt;0,
COUNTIF(Studies!$A$2:$A$85,FILTER(IMPORTRA"&amp;"NGE(""https://docs.google.com/spreadsheets/d/1kGrh75X1cNR1D7_FcY9zMnHP8iPO4M5RCRjy6nZY0TY/edit#gid=0"",""Table 1: Study characteristics!A4:A171""), $A704=IMPORTRANGE(""https://docs.google.com/spreadsheets/d/1kGrh75X1cNR1D7_FcY9zMnHP8iPO4M5RCRjy6nZY0TY/edi"&amp;"t#gid=0"",""Table 1: Study characteristics!B4:B171"")))&gt;0
),
""Include""
)"),"Exclude")</f>
        <v>Exclude</v>
      </c>
      <c r="G704" s="5" t="str">
        <f>IFERROR(__xludf.DUMMYFUNCTION("IFS(
D704=""Exclude"",
FILTER(IMPORTRANGE(""https://docs.google.com/spreadsheets/d/1BJSV3WBYJGRhQ6zExamkszQ5VutGIcaQqmbD9ZTVXMQ/edit#gid=1251630045"",""articles_with_PRISMA_reasons!AB2:AB2113""), $A704=IMPORTRANGE(""https://docs.google.com/spreadsheets/d/"&amp;"1BJSV3WBYJGRhQ6zExamkszQ5VutGIcaQqmbD9ZTVXMQ/edit#gid=1251630045"",""articles_with_PRISMA_reasons!B2:B2113"")),
E704=""Exclude"",
FILTER(IMPORTRANGE(""https://docs.google.com/spreadsheets/d/1qpEmbGH0JjaJbUdp21-y2cPbobDbMjr09BbtdKROZWc/edit#gid=1444865654"&amp;""",""articles_with_PRISMA_reasons!Z2:Z2113""), $A704=IMPORTRANGE(""https://docs.google.com/spreadsheets/d/1qpEmbGH0JjaJbUdp21-y2cPbobDbMjr09BbtdKROZWc/edit#gid=1444865654"",""articles_with_PRISMA_reasons!B2:B2113"")),F704
=""Include"",FILTER(IMPORTRANGE("&amp;"""https://docs.google.com/spreadsheets/d/1kGrh75X1cNR1D7_FcY9zMnHP8iPO4M5RCRjy6nZY0TY/edit#gid=0"",""Table 1: Study characteristics!A4:A171""), $A704=IMPORTRANGE(""https://docs.google.com/spreadsheets/d/1kGrh75X1cNR1D7_FcY9zMnHP8iPO4M5RCRjy6nZY0TY/edit#gi"&amp;"d=0"",""Table 1: Study characteristics!B4:B171""))
)"),"background article")</f>
        <v>background article</v>
      </c>
    </row>
    <row r="705">
      <c r="A705" s="4" t="str">
        <f>IFERROR(__xludf.DUMMYFUNCTION("""COMPUTED_VALUE"""),"Endoscopic third ventriculostomy and choroid plexus cauterization (ETV/CPC) for hydrocephalus of infancy: a technical review")</f>
        <v>Endoscopic third ventriculostomy and choroid plexus cauterization (ETV/CPC) for hydrocephalus of infancy: a technical review</v>
      </c>
      <c r="B705" s="5" t="str">
        <f>IFERROR(__xludf.DUMMYFUNCTION("LEFT(FILTER(IMPORTRANGE(""https://docs.google.com/spreadsheets/d/1BJSV3WBYJGRhQ6zExamkszQ5VutGIcaQqmbD9ZTVXMQ/edit#gid=1251630045"",""articles_with_PRISMA_reasons!K2:K2113""), $A705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$A705=IMPORTRANGE(""https://docs.google.com/spreadsheets/d/1BJSV3WBYJGRhQ6zExamkszQ5VutGIcaQqmbD9ZTVXMQ/edit#gid=1251630045"",""articles_with_PRISMA_reasons!B2:B2113"")))-1)"),"Coulter")</f>
        <v>Coulter</v>
      </c>
      <c r="C705" s="6">
        <f>IFERROR(__xludf.DUMMYFUNCTION("FILTER(IMPORTRANGE(""https://docs.google.com/spreadsheets/d/1BJSV3WBYJGRhQ6zExamkszQ5VutGIcaQqmbD9ZTVXMQ/edit#gid=1251630045"",""articles_with_PRISMA_reasons!C2:C2113""), $A705=IMPORTRANGE(""https://docs.google.com/spreadsheets/d/1BJSV3WBYJGRhQ6zExamkszQ5"&amp;"VutGIcaQqmbD9ZTVXMQ/edit#gid=1251630045"",""articles_with_PRISMA_reasons!B2:B2113""))"),2021.0)</f>
        <v>2021</v>
      </c>
      <c r="D705" s="5" t="str">
        <f>IFERROR(__xludf.DUMMYFUNCTION("IFS(AND(
FILTER(IMPORTRANGE(""https://docs.google.com/spreadsheets/d/1BJSV3WBYJGRhQ6zExamkszQ5VutGIcaQqmbD9ZTVXMQ/edit#gid=1251630045"",""articles_with_PRISMA_reasons!Y2:Y2113""), $A705=IMPORTRANGE(""https://docs.google.com/spreadsheets/d/1BJSV3WBYJGRhQ6z"&amp;"ExamkszQ5VutGIcaQqmbD9ZTVXMQ/edit#gid=1251630045"",""articles_with_PRISMA_reasons!B2:B2113""))&gt;=2,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$A705=IMPORTRANGE(""https://docs.google.com/spreadsheets/d/1BJSV3WBYJGRhQ6zExamkszQ5VutGIcaQqmbD9ZTVXMQ/edit#gid=1251630045"",""articles_with_PRISMA_reasons!B2:B2113""))&lt;2),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$A705=IMPORTRANGE(""https://docs.google.com/spreadsheets/d/1BJSV3WBYJGRhQ6zExamkszQ5VutGIcaQqmbD9ZTVXMQ/edit#gid=1251630045"",""arti"&amp;"cles_with_PRISMA_reasons!B2:B2113""))&lt;2,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$A705=IMPORTRANGE(""https://docs.google.com"&amp;"/spreadsheets/d/1BJSV3WBYJGRhQ6zExamkszQ5VutGIcaQqmbD9ZTVXMQ/edit#gid=1251630045"",""articles_with_PRISMA_reasons!B2:B2113""))&gt;=2),
""Exclude""
)"),"Exclude")</f>
        <v>Exclude</v>
      </c>
      <c r="E705" s="5" t="str">
        <f>IFERROR(__xludf.DUMMYFUNCTION("IFS(
D705=""Exclude"",""Exclude"",
AND(
FILTER(IMPORTRANGE(""https://docs.google.com/spreadsheets/d/1qpEmbGH0JjaJbUdp21-y2cPbobDbMjr09BbtdKROZWc/edit#gid=1444865654"",""articles_with_PRISMA_reasons!W2:W2113""), $A705=IMPORTRANGE(""https://docs.google.com/"&amp;"spreadsheets/d/1qpEmbGH0JjaJbUdp21-y2cPbobDbMjr09BbtdKROZWc/edit#gid=1444865654"",""articles_with_PRISMA_reasons!B2:B2113""))&gt;=2,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$A705=IMPORTRANGE(""https://docs.google.com/spreadsheets/d/1qpEmbGH0JjaJbUdp21-y2cPbobDbMjr09BbtdKROZWc/edit#gid=1444865654"",""articles_with_PRISMA_reasons!B2:B2113""))&lt;2),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$A705=IMPORTRANGE(""https://docs.google.com/spreadsheets/d/1qpEmbGH0JjaJbUdp21-y2cPbobDbMjr09BbtdKRO"&amp;"ZWc/edit#gid=1444865654"",""articles_with_PRISMA_reasons!B2:B2113""))&lt;2,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$A705=IMPOR"&amp;"TRANGE(""https://docs.google.com/spreadsheets/d/1qpEmbGH0JjaJbUdp21-y2cPbobDbMjr09BbtdKROZWc/edit#gid=1444865654"",""articles_with_PRISMA_reasons!B2:B2113""))&gt;=2),
""Exclude""
)"),"Exclude")</f>
        <v>Exclude</v>
      </c>
      <c r="F705" s="5" t="str">
        <f>IFERROR(__xludf.DUMMYFUNCTION("IFS(
E705=""Exclude"",""Exclude"",
AND(
COUNTIF(
IMPORTRANGE(""https://docs.google.com/spreadsheets/d/1kGrh75X1cNR1D7_FcY9zMnHP8iPO4M5RCRjy6nZY0TY/edit#gid=0"",""Table 1: Study characteristics!B4:B171""),A705)&gt;0,
COUNTIF(Studies!$A$2:$A$85,FILTER(IMPORTRA"&amp;"NGE(""https://docs.google.com/spreadsheets/d/1kGrh75X1cNR1D7_FcY9zMnHP8iPO4M5RCRjy6nZY0TY/edit#gid=0"",""Table 1: Study characteristics!A4:A171""), $A705=IMPORTRANGE(""https://docs.google.com/spreadsheets/d/1kGrh75X1cNR1D7_FcY9zMnHP8iPO4M5RCRjy6nZY0TY/edi"&amp;"t#gid=0"",""Table 1: Study characteristics!B4:B171"")))&gt;0
),
""Include""
)"),"Exclude")</f>
        <v>Exclude</v>
      </c>
      <c r="G705" s="5" t="str">
        <f>IFERROR(__xludf.DUMMYFUNCTION("IFS(
D705=""Exclude"",
FILTER(IMPORTRANGE(""https://docs.google.com/spreadsheets/d/1BJSV3WBYJGRhQ6zExamkszQ5VutGIcaQqmbD9ZTVXMQ/edit#gid=1251630045"",""articles_with_PRISMA_reasons!AB2:AB2113""), $A705=IMPORTRANGE(""https://docs.google.com/spreadsheets/d/"&amp;"1BJSV3WBYJGRhQ6zExamkszQ5VutGIcaQqmbD9ZTVXMQ/edit#gid=1251630045"",""articles_with_PRISMA_reasons!B2:B2113"")),
E705=""Exclude"",
FILTER(IMPORTRANGE(""https://docs.google.com/spreadsheets/d/1qpEmbGH0JjaJbUdp21-y2cPbobDbMjr09BbtdKROZWc/edit#gid=1444865654"&amp;""",""articles_with_PRISMA_reasons!Z2:Z2113""), $A705=IMPORTRANGE(""https://docs.google.com/spreadsheets/d/1qpEmbGH0JjaJbUdp21-y2cPbobDbMjr09BbtdKROZWc/edit#gid=1444865654"",""articles_with_PRISMA_reasons!B2:B2113"")),F705
=""Include"",FILTER(IMPORTRANGE("&amp;"""https://docs.google.com/spreadsheets/d/1kGrh75X1cNR1D7_FcY9zMnHP8iPO4M5RCRjy6nZY0TY/edit#gid=0"",""Table 1: Study characteristics!A4:A171""), $A705=IMPORTRANGE(""https://docs.google.com/spreadsheets/d/1kGrh75X1cNR1D7_FcY9zMnHP8iPO4M5RCRjy6nZY0TY/edit#gi"&amp;"d=0"",""Table 1: Study characteristics!B4:B171""))
)"),"wrong study design")</f>
        <v>wrong study design</v>
      </c>
    </row>
    <row r="706">
      <c r="A706" s="4" t="str">
        <f>IFERROR(__xludf.DUMMYFUNCTION("""COMPUTED_VALUE"""),"Endoscopic third ventriculostomy and choroid plexus cauterization in infants with hydrocephalus: A retrospective Hydrocephalus Clinical Research Network study")</f>
        <v>Endoscopic third ventriculostomy and choroid plexus cauterization in infants with hydrocephalus: A retrospective Hydrocephalus Clinical Research Network study</v>
      </c>
      <c r="B706" s="5" t="str">
        <f>IFERROR(__xludf.DUMMYFUNCTION("LEFT(FILTER(IMPORTRANGE(""https://docs.google.com/spreadsheets/d/1BJSV3WBYJGRhQ6zExamkszQ5VutGIcaQqmbD9ZTVXMQ/edit#gid=1251630045"",""articles_with_PRISMA_reasons!K2:K2113""), $A706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$A706=IMPORTRANGE(""https://docs.google.com/spreadsheets/d/1BJSV3WBYJGRhQ6zExamkszQ5VutGIcaQqmbD9ZTVXMQ/edit#gid=1251630045"",""articles_with_PRISMA_reasons!B2:B2113"")))-1)"),"Kulkarni")</f>
        <v>Kulkarni</v>
      </c>
      <c r="C706" s="6">
        <f>IFERROR(__xludf.DUMMYFUNCTION("FILTER(IMPORTRANGE(""https://docs.google.com/spreadsheets/d/1BJSV3WBYJGRhQ6zExamkszQ5VutGIcaQqmbD9ZTVXMQ/edit#gid=1251630045"",""articles_with_PRISMA_reasons!C2:C2113""), $A706=IMPORTRANGE(""https://docs.google.com/spreadsheets/d/1BJSV3WBYJGRhQ6zExamkszQ5"&amp;"VutGIcaQqmbD9ZTVXMQ/edit#gid=1251630045"",""articles_with_PRISMA_reasons!B2:B2113""))"),2014.0)</f>
        <v>2014</v>
      </c>
      <c r="D706" s="5" t="str">
        <f>IFERROR(__xludf.DUMMYFUNCTION("IFS(AND(
FILTER(IMPORTRANGE(""https://docs.google.com/spreadsheets/d/1BJSV3WBYJGRhQ6zExamkszQ5VutGIcaQqmbD9ZTVXMQ/edit#gid=1251630045"",""articles_with_PRISMA_reasons!Y2:Y2113""), $A706=IMPORTRANGE(""https://docs.google.com/spreadsheets/d/1BJSV3WBYJGRhQ6z"&amp;"ExamkszQ5VutGIcaQqmbD9ZTVXMQ/edit#gid=1251630045"",""articles_with_PRISMA_reasons!B2:B2113""))&gt;=2,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$A706=IMPORTRANGE(""https://docs.google.com/spreadsheets/d/1BJSV3WBYJGRhQ6zExamkszQ5VutGIcaQqmbD9ZTVXMQ/edit#gid=1251630045"",""articles_with_PRISMA_reasons!B2:B2113""))&lt;2),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$A706=IMPORTRANGE(""https://docs.google.com/spreadsheets/d/1BJSV3WBYJGRhQ6zExamkszQ5VutGIcaQqmbD9ZTVXMQ/edit#gid=1251630045"",""arti"&amp;"cles_with_PRISMA_reasons!B2:B2113""))&lt;2,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$A706=IMPORTRANGE(""https://docs.google.com"&amp;"/spreadsheets/d/1BJSV3WBYJGRhQ6zExamkszQ5VutGIcaQqmbD9ZTVXMQ/edit#gid=1251630045"",""articles_with_PRISMA_reasons!B2:B2113""))&gt;=2),
""Exclude""
)"),"Include")</f>
        <v>Include</v>
      </c>
      <c r="E706" s="5" t="str">
        <f>IFERROR(__xludf.DUMMYFUNCTION("IFS(
D706=""Exclude"",""Exclude"",
AND(
FILTER(IMPORTRANGE(""https://docs.google.com/spreadsheets/d/1qpEmbGH0JjaJbUdp21-y2cPbobDbMjr09BbtdKROZWc/edit#gid=1444865654"",""articles_with_PRISMA_reasons!W2:W2113""), $A706=IMPORTRANGE(""https://docs.google.com/"&amp;"spreadsheets/d/1qpEmbGH0JjaJbUdp21-y2cPbobDbMjr09BbtdKROZWc/edit#gid=1444865654"",""articles_with_PRISMA_reasons!B2:B2113""))&gt;=2,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$A706=IMPORTRANGE(""https://docs.google.com/spreadsheets/d/1qpEmbGH0JjaJbUdp21-y2cPbobDbMjr09BbtdKROZWc/edit#gid=1444865654"",""articles_with_PRISMA_reasons!B2:B2113""))&lt;2),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$A706=IMPORTRANGE(""https://docs.google.com/spreadsheets/d/1qpEmbGH0JjaJbUdp21-y2cPbobDbMjr09BbtdKRO"&amp;"ZWc/edit#gid=1444865654"",""articles_with_PRISMA_reasons!B2:B2113""))&lt;2,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$A706=IMPOR"&amp;"TRANGE(""https://docs.google.com/spreadsheets/d/1qpEmbGH0JjaJbUdp21-y2cPbobDbMjr09BbtdKROZWc/edit#gid=1444865654"",""articles_with_PRISMA_reasons!B2:B2113""))&gt;=2),
""Exclude""
)"),"Include")</f>
        <v>Include</v>
      </c>
      <c r="F706" s="5" t="str">
        <f>IFERROR(__xludf.DUMMYFUNCTION("IFS(
E706=""Exclude"",""Exclude"",
AND(
COUNTIF(
IMPORTRANGE(""https://docs.google.com/spreadsheets/d/1kGrh75X1cNR1D7_FcY9zMnHP8iPO4M5RCRjy6nZY0TY/edit#gid=0"",""Table 1: Study characteristics!B4:B171""),A706)&gt;0,
COUNTIF(Studies!$A$2:$A$85,FILTER(IMPORTRA"&amp;"NGE(""https://docs.google.com/spreadsheets/d/1kGrh75X1cNR1D7_FcY9zMnHP8iPO4M5RCRjy6nZY0TY/edit#gid=0"",""Table 1: Study characteristics!A4:A171""), $A706=IMPORTRANGE(""https://docs.google.com/spreadsheets/d/1kGrh75X1cNR1D7_FcY9zMnHP8iPO4M5RCRjy6nZY0TY/edi"&amp;"t#gid=0"",""Table 1: Study characteristics!B4:B171"")))&gt;0
),
""Include""
)"),"#N/A")</f>
        <v>#N/A</v>
      </c>
      <c r="G706" s="5" t="str">
        <f>IFERROR(__xludf.DUMMYFUNCTION("IFS(
D706=""Exclude"",
FILTER(IMPORTRANGE(""https://docs.google.com/spreadsheets/d/1BJSV3WBYJGRhQ6zExamkszQ5VutGIcaQqmbD9ZTVXMQ/edit#gid=1251630045"",""articles_with_PRISMA_reasons!AB2:AB2113""), $A706=IMPORTRANGE(""https://docs.google.com/spreadsheets/d/"&amp;"1BJSV3WBYJGRhQ6zExamkszQ5VutGIcaQqmbD9ZTVXMQ/edit#gid=1251630045"",""articles_with_PRISMA_reasons!B2:B2113"")),
E706=""Exclude"",
FILTER(IMPORTRANGE(""https://docs.google.com/spreadsheets/d/1qpEmbGH0JjaJbUdp21-y2cPbobDbMjr09BbtdKROZWc/edit#gid=1444865654"&amp;""",""articles_with_PRISMA_reasons!Z2:Z2113""), $A706=IMPORTRANGE(""https://docs.google.com/spreadsheets/d/1qpEmbGH0JjaJbUdp21-y2cPbobDbMjr09BbtdKROZWc/edit#gid=1444865654"",""articles_with_PRISMA_reasons!B2:B2113"")),F706
=""Include"",FILTER(IMPORTRANGE("&amp;"""https://docs.google.com/spreadsheets/d/1kGrh75X1cNR1D7_FcY9zMnHP8iPO4M5RCRjy6nZY0TY/edit#gid=0"",""Table 1: Study characteristics!A4:A171""), $A706=IMPORTRANGE(""https://docs.google.com/spreadsheets/d/1kGrh75X1cNR1D7_FcY9zMnHP8iPO4M5RCRjy6nZY0TY/edit#gi"&amp;"d=0"",""Table 1: Study characteristics!B4:B171""))
)"),"#N/A")</f>
        <v>#N/A</v>
      </c>
    </row>
    <row r="707">
      <c r="A707" s="4" t="str">
        <f>IFERROR(__xludf.DUMMYFUNCTION("""COMPUTED_VALUE"""),"Endoscopic third ventriculostomy and choroid plexus cauterization with a rigid neuroendoscope in infants with hydrocephalus")</f>
        <v>Endoscopic third ventriculostomy and choroid plexus cauterization with a rigid neuroendoscope in infants with hydrocephalus</v>
      </c>
      <c r="B707" s="5" t="str">
        <f>IFERROR(__xludf.DUMMYFUNCTION("LEFT(FILTER(IMPORTRANGE(""https://docs.google.com/spreadsheets/d/1BJSV3WBYJGRhQ6zExamkszQ5VutGIcaQqmbD9ZTVXMQ/edit#gid=1251630045"",""articles_with_PRISMA_reasons!K2:K2113""), $A707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$A707=IMPORTRANGE(""https://docs.google.com/spreadsheets/d/1BJSV3WBYJGRhQ6zExamkszQ5VutGIcaQqmbD9ZTVXMQ/edit#gid=1251630045"",""articles_with_PRISMA_reasons!B2:B2113"")))-1)"),"Weil")</f>
        <v>Weil</v>
      </c>
      <c r="C707" s="6">
        <f>IFERROR(__xludf.DUMMYFUNCTION("FILTER(IMPORTRANGE(""https://docs.google.com/spreadsheets/d/1BJSV3WBYJGRhQ6zExamkszQ5VutGIcaQqmbD9ZTVXMQ/edit#gid=1251630045"",""articles_with_PRISMA_reasons!C2:C2113""), $A707=IMPORTRANGE(""https://docs.google.com/spreadsheets/d/1BJSV3WBYJGRhQ6zExamkszQ5"&amp;"VutGIcaQqmbD9ZTVXMQ/edit#gid=1251630045"",""articles_with_PRISMA_reasons!B2:B2113""))"),2016.0)</f>
        <v>2016</v>
      </c>
      <c r="D707" s="5" t="str">
        <f>IFERROR(__xludf.DUMMYFUNCTION("IFS(AND(
FILTER(IMPORTRANGE(""https://docs.google.com/spreadsheets/d/1BJSV3WBYJGRhQ6zExamkszQ5VutGIcaQqmbD9ZTVXMQ/edit#gid=1251630045"",""articles_with_PRISMA_reasons!Y2:Y2113""), $A707=IMPORTRANGE(""https://docs.google.com/spreadsheets/d/1BJSV3WBYJGRhQ6z"&amp;"ExamkszQ5VutGIcaQqmbD9ZTVXMQ/edit#gid=1251630045"",""articles_with_PRISMA_reasons!B2:B2113""))&gt;=2,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$A707=IMPORTRANGE(""https://docs.google.com/spreadsheets/d/1BJSV3WBYJGRhQ6zExamkszQ5VutGIcaQqmbD9ZTVXMQ/edit#gid=1251630045"",""articles_with_PRISMA_reasons!B2:B2113""))&lt;2),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$A707=IMPORTRANGE(""https://docs.google.com/spreadsheets/d/1BJSV3WBYJGRhQ6zExamkszQ5VutGIcaQqmbD9ZTVXMQ/edit#gid=1251630045"",""arti"&amp;"cles_with_PRISMA_reasons!B2:B2113""))&lt;2,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$A707=IMPORTRANGE(""https://docs.google.com"&amp;"/spreadsheets/d/1BJSV3WBYJGRhQ6zExamkszQ5VutGIcaQqmbD9ZTVXMQ/edit#gid=1251630045"",""articles_with_PRISMA_reasons!B2:B2113""))&gt;=2),
""Exclude""
)"),"Include")</f>
        <v>Include</v>
      </c>
      <c r="E707" s="5" t="str">
        <f>IFERROR(__xludf.DUMMYFUNCTION("IFS(
D707=""Exclude"",""Exclude"",
AND(
FILTER(IMPORTRANGE(""https://docs.google.com/spreadsheets/d/1qpEmbGH0JjaJbUdp21-y2cPbobDbMjr09BbtdKROZWc/edit#gid=1444865654"",""articles_with_PRISMA_reasons!W2:W2113""), $A707=IMPORTRANGE(""https://docs.google.com/"&amp;"spreadsheets/d/1qpEmbGH0JjaJbUdp21-y2cPbobDbMjr09BbtdKROZWc/edit#gid=1444865654"",""articles_with_PRISMA_reasons!B2:B2113""))&gt;=2,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$A707=IMPORTRANGE(""https://docs.google.com/spreadsheets/d/1qpEmbGH0JjaJbUdp21-y2cPbobDbMjr09BbtdKROZWc/edit#gid=1444865654"",""articles_with_PRISMA_reasons!B2:B2113""))&lt;2),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$A707=IMPORTRANGE(""https://docs.google.com/spreadsheets/d/1qpEmbGH0JjaJbUdp21-y2cPbobDbMjr09BbtdKRO"&amp;"ZWc/edit#gid=1444865654"",""articles_with_PRISMA_reasons!B2:B2113""))&lt;2,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$A707=IMPOR"&amp;"TRANGE(""https://docs.google.com/spreadsheets/d/1qpEmbGH0JjaJbUdp21-y2cPbobDbMjr09BbtdKROZWc/edit#gid=1444865654"",""articles_with_PRISMA_reasons!B2:B2113""))&gt;=2),
""Exclude""
)"),"Include")</f>
        <v>Include</v>
      </c>
      <c r="F707" s="5" t="str">
        <f>IFERROR(__xludf.DUMMYFUNCTION("IFS(
E707=""Exclude"",""Exclude"",
AND(
COUNTIF(
IMPORTRANGE(""https://docs.google.com/spreadsheets/d/1kGrh75X1cNR1D7_FcY9zMnHP8iPO4M5RCRjy6nZY0TY/edit#gid=0"",""Table 1: Study characteristics!B4:B171""),A707)&gt;0,
COUNTIF(Studies!$A$2:$A$85,FILTER(IMPORTRA"&amp;"NGE(""https://docs.google.com/spreadsheets/d/1kGrh75X1cNR1D7_FcY9zMnHP8iPO4M5RCRjy6nZY0TY/edit#gid=0"",""Table 1: Study characteristics!A4:A171""), $A707=IMPORTRANGE(""https://docs.google.com/spreadsheets/d/1kGrh75X1cNR1D7_FcY9zMnHP8iPO4M5RCRjy6nZY0TY/edi"&amp;"t#gid=0"",""Table 1: Study characteristics!B4:B171"")))&gt;0
),
""Include""
)"),"Include")</f>
        <v>Include</v>
      </c>
      <c r="G707" s="5" t="str">
        <f>IFERROR(__xludf.DUMMYFUNCTION("IFS(
D707=""Exclude"",
FILTER(IMPORTRANGE(""https://docs.google.com/spreadsheets/d/1BJSV3WBYJGRhQ6zExamkszQ5VutGIcaQqmbD9ZTVXMQ/edit#gid=1251630045"",""articles_with_PRISMA_reasons!AB2:AB2113""), $A707=IMPORTRANGE(""https://docs.google.com/spreadsheets/d/"&amp;"1BJSV3WBYJGRhQ6zExamkszQ5VutGIcaQqmbD9ZTVXMQ/edit#gid=1251630045"",""articles_with_PRISMA_reasons!B2:B2113"")),
E707=""Exclude"",
FILTER(IMPORTRANGE(""https://docs.google.com/spreadsheets/d/1qpEmbGH0JjaJbUdp21-y2cPbobDbMjr09BbtdKROZWc/edit#gid=1444865654"&amp;""",""articles_with_PRISMA_reasons!Z2:Z2113""), $A707=IMPORTRANGE(""https://docs.google.com/spreadsheets/d/1qpEmbGH0JjaJbUdp21-y2cPbobDbMjr09BbtdKROZWc/edit#gid=1444865654"",""articles_with_PRISMA_reasons!B2:B2113"")),F707
=""Include"",FILTER(IMPORTRANGE("&amp;"""https://docs.google.com/spreadsheets/d/1kGrh75X1cNR1D7_FcY9zMnHP8iPO4M5RCRjy6nZY0TY/edit#gid=0"",""Table 1: Study characteristics!A4:A171""), $A707=IMPORTRANGE(""https://docs.google.com/spreadsheets/d/1kGrh75X1cNR1D7_FcY9zMnHP8iPO4M5RCRjy6nZY0TY/edit#gi"&amp;"d=0"",""Table 1: Study characteristics!B4:B171""))
)"),"ID 60")</f>
        <v>ID 60</v>
      </c>
    </row>
    <row r="708">
      <c r="A708" s="4" t="str">
        <f>IFERROR(__xludf.DUMMYFUNCTION("""COMPUTED_VALUE"""),"Endoscopic third ventriculostomy for hydrocephalus: A review of indications, outcomes, and complications")</f>
        <v>Endoscopic third ventriculostomy for hydrocephalus: A review of indications, outcomes, and complications</v>
      </c>
      <c r="B708" s="2" t="s">
        <v>26</v>
      </c>
      <c r="C708" s="6">
        <f>IFERROR(__xludf.DUMMYFUNCTION("FILTER(IMPORTRANGE(""https://docs.google.com/spreadsheets/d/1BJSV3WBYJGRhQ6zExamkszQ5VutGIcaQqmbD9ZTVXMQ/edit#gid=1251630045"",""articles_with_PRISMA_reasons!C2:C2113""), $A708=IMPORTRANGE(""https://docs.google.com/spreadsheets/d/1BJSV3WBYJGRhQ6zExamkszQ5"&amp;"VutGIcaQqmbD9ZTVXMQ/edit#gid=1251630045"",""articles_with_PRISMA_reasons!B2:B2113""))"),2011.0)</f>
        <v>2011</v>
      </c>
      <c r="D708" s="5" t="str">
        <f>IFERROR(__xludf.DUMMYFUNCTION("IFS(AND(
FILTER(IMPORTRANGE(""https://docs.google.com/spreadsheets/d/1BJSV3WBYJGRhQ6zExamkszQ5VutGIcaQqmbD9ZTVXMQ/edit#gid=1251630045"",""articles_with_PRISMA_reasons!Y2:Y2113""), $A708=IMPORTRANGE(""https://docs.google.com/spreadsheets/d/1BJSV3WBYJGRhQ6z"&amp;"ExamkszQ5VutGIcaQqmbD9ZTVXMQ/edit#gid=1251630045"",""articles_with_PRISMA_reasons!B2:B2113""))&gt;=2,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$A708=IMPORTRANGE(""https://docs.google.com/spreadsheets/d/1BJSV3WBYJGRhQ6zExamkszQ5VutGIcaQqmbD9ZTVXMQ/edit#gid=1251630045"",""articles_with_PRISMA_reasons!B2:B2113""))&lt;2),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$A708=IMPORTRANGE(""https://docs.google.com/spreadsheets/d/1BJSV3WBYJGRhQ6zExamkszQ5VutGIcaQqmbD9ZTVXMQ/edit#gid=1251630045"",""arti"&amp;"cles_with_PRISMA_reasons!B2:B2113""))&lt;2,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$A708=IMPORTRANGE(""https://docs.google.com"&amp;"/spreadsheets/d/1BJSV3WBYJGRhQ6zExamkszQ5VutGIcaQqmbD9ZTVXMQ/edit#gid=1251630045"",""articles_with_PRISMA_reasons!B2:B2113""))&gt;=2),
""Exclude""
)"),"Exclude")</f>
        <v>Exclude</v>
      </c>
      <c r="E708" s="5" t="str">
        <f>IFERROR(__xludf.DUMMYFUNCTION("IFS(
D708=""Exclude"",""Exclude"",
AND(
FILTER(IMPORTRANGE(""https://docs.google.com/spreadsheets/d/1qpEmbGH0JjaJbUdp21-y2cPbobDbMjr09BbtdKROZWc/edit#gid=1444865654"",""articles_with_PRISMA_reasons!W2:W2113""), $A708=IMPORTRANGE(""https://docs.google.com/"&amp;"spreadsheets/d/1qpEmbGH0JjaJbUdp21-y2cPbobDbMjr09BbtdKROZWc/edit#gid=1444865654"",""articles_with_PRISMA_reasons!B2:B2113""))&gt;=2,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$A708=IMPORTRANGE(""https://docs.google.com/spreadsheets/d/1qpEmbGH0JjaJbUdp21-y2cPbobDbMjr09BbtdKROZWc/edit#gid=1444865654"",""articles_with_PRISMA_reasons!B2:B2113""))&lt;2),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$A708=IMPORTRANGE(""https://docs.google.com/spreadsheets/d/1qpEmbGH0JjaJbUdp21-y2cPbobDbMjr09BbtdKRO"&amp;"ZWc/edit#gid=1444865654"",""articles_with_PRISMA_reasons!B2:B2113""))&lt;2,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$A708=IMPOR"&amp;"TRANGE(""https://docs.google.com/spreadsheets/d/1qpEmbGH0JjaJbUdp21-y2cPbobDbMjr09BbtdKROZWc/edit#gid=1444865654"",""articles_with_PRISMA_reasons!B2:B2113""))&gt;=2),
""Exclude""
)"),"Exclude")</f>
        <v>Exclude</v>
      </c>
      <c r="F708" s="5" t="str">
        <f>IFERROR(__xludf.DUMMYFUNCTION("IFS(
E708=""Exclude"",""Exclude"",
AND(
COUNTIF(
IMPORTRANGE(""https://docs.google.com/spreadsheets/d/1kGrh75X1cNR1D7_FcY9zMnHP8iPO4M5RCRjy6nZY0TY/edit#gid=0"",""Table 1: Study characteristics!B4:B171""),A708)&gt;0,
COUNTIF(Studies!$A$2:$A$85,FILTER(IMPORTRA"&amp;"NGE(""https://docs.google.com/spreadsheets/d/1kGrh75X1cNR1D7_FcY9zMnHP8iPO4M5RCRjy6nZY0TY/edit#gid=0"",""Table 1: Study characteristics!A4:A171""), $A708=IMPORTRANGE(""https://docs.google.com/spreadsheets/d/1kGrh75X1cNR1D7_FcY9zMnHP8iPO4M5RCRjy6nZY0TY/edi"&amp;"t#gid=0"",""Table 1: Study characteristics!B4:B171"")))&gt;0
),
""Include""
)"),"Exclude")</f>
        <v>Exclude</v>
      </c>
      <c r="G708" s="5" t="str">
        <f>IFERROR(__xludf.DUMMYFUNCTION("IFS(
D708=""Exclude"",
FILTER(IMPORTRANGE(""https://docs.google.com/spreadsheets/d/1BJSV3WBYJGRhQ6zExamkszQ5VutGIcaQqmbD9ZTVXMQ/edit#gid=1251630045"",""articles_with_PRISMA_reasons!AB2:AB2113""), $A708=IMPORTRANGE(""https://docs.google.com/spreadsheets/d/"&amp;"1BJSV3WBYJGRhQ6zExamkszQ5VutGIcaQqmbD9ZTVXMQ/edit#gid=1251630045"",""articles_with_PRISMA_reasons!B2:B2113"")),
E708=""Exclude"",
FILTER(IMPORTRANGE(""https://docs.google.com/spreadsheets/d/1qpEmbGH0JjaJbUdp21-y2cPbobDbMjr09BbtdKROZWc/edit#gid=1444865654"&amp;""",""articles_with_PRISMA_reasons!Z2:Z2113""), $A708=IMPORTRANGE(""https://docs.google.com/spreadsheets/d/1qpEmbGH0JjaJbUdp21-y2cPbobDbMjr09BbtdKROZWc/edit#gid=1444865654"",""articles_with_PRISMA_reasons!B2:B2113"")),F708
=""Include"",FILTER(IMPORTRANGE("&amp;"""https://docs.google.com/spreadsheets/d/1kGrh75X1cNR1D7_FcY9zMnHP8iPO4M5RCRjy6nZY0TY/edit#gid=0"",""Table 1: Study characteristics!A4:A171""), $A708=IMPORTRANGE(""https://docs.google.com/spreadsheets/d/1kGrh75X1cNR1D7_FcY9zMnHP8iPO4M5RCRjy6nZY0TY/edit#gi"&amp;"d=0"",""Table 1: Study characteristics!B4:B171""))
)"),"wrong study design")</f>
        <v>wrong study design</v>
      </c>
    </row>
    <row r="709">
      <c r="A709" s="4" t="str">
        <f>IFERROR(__xludf.DUMMYFUNCTION("""COMPUTED_VALUE"""),"Endoscopic third ventriculostomy for infantile hydrocephalus and its problems")</f>
        <v>Endoscopic third ventriculostomy for infantile hydrocephalus and its problems</v>
      </c>
      <c r="B709" s="5" t="str">
        <f>IFERROR(__xludf.DUMMYFUNCTION("LEFT(FILTER(IMPORTRANGE(""https://docs.google.com/spreadsheets/d/1BJSV3WBYJGRhQ6zExamkszQ5VutGIcaQqmbD9ZTVXMQ/edit#gid=1251630045"",""articles_with_PRISMA_reasons!K2:K2113""), $A709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$A709=IMPORTRANGE(""https://docs.google.com/spreadsheets/d/1BJSV3WBYJGRhQ6zExamkszQ5VutGIcaQqmbD9ZTVXMQ/edit#gid=1251630045"",""articles_with_PRISMA_reasons!B2:B2113"")))-1)"),"Horinaka")</f>
        <v>Horinaka</v>
      </c>
      <c r="C709" s="6">
        <f>IFERROR(__xludf.DUMMYFUNCTION("FILTER(IMPORTRANGE(""https://docs.google.com/spreadsheets/d/1BJSV3WBYJGRhQ6zExamkszQ5VutGIcaQqmbD9ZTVXMQ/edit#gid=1251630045"",""articles_with_PRISMA_reasons!C2:C2113""), $A709=IMPORTRANGE(""https://docs.google.com/spreadsheets/d/1BJSV3WBYJGRhQ6zExamkszQ5"&amp;"VutGIcaQqmbD9ZTVXMQ/edit#gid=1251630045"",""articles_with_PRISMA_reasons!B2:B2113""))"),2005.0)</f>
        <v>2005</v>
      </c>
      <c r="D709" s="5" t="str">
        <f>IFERROR(__xludf.DUMMYFUNCTION("IFS(AND(
FILTER(IMPORTRANGE(""https://docs.google.com/spreadsheets/d/1BJSV3WBYJGRhQ6zExamkszQ5VutGIcaQqmbD9ZTVXMQ/edit#gid=1251630045"",""articles_with_PRISMA_reasons!Y2:Y2113""), $A709=IMPORTRANGE(""https://docs.google.com/spreadsheets/d/1BJSV3WBYJGRhQ6z"&amp;"ExamkszQ5VutGIcaQqmbD9ZTVXMQ/edit#gid=1251630045"",""articles_with_PRISMA_reasons!B2:B2113""))&gt;=2,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$A709=IMPORTRANGE(""https://docs.google.com/spreadsheets/d/1BJSV3WBYJGRhQ6zExamkszQ5VutGIcaQqmbD9ZTVXMQ/edit#gid=1251630045"",""articles_with_PRISMA_reasons!B2:B2113""))&lt;2),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$A709=IMPORTRANGE(""https://docs.google.com/spreadsheets/d/1BJSV3WBYJGRhQ6zExamkszQ5VutGIcaQqmbD9ZTVXMQ/edit#gid=1251630045"",""arti"&amp;"cles_with_PRISMA_reasons!B2:B2113""))&lt;2,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$A709=IMPORTRANGE(""https://docs.google.com"&amp;"/spreadsheets/d/1BJSV3WBYJGRhQ6zExamkszQ5VutGIcaQqmbD9ZTVXMQ/edit#gid=1251630045"",""articles_with_PRISMA_reasons!B2:B2113""))&gt;=2),
""Exclude""
)"),"Exclude")</f>
        <v>Exclude</v>
      </c>
      <c r="E709" s="5" t="str">
        <f>IFERROR(__xludf.DUMMYFUNCTION("IFS(
D709=""Exclude"",""Exclude"",
AND(
FILTER(IMPORTRANGE(""https://docs.google.com/spreadsheets/d/1qpEmbGH0JjaJbUdp21-y2cPbobDbMjr09BbtdKROZWc/edit#gid=1444865654"",""articles_with_PRISMA_reasons!W2:W2113""), $A709=IMPORTRANGE(""https://docs.google.com/"&amp;"spreadsheets/d/1qpEmbGH0JjaJbUdp21-y2cPbobDbMjr09BbtdKROZWc/edit#gid=1444865654"",""articles_with_PRISMA_reasons!B2:B2113""))&gt;=2,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$A709=IMPORTRANGE(""https://docs.google.com/spreadsheets/d/1qpEmbGH0JjaJbUdp21-y2cPbobDbMjr09BbtdKROZWc/edit#gid=1444865654"",""articles_with_PRISMA_reasons!B2:B2113""))&lt;2),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$A709=IMPORTRANGE(""https://docs.google.com/spreadsheets/d/1qpEmbGH0JjaJbUdp21-y2cPbobDbMjr09BbtdKRO"&amp;"ZWc/edit#gid=1444865654"",""articles_with_PRISMA_reasons!B2:B2113""))&lt;2,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$A709=IMPOR"&amp;"TRANGE(""https://docs.google.com/spreadsheets/d/1qpEmbGH0JjaJbUdp21-y2cPbobDbMjr09BbtdKROZWc/edit#gid=1444865654"",""articles_with_PRISMA_reasons!B2:B2113""))&gt;=2),
""Exclude""
)"),"Exclude")</f>
        <v>Exclude</v>
      </c>
      <c r="F709" s="5" t="str">
        <f>IFERROR(__xludf.DUMMYFUNCTION("IFS(
E709=""Exclude"",""Exclude"",
AND(
COUNTIF(
IMPORTRANGE(""https://docs.google.com/spreadsheets/d/1kGrh75X1cNR1D7_FcY9zMnHP8iPO4M5RCRjy6nZY0TY/edit#gid=0"",""Table 1: Study characteristics!B4:B171""),A709)&gt;0,
COUNTIF(Studies!$A$2:$A$85,FILTER(IMPORTRA"&amp;"NGE(""https://docs.google.com/spreadsheets/d/1kGrh75X1cNR1D7_FcY9zMnHP8iPO4M5RCRjy6nZY0TY/edit#gid=0"",""Table 1: Study characteristics!A4:A171""), $A709=IMPORTRANGE(""https://docs.google.com/spreadsheets/d/1kGrh75X1cNR1D7_FcY9zMnHP8iPO4M5RCRjy6nZY0TY/edi"&amp;"t#gid=0"",""Table 1: Study characteristics!B4:B171"")))&gt;0
),
""Include""
)"),"Exclude")</f>
        <v>Exclude</v>
      </c>
      <c r="G709" s="5" t="str">
        <f>IFERROR(__xludf.DUMMYFUNCTION("IFS(
D709=""Exclude"",
FILTER(IMPORTRANGE(""https://docs.google.com/spreadsheets/d/1BJSV3WBYJGRhQ6zExamkszQ5VutGIcaQqmbD9ZTVXMQ/edit#gid=1251630045"",""articles_with_PRISMA_reasons!AB2:AB2113""), $A709=IMPORTRANGE(""https://docs.google.com/spreadsheets/d/"&amp;"1BJSV3WBYJGRhQ6zExamkszQ5VutGIcaQqmbD9ZTVXMQ/edit#gid=1251630045"",""articles_with_PRISMA_reasons!B2:B2113"")),
E709=""Exclude"",
FILTER(IMPORTRANGE(""https://docs.google.com/spreadsheets/d/1qpEmbGH0JjaJbUdp21-y2cPbobDbMjr09BbtdKROZWc/edit#gid=1444865654"&amp;""",""articles_with_PRISMA_reasons!Z2:Z2113""), $A709=IMPORTRANGE(""https://docs.google.com/spreadsheets/d/1qpEmbGH0JjaJbUdp21-y2cPbobDbMjr09BbtdKROZWc/edit#gid=1444865654"",""articles_with_PRISMA_reasons!B2:B2113"")),F709
=""Include"",FILTER(IMPORTRANGE("&amp;"""https://docs.google.com/spreadsheets/d/1kGrh75X1cNR1D7_FcY9zMnHP8iPO4M5RCRjy6nZY0TY/edit#gid=0"",""Table 1: Study characteristics!A4:A171""), $A709=IMPORTRANGE(""https://docs.google.com/spreadsheets/d/1kGrh75X1cNR1D7_FcY9zMnHP8iPO4M5RCRjy6nZY0TY/edit#gi"&amp;"d=0"",""Table 1: Study characteristics!B4:B171""))
)"),"wrong study design")</f>
        <v>wrong study design</v>
      </c>
    </row>
    <row r="710">
      <c r="A710" s="4" t="str">
        <f>IFERROR(__xludf.DUMMYFUNCTION("""COMPUTED_VALUE"""),"Endoscopic third ventriculostomy for malfunction in previously shunted infants")</f>
        <v>Endoscopic third ventriculostomy for malfunction in previously shunted infants</v>
      </c>
      <c r="B710" s="5" t="str">
        <f>IFERROR(__xludf.DUMMYFUNCTION("LEFT(FILTER(IMPORTRANGE(""https://docs.google.com/spreadsheets/d/1BJSV3WBYJGRhQ6zExamkszQ5VutGIcaQqmbD9ZTVXMQ/edit#gid=1251630045"",""articles_with_PRISMA_reasons!K2:K2113""), $A710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$A710=IMPORTRANGE(""https://docs.google.com/spreadsheets/d/1BJSV3WBYJGRhQ6zExamkszQ5VutGIcaQqmbD9ZTVXMQ/edit#gid=1251630045"",""articles_with_PRISMA_reasons!B2:B2113"")))-1)"),"Bilginer")</f>
        <v>Bilginer</v>
      </c>
      <c r="C710" s="6">
        <f>IFERROR(__xludf.DUMMYFUNCTION("FILTER(IMPORTRANGE(""https://docs.google.com/spreadsheets/d/1BJSV3WBYJGRhQ6zExamkszQ5VutGIcaQqmbD9ZTVXMQ/edit#gid=1251630045"",""articles_with_PRISMA_reasons!C2:C2113""), $A710=IMPORTRANGE(""https://docs.google.com/spreadsheets/d/1BJSV3WBYJGRhQ6zExamkszQ5"&amp;"VutGIcaQqmbD9ZTVXMQ/edit#gid=1251630045"",""articles_with_PRISMA_reasons!B2:B2113""))"),2009.0)</f>
        <v>2009</v>
      </c>
      <c r="D710" s="5" t="str">
        <f>IFERROR(__xludf.DUMMYFUNCTION("IFS(AND(
FILTER(IMPORTRANGE(""https://docs.google.com/spreadsheets/d/1BJSV3WBYJGRhQ6zExamkszQ5VutGIcaQqmbD9ZTVXMQ/edit#gid=1251630045"",""articles_with_PRISMA_reasons!Y2:Y2113""), $A710=IMPORTRANGE(""https://docs.google.com/spreadsheets/d/1BJSV3WBYJGRhQ6z"&amp;"ExamkszQ5VutGIcaQqmbD9ZTVXMQ/edit#gid=1251630045"",""articles_with_PRISMA_reasons!B2:B2113""))&gt;=2,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$A710=IMPORTRANGE(""https://docs.google.com/spreadsheets/d/1BJSV3WBYJGRhQ6zExamkszQ5VutGIcaQqmbD9ZTVXMQ/edit#gid=1251630045"",""articles_with_PRISMA_reasons!B2:B2113""))&lt;2),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$A710=IMPORTRANGE(""https://docs.google.com/spreadsheets/d/1BJSV3WBYJGRhQ6zExamkszQ5VutGIcaQqmbD9ZTVXMQ/edit#gid=1251630045"",""arti"&amp;"cles_with_PRISMA_reasons!B2:B2113""))&lt;2,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$A710=IMPORTRANGE(""https://docs.google.com"&amp;"/spreadsheets/d/1BJSV3WBYJGRhQ6zExamkszQ5VutGIcaQqmbD9ZTVXMQ/edit#gid=1251630045"",""articles_with_PRISMA_reasons!B2:B2113""))&gt;=2),
""Exclude""
)"),"Include")</f>
        <v>Include</v>
      </c>
      <c r="E710" s="5" t="str">
        <f>IFERROR(__xludf.DUMMYFUNCTION("IFS(
D710=""Exclude"",""Exclude"",
AND(
FILTER(IMPORTRANGE(""https://docs.google.com/spreadsheets/d/1qpEmbGH0JjaJbUdp21-y2cPbobDbMjr09BbtdKROZWc/edit#gid=1444865654"",""articles_with_PRISMA_reasons!W2:W2113""), $A710=IMPORTRANGE(""https://docs.google.com/"&amp;"spreadsheets/d/1qpEmbGH0JjaJbUdp21-y2cPbobDbMjr09BbtdKROZWc/edit#gid=1444865654"",""articles_with_PRISMA_reasons!B2:B2113""))&gt;=2,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$A710=IMPORTRANGE(""https://docs.google.com/spreadsheets/d/1qpEmbGH0JjaJbUdp21-y2cPbobDbMjr09BbtdKROZWc/edit#gid=1444865654"",""articles_with_PRISMA_reasons!B2:B2113""))&lt;2),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$A710=IMPORTRANGE(""https://docs.google.com/spreadsheets/d/1qpEmbGH0JjaJbUdp21-y2cPbobDbMjr09BbtdKRO"&amp;"ZWc/edit#gid=1444865654"",""articles_with_PRISMA_reasons!B2:B2113""))&lt;2,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$A710=IMPOR"&amp;"TRANGE(""https://docs.google.com/spreadsheets/d/1qpEmbGH0JjaJbUdp21-y2cPbobDbMjr09BbtdKROZWc/edit#gid=1444865654"",""articles_with_PRISMA_reasons!B2:B2113""))&gt;=2),
""Exclude""
)"),"Include")</f>
        <v>Include</v>
      </c>
      <c r="F710" s="2" t="s">
        <v>8</v>
      </c>
      <c r="G710" s="2" t="s">
        <v>17</v>
      </c>
    </row>
    <row r="711">
      <c r="A711" s="4" t="str">
        <f>IFERROR(__xludf.DUMMYFUNCTION("""COMPUTED_VALUE"""),"Endoscopic third ventriculostomy for myelomeningocele-related hydrocephalus after shunt failure: Long-term outcome in a series of 8 patients")</f>
        <v>Endoscopic third ventriculostomy for myelomeningocele-related hydrocephalus after shunt failure: Long-term outcome in a series of 8 patients</v>
      </c>
      <c r="B711" s="5" t="str">
        <f>IFERROR(__xludf.DUMMYFUNCTION("LEFT(FILTER(IMPORTRANGE(""https://docs.google.com/spreadsheets/d/1BJSV3WBYJGRhQ6zExamkszQ5VutGIcaQqmbD9ZTVXMQ/edit#gid=1251630045"",""articles_with_PRISMA_reasons!K2:K2113""), $A711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$A711=IMPORTRANGE(""https://docs.google.com/spreadsheets/d/1BJSV3WBYJGRhQ6zExamkszQ5VutGIcaQqmbD9ZTVXMQ/edit#gid=1251630045"",""articles_with_PRISMA_reasons!B2:B2113"")))-1)"),"Takeshige")</f>
        <v>Takeshige</v>
      </c>
      <c r="C711" s="6">
        <f>IFERROR(__xludf.DUMMYFUNCTION("FILTER(IMPORTRANGE(""https://docs.google.com/spreadsheets/d/1BJSV3WBYJGRhQ6zExamkszQ5VutGIcaQqmbD9ZTVXMQ/edit#gid=1251630045"",""articles_with_PRISMA_reasons!C2:C2113""), $A711=IMPORTRANGE(""https://docs.google.com/spreadsheets/d/1BJSV3WBYJGRhQ6zExamkszQ5"&amp;"VutGIcaQqmbD9ZTVXMQ/edit#gid=1251630045"",""articles_with_PRISMA_reasons!B2:B2113""))"),2021.0)</f>
        <v>2021</v>
      </c>
      <c r="D711" s="5" t="str">
        <f>IFERROR(__xludf.DUMMYFUNCTION("IFS(AND(
FILTER(IMPORTRANGE(""https://docs.google.com/spreadsheets/d/1BJSV3WBYJGRhQ6zExamkszQ5VutGIcaQqmbD9ZTVXMQ/edit#gid=1251630045"",""articles_with_PRISMA_reasons!Y2:Y2113""), $A711=IMPORTRANGE(""https://docs.google.com/spreadsheets/d/1BJSV3WBYJGRhQ6z"&amp;"ExamkszQ5VutGIcaQqmbD9ZTVXMQ/edit#gid=1251630045"",""articles_with_PRISMA_reasons!B2:B2113""))&gt;=2,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$A711=IMPORTRANGE(""https://docs.google.com/spreadsheets/d/1BJSV3WBYJGRhQ6zExamkszQ5VutGIcaQqmbD9ZTVXMQ/edit#gid=1251630045"",""articles_with_PRISMA_reasons!B2:B2113""))&lt;2),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$A711=IMPORTRANGE(""https://docs.google.com/spreadsheets/d/1BJSV3WBYJGRhQ6zExamkszQ5VutGIcaQqmbD9ZTVXMQ/edit#gid=1251630045"",""arti"&amp;"cles_with_PRISMA_reasons!B2:B2113""))&lt;2,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$A711=IMPORTRANGE(""https://docs.google.com"&amp;"/spreadsheets/d/1BJSV3WBYJGRhQ6zExamkszQ5VutGIcaQqmbD9ZTVXMQ/edit#gid=1251630045"",""articles_with_PRISMA_reasons!B2:B2113""))&gt;=2),
""Exclude""
)"),"Include")</f>
        <v>Include</v>
      </c>
      <c r="E711" s="5" t="str">
        <f>IFERROR(__xludf.DUMMYFUNCTION("IFS(
D711=""Exclude"",""Exclude"",
AND(
FILTER(IMPORTRANGE(""https://docs.google.com/spreadsheets/d/1qpEmbGH0JjaJbUdp21-y2cPbobDbMjr09BbtdKROZWc/edit#gid=1444865654"",""articles_with_PRISMA_reasons!W2:W2113""), $A711=IMPORTRANGE(""https://docs.google.com/"&amp;"spreadsheets/d/1qpEmbGH0JjaJbUdp21-y2cPbobDbMjr09BbtdKROZWc/edit#gid=1444865654"",""articles_with_PRISMA_reasons!B2:B2113""))&gt;=2,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$A711=IMPORTRANGE(""https://docs.google.com/spreadsheets/d/1qpEmbGH0JjaJbUdp21-y2cPbobDbMjr09BbtdKROZWc/edit#gid=1444865654"",""articles_with_PRISMA_reasons!B2:B2113""))&lt;2),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$A711=IMPORTRANGE(""https://docs.google.com/spreadsheets/d/1qpEmbGH0JjaJbUdp21-y2cPbobDbMjr09BbtdKRO"&amp;"ZWc/edit#gid=1444865654"",""articles_with_PRISMA_reasons!B2:B2113""))&lt;2,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$A711=IMPOR"&amp;"TRANGE(""https://docs.google.com/spreadsheets/d/1qpEmbGH0JjaJbUdp21-y2cPbobDbMjr09BbtdKROZWc/edit#gid=1444865654"",""articles_with_PRISMA_reasons!B2:B2113""))&gt;=2),
""Exclude""
)"),"Exclude")</f>
        <v>Exclude</v>
      </c>
      <c r="F711" s="5" t="str">
        <f>IFERROR(__xludf.DUMMYFUNCTION("IFS(
E711=""Exclude"",""Exclude"",
AND(
COUNTIF(
IMPORTRANGE(""https://docs.google.com/spreadsheets/d/1kGrh75X1cNR1D7_FcY9zMnHP8iPO4M5RCRjy6nZY0TY/edit#gid=0"",""Table 1: Study characteristics!B4:B171""),A711)&gt;0,
COUNTIF(Studies!$A$2:$A$85,FILTER(IMPORTRA"&amp;"NGE(""https://docs.google.com/spreadsheets/d/1kGrh75X1cNR1D7_FcY9zMnHP8iPO4M5RCRjy6nZY0TY/edit#gid=0"",""Table 1: Study characteristics!A4:A171""), $A711=IMPORTRANGE(""https://docs.google.com/spreadsheets/d/1kGrh75X1cNR1D7_FcY9zMnHP8iPO4M5RCRjy6nZY0TY/edi"&amp;"t#gid=0"",""Table 1: Study characteristics!B4:B171"")))&gt;0
),
""Include""
)"),"Exclude")</f>
        <v>Exclude</v>
      </c>
      <c r="G711" s="5" t="str">
        <f>IFERROR(__xludf.DUMMYFUNCTION("IFS(
D711=""Exclude"",
FILTER(IMPORTRANGE(""https://docs.google.com/spreadsheets/d/1BJSV3WBYJGRhQ6zExamkszQ5VutGIcaQqmbD9ZTVXMQ/edit#gid=1251630045"",""articles_with_PRISMA_reasons!AB2:AB2113""), $A711=IMPORTRANGE(""https://docs.google.com/spreadsheets/d/"&amp;"1BJSV3WBYJGRhQ6zExamkszQ5VutGIcaQqmbD9ZTVXMQ/edit#gid=1251630045"",""articles_with_PRISMA_reasons!B2:B2113"")),
E711=""Exclude"",
FILTER(IMPORTRANGE(""https://docs.google.com/spreadsheets/d/1qpEmbGH0JjaJbUdp21-y2cPbobDbMjr09BbtdKROZWc/edit#gid=1444865654"&amp;""",""articles_with_PRISMA_reasons!Z2:Z2113""), $A711=IMPORTRANGE(""https://docs.google.com/spreadsheets/d/1qpEmbGH0JjaJbUdp21-y2cPbobDbMjr09BbtdKROZWc/edit#gid=1444865654"",""articles_with_PRISMA_reasons!B2:B2113"")),F711
=""Include"",FILTER(IMPORTRANGE("&amp;"""https://docs.google.com/spreadsheets/d/1kGrh75X1cNR1D7_FcY9zMnHP8iPO4M5RCRjy6nZY0TY/edit#gid=0"",""Table 1: Study characteristics!A4:A171""), $A711=IMPORTRANGE(""https://docs.google.com/spreadsheets/d/1kGrh75X1cNR1D7_FcY9zMnHP8iPO4M5RCRjy6nZY0TY/edit#gi"&amp;"d=0"",""Table 1: Study characteristics!B4:B171""))
)"),"wrong study design")</f>
        <v>wrong study design</v>
      </c>
    </row>
    <row r="712">
      <c r="A712" s="7" t="str">
        <f>IFERROR(__xludf.DUMMYFUNCTION("""COMPUTED_VALUE"""),"Endoscopic third ventriculostomy for obstructive hydrocephalus in children younger than 6 months of age")</f>
        <v>Endoscopic third ventriculostomy for obstructive hydrocephalus in children younger than 6 months of age</v>
      </c>
      <c r="B712" s="8" t="str">
        <f>IFERROR(__xludf.DUMMYFUNCTION("LEFT(FILTER(IMPORTRANGE(""https://docs.google.com/spreadsheets/d/1BJSV3WBYJGRhQ6zExamkszQ5VutGIcaQqmbD9ZTVXMQ/edit#gid=1251630045"",""articles_with_PRISMA_reasons!K2:K2113""), $A712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$A712=IMPORTRANGE(""https://docs.google.com/spreadsheets/d/1BJSV3WBYJGRhQ6zExamkszQ5VutGIcaQqmbD9ZTVXMQ/edit#gid=1251630045"",""articles_with_PRISMA_reasons!B2:B2113"")))-1)"),"Ogiwara")</f>
        <v>Ogiwara</v>
      </c>
      <c r="C712" s="9">
        <f>IFERROR(__xludf.DUMMYFUNCTION("FILTER(IMPORTRANGE(""https://docs.google.com/spreadsheets/d/1BJSV3WBYJGRhQ6zExamkszQ5VutGIcaQqmbD9ZTVXMQ/edit#gid=1251630045"",""articles_with_PRISMA_reasons!C2:C2113""), $A712=IMPORTRANGE(""https://docs.google.com/spreadsheets/d/1BJSV3WBYJGRhQ6zExamkszQ5"&amp;"VutGIcaQqmbD9ZTVXMQ/edit#gid=1251630045"",""articles_with_PRISMA_reasons!B2:B2113""))"),2010.0)</f>
        <v>2010</v>
      </c>
      <c r="D712" s="8" t="str">
        <f>IFERROR(__xludf.DUMMYFUNCTION("IFS(AND(
FILTER(IMPORTRANGE(""https://docs.google.com/spreadsheets/d/1BJSV3WBYJGRhQ6zExamkszQ5VutGIcaQqmbD9ZTVXMQ/edit#gid=1251630045"",""articles_with_PRISMA_reasons!Y2:Y2113""), $A712=IMPORTRANGE(""https://docs.google.com/spreadsheets/d/1BJSV3WBYJGRhQ6z"&amp;"ExamkszQ5VutGIcaQqmbD9ZTVXMQ/edit#gid=1251630045"",""articles_with_PRISMA_reasons!B2:B2113""))&gt;=2,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$A712=IMPORTRANGE(""https://docs.google.com/spreadsheets/d/1BJSV3WBYJGRhQ6zExamkszQ5VutGIcaQqmbD9ZTVXMQ/edit#gid=1251630045"",""articles_with_PRISMA_reasons!B2:B2113""))&lt;2),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$A712=IMPORTRANGE(""https://docs.google.com/spreadsheets/d/1BJSV3WBYJGRhQ6zExamkszQ5VutGIcaQqmbD9ZTVXMQ/edit#gid=1251630045"",""arti"&amp;"cles_with_PRISMA_reasons!B2:B2113""))&lt;2,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$A712=IMPORTRANGE(""https://docs.google.com"&amp;"/spreadsheets/d/1BJSV3WBYJGRhQ6zExamkszQ5VutGIcaQqmbD9ZTVXMQ/edit#gid=1251630045"",""articles_with_PRISMA_reasons!B2:B2113""))&gt;=2),
""Exclude""
)"),"Include")</f>
        <v>Include</v>
      </c>
      <c r="E712" s="8" t="str">
        <f>IFERROR(__xludf.DUMMYFUNCTION("IFS(
D712=""Exclude"",""Exclude"",
AND(
FILTER(IMPORTRANGE(""https://docs.google.com/spreadsheets/d/1qpEmbGH0JjaJbUdp21-y2cPbobDbMjr09BbtdKROZWc/edit#gid=1444865654"",""articles_with_PRISMA_reasons!W2:W2113""), $A712=IMPORTRANGE(""https://docs.google.com/"&amp;"spreadsheets/d/1qpEmbGH0JjaJbUdp21-y2cPbobDbMjr09BbtdKROZWc/edit#gid=1444865654"",""articles_with_PRISMA_reasons!B2:B2113""))&gt;=2,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$A712=IMPORTRANGE(""https://docs.google.com/spreadsheets/d/1qpEmbGH0JjaJbUdp21-y2cPbobDbMjr09BbtdKROZWc/edit#gid=1444865654"",""articles_with_PRISMA_reasons!B2:B2113""))&lt;2),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$A712=IMPORTRANGE(""https://docs.google.com/spreadsheets/d/1qpEmbGH0JjaJbUdp21-y2cPbobDbMjr09BbtdKRO"&amp;"ZWc/edit#gid=1444865654"",""articles_with_PRISMA_reasons!B2:B2113""))&lt;2,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$A712=IMPOR"&amp;"TRANGE(""https://docs.google.com/spreadsheets/d/1qpEmbGH0JjaJbUdp21-y2cPbobDbMjr09BbtdKROZWc/edit#gid=1444865654"",""articles_with_PRISMA_reasons!B2:B2113""))&gt;=2),
""Exclude""
)"),"Include")</f>
        <v>Include</v>
      </c>
      <c r="F712" s="10" t="s">
        <v>8</v>
      </c>
      <c r="G712" s="10" t="s">
        <v>17</v>
      </c>
    </row>
    <row r="713">
      <c r="A713" s="4" t="str">
        <f>IFERROR(__xludf.DUMMYFUNCTION("""COMPUTED_VALUE"""),"Endoscopic Third Ventriculostomy for the Treatment of Hydrocephalus in a Pediatric Population with Myelomeningocele")</f>
        <v>Endoscopic Third Ventriculostomy for the Treatment of Hydrocephalus in a Pediatric Population with Myelomeningocele</v>
      </c>
      <c r="B713" s="5" t="str">
        <f>IFERROR(__xludf.DUMMYFUNCTION("LEFT(FILTER(IMPORTRANGE(""https://docs.google.com/spreadsheets/d/1BJSV3WBYJGRhQ6zExamkszQ5VutGIcaQqmbD9ZTVXMQ/edit#gid=1251630045"",""articles_with_PRISMA_reasons!K2:K2113""), $A713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$A713=IMPORTRANGE(""https://docs.google.com/spreadsheets/d/1BJSV3WBYJGRhQ6zExamkszQ5VutGIcaQqmbD9ZTVXMQ/edit#gid=1251630045"",""articles_with_PRISMA_reasons!B2:B2113"")))-1)"),"Rei")</f>
        <v>Rei</v>
      </c>
      <c r="C713" s="6">
        <f>IFERROR(__xludf.DUMMYFUNCTION("FILTER(IMPORTRANGE(""https://docs.google.com/spreadsheets/d/1BJSV3WBYJGRhQ6zExamkszQ5VutGIcaQqmbD9ZTVXMQ/edit#gid=1251630045"",""articles_with_PRISMA_reasons!C2:C2113""), $A713=IMPORTRANGE(""https://docs.google.com/spreadsheets/d/1BJSV3WBYJGRhQ6zExamkszQ5"&amp;"VutGIcaQqmbD9ZTVXMQ/edit#gid=1251630045"",""articles_with_PRISMA_reasons!B2:B2113""))"),2017.0)</f>
        <v>2017</v>
      </c>
      <c r="D713" s="5" t="str">
        <f>IFERROR(__xludf.DUMMYFUNCTION("IFS(AND(
FILTER(IMPORTRANGE(""https://docs.google.com/spreadsheets/d/1BJSV3WBYJGRhQ6zExamkszQ5VutGIcaQqmbD9ZTVXMQ/edit#gid=1251630045"",""articles_with_PRISMA_reasons!Y2:Y2113""), $A713=IMPORTRANGE(""https://docs.google.com/spreadsheets/d/1BJSV3WBYJGRhQ6z"&amp;"ExamkszQ5VutGIcaQqmbD9ZTVXMQ/edit#gid=1251630045"",""articles_with_PRISMA_reasons!B2:B2113""))&gt;=2,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$A713=IMPORTRANGE(""https://docs.google.com/spreadsheets/d/1BJSV3WBYJGRhQ6zExamkszQ5VutGIcaQqmbD9ZTVXMQ/edit#gid=1251630045"",""articles_with_PRISMA_reasons!B2:B2113""))&lt;2),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$A713=IMPORTRANGE(""https://docs.google.com/spreadsheets/d/1BJSV3WBYJGRhQ6zExamkszQ5VutGIcaQqmbD9ZTVXMQ/edit#gid=1251630045"",""arti"&amp;"cles_with_PRISMA_reasons!B2:B2113""))&lt;2,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$A713=IMPORTRANGE(""https://docs.google.com"&amp;"/spreadsheets/d/1BJSV3WBYJGRhQ6zExamkszQ5VutGIcaQqmbD9ZTVXMQ/edit#gid=1251630045"",""articles_with_PRISMA_reasons!B2:B2113""))&gt;=2),
""Exclude""
)"),"Include")</f>
        <v>Include</v>
      </c>
      <c r="E713" s="5" t="str">
        <f>IFERROR(__xludf.DUMMYFUNCTION("IFS(
D713=""Exclude"",""Exclude"",
AND(
FILTER(IMPORTRANGE(""https://docs.google.com/spreadsheets/d/1qpEmbGH0JjaJbUdp21-y2cPbobDbMjr09BbtdKROZWc/edit#gid=1444865654"",""articles_with_PRISMA_reasons!W2:W2113""), $A713=IMPORTRANGE(""https://docs.google.com/"&amp;"spreadsheets/d/1qpEmbGH0JjaJbUdp21-y2cPbobDbMjr09BbtdKROZWc/edit#gid=1444865654"",""articles_with_PRISMA_reasons!B2:B2113""))&gt;=2,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$A713=IMPORTRANGE(""https://docs.google.com/spreadsheets/d/1qpEmbGH0JjaJbUdp21-y2cPbobDbMjr09BbtdKROZWc/edit#gid=1444865654"",""articles_with_PRISMA_reasons!B2:B2113""))&lt;2),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$A713=IMPORTRANGE(""https://docs.google.com/spreadsheets/d/1qpEmbGH0JjaJbUdp21-y2cPbobDbMjr09BbtdKRO"&amp;"ZWc/edit#gid=1444865654"",""articles_with_PRISMA_reasons!B2:B2113""))&lt;2,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$A713=IMPOR"&amp;"TRANGE(""https://docs.google.com/spreadsheets/d/1qpEmbGH0JjaJbUdp21-y2cPbobDbMjr09BbtdKROZWc/edit#gid=1444865654"",""articles_with_PRISMA_reasons!B2:B2113""))&gt;=2),
""Exclude""
)"),"Include")</f>
        <v>Include</v>
      </c>
      <c r="F713" s="2" t="s">
        <v>8</v>
      </c>
      <c r="G713" s="2" t="s">
        <v>16</v>
      </c>
    </row>
    <row r="714">
      <c r="A714" s="4" t="str">
        <f>IFERROR(__xludf.DUMMYFUNCTION("""COMPUTED_VALUE"""),"Endoscopic Third Ventriculostomy in Cases of Ventriculoperitoneal Shunt Malfunction: Does Shunt Duration Play a Role?")</f>
        <v>Endoscopic Third Ventriculostomy in Cases of Ventriculoperitoneal Shunt Malfunction: Does Shunt Duration Play a Role?</v>
      </c>
      <c r="B714" s="5" t="str">
        <f>IFERROR(__xludf.DUMMYFUNCTION("LEFT(FILTER(IMPORTRANGE(""https://docs.google.com/spreadsheets/d/1BJSV3WBYJGRhQ6zExamkszQ5VutGIcaQqmbD9ZTVXMQ/edit#gid=1251630045"",""articles_with_PRISMA_reasons!K2:K2113""), $A714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$A714=IMPORTRANGE(""https://docs.google.com/spreadsheets/d/1BJSV3WBYJGRhQ6zExamkszQ5VutGIcaQqmbD9ZTVXMQ/edit#gid=1251630045"",""articles_with_PRISMA_reasons!B2:B2113"")))-1)"),"Talamonti")</f>
        <v>Talamonti</v>
      </c>
      <c r="C714" s="6">
        <f>IFERROR(__xludf.DUMMYFUNCTION("FILTER(IMPORTRANGE(""https://docs.google.com/spreadsheets/d/1BJSV3WBYJGRhQ6zExamkszQ5VutGIcaQqmbD9ZTVXMQ/edit#gid=1251630045"",""articles_with_PRISMA_reasons!C2:C2113""), $A714=IMPORTRANGE(""https://docs.google.com/spreadsheets/d/1BJSV3WBYJGRhQ6zExamkszQ5"&amp;"VutGIcaQqmbD9ZTVXMQ/edit#gid=1251630045"",""articles_with_PRISMA_reasons!B2:B2113""))"),2019.0)</f>
        <v>2019</v>
      </c>
      <c r="D714" s="5" t="str">
        <f>IFERROR(__xludf.DUMMYFUNCTION("IFS(AND(
FILTER(IMPORTRANGE(""https://docs.google.com/spreadsheets/d/1BJSV3WBYJGRhQ6zExamkszQ5VutGIcaQqmbD9ZTVXMQ/edit#gid=1251630045"",""articles_with_PRISMA_reasons!Y2:Y2113""), $A714=IMPORTRANGE(""https://docs.google.com/spreadsheets/d/1BJSV3WBYJGRhQ6z"&amp;"ExamkszQ5VutGIcaQqmbD9ZTVXMQ/edit#gid=1251630045"",""articles_with_PRISMA_reasons!B2:B2113""))&gt;=2,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$A714=IMPORTRANGE(""https://docs.google.com/spreadsheets/d/1BJSV3WBYJGRhQ6zExamkszQ5VutGIcaQqmbD9ZTVXMQ/edit#gid=1251630045"",""articles_with_PRISMA_reasons!B2:B2113""))&lt;2),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$A714=IMPORTRANGE(""https://docs.google.com/spreadsheets/d/1BJSV3WBYJGRhQ6zExamkszQ5VutGIcaQqmbD9ZTVXMQ/edit#gid=1251630045"",""arti"&amp;"cles_with_PRISMA_reasons!B2:B2113""))&lt;2,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$A714=IMPORTRANGE(""https://docs.google.com"&amp;"/spreadsheets/d/1BJSV3WBYJGRhQ6zExamkszQ5VutGIcaQqmbD9ZTVXMQ/edit#gid=1251630045"",""articles_with_PRISMA_reasons!B2:B2113""))&gt;=2),
""Exclude""
)"),"Include")</f>
        <v>Include</v>
      </c>
      <c r="E714" s="5" t="str">
        <f>IFERROR(__xludf.DUMMYFUNCTION("IFS(
D714=""Exclude"",""Exclude"",
AND(
FILTER(IMPORTRANGE(""https://docs.google.com/spreadsheets/d/1qpEmbGH0JjaJbUdp21-y2cPbobDbMjr09BbtdKROZWc/edit#gid=1444865654"",""articles_with_PRISMA_reasons!W2:W2113""), $A714=IMPORTRANGE(""https://docs.google.com/"&amp;"spreadsheets/d/1qpEmbGH0JjaJbUdp21-y2cPbobDbMjr09BbtdKROZWc/edit#gid=1444865654"",""articles_with_PRISMA_reasons!B2:B2113""))&gt;=2,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$A714=IMPORTRANGE(""https://docs.google.com/spreadsheets/d/1qpEmbGH0JjaJbUdp21-y2cPbobDbMjr09BbtdKROZWc/edit#gid=1444865654"",""articles_with_PRISMA_reasons!B2:B2113""))&lt;2),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$A714=IMPORTRANGE(""https://docs.google.com/spreadsheets/d/1qpEmbGH0JjaJbUdp21-y2cPbobDbMjr09BbtdKRO"&amp;"ZWc/edit#gid=1444865654"",""articles_with_PRISMA_reasons!B2:B2113""))&lt;2,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$A714=IMPOR"&amp;"TRANGE(""https://docs.google.com/spreadsheets/d/1qpEmbGH0JjaJbUdp21-y2cPbobDbMjr09BbtdKROZWc/edit#gid=1444865654"",""articles_with_PRISMA_reasons!B2:B2113""))&gt;=2),
""Exclude""
)"),"Include")</f>
        <v>Include</v>
      </c>
      <c r="F714" s="2" t="s">
        <v>8</v>
      </c>
      <c r="G714" s="2" t="s">
        <v>16</v>
      </c>
    </row>
    <row r="715">
      <c r="A715" s="4" t="str">
        <f>IFERROR(__xludf.DUMMYFUNCTION("""COMPUTED_VALUE"""),"Endoscopic third ventriculostomy in children with a fiber optic neuroendoscopy")</f>
        <v>Endoscopic third ventriculostomy in children with a fiber optic neuroendoscopy</v>
      </c>
      <c r="B715" s="5" t="str">
        <f>IFERROR(__xludf.DUMMYFUNCTION("LEFT(FILTER(IMPORTRANGE(""https://docs.google.com/spreadsheets/d/1BJSV3WBYJGRhQ6zExamkszQ5VutGIcaQqmbD9ZTVXMQ/edit#gid=1251630045"",""articles_with_PRISMA_reasons!K2:K2113""), $A715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$A715=IMPORTRANGE(""https://docs.google.com/spreadsheets/d/1BJSV3WBYJGRhQ6zExamkszQ5VutGIcaQqmbD9ZTVXMQ/edit#gid=1251630045"",""articles_with_PRISMA_reasons!B2:B2113"")))-1)"),"Syed")</f>
        <v>Syed</v>
      </c>
      <c r="C715" s="6">
        <f>IFERROR(__xludf.DUMMYFUNCTION("FILTER(IMPORTRANGE(""https://docs.google.com/spreadsheets/d/1BJSV3WBYJGRhQ6zExamkszQ5VutGIcaQqmbD9ZTVXMQ/edit#gid=1251630045"",""articles_with_PRISMA_reasons!C2:C2113""), $A715=IMPORTRANGE(""https://docs.google.com/spreadsheets/d/1BJSV3WBYJGRhQ6zExamkszQ5"&amp;"VutGIcaQqmbD9ZTVXMQ/edit#gid=1251630045"",""articles_with_PRISMA_reasons!B2:B2113""))"),2018.0)</f>
        <v>2018</v>
      </c>
      <c r="D715" s="5" t="str">
        <f>IFERROR(__xludf.DUMMYFUNCTION("IFS(AND(
FILTER(IMPORTRANGE(""https://docs.google.com/spreadsheets/d/1BJSV3WBYJGRhQ6zExamkszQ5VutGIcaQqmbD9ZTVXMQ/edit#gid=1251630045"",""articles_with_PRISMA_reasons!Y2:Y2113""), $A715=IMPORTRANGE(""https://docs.google.com/spreadsheets/d/1BJSV3WBYJGRhQ6z"&amp;"ExamkszQ5VutGIcaQqmbD9ZTVXMQ/edit#gid=1251630045"",""articles_with_PRISMA_reasons!B2:B2113""))&gt;=2,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$A715=IMPORTRANGE(""https://docs.google.com/spreadsheets/d/1BJSV3WBYJGRhQ6zExamkszQ5VutGIcaQqmbD9ZTVXMQ/edit#gid=1251630045"",""articles_with_PRISMA_reasons!B2:B2113""))&lt;2),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$A715=IMPORTRANGE(""https://docs.google.com/spreadsheets/d/1BJSV3WBYJGRhQ6zExamkszQ5VutGIcaQqmbD9ZTVXMQ/edit#gid=1251630045"",""arti"&amp;"cles_with_PRISMA_reasons!B2:B2113""))&lt;2,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$A715=IMPORTRANGE(""https://docs.google.com"&amp;"/spreadsheets/d/1BJSV3WBYJGRhQ6zExamkszQ5VutGIcaQqmbD9ZTVXMQ/edit#gid=1251630045"",""articles_with_PRISMA_reasons!B2:B2113""))&gt;=2),
""Exclude""
)"),"Exclude")</f>
        <v>Exclude</v>
      </c>
      <c r="E715" s="5" t="str">
        <f>IFERROR(__xludf.DUMMYFUNCTION("IFS(
D715=""Exclude"",""Exclude"",
AND(
FILTER(IMPORTRANGE(""https://docs.google.com/spreadsheets/d/1qpEmbGH0JjaJbUdp21-y2cPbobDbMjr09BbtdKROZWc/edit#gid=1444865654"",""articles_with_PRISMA_reasons!W2:W2113""), $A715=IMPORTRANGE(""https://docs.google.com/"&amp;"spreadsheets/d/1qpEmbGH0JjaJbUdp21-y2cPbobDbMjr09BbtdKROZWc/edit#gid=1444865654"",""articles_with_PRISMA_reasons!B2:B2113""))&gt;=2,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$A715=IMPORTRANGE(""https://docs.google.com/spreadsheets/d/1qpEmbGH0JjaJbUdp21-y2cPbobDbMjr09BbtdKROZWc/edit#gid=1444865654"",""articles_with_PRISMA_reasons!B2:B2113""))&lt;2),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$A715=IMPORTRANGE(""https://docs.google.com/spreadsheets/d/1qpEmbGH0JjaJbUdp21-y2cPbobDbMjr09BbtdKRO"&amp;"ZWc/edit#gid=1444865654"",""articles_with_PRISMA_reasons!B2:B2113""))&lt;2,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$A715=IMPOR"&amp;"TRANGE(""https://docs.google.com/spreadsheets/d/1qpEmbGH0JjaJbUdp21-y2cPbobDbMjr09BbtdKROZWc/edit#gid=1444865654"",""articles_with_PRISMA_reasons!B2:B2113""))&gt;=2),
""Exclude""
)"),"Exclude")</f>
        <v>Exclude</v>
      </c>
      <c r="F715" s="5" t="str">
        <f>IFERROR(__xludf.DUMMYFUNCTION("IFS(
E715=""Exclude"",""Exclude"",
AND(
COUNTIF(
IMPORTRANGE(""https://docs.google.com/spreadsheets/d/1kGrh75X1cNR1D7_FcY9zMnHP8iPO4M5RCRjy6nZY0TY/edit#gid=0"",""Table 1: Study characteristics!B4:B171""),A715)&gt;0,
COUNTIF(Studies!$A$2:$A$85,FILTER(IMPORTRA"&amp;"NGE(""https://docs.google.com/spreadsheets/d/1kGrh75X1cNR1D7_FcY9zMnHP8iPO4M5RCRjy6nZY0TY/edit#gid=0"",""Table 1: Study characteristics!A4:A171""), $A715=IMPORTRANGE(""https://docs.google.com/spreadsheets/d/1kGrh75X1cNR1D7_FcY9zMnHP8iPO4M5RCRjy6nZY0TY/edi"&amp;"t#gid=0"",""Table 1: Study characteristics!B4:B171"")))&gt;0
),
""Include""
)"),"Exclude")</f>
        <v>Exclude</v>
      </c>
      <c r="G715" s="5" t="str">
        <f>IFERROR(__xludf.DUMMYFUNCTION("IFS(
D715=""Exclude"",
FILTER(IMPORTRANGE(""https://docs.google.com/spreadsheets/d/1BJSV3WBYJGRhQ6zExamkszQ5VutGIcaQqmbD9ZTVXMQ/edit#gid=1251630045"",""articles_with_PRISMA_reasons!AB2:AB2113""), $A715=IMPORTRANGE(""https://docs.google.com/spreadsheets/d/"&amp;"1BJSV3WBYJGRhQ6zExamkszQ5VutGIcaQqmbD9ZTVXMQ/edit#gid=1251630045"",""articles_with_PRISMA_reasons!B2:B2113"")),
E715=""Exclude"",
FILTER(IMPORTRANGE(""https://docs.google.com/spreadsheets/d/1qpEmbGH0JjaJbUdp21-y2cPbobDbMjr09BbtdKROZWc/edit#gid=1444865654"&amp;""",""articles_with_PRISMA_reasons!Z2:Z2113""), $A715=IMPORTRANGE(""https://docs.google.com/spreadsheets/d/1qpEmbGH0JjaJbUdp21-y2cPbobDbMjr09BbtdKROZWc/edit#gid=1444865654"",""articles_with_PRISMA_reasons!B2:B2113"")),F715
=""Include"",FILTER(IMPORTRANGE("&amp;"""https://docs.google.com/spreadsheets/d/1kGrh75X1cNR1D7_FcY9zMnHP8iPO4M5RCRjy6nZY0TY/edit#gid=0"",""Table 1: Study characteristics!A4:A171""), $A715=IMPORTRANGE(""https://docs.google.com/spreadsheets/d/1kGrh75X1cNR1D7_FcY9zMnHP8iPO4M5RCRjy6nZY0TY/edit#gi"&amp;"d=0"",""Table 1: Study characteristics!B4:B171""))
)"),"wrong population")</f>
        <v>wrong population</v>
      </c>
    </row>
    <row r="716">
      <c r="A716" s="4" t="str">
        <f>IFERROR(__xludf.DUMMYFUNCTION("""COMPUTED_VALUE"""),"Endoscopic Third Ventriculostomy in Children with Myelomeningocele: A Case Series")</f>
        <v>Endoscopic Third Ventriculostomy in Children with Myelomeningocele: A Case Series</v>
      </c>
      <c r="B716" s="5" t="str">
        <f>IFERROR(__xludf.DUMMYFUNCTION("LEFT(FILTER(IMPORTRANGE(""https://docs.google.com/spreadsheets/d/1BJSV3WBYJGRhQ6zExamkszQ5VutGIcaQqmbD9ZTVXMQ/edit#gid=1251630045"",""articles_with_PRISMA_reasons!K2:K2113""), $A716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$A716=IMPORTRANGE(""https://docs.google.com/spreadsheets/d/1BJSV3WBYJGRhQ6zExamkszQ5VutGIcaQqmbD9ZTVXMQ/edit#gid=1251630045"",""articles_with_PRISMA_reasons!B2:B2113"")))-1)"),"Perez da Rosa")</f>
        <v>Perez da Rosa</v>
      </c>
      <c r="C716" s="6">
        <f>IFERROR(__xludf.DUMMYFUNCTION("FILTER(IMPORTRANGE(""https://docs.google.com/spreadsheets/d/1BJSV3WBYJGRhQ6zExamkszQ5VutGIcaQqmbD9ZTVXMQ/edit#gid=1251630045"",""articles_with_PRISMA_reasons!C2:C2113""), $A716=IMPORTRANGE(""https://docs.google.com/spreadsheets/d/1BJSV3WBYJGRhQ6zExamkszQ5"&amp;"VutGIcaQqmbD9ZTVXMQ/edit#gid=1251630045"",""articles_with_PRISMA_reasons!B2:B2113""))"),2015.0)</f>
        <v>2015</v>
      </c>
      <c r="D716" s="5" t="str">
        <f>IFERROR(__xludf.DUMMYFUNCTION("IFS(AND(
FILTER(IMPORTRANGE(""https://docs.google.com/spreadsheets/d/1BJSV3WBYJGRhQ6zExamkszQ5VutGIcaQqmbD9ZTVXMQ/edit#gid=1251630045"",""articles_with_PRISMA_reasons!Y2:Y2113""), $A716=IMPORTRANGE(""https://docs.google.com/spreadsheets/d/1BJSV3WBYJGRhQ6z"&amp;"ExamkszQ5VutGIcaQqmbD9ZTVXMQ/edit#gid=1251630045"",""articles_with_PRISMA_reasons!B2:B2113""))&gt;=2,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$A716=IMPORTRANGE(""https://docs.google.com/spreadsheets/d/1BJSV3WBYJGRhQ6zExamkszQ5VutGIcaQqmbD9ZTVXMQ/edit#gid=1251630045"",""articles_with_PRISMA_reasons!B2:B2113""))&lt;2),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$A716=IMPORTRANGE(""https://docs.google.com/spreadsheets/d/1BJSV3WBYJGRhQ6zExamkszQ5VutGIcaQqmbD9ZTVXMQ/edit#gid=1251630045"",""arti"&amp;"cles_with_PRISMA_reasons!B2:B2113""))&lt;2,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$A716=IMPORTRANGE(""https://docs.google.com"&amp;"/spreadsheets/d/1BJSV3WBYJGRhQ6zExamkszQ5VutGIcaQqmbD9ZTVXMQ/edit#gid=1251630045"",""articles_with_PRISMA_reasons!B2:B2113""))&gt;=2),
""Exclude""
)"),"Include")</f>
        <v>Include</v>
      </c>
      <c r="E716" s="5" t="str">
        <f>IFERROR(__xludf.DUMMYFUNCTION("IFS(
D716=""Exclude"",""Exclude"",
AND(
FILTER(IMPORTRANGE(""https://docs.google.com/spreadsheets/d/1qpEmbGH0JjaJbUdp21-y2cPbobDbMjr09BbtdKROZWc/edit#gid=1444865654"",""articles_with_PRISMA_reasons!W2:W2113""), $A716=IMPORTRANGE(""https://docs.google.com/"&amp;"spreadsheets/d/1qpEmbGH0JjaJbUdp21-y2cPbobDbMjr09BbtdKROZWc/edit#gid=1444865654"",""articles_with_PRISMA_reasons!B2:B2113""))&gt;=2,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$A716=IMPORTRANGE(""https://docs.google.com/spreadsheets/d/1qpEmbGH0JjaJbUdp21-y2cPbobDbMjr09BbtdKROZWc/edit#gid=1444865654"",""articles_with_PRISMA_reasons!B2:B2113""))&lt;2),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$A716=IMPORTRANGE(""https://docs.google.com/spreadsheets/d/1qpEmbGH0JjaJbUdp21-y2cPbobDbMjr09BbtdKRO"&amp;"ZWc/edit#gid=1444865654"",""articles_with_PRISMA_reasons!B2:B2113""))&lt;2,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$A716=IMPOR"&amp;"TRANGE(""https://docs.google.com/spreadsheets/d/1qpEmbGH0JjaJbUdp21-y2cPbobDbMjr09BbtdKROZWc/edit#gid=1444865654"",""articles_with_PRISMA_reasons!B2:B2113""))&gt;=2),
""Exclude""
)"),"Include")</f>
        <v>Include</v>
      </c>
      <c r="F716" s="2" t="s">
        <v>8</v>
      </c>
      <c r="G716" s="2" t="s">
        <v>16</v>
      </c>
    </row>
    <row r="717">
      <c r="A717" s="4" t="str">
        <f>IFERROR(__xludf.DUMMYFUNCTION("""COMPUTED_VALUE"""),"Endoscopic third ventriculostomy in infants")</f>
        <v>Endoscopic third ventriculostomy in infants</v>
      </c>
      <c r="B717" s="5" t="str">
        <f>IFERROR(__xludf.DUMMYFUNCTION("LEFT(FILTER(IMPORTRANGE(""https://docs.google.com/spreadsheets/d/1BJSV3WBYJGRhQ6zExamkszQ5VutGIcaQqmbD9ZTVXMQ/edit#gid=1251630045"",""articles_with_PRISMA_reasons!K2:K2113""), $A717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$A717=IMPORTRANGE(""https://docs.google.com/spreadsheets/d/1BJSV3WBYJGRhQ6zExamkszQ5VutGIcaQqmbD9ZTVXMQ/edit#gid=1251630045"",""articles_with_PRISMA_reasons!B2:B2113"")))-1)"),"Kienke")</f>
        <v>Kienke</v>
      </c>
      <c r="C717" s="6">
        <f>IFERROR(__xludf.DUMMYFUNCTION("FILTER(IMPORTRANGE(""https://docs.google.com/spreadsheets/d/1BJSV3WBYJGRhQ6zExamkszQ5VutGIcaQqmbD9ZTVXMQ/edit#gid=1251630045"",""articles_with_PRISMA_reasons!C2:C2113""), $A717=IMPORTRANGE(""https://docs.google.com/spreadsheets/d/1BJSV3WBYJGRhQ6zExamkszQ5"&amp;"VutGIcaQqmbD9ZTVXMQ/edit#gid=1251630045"",""articles_with_PRISMA_reasons!B2:B2113""))"),2005.0)</f>
        <v>2005</v>
      </c>
      <c r="D717" s="5" t="str">
        <f>IFERROR(__xludf.DUMMYFUNCTION("IFS(AND(
FILTER(IMPORTRANGE(""https://docs.google.com/spreadsheets/d/1BJSV3WBYJGRhQ6zExamkszQ5VutGIcaQqmbD9ZTVXMQ/edit#gid=1251630045"",""articles_with_PRISMA_reasons!Y2:Y2113""), $A717=IMPORTRANGE(""https://docs.google.com/spreadsheets/d/1BJSV3WBYJGRhQ6z"&amp;"ExamkszQ5VutGIcaQqmbD9ZTVXMQ/edit#gid=1251630045"",""articles_with_PRISMA_reasons!B2:B2113""))&gt;=2,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$A717=IMPORTRANGE(""https://docs.google.com/spreadsheets/d/1BJSV3WBYJGRhQ6zExamkszQ5VutGIcaQqmbD9ZTVXMQ/edit#gid=1251630045"",""articles_with_PRISMA_reasons!B2:B2113""))&lt;2),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$A717=IMPORTRANGE(""https://docs.google.com/spreadsheets/d/1BJSV3WBYJGRhQ6zExamkszQ5VutGIcaQqmbD9ZTVXMQ/edit#gid=1251630045"",""arti"&amp;"cles_with_PRISMA_reasons!B2:B2113""))&lt;2,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$A717=IMPORTRANGE(""https://docs.google.com"&amp;"/spreadsheets/d/1BJSV3WBYJGRhQ6zExamkszQ5VutGIcaQqmbD9ZTVXMQ/edit#gid=1251630045"",""articles_with_PRISMA_reasons!B2:B2113""))&gt;=2),
""Exclude""
)"),"Include")</f>
        <v>Include</v>
      </c>
      <c r="E717" s="5" t="str">
        <f>IFERROR(__xludf.DUMMYFUNCTION("IFS(
D717=""Exclude"",""Exclude"",
AND(
FILTER(IMPORTRANGE(""https://docs.google.com/spreadsheets/d/1qpEmbGH0JjaJbUdp21-y2cPbobDbMjr09BbtdKROZWc/edit#gid=1444865654"",""articles_with_PRISMA_reasons!W2:W2113""), $A717=IMPORTRANGE(""https://docs.google.com/"&amp;"spreadsheets/d/1qpEmbGH0JjaJbUdp21-y2cPbobDbMjr09BbtdKROZWc/edit#gid=1444865654"",""articles_with_PRISMA_reasons!B2:B2113""))&gt;=2,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$A717=IMPORTRANGE(""https://docs.google.com/spreadsheets/d/1qpEmbGH0JjaJbUdp21-y2cPbobDbMjr09BbtdKROZWc/edit#gid=1444865654"",""articles_with_PRISMA_reasons!B2:B2113""))&lt;2),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$A717=IMPORTRANGE(""https://docs.google.com/spreadsheets/d/1qpEmbGH0JjaJbUdp21-y2cPbobDbMjr09BbtdKRO"&amp;"ZWc/edit#gid=1444865654"",""articles_with_PRISMA_reasons!B2:B2113""))&lt;2,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$A717=IMPOR"&amp;"TRANGE(""https://docs.google.com/spreadsheets/d/1qpEmbGH0JjaJbUdp21-y2cPbobDbMjr09BbtdKROZWc/edit#gid=1444865654"",""articles_with_PRISMA_reasons!B2:B2113""))&gt;=2),
""Exclude""
)"),"Include")</f>
        <v>Include</v>
      </c>
      <c r="F717" s="5" t="str">
        <f>IFERROR(__xludf.DUMMYFUNCTION("IFS(
E717=""Exclude"",""Exclude"",
AND(
COUNTIF(
IMPORTRANGE(""https://docs.google.com/spreadsheets/d/1kGrh75X1cNR1D7_FcY9zMnHP8iPO4M5RCRjy6nZY0TY/edit#gid=0"",""Table 1: Study characteristics!B4:B171""),A717)&gt;0,
COUNTIF(Studies!$A$2:$A$85,FILTER(IMPORTRA"&amp;"NGE(""https://docs.google.com/spreadsheets/d/1kGrh75X1cNR1D7_FcY9zMnHP8iPO4M5RCRjy6nZY0TY/edit#gid=0"",""Table 1: Study characteristics!A4:A171""), $A717=IMPORTRANGE(""https://docs.google.com/spreadsheets/d/1kGrh75X1cNR1D7_FcY9zMnHP8iPO4M5RCRjy6nZY0TY/edi"&amp;"t#gid=0"",""Table 1: Study characteristics!B4:B171"")))&gt;0
),
""Include""
)"),"Include")</f>
        <v>Include</v>
      </c>
      <c r="G717" s="5" t="str">
        <f>IFERROR(__xludf.DUMMYFUNCTION("IFS(
D717=""Exclude"",
FILTER(IMPORTRANGE(""https://docs.google.com/spreadsheets/d/1BJSV3WBYJGRhQ6zExamkszQ5VutGIcaQqmbD9ZTVXMQ/edit#gid=1251630045"",""articles_with_PRISMA_reasons!AB2:AB2113""), $A717=IMPORTRANGE(""https://docs.google.com/spreadsheets/d/"&amp;"1BJSV3WBYJGRhQ6zExamkszQ5VutGIcaQqmbD9ZTVXMQ/edit#gid=1251630045"",""articles_with_PRISMA_reasons!B2:B2113"")),
E717=""Exclude"",
FILTER(IMPORTRANGE(""https://docs.google.com/spreadsheets/d/1qpEmbGH0JjaJbUdp21-y2cPbobDbMjr09BbtdKROZWc/edit#gid=1444865654"&amp;""",""articles_with_PRISMA_reasons!Z2:Z2113""), $A717=IMPORTRANGE(""https://docs.google.com/spreadsheets/d/1qpEmbGH0JjaJbUdp21-y2cPbobDbMjr09BbtdKROZWc/edit#gid=1444865654"",""articles_with_PRISMA_reasons!B2:B2113"")),F717
=""Include"",FILTER(IMPORTRANGE("&amp;"""https://docs.google.com/spreadsheets/d/1kGrh75X1cNR1D7_FcY9zMnHP8iPO4M5RCRjy6nZY0TY/edit#gid=0"",""Table 1: Study characteristics!A4:A171""), $A717=IMPORTRANGE(""https://docs.google.com/spreadsheets/d/1kGrh75X1cNR1D7_FcY9zMnHP8iPO4M5RCRjy6nZY0TY/edit#gi"&amp;"d=0"",""Table 1: Study characteristics!B4:B171""))
)"),"ID 66")</f>
        <v>ID 66</v>
      </c>
    </row>
    <row r="718">
      <c r="A718" s="4" t="str">
        <f>IFERROR(__xludf.DUMMYFUNCTION("""COMPUTED_VALUE"""),"Endoscopic third ventriculostomy in patients with myelomeningocele after shunt failure")</f>
        <v>Endoscopic third ventriculostomy in patients with myelomeningocele after shunt failure</v>
      </c>
      <c r="B718" s="5" t="str">
        <f>IFERROR(__xludf.DUMMYFUNCTION("LEFT(FILTER(IMPORTRANGE(""https://docs.google.com/spreadsheets/d/1BJSV3WBYJGRhQ6zExamkszQ5VutGIcaQqmbD9ZTVXMQ/edit#gid=1251630045"",""articles_with_PRISMA_reasons!K2:K2113""), $A718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$A718=IMPORTRANGE(""https://docs.google.com/spreadsheets/d/1BJSV3WBYJGRhQ6zExamkszQ5VutGIcaQqmbD9ZTVXMQ/edit#gid=1251630045"",""articles_with_PRISMA_reasons!B2:B2113"")))-1)"),"Furtado")</f>
        <v>Furtado</v>
      </c>
      <c r="C718" s="6">
        <f>IFERROR(__xludf.DUMMYFUNCTION("FILTER(IMPORTRANGE(""https://docs.google.com/spreadsheets/d/1BJSV3WBYJGRhQ6zExamkszQ5VutGIcaQqmbD9ZTVXMQ/edit#gid=1251630045"",""articles_with_PRISMA_reasons!C2:C2113""), $A718=IMPORTRANGE(""https://docs.google.com/spreadsheets/d/1BJSV3WBYJGRhQ6zExamkszQ5"&amp;"VutGIcaQqmbD9ZTVXMQ/edit#gid=1251630045"",""articles_with_PRISMA_reasons!B2:B2113""))"),2020.0)</f>
        <v>2020</v>
      </c>
      <c r="D718" s="5" t="str">
        <f>IFERROR(__xludf.DUMMYFUNCTION("IFS(AND(
FILTER(IMPORTRANGE(""https://docs.google.com/spreadsheets/d/1BJSV3WBYJGRhQ6zExamkszQ5VutGIcaQqmbD9ZTVXMQ/edit#gid=1251630045"",""articles_with_PRISMA_reasons!Y2:Y2113""), $A718=IMPORTRANGE(""https://docs.google.com/spreadsheets/d/1BJSV3WBYJGRhQ6z"&amp;"ExamkszQ5VutGIcaQqmbD9ZTVXMQ/edit#gid=1251630045"",""articles_with_PRISMA_reasons!B2:B2113""))&gt;=2,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$A718=IMPORTRANGE(""https://docs.google.com/spreadsheets/d/1BJSV3WBYJGRhQ6zExamkszQ5VutGIcaQqmbD9ZTVXMQ/edit#gid=1251630045"",""articles_with_PRISMA_reasons!B2:B2113""))&lt;2),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$A718=IMPORTRANGE(""https://docs.google.com/spreadsheets/d/1BJSV3WBYJGRhQ6zExamkszQ5VutGIcaQqmbD9ZTVXMQ/edit#gid=1251630045"",""arti"&amp;"cles_with_PRISMA_reasons!B2:B2113""))&lt;2,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$A718=IMPORTRANGE(""https://docs.google.com"&amp;"/spreadsheets/d/1BJSV3WBYJGRhQ6zExamkszQ5VutGIcaQqmbD9ZTVXMQ/edit#gid=1251630045"",""articles_with_PRISMA_reasons!B2:B2113""))&gt;=2),
""Exclude""
)"),"Include")</f>
        <v>Include</v>
      </c>
      <c r="E718" s="5" t="str">
        <f>IFERROR(__xludf.DUMMYFUNCTION("IFS(
D718=""Exclude"",""Exclude"",
AND(
FILTER(IMPORTRANGE(""https://docs.google.com/spreadsheets/d/1qpEmbGH0JjaJbUdp21-y2cPbobDbMjr09BbtdKROZWc/edit#gid=1444865654"",""articles_with_PRISMA_reasons!W2:W2113""), $A718=IMPORTRANGE(""https://docs.google.com/"&amp;"spreadsheets/d/1qpEmbGH0JjaJbUdp21-y2cPbobDbMjr09BbtdKROZWc/edit#gid=1444865654"",""articles_with_PRISMA_reasons!B2:B2113""))&gt;=2,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$A718=IMPORTRANGE(""https://docs.google.com/spreadsheets/d/1qpEmbGH0JjaJbUdp21-y2cPbobDbMjr09BbtdKROZWc/edit#gid=1444865654"",""articles_with_PRISMA_reasons!B2:B2113""))&lt;2),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$A718=IMPORTRANGE(""https://docs.google.com/spreadsheets/d/1qpEmbGH0JjaJbUdp21-y2cPbobDbMjr09BbtdKRO"&amp;"ZWc/edit#gid=1444865654"",""articles_with_PRISMA_reasons!B2:B2113""))&lt;2,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$A718=IMPOR"&amp;"TRANGE(""https://docs.google.com/spreadsheets/d/1qpEmbGH0JjaJbUdp21-y2cPbobDbMjr09BbtdKROZWc/edit#gid=1444865654"",""articles_with_PRISMA_reasons!B2:B2113""))&gt;=2),
""Exclude""
)"),"Include")</f>
        <v>Include</v>
      </c>
      <c r="F718" s="5" t="str">
        <f>IFERROR(__xludf.DUMMYFUNCTION("IFS(
E718=""Exclude"",""Exclude"",
AND(
COUNTIF(
IMPORTRANGE(""https://docs.google.com/spreadsheets/d/1kGrh75X1cNR1D7_FcY9zMnHP8iPO4M5RCRjy6nZY0TY/edit#gid=0"",""Table 1: Study characteristics!B4:B171""),A718)&gt;0,
COUNTIF(Studies!$A$2:$A$85,FILTER(IMPORTRA"&amp;"NGE(""https://docs.google.com/spreadsheets/d/1kGrh75X1cNR1D7_FcY9zMnHP8iPO4M5RCRjy6nZY0TY/edit#gid=0"",""Table 1: Study characteristics!A4:A171""), $A718=IMPORTRANGE(""https://docs.google.com/spreadsheets/d/1kGrh75X1cNR1D7_FcY9zMnHP8iPO4M5RCRjy6nZY0TY/edi"&amp;"t#gid=0"",""Table 1: Study characteristics!B4:B171"")))&gt;0
),
""Include""
)"),"Include")</f>
        <v>Include</v>
      </c>
      <c r="G718" s="5" t="str">
        <f>IFERROR(__xludf.DUMMYFUNCTION("IFS(
D718=""Exclude"",
FILTER(IMPORTRANGE(""https://docs.google.com/spreadsheets/d/1BJSV3WBYJGRhQ6zExamkszQ5VutGIcaQqmbD9ZTVXMQ/edit#gid=1251630045"",""articles_with_PRISMA_reasons!AB2:AB2113""), $A718=IMPORTRANGE(""https://docs.google.com/spreadsheets/d/"&amp;"1BJSV3WBYJGRhQ6zExamkszQ5VutGIcaQqmbD9ZTVXMQ/edit#gid=1251630045"",""articles_with_PRISMA_reasons!B2:B2113"")),
E718=""Exclude"",
FILTER(IMPORTRANGE(""https://docs.google.com/spreadsheets/d/1qpEmbGH0JjaJbUdp21-y2cPbobDbMjr09BbtdKROZWc/edit#gid=1444865654"&amp;""",""articles_with_PRISMA_reasons!Z2:Z2113""), $A718=IMPORTRANGE(""https://docs.google.com/spreadsheets/d/1qpEmbGH0JjaJbUdp21-y2cPbobDbMjr09BbtdKROZWc/edit#gid=1444865654"",""articles_with_PRISMA_reasons!B2:B2113"")),F718
=""Include"",FILTER(IMPORTRANGE("&amp;"""https://docs.google.com/spreadsheets/d/1kGrh75X1cNR1D7_FcY9zMnHP8iPO4M5RCRjy6nZY0TY/edit#gid=0"",""Table 1: Study characteristics!A4:A171""), $A718=IMPORTRANGE(""https://docs.google.com/spreadsheets/d/1kGrh75X1cNR1D7_FcY9zMnHP8iPO4M5RCRjy6nZY0TY/edit#gi"&amp;"d=0"",""Table 1: Study characteristics!B4:B171""))
)"),"ID 67")</f>
        <v>ID 67</v>
      </c>
    </row>
    <row r="719">
      <c r="A719" s="4" t="str">
        <f>IFERROR(__xludf.DUMMYFUNCTION("""COMPUTED_VALUE"""),"Endoscopic third ventriculostomy in the treatment of childhood hydrocephalus in Uganda: Report of a scoring system that predicts success. Clinical article")</f>
        <v>Endoscopic third ventriculostomy in the treatment of childhood hydrocephalus in Uganda: Report of a scoring system that predicts success. Clinical article</v>
      </c>
      <c r="B719" s="5" t="str">
        <f>IFERROR(__xludf.DUMMYFUNCTION("LEFT(FILTER(IMPORTRANGE(""https://docs.google.com/spreadsheets/d/1BJSV3WBYJGRhQ6zExamkszQ5VutGIcaQqmbD9ZTVXMQ/edit#gid=1251630045"",""articles_with_PRISMA_reasons!K2:K2113""), $A719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$A719=IMPORTRANGE(""https://docs.google.com/spreadsheets/d/1BJSV3WBYJGRhQ6zExamkszQ5VutGIcaQqmbD9ZTVXMQ/edit#gid=1251630045"",""articles_with_PRISMA_reasons!B2:B2113"")))-1)"),"Warf")</f>
        <v>Warf</v>
      </c>
      <c r="C719" s="6">
        <f>IFERROR(__xludf.DUMMYFUNCTION("FILTER(IMPORTRANGE(""https://docs.google.com/spreadsheets/d/1BJSV3WBYJGRhQ6zExamkszQ5VutGIcaQqmbD9ZTVXMQ/edit#gid=1251630045"",""articles_with_PRISMA_reasons!C2:C2113""), $A719=IMPORTRANGE(""https://docs.google.com/spreadsheets/d/1BJSV3WBYJGRhQ6zExamkszQ5"&amp;"VutGIcaQqmbD9ZTVXMQ/edit#gid=1251630045"",""articles_with_PRISMA_reasons!B2:B2113""))"),2010.0)</f>
        <v>2010</v>
      </c>
      <c r="D719" s="5" t="str">
        <f>IFERROR(__xludf.DUMMYFUNCTION("IFS(AND(
FILTER(IMPORTRANGE(""https://docs.google.com/spreadsheets/d/1BJSV3WBYJGRhQ6zExamkszQ5VutGIcaQqmbD9ZTVXMQ/edit#gid=1251630045"",""articles_with_PRISMA_reasons!Y2:Y2113""), $A719=IMPORTRANGE(""https://docs.google.com/spreadsheets/d/1BJSV3WBYJGRhQ6z"&amp;"ExamkszQ5VutGIcaQqmbD9ZTVXMQ/edit#gid=1251630045"",""articles_with_PRISMA_reasons!B2:B2113""))&gt;=2,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$A719=IMPORTRANGE(""https://docs.google.com/spreadsheets/d/1BJSV3WBYJGRhQ6zExamkszQ5VutGIcaQqmbD9ZTVXMQ/edit#gid=1251630045"",""articles_with_PRISMA_reasons!B2:B2113""))&lt;2),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$A719=IMPORTRANGE(""https://docs.google.com/spreadsheets/d/1BJSV3WBYJGRhQ6zExamkszQ5VutGIcaQqmbD9ZTVXMQ/edit#gid=1251630045"",""arti"&amp;"cles_with_PRISMA_reasons!B2:B2113""))&lt;2,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$A719=IMPORTRANGE(""https://docs.google.com"&amp;"/spreadsheets/d/1BJSV3WBYJGRhQ6zExamkszQ5VutGIcaQqmbD9ZTVXMQ/edit#gid=1251630045"",""articles_with_PRISMA_reasons!B2:B2113""))&gt;=2),
""Exclude""
)"),"Exclude")</f>
        <v>Exclude</v>
      </c>
      <c r="E719" s="5" t="str">
        <f>IFERROR(__xludf.DUMMYFUNCTION("IFS(
D719=""Exclude"",""Exclude"",
AND(
FILTER(IMPORTRANGE(""https://docs.google.com/spreadsheets/d/1qpEmbGH0JjaJbUdp21-y2cPbobDbMjr09BbtdKROZWc/edit#gid=1444865654"",""articles_with_PRISMA_reasons!W2:W2113""), $A719=IMPORTRANGE(""https://docs.google.com/"&amp;"spreadsheets/d/1qpEmbGH0JjaJbUdp21-y2cPbobDbMjr09BbtdKROZWc/edit#gid=1444865654"",""articles_with_PRISMA_reasons!B2:B2113""))&gt;=2,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$A719=IMPORTRANGE(""https://docs.google.com/spreadsheets/d/1qpEmbGH0JjaJbUdp21-y2cPbobDbMjr09BbtdKROZWc/edit#gid=1444865654"",""articles_with_PRISMA_reasons!B2:B2113""))&lt;2),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$A719=IMPORTRANGE(""https://docs.google.com/spreadsheets/d/1qpEmbGH0JjaJbUdp21-y2cPbobDbMjr09BbtdKRO"&amp;"ZWc/edit#gid=1444865654"",""articles_with_PRISMA_reasons!B2:B2113""))&lt;2,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$A719=IMPOR"&amp;"TRANGE(""https://docs.google.com/spreadsheets/d/1qpEmbGH0JjaJbUdp21-y2cPbobDbMjr09BbtdKROZWc/edit#gid=1444865654"",""articles_with_PRISMA_reasons!B2:B2113""))&gt;=2),
""Exclude""
)"),"Exclude")</f>
        <v>Exclude</v>
      </c>
      <c r="F719" s="5" t="str">
        <f>IFERROR(__xludf.DUMMYFUNCTION("IFS(
E719=""Exclude"",""Exclude"",
AND(
COUNTIF(
IMPORTRANGE(""https://docs.google.com/spreadsheets/d/1kGrh75X1cNR1D7_FcY9zMnHP8iPO4M5RCRjy6nZY0TY/edit#gid=0"",""Table 1: Study characteristics!B4:B171""),A719)&gt;0,
COUNTIF(Studies!$A$2:$A$85,FILTER(IMPORTRA"&amp;"NGE(""https://docs.google.com/spreadsheets/d/1kGrh75X1cNR1D7_FcY9zMnHP8iPO4M5RCRjy6nZY0TY/edit#gid=0"",""Table 1: Study characteristics!A4:A171""), $A719=IMPORTRANGE(""https://docs.google.com/spreadsheets/d/1kGrh75X1cNR1D7_FcY9zMnHP8iPO4M5RCRjy6nZY0TY/edi"&amp;"t#gid=0"",""Table 1: Study characteristics!B4:B171"")))&gt;0
),
""Include""
)"),"Exclude")</f>
        <v>Exclude</v>
      </c>
      <c r="G719" s="5" t="str">
        <f>IFERROR(__xludf.DUMMYFUNCTION("IFS(
D719=""Exclude"",
FILTER(IMPORTRANGE(""https://docs.google.com/spreadsheets/d/1BJSV3WBYJGRhQ6zExamkszQ5VutGIcaQqmbD9ZTVXMQ/edit#gid=1251630045"",""articles_with_PRISMA_reasons!AB2:AB2113""), $A719=IMPORTRANGE(""https://docs.google.com/spreadsheets/d/"&amp;"1BJSV3WBYJGRhQ6zExamkszQ5VutGIcaQqmbD9ZTVXMQ/edit#gid=1251630045"",""articles_with_PRISMA_reasons!B2:B2113"")),
E719=""Exclude"",
FILTER(IMPORTRANGE(""https://docs.google.com/spreadsheets/d/1qpEmbGH0JjaJbUdp21-y2cPbobDbMjr09BbtdKROZWc/edit#gid=1444865654"&amp;""",""articles_with_PRISMA_reasons!Z2:Z2113""), $A719=IMPORTRANGE(""https://docs.google.com/spreadsheets/d/1qpEmbGH0JjaJbUdp21-y2cPbobDbMjr09BbtdKROZWc/edit#gid=1444865654"",""articles_with_PRISMA_reasons!B2:B2113"")),F719
=""Include"",FILTER(IMPORTRANGE("&amp;"""https://docs.google.com/spreadsheets/d/1kGrh75X1cNR1D7_FcY9zMnHP8iPO4M5RCRjy6nZY0TY/edit#gid=0"",""Table 1: Study characteristics!A4:A171""), $A719=IMPORTRANGE(""https://docs.google.com/spreadsheets/d/1kGrh75X1cNR1D7_FcY9zMnHP8iPO4M5RCRjy6nZY0TY/edit#gi"&amp;"d=0"",""Table 1: Study characteristics!B4:B171""))
)"),"wrong population")</f>
        <v>wrong population</v>
      </c>
    </row>
    <row r="720">
      <c r="A720" s="4" t="str">
        <f>IFERROR(__xludf.DUMMYFUNCTION("""COMPUTED_VALUE"""),"Endoscopic third ventriculostomy in the treatment of hydrocephalus: A 20-year retrospective analysis of 209 consecutive cases")</f>
        <v>Endoscopic third ventriculostomy in the treatment of hydrocephalus: A 20-year retrospective analysis of 209 consecutive cases</v>
      </c>
      <c r="B720" s="5" t="str">
        <f>IFERROR(__xludf.DUMMYFUNCTION("LEFT(FILTER(IMPORTRANGE(""https://docs.google.com/spreadsheets/d/1BJSV3WBYJGRhQ6zExamkszQ5VutGIcaQqmbD9ZTVXMQ/edit#gid=1251630045"",""articles_with_PRISMA_reasons!K2:K2113""), $A720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$A720=IMPORTRANGE(""https://docs.google.com/spreadsheets/d/1BJSV3WBYJGRhQ6zExamkszQ5VutGIcaQqmbD9ZTVXMQ/edit#gid=1251630045"",""articles_with_PRISMA_reasons!B2:B2113"")))-1)"),"Faquini")</f>
        <v>Faquini</v>
      </c>
      <c r="C720" s="6">
        <f>IFERROR(__xludf.DUMMYFUNCTION("FILTER(IMPORTRANGE(""https://docs.google.com/spreadsheets/d/1BJSV3WBYJGRhQ6zExamkszQ5VutGIcaQqmbD9ZTVXMQ/edit#gid=1251630045"",""articles_with_PRISMA_reasons!C2:C2113""), $A720=IMPORTRANGE(""https://docs.google.com/spreadsheets/d/1BJSV3WBYJGRhQ6zExamkszQ5"&amp;"VutGIcaQqmbD9ZTVXMQ/edit#gid=1251630045"",""articles_with_PRISMA_reasons!B2:B2113""))"),2021.0)</f>
        <v>2021</v>
      </c>
      <c r="D720" s="5" t="str">
        <f>IFERROR(__xludf.DUMMYFUNCTION("IFS(AND(
FILTER(IMPORTRANGE(""https://docs.google.com/spreadsheets/d/1BJSV3WBYJGRhQ6zExamkszQ5VutGIcaQqmbD9ZTVXMQ/edit#gid=1251630045"",""articles_with_PRISMA_reasons!Y2:Y2113""), $A720=IMPORTRANGE(""https://docs.google.com/spreadsheets/d/1BJSV3WBYJGRhQ6z"&amp;"ExamkszQ5VutGIcaQqmbD9ZTVXMQ/edit#gid=1251630045"",""articles_with_PRISMA_reasons!B2:B2113""))&gt;=2,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$A720=IMPORTRANGE(""https://docs.google.com/spreadsheets/d/1BJSV3WBYJGRhQ6zExamkszQ5VutGIcaQqmbD9ZTVXMQ/edit#gid=1251630045"",""articles_with_PRISMA_reasons!B2:B2113""))&lt;2),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$A720=IMPORTRANGE(""https://docs.google.com/spreadsheets/d/1BJSV3WBYJGRhQ6zExamkszQ5VutGIcaQqmbD9ZTVXMQ/edit#gid=1251630045"",""arti"&amp;"cles_with_PRISMA_reasons!B2:B2113""))&lt;2,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$A720=IMPORTRANGE(""https://docs.google.com"&amp;"/spreadsheets/d/1BJSV3WBYJGRhQ6zExamkszQ5VutGIcaQqmbD9ZTVXMQ/edit#gid=1251630045"",""articles_with_PRISMA_reasons!B2:B2113""))&gt;=2),
""Exclude""
)"),"Include")</f>
        <v>Include</v>
      </c>
      <c r="E720" s="5" t="str">
        <f>IFERROR(__xludf.DUMMYFUNCTION("IFS(
D720=""Exclude"",""Exclude"",
AND(
FILTER(IMPORTRANGE(""https://docs.google.com/spreadsheets/d/1qpEmbGH0JjaJbUdp21-y2cPbobDbMjr09BbtdKROZWc/edit#gid=1444865654"",""articles_with_PRISMA_reasons!W2:W2113""), $A720=IMPORTRANGE(""https://docs.google.com/"&amp;"spreadsheets/d/1qpEmbGH0JjaJbUdp21-y2cPbobDbMjr09BbtdKROZWc/edit#gid=1444865654"",""articles_with_PRISMA_reasons!B2:B2113""))&gt;=2,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$A720=IMPORTRANGE(""https://docs.google.com/spreadsheets/d/1qpEmbGH0JjaJbUdp21-y2cPbobDbMjr09BbtdKROZWc/edit#gid=1444865654"",""articles_with_PRISMA_reasons!B2:B2113""))&lt;2),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$A720=IMPORTRANGE(""https://docs.google.com/spreadsheets/d/1qpEmbGH0JjaJbUdp21-y2cPbobDbMjr09BbtdKRO"&amp;"ZWc/edit#gid=1444865654"",""articles_with_PRISMA_reasons!B2:B2113""))&lt;2,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$A720=IMPOR"&amp;"TRANGE(""https://docs.google.com/spreadsheets/d/1qpEmbGH0JjaJbUdp21-y2cPbobDbMjr09BbtdKROZWc/edit#gid=1444865654"",""articles_with_PRISMA_reasons!B2:B2113""))&gt;=2),
""Exclude""
)"),"Include")</f>
        <v>Include</v>
      </c>
      <c r="F720" s="2" t="s">
        <v>8</v>
      </c>
      <c r="G720" s="2" t="s">
        <v>17</v>
      </c>
    </row>
    <row r="721">
      <c r="A721" s="4" t="str">
        <f>IFERROR(__xludf.DUMMYFUNCTION("""COMPUTED_VALUE"""),"Endoscopic third ventriculostomy in the treatment of obstructive hydrocephalus")</f>
        <v>Endoscopic third ventriculostomy in the treatment of obstructive hydrocephalus</v>
      </c>
      <c r="B721" s="5" t="str">
        <f>IFERROR(__xludf.DUMMYFUNCTION("LEFT(FILTER(IMPORTRANGE(""https://docs.google.com/spreadsheets/d/1BJSV3WBYJGRhQ6zExamkszQ5VutGIcaQqmbD9ZTVXMQ/edit#gid=1251630045"",""articles_with_PRISMA_reasons!K2:K2113""), $A721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$A721=IMPORTRANGE(""https://docs.google.com/spreadsheets/d/1BJSV3WBYJGRhQ6zExamkszQ5VutGIcaQqmbD9ZTVXMQ/edit#gid=1251630045"",""articles_with_PRISMA_reasons!B2:B2113"")))-1)"),"Pereira")</f>
        <v>Pereira</v>
      </c>
      <c r="C721" s="6">
        <f>IFERROR(__xludf.DUMMYFUNCTION("FILTER(IMPORTRANGE(""https://docs.google.com/spreadsheets/d/1BJSV3WBYJGRhQ6zExamkszQ5VutGIcaQqmbD9ZTVXMQ/edit#gid=1251630045"",""articles_with_PRISMA_reasons!C2:C2113""), $A721=IMPORTRANGE(""https://docs.google.com/spreadsheets/d/1BJSV3WBYJGRhQ6zExamkszQ5"&amp;"VutGIcaQqmbD9ZTVXMQ/edit#gid=1251630045"",""articles_with_PRISMA_reasons!B2:B2113""))"),2002.0)</f>
        <v>2002</v>
      </c>
      <c r="D721" s="5" t="str">
        <f>IFERROR(__xludf.DUMMYFUNCTION("IFS(AND(
FILTER(IMPORTRANGE(""https://docs.google.com/spreadsheets/d/1BJSV3WBYJGRhQ6zExamkszQ5VutGIcaQqmbD9ZTVXMQ/edit#gid=1251630045"",""articles_with_PRISMA_reasons!Y2:Y2113""), $A721=IMPORTRANGE(""https://docs.google.com/spreadsheets/d/1BJSV3WBYJGRhQ6z"&amp;"ExamkszQ5VutGIcaQqmbD9ZTVXMQ/edit#gid=1251630045"",""articles_with_PRISMA_reasons!B2:B2113""))&gt;=2,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$A721=IMPORTRANGE(""https://docs.google.com/spreadsheets/d/1BJSV3WBYJGRhQ6zExamkszQ5VutGIcaQqmbD9ZTVXMQ/edit#gid=1251630045"",""articles_with_PRISMA_reasons!B2:B2113""))&lt;2),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$A721=IMPORTRANGE(""https://docs.google.com/spreadsheets/d/1BJSV3WBYJGRhQ6zExamkszQ5VutGIcaQqmbD9ZTVXMQ/edit#gid=1251630045"",""arti"&amp;"cles_with_PRISMA_reasons!B2:B2113""))&lt;2,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$A721=IMPORTRANGE(""https://docs.google.com"&amp;"/spreadsheets/d/1BJSV3WBYJGRhQ6zExamkszQ5VutGIcaQqmbD9ZTVXMQ/edit#gid=1251630045"",""articles_with_PRISMA_reasons!B2:B2113""))&gt;=2),
""Exclude""
)"),"Include")</f>
        <v>Include</v>
      </c>
      <c r="E721" s="5" t="str">
        <f>IFERROR(__xludf.DUMMYFUNCTION("IFS(
D721=""Exclude"",""Exclude"",
AND(
FILTER(IMPORTRANGE(""https://docs.google.com/spreadsheets/d/1qpEmbGH0JjaJbUdp21-y2cPbobDbMjr09BbtdKROZWc/edit#gid=1444865654"",""articles_with_PRISMA_reasons!W2:W2113""), $A721=IMPORTRANGE(""https://docs.google.com/"&amp;"spreadsheets/d/1qpEmbGH0JjaJbUdp21-y2cPbobDbMjr09BbtdKROZWc/edit#gid=1444865654"",""articles_with_PRISMA_reasons!B2:B2113""))&gt;=2,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$A721=IMPORTRANGE(""https://docs.google.com/spreadsheets/d/1qpEmbGH0JjaJbUdp21-y2cPbobDbMjr09BbtdKROZWc/edit#gid=1444865654"",""articles_with_PRISMA_reasons!B2:B2113""))&lt;2),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$A721=IMPORTRANGE(""https://docs.google.com/spreadsheets/d/1qpEmbGH0JjaJbUdp21-y2cPbobDbMjr09BbtdKRO"&amp;"ZWc/edit#gid=1444865654"",""articles_with_PRISMA_reasons!B2:B2113""))&lt;2,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$A721=IMPOR"&amp;"TRANGE(""https://docs.google.com/spreadsheets/d/1qpEmbGH0JjaJbUdp21-y2cPbobDbMjr09BbtdKROZWc/edit#gid=1444865654"",""articles_with_PRISMA_reasons!B2:B2113""))&gt;=2),
""Exclude""
)"),"Exclude")</f>
        <v>Exclude</v>
      </c>
      <c r="F721" s="5" t="str">
        <f>IFERROR(__xludf.DUMMYFUNCTION("IFS(
E721=""Exclude"",""Exclude"",
AND(
COUNTIF(
IMPORTRANGE(""https://docs.google.com/spreadsheets/d/1kGrh75X1cNR1D7_FcY9zMnHP8iPO4M5RCRjy6nZY0TY/edit#gid=0"",""Table 1: Study characteristics!B4:B171""),A721)&gt;0,
COUNTIF(Studies!$A$2:$A$85,FILTER(IMPORTRA"&amp;"NGE(""https://docs.google.com/spreadsheets/d/1kGrh75X1cNR1D7_FcY9zMnHP8iPO4M5RCRjy6nZY0TY/edit#gid=0"",""Table 1: Study characteristics!A4:A171""), $A721=IMPORTRANGE(""https://docs.google.com/spreadsheets/d/1kGrh75X1cNR1D7_FcY9zMnHP8iPO4M5RCRjy6nZY0TY/edi"&amp;"t#gid=0"",""Table 1: Study characteristics!B4:B171"")))&gt;0
),
""Include""
)"),"Exclude")</f>
        <v>Exclude</v>
      </c>
      <c r="G721" s="5" t="str">
        <f>IFERROR(__xludf.DUMMYFUNCTION("IFS(
D721=""Exclude"",
FILTER(IMPORTRANGE(""https://docs.google.com/spreadsheets/d/1BJSV3WBYJGRhQ6zExamkszQ5VutGIcaQqmbD9ZTVXMQ/edit#gid=1251630045"",""articles_with_PRISMA_reasons!AB2:AB2113""), $A721=IMPORTRANGE(""https://docs.google.com/spreadsheets/d/"&amp;"1BJSV3WBYJGRhQ6zExamkszQ5VutGIcaQqmbD9ZTVXMQ/edit#gid=1251630045"",""articles_with_PRISMA_reasons!B2:B2113"")),
E721=""Exclude"",
FILTER(IMPORTRANGE(""https://docs.google.com/spreadsheets/d/1qpEmbGH0JjaJbUdp21-y2cPbobDbMjr09BbtdKROZWc/edit#gid=1444865654"&amp;""",""articles_with_PRISMA_reasons!Z2:Z2113""), $A721=IMPORTRANGE(""https://docs.google.com/spreadsheets/d/1qpEmbGH0JjaJbUdp21-y2cPbobDbMjr09BbtdKROZWc/edit#gid=1444865654"",""articles_with_PRISMA_reasons!B2:B2113"")),F721
=""Include"",FILTER(IMPORTRANGE("&amp;"""https://docs.google.com/spreadsheets/d/1kGrh75X1cNR1D7_FcY9zMnHP8iPO4M5RCRjy6nZY0TY/edit#gid=0"",""Table 1: Study characteristics!A4:A171""), $A721=IMPORTRANGE(""https://docs.google.com/spreadsheets/d/1kGrh75X1cNR1D7_FcY9zMnHP8iPO4M5RCRjy6nZY0TY/edit#gi"&amp;"d=0"",""Table 1: Study characteristics!B4:B171""))
)"),"Full text unavailable")</f>
        <v>Full text unavailable</v>
      </c>
    </row>
    <row r="722">
      <c r="A722" s="4" t="str">
        <f>IFERROR(__xludf.DUMMYFUNCTION("""COMPUTED_VALUE"""),"Endoscopic Third Ventriculostomy to address hydrocephalus in Africa: A call for education and community-based rehabilitation")</f>
        <v>Endoscopic Third Ventriculostomy to address hydrocephalus in Africa: A call for education and community-based rehabilitation</v>
      </c>
      <c r="B722" s="5" t="str">
        <f>IFERROR(__xludf.DUMMYFUNCTION("LEFT(FILTER(IMPORTRANGE(""https://docs.google.com/spreadsheets/d/1BJSV3WBYJGRhQ6zExamkszQ5VutGIcaQqmbD9ZTVXMQ/edit#gid=1251630045"",""articles_with_PRISMA_reasons!K2:K2113""), $A722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$A722=IMPORTRANGE(""https://docs.google.com/spreadsheets/d/1BJSV3WBYJGRhQ6zExamkszQ5VutGIcaQqmbD9ZTVXMQ/edit#gid=1251630045"",""articles_with_PRISMA_reasons!B2:B2113"")))-1)"),"Jimenez-Gomez")</f>
        <v>Jimenez-Gomez</v>
      </c>
      <c r="C722" s="6">
        <f>IFERROR(__xludf.DUMMYFUNCTION("FILTER(IMPORTRANGE(""https://docs.google.com/spreadsheets/d/1BJSV3WBYJGRhQ6zExamkszQ5VutGIcaQqmbD9ZTVXMQ/edit#gid=1251630045"",""articles_with_PRISMA_reasons!C2:C2113""), $A722=IMPORTRANGE(""https://docs.google.com/spreadsheets/d/1BJSV3WBYJGRhQ6zExamkszQ5"&amp;"VutGIcaQqmbD9ZTVXMQ/edit#gid=1251630045"",""articles_with_PRISMA_reasons!B2:B2113""))"),2017.0)</f>
        <v>2017</v>
      </c>
      <c r="D722" s="5" t="str">
        <f>IFERROR(__xludf.DUMMYFUNCTION("IFS(AND(
FILTER(IMPORTRANGE(""https://docs.google.com/spreadsheets/d/1BJSV3WBYJGRhQ6zExamkszQ5VutGIcaQqmbD9ZTVXMQ/edit#gid=1251630045"",""articles_with_PRISMA_reasons!Y2:Y2113""), $A722=IMPORTRANGE(""https://docs.google.com/spreadsheets/d/1BJSV3WBYJGRhQ6z"&amp;"ExamkszQ5VutGIcaQqmbD9ZTVXMQ/edit#gid=1251630045"",""articles_with_PRISMA_reasons!B2:B2113""))&gt;=2,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$A722=IMPORTRANGE(""https://docs.google.com/spreadsheets/d/1BJSV3WBYJGRhQ6zExamkszQ5VutGIcaQqmbD9ZTVXMQ/edit#gid=1251630045"",""articles_with_PRISMA_reasons!B2:B2113""))&lt;2),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$A722=IMPORTRANGE(""https://docs.google.com/spreadsheets/d/1BJSV3WBYJGRhQ6zExamkszQ5VutGIcaQqmbD9ZTVXMQ/edit#gid=1251630045"",""arti"&amp;"cles_with_PRISMA_reasons!B2:B2113""))&lt;2,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$A722=IMPORTRANGE(""https://docs.google.com"&amp;"/spreadsheets/d/1BJSV3WBYJGRhQ6zExamkszQ5VutGIcaQqmbD9ZTVXMQ/edit#gid=1251630045"",""articles_with_PRISMA_reasons!B2:B2113""))&gt;=2),
""Exclude""
)"),"Exclude")</f>
        <v>Exclude</v>
      </c>
      <c r="E722" s="5" t="str">
        <f>IFERROR(__xludf.DUMMYFUNCTION("IFS(
D722=""Exclude"",""Exclude"",
AND(
FILTER(IMPORTRANGE(""https://docs.google.com/spreadsheets/d/1qpEmbGH0JjaJbUdp21-y2cPbobDbMjr09BbtdKROZWc/edit#gid=1444865654"",""articles_with_PRISMA_reasons!W2:W2113""), $A722=IMPORTRANGE(""https://docs.google.com/"&amp;"spreadsheets/d/1qpEmbGH0JjaJbUdp21-y2cPbobDbMjr09BbtdKROZWc/edit#gid=1444865654"",""articles_with_PRISMA_reasons!B2:B2113""))&gt;=2,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$A722=IMPORTRANGE(""https://docs.google.com/spreadsheets/d/1qpEmbGH0JjaJbUdp21-y2cPbobDbMjr09BbtdKROZWc/edit#gid=1444865654"",""articles_with_PRISMA_reasons!B2:B2113""))&lt;2),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$A722=IMPORTRANGE(""https://docs.google.com/spreadsheets/d/1qpEmbGH0JjaJbUdp21-y2cPbobDbMjr09BbtdKRO"&amp;"ZWc/edit#gid=1444865654"",""articles_with_PRISMA_reasons!B2:B2113""))&lt;2,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$A722=IMPOR"&amp;"TRANGE(""https://docs.google.com/spreadsheets/d/1qpEmbGH0JjaJbUdp21-y2cPbobDbMjr09BbtdKROZWc/edit#gid=1444865654"",""articles_with_PRISMA_reasons!B2:B2113""))&gt;=2),
""Exclude""
)"),"Exclude")</f>
        <v>Exclude</v>
      </c>
      <c r="F722" s="5" t="str">
        <f>IFERROR(__xludf.DUMMYFUNCTION("IFS(
E722=""Exclude"",""Exclude"",
AND(
COUNTIF(
IMPORTRANGE(""https://docs.google.com/spreadsheets/d/1kGrh75X1cNR1D7_FcY9zMnHP8iPO4M5RCRjy6nZY0TY/edit#gid=0"",""Table 1: Study characteristics!B4:B171""),A722)&gt;0,
COUNTIF(Studies!$A$2:$A$85,FILTER(IMPORTRA"&amp;"NGE(""https://docs.google.com/spreadsheets/d/1kGrh75X1cNR1D7_FcY9zMnHP8iPO4M5RCRjy6nZY0TY/edit#gid=0"",""Table 1: Study characteristics!A4:A171""), $A722=IMPORTRANGE(""https://docs.google.com/spreadsheets/d/1kGrh75X1cNR1D7_FcY9zMnHP8iPO4M5RCRjy6nZY0TY/edi"&amp;"t#gid=0"",""Table 1: Study characteristics!B4:B171"")))&gt;0
),
""Include""
)"),"Exclude")</f>
        <v>Exclude</v>
      </c>
      <c r="G722" s="5" t="str">
        <f>IFERROR(__xludf.DUMMYFUNCTION("IFS(
D722=""Exclude"",
FILTER(IMPORTRANGE(""https://docs.google.com/spreadsheets/d/1BJSV3WBYJGRhQ6zExamkszQ5VutGIcaQqmbD9ZTVXMQ/edit#gid=1251630045"",""articles_with_PRISMA_reasons!AB2:AB2113""), $A722=IMPORTRANGE(""https://docs.google.com/spreadsheets/d/"&amp;"1BJSV3WBYJGRhQ6zExamkszQ5VutGIcaQqmbD9ZTVXMQ/edit#gid=1251630045"",""articles_with_PRISMA_reasons!B2:B2113"")),
E722=""Exclude"",
FILTER(IMPORTRANGE(""https://docs.google.com/spreadsheets/d/1qpEmbGH0JjaJbUdp21-y2cPbobDbMjr09BbtdKROZWc/edit#gid=1444865654"&amp;""",""articles_with_PRISMA_reasons!Z2:Z2113""), $A722=IMPORTRANGE(""https://docs.google.com/spreadsheets/d/1qpEmbGH0JjaJbUdp21-y2cPbobDbMjr09BbtdKROZWc/edit#gid=1444865654"",""articles_with_PRISMA_reasons!B2:B2113"")),F722
=""Include"",FILTER(IMPORTRANGE("&amp;"""https://docs.google.com/spreadsheets/d/1kGrh75X1cNR1D7_FcY9zMnHP8iPO4M5RCRjy6nZY0TY/edit#gid=0"",""Table 1: Study characteristics!A4:A171""), $A722=IMPORTRANGE(""https://docs.google.com/spreadsheets/d/1kGrh75X1cNR1D7_FcY9zMnHP8iPO4M5RCRjy6nZY0TY/edit#gi"&amp;"d=0"",""Table 1: Study characteristics!B4:B171""))
)"),"wrong study design")</f>
        <v>wrong study design</v>
      </c>
    </row>
    <row r="723">
      <c r="A723" s="4" t="str">
        <f>IFERROR(__xludf.DUMMYFUNCTION("""COMPUTED_VALUE"""),"Endoscopic third ventriculostomy with choroid plexus cauterization for the treatment of infantile hydrocephalus in Haiti")</f>
        <v>Endoscopic third ventriculostomy with choroid plexus cauterization for the treatment of infantile hydrocephalus in Haiti</v>
      </c>
      <c r="B723" s="5" t="str">
        <f>IFERROR(__xludf.DUMMYFUNCTION("LEFT(FILTER(IMPORTRANGE(""https://docs.google.com/spreadsheets/d/1BJSV3WBYJGRhQ6zExamkszQ5VutGIcaQqmbD9ZTVXMQ/edit#gid=1251630045"",""articles_with_PRISMA_reasons!K2:K2113""), $A723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$A723=IMPORTRANGE(""https://docs.google.com/spreadsheets/d/1BJSV3WBYJGRhQ6zExamkszQ5VutGIcaQqmbD9ZTVXMQ/edit#gid=1251630045"",""articles_with_PRISMA_reasons!B2:B2113"")))-1)"),"Shah")</f>
        <v>Shah</v>
      </c>
      <c r="C723" s="6">
        <f>IFERROR(__xludf.DUMMYFUNCTION("FILTER(IMPORTRANGE(""https://docs.google.com/spreadsheets/d/1BJSV3WBYJGRhQ6zExamkszQ5VutGIcaQqmbD9ZTVXMQ/edit#gid=1251630045"",""articles_with_PRISMA_reasons!C2:C2113""), $A723=IMPORTRANGE(""https://docs.google.com/spreadsheets/d/1BJSV3WBYJGRhQ6zExamkszQ5"&amp;"VutGIcaQqmbD9ZTVXMQ/edit#gid=1251630045"",""articles_with_PRISMA_reasons!B2:B2113""))"),2020.0)</f>
        <v>2020</v>
      </c>
      <c r="D723" s="5" t="str">
        <f>IFERROR(__xludf.DUMMYFUNCTION("IFS(AND(
FILTER(IMPORTRANGE(""https://docs.google.com/spreadsheets/d/1BJSV3WBYJGRhQ6zExamkszQ5VutGIcaQqmbD9ZTVXMQ/edit#gid=1251630045"",""articles_with_PRISMA_reasons!Y2:Y2113""), $A723=IMPORTRANGE(""https://docs.google.com/spreadsheets/d/1BJSV3WBYJGRhQ6z"&amp;"ExamkszQ5VutGIcaQqmbD9ZTVXMQ/edit#gid=1251630045"",""articles_with_PRISMA_reasons!B2:B2113""))&gt;=2,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$A723=IMPORTRANGE(""https://docs.google.com/spreadsheets/d/1BJSV3WBYJGRhQ6zExamkszQ5VutGIcaQqmbD9ZTVXMQ/edit#gid=1251630045"",""articles_with_PRISMA_reasons!B2:B2113""))&lt;2),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$A723=IMPORTRANGE(""https://docs.google.com/spreadsheets/d/1BJSV3WBYJGRhQ6zExamkszQ5VutGIcaQqmbD9ZTVXMQ/edit#gid=1251630045"",""arti"&amp;"cles_with_PRISMA_reasons!B2:B2113""))&lt;2,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$A723=IMPORTRANGE(""https://docs.google.com"&amp;"/spreadsheets/d/1BJSV3WBYJGRhQ6zExamkszQ5VutGIcaQqmbD9ZTVXMQ/edit#gid=1251630045"",""articles_with_PRISMA_reasons!B2:B2113""))&gt;=2),
""Exclude""
)"),"Exclude")</f>
        <v>Exclude</v>
      </c>
      <c r="E723" s="5" t="str">
        <f>IFERROR(__xludf.DUMMYFUNCTION("IFS(
D723=""Exclude"",""Exclude"",
AND(
FILTER(IMPORTRANGE(""https://docs.google.com/spreadsheets/d/1qpEmbGH0JjaJbUdp21-y2cPbobDbMjr09BbtdKROZWc/edit#gid=1444865654"",""articles_with_PRISMA_reasons!W2:W2113""), $A723=IMPORTRANGE(""https://docs.google.com/"&amp;"spreadsheets/d/1qpEmbGH0JjaJbUdp21-y2cPbobDbMjr09BbtdKROZWc/edit#gid=1444865654"",""articles_with_PRISMA_reasons!B2:B2113""))&gt;=2,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$A723=IMPORTRANGE(""https://docs.google.com/spreadsheets/d/1qpEmbGH0JjaJbUdp21-y2cPbobDbMjr09BbtdKROZWc/edit#gid=1444865654"",""articles_with_PRISMA_reasons!B2:B2113""))&lt;2),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$A723=IMPORTRANGE(""https://docs.google.com/spreadsheets/d/1qpEmbGH0JjaJbUdp21-y2cPbobDbMjr09BbtdKRO"&amp;"ZWc/edit#gid=1444865654"",""articles_with_PRISMA_reasons!B2:B2113""))&lt;2,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$A723=IMPOR"&amp;"TRANGE(""https://docs.google.com/spreadsheets/d/1qpEmbGH0JjaJbUdp21-y2cPbobDbMjr09BbtdKROZWc/edit#gid=1444865654"",""articles_with_PRISMA_reasons!B2:B2113""))&gt;=2),
""Exclude""
)"),"Exclude")</f>
        <v>Exclude</v>
      </c>
      <c r="F723" s="5" t="str">
        <f>IFERROR(__xludf.DUMMYFUNCTION("IFS(
E723=""Exclude"",""Exclude"",
AND(
COUNTIF(
IMPORTRANGE(""https://docs.google.com/spreadsheets/d/1kGrh75X1cNR1D7_FcY9zMnHP8iPO4M5RCRjy6nZY0TY/edit#gid=0"",""Table 1: Study characteristics!B4:B171""),A723)&gt;0,
COUNTIF(Studies!$A$2:$A$85,FILTER(IMPORTRA"&amp;"NGE(""https://docs.google.com/spreadsheets/d/1kGrh75X1cNR1D7_FcY9zMnHP8iPO4M5RCRjy6nZY0TY/edit#gid=0"",""Table 1: Study characteristics!A4:A171""), $A723=IMPORTRANGE(""https://docs.google.com/spreadsheets/d/1kGrh75X1cNR1D7_FcY9zMnHP8iPO4M5RCRjy6nZY0TY/edi"&amp;"t#gid=0"",""Table 1: Study characteristics!B4:B171"")))&gt;0
),
""Include""
)"),"Exclude")</f>
        <v>Exclude</v>
      </c>
      <c r="G723" s="5" t="str">
        <f>IFERROR(__xludf.DUMMYFUNCTION("IFS(
D723=""Exclude"",
FILTER(IMPORTRANGE(""https://docs.google.com/spreadsheets/d/1BJSV3WBYJGRhQ6zExamkszQ5VutGIcaQqmbD9ZTVXMQ/edit#gid=1251630045"",""articles_with_PRISMA_reasons!AB2:AB2113""), $A723=IMPORTRANGE(""https://docs.google.com/spreadsheets/d/"&amp;"1BJSV3WBYJGRhQ6zExamkszQ5VutGIcaQqmbD9ZTVXMQ/edit#gid=1251630045"",""articles_with_PRISMA_reasons!B2:B2113"")),
E723=""Exclude"",
FILTER(IMPORTRANGE(""https://docs.google.com/spreadsheets/d/1qpEmbGH0JjaJbUdp21-y2cPbobDbMjr09BbtdKROZWc/edit#gid=1444865654"&amp;""",""articles_with_PRISMA_reasons!Z2:Z2113""), $A723=IMPORTRANGE(""https://docs.google.com/spreadsheets/d/1qpEmbGH0JjaJbUdp21-y2cPbobDbMjr09BbtdKROZWc/edit#gid=1444865654"",""articles_with_PRISMA_reasons!B2:B2113"")),F723
=""Include"",FILTER(IMPORTRANGE("&amp;"""https://docs.google.com/spreadsheets/d/1kGrh75X1cNR1D7_FcY9zMnHP8iPO4M5RCRjy6nZY0TY/edit#gid=0"",""Table 1: Study characteristics!A4:A171""), $A723=IMPORTRANGE(""https://docs.google.com/spreadsheets/d/1kGrh75X1cNR1D7_FcY9zMnHP8iPO4M5RCRjy6nZY0TY/edit#gi"&amp;"d=0"",""Table 1: Study characteristics!B4:B171""))
)"),"wrong population")</f>
        <v>wrong population</v>
      </c>
    </row>
    <row r="724">
      <c r="A724" s="4" t="str">
        <f>IFERROR(__xludf.DUMMYFUNCTION("""COMPUTED_VALUE"""),"Endoscopic third ventriculostomy with choroid plexus cauterization outcome: Distinguishing success from failure")</f>
        <v>Endoscopic third ventriculostomy with choroid plexus cauterization outcome: Distinguishing success from failure</v>
      </c>
      <c r="B724" s="5" t="str">
        <f>IFERROR(__xludf.DUMMYFUNCTION("LEFT(FILTER(IMPORTRANGE(""https://docs.google.com/spreadsheets/d/1BJSV3WBYJGRhQ6zExamkszQ5VutGIcaQqmbD9ZTVXMQ/edit#gid=1251630045"",""articles_with_PRISMA_reasons!K2:K2113""), $A724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$A724=IMPORTRANGE(""https://docs.google.com/spreadsheets/d/1BJSV3WBYJGRhQ6zExamkszQ5VutGIcaQqmbD9ZTVXMQ/edit#gid=1251630045"",""articles_with_PRISMA_reasons!B2:B2113"")))-1)"),"Dewan")</f>
        <v>Dewan</v>
      </c>
      <c r="C724" s="6">
        <f>IFERROR(__xludf.DUMMYFUNCTION("FILTER(IMPORTRANGE(""https://docs.google.com/spreadsheets/d/1BJSV3WBYJGRhQ6zExamkszQ5VutGIcaQqmbD9ZTVXMQ/edit#gid=1251630045"",""articles_with_PRISMA_reasons!C2:C2113""), $A724=IMPORTRANGE(""https://docs.google.com/spreadsheets/d/1BJSV3WBYJGRhQ6zExamkszQ5"&amp;"VutGIcaQqmbD9ZTVXMQ/edit#gid=1251630045"",""articles_with_PRISMA_reasons!B2:B2113""))"),2016.0)</f>
        <v>2016</v>
      </c>
      <c r="D724" s="5" t="str">
        <f>IFERROR(__xludf.DUMMYFUNCTION("IFS(AND(
FILTER(IMPORTRANGE(""https://docs.google.com/spreadsheets/d/1BJSV3WBYJGRhQ6zExamkszQ5VutGIcaQqmbD9ZTVXMQ/edit#gid=1251630045"",""articles_with_PRISMA_reasons!Y2:Y2113""), $A724=IMPORTRANGE(""https://docs.google.com/spreadsheets/d/1BJSV3WBYJGRhQ6z"&amp;"ExamkszQ5VutGIcaQqmbD9ZTVXMQ/edit#gid=1251630045"",""articles_with_PRISMA_reasons!B2:B2113""))&gt;=2,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$A724=IMPORTRANGE(""https://docs.google.com/spreadsheets/d/1BJSV3WBYJGRhQ6zExamkszQ5VutGIcaQqmbD9ZTVXMQ/edit#gid=1251630045"",""articles_with_PRISMA_reasons!B2:B2113""))&lt;2),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$A724=IMPORTRANGE(""https://docs.google.com/spreadsheets/d/1BJSV3WBYJGRhQ6zExamkszQ5VutGIcaQqmbD9ZTVXMQ/edit#gid=1251630045"",""arti"&amp;"cles_with_PRISMA_reasons!B2:B2113""))&lt;2,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$A724=IMPORTRANGE(""https://docs.google.com"&amp;"/spreadsheets/d/1BJSV3WBYJGRhQ6zExamkszQ5VutGIcaQqmbD9ZTVXMQ/edit#gid=1251630045"",""articles_with_PRISMA_reasons!B2:B2113""))&gt;=2),
""Exclude""
)"),"Exclude")</f>
        <v>Exclude</v>
      </c>
      <c r="E724" s="5" t="str">
        <f>IFERROR(__xludf.DUMMYFUNCTION("IFS(
D724=""Exclude"",""Exclude"",
AND(
FILTER(IMPORTRANGE(""https://docs.google.com/spreadsheets/d/1qpEmbGH0JjaJbUdp21-y2cPbobDbMjr09BbtdKROZWc/edit#gid=1444865654"",""articles_with_PRISMA_reasons!W2:W2113""), $A724=IMPORTRANGE(""https://docs.google.com/"&amp;"spreadsheets/d/1qpEmbGH0JjaJbUdp21-y2cPbobDbMjr09BbtdKROZWc/edit#gid=1444865654"",""articles_with_PRISMA_reasons!B2:B2113""))&gt;=2,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$A724=IMPORTRANGE(""https://docs.google.com/spreadsheets/d/1qpEmbGH0JjaJbUdp21-y2cPbobDbMjr09BbtdKROZWc/edit#gid=1444865654"",""articles_with_PRISMA_reasons!B2:B2113""))&lt;2),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$A724=IMPORTRANGE(""https://docs.google.com/spreadsheets/d/1qpEmbGH0JjaJbUdp21-y2cPbobDbMjr09BbtdKRO"&amp;"ZWc/edit#gid=1444865654"",""articles_with_PRISMA_reasons!B2:B2113""))&lt;2,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$A724=IMPOR"&amp;"TRANGE(""https://docs.google.com/spreadsheets/d/1qpEmbGH0JjaJbUdp21-y2cPbobDbMjr09BbtdKROZWc/edit#gid=1444865654"",""articles_with_PRISMA_reasons!B2:B2113""))&gt;=2),
""Exclude""
)"),"Exclude")</f>
        <v>Exclude</v>
      </c>
      <c r="F724" s="5" t="str">
        <f>IFERROR(__xludf.DUMMYFUNCTION("IFS(
E724=""Exclude"",""Exclude"",
AND(
COUNTIF(
IMPORTRANGE(""https://docs.google.com/spreadsheets/d/1kGrh75X1cNR1D7_FcY9zMnHP8iPO4M5RCRjy6nZY0TY/edit#gid=0"",""Table 1: Study characteristics!B4:B171""),A724)&gt;0,
COUNTIF(Studies!$A$2:$A$85,FILTER(IMPORTRA"&amp;"NGE(""https://docs.google.com/spreadsheets/d/1kGrh75X1cNR1D7_FcY9zMnHP8iPO4M5RCRjy6nZY0TY/edit#gid=0"",""Table 1: Study characteristics!A4:A171""), $A724=IMPORTRANGE(""https://docs.google.com/spreadsheets/d/1kGrh75X1cNR1D7_FcY9zMnHP8iPO4M5RCRjy6nZY0TY/edi"&amp;"t#gid=0"",""Table 1: Study characteristics!B4:B171"")))&gt;0
),
""Include""
)"),"Exclude")</f>
        <v>Exclude</v>
      </c>
      <c r="G724" s="5" t="str">
        <f>IFERROR(__xludf.DUMMYFUNCTION("IFS(
D724=""Exclude"",
FILTER(IMPORTRANGE(""https://docs.google.com/spreadsheets/d/1BJSV3WBYJGRhQ6zExamkszQ5VutGIcaQqmbD9ZTVXMQ/edit#gid=1251630045"",""articles_with_PRISMA_reasons!AB2:AB2113""), $A724=IMPORTRANGE(""https://docs.google.com/spreadsheets/d/"&amp;"1BJSV3WBYJGRhQ6zExamkszQ5VutGIcaQqmbD9ZTVXMQ/edit#gid=1251630045"",""articles_with_PRISMA_reasons!B2:B2113"")),
E724=""Exclude"",
FILTER(IMPORTRANGE(""https://docs.google.com/spreadsheets/d/1qpEmbGH0JjaJbUdp21-y2cPbobDbMjr09BbtdKROZWc/edit#gid=1444865654"&amp;""",""articles_with_PRISMA_reasons!Z2:Z2113""), $A724=IMPORTRANGE(""https://docs.google.com/spreadsheets/d/1qpEmbGH0JjaJbUdp21-y2cPbobDbMjr09BbtdKROZWc/edit#gid=1444865654"",""articles_with_PRISMA_reasons!B2:B2113"")),F724
=""Include"",FILTER(IMPORTRANGE("&amp;"""https://docs.google.com/spreadsheets/d/1kGrh75X1cNR1D7_FcY9zMnHP8iPO4M5RCRjy6nZY0TY/edit#gid=0"",""Table 1: Study characteristics!A4:A171""), $A724=IMPORTRANGE(""https://docs.google.com/spreadsheets/d/1kGrh75X1cNR1D7_FcY9zMnHP8iPO4M5RCRjy6nZY0TY/edit#gi"&amp;"d=0"",""Table 1: Study characteristics!B4:B171""))
)"),"wrong population")</f>
        <v>wrong population</v>
      </c>
    </row>
    <row r="725">
      <c r="A725" s="4" t="str">
        <f>IFERROR(__xludf.DUMMYFUNCTION("""COMPUTED_VALUE"""),"Endoscopic third ventriculostomy: A historical review")</f>
        <v>Endoscopic third ventriculostomy: A historical review</v>
      </c>
      <c r="B725" s="5" t="str">
        <f>IFERROR(__xludf.DUMMYFUNCTION("LEFT(FILTER(IMPORTRANGE(""https://docs.google.com/spreadsheets/d/1BJSV3WBYJGRhQ6zExamkszQ5VutGIcaQqmbD9ZTVXMQ/edit#gid=1251630045"",""articles_with_PRISMA_reasons!K2:K2113""), $A725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$A725=IMPORTRANGE(""https://docs.google.com/spreadsheets/d/1BJSV3WBYJGRhQ6zExamkszQ5VutGIcaQqmbD9ZTVXMQ/edit#gid=1251630045"",""articles_with_PRISMA_reasons!B2:B2113"")))-1)"),"Demerdash")</f>
        <v>Demerdash</v>
      </c>
      <c r="C725" s="6">
        <f>IFERROR(__xludf.DUMMYFUNCTION("FILTER(IMPORTRANGE(""https://docs.google.com/spreadsheets/d/1BJSV3WBYJGRhQ6zExamkszQ5VutGIcaQqmbD9ZTVXMQ/edit#gid=1251630045"",""articles_with_PRISMA_reasons!C2:C2113""), $A725=IMPORTRANGE(""https://docs.google.com/spreadsheets/d/1BJSV3WBYJGRhQ6zExamkszQ5"&amp;"VutGIcaQqmbD9ZTVXMQ/edit#gid=1251630045"",""articles_with_PRISMA_reasons!B2:B2113""))"),2017.0)</f>
        <v>2017</v>
      </c>
      <c r="D725" s="5" t="str">
        <f>IFERROR(__xludf.DUMMYFUNCTION("IFS(AND(
FILTER(IMPORTRANGE(""https://docs.google.com/spreadsheets/d/1BJSV3WBYJGRhQ6zExamkszQ5VutGIcaQqmbD9ZTVXMQ/edit#gid=1251630045"",""articles_with_PRISMA_reasons!Y2:Y2113""), $A725=IMPORTRANGE(""https://docs.google.com/spreadsheets/d/1BJSV3WBYJGRhQ6z"&amp;"ExamkszQ5VutGIcaQqmbD9ZTVXMQ/edit#gid=1251630045"",""articles_with_PRISMA_reasons!B2:B2113""))&gt;=2,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$A725=IMPORTRANGE(""https://docs.google.com/spreadsheets/d/1BJSV3WBYJGRhQ6zExamkszQ5VutGIcaQqmbD9ZTVXMQ/edit#gid=1251630045"",""articles_with_PRISMA_reasons!B2:B2113""))&lt;2),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$A725=IMPORTRANGE(""https://docs.google.com/spreadsheets/d/1BJSV3WBYJGRhQ6zExamkszQ5VutGIcaQqmbD9ZTVXMQ/edit#gid=1251630045"",""arti"&amp;"cles_with_PRISMA_reasons!B2:B2113""))&lt;2,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$A725=IMPORTRANGE(""https://docs.google.com"&amp;"/spreadsheets/d/1BJSV3WBYJGRhQ6zExamkszQ5VutGIcaQqmbD9ZTVXMQ/edit#gid=1251630045"",""articles_with_PRISMA_reasons!B2:B2113""))&gt;=2),
""Exclude""
)"),"Exclude")</f>
        <v>Exclude</v>
      </c>
      <c r="E725" s="5" t="str">
        <f>IFERROR(__xludf.DUMMYFUNCTION("IFS(
D725=""Exclude"",""Exclude"",
AND(
FILTER(IMPORTRANGE(""https://docs.google.com/spreadsheets/d/1qpEmbGH0JjaJbUdp21-y2cPbobDbMjr09BbtdKROZWc/edit#gid=1444865654"",""articles_with_PRISMA_reasons!W2:W2113""), $A725=IMPORTRANGE(""https://docs.google.com/"&amp;"spreadsheets/d/1qpEmbGH0JjaJbUdp21-y2cPbobDbMjr09BbtdKROZWc/edit#gid=1444865654"",""articles_with_PRISMA_reasons!B2:B2113""))&gt;=2,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$A725=IMPORTRANGE(""https://docs.google.com/spreadsheets/d/1qpEmbGH0JjaJbUdp21-y2cPbobDbMjr09BbtdKROZWc/edit#gid=1444865654"",""articles_with_PRISMA_reasons!B2:B2113""))&lt;2),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$A725=IMPORTRANGE(""https://docs.google.com/spreadsheets/d/1qpEmbGH0JjaJbUdp21-y2cPbobDbMjr09BbtdKRO"&amp;"ZWc/edit#gid=1444865654"",""articles_with_PRISMA_reasons!B2:B2113""))&lt;2,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$A725=IMPOR"&amp;"TRANGE(""https://docs.google.com/spreadsheets/d/1qpEmbGH0JjaJbUdp21-y2cPbobDbMjr09BbtdKROZWc/edit#gid=1444865654"",""articles_with_PRISMA_reasons!B2:B2113""))&gt;=2),
""Exclude""
)"),"Exclude")</f>
        <v>Exclude</v>
      </c>
      <c r="F725" s="5" t="str">
        <f>IFERROR(__xludf.DUMMYFUNCTION("IFS(
E725=""Exclude"",""Exclude"",
AND(
COUNTIF(
IMPORTRANGE(""https://docs.google.com/spreadsheets/d/1kGrh75X1cNR1D7_FcY9zMnHP8iPO4M5RCRjy6nZY0TY/edit#gid=0"",""Table 1: Study characteristics!B4:B171""),A725)&gt;0,
COUNTIF(Studies!$A$2:$A$85,FILTER(IMPORTRA"&amp;"NGE(""https://docs.google.com/spreadsheets/d/1kGrh75X1cNR1D7_FcY9zMnHP8iPO4M5RCRjy6nZY0TY/edit#gid=0"",""Table 1: Study characteristics!A4:A171""), $A725=IMPORTRANGE(""https://docs.google.com/spreadsheets/d/1kGrh75X1cNR1D7_FcY9zMnHP8iPO4M5RCRjy6nZY0TY/edi"&amp;"t#gid=0"",""Table 1: Study characteristics!B4:B171"")))&gt;0
),
""Include""
)"),"Exclude")</f>
        <v>Exclude</v>
      </c>
      <c r="G725" s="5" t="str">
        <f>IFERROR(__xludf.DUMMYFUNCTION("IFS(
D725=""Exclude"",
FILTER(IMPORTRANGE(""https://docs.google.com/spreadsheets/d/1BJSV3WBYJGRhQ6zExamkszQ5VutGIcaQqmbD9ZTVXMQ/edit#gid=1251630045"",""articles_with_PRISMA_reasons!AB2:AB2113""), $A725=IMPORTRANGE(""https://docs.google.com/spreadsheets/d/"&amp;"1BJSV3WBYJGRhQ6zExamkszQ5VutGIcaQqmbD9ZTVXMQ/edit#gid=1251630045"",""articles_with_PRISMA_reasons!B2:B2113"")),
E725=""Exclude"",
FILTER(IMPORTRANGE(""https://docs.google.com/spreadsheets/d/1qpEmbGH0JjaJbUdp21-y2cPbobDbMjr09BbtdKROZWc/edit#gid=1444865654"&amp;""",""articles_with_PRISMA_reasons!Z2:Z2113""), $A725=IMPORTRANGE(""https://docs.google.com/spreadsheets/d/1qpEmbGH0JjaJbUdp21-y2cPbobDbMjr09BbtdKROZWc/edit#gid=1444865654"",""articles_with_PRISMA_reasons!B2:B2113"")),F725
=""Include"",FILTER(IMPORTRANGE("&amp;"""https://docs.google.com/spreadsheets/d/1kGrh75X1cNR1D7_FcY9zMnHP8iPO4M5RCRjy6nZY0TY/edit#gid=0"",""Table 1: Study characteristics!A4:A171""), $A725=IMPORTRANGE(""https://docs.google.com/spreadsheets/d/1kGrh75X1cNR1D7_FcY9zMnHP8iPO4M5RCRjy6nZY0TY/edit#gi"&amp;"d=0"",""Table 1: Study characteristics!B4:B171""))
)"),"wrong study design")</f>
        <v>wrong study design</v>
      </c>
    </row>
    <row r="726">
      <c r="A726" s="4" t="str">
        <f>IFERROR(__xludf.DUMMYFUNCTION("""COMPUTED_VALUE"""),"Endoscopic third ventriculostomy: An efficient treatment of hydromyelia")</f>
        <v>Endoscopic third ventriculostomy: An efficient treatment of hydromyelia</v>
      </c>
      <c r="B726" s="5" t="str">
        <f>IFERROR(__xludf.DUMMYFUNCTION("LEFT(FILTER(IMPORTRANGE(""https://docs.google.com/spreadsheets/d/1BJSV3WBYJGRhQ6zExamkszQ5VutGIcaQqmbD9ZTVXMQ/edit#gid=1251630045"",""articles_with_PRISMA_reasons!K2:K2113""), $A726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$A726=IMPORTRANGE(""https://docs.google.com/spreadsheets/d/1BJSV3WBYJGRhQ6zExamkszQ5VutGIcaQqmbD9ZTVXMQ/edit#gid=1251630045"",""articles_with_PRISMA_reasons!B2:B2113"")))-1)"),"Slimac")</f>
        <v>Slimac</v>
      </c>
      <c r="C726" s="6">
        <f>IFERROR(__xludf.DUMMYFUNCTION("FILTER(IMPORTRANGE(""https://docs.google.com/spreadsheets/d/1BJSV3WBYJGRhQ6zExamkszQ5VutGIcaQqmbD9ZTVXMQ/edit#gid=1251630045"",""articles_with_PRISMA_reasons!C2:C2113""), $A726=IMPORTRANGE(""https://docs.google.com/spreadsheets/d/1BJSV3WBYJGRhQ6zExamkszQ5"&amp;"VutGIcaQqmbD9ZTVXMQ/edit#gid=1251630045"",""articles_with_PRISMA_reasons!B2:B2113""))"),2012.0)</f>
        <v>2012</v>
      </c>
      <c r="D726" s="5" t="str">
        <f>IFERROR(__xludf.DUMMYFUNCTION("IFS(AND(
FILTER(IMPORTRANGE(""https://docs.google.com/spreadsheets/d/1BJSV3WBYJGRhQ6zExamkszQ5VutGIcaQqmbD9ZTVXMQ/edit#gid=1251630045"",""articles_with_PRISMA_reasons!Y2:Y2113""), $A726=IMPORTRANGE(""https://docs.google.com/spreadsheets/d/1BJSV3WBYJGRhQ6z"&amp;"ExamkszQ5VutGIcaQqmbD9ZTVXMQ/edit#gid=1251630045"",""articles_with_PRISMA_reasons!B2:B2113""))&gt;=2,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$A726=IMPORTRANGE(""https://docs.google.com/spreadsheets/d/1BJSV3WBYJGRhQ6zExamkszQ5VutGIcaQqmbD9ZTVXMQ/edit#gid=1251630045"",""articles_with_PRISMA_reasons!B2:B2113""))&lt;2),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$A726=IMPORTRANGE(""https://docs.google.com/spreadsheets/d/1BJSV3WBYJGRhQ6zExamkszQ5VutGIcaQqmbD9ZTVXMQ/edit#gid=1251630045"",""arti"&amp;"cles_with_PRISMA_reasons!B2:B2113""))&lt;2,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$A726=IMPORTRANGE(""https://docs.google.com"&amp;"/spreadsheets/d/1BJSV3WBYJGRhQ6zExamkszQ5VutGIcaQqmbD9ZTVXMQ/edit#gid=1251630045"",""articles_with_PRISMA_reasons!B2:B2113""))&gt;=2),
""Exclude""
)"),"Exclude")</f>
        <v>Exclude</v>
      </c>
      <c r="E726" s="5" t="str">
        <f>IFERROR(__xludf.DUMMYFUNCTION("IFS(
D726=""Exclude"",""Exclude"",
AND(
FILTER(IMPORTRANGE(""https://docs.google.com/spreadsheets/d/1qpEmbGH0JjaJbUdp21-y2cPbobDbMjr09BbtdKROZWc/edit#gid=1444865654"",""articles_with_PRISMA_reasons!W2:W2113""), $A726=IMPORTRANGE(""https://docs.google.com/"&amp;"spreadsheets/d/1qpEmbGH0JjaJbUdp21-y2cPbobDbMjr09BbtdKROZWc/edit#gid=1444865654"",""articles_with_PRISMA_reasons!B2:B2113""))&gt;=2,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$A726=IMPORTRANGE(""https://docs.google.com/spreadsheets/d/1qpEmbGH0JjaJbUdp21-y2cPbobDbMjr09BbtdKROZWc/edit#gid=1444865654"",""articles_with_PRISMA_reasons!B2:B2113""))&lt;2),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$A726=IMPORTRANGE(""https://docs.google.com/spreadsheets/d/1qpEmbGH0JjaJbUdp21-y2cPbobDbMjr09BbtdKRO"&amp;"ZWc/edit#gid=1444865654"",""articles_with_PRISMA_reasons!B2:B2113""))&lt;2,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$A726=IMPOR"&amp;"TRANGE(""https://docs.google.com/spreadsheets/d/1qpEmbGH0JjaJbUdp21-y2cPbobDbMjr09BbtdKROZWc/edit#gid=1444865654"",""articles_with_PRISMA_reasons!B2:B2113""))&gt;=2),
""Exclude""
)"),"Exclude")</f>
        <v>Exclude</v>
      </c>
      <c r="F726" s="5" t="str">
        <f>IFERROR(__xludf.DUMMYFUNCTION("IFS(
E726=""Exclude"",""Exclude"",
AND(
COUNTIF(
IMPORTRANGE(""https://docs.google.com/spreadsheets/d/1kGrh75X1cNR1D7_FcY9zMnHP8iPO4M5RCRjy6nZY0TY/edit#gid=0"",""Table 1: Study characteristics!B4:B171""),A726)&gt;0,
COUNTIF(Studies!$A$2:$A$85,FILTER(IMPORTRA"&amp;"NGE(""https://docs.google.com/spreadsheets/d/1kGrh75X1cNR1D7_FcY9zMnHP8iPO4M5RCRjy6nZY0TY/edit#gid=0"",""Table 1: Study characteristics!A4:A171""), $A726=IMPORTRANGE(""https://docs.google.com/spreadsheets/d/1kGrh75X1cNR1D7_FcY9zMnHP8iPO4M5RCRjy6nZY0TY/edi"&amp;"t#gid=0"",""Table 1: Study characteristics!B4:B171"")))&gt;0
),
""Include""
)"),"Exclude")</f>
        <v>Exclude</v>
      </c>
      <c r="G726" s="5" t="str">
        <f>IFERROR(__xludf.DUMMYFUNCTION("IFS(
D726=""Exclude"",
FILTER(IMPORTRANGE(""https://docs.google.com/spreadsheets/d/1BJSV3WBYJGRhQ6zExamkszQ5VutGIcaQqmbD9ZTVXMQ/edit#gid=1251630045"",""articles_with_PRISMA_reasons!AB2:AB2113""), $A726=IMPORTRANGE(""https://docs.google.com/spreadsheets/d/"&amp;"1BJSV3WBYJGRhQ6zExamkszQ5VutGIcaQqmbD9ZTVXMQ/edit#gid=1251630045"",""articles_with_PRISMA_reasons!B2:B2113"")),
E726=""Exclude"",
FILTER(IMPORTRANGE(""https://docs.google.com/spreadsheets/d/1qpEmbGH0JjaJbUdp21-y2cPbobDbMjr09BbtdKROZWc/edit#gid=1444865654"&amp;""",""articles_with_PRISMA_reasons!Z2:Z2113""), $A726=IMPORTRANGE(""https://docs.google.com/spreadsheets/d/1qpEmbGH0JjaJbUdp21-y2cPbobDbMjr09BbtdKROZWc/edit#gid=1444865654"",""articles_with_PRISMA_reasons!B2:B2113"")),F726
=""Include"",FILTER(IMPORTRANGE("&amp;"""https://docs.google.com/spreadsheets/d/1kGrh75X1cNR1D7_FcY9zMnHP8iPO4M5RCRjy6nZY0TY/edit#gid=0"",""Table 1: Study characteristics!A4:A171""), $A726=IMPORTRANGE(""https://docs.google.com/spreadsheets/d/1kGrh75X1cNR1D7_FcY9zMnHP8iPO4M5RCRjy6nZY0TY/edit#gi"&amp;"d=0"",""Table 1: Study characteristics!B4:B171""))
)"),"wrong study design")</f>
        <v>wrong study design</v>
      </c>
    </row>
    <row r="727">
      <c r="A727" s="4" t="str">
        <f>IFERROR(__xludf.DUMMYFUNCTION("""COMPUTED_VALUE"""),"Endoscopic third ventriculostomy: An outcome analysis")</f>
        <v>Endoscopic third ventriculostomy: An outcome analysis</v>
      </c>
      <c r="B727" s="5" t="str">
        <f>IFERROR(__xludf.DUMMYFUNCTION("LEFT(FILTER(IMPORTRANGE(""https://docs.google.com/spreadsheets/d/1BJSV3WBYJGRhQ6zExamkszQ5VutGIcaQqmbD9ZTVXMQ/edit#gid=1251630045"",""articles_with_PRISMA_reasons!K2:K2113""), $A727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$A727=IMPORTRANGE(""https://docs.google.com/spreadsheets/d/1BJSV3WBYJGRhQ6zExamkszQ5VutGIcaQqmbD9ZTVXMQ/edit#gid=1251630045"",""articles_with_PRISMA_reasons!B2:B2113"")))-1)"),"Abtin")</f>
        <v>Abtin</v>
      </c>
      <c r="C727" s="6">
        <f>IFERROR(__xludf.DUMMYFUNCTION("FILTER(IMPORTRANGE(""https://docs.google.com/spreadsheets/d/1BJSV3WBYJGRhQ6zExamkszQ5VutGIcaQqmbD9ZTVXMQ/edit#gid=1251630045"",""articles_with_PRISMA_reasons!C2:C2113""), $A727=IMPORTRANGE(""https://docs.google.com/spreadsheets/d/1BJSV3WBYJGRhQ6zExamkszQ5"&amp;"VutGIcaQqmbD9ZTVXMQ/edit#gid=1251630045"",""articles_with_PRISMA_reasons!B2:B2113""))"),1998.0)</f>
        <v>1998</v>
      </c>
      <c r="D727" s="5" t="str">
        <f>IFERROR(__xludf.DUMMYFUNCTION("IFS(AND(
FILTER(IMPORTRANGE(""https://docs.google.com/spreadsheets/d/1BJSV3WBYJGRhQ6zExamkszQ5VutGIcaQqmbD9ZTVXMQ/edit#gid=1251630045"",""articles_with_PRISMA_reasons!Y2:Y2113""), $A727=IMPORTRANGE(""https://docs.google.com/spreadsheets/d/1BJSV3WBYJGRhQ6z"&amp;"ExamkszQ5VutGIcaQqmbD9ZTVXMQ/edit#gid=1251630045"",""articles_with_PRISMA_reasons!B2:B2113""))&gt;=2,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$A727=IMPORTRANGE(""https://docs.google.com/spreadsheets/d/1BJSV3WBYJGRhQ6zExamkszQ5VutGIcaQqmbD9ZTVXMQ/edit#gid=1251630045"",""articles_with_PRISMA_reasons!B2:B2113""))&lt;2),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$A727=IMPORTRANGE(""https://docs.google.com/spreadsheets/d/1BJSV3WBYJGRhQ6zExamkszQ5VutGIcaQqmbD9ZTVXMQ/edit#gid=1251630045"",""arti"&amp;"cles_with_PRISMA_reasons!B2:B2113""))&lt;2,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$A727=IMPORTRANGE(""https://docs.google.com"&amp;"/spreadsheets/d/1BJSV3WBYJGRhQ6zExamkszQ5VutGIcaQqmbD9ZTVXMQ/edit#gid=1251630045"",""articles_with_PRISMA_reasons!B2:B2113""))&gt;=2),
""Exclude""
)"),"Include")</f>
        <v>Include</v>
      </c>
      <c r="E727" s="5" t="str">
        <f>IFERROR(__xludf.DUMMYFUNCTION("IFS(
D727=""Exclude"",""Exclude"",
AND(
FILTER(IMPORTRANGE(""https://docs.google.com/spreadsheets/d/1qpEmbGH0JjaJbUdp21-y2cPbobDbMjr09BbtdKROZWc/edit#gid=1444865654"",""articles_with_PRISMA_reasons!W2:W2113""), $A727=IMPORTRANGE(""https://docs.google.com/"&amp;"spreadsheets/d/1qpEmbGH0JjaJbUdp21-y2cPbobDbMjr09BbtdKROZWc/edit#gid=1444865654"",""articles_with_PRISMA_reasons!B2:B2113""))&gt;=2,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$A727=IMPORTRANGE(""https://docs.google.com/spreadsheets/d/1qpEmbGH0JjaJbUdp21-y2cPbobDbMjr09BbtdKROZWc/edit#gid=1444865654"",""articles_with_PRISMA_reasons!B2:B2113""))&lt;2),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$A727=IMPORTRANGE(""https://docs.google.com/spreadsheets/d/1qpEmbGH0JjaJbUdp21-y2cPbobDbMjr09BbtdKRO"&amp;"ZWc/edit#gid=1444865654"",""articles_with_PRISMA_reasons!B2:B2113""))&lt;2,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$A727=IMPOR"&amp;"TRANGE(""https://docs.google.com/spreadsheets/d/1qpEmbGH0JjaJbUdp21-y2cPbobDbMjr09BbtdKROZWc/edit#gid=1444865654"",""articles_with_PRISMA_reasons!B2:B2113""))&gt;=2),
""Exclude""
)"),"Include")</f>
        <v>Include</v>
      </c>
      <c r="F727" s="2" t="s">
        <v>8</v>
      </c>
      <c r="G727" s="2" t="s">
        <v>17</v>
      </c>
    </row>
    <row r="728">
      <c r="A728" s="4" t="str">
        <f>IFERROR(__xludf.DUMMYFUNCTION("""COMPUTED_VALUE"""),"Endovascular management of ventricular catheter-induced anterior cerebral artery false aneurysm: Technical case report")</f>
        <v>Endovascular management of ventricular catheter-induced anterior cerebral artery false aneurysm: Technical case report</v>
      </c>
      <c r="B728" s="5" t="str">
        <f>IFERROR(__xludf.DUMMYFUNCTION("LEFT(FILTER(IMPORTRANGE(""https://docs.google.com/spreadsheets/d/1BJSV3WBYJGRhQ6zExamkszQ5VutGIcaQqmbD9ZTVXMQ/edit#gid=1251630045"",""articles_with_PRISMA_reasons!K2:K2113""), $A728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$A728=IMPORTRANGE(""https://docs.google.com/spreadsheets/d/1BJSV3WBYJGRhQ6zExamkszQ5VutGIcaQqmbD9ZTVXMQ/edit#gid=1251630045"",""articles_with_PRISMA_reasons!B2:B2113"")))-1)"),"Sharts")</f>
        <v>Sharts</v>
      </c>
      <c r="C728" s="6">
        <f>IFERROR(__xludf.DUMMYFUNCTION("FILTER(IMPORTRANGE(""https://docs.google.com/spreadsheets/d/1BJSV3WBYJGRhQ6zExamkszQ5VutGIcaQqmbD9ZTVXMQ/edit#gid=1251630045"",""articles_with_PRISMA_reasons!C2:C2113""), $A728=IMPORTRANGE(""https://docs.google.com/spreadsheets/d/1BJSV3WBYJGRhQ6zExamkszQ5"&amp;"VutGIcaQqmbD9ZTVXMQ/edit#gid=1251630045"",""articles_with_PRISMA_reasons!B2:B2113""))"),2005.0)</f>
        <v>2005</v>
      </c>
      <c r="D728" s="5" t="str">
        <f>IFERROR(__xludf.DUMMYFUNCTION("IFS(AND(
FILTER(IMPORTRANGE(""https://docs.google.com/spreadsheets/d/1BJSV3WBYJGRhQ6zExamkszQ5VutGIcaQqmbD9ZTVXMQ/edit#gid=1251630045"",""articles_with_PRISMA_reasons!Y2:Y2113""), $A728=IMPORTRANGE(""https://docs.google.com/spreadsheets/d/1BJSV3WBYJGRhQ6z"&amp;"ExamkszQ5VutGIcaQqmbD9ZTVXMQ/edit#gid=1251630045"",""articles_with_PRISMA_reasons!B2:B2113""))&gt;=2,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$A728=IMPORTRANGE(""https://docs.google.com/spreadsheets/d/1BJSV3WBYJGRhQ6zExamkszQ5VutGIcaQqmbD9ZTVXMQ/edit#gid=1251630045"",""articles_with_PRISMA_reasons!B2:B2113""))&lt;2),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$A728=IMPORTRANGE(""https://docs.google.com/spreadsheets/d/1BJSV3WBYJGRhQ6zExamkszQ5VutGIcaQqmbD9ZTVXMQ/edit#gid=1251630045"",""arti"&amp;"cles_with_PRISMA_reasons!B2:B2113""))&lt;2,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$A728=IMPORTRANGE(""https://docs.google.com"&amp;"/spreadsheets/d/1BJSV3WBYJGRhQ6zExamkszQ5VutGIcaQqmbD9ZTVXMQ/edit#gid=1251630045"",""articles_with_PRISMA_reasons!B2:B2113""))&gt;=2),
""Exclude""
)"),"Exclude")</f>
        <v>Exclude</v>
      </c>
      <c r="E728" s="5" t="str">
        <f>IFERROR(__xludf.DUMMYFUNCTION("IFS(
D728=""Exclude"",""Exclude"",
AND(
FILTER(IMPORTRANGE(""https://docs.google.com/spreadsheets/d/1qpEmbGH0JjaJbUdp21-y2cPbobDbMjr09BbtdKROZWc/edit#gid=1444865654"",""articles_with_PRISMA_reasons!W2:W2113""), $A728=IMPORTRANGE(""https://docs.google.com/"&amp;"spreadsheets/d/1qpEmbGH0JjaJbUdp21-y2cPbobDbMjr09BbtdKROZWc/edit#gid=1444865654"",""articles_with_PRISMA_reasons!B2:B2113""))&gt;=2,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$A728=IMPORTRANGE(""https://docs.google.com/spreadsheets/d/1qpEmbGH0JjaJbUdp21-y2cPbobDbMjr09BbtdKROZWc/edit#gid=1444865654"",""articles_with_PRISMA_reasons!B2:B2113""))&lt;2),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$A728=IMPORTRANGE(""https://docs.google.com/spreadsheets/d/1qpEmbGH0JjaJbUdp21-y2cPbobDbMjr09BbtdKRO"&amp;"ZWc/edit#gid=1444865654"",""articles_with_PRISMA_reasons!B2:B2113""))&lt;2,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$A728=IMPOR"&amp;"TRANGE(""https://docs.google.com/spreadsheets/d/1qpEmbGH0JjaJbUdp21-y2cPbobDbMjr09BbtdKROZWc/edit#gid=1444865654"",""articles_with_PRISMA_reasons!B2:B2113""))&gt;=2),
""Exclude""
)"),"Exclude")</f>
        <v>Exclude</v>
      </c>
      <c r="F728" s="5" t="str">
        <f>IFERROR(__xludf.DUMMYFUNCTION("IFS(
E728=""Exclude"",""Exclude"",
AND(
COUNTIF(
IMPORTRANGE(""https://docs.google.com/spreadsheets/d/1kGrh75X1cNR1D7_FcY9zMnHP8iPO4M5RCRjy6nZY0TY/edit#gid=0"",""Table 1: Study characteristics!B4:B171""),A728)&gt;0,
COUNTIF(Studies!$A$2:$A$85,FILTER(IMPORTRA"&amp;"NGE(""https://docs.google.com/spreadsheets/d/1kGrh75X1cNR1D7_FcY9zMnHP8iPO4M5RCRjy6nZY0TY/edit#gid=0"",""Table 1: Study characteristics!A4:A171""), $A728=IMPORTRANGE(""https://docs.google.com/spreadsheets/d/1kGrh75X1cNR1D7_FcY9zMnHP8iPO4M5RCRjy6nZY0TY/edi"&amp;"t#gid=0"",""Table 1: Study characteristics!B4:B171"")))&gt;0
),
""Include""
)"),"Exclude")</f>
        <v>Exclude</v>
      </c>
      <c r="G728" s="5" t="str">
        <f>IFERROR(__xludf.DUMMYFUNCTION("IFS(
D728=""Exclude"",
FILTER(IMPORTRANGE(""https://docs.google.com/spreadsheets/d/1BJSV3WBYJGRhQ6zExamkszQ5VutGIcaQqmbD9ZTVXMQ/edit#gid=1251630045"",""articles_with_PRISMA_reasons!AB2:AB2113""), $A728=IMPORTRANGE(""https://docs.google.com/spreadsheets/d/"&amp;"1BJSV3WBYJGRhQ6zExamkszQ5VutGIcaQqmbD9ZTVXMQ/edit#gid=1251630045"",""articles_with_PRISMA_reasons!B2:B2113"")),
E728=""Exclude"",
FILTER(IMPORTRANGE(""https://docs.google.com/spreadsheets/d/1qpEmbGH0JjaJbUdp21-y2cPbobDbMjr09BbtdKROZWc/edit#gid=1444865654"&amp;""",""articles_with_PRISMA_reasons!Z2:Z2113""), $A728=IMPORTRANGE(""https://docs.google.com/spreadsheets/d/1qpEmbGH0JjaJbUdp21-y2cPbobDbMjr09BbtdKROZWc/edit#gid=1444865654"",""articles_with_PRISMA_reasons!B2:B2113"")),F728
=""Include"",FILTER(IMPORTRANGE("&amp;"""https://docs.google.com/spreadsheets/d/1kGrh75X1cNR1D7_FcY9zMnHP8iPO4M5RCRjy6nZY0TY/edit#gid=0"",""Table 1: Study characteristics!A4:A171""), $A728=IMPORTRANGE(""https://docs.google.com/spreadsheets/d/1kGrh75X1cNR1D7_FcY9zMnHP8iPO4M5RCRjy6nZY0TY/edit#gi"&amp;"d=0"",""Table 1: Study characteristics!B4:B171""))
)"),"Duplicate")</f>
        <v>Duplicate</v>
      </c>
    </row>
    <row r="729">
      <c r="A729" s="4" t="str">
        <f>IFERROR(__xludf.DUMMYFUNCTION("""COMPUTED_VALUE"""),"Enhancing nodular lesions in Chiari II malformations in the setting of persistent hindbrain herniation: case report and literature review")</f>
        <v>Enhancing nodular lesions in Chiari II malformations in the setting of persistent hindbrain herniation: case report and literature review</v>
      </c>
      <c r="B729" s="5" t="str">
        <f>IFERROR(__xludf.DUMMYFUNCTION("LEFT(FILTER(IMPORTRANGE(""https://docs.google.com/spreadsheets/d/1BJSV3WBYJGRhQ6zExamkszQ5VutGIcaQqmbD9ZTVXMQ/edit#gid=1251630045"",""articles_with_PRISMA_reasons!K2:K2113""), $A729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$A729=IMPORTRANGE(""https://docs.google.com/spreadsheets/d/1BJSV3WBYJGRhQ6zExamkszQ5VutGIcaQqmbD9ZTVXMQ/edit#gid=1251630045"",""articles_with_PRISMA_reasons!B2:B2113"")))-1)"),"Semonche")</f>
        <v>Semonche</v>
      </c>
      <c r="C729" s="6">
        <f>IFERROR(__xludf.DUMMYFUNCTION("FILTER(IMPORTRANGE(""https://docs.google.com/spreadsheets/d/1BJSV3WBYJGRhQ6zExamkszQ5VutGIcaQqmbD9ZTVXMQ/edit#gid=1251630045"",""articles_with_PRISMA_reasons!C2:C2113""), $A729=IMPORTRANGE(""https://docs.google.com/spreadsheets/d/1BJSV3WBYJGRhQ6zExamkszQ5"&amp;"VutGIcaQqmbD9ZTVXMQ/edit#gid=1251630045"",""articles_with_PRISMA_reasons!B2:B2113""))"),2019.0)</f>
        <v>2019</v>
      </c>
      <c r="D729" s="5" t="str">
        <f>IFERROR(__xludf.DUMMYFUNCTION("IFS(AND(
FILTER(IMPORTRANGE(""https://docs.google.com/spreadsheets/d/1BJSV3WBYJGRhQ6zExamkszQ5VutGIcaQqmbD9ZTVXMQ/edit#gid=1251630045"",""articles_with_PRISMA_reasons!Y2:Y2113""), $A729=IMPORTRANGE(""https://docs.google.com/spreadsheets/d/1BJSV3WBYJGRhQ6z"&amp;"ExamkszQ5VutGIcaQqmbD9ZTVXMQ/edit#gid=1251630045"",""articles_with_PRISMA_reasons!B2:B2113""))&gt;=2,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$A729=IMPORTRANGE(""https://docs.google.com/spreadsheets/d/1BJSV3WBYJGRhQ6zExamkszQ5VutGIcaQqmbD9ZTVXMQ/edit#gid=1251630045"",""articles_with_PRISMA_reasons!B2:B2113""))&lt;2),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$A729=IMPORTRANGE(""https://docs.google.com/spreadsheets/d/1BJSV3WBYJGRhQ6zExamkszQ5VutGIcaQqmbD9ZTVXMQ/edit#gid=1251630045"",""arti"&amp;"cles_with_PRISMA_reasons!B2:B2113""))&lt;2,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$A729=IMPORTRANGE(""https://docs.google.com"&amp;"/spreadsheets/d/1BJSV3WBYJGRhQ6zExamkszQ5VutGIcaQqmbD9ZTVXMQ/edit#gid=1251630045"",""articles_with_PRISMA_reasons!B2:B2113""))&gt;=2),
""Exclude""
)"),"Exclude")</f>
        <v>Exclude</v>
      </c>
      <c r="E729" s="5" t="str">
        <f>IFERROR(__xludf.DUMMYFUNCTION("IFS(
D729=""Exclude"",""Exclude"",
AND(
FILTER(IMPORTRANGE(""https://docs.google.com/spreadsheets/d/1qpEmbGH0JjaJbUdp21-y2cPbobDbMjr09BbtdKROZWc/edit#gid=1444865654"",""articles_with_PRISMA_reasons!W2:W2113""), $A729=IMPORTRANGE(""https://docs.google.com/"&amp;"spreadsheets/d/1qpEmbGH0JjaJbUdp21-y2cPbobDbMjr09BbtdKROZWc/edit#gid=1444865654"",""articles_with_PRISMA_reasons!B2:B2113""))&gt;=2,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$A729=IMPORTRANGE(""https://docs.google.com/spreadsheets/d/1qpEmbGH0JjaJbUdp21-y2cPbobDbMjr09BbtdKROZWc/edit#gid=1444865654"",""articles_with_PRISMA_reasons!B2:B2113""))&lt;2),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$A729=IMPORTRANGE(""https://docs.google.com/spreadsheets/d/1qpEmbGH0JjaJbUdp21-y2cPbobDbMjr09BbtdKRO"&amp;"ZWc/edit#gid=1444865654"",""articles_with_PRISMA_reasons!B2:B2113""))&lt;2,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$A729=IMPOR"&amp;"TRANGE(""https://docs.google.com/spreadsheets/d/1qpEmbGH0JjaJbUdp21-y2cPbobDbMjr09BbtdKROZWc/edit#gid=1444865654"",""articles_with_PRISMA_reasons!B2:B2113""))&gt;=2),
""Exclude""
)"),"Exclude")</f>
        <v>Exclude</v>
      </c>
      <c r="F729" s="5" t="str">
        <f>IFERROR(__xludf.DUMMYFUNCTION("IFS(
E729=""Exclude"",""Exclude"",
AND(
COUNTIF(
IMPORTRANGE(""https://docs.google.com/spreadsheets/d/1kGrh75X1cNR1D7_FcY9zMnHP8iPO4M5RCRjy6nZY0TY/edit#gid=0"",""Table 1: Study characteristics!B4:B171""),A729)&gt;0,
COUNTIF(Studies!$A$2:$A$85,FILTER(IMPORTRA"&amp;"NGE(""https://docs.google.com/spreadsheets/d/1kGrh75X1cNR1D7_FcY9zMnHP8iPO4M5RCRjy6nZY0TY/edit#gid=0"",""Table 1: Study characteristics!A4:A171""), $A729=IMPORTRANGE(""https://docs.google.com/spreadsheets/d/1kGrh75X1cNR1D7_FcY9zMnHP8iPO4M5RCRjy6nZY0TY/edi"&amp;"t#gid=0"",""Table 1: Study characteristics!B4:B171"")))&gt;0
),
""Include""
)"),"Exclude")</f>
        <v>Exclude</v>
      </c>
      <c r="G729" s="5" t="str">
        <f>IFERROR(__xludf.DUMMYFUNCTION("IFS(
D729=""Exclude"",
FILTER(IMPORTRANGE(""https://docs.google.com/spreadsheets/d/1BJSV3WBYJGRhQ6zExamkszQ5VutGIcaQqmbD9ZTVXMQ/edit#gid=1251630045"",""articles_with_PRISMA_reasons!AB2:AB2113""), $A729=IMPORTRANGE(""https://docs.google.com/spreadsheets/d/"&amp;"1BJSV3WBYJGRhQ6zExamkszQ5VutGIcaQqmbD9ZTVXMQ/edit#gid=1251630045"",""articles_with_PRISMA_reasons!B2:B2113"")),
E729=""Exclude"",
FILTER(IMPORTRANGE(""https://docs.google.com/spreadsheets/d/1qpEmbGH0JjaJbUdp21-y2cPbobDbMjr09BbtdKROZWc/edit#gid=1444865654"&amp;""",""articles_with_PRISMA_reasons!Z2:Z2113""), $A729=IMPORTRANGE(""https://docs.google.com/spreadsheets/d/1qpEmbGH0JjaJbUdp21-y2cPbobDbMjr09BbtdKROZWc/edit#gid=1444865654"",""articles_with_PRISMA_reasons!B2:B2113"")),F729
=""Include"",FILTER(IMPORTRANGE("&amp;"""https://docs.google.com/spreadsheets/d/1kGrh75X1cNR1D7_FcY9zMnHP8iPO4M5RCRjy6nZY0TY/edit#gid=0"",""Table 1: Study characteristics!A4:A171""), $A729=IMPORTRANGE(""https://docs.google.com/spreadsheets/d/1kGrh75X1cNR1D7_FcY9zMnHP8iPO4M5RCRjy6nZY0TY/edit#gi"&amp;"d=0"",""Table 1: Study characteristics!B4:B171""))
)"),"Duplicate")</f>
        <v>Duplicate</v>
      </c>
    </row>
    <row r="730">
      <c r="A730" s="4" t="str">
        <f>IFERROR(__xludf.DUMMYFUNCTION("""COMPUTED_VALUE"""),"Enterococcal meningitis: Analysis of twelve cases")</f>
        <v>Enterococcal meningitis: Analysis of twelve cases</v>
      </c>
      <c r="B730" s="5" t="str">
        <f>IFERROR(__xludf.DUMMYFUNCTION("LEFT(FILTER(IMPORTRANGE(""https://docs.google.com/spreadsheets/d/1BJSV3WBYJGRhQ6zExamkszQ5VutGIcaQqmbD9ZTVXMQ/edit#gid=1251630045"",""articles_with_PRISMA_reasons!K2:K2113""), $A730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$A730=IMPORTRANGE(""https://docs.google.com/spreadsheets/d/1BJSV3WBYJGRhQ6zExamkszQ5VutGIcaQqmbD9ZTVXMQ/edit#gid=1251630045"",""articles_with_PRISMA_reasons!B2:B2113"")))-1)"),"Jang")</f>
        <v>Jang</v>
      </c>
      <c r="C730" s="6">
        <f>IFERROR(__xludf.DUMMYFUNCTION("FILTER(IMPORTRANGE(""https://docs.google.com/spreadsheets/d/1BJSV3WBYJGRhQ6zExamkszQ5VutGIcaQqmbD9ZTVXMQ/edit#gid=1251630045"",""articles_with_PRISMA_reasons!C2:C2113""), $A730=IMPORTRANGE(""https://docs.google.com/spreadsheets/d/1BJSV3WBYJGRhQ6zExamkszQ5"&amp;"VutGIcaQqmbD9ZTVXMQ/edit#gid=1251630045"",""articles_with_PRISMA_reasons!B2:B2113""))"),1995.0)</f>
        <v>1995</v>
      </c>
      <c r="D730" s="5" t="str">
        <f>IFERROR(__xludf.DUMMYFUNCTION("IFS(AND(
FILTER(IMPORTRANGE(""https://docs.google.com/spreadsheets/d/1BJSV3WBYJGRhQ6zExamkszQ5VutGIcaQqmbD9ZTVXMQ/edit#gid=1251630045"",""articles_with_PRISMA_reasons!Y2:Y2113""), $A730=IMPORTRANGE(""https://docs.google.com/spreadsheets/d/1BJSV3WBYJGRhQ6z"&amp;"ExamkszQ5VutGIcaQqmbD9ZTVXMQ/edit#gid=1251630045"",""articles_with_PRISMA_reasons!B2:B2113""))&gt;=2,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$A730=IMPORTRANGE(""https://docs.google.com/spreadsheets/d/1BJSV3WBYJGRhQ6zExamkszQ5VutGIcaQqmbD9ZTVXMQ/edit#gid=1251630045"",""articles_with_PRISMA_reasons!B2:B2113""))&lt;2),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$A730=IMPORTRANGE(""https://docs.google.com/spreadsheets/d/1BJSV3WBYJGRhQ6zExamkszQ5VutGIcaQqmbD9ZTVXMQ/edit#gid=1251630045"",""arti"&amp;"cles_with_PRISMA_reasons!B2:B2113""))&lt;2,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$A730=IMPORTRANGE(""https://docs.google.com"&amp;"/spreadsheets/d/1BJSV3WBYJGRhQ6zExamkszQ5VutGIcaQqmbD9ZTVXMQ/edit#gid=1251630045"",""articles_with_PRISMA_reasons!B2:B2113""))&gt;=2),
""Exclude""
)"),"Exclude")</f>
        <v>Exclude</v>
      </c>
      <c r="E730" s="5" t="str">
        <f>IFERROR(__xludf.DUMMYFUNCTION("IFS(
D730=""Exclude"",""Exclude"",
AND(
FILTER(IMPORTRANGE(""https://docs.google.com/spreadsheets/d/1qpEmbGH0JjaJbUdp21-y2cPbobDbMjr09BbtdKROZWc/edit#gid=1444865654"",""articles_with_PRISMA_reasons!W2:W2113""), $A730=IMPORTRANGE(""https://docs.google.com/"&amp;"spreadsheets/d/1qpEmbGH0JjaJbUdp21-y2cPbobDbMjr09BbtdKROZWc/edit#gid=1444865654"",""articles_with_PRISMA_reasons!B2:B2113""))&gt;=2,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$A730=IMPORTRANGE(""https://docs.google.com/spreadsheets/d/1qpEmbGH0JjaJbUdp21-y2cPbobDbMjr09BbtdKROZWc/edit#gid=1444865654"",""articles_with_PRISMA_reasons!B2:B2113""))&lt;2),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$A730=IMPORTRANGE(""https://docs.google.com/spreadsheets/d/1qpEmbGH0JjaJbUdp21-y2cPbobDbMjr09BbtdKRO"&amp;"ZWc/edit#gid=1444865654"",""articles_with_PRISMA_reasons!B2:B2113""))&lt;2,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$A730=IMPOR"&amp;"TRANGE(""https://docs.google.com/spreadsheets/d/1qpEmbGH0JjaJbUdp21-y2cPbobDbMjr09BbtdKROZWc/edit#gid=1444865654"",""articles_with_PRISMA_reasons!B2:B2113""))&gt;=2),
""Exclude""
)"),"Exclude")</f>
        <v>Exclude</v>
      </c>
      <c r="F730" s="5" t="str">
        <f>IFERROR(__xludf.DUMMYFUNCTION("IFS(
E730=""Exclude"",""Exclude"",
AND(
COUNTIF(
IMPORTRANGE(""https://docs.google.com/spreadsheets/d/1kGrh75X1cNR1D7_FcY9zMnHP8iPO4M5RCRjy6nZY0TY/edit#gid=0"",""Table 1: Study characteristics!B4:B171""),A730)&gt;0,
COUNTIF(Studies!$A$2:$A$85,FILTER(IMPORTRA"&amp;"NGE(""https://docs.google.com/spreadsheets/d/1kGrh75X1cNR1D7_FcY9zMnHP8iPO4M5RCRjy6nZY0TY/edit#gid=0"",""Table 1: Study characteristics!A4:A171""), $A730=IMPORTRANGE(""https://docs.google.com/spreadsheets/d/1kGrh75X1cNR1D7_FcY9zMnHP8iPO4M5RCRjy6nZY0TY/edi"&amp;"t#gid=0"",""Table 1: Study characteristics!B4:B171"")))&gt;0
),
""Include""
)"),"Exclude")</f>
        <v>Exclude</v>
      </c>
      <c r="G730" s="5" t="str">
        <f>IFERROR(__xludf.DUMMYFUNCTION("IFS(
D730=""Exclude"",
FILTER(IMPORTRANGE(""https://docs.google.com/spreadsheets/d/1BJSV3WBYJGRhQ6zExamkszQ5VutGIcaQqmbD9ZTVXMQ/edit#gid=1251630045"",""articles_with_PRISMA_reasons!AB2:AB2113""), $A730=IMPORTRANGE(""https://docs.google.com/spreadsheets/d/"&amp;"1BJSV3WBYJGRhQ6zExamkszQ5VutGIcaQqmbD9ZTVXMQ/edit#gid=1251630045"",""articles_with_PRISMA_reasons!B2:B2113"")),
E730=""Exclude"",
FILTER(IMPORTRANGE(""https://docs.google.com/spreadsheets/d/1qpEmbGH0JjaJbUdp21-y2cPbobDbMjr09BbtdKROZWc/edit#gid=1444865654"&amp;""",""articles_with_PRISMA_reasons!Z2:Z2113""), $A730=IMPORTRANGE(""https://docs.google.com/spreadsheets/d/1qpEmbGH0JjaJbUdp21-y2cPbobDbMjr09BbtdKROZWc/edit#gid=1444865654"",""articles_with_PRISMA_reasons!B2:B2113"")),F730
=""Include"",FILTER(IMPORTRANGE("&amp;"""https://docs.google.com/spreadsheets/d/1kGrh75X1cNR1D7_FcY9zMnHP8iPO4M5RCRjy6nZY0TY/edit#gid=0"",""Table 1: Study characteristics!A4:A171""), $A730=IMPORTRANGE(""https://docs.google.com/spreadsheets/d/1kGrh75X1cNR1D7_FcY9zMnHP8iPO4M5RCRjy6nZY0TY/edit#gi"&amp;"d=0"",""Table 1: Study characteristics!B4:B171""))
)"),"Duplicate")</f>
        <v>Duplicate</v>
      </c>
    </row>
    <row r="731">
      <c r="A731" s="4" t="str">
        <f>IFERROR(__xludf.DUMMYFUNCTION("""COMPUTED_VALUE"""),"Entrapped fourth ventricle: another pitfall in the prenatal diagnosis of Dandy-Walker malformations")</f>
        <v>Entrapped fourth ventricle: another pitfall in the prenatal diagnosis of Dandy-Walker malformations</v>
      </c>
      <c r="B731" s="5" t="str">
        <f>IFERROR(__xludf.DUMMYFUNCTION("LEFT(FILTER(IMPORTRANGE(""https://docs.google.com/spreadsheets/d/1BJSV3WBYJGRhQ6zExamkszQ5VutGIcaQqmbD9ZTVXMQ/edit#gid=1251630045"",""articles_with_PRISMA_reasons!K2:K2113""), $A731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$A731=IMPORTRANGE(""https://docs.google.com/spreadsheets/d/1BJSV3WBYJGRhQ6zExamkszQ5VutGIcaQqmbD9ZTVXMQ/edit#gid=1251630045"",""articles_with_PRISMA_reasons!B2:B2113"")))-1)"),"Tsao")</f>
        <v>Tsao</v>
      </c>
      <c r="C731" s="6">
        <f>IFERROR(__xludf.DUMMYFUNCTION("FILTER(IMPORTRANGE(""https://docs.google.com/spreadsheets/d/1BJSV3WBYJGRhQ6zExamkszQ5VutGIcaQqmbD9ZTVXMQ/edit#gid=1251630045"",""articles_with_PRISMA_reasons!C2:C2113""), $A731=IMPORTRANGE(""https://docs.google.com/spreadsheets/d/1BJSV3WBYJGRhQ6zExamkszQ5"&amp;"VutGIcaQqmbD9ZTVXMQ/edit#gid=1251630045"",""articles_with_PRISMA_reasons!B2:B2113""))"),2002.0)</f>
        <v>2002</v>
      </c>
      <c r="D731" s="5" t="str">
        <f>IFERROR(__xludf.DUMMYFUNCTION("IFS(AND(
FILTER(IMPORTRANGE(""https://docs.google.com/spreadsheets/d/1BJSV3WBYJGRhQ6zExamkszQ5VutGIcaQqmbD9ZTVXMQ/edit#gid=1251630045"",""articles_with_PRISMA_reasons!Y2:Y2113""), $A731=IMPORTRANGE(""https://docs.google.com/spreadsheets/d/1BJSV3WBYJGRhQ6z"&amp;"ExamkszQ5VutGIcaQqmbD9ZTVXMQ/edit#gid=1251630045"",""articles_with_PRISMA_reasons!B2:B2113""))&gt;=2,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$A731=IMPORTRANGE(""https://docs.google.com/spreadsheets/d/1BJSV3WBYJGRhQ6zExamkszQ5VutGIcaQqmbD9ZTVXMQ/edit#gid=1251630045"",""articles_with_PRISMA_reasons!B2:B2113""))&lt;2),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$A731=IMPORTRANGE(""https://docs.google.com/spreadsheets/d/1BJSV3WBYJGRhQ6zExamkszQ5VutGIcaQqmbD9ZTVXMQ/edit#gid=1251630045"",""arti"&amp;"cles_with_PRISMA_reasons!B2:B2113""))&lt;2,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$A731=IMPORTRANGE(""https://docs.google.com"&amp;"/spreadsheets/d/1BJSV3WBYJGRhQ6zExamkszQ5VutGIcaQqmbD9ZTVXMQ/edit#gid=1251630045"",""articles_with_PRISMA_reasons!B2:B2113""))&gt;=2),
""Exclude""
)"),"Exclude")</f>
        <v>Exclude</v>
      </c>
      <c r="E731" s="5" t="str">
        <f>IFERROR(__xludf.DUMMYFUNCTION("IFS(
D731=""Exclude"",""Exclude"",
AND(
FILTER(IMPORTRANGE(""https://docs.google.com/spreadsheets/d/1qpEmbGH0JjaJbUdp21-y2cPbobDbMjr09BbtdKROZWc/edit#gid=1444865654"",""articles_with_PRISMA_reasons!W2:W2113""), $A731=IMPORTRANGE(""https://docs.google.com/"&amp;"spreadsheets/d/1qpEmbGH0JjaJbUdp21-y2cPbobDbMjr09BbtdKROZWc/edit#gid=1444865654"",""articles_with_PRISMA_reasons!B2:B2113""))&gt;=2,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$A731=IMPORTRANGE(""https://docs.google.com/spreadsheets/d/1qpEmbGH0JjaJbUdp21-y2cPbobDbMjr09BbtdKROZWc/edit#gid=1444865654"",""articles_with_PRISMA_reasons!B2:B2113""))&lt;2),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$A731=IMPORTRANGE(""https://docs.google.com/spreadsheets/d/1qpEmbGH0JjaJbUdp21-y2cPbobDbMjr09BbtdKRO"&amp;"ZWc/edit#gid=1444865654"",""articles_with_PRISMA_reasons!B2:B2113""))&lt;2,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$A731=IMPOR"&amp;"TRANGE(""https://docs.google.com/spreadsheets/d/1qpEmbGH0JjaJbUdp21-y2cPbobDbMjr09BbtdKROZWc/edit#gid=1444865654"",""articles_with_PRISMA_reasons!B2:B2113""))&gt;=2),
""Exclude""
)"),"Exclude")</f>
        <v>Exclude</v>
      </c>
      <c r="F731" s="5" t="str">
        <f>IFERROR(__xludf.DUMMYFUNCTION("IFS(
E731=""Exclude"",""Exclude"",
AND(
COUNTIF(
IMPORTRANGE(""https://docs.google.com/spreadsheets/d/1kGrh75X1cNR1D7_FcY9zMnHP8iPO4M5RCRjy6nZY0TY/edit#gid=0"",""Table 1: Study characteristics!B4:B171""),A731)&gt;0,
COUNTIF(Studies!$A$2:$A$85,FILTER(IMPORTRA"&amp;"NGE(""https://docs.google.com/spreadsheets/d/1kGrh75X1cNR1D7_FcY9zMnHP8iPO4M5RCRjy6nZY0TY/edit#gid=0"",""Table 1: Study characteristics!A4:A171""), $A731=IMPORTRANGE(""https://docs.google.com/spreadsheets/d/1kGrh75X1cNR1D7_FcY9zMnHP8iPO4M5RCRjy6nZY0TY/edi"&amp;"t#gid=0"",""Table 1: Study characteristics!B4:B171"")))&gt;0
),
""Include""
)"),"Exclude")</f>
        <v>Exclude</v>
      </c>
      <c r="G731" s="5" t="str">
        <f>IFERROR(__xludf.DUMMYFUNCTION("IFS(
D731=""Exclude"",
FILTER(IMPORTRANGE(""https://docs.google.com/spreadsheets/d/1BJSV3WBYJGRhQ6zExamkszQ5VutGIcaQqmbD9ZTVXMQ/edit#gid=1251630045"",""articles_with_PRISMA_reasons!AB2:AB2113""), $A731=IMPORTRANGE(""https://docs.google.com/spreadsheets/d/"&amp;"1BJSV3WBYJGRhQ6zExamkszQ5VutGIcaQqmbD9ZTVXMQ/edit#gid=1251630045"",""articles_with_PRISMA_reasons!B2:B2113"")),
E731=""Exclude"",
FILTER(IMPORTRANGE(""https://docs.google.com/spreadsheets/d/1qpEmbGH0JjaJbUdp21-y2cPbobDbMjr09BbtdKROZWc/edit#gid=1444865654"&amp;""",""articles_with_PRISMA_reasons!Z2:Z2113""), $A731=IMPORTRANGE(""https://docs.google.com/spreadsheets/d/1qpEmbGH0JjaJbUdp21-y2cPbobDbMjr09BbtdKROZWc/edit#gid=1444865654"",""articles_with_PRISMA_reasons!B2:B2113"")),F731
=""Include"",FILTER(IMPORTRANGE("&amp;"""https://docs.google.com/spreadsheets/d/1kGrh75X1cNR1D7_FcY9zMnHP8iPO4M5RCRjy6nZY0TY/edit#gid=0"",""Table 1: Study characteristics!A4:A171""), $A731=IMPORTRANGE(""https://docs.google.com/spreadsheets/d/1kGrh75X1cNR1D7_FcY9zMnHP8iPO4M5RCRjy6nZY0TY/edit#gi"&amp;"d=0"",""Table 1: Study characteristics!B4:B171""))
)"),"wrong study design")</f>
        <v>wrong study design</v>
      </c>
    </row>
    <row r="732">
      <c r="A732" s="4" t="str">
        <f>IFERROR(__xludf.DUMMYFUNCTION("""COMPUTED_VALUE"""),"Eosinophilia in the cerebrospinal fluid of children with shunts implanted for the treatment of internal hydrocephalus")</f>
        <v>Eosinophilia in the cerebrospinal fluid of children with shunts implanted for the treatment of internal hydrocephalus</v>
      </c>
      <c r="B732" s="5" t="str">
        <f>IFERROR(__xludf.DUMMYFUNCTION("LEFT(FILTER(IMPORTRANGE(""https://docs.google.com/spreadsheets/d/1BJSV3WBYJGRhQ6zExamkszQ5VutGIcaQqmbD9ZTVXMQ/edit#gid=1251630045"",""articles_with_PRISMA_reasons!K2:K2113""), $A732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$A732=IMPORTRANGE(""https://docs.google.com/spreadsheets/d/1BJSV3WBYJGRhQ6zExamkszQ5VutGIcaQqmbD9ZTVXMQ/edit#gid=1251630045"",""articles_with_PRISMA_reasons!B2:B2113"")))-1)"),"Tzvetanova")</f>
        <v>Tzvetanova</v>
      </c>
      <c r="C732" s="6">
        <f>IFERROR(__xludf.DUMMYFUNCTION("FILTER(IMPORTRANGE(""https://docs.google.com/spreadsheets/d/1BJSV3WBYJGRhQ6zExamkszQ5VutGIcaQqmbD9ZTVXMQ/edit#gid=1251630045"",""articles_with_PRISMA_reasons!C2:C2113""), $A732=IMPORTRANGE(""https://docs.google.com/spreadsheets/d/1BJSV3WBYJGRhQ6zExamkszQ5"&amp;"VutGIcaQqmbD9ZTVXMQ/edit#gid=1251630045"",""articles_with_PRISMA_reasons!B2:B2113""))"),1986.0)</f>
        <v>1986</v>
      </c>
      <c r="D732" s="5" t="str">
        <f>IFERROR(__xludf.DUMMYFUNCTION("IFS(AND(
FILTER(IMPORTRANGE(""https://docs.google.com/spreadsheets/d/1BJSV3WBYJGRhQ6zExamkszQ5VutGIcaQqmbD9ZTVXMQ/edit#gid=1251630045"",""articles_with_PRISMA_reasons!Y2:Y2113""), $A732=IMPORTRANGE(""https://docs.google.com/spreadsheets/d/1BJSV3WBYJGRhQ6z"&amp;"ExamkszQ5VutGIcaQqmbD9ZTVXMQ/edit#gid=1251630045"",""articles_with_PRISMA_reasons!B2:B2113""))&gt;=2,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$A732=IMPORTRANGE(""https://docs.google.com/spreadsheets/d/1BJSV3WBYJGRhQ6zExamkszQ5VutGIcaQqmbD9ZTVXMQ/edit#gid=1251630045"",""articles_with_PRISMA_reasons!B2:B2113""))&lt;2),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$A732=IMPORTRANGE(""https://docs.google.com/spreadsheets/d/1BJSV3WBYJGRhQ6zExamkszQ5VutGIcaQqmbD9ZTVXMQ/edit#gid=1251630045"",""arti"&amp;"cles_with_PRISMA_reasons!B2:B2113""))&lt;2,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$A732=IMPORTRANGE(""https://docs.google.com"&amp;"/spreadsheets/d/1BJSV3WBYJGRhQ6zExamkszQ5VutGIcaQqmbD9ZTVXMQ/edit#gid=1251630045"",""articles_with_PRISMA_reasons!B2:B2113""))&gt;=2),
""Exclude""
)"),"Exclude")</f>
        <v>Exclude</v>
      </c>
      <c r="E732" s="5" t="str">
        <f>IFERROR(__xludf.DUMMYFUNCTION("IFS(
D732=""Exclude"",""Exclude"",
AND(
FILTER(IMPORTRANGE(""https://docs.google.com/spreadsheets/d/1qpEmbGH0JjaJbUdp21-y2cPbobDbMjr09BbtdKROZWc/edit#gid=1444865654"",""articles_with_PRISMA_reasons!W2:W2113""), $A732=IMPORTRANGE(""https://docs.google.com/"&amp;"spreadsheets/d/1qpEmbGH0JjaJbUdp21-y2cPbobDbMjr09BbtdKROZWc/edit#gid=1444865654"",""articles_with_PRISMA_reasons!B2:B2113""))&gt;=2,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$A732=IMPORTRANGE(""https://docs.google.com/spreadsheets/d/1qpEmbGH0JjaJbUdp21-y2cPbobDbMjr09BbtdKROZWc/edit#gid=1444865654"",""articles_with_PRISMA_reasons!B2:B2113""))&lt;2),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$A732=IMPORTRANGE(""https://docs.google.com/spreadsheets/d/1qpEmbGH0JjaJbUdp21-y2cPbobDbMjr09BbtdKRO"&amp;"ZWc/edit#gid=1444865654"",""articles_with_PRISMA_reasons!B2:B2113""))&lt;2,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$A732=IMPOR"&amp;"TRANGE(""https://docs.google.com/spreadsheets/d/1qpEmbGH0JjaJbUdp21-y2cPbobDbMjr09BbtdKROZWc/edit#gid=1444865654"",""articles_with_PRISMA_reasons!B2:B2113""))&gt;=2),
""Exclude""
)"),"Exclude")</f>
        <v>Exclude</v>
      </c>
      <c r="F732" s="5" t="str">
        <f>IFERROR(__xludf.DUMMYFUNCTION("IFS(
E732=""Exclude"",""Exclude"",
AND(
COUNTIF(
IMPORTRANGE(""https://docs.google.com/spreadsheets/d/1kGrh75X1cNR1D7_FcY9zMnHP8iPO4M5RCRjy6nZY0TY/edit#gid=0"",""Table 1: Study characteristics!B4:B171""),A732)&gt;0,
COUNTIF(Studies!$A$2:$A$85,FILTER(IMPORTRA"&amp;"NGE(""https://docs.google.com/spreadsheets/d/1kGrh75X1cNR1D7_FcY9zMnHP8iPO4M5RCRjy6nZY0TY/edit#gid=0"",""Table 1: Study characteristics!A4:A171""), $A732=IMPORTRANGE(""https://docs.google.com/spreadsheets/d/1kGrh75X1cNR1D7_FcY9zMnHP8iPO4M5RCRjy6nZY0TY/edi"&amp;"t#gid=0"",""Table 1: Study characteristics!B4:B171"")))&gt;0
),
""Include""
)"),"Exclude")</f>
        <v>Exclude</v>
      </c>
      <c r="G732" s="5" t="str">
        <f>IFERROR(__xludf.DUMMYFUNCTION("IFS(
D732=""Exclude"",
FILTER(IMPORTRANGE(""https://docs.google.com/spreadsheets/d/1BJSV3WBYJGRhQ6zExamkszQ5VutGIcaQqmbD9ZTVXMQ/edit#gid=1251630045"",""articles_with_PRISMA_reasons!AB2:AB2113""), $A732=IMPORTRANGE(""https://docs.google.com/spreadsheets/d/"&amp;"1BJSV3WBYJGRhQ6zExamkszQ5VutGIcaQqmbD9ZTVXMQ/edit#gid=1251630045"",""articles_with_PRISMA_reasons!B2:B2113"")),
E732=""Exclude"",
FILTER(IMPORTRANGE(""https://docs.google.com/spreadsheets/d/1qpEmbGH0JjaJbUdp21-y2cPbobDbMjr09BbtdKROZWc/edit#gid=1444865654"&amp;""",""articles_with_PRISMA_reasons!Z2:Z2113""), $A732=IMPORTRANGE(""https://docs.google.com/spreadsheets/d/1qpEmbGH0JjaJbUdp21-y2cPbobDbMjr09BbtdKROZWc/edit#gid=1444865654"",""articles_with_PRISMA_reasons!B2:B2113"")),F732
=""Include"",FILTER(IMPORTRANGE("&amp;"""https://docs.google.com/spreadsheets/d/1kGrh75X1cNR1D7_FcY9zMnHP8iPO4M5RCRjy6nZY0TY/edit#gid=0"",""Table 1: Study characteristics!A4:A171""), $A732=IMPORTRANGE(""https://docs.google.com/spreadsheets/d/1kGrh75X1cNR1D7_FcY9zMnHP8iPO4M5RCRjy6nZY0TY/edit#gi"&amp;"d=0"",""Table 1: Study characteristics!B4:B171""))
)"),"wrong population")</f>
        <v>wrong population</v>
      </c>
    </row>
    <row r="733">
      <c r="A733" s="4" t="str">
        <f>IFERROR(__xludf.DUMMYFUNCTION("""COMPUTED_VALUE"""),"Epidemiologia de pacientes com malformação de Chiari II internados no hospital Fundação Santa Casa de Misericórdia do Pará")</f>
        <v>Epidemiologia de pacientes com malformação de Chiari II internados no hospital Fundação Santa Casa de Misericórdia do Pará</v>
      </c>
      <c r="B733" s="5" t="str">
        <f>IFERROR(__xludf.DUMMYFUNCTION("LEFT(FILTER(IMPORTRANGE(""https://docs.google.com/spreadsheets/d/1BJSV3WBYJGRhQ6zExamkszQ5VutGIcaQqmbD9ZTVXMQ/edit#gid=1251630045"",""articles_with_PRISMA_reasons!K2:K2113""), $A733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$A733=IMPORTRANGE(""https://docs.google.com/spreadsheets/d/1BJSV3WBYJGRhQ6zExamkszQ5VutGIcaQqmbD9ZTVXMQ/edit#gid=1251630045"",""articles_with_PRISMA_reasons!B2:B2113"")))-1)"),"Pereira")</f>
        <v>Pereira</v>
      </c>
      <c r="C733" s="6">
        <f>IFERROR(__xludf.DUMMYFUNCTION("FILTER(IMPORTRANGE(""https://docs.google.com/spreadsheets/d/1BJSV3WBYJGRhQ6zExamkszQ5VutGIcaQqmbD9ZTVXMQ/edit#gid=1251630045"",""articles_with_PRISMA_reasons!C2:C2113""), $A733=IMPORTRANGE(""https://docs.google.com/spreadsheets/d/1BJSV3WBYJGRhQ6zExamkszQ5"&amp;"VutGIcaQqmbD9ZTVXMQ/edit#gid=1251630045"",""articles_with_PRISMA_reasons!B2:B2113""))"),2007.0)</f>
        <v>2007</v>
      </c>
      <c r="D733" s="5" t="str">
        <f>IFERROR(__xludf.DUMMYFUNCTION("IFS(AND(
FILTER(IMPORTRANGE(""https://docs.google.com/spreadsheets/d/1BJSV3WBYJGRhQ6zExamkszQ5VutGIcaQqmbD9ZTVXMQ/edit#gid=1251630045"",""articles_with_PRISMA_reasons!Y2:Y2113""), $A733=IMPORTRANGE(""https://docs.google.com/spreadsheets/d/1BJSV3WBYJGRhQ6z"&amp;"ExamkszQ5VutGIcaQqmbD9ZTVXMQ/edit#gid=1251630045"",""articles_with_PRISMA_reasons!B2:B2113""))&gt;=2,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$A733=IMPORTRANGE(""https://docs.google.com/spreadsheets/d/1BJSV3WBYJGRhQ6zExamkszQ5VutGIcaQqmbD9ZTVXMQ/edit#gid=1251630045"",""articles_with_PRISMA_reasons!B2:B2113""))&lt;2),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$A733=IMPORTRANGE(""https://docs.google.com/spreadsheets/d/1BJSV3WBYJGRhQ6zExamkszQ5VutGIcaQqmbD9ZTVXMQ/edit#gid=1251630045"",""arti"&amp;"cles_with_PRISMA_reasons!B2:B2113""))&lt;2,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$A733=IMPORTRANGE(""https://docs.google.com"&amp;"/spreadsheets/d/1BJSV3WBYJGRhQ6zExamkszQ5VutGIcaQqmbD9ZTVXMQ/edit#gid=1251630045"",""articles_with_PRISMA_reasons!B2:B2113""))&gt;=2),
""Exclude""
)"),"Exclude")</f>
        <v>Exclude</v>
      </c>
      <c r="E733" s="5" t="str">
        <f>IFERROR(__xludf.DUMMYFUNCTION("IFS(
D733=""Exclude"",""Exclude"",
AND(
FILTER(IMPORTRANGE(""https://docs.google.com/spreadsheets/d/1qpEmbGH0JjaJbUdp21-y2cPbobDbMjr09BbtdKROZWc/edit#gid=1444865654"",""articles_with_PRISMA_reasons!W2:W2113""), $A733=IMPORTRANGE(""https://docs.google.com/"&amp;"spreadsheets/d/1qpEmbGH0JjaJbUdp21-y2cPbobDbMjr09BbtdKROZWc/edit#gid=1444865654"",""articles_with_PRISMA_reasons!B2:B2113""))&gt;=2,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$A733=IMPORTRANGE(""https://docs.google.com/spreadsheets/d/1qpEmbGH0JjaJbUdp21-y2cPbobDbMjr09BbtdKROZWc/edit#gid=1444865654"",""articles_with_PRISMA_reasons!B2:B2113""))&lt;2),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$A733=IMPORTRANGE(""https://docs.google.com/spreadsheets/d/1qpEmbGH0JjaJbUdp21-y2cPbobDbMjr09BbtdKRO"&amp;"ZWc/edit#gid=1444865654"",""articles_with_PRISMA_reasons!B2:B2113""))&lt;2,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$A733=IMPOR"&amp;"TRANGE(""https://docs.google.com/spreadsheets/d/1qpEmbGH0JjaJbUdp21-y2cPbobDbMjr09BbtdKROZWc/edit#gid=1444865654"",""articles_with_PRISMA_reasons!B2:B2113""))&gt;=2),
""Exclude""
)"),"Exclude")</f>
        <v>Exclude</v>
      </c>
      <c r="F733" s="5" t="str">
        <f>IFERROR(__xludf.DUMMYFUNCTION("IFS(
E733=""Exclude"",""Exclude"",
AND(
COUNTIF(
IMPORTRANGE(""https://docs.google.com/spreadsheets/d/1kGrh75X1cNR1D7_FcY9zMnHP8iPO4M5RCRjy6nZY0TY/edit#gid=0"",""Table 1: Study characteristics!B4:B171""),A733)&gt;0,
COUNTIF(Studies!$A$2:$A$85,FILTER(IMPORTRA"&amp;"NGE(""https://docs.google.com/spreadsheets/d/1kGrh75X1cNR1D7_FcY9zMnHP8iPO4M5RCRjy6nZY0TY/edit#gid=0"",""Table 1: Study characteristics!A4:A171""), $A733=IMPORTRANGE(""https://docs.google.com/spreadsheets/d/1kGrh75X1cNR1D7_FcY9zMnHP8iPO4M5RCRjy6nZY0TY/edi"&amp;"t#gid=0"",""Table 1: Study characteristics!B4:B171"")))&gt;0
),
""Include""
)"),"Exclude")</f>
        <v>Exclude</v>
      </c>
      <c r="G733" s="5" t="str">
        <f>IFERROR(__xludf.DUMMYFUNCTION("IFS(
D733=""Exclude"",
FILTER(IMPORTRANGE(""https://docs.google.com/spreadsheets/d/1BJSV3WBYJGRhQ6zExamkszQ5VutGIcaQqmbD9ZTVXMQ/edit#gid=1251630045"",""articles_with_PRISMA_reasons!AB2:AB2113""), $A733=IMPORTRANGE(""https://docs.google.com/spreadsheets/d/"&amp;"1BJSV3WBYJGRhQ6zExamkszQ5VutGIcaQqmbD9ZTVXMQ/edit#gid=1251630045"",""articles_with_PRISMA_reasons!B2:B2113"")),
E733=""Exclude"",
FILTER(IMPORTRANGE(""https://docs.google.com/spreadsheets/d/1qpEmbGH0JjaJbUdp21-y2cPbobDbMjr09BbtdKROZWc/edit#gid=1444865654"&amp;""",""articles_with_PRISMA_reasons!Z2:Z2113""), $A733=IMPORTRANGE(""https://docs.google.com/spreadsheets/d/1qpEmbGH0JjaJbUdp21-y2cPbobDbMjr09BbtdKROZWc/edit#gid=1444865654"",""articles_with_PRISMA_reasons!B2:B2113"")),F733
=""Include"",FILTER(IMPORTRANGE("&amp;"""https://docs.google.com/spreadsheets/d/1kGrh75X1cNR1D7_FcY9zMnHP8iPO4M5RCRjy6nZY0TY/edit#gid=0"",""Table 1: Study characteristics!A4:A171""), $A733=IMPORTRANGE(""https://docs.google.com/spreadsheets/d/1kGrh75X1cNR1D7_FcY9zMnHP8iPO4M5RCRjy6nZY0TY/edit#gi"&amp;"d=0"",""Table 1: Study characteristics!B4:B171""))
)"),"wrong population")</f>
        <v>wrong population</v>
      </c>
    </row>
    <row r="734">
      <c r="A734" s="4" t="str">
        <f>IFERROR(__xludf.DUMMYFUNCTION("""COMPUTED_VALUE"""),"Epidemiologic, clinical and CT, aspects hydrocephalus among children from 0 to 15 years (apropos of 53 patients colligated at the university hospital Yalgado Ouedraogo)")</f>
        <v>Epidemiologic, clinical and CT, aspects hydrocephalus among children from 0 to 15 years (apropos of 53 patients colligated at the university hospital Yalgado Ouedraogo)</v>
      </c>
      <c r="B734" s="5" t="str">
        <f>IFERROR(__xludf.DUMMYFUNCTION("LEFT(FILTER(IMPORTRANGE(""https://docs.google.com/spreadsheets/d/1BJSV3WBYJGRhQ6zExamkszQ5VutGIcaQqmbD9ZTVXMQ/edit#gid=1251630045"",""articles_with_PRISMA_reasons!K2:K2113""), $A734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$A734=IMPORTRANGE(""https://docs.google.com/spreadsheets/d/1BJSV3WBYJGRhQ6zExamkszQ5VutGIcaQqmbD9ZTVXMQ/edit#gid=1251630045"",""articles_with_PRISMA_reasons!B2:B2113"")))-1)"),"Sanon")</f>
        <v>Sanon</v>
      </c>
      <c r="C734" s="6">
        <f>IFERROR(__xludf.DUMMYFUNCTION("FILTER(IMPORTRANGE(""https://docs.google.com/spreadsheets/d/1BJSV3WBYJGRhQ6zExamkszQ5VutGIcaQqmbD9ZTVXMQ/edit#gid=1251630045"",""articles_with_PRISMA_reasons!C2:C2113""), $A734=IMPORTRANGE(""https://docs.google.com/spreadsheets/d/1BJSV3WBYJGRhQ6zExamkszQ5"&amp;"VutGIcaQqmbD9ZTVXMQ/edit#gid=1251630045"",""articles_with_PRISMA_reasons!B2:B2113""))"),2010.0)</f>
        <v>2010</v>
      </c>
      <c r="D734" s="5" t="str">
        <f>IFERROR(__xludf.DUMMYFUNCTION("IFS(AND(
FILTER(IMPORTRANGE(""https://docs.google.com/spreadsheets/d/1BJSV3WBYJGRhQ6zExamkszQ5VutGIcaQqmbD9ZTVXMQ/edit#gid=1251630045"",""articles_with_PRISMA_reasons!Y2:Y2113""), $A734=IMPORTRANGE(""https://docs.google.com/spreadsheets/d/1BJSV3WBYJGRhQ6z"&amp;"ExamkszQ5VutGIcaQqmbD9ZTVXMQ/edit#gid=1251630045"",""articles_with_PRISMA_reasons!B2:B2113""))&gt;=2,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$A734=IMPORTRANGE(""https://docs.google.com/spreadsheets/d/1BJSV3WBYJGRhQ6zExamkszQ5VutGIcaQqmbD9ZTVXMQ/edit#gid=1251630045"",""articles_with_PRISMA_reasons!B2:B2113""))&lt;2),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$A734=IMPORTRANGE(""https://docs.google.com/spreadsheets/d/1BJSV3WBYJGRhQ6zExamkszQ5VutGIcaQqmbD9ZTVXMQ/edit#gid=1251630045"",""arti"&amp;"cles_with_PRISMA_reasons!B2:B2113""))&lt;2,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$A734=IMPORTRANGE(""https://docs.google.com"&amp;"/spreadsheets/d/1BJSV3WBYJGRhQ6zExamkszQ5VutGIcaQqmbD9ZTVXMQ/edit#gid=1251630045"",""articles_with_PRISMA_reasons!B2:B2113""))&gt;=2),
""Exclude""
)"),"Exclude")</f>
        <v>Exclude</v>
      </c>
      <c r="E734" s="5" t="str">
        <f>IFERROR(__xludf.DUMMYFUNCTION("IFS(
D734=""Exclude"",""Exclude"",
AND(
FILTER(IMPORTRANGE(""https://docs.google.com/spreadsheets/d/1qpEmbGH0JjaJbUdp21-y2cPbobDbMjr09BbtdKROZWc/edit#gid=1444865654"",""articles_with_PRISMA_reasons!W2:W2113""), $A734=IMPORTRANGE(""https://docs.google.com/"&amp;"spreadsheets/d/1qpEmbGH0JjaJbUdp21-y2cPbobDbMjr09BbtdKROZWc/edit#gid=1444865654"",""articles_with_PRISMA_reasons!B2:B2113""))&gt;=2,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$A734=IMPORTRANGE(""https://docs.google.com/spreadsheets/d/1qpEmbGH0JjaJbUdp21-y2cPbobDbMjr09BbtdKROZWc/edit#gid=1444865654"",""articles_with_PRISMA_reasons!B2:B2113""))&lt;2),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$A734=IMPORTRANGE(""https://docs.google.com/spreadsheets/d/1qpEmbGH0JjaJbUdp21-y2cPbobDbMjr09BbtdKRO"&amp;"ZWc/edit#gid=1444865654"",""articles_with_PRISMA_reasons!B2:B2113""))&lt;2,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$A734=IMPOR"&amp;"TRANGE(""https://docs.google.com/spreadsheets/d/1qpEmbGH0JjaJbUdp21-y2cPbobDbMjr09BbtdKROZWc/edit#gid=1444865654"",""articles_with_PRISMA_reasons!B2:B2113""))&gt;=2),
""Exclude""
)"),"Exclude")</f>
        <v>Exclude</v>
      </c>
      <c r="F734" s="5" t="str">
        <f>IFERROR(__xludf.DUMMYFUNCTION("IFS(
E734=""Exclude"",""Exclude"",
AND(
COUNTIF(
IMPORTRANGE(""https://docs.google.com/spreadsheets/d/1kGrh75X1cNR1D7_FcY9zMnHP8iPO4M5RCRjy6nZY0TY/edit#gid=0"",""Table 1: Study characteristics!B4:B171""),A734)&gt;0,
COUNTIF(Studies!$A$2:$A$85,FILTER(IMPORTRA"&amp;"NGE(""https://docs.google.com/spreadsheets/d/1kGrh75X1cNR1D7_FcY9zMnHP8iPO4M5RCRjy6nZY0TY/edit#gid=0"",""Table 1: Study characteristics!A4:A171""), $A734=IMPORTRANGE(""https://docs.google.com/spreadsheets/d/1kGrh75X1cNR1D7_FcY9zMnHP8iPO4M5RCRjy6nZY0TY/edi"&amp;"t#gid=0"",""Table 1: Study characteristics!B4:B171"")))&gt;0
),
""Include""
)"),"Exclude")</f>
        <v>Exclude</v>
      </c>
      <c r="G734" s="5" t="str">
        <f>IFERROR(__xludf.DUMMYFUNCTION("IFS(
D734=""Exclude"",
FILTER(IMPORTRANGE(""https://docs.google.com/spreadsheets/d/1BJSV3WBYJGRhQ6zExamkszQ5VutGIcaQqmbD9ZTVXMQ/edit#gid=1251630045"",""articles_with_PRISMA_reasons!AB2:AB2113""), $A734=IMPORTRANGE(""https://docs.google.com/spreadsheets/d/"&amp;"1BJSV3WBYJGRhQ6zExamkszQ5VutGIcaQqmbD9ZTVXMQ/edit#gid=1251630045"",""articles_with_PRISMA_reasons!B2:B2113"")),
E734=""Exclude"",
FILTER(IMPORTRANGE(""https://docs.google.com/spreadsheets/d/1qpEmbGH0JjaJbUdp21-y2cPbobDbMjr09BbtdKROZWc/edit#gid=1444865654"&amp;""",""articles_with_PRISMA_reasons!Z2:Z2113""), $A734=IMPORTRANGE(""https://docs.google.com/spreadsheets/d/1qpEmbGH0JjaJbUdp21-y2cPbobDbMjr09BbtdKROZWc/edit#gid=1444865654"",""articles_with_PRISMA_reasons!B2:B2113"")),F734
=""Include"",FILTER(IMPORTRANGE("&amp;"""https://docs.google.com/spreadsheets/d/1kGrh75X1cNR1D7_FcY9zMnHP8iPO4M5RCRjy6nZY0TY/edit#gid=0"",""Table 1: Study characteristics!A4:A171""), $A734=IMPORTRANGE(""https://docs.google.com/spreadsheets/d/1kGrh75X1cNR1D7_FcY9zMnHP8iPO4M5RCRjy6nZY0TY/edit#gi"&amp;"d=0"",""Table 1: Study characteristics!B4:B171""))
)"),"wrong population")</f>
        <v>wrong population</v>
      </c>
    </row>
    <row r="735">
      <c r="A735" s="4" t="str">
        <f>IFERROR(__xludf.DUMMYFUNCTION("""COMPUTED_VALUE"""),"Epidemiology of anencephaly in a suburban Nigerian agrarian community in the rain forest: An 11-year retrospective study of a single hospital experience")</f>
        <v>Epidemiology of anencephaly in a suburban Nigerian agrarian community in the rain forest: An 11-year retrospective study of a single hospital experience</v>
      </c>
      <c r="B735" s="5" t="str">
        <f>IFERROR(__xludf.DUMMYFUNCTION("LEFT(FILTER(IMPORTRANGE(""https://docs.google.com/spreadsheets/d/1BJSV3WBYJGRhQ6zExamkszQ5VutGIcaQqmbD9ZTVXMQ/edit#gid=1251630045"",""articles_with_PRISMA_reasons!K2:K2113""), $A735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$A735=IMPORTRANGE(""https://docs.google.com/spreadsheets/d/1BJSV3WBYJGRhQ6zExamkszQ5VutGIcaQqmbD9ZTVXMQ/edit#gid=1251630045"",""articles_with_PRISMA_reasons!B2:B2113"")))-1)"),"Okunlola")</f>
        <v>Okunlola</v>
      </c>
      <c r="C735" s="6">
        <f>IFERROR(__xludf.DUMMYFUNCTION("FILTER(IMPORTRANGE(""https://docs.google.com/spreadsheets/d/1BJSV3WBYJGRhQ6zExamkszQ5VutGIcaQqmbD9ZTVXMQ/edit#gid=1251630045"",""articles_with_PRISMA_reasons!C2:C2113""), $A735=IMPORTRANGE(""https://docs.google.com/spreadsheets/d/1BJSV3WBYJGRhQ6zExamkszQ5"&amp;"VutGIcaQqmbD9ZTVXMQ/edit#gid=1251630045"",""articles_with_PRISMA_reasons!B2:B2113""))"),2020.0)</f>
        <v>2020</v>
      </c>
      <c r="D735" s="5" t="str">
        <f>IFERROR(__xludf.DUMMYFUNCTION("IFS(AND(
FILTER(IMPORTRANGE(""https://docs.google.com/spreadsheets/d/1BJSV3WBYJGRhQ6zExamkszQ5VutGIcaQqmbD9ZTVXMQ/edit#gid=1251630045"",""articles_with_PRISMA_reasons!Y2:Y2113""), $A735=IMPORTRANGE(""https://docs.google.com/spreadsheets/d/1BJSV3WBYJGRhQ6z"&amp;"ExamkszQ5VutGIcaQqmbD9ZTVXMQ/edit#gid=1251630045"",""articles_with_PRISMA_reasons!B2:B2113""))&gt;=2,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$A735=IMPORTRANGE(""https://docs.google.com/spreadsheets/d/1BJSV3WBYJGRhQ6zExamkszQ5VutGIcaQqmbD9ZTVXMQ/edit#gid=1251630045"",""articles_with_PRISMA_reasons!B2:B2113""))&lt;2),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$A735=IMPORTRANGE(""https://docs.google.com/spreadsheets/d/1BJSV3WBYJGRhQ6zExamkszQ5VutGIcaQqmbD9ZTVXMQ/edit#gid=1251630045"",""arti"&amp;"cles_with_PRISMA_reasons!B2:B2113""))&lt;2,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$A735=IMPORTRANGE(""https://docs.google.com"&amp;"/spreadsheets/d/1BJSV3WBYJGRhQ6zExamkszQ5VutGIcaQqmbD9ZTVXMQ/edit#gid=1251630045"",""articles_with_PRISMA_reasons!B2:B2113""))&gt;=2),
""Exclude""
)"),"Exclude")</f>
        <v>Exclude</v>
      </c>
      <c r="E735" s="5" t="str">
        <f>IFERROR(__xludf.DUMMYFUNCTION("IFS(
D735=""Exclude"",""Exclude"",
AND(
FILTER(IMPORTRANGE(""https://docs.google.com/spreadsheets/d/1qpEmbGH0JjaJbUdp21-y2cPbobDbMjr09BbtdKROZWc/edit#gid=1444865654"",""articles_with_PRISMA_reasons!W2:W2113""), $A735=IMPORTRANGE(""https://docs.google.com/"&amp;"spreadsheets/d/1qpEmbGH0JjaJbUdp21-y2cPbobDbMjr09BbtdKROZWc/edit#gid=1444865654"",""articles_with_PRISMA_reasons!B2:B2113""))&gt;=2,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$A735=IMPORTRANGE(""https://docs.google.com/spreadsheets/d/1qpEmbGH0JjaJbUdp21-y2cPbobDbMjr09BbtdKROZWc/edit#gid=1444865654"",""articles_with_PRISMA_reasons!B2:B2113""))&lt;2),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$A735=IMPORTRANGE(""https://docs.google.com/spreadsheets/d/1qpEmbGH0JjaJbUdp21-y2cPbobDbMjr09BbtdKRO"&amp;"ZWc/edit#gid=1444865654"",""articles_with_PRISMA_reasons!B2:B2113""))&lt;2,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$A735=IMPOR"&amp;"TRANGE(""https://docs.google.com/spreadsheets/d/1qpEmbGH0JjaJbUdp21-y2cPbobDbMjr09BbtdKROZWc/edit#gid=1444865654"",""articles_with_PRISMA_reasons!B2:B2113""))&gt;=2),
""Exclude""
)"),"Exclude")</f>
        <v>Exclude</v>
      </c>
      <c r="F735" s="5" t="str">
        <f>IFERROR(__xludf.DUMMYFUNCTION("IFS(
E735=""Exclude"",""Exclude"",
AND(
COUNTIF(
IMPORTRANGE(""https://docs.google.com/spreadsheets/d/1kGrh75X1cNR1D7_FcY9zMnHP8iPO4M5RCRjy6nZY0TY/edit#gid=0"",""Table 1: Study characteristics!B4:B171""),A735)&gt;0,
COUNTIF(Studies!$A$2:$A$85,FILTER(IMPORTRA"&amp;"NGE(""https://docs.google.com/spreadsheets/d/1kGrh75X1cNR1D7_FcY9zMnHP8iPO4M5RCRjy6nZY0TY/edit#gid=0"",""Table 1: Study characteristics!A4:A171""), $A735=IMPORTRANGE(""https://docs.google.com/spreadsheets/d/1kGrh75X1cNR1D7_FcY9zMnHP8iPO4M5RCRjy6nZY0TY/edi"&amp;"t#gid=0"",""Table 1: Study characteristics!B4:B171"")))&gt;0
),
""Include""
)"),"Exclude")</f>
        <v>Exclude</v>
      </c>
      <c r="G735" s="5" t="str">
        <f>IFERROR(__xludf.DUMMYFUNCTION("IFS(
D735=""Exclude"",
FILTER(IMPORTRANGE(""https://docs.google.com/spreadsheets/d/1BJSV3WBYJGRhQ6zExamkszQ5VutGIcaQqmbD9ZTVXMQ/edit#gid=1251630045"",""articles_with_PRISMA_reasons!AB2:AB2113""), $A735=IMPORTRANGE(""https://docs.google.com/spreadsheets/d/"&amp;"1BJSV3WBYJGRhQ6zExamkszQ5VutGIcaQqmbD9ZTVXMQ/edit#gid=1251630045"",""articles_with_PRISMA_reasons!B2:B2113"")),
E735=""Exclude"",
FILTER(IMPORTRANGE(""https://docs.google.com/spreadsheets/d/1qpEmbGH0JjaJbUdp21-y2cPbobDbMjr09BbtdKROZWc/edit#gid=1444865654"&amp;""",""articles_with_PRISMA_reasons!Z2:Z2113""), $A735=IMPORTRANGE(""https://docs.google.com/spreadsheets/d/1qpEmbGH0JjaJbUdp21-y2cPbobDbMjr09BbtdKROZWc/edit#gid=1444865654"",""articles_with_PRISMA_reasons!B2:B2113"")),F735
=""Include"",FILTER(IMPORTRANGE("&amp;"""https://docs.google.com/spreadsheets/d/1kGrh75X1cNR1D7_FcY9zMnHP8iPO4M5RCRjy6nZY0TY/edit#gid=0"",""Table 1: Study characteristics!A4:A171""), $A735=IMPORTRANGE(""https://docs.google.com/spreadsheets/d/1kGrh75X1cNR1D7_FcY9zMnHP8iPO4M5RCRjy6nZY0TY/edit#gi"&amp;"d=0"",""Table 1: Study characteristics!B4:B171""))
)"),"wrong study design")</f>
        <v>wrong study design</v>
      </c>
    </row>
    <row r="736">
      <c r="A736" s="4" t="str">
        <f>IFERROR(__xludf.DUMMYFUNCTION("""COMPUTED_VALUE"""),"Epidemiology of congenital anomalies among the children born in different hospitals under sylhet division in bangladesh- a retrospective study")</f>
        <v>Epidemiology of congenital anomalies among the children born in different hospitals under sylhet division in bangladesh- a retrospective study</v>
      </c>
      <c r="B736" s="5" t="str">
        <f>IFERROR(__xludf.DUMMYFUNCTION("LEFT(FILTER(IMPORTRANGE(""https://docs.google.com/spreadsheets/d/1BJSV3WBYJGRhQ6zExamkszQ5VutGIcaQqmbD9ZTVXMQ/edit#gid=1251630045"",""articles_with_PRISMA_reasons!K2:K2113""), $A736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$A736=IMPORTRANGE(""https://docs.google.com/spreadsheets/d/1BJSV3WBYJGRhQ6zExamkszQ5VutGIcaQqmbD9ZTVXMQ/edit#gid=1251630045"",""articles_with_PRISMA_reasons!B2:B2113"")))-1)"),"Shuma")</f>
        <v>Shuma</v>
      </c>
      <c r="C736" s="6">
        <f>IFERROR(__xludf.DUMMYFUNCTION("FILTER(IMPORTRANGE(""https://docs.google.com/spreadsheets/d/1BJSV3WBYJGRhQ6zExamkszQ5VutGIcaQqmbD9ZTVXMQ/edit#gid=1251630045"",""articles_with_PRISMA_reasons!C2:C2113""), $A736=IMPORTRANGE(""https://docs.google.com/spreadsheets/d/1BJSV3WBYJGRhQ6zExamkszQ5"&amp;"VutGIcaQqmbD9ZTVXMQ/edit#gid=1251630045"",""articles_with_PRISMA_reasons!B2:B2113""))"),2015.0)</f>
        <v>2015</v>
      </c>
      <c r="D736" s="5" t="str">
        <f>IFERROR(__xludf.DUMMYFUNCTION("IFS(AND(
FILTER(IMPORTRANGE(""https://docs.google.com/spreadsheets/d/1BJSV3WBYJGRhQ6zExamkszQ5VutGIcaQqmbD9ZTVXMQ/edit#gid=1251630045"",""articles_with_PRISMA_reasons!Y2:Y2113""), $A736=IMPORTRANGE(""https://docs.google.com/spreadsheets/d/1BJSV3WBYJGRhQ6z"&amp;"ExamkszQ5VutGIcaQqmbD9ZTVXMQ/edit#gid=1251630045"",""articles_with_PRISMA_reasons!B2:B2113""))&gt;=2,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$A736=IMPORTRANGE(""https://docs.google.com/spreadsheets/d/1BJSV3WBYJGRhQ6zExamkszQ5VutGIcaQqmbD9ZTVXMQ/edit#gid=1251630045"",""articles_with_PRISMA_reasons!B2:B2113""))&lt;2),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$A736=IMPORTRANGE(""https://docs.google.com/spreadsheets/d/1BJSV3WBYJGRhQ6zExamkszQ5VutGIcaQqmbD9ZTVXMQ/edit#gid=1251630045"",""arti"&amp;"cles_with_PRISMA_reasons!B2:B2113""))&lt;2,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$A736=IMPORTRANGE(""https://docs.google.com"&amp;"/spreadsheets/d/1BJSV3WBYJGRhQ6zExamkszQ5VutGIcaQqmbD9ZTVXMQ/edit#gid=1251630045"",""articles_with_PRISMA_reasons!B2:B2113""))&gt;=2),
""Exclude""
)"),"Exclude")</f>
        <v>Exclude</v>
      </c>
      <c r="E736" s="5" t="str">
        <f>IFERROR(__xludf.DUMMYFUNCTION("IFS(
D736=""Exclude"",""Exclude"",
AND(
FILTER(IMPORTRANGE(""https://docs.google.com/spreadsheets/d/1qpEmbGH0JjaJbUdp21-y2cPbobDbMjr09BbtdKROZWc/edit#gid=1444865654"",""articles_with_PRISMA_reasons!W2:W2113""), $A736=IMPORTRANGE(""https://docs.google.com/"&amp;"spreadsheets/d/1qpEmbGH0JjaJbUdp21-y2cPbobDbMjr09BbtdKROZWc/edit#gid=1444865654"",""articles_with_PRISMA_reasons!B2:B2113""))&gt;=2,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$A736=IMPORTRANGE(""https://docs.google.com/spreadsheets/d/1qpEmbGH0JjaJbUdp21-y2cPbobDbMjr09BbtdKROZWc/edit#gid=1444865654"",""articles_with_PRISMA_reasons!B2:B2113""))&lt;2),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$A736=IMPORTRANGE(""https://docs.google.com/spreadsheets/d/1qpEmbGH0JjaJbUdp21-y2cPbobDbMjr09BbtdKRO"&amp;"ZWc/edit#gid=1444865654"",""articles_with_PRISMA_reasons!B2:B2113""))&lt;2,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$A736=IMPOR"&amp;"TRANGE(""https://docs.google.com/spreadsheets/d/1qpEmbGH0JjaJbUdp21-y2cPbobDbMjr09BbtdKROZWc/edit#gid=1444865654"",""articles_with_PRISMA_reasons!B2:B2113""))&gt;=2),
""Exclude""
)"),"Exclude")</f>
        <v>Exclude</v>
      </c>
      <c r="F736" s="5" t="str">
        <f>IFERROR(__xludf.DUMMYFUNCTION("IFS(
E736=""Exclude"",""Exclude"",
AND(
COUNTIF(
IMPORTRANGE(""https://docs.google.com/spreadsheets/d/1kGrh75X1cNR1D7_FcY9zMnHP8iPO4M5RCRjy6nZY0TY/edit#gid=0"",""Table 1: Study characteristics!B4:B171""),A736)&gt;0,
COUNTIF(Studies!$A$2:$A$85,FILTER(IMPORTRA"&amp;"NGE(""https://docs.google.com/spreadsheets/d/1kGrh75X1cNR1D7_FcY9zMnHP8iPO4M5RCRjy6nZY0TY/edit#gid=0"",""Table 1: Study characteristics!A4:A171""), $A736=IMPORTRANGE(""https://docs.google.com/spreadsheets/d/1kGrh75X1cNR1D7_FcY9zMnHP8iPO4M5RCRjy6nZY0TY/edi"&amp;"t#gid=0"",""Table 1: Study characteristics!B4:B171"")))&gt;0
),
""Include""
)"),"Exclude")</f>
        <v>Exclude</v>
      </c>
      <c r="G736" s="5" t="str">
        <f>IFERROR(__xludf.DUMMYFUNCTION("IFS(
D736=""Exclude"",
FILTER(IMPORTRANGE(""https://docs.google.com/spreadsheets/d/1BJSV3WBYJGRhQ6zExamkszQ5VutGIcaQqmbD9ZTVXMQ/edit#gid=1251630045"",""articles_with_PRISMA_reasons!AB2:AB2113""), $A736=IMPORTRANGE(""https://docs.google.com/spreadsheets/d/"&amp;"1BJSV3WBYJGRhQ6zExamkszQ5VutGIcaQqmbD9ZTVXMQ/edit#gid=1251630045"",""articles_with_PRISMA_reasons!B2:B2113"")),
E736=""Exclude"",
FILTER(IMPORTRANGE(""https://docs.google.com/spreadsheets/d/1qpEmbGH0JjaJbUdp21-y2cPbobDbMjr09BbtdKROZWc/edit#gid=1444865654"&amp;""",""articles_with_PRISMA_reasons!Z2:Z2113""), $A736=IMPORTRANGE(""https://docs.google.com/spreadsheets/d/1qpEmbGH0JjaJbUdp21-y2cPbobDbMjr09BbtdKROZWc/edit#gid=1444865654"",""articles_with_PRISMA_reasons!B2:B2113"")),F736
=""Include"",FILTER(IMPORTRANGE("&amp;"""https://docs.google.com/spreadsheets/d/1kGrh75X1cNR1D7_FcY9zMnHP8iPO4M5RCRjy6nZY0TY/edit#gid=0"",""Table 1: Study characteristics!A4:A171""), $A736=IMPORTRANGE(""https://docs.google.com/spreadsheets/d/1kGrh75X1cNR1D7_FcY9zMnHP8iPO4M5RCRjy6nZY0TY/edit#gi"&amp;"d=0"",""Table 1: Study characteristics!B4:B171""))
)"),"wrong population")</f>
        <v>wrong population</v>
      </c>
    </row>
    <row r="737">
      <c r="A737" s="4" t="str">
        <f>IFERROR(__xludf.DUMMYFUNCTION("""COMPUTED_VALUE"""),"Epidemiology of congenital anomalies of the central nervous system in children in Enugu, Nigeria: A retrospective study")</f>
        <v>Epidemiology of congenital anomalies of the central nervous system in children in Enugu, Nigeria: A retrospective study</v>
      </c>
      <c r="B737" s="5" t="str">
        <f>IFERROR(__xludf.DUMMYFUNCTION("LEFT(FILTER(IMPORTRANGE(""https://docs.google.com/spreadsheets/d/1BJSV3WBYJGRhQ6zExamkszQ5VutGIcaQqmbD9ZTVXMQ/edit#gid=1251630045"",""articles_with_PRISMA_reasons!K2:K2113""), $A737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$A737=IMPORTRANGE(""https://docs.google.com/spreadsheets/d/1BJSV3WBYJGRhQ6zExamkszQ5VutGIcaQqmbD9ZTVXMQ/edit#gid=1251630045"",""articles_with_PRISMA_reasons!B2:B2113"")))-1)"),"Eke")</f>
        <v>Eke</v>
      </c>
      <c r="C737" s="6">
        <f>IFERROR(__xludf.DUMMYFUNCTION("FILTER(IMPORTRANGE(""https://docs.google.com/spreadsheets/d/1BJSV3WBYJGRhQ6zExamkszQ5VutGIcaQqmbD9ZTVXMQ/edit#gid=1251630045"",""articles_with_PRISMA_reasons!C2:C2113""), $A737=IMPORTRANGE(""https://docs.google.com/spreadsheets/d/1BJSV3WBYJGRhQ6zExamkszQ5"&amp;"VutGIcaQqmbD9ZTVXMQ/edit#gid=1251630045"",""articles_with_PRISMA_reasons!B2:B2113""))"),2016.0)</f>
        <v>2016</v>
      </c>
      <c r="D737" s="5" t="str">
        <f>IFERROR(__xludf.DUMMYFUNCTION("IFS(AND(
FILTER(IMPORTRANGE(""https://docs.google.com/spreadsheets/d/1BJSV3WBYJGRhQ6zExamkszQ5VutGIcaQqmbD9ZTVXMQ/edit#gid=1251630045"",""articles_with_PRISMA_reasons!Y2:Y2113""), $A737=IMPORTRANGE(""https://docs.google.com/spreadsheets/d/1BJSV3WBYJGRhQ6z"&amp;"ExamkszQ5VutGIcaQqmbD9ZTVXMQ/edit#gid=1251630045"",""articles_with_PRISMA_reasons!B2:B2113""))&gt;=2,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$A737=IMPORTRANGE(""https://docs.google.com/spreadsheets/d/1BJSV3WBYJGRhQ6zExamkszQ5VutGIcaQqmbD9ZTVXMQ/edit#gid=1251630045"",""articles_with_PRISMA_reasons!B2:B2113""))&lt;2),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$A737=IMPORTRANGE(""https://docs.google.com/spreadsheets/d/1BJSV3WBYJGRhQ6zExamkszQ5VutGIcaQqmbD9ZTVXMQ/edit#gid=1251630045"",""arti"&amp;"cles_with_PRISMA_reasons!B2:B2113""))&lt;2,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$A737=IMPORTRANGE(""https://docs.google.com"&amp;"/spreadsheets/d/1BJSV3WBYJGRhQ6zExamkszQ5VutGIcaQqmbD9ZTVXMQ/edit#gid=1251630045"",""articles_with_PRISMA_reasons!B2:B2113""))&gt;=2),
""Exclude""
)"),"Exclude")</f>
        <v>Exclude</v>
      </c>
      <c r="E737" s="5" t="str">
        <f>IFERROR(__xludf.DUMMYFUNCTION("IFS(
D737=""Exclude"",""Exclude"",
AND(
FILTER(IMPORTRANGE(""https://docs.google.com/spreadsheets/d/1qpEmbGH0JjaJbUdp21-y2cPbobDbMjr09BbtdKROZWc/edit#gid=1444865654"",""articles_with_PRISMA_reasons!W2:W2113""), $A737=IMPORTRANGE(""https://docs.google.com/"&amp;"spreadsheets/d/1qpEmbGH0JjaJbUdp21-y2cPbobDbMjr09BbtdKROZWc/edit#gid=1444865654"",""articles_with_PRISMA_reasons!B2:B2113""))&gt;=2,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$A737=IMPORTRANGE(""https://docs.google.com/spreadsheets/d/1qpEmbGH0JjaJbUdp21-y2cPbobDbMjr09BbtdKROZWc/edit#gid=1444865654"",""articles_with_PRISMA_reasons!B2:B2113""))&lt;2),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$A737=IMPORTRANGE(""https://docs.google.com/spreadsheets/d/1qpEmbGH0JjaJbUdp21-y2cPbobDbMjr09BbtdKRO"&amp;"ZWc/edit#gid=1444865654"",""articles_with_PRISMA_reasons!B2:B2113""))&lt;2,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$A737=IMPOR"&amp;"TRANGE(""https://docs.google.com/spreadsheets/d/1qpEmbGH0JjaJbUdp21-y2cPbobDbMjr09BbtdKROZWc/edit#gid=1444865654"",""articles_with_PRISMA_reasons!B2:B2113""))&gt;=2),
""Exclude""
)"),"Exclude")</f>
        <v>Exclude</v>
      </c>
      <c r="F737" s="5" t="str">
        <f>IFERROR(__xludf.DUMMYFUNCTION("IFS(
E737=""Exclude"",""Exclude"",
AND(
COUNTIF(
IMPORTRANGE(""https://docs.google.com/spreadsheets/d/1kGrh75X1cNR1D7_FcY9zMnHP8iPO4M5RCRjy6nZY0TY/edit#gid=0"",""Table 1: Study characteristics!B4:B171""),A737)&gt;0,
COUNTIF(Studies!$A$2:$A$85,FILTER(IMPORTRA"&amp;"NGE(""https://docs.google.com/spreadsheets/d/1kGrh75X1cNR1D7_FcY9zMnHP8iPO4M5RCRjy6nZY0TY/edit#gid=0"",""Table 1: Study characteristics!A4:A171""), $A737=IMPORTRANGE(""https://docs.google.com/spreadsheets/d/1kGrh75X1cNR1D7_FcY9zMnHP8iPO4M5RCRjy6nZY0TY/edi"&amp;"t#gid=0"",""Table 1: Study characteristics!B4:B171"")))&gt;0
),
""Include""
)"),"Exclude")</f>
        <v>Exclude</v>
      </c>
      <c r="G737" s="5" t="str">
        <f>IFERROR(__xludf.DUMMYFUNCTION("IFS(
D737=""Exclude"",
FILTER(IMPORTRANGE(""https://docs.google.com/spreadsheets/d/1BJSV3WBYJGRhQ6zExamkszQ5VutGIcaQqmbD9ZTVXMQ/edit#gid=1251630045"",""articles_with_PRISMA_reasons!AB2:AB2113""), $A737=IMPORTRANGE(""https://docs.google.com/spreadsheets/d/"&amp;"1BJSV3WBYJGRhQ6zExamkszQ5VutGIcaQqmbD9ZTVXMQ/edit#gid=1251630045"",""articles_with_PRISMA_reasons!B2:B2113"")),
E737=""Exclude"",
FILTER(IMPORTRANGE(""https://docs.google.com/spreadsheets/d/1qpEmbGH0JjaJbUdp21-y2cPbobDbMjr09BbtdKROZWc/edit#gid=1444865654"&amp;""",""articles_with_PRISMA_reasons!Z2:Z2113""), $A737=IMPORTRANGE(""https://docs.google.com/spreadsheets/d/1qpEmbGH0JjaJbUdp21-y2cPbobDbMjr09BbtdKROZWc/edit#gid=1444865654"",""articles_with_PRISMA_reasons!B2:B2113"")),F737
=""Include"",FILTER(IMPORTRANGE("&amp;"""https://docs.google.com/spreadsheets/d/1kGrh75X1cNR1D7_FcY9zMnHP8iPO4M5RCRjy6nZY0TY/edit#gid=0"",""Table 1: Study characteristics!A4:A171""), $A737=IMPORTRANGE(""https://docs.google.com/spreadsheets/d/1kGrh75X1cNR1D7_FcY9zMnHP8iPO4M5RCRjy6nZY0TY/edit#gi"&amp;"d=0"",""Table 1: Study characteristics!B4:B171""))
)"),"wrong population")</f>
        <v>wrong population</v>
      </c>
    </row>
    <row r="738">
      <c r="A738" s="4" t="str">
        <f>IFERROR(__xludf.DUMMYFUNCTION("""COMPUTED_VALUE"""),"Epidermoid cysts associated with thoracic meningocele")</f>
        <v>Epidermoid cysts associated with thoracic meningocele</v>
      </c>
      <c r="B738" s="5" t="str">
        <f>IFERROR(__xludf.DUMMYFUNCTION("LEFT(FILTER(IMPORTRANGE(""https://docs.google.com/spreadsheets/d/1BJSV3WBYJGRhQ6zExamkszQ5VutGIcaQqmbD9ZTVXMQ/edit#gid=1251630045"",""articles_with_PRISMA_reasons!K2:K2113""), $A738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$A738=IMPORTRANGE(""https://docs.google.com/spreadsheets/d/1BJSV3WBYJGRhQ6zExamkszQ5VutGIcaQqmbD9ZTVXMQ/edit#gid=1251630045"",""articles_with_PRISMA_reasons!B2:B2113"")))-1)"),"Yen")</f>
        <v>Yen</v>
      </c>
      <c r="C738" s="6">
        <f>IFERROR(__xludf.DUMMYFUNCTION("FILTER(IMPORTRANGE(""https://docs.google.com/spreadsheets/d/1BJSV3WBYJGRhQ6zExamkszQ5VutGIcaQqmbD9ZTVXMQ/edit#gid=1251630045"",""articles_with_PRISMA_reasons!C2:C2113""), $A738=IMPORTRANGE(""https://docs.google.com/spreadsheets/d/1BJSV3WBYJGRhQ6zExamkszQ5"&amp;"VutGIcaQqmbD9ZTVXMQ/edit#gid=1251630045"",""articles_with_PRISMA_reasons!B2:B2113""))"),2008.0)</f>
        <v>2008</v>
      </c>
      <c r="D738" s="5" t="str">
        <f>IFERROR(__xludf.DUMMYFUNCTION("IFS(AND(
FILTER(IMPORTRANGE(""https://docs.google.com/spreadsheets/d/1BJSV3WBYJGRhQ6zExamkszQ5VutGIcaQqmbD9ZTVXMQ/edit#gid=1251630045"",""articles_with_PRISMA_reasons!Y2:Y2113""), $A738=IMPORTRANGE(""https://docs.google.com/spreadsheets/d/1BJSV3WBYJGRhQ6z"&amp;"ExamkszQ5VutGIcaQqmbD9ZTVXMQ/edit#gid=1251630045"",""articles_with_PRISMA_reasons!B2:B2113""))&gt;=2,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$A738=IMPORTRANGE(""https://docs.google.com/spreadsheets/d/1BJSV3WBYJGRhQ6zExamkszQ5VutGIcaQqmbD9ZTVXMQ/edit#gid=1251630045"",""articles_with_PRISMA_reasons!B2:B2113""))&lt;2),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$A738=IMPORTRANGE(""https://docs.google.com/spreadsheets/d/1BJSV3WBYJGRhQ6zExamkszQ5VutGIcaQqmbD9ZTVXMQ/edit#gid=1251630045"",""arti"&amp;"cles_with_PRISMA_reasons!B2:B2113""))&lt;2,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$A738=IMPORTRANGE(""https://docs.google.com"&amp;"/spreadsheets/d/1BJSV3WBYJGRhQ6zExamkszQ5VutGIcaQqmbD9ZTVXMQ/edit#gid=1251630045"",""articles_with_PRISMA_reasons!B2:B2113""))&gt;=2),
""Exclude""
)"),"Exclude")</f>
        <v>Exclude</v>
      </c>
      <c r="E738" s="5" t="str">
        <f>IFERROR(__xludf.DUMMYFUNCTION("IFS(
D738=""Exclude"",""Exclude"",
AND(
FILTER(IMPORTRANGE(""https://docs.google.com/spreadsheets/d/1qpEmbGH0JjaJbUdp21-y2cPbobDbMjr09BbtdKROZWc/edit#gid=1444865654"",""articles_with_PRISMA_reasons!W2:W2113""), $A738=IMPORTRANGE(""https://docs.google.com/"&amp;"spreadsheets/d/1qpEmbGH0JjaJbUdp21-y2cPbobDbMjr09BbtdKROZWc/edit#gid=1444865654"",""articles_with_PRISMA_reasons!B2:B2113""))&gt;=2,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$A738=IMPORTRANGE(""https://docs.google.com/spreadsheets/d/1qpEmbGH0JjaJbUdp21-y2cPbobDbMjr09BbtdKROZWc/edit#gid=1444865654"",""articles_with_PRISMA_reasons!B2:B2113""))&lt;2),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$A738=IMPORTRANGE(""https://docs.google.com/spreadsheets/d/1qpEmbGH0JjaJbUdp21-y2cPbobDbMjr09BbtdKRO"&amp;"ZWc/edit#gid=1444865654"",""articles_with_PRISMA_reasons!B2:B2113""))&lt;2,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$A738=IMPOR"&amp;"TRANGE(""https://docs.google.com/spreadsheets/d/1qpEmbGH0JjaJbUdp21-y2cPbobDbMjr09BbtdKROZWc/edit#gid=1444865654"",""articles_with_PRISMA_reasons!B2:B2113""))&gt;=2),
""Exclude""
)"),"Exclude")</f>
        <v>Exclude</v>
      </c>
      <c r="F738" s="5" t="str">
        <f>IFERROR(__xludf.DUMMYFUNCTION("IFS(
E738=""Exclude"",""Exclude"",
AND(
COUNTIF(
IMPORTRANGE(""https://docs.google.com/spreadsheets/d/1kGrh75X1cNR1D7_FcY9zMnHP8iPO4M5RCRjy6nZY0TY/edit#gid=0"",""Table 1: Study characteristics!B4:B171""),A738)&gt;0,
COUNTIF(Studies!$A$2:$A$85,FILTER(IMPORTRA"&amp;"NGE(""https://docs.google.com/spreadsheets/d/1kGrh75X1cNR1D7_FcY9zMnHP8iPO4M5RCRjy6nZY0TY/edit#gid=0"",""Table 1: Study characteristics!A4:A171""), $A738=IMPORTRANGE(""https://docs.google.com/spreadsheets/d/1kGrh75X1cNR1D7_FcY9zMnHP8iPO4M5RCRjy6nZY0TY/edi"&amp;"t#gid=0"",""Table 1: Study characteristics!B4:B171"")))&gt;0
),
""Include""
)"),"Exclude")</f>
        <v>Exclude</v>
      </c>
      <c r="G738" s="5" t="str">
        <f>IFERROR(__xludf.DUMMYFUNCTION("IFS(
D738=""Exclude"",
FILTER(IMPORTRANGE(""https://docs.google.com/spreadsheets/d/1BJSV3WBYJGRhQ6zExamkszQ5VutGIcaQqmbD9ZTVXMQ/edit#gid=1251630045"",""articles_with_PRISMA_reasons!AB2:AB2113""), $A738=IMPORTRANGE(""https://docs.google.com/spreadsheets/d/"&amp;"1BJSV3WBYJGRhQ6zExamkszQ5VutGIcaQqmbD9ZTVXMQ/edit#gid=1251630045"",""articles_with_PRISMA_reasons!B2:B2113"")),
E738=""Exclude"",
FILTER(IMPORTRANGE(""https://docs.google.com/spreadsheets/d/1qpEmbGH0JjaJbUdp21-y2cPbobDbMjr09BbtdKROZWc/edit#gid=1444865654"&amp;""",""articles_with_PRISMA_reasons!Z2:Z2113""), $A738=IMPORTRANGE(""https://docs.google.com/spreadsheets/d/1qpEmbGH0JjaJbUdp21-y2cPbobDbMjr09BbtdKROZWc/edit#gid=1444865654"",""articles_with_PRISMA_reasons!B2:B2113"")),F738
=""Include"",FILTER(IMPORTRANGE("&amp;"""https://docs.google.com/spreadsheets/d/1kGrh75X1cNR1D7_FcY9zMnHP8iPO4M5RCRjy6nZY0TY/edit#gid=0"",""Table 1: Study characteristics!A4:A171""), $A738=IMPORTRANGE(""https://docs.google.com/spreadsheets/d/1kGrh75X1cNR1D7_FcY9zMnHP8iPO4M5RCRjy6nZY0TY/edit#gi"&amp;"d=0"",""Table 1: Study characteristics!B4:B171""))
)"),"wrong population")</f>
        <v>wrong population</v>
      </c>
    </row>
    <row r="739">
      <c r="A739" s="4" t="str">
        <f>IFERROR(__xludf.DUMMYFUNCTION("""COMPUTED_VALUE"""),"Epilepsy in children with meningomyelocele")</f>
        <v>Epilepsy in children with meningomyelocele</v>
      </c>
      <c r="B739" s="5" t="str">
        <f>IFERROR(__xludf.DUMMYFUNCTION("LEFT(FILTER(IMPORTRANGE(""https://docs.google.com/spreadsheets/d/1BJSV3WBYJGRhQ6zExamkszQ5VutGIcaQqmbD9ZTVXMQ/edit#gid=1251630045"",""articles_with_PRISMA_reasons!K2:K2113""), $A739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$A739=IMPORTRANGE(""https://docs.google.com/spreadsheets/d/1BJSV3WBYJGRhQ6zExamkszQ5VutGIcaQqmbD9ZTVXMQ/edit#gid=1251630045"",""articles_with_PRISMA_reasons!B2:B2113"")))-1)"),"Talwar")</f>
        <v>Talwar</v>
      </c>
      <c r="C739" s="6">
        <f>IFERROR(__xludf.DUMMYFUNCTION("FILTER(IMPORTRANGE(""https://docs.google.com/spreadsheets/d/1BJSV3WBYJGRhQ6zExamkszQ5VutGIcaQqmbD9ZTVXMQ/edit#gid=1251630045"",""articles_with_PRISMA_reasons!C2:C2113""), $A739=IMPORTRANGE(""https://docs.google.com/spreadsheets/d/1BJSV3WBYJGRhQ6zExamkszQ5"&amp;"VutGIcaQqmbD9ZTVXMQ/edit#gid=1251630045"",""articles_with_PRISMA_reasons!B2:B2113""))"),1995.0)</f>
        <v>1995</v>
      </c>
      <c r="D739" s="5" t="str">
        <f>IFERROR(__xludf.DUMMYFUNCTION("IFS(AND(
FILTER(IMPORTRANGE(""https://docs.google.com/spreadsheets/d/1BJSV3WBYJGRhQ6zExamkszQ5VutGIcaQqmbD9ZTVXMQ/edit#gid=1251630045"",""articles_with_PRISMA_reasons!Y2:Y2113""), $A739=IMPORTRANGE(""https://docs.google.com/spreadsheets/d/1BJSV3WBYJGRhQ6z"&amp;"ExamkszQ5VutGIcaQqmbD9ZTVXMQ/edit#gid=1251630045"",""articles_with_PRISMA_reasons!B2:B2113""))&gt;=2,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$A739=IMPORTRANGE(""https://docs.google.com/spreadsheets/d/1BJSV3WBYJGRhQ6zExamkszQ5VutGIcaQqmbD9ZTVXMQ/edit#gid=1251630045"",""articles_with_PRISMA_reasons!B2:B2113""))&lt;2),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$A739=IMPORTRANGE(""https://docs.google.com/spreadsheets/d/1BJSV3WBYJGRhQ6zExamkszQ5VutGIcaQqmbD9ZTVXMQ/edit#gid=1251630045"",""arti"&amp;"cles_with_PRISMA_reasons!B2:B2113""))&lt;2,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$A739=IMPORTRANGE(""https://docs.google.com"&amp;"/spreadsheets/d/1BJSV3WBYJGRhQ6zExamkszQ5VutGIcaQqmbD9ZTVXMQ/edit#gid=1251630045"",""articles_with_PRISMA_reasons!B2:B2113""))&gt;=2),
""Exclude""
)"),"Exclude")</f>
        <v>Exclude</v>
      </c>
      <c r="E739" s="5" t="str">
        <f>IFERROR(__xludf.DUMMYFUNCTION("IFS(
D739=""Exclude"",""Exclude"",
AND(
FILTER(IMPORTRANGE(""https://docs.google.com/spreadsheets/d/1qpEmbGH0JjaJbUdp21-y2cPbobDbMjr09BbtdKROZWc/edit#gid=1444865654"",""articles_with_PRISMA_reasons!W2:W2113""), $A739=IMPORTRANGE(""https://docs.google.com/"&amp;"spreadsheets/d/1qpEmbGH0JjaJbUdp21-y2cPbobDbMjr09BbtdKROZWc/edit#gid=1444865654"",""articles_with_PRISMA_reasons!B2:B2113""))&gt;=2,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$A739=IMPORTRANGE(""https://docs.google.com/spreadsheets/d/1qpEmbGH0JjaJbUdp21-y2cPbobDbMjr09BbtdKROZWc/edit#gid=1444865654"",""articles_with_PRISMA_reasons!B2:B2113""))&lt;2),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$A739=IMPORTRANGE(""https://docs.google.com/spreadsheets/d/1qpEmbGH0JjaJbUdp21-y2cPbobDbMjr09BbtdKRO"&amp;"ZWc/edit#gid=1444865654"",""articles_with_PRISMA_reasons!B2:B2113""))&lt;2,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$A739=IMPOR"&amp;"TRANGE(""https://docs.google.com/spreadsheets/d/1qpEmbGH0JjaJbUdp21-y2cPbobDbMjr09BbtdKROZWc/edit#gid=1444865654"",""articles_with_PRISMA_reasons!B2:B2113""))&gt;=2),
""Exclude""
)"),"Exclude")</f>
        <v>Exclude</v>
      </c>
      <c r="F739" s="5" t="str">
        <f>IFERROR(__xludf.DUMMYFUNCTION("IFS(
E739=""Exclude"",""Exclude"",
AND(
COUNTIF(
IMPORTRANGE(""https://docs.google.com/spreadsheets/d/1kGrh75X1cNR1D7_FcY9zMnHP8iPO4M5RCRjy6nZY0TY/edit#gid=0"",""Table 1: Study characteristics!B4:B171""),A739)&gt;0,
COUNTIF(Studies!$A$2:$A$85,FILTER(IMPORTRA"&amp;"NGE(""https://docs.google.com/spreadsheets/d/1kGrh75X1cNR1D7_FcY9zMnHP8iPO4M5RCRjy6nZY0TY/edit#gid=0"",""Table 1: Study characteristics!A4:A171""), $A739=IMPORTRANGE(""https://docs.google.com/spreadsheets/d/1kGrh75X1cNR1D7_FcY9zMnHP8iPO4M5RCRjy6nZY0TY/edi"&amp;"t#gid=0"",""Table 1: Study characteristics!B4:B171"")))&gt;0
),
""Include""
)"),"Exclude")</f>
        <v>Exclude</v>
      </c>
      <c r="G739" s="5" t="str">
        <f>IFERROR(__xludf.DUMMYFUNCTION("IFS(
D739=""Exclude"",
FILTER(IMPORTRANGE(""https://docs.google.com/spreadsheets/d/1BJSV3WBYJGRhQ6zExamkszQ5VutGIcaQqmbD9ZTVXMQ/edit#gid=1251630045"",""articles_with_PRISMA_reasons!AB2:AB2113""), $A739=IMPORTRANGE(""https://docs.google.com/spreadsheets/d/"&amp;"1BJSV3WBYJGRhQ6zExamkszQ5VutGIcaQqmbD9ZTVXMQ/edit#gid=1251630045"",""articles_with_PRISMA_reasons!B2:B2113"")),
E739=""Exclude"",
FILTER(IMPORTRANGE(""https://docs.google.com/spreadsheets/d/1qpEmbGH0JjaJbUdp21-y2cPbobDbMjr09BbtdKROZWc/edit#gid=1444865654"&amp;""",""articles_with_PRISMA_reasons!Z2:Z2113""), $A739=IMPORTRANGE(""https://docs.google.com/spreadsheets/d/1qpEmbGH0JjaJbUdp21-y2cPbobDbMjr09BbtdKROZWc/edit#gid=1444865654"",""articles_with_PRISMA_reasons!B2:B2113"")),F739
=""Include"",FILTER(IMPORTRANGE("&amp;"""https://docs.google.com/spreadsheets/d/1kGrh75X1cNR1D7_FcY9zMnHP8iPO4M5RCRjy6nZY0TY/edit#gid=0"",""Table 1: Study characteristics!A4:A171""), $A739=IMPORTRANGE(""https://docs.google.com/spreadsheets/d/1kGrh75X1cNR1D7_FcY9zMnHP8iPO4M5RCRjy6nZY0TY/edit#gi"&amp;"d=0"",""Table 1: Study characteristics!B4:B171""))
)"),"wrong population")</f>
        <v>wrong population</v>
      </c>
    </row>
    <row r="740">
      <c r="A740" s="4" t="str">
        <f>IFERROR(__xludf.DUMMYFUNCTION("""COMPUTED_VALUE"""),"Epilepsy in patients with spina bifida in the lumbosacral region")</f>
        <v>Epilepsy in patients with spina bifida in the lumbosacral region</v>
      </c>
      <c r="B740" s="5" t="str">
        <f>IFERROR(__xludf.DUMMYFUNCTION("LEFT(FILTER(IMPORTRANGE(""https://docs.google.com/spreadsheets/d/1BJSV3WBYJGRhQ6zExamkszQ5VutGIcaQqmbD9ZTVXMQ/edit#gid=1251630045"",""articles_with_PRISMA_reasons!K2:K2113""), $A740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$A740=IMPORTRANGE(""https://docs.google.com/spreadsheets/d/1BJSV3WBYJGRhQ6zExamkszQ5VutGIcaQqmbD9ZTVXMQ/edit#gid=1251630045"",""articles_with_PRISMA_reasons!B2:B2113"")))-1)"),"Yoshida")</f>
        <v>Yoshida</v>
      </c>
      <c r="C740" s="6" t="str">
        <f>IFERROR(__xludf.DUMMYFUNCTION("FILTER(IMPORTRANGE(""https://docs.google.com/spreadsheets/d/1BJSV3WBYJGRhQ6zExamkszQ5VutGIcaQqmbD9ZTVXMQ/edit#gid=1251630045"",""articles_with_PRISMA_reasons!C2:C2113""), $A740=IMPORTRANGE(""https://docs.google.com/spreadsheets/d/1BJSV3WBYJGRhQ6zExamkszQ5"&amp;"VutGIcaQqmbD9ZTVXMQ/edit#gid=1251630045"",""articles_with_PRISMA_reasons!B2:B2113""))"),"Oct")</f>
        <v>Oct</v>
      </c>
      <c r="D740" s="5" t="str">
        <f>IFERROR(__xludf.DUMMYFUNCTION("IFS(AND(
FILTER(IMPORTRANGE(""https://docs.google.com/spreadsheets/d/1BJSV3WBYJGRhQ6zExamkszQ5VutGIcaQqmbD9ZTVXMQ/edit#gid=1251630045"",""articles_with_PRISMA_reasons!Y2:Y2113""), $A740=IMPORTRANGE(""https://docs.google.com/spreadsheets/d/1BJSV3WBYJGRhQ6z"&amp;"ExamkszQ5VutGIcaQqmbD9ZTVXMQ/edit#gid=1251630045"",""articles_with_PRISMA_reasons!B2:B2113""))&gt;=2,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$A740=IMPORTRANGE(""https://docs.google.com/spreadsheets/d/1BJSV3WBYJGRhQ6zExamkszQ5VutGIcaQqmbD9ZTVXMQ/edit#gid=1251630045"",""articles_with_PRISMA_reasons!B2:B2113""))&lt;2),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$A740=IMPORTRANGE(""https://docs.google.com/spreadsheets/d/1BJSV3WBYJGRhQ6zExamkszQ5VutGIcaQqmbD9ZTVXMQ/edit#gid=1251630045"",""arti"&amp;"cles_with_PRISMA_reasons!B2:B2113""))&lt;2,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$A740=IMPORTRANGE(""https://docs.google.com"&amp;"/spreadsheets/d/1BJSV3WBYJGRhQ6zExamkszQ5VutGIcaQqmbD9ZTVXMQ/edit#gid=1251630045"",""articles_with_PRISMA_reasons!B2:B2113""))&gt;=2),
""Exclude""
)"),"Exclude")</f>
        <v>Exclude</v>
      </c>
      <c r="E740" s="5" t="str">
        <f>IFERROR(__xludf.DUMMYFUNCTION("IFS(
D740=""Exclude"",""Exclude"",
AND(
FILTER(IMPORTRANGE(""https://docs.google.com/spreadsheets/d/1qpEmbGH0JjaJbUdp21-y2cPbobDbMjr09BbtdKROZWc/edit#gid=1444865654"",""articles_with_PRISMA_reasons!W2:W2113""), $A740=IMPORTRANGE(""https://docs.google.com/"&amp;"spreadsheets/d/1qpEmbGH0JjaJbUdp21-y2cPbobDbMjr09BbtdKROZWc/edit#gid=1444865654"",""articles_with_PRISMA_reasons!B2:B2113""))&gt;=2,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$A740=IMPORTRANGE(""https://docs.google.com/spreadsheets/d/1qpEmbGH0JjaJbUdp21-y2cPbobDbMjr09BbtdKROZWc/edit#gid=1444865654"",""articles_with_PRISMA_reasons!B2:B2113""))&lt;2),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$A740=IMPORTRANGE(""https://docs.google.com/spreadsheets/d/1qpEmbGH0JjaJbUdp21-y2cPbobDbMjr09BbtdKRO"&amp;"ZWc/edit#gid=1444865654"",""articles_with_PRISMA_reasons!B2:B2113""))&lt;2,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$A740=IMPOR"&amp;"TRANGE(""https://docs.google.com/spreadsheets/d/1qpEmbGH0JjaJbUdp21-y2cPbobDbMjr09BbtdKROZWc/edit#gid=1444865654"",""articles_with_PRISMA_reasons!B2:B2113""))&gt;=2),
""Exclude""
)"),"Exclude")</f>
        <v>Exclude</v>
      </c>
      <c r="F740" s="5" t="str">
        <f>IFERROR(__xludf.DUMMYFUNCTION("IFS(
E740=""Exclude"",""Exclude"",
AND(
COUNTIF(
IMPORTRANGE(""https://docs.google.com/spreadsheets/d/1kGrh75X1cNR1D7_FcY9zMnHP8iPO4M5RCRjy6nZY0TY/edit#gid=0"",""Table 1: Study characteristics!B4:B171""),A740)&gt;0,
COUNTIF(Studies!$A$2:$A$85,FILTER(IMPORTRA"&amp;"NGE(""https://docs.google.com/spreadsheets/d/1kGrh75X1cNR1D7_FcY9zMnHP8iPO4M5RCRjy6nZY0TY/edit#gid=0"",""Table 1: Study characteristics!A4:A171""), $A740=IMPORTRANGE(""https://docs.google.com/spreadsheets/d/1kGrh75X1cNR1D7_FcY9zMnHP8iPO4M5RCRjy6nZY0TY/edi"&amp;"t#gid=0"",""Table 1: Study characteristics!B4:B171"")))&gt;0
),
""Include""
)"),"Exclude")</f>
        <v>Exclude</v>
      </c>
      <c r="G740" s="5" t="str">
        <f>IFERROR(__xludf.DUMMYFUNCTION("IFS(
D740=""Exclude"",
FILTER(IMPORTRANGE(""https://docs.google.com/spreadsheets/d/1BJSV3WBYJGRhQ6zExamkszQ5VutGIcaQqmbD9ZTVXMQ/edit#gid=1251630045"",""articles_with_PRISMA_reasons!AB2:AB2113""), $A740=IMPORTRANGE(""https://docs.google.com/spreadsheets/d/"&amp;"1BJSV3WBYJGRhQ6zExamkszQ5VutGIcaQqmbD9ZTVXMQ/edit#gid=1251630045"",""articles_with_PRISMA_reasons!B2:B2113"")),
E740=""Exclude"",
FILTER(IMPORTRANGE(""https://docs.google.com/spreadsheets/d/1qpEmbGH0JjaJbUdp21-y2cPbobDbMjr09BbtdKROZWc/edit#gid=1444865654"&amp;""",""articles_with_PRISMA_reasons!Z2:Z2113""), $A740=IMPORTRANGE(""https://docs.google.com/spreadsheets/d/1qpEmbGH0JjaJbUdp21-y2cPbobDbMjr09BbtdKROZWc/edit#gid=1444865654"",""articles_with_PRISMA_reasons!B2:B2113"")),F740
=""Include"",FILTER(IMPORTRANGE("&amp;"""https://docs.google.com/spreadsheets/d/1kGrh75X1cNR1D7_FcY9zMnHP8iPO4M5RCRjy6nZY0TY/edit#gid=0"",""Table 1: Study characteristics!A4:A171""), $A740=IMPORTRANGE(""https://docs.google.com/spreadsheets/d/1kGrh75X1cNR1D7_FcY9zMnHP8iPO4M5RCRjy6nZY0TY/edit#gi"&amp;"d=0"",""Table 1: Study characteristics!B4:B171""))
)"),"wrong population")</f>
        <v>wrong population</v>
      </c>
    </row>
    <row r="741">
      <c r="A741" s="4" t="str">
        <f>IFERROR(__xludf.DUMMYFUNCTION("""COMPUTED_VALUE"""),"Epilepsy is shunt treated hydrocephalus")</f>
        <v>Epilepsy is shunt treated hydrocephalus</v>
      </c>
      <c r="B741" s="5" t="str">
        <f>IFERROR(__xludf.DUMMYFUNCTION("LEFT(FILTER(IMPORTRANGE(""https://docs.google.com/spreadsheets/d/1BJSV3WBYJGRhQ6zExamkszQ5VutGIcaQqmbD9ZTVXMQ/edit#gid=1251630045"",""articles_with_PRISMA_reasons!K2:K2113""), $A741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$A741=IMPORTRANGE(""https://docs.google.com/spreadsheets/d/1BJSV3WBYJGRhQ6zExamkszQ5VutGIcaQqmbD9ZTVXMQ/edit#gid=1251630045"",""articles_with_PRISMA_reasons!B2:B2113"")))-1)"),"Busse")</f>
        <v>Busse</v>
      </c>
      <c r="C741" s="6">
        <f>IFERROR(__xludf.DUMMYFUNCTION("FILTER(IMPORTRANGE(""https://docs.google.com/spreadsheets/d/1BJSV3WBYJGRhQ6zExamkszQ5VutGIcaQqmbD9ZTVXMQ/edit#gid=1251630045"",""articles_with_PRISMA_reasons!C2:C2113""), $A741=IMPORTRANGE(""https://docs.google.com/spreadsheets/d/1BJSV3WBYJGRhQ6zExamkszQ5"&amp;"VutGIcaQqmbD9ZTVXMQ/edit#gid=1251630045"",""articles_with_PRISMA_reasons!B2:B2113""))"),1998.0)</f>
        <v>1998</v>
      </c>
      <c r="D741" s="5" t="str">
        <f>IFERROR(__xludf.DUMMYFUNCTION("IFS(AND(
FILTER(IMPORTRANGE(""https://docs.google.com/spreadsheets/d/1BJSV3WBYJGRhQ6zExamkszQ5VutGIcaQqmbD9ZTVXMQ/edit#gid=1251630045"",""articles_with_PRISMA_reasons!Y2:Y2113""), $A741=IMPORTRANGE(""https://docs.google.com/spreadsheets/d/1BJSV3WBYJGRhQ6z"&amp;"ExamkszQ5VutGIcaQqmbD9ZTVXMQ/edit#gid=1251630045"",""articles_with_PRISMA_reasons!B2:B2113""))&gt;=2,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$A741=IMPORTRANGE(""https://docs.google.com/spreadsheets/d/1BJSV3WBYJGRhQ6zExamkszQ5VutGIcaQqmbD9ZTVXMQ/edit#gid=1251630045"",""articles_with_PRISMA_reasons!B2:B2113""))&lt;2),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$A741=IMPORTRANGE(""https://docs.google.com/spreadsheets/d/1BJSV3WBYJGRhQ6zExamkszQ5VutGIcaQqmbD9ZTVXMQ/edit#gid=1251630045"",""arti"&amp;"cles_with_PRISMA_reasons!B2:B2113""))&lt;2,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$A741=IMPORTRANGE(""https://docs.google.com"&amp;"/spreadsheets/d/1BJSV3WBYJGRhQ6zExamkszQ5VutGIcaQqmbD9ZTVXMQ/edit#gid=1251630045"",""articles_with_PRISMA_reasons!B2:B2113""))&gt;=2),
""Exclude""
)"),"Exclude")</f>
        <v>Exclude</v>
      </c>
      <c r="E741" s="5" t="str">
        <f>IFERROR(__xludf.DUMMYFUNCTION("IFS(
D741=""Exclude"",""Exclude"",
AND(
FILTER(IMPORTRANGE(""https://docs.google.com/spreadsheets/d/1qpEmbGH0JjaJbUdp21-y2cPbobDbMjr09BbtdKROZWc/edit#gid=1444865654"",""articles_with_PRISMA_reasons!W2:W2113""), $A741=IMPORTRANGE(""https://docs.google.com/"&amp;"spreadsheets/d/1qpEmbGH0JjaJbUdp21-y2cPbobDbMjr09BbtdKROZWc/edit#gid=1444865654"",""articles_with_PRISMA_reasons!B2:B2113""))&gt;=2,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$A741=IMPORTRANGE(""https://docs.google.com/spreadsheets/d/1qpEmbGH0JjaJbUdp21-y2cPbobDbMjr09BbtdKROZWc/edit#gid=1444865654"",""articles_with_PRISMA_reasons!B2:B2113""))&lt;2),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$A741=IMPORTRANGE(""https://docs.google.com/spreadsheets/d/1qpEmbGH0JjaJbUdp21-y2cPbobDbMjr09BbtdKRO"&amp;"ZWc/edit#gid=1444865654"",""articles_with_PRISMA_reasons!B2:B2113""))&lt;2,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$A741=IMPOR"&amp;"TRANGE(""https://docs.google.com/spreadsheets/d/1qpEmbGH0JjaJbUdp21-y2cPbobDbMjr09BbtdKROZWc/edit#gid=1444865654"",""articles_with_PRISMA_reasons!B2:B2113""))&gt;=2),
""Exclude""
)"),"Exclude")</f>
        <v>Exclude</v>
      </c>
      <c r="F741" s="5" t="str">
        <f>IFERROR(__xludf.DUMMYFUNCTION("IFS(
E741=""Exclude"",""Exclude"",
AND(
COUNTIF(
IMPORTRANGE(""https://docs.google.com/spreadsheets/d/1kGrh75X1cNR1D7_FcY9zMnHP8iPO4M5RCRjy6nZY0TY/edit#gid=0"",""Table 1: Study characteristics!B4:B171""),A741)&gt;0,
COUNTIF(Studies!$A$2:$A$85,FILTER(IMPORTRA"&amp;"NGE(""https://docs.google.com/spreadsheets/d/1kGrh75X1cNR1D7_FcY9zMnHP8iPO4M5RCRjy6nZY0TY/edit#gid=0"",""Table 1: Study characteristics!A4:A171""), $A741=IMPORTRANGE(""https://docs.google.com/spreadsheets/d/1kGrh75X1cNR1D7_FcY9zMnHP8iPO4M5RCRjy6nZY0TY/edi"&amp;"t#gid=0"",""Table 1: Study characteristics!B4:B171"")))&gt;0
),
""Include""
)"),"Exclude")</f>
        <v>Exclude</v>
      </c>
      <c r="G741" s="5" t="str">
        <f>IFERROR(__xludf.DUMMYFUNCTION("IFS(
D741=""Exclude"",
FILTER(IMPORTRANGE(""https://docs.google.com/spreadsheets/d/1BJSV3WBYJGRhQ6zExamkszQ5VutGIcaQqmbD9ZTVXMQ/edit#gid=1251630045"",""articles_with_PRISMA_reasons!AB2:AB2113""), $A741=IMPORTRANGE(""https://docs.google.com/spreadsheets/d/"&amp;"1BJSV3WBYJGRhQ6zExamkszQ5VutGIcaQqmbD9ZTVXMQ/edit#gid=1251630045"",""articles_with_PRISMA_reasons!B2:B2113"")),
E741=""Exclude"",
FILTER(IMPORTRANGE(""https://docs.google.com/spreadsheets/d/1qpEmbGH0JjaJbUdp21-y2cPbobDbMjr09BbtdKROZWc/edit#gid=1444865654"&amp;""",""articles_with_PRISMA_reasons!Z2:Z2113""), $A741=IMPORTRANGE(""https://docs.google.com/spreadsheets/d/1qpEmbGH0JjaJbUdp21-y2cPbobDbMjr09BbtdKROZWc/edit#gid=1444865654"",""articles_with_PRISMA_reasons!B2:B2113"")),F741
=""Include"",FILTER(IMPORTRANGE("&amp;"""https://docs.google.com/spreadsheets/d/1kGrh75X1cNR1D7_FcY9zMnHP8iPO4M5RCRjy6nZY0TY/edit#gid=0"",""Table 1: Study characteristics!A4:A171""), $A741=IMPORTRANGE(""https://docs.google.com/spreadsheets/d/1kGrh75X1cNR1D7_FcY9zMnHP8iPO4M5RCRjy6nZY0TY/edit#gi"&amp;"d=0"",""Table 1: Study characteristics!B4:B171""))
)"),"wrong study design")</f>
        <v>wrong study design</v>
      </c>
    </row>
    <row r="742">
      <c r="A742" s="4" t="str">
        <f>IFERROR(__xludf.DUMMYFUNCTION("""COMPUTED_VALUE"""),"Epileptic syndromes in children with hydrocephalus shunted in the first 2 years of life: A retrospective study of 67 cases")</f>
        <v>Epileptic syndromes in children with hydrocephalus shunted in the first 2 years of life: A retrospective study of 67 cases</v>
      </c>
      <c r="B742" s="5" t="str">
        <f>IFERROR(__xludf.DUMMYFUNCTION("LEFT(FILTER(IMPORTRANGE(""https://docs.google.com/spreadsheets/d/1BJSV3WBYJGRhQ6zExamkszQ5VutGIcaQqmbD9ZTVXMQ/edit#gid=1251630045"",""articles_with_PRISMA_reasons!K2:K2113""), $A742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$A742=IMPORTRANGE(""https://docs.google.com/spreadsheets/d/1BJSV3WBYJGRhQ6zExamkszQ5VutGIcaQqmbD9ZTVXMQ/edit#gid=1251630045"",""articles_with_PRISMA_reasons!B2:B2113"")))-1)"),"Caraballo")</f>
        <v>Caraballo</v>
      </c>
      <c r="C742" s="6">
        <f>IFERROR(__xludf.DUMMYFUNCTION("FILTER(IMPORTRANGE(""https://docs.google.com/spreadsheets/d/1BJSV3WBYJGRhQ6zExamkszQ5VutGIcaQqmbD9ZTVXMQ/edit#gid=1251630045"",""articles_with_PRISMA_reasons!C2:C2113""), $A742=IMPORTRANGE(""https://docs.google.com/spreadsheets/d/1BJSV3WBYJGRhQ6zExamkszQ5"&amp;"VutGIcaQqmbD9ZTVXMQ/edit#gid=1251630045"",""articles_with_PRISMA_reasons!B2:B2113""))"),2012.0)</f>
        <v>2012</v>
      </c>
      <c r="D742" s="5" t="str">
        <f>IFERROR(__xludf.DUMMYFUNCTION("IFS(AND(
FILTER(IMPORTRANGE(""https://docs.google.com/spreadsheets/d/1BJSV3WBYJGRhQ6zExamkszQ5VutGIcaQqmbD9ZTVXMQ/edit#gid=1251630045"",""articles_with_PRISMA_reasons!Y2:Y2113""), $A742=IMPORTRANGE(""https://docs.google.com/spreadsheets/d/1BJSV3WBYJGRhQ6z"&amp;"ExamkszQ5VutGIcaQqmbD9ZTVXMQ/edit#gid=1251630045"",""articles_with_PRISMA_reasons!B2:B2113""))&gt;=2,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$A742=IMPORTRANGE(""https://docs.google.com/spreadsheets/d/1BJSV3WBYJGRhQ6zExamkszQ5VutGIcaQqmbD9ZTVXMQ/edit#gid=1251630045"",""articles_with_PRISMA_reasons!B2:B2113""))&lt;2),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$A742=IMPORTRANGE(""https://docs.google.com/spreadsheets/d/1BJSV3WBYJGRhQ6zExamkszQ5VutGIcaQqmbD9ZTVXMQ/edit#gid=1251630045"",""arti"&amp;"cles_with_PRISMA_reasons!B2:B2113""))&lt;2,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$A742=IMPORTRANGE(""https://docs.google.com"&amp;"/spreadsheets/d/1BJSV3WBYJGRhQ6zExamkszQ5VutGIcaQqmbD9ZTVXMQ/edit#gid=1251630045"",""articles_with_PRISMA_reasons!B2:B2113""))&gt;=2),
""Exclude""
)"),"Exclude")</f>
        <v>Exclude</v>
      </c>
      <c r="E742" s="5" t="str">
        <f>IFERROR(__xludf.DUMMYFUNCTION("IFS(
D742=""Exclude"",""Exclude"",
AND(
FILTER(IMPORTRANGE(""https://docs.google.com/spreadsheets/d/1qpEmbGH0JjaJbUdp21-y2cPbobDbMjr09BbtdKROZWc/edit#gid=1444865654"",""articles_with_PRISMA_reasons!W2:W2113""), $A742=IMPORTRANGE(""https://docs.google.com/"&amp;"spreadsheets/d/1qpEmbGH0JjaJbUdp21-y2cPbobDbMjr09BbtdKROZWc/edit#gid=1444865654"",""articles_with_PRISMA_reasons!B2:B2113""))&gt;=2,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$A742=IMPORTRANGE(""https://docs.google.com/spreadsheets/d/1qpEmbGH0JjaJbUdp21-y2cPbobDbMjr09BbtdKROZWc/edit#gid=1444865654"",""articles_with_PRISMA_reasons!B2:B2113""))&lt;2),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$A742=IMPORTRANGE(""https://docs.google.com/spreadsheets/d/1qpEmbGH0JjaJbUdp21-y2cPbobDbMjr09BbtdKRO"&amp;"ZWc/edit#gid=1444865654"",""articles_with_PRISMA_reasons!B2:B2113""))&lt;2,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$A742=IMPOR"&amp;"TRANGE(""https://docs.google.com/spreadsheets/d/1qpEmbGH0JjaJbUdp21-y2cPbobDbMjr09BbtdKROZWc/edit#gid=1444865654"",""articles_with_PRISMA_reasons!B2:B2113""))&gt;=2),
""Exclude""
)"),"Exclude")</f>
        <v>Exclude</v>
      </c>
      <c r="F742" s="5" t="str">
        <f>IFERROR(__xludf.DUMMYFUNCTION("IFS(
E742=""Exclude"",""Exclude"",
AND(
COUNTIF(
IMPORTRANGE(""https://docs.google.com/spreadsheets/d/1kGrh75X1cNR1D7_FcY9zMnHP8iPO4M5RCRjy6nZY0TY/edit#gid=0"",""Table 1: Study characteristics!B4:B171""),A742)&gt;0,
COUNTIF(Studies!$A$2:$A$85,FILTER(IMPORTRA"&amp;"NGE(""https://docs.google.com/spreadsheets/d/1kGrh75X1cNR1D7_FcY9zMnHP8iPO4M5RCRjy6nZY0TY/edit#gid=0"",""Table 1: Study characteristics!A4:A171""), $A742=IMPORTRANGE(""https://docs.google.com/spreadsheets/d/1kGrh75X1cNR1D7_FcY9zMnHP8iPO4M5RCRjy6nZY0TY/edi"&amp;"t#gid=0"",""Table 1: Study characteristics!B4:B171"")))&gt;0
),
""Include""
)"),"Exclude")</f>
        <v>Exclude</v>
      </c>
      <c r="G742" s="5" t="str">
        <f>IFERROR(__xludf.DUMMYFUNCTION("IFS(
D742=""Exclude"",
FILTER(IMPORTRANGE(""https://docs.google.com/spreadsheets/d/1BJSV3WBYJGRhQ6zExamkszQ5VutGIcaQqmbD9ZTVXMQ/edit#gid=1251630045"",""articles_with_PRISMA_reasons!AB2:AB2113""), $A742=IMPORTRANGE(""https://docs.google.com/spreadsheets/d/"&amp;"1BJSV3WBYJGRhQ6zExamkszQ5VutGIcaQqmbD9ZTVXMQ/edit#gid=1251630045"",""articles_with_PRISMA_reasons!B2:B2113"")),
E742=""Exclude"",
FILTER(IMPORTRANGE(""https://docs.google.com/spreadsheets/d/1qpEmbGH0JjaJbUdp21-y2cPbobDbMjr09BbtdKROZWc/edit#gid=1444865654"&amp;""",""articles_with_PRISMA_reasons!Z2:Z2113""), $A742=IMPORTRANGE(""https://docs.google.com/spreadsheets/d/1qpEmbGH0JjaJbUdp21-y2cPbobDbMjr09BbtdKROZWc/edit#gid=1444865654"",""articles_with_PRISMA_reasons!B2:B2113"")),F742
=""Include"",FILTER(IMPORTRANGE("&amp;"""https://docs.google.com/spreadsheets/d/1kGrh75X1cNR1D7_FcY9zMnHP8iPO4M5RCRjy6nZY0TY/edit#gid=0"",""Table 1: Study characteristics!A4:A171""), $A742=IMPORTRANGE(""https://docs.google.com/spreadsheets/d/1kGrh75X1cNR1D7_FcY9zMnHP8iPO4M5RCRjy6nZY0TY/edit#gi"&amp;"d=0"",""Table 1: Study characteristics!B4:B171""))
)"),"wrong study design")</f>
        <v>wrong study design</v>
      </c>
    </row>
    <row r="743">
      <c r="A743" s="4" t="str">
        <f>IFERROR(__xludf.DUMMYFUNCTION("""COMPUTED_VALUE"""),"Essential infantile esotropia in neurologically. Impaired pediatric patients: Is botulinum toxin better primary treatment than surgery?")</f>
        <v>Essential infantile esotropia in neurologically. Impaired pediatric patients: Is botulinum toxin better primary treatment than surgery?</v>
      </c>
      <c r="B743" s="5" t="str">
        <f>IFERROR(__xludf.DUMMYFUNCTION("LEFT(FILTER(IMPORTRANGE(""https://docs.google.com/spreadsheets/d/1BJSV3WBYJGRhQ6zExamkszQ5VutGIcaQqmbD9ZTVXMQ/edit#gid=1251630045"",""articles_with_PRISMA_reasons!K2:K2113""), $A743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$A743=IMPORTRANGE(""https://docs.google.com/spreadsheets/d/1BJSV3WBYJGRhQ6zExamkszQ5VutGIcaQqmbD9ZTVXMQ/edit#gid=1251630045"",""articles_with_PRISMA_reasons!B2:B2113"")))-1)"),"Gamio")</f>
        <v>Gamio</v>
      </c>
      <c r="C743" s="6">
        <f>IFERROR(__xludf.DUMMYFUNCTION("FILTER(IMPORTRANGE(""https://docs.google.com/spreadsheets/d/1BJSV3WBYJGRhQ6zExamkszQ5VutGIcaQqmbD9ZTVXMQ/edit#gid=1251630045"",""articles_with_PRISMA_reasons!C2:C2113""), $A743=IMPORTRANGE(""https://docs.google.com/spreadsheets/d/1BJSV3WBYJGRhQ6zExamkszQ5"&amp;"VutGIcaQqmbD9ZTVXMQ/edit#gid=1251630045"",""articles_with_PRISMA_reasons!B2:B2113""))"),2007.0)</f>
        <v>2007</v>
      </c>
      <c r="D743" s="5" t="str">
        <f>IFERROR(__xludf.DUMMYFUNCTION("IFS(AND(
FILTER(IMPORTRANGE(""https://docs.google.com/spreadsheets/d/1BJSV3WBYJGRhQ6zExamkszQ5VutGIcaQqmbD9ZTVXMQ/edit#gid=1251630045"",""articles_with_PRISMA_reasons!Y2:Y2113""), $A743=IMPORTRANGE(""https://docs.google.com/spreadsheets/d/1BJSV3WBYJGRhQ6z"&amp;"ExamkszQ5VutGIcaQqmbD9ZTVXMQ/edit#gid=1251630045"",""articles_with_PRISMA_reasons!B2:B2113""))&gt;=2,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$A743=IMPORTRANGE(""https://docs.google.com/spreadsheets/d/1BJSV3WBYJGRhQ6zExamkszQ5VutGIcaQqmbD9ZTVXMQ/edit#gid=1251630045"",""articles_with_PRISMA_reasons!B2:B2113""))&lt;2),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$A743=IMPORTRANGE(""https://docs.google.com/spreadsheets/d/1BJSV3WBYJGRhQ6zExamkszQ5VutGIcaQqmbD9ZTVXMQ/edit#gid=1251630045"",""arti"&amp;"cles_with_PRISMA_reasons!B2:B2113""))&lt;2,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$A743=IMPORTRANGE(""https://docs.google.com"&amp;"/spreadsheets/d/1BJSV3WBYJGRhQ6zExamkszQ5VutGIcaQqmbD9ZTVXMQ/edit#gid=1251630045"",""articles_with_PRISMA_reasons!B2:B2113""))&gt;=2),
""Exclude""
)"),"Exclude")</f>
        <v>Exclude</v>
      </c>
      <c r="E743" s="5" t="str">
        <f>IFERROR(__xludf.DUMMYFUNCTION("IFS(
D743=""Exclude"",""Exclude"",
AND(
FILTER(IMPORTRANGE(""https://docs.google.com/spreadsheets/d/1qpEmbGH0JjaJbUdp21-y2cPbobDbMjr09BbtdKROZWc/edit#gid=1444865654"",""articles_with_PRISMA_reasons!W2:W2113""), $A743=IMPORTRANGE(""https://docs.google.com/"&amp;"spreadsheets/d/1qpEmbGH0JjaJbUdp21-y2cPbobDbMjr09BbtdKROZWc/edit#gid=1444865654"",""articles_with_PRISMA_reasons!B2:B2113""))&gt;=2,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$A743=IMPORTRANGE(""https://docs.google.com/spreadsheets/d/1qpEmbGH0JjaJbUdp21-y2cPbobDbMjr09BbtdKROZWc/edit#gid=1444865654"",""articles_with_PRISMA_reasons!B2:B2113""))&lt;2),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$A743=IMPORTRANGE(""https://docs.google.com/spreadsheets/d/1qpEmbGH0JjaJbUdp21-y2cPbobDbMjr09BbtdKRO"&amp;"ZWc/edit#gid=1444865654"",""articles_with_PRISMA_reasons!B2:B2113""))&lt;2,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$A743=IMPOR"&amp;"TRANGE(""https://docs.google.com/spreadsheets/d/1qpEmbGH0JjaJbUdp21-y2cPbobDbMjr09BbtdKROZWc/edit#gid=1444865654"",""articles_with_PRISMA_reasons!B2:B2113""))&gt;=2),
""Exclude""
)"),"Exclude")</f>
        <v>Exclude</v>
      </c>
      <c r="F743" s="5" t="str">
        <f>IFERROR(__xludf.DUMMYFUNCTION("IFS(
E743=""Exclude"",""Exclude"",
AND(
COUNTIF(
IMPORTRANGE(""https://docs.google.com/spreadsheets/d/1kGrh75X1cNR1D7_FcY9zMnHP8iPO4M5RCRjy6nZY0TY/edit#gid=0"",""Table 1: Study characteristics!B4:B171""),A743)&gt;0,
COUNTIF(Studies!$A$2:$A$85,FILTER(IMPORTRA"&amp;"NGE(""https://docs.google.com/spreadsheets/d/1kGrh75X1cNR1D7_FcY9zMnHP8iPO4M5RCRjy6nZY0TY/edit#gid=0"",""Table 1: Study characteristics!A4:A171""), $A743=IMPORTRANGE(""https://docs.google.com/spreadsheets/d/1kGrh75X1cNR1D7_FcY9zMnHP8iPO4M5RCRjy6nZY0TY/edi"&amp;"t#gid=0"",""Table 1: Study characteristics!B4:B171"")))&gt;0
),
""Include""
)"),"Exclude")</f>
        <v>Exclude</v>
      </c>
      <c r="G743" s="5" t="str">
        <f>IFERROR(__xludf.DUMMYFUNCTION("IFS(
D743=""Exclude"",
FILTER(IMPORTRANGE(""https://docs.google.com/spreadsheets/d/1BJSV3WBYJGRhQ6zExamkszQ5VutGIcaQqmbD9ZTVXMQ/edit#gid=1251630045"",""articles_with_PRISMA_reasons!AB2:AB2113""), $A743=IMPORTRANGE(""https://docs.google.com/spreadsheets/d/"&amp;"1BJSV3WBYJGRhQ6zExamkszQ5VutGIcaQqmbD9ZTVXMQ/edit#gid=1251630045"",""articles_with_PRISMA_reasons!B2:B2113"")),
E743=""Exclude"",
FILTER(IMPORTRANGE(""https://docs.google.com/spreadsheets/d/1qpEmbGH0JjaJbUdp21-y2cPbobDbMjr09BbtdKROZWc/edit#gid=1444865654"&amp;""",""articles_with_PRISMA_reasons!Z2:Z2113""), $A743=IMPORTRANGE(""https://docs.google.com/spreadsheets/d/1qpEmbGH0JjaJbUdp21-y2cPbobDbMjr09BbtdKROZWc/edit#gid=1444865654"",""articles_with_PRISMA_reasons!B2:B2113"")),F743
=""Include"",FILTER(IMPORTRANGE("&amp;"""https://docs.google.com/spreadsheets/d/1kGrh75X1cNR1D7_FcY9zMnHP8iPO4M5RCRjy6nZY0TY/edit#gid=0"",""Table 1: Study characteristics!A4:A171""), $A743=IMPORTRANGE(""https://docs.google.com/spreadsheets/d/1kGrh75X1cNR1D7_FcY9zMnHP8iPO4M5RCRjy6nZY0TY/edit#gi"&amp;"d=0"",""Table 1: Study characteristics!B4:B171""))
)"),"wrong population")</f>
        <v>wrong population</v>
      </c>
    </row>
    <row r="744">
      <c r="A744" s="4" t="str">
        <f>IFERROR(__xludf.DUMMYFUNCTION("""COMPUTED_VALUE"""),"Ethical and Legal Dilemmas Around Termination of Pregnancy for Severe Fetal Hydrocephalus, Spina Bifida Aperta and Meningomyelocoella")</f>
        <v>Ethical and Legal Dilemmas Around Termination of Pregnancy for Severe Fetal Hydrocephalus, Spina Bifida Aperta and Meningomyelocoella</v>
      </c>
      <c r="B744" s="5" t="str">
        <f>IFERROR(__xludf.DUMMYFUNCTION("LEFT(FILTER(IMPORTRANGE(""https://docs.google.com/spreadsheets/d/1BJSV3WBYJGRhQ6zExamkszQ5VutGIcaQqmbD9ZTVXMQ/edit#gid=1251630045"",""articles_with_PRISMA_reasons!K2:K2113""), $A744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$A744=IMPORTRANGE(""https://docs.google.com/spreadsheets/d/1BJSV3WBYJGRhQ6zExamkszQ5VutGIcaQqmbD9ZTVXMQ/edit#gid=1251630045"",""articles_with_PRISMA_reasons!B2:B2113"")))-1)"),"Cerovac")</f>
        <v>Cerovac</v>
      </c>
      <c r="C744" s="6">
        <f>IFERROR(__xludf.DUMMYFUNCTION("FILTER(IMPORTRANGE(""https://docs.google.com/spreadsheets/d/1BJSV3WBYJGRhQ6zExamkszQ5VutGIcaQqmbD9ZTVXMQ/edit#gid=1251630045"",""articles_with_PRISMA_reasons!C2:C2113""), $A744=IMPORTRANGE(""https://docs.google.com/spreadsheets/d/1BJSV3WBYJGRhQ6zExamkszQ5"&amp;"VutGIcaQqmbD9ZTVXMQ/edit#gid=1251630045"",""articles_with_PRISMA_reasons!B2:B2113""))"),2019.0)</f>
        <v>2019</v>
      </c>
      <c r="D744" s="5" t="str">
        <f>IFERROR(__xludf.DUMMYFUNCTION("IFS(AND(
FILTER(IMPORTRANGE(""https://docs.google.com/spreadsheets/d/1BJSV3WBYJGRhQ6zExamkszQ5VutGIcaQqmbD9ZTVXMQ/edit#gid=1251630045"",""articles_with_PRISMA_reasons!Y2:Y2113""), $A744=IMPORTRANGE(""https://docs.google.com/spreadsheets/d/1BJSV3WBYJGRhQ6z"&amp;"ExamkszQ5VutGIcaQqmbD9ZTVXMQ/edit#gid=1251630045"",""articles_with_PRISMA_reasons!B2:B2113""))&gt;=2,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$A744=IMPORTRANGE(""https://docs.google.com/spreadsheets/d/1BJSV3WBYJGRhQ6zExamkszQ5VutGIcaQqmbD9ZTVXMQ/edit#gid=1251630045"",""articles_with_PRISMA_reasons!B2:B2113""))&lt;2),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$A744=IMPORTRANGE(""https://docs.google.com/spreadsheets/d/1BJSV3WBYJGRhQ6zExamkszQ5VutGIcaQqmbD9ZTVXMQ/edit#gid=1251630045"",""arti"&amp;"cles_with_PRISMA_reasons!B2:B2113""))&lt;2,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$A744=IMPORTRANGE(""https://docs.google.com"&amp;"/spreadsheets/d/1BJSV3WBYJGRhQ6zExamkszQ5VutGIcaQqmbD9ZTVXMQ/edit#gid=1251630045"",""articles_with_PRISMA_reasons!B2:B2113""))&gt;=2),
""Exclude""
)"),"Exclude")</f>
        <v>Exclude</v>
      </c>
      <c r="E744" s="5" t="str">
        <f>IFERROR(__xludf.DUMMYFUNCTION("IFS(
D744=""Exclude"",""Exclude"",
AND(
FILTER(IMPORTRANGE(""https://docs.google.com/spreadsheets/d/1qpEmbGH0JjaJbUdp21-y2cPbobDbMjr09BbtdKROZWc/edit#gid=1444865654"",""articles_with_PRISMA_reasons!W2:W2113""), $A744=IMPORTRANGE(""https://docs.google.com/"&amp;"spreadsheets/d/1qpEmbGH0JjaJbUdp21-y2cPbobDbMjr09BbtdKROZWc/edit#gid=1444865654"",""articles_with_PRISMA_reasons!B2:B2113""))&gt;=2,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$A744=IMPORTRANGE(""https://docs.google.com/spreadsheets/d/1qpEmbGH0JjaJbUdp21-y2cPbobDbMjr09BbtdKROZWc/edit#gid=1444865654"",""articles_with_PRISMA_reasons!B2:B2113""))&lt;2),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$A744=IMPORTRANGE(""https://docs.google.com/spreadsheets/d/1qpEmbGH0JjaJbUdp21-y2cPbobDbMjr09BbtdKRO"&amp;"ZWc/edit#gid=1444865654"",""articles_with_PRISMA_reasons!B2:B2113""))&lt;2,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$A744=IMPOR"&amp;"TRANGE(""https://docs.google.com/spreadsheets/d/1qpEmbGH0JjaJbUdp21-y2cPbobDbMjr09BbtdKROZWc/edit#gid=1444865654"",""articles_with_PRISMA_reasons!B2:B2113""))&gt;=2),
""Exclude""
)"),"Exclude")</f>
        <v>Exclude</v>
      </c>
      <c r="F744" s="5" t="str">
        <f>IFERROR(__xludf.DUMMYFUNCTION("IFS(
E744=""Exclude"",""Exclude"",
AND(
COUNTIF(
IMPORTRANGE(""https://docs.google.com/spreadsheets/d/1kGrh75X1cNR1D7_FcY9zMnHP8iPO4M5RCRjy6nZY0TY/edit#gid=0"",""Table 1: Study characteristics!B4:B171""),A744)&gt;0,
COUNTIF(Studies!$A$2:$A$85,FILTER(IMPORTRA"&amp;"NGE(""https://docs.google.com/spreadsheets/d/1kGrh75X1cNR1D7_FcY9zMnHP8iPO4M5RCRjy6nZY0TY/edit#gid=0"",""Table 1: Study characteristics!A4:A171""), $A744=IMPORTRANGE(""https://docs.google.com/spreadsheets/d/1kGrh75X1cNR1D7_FcY9zMnHP8iPO4M5RCRjy6nZY0TY/edi"&amp;"t#gid=0"",""Table 1: Study characteristics!B4:B171"")))&gt;0
),
""Include""
)"),"Exclude")</f>
        <v>Exclude</v>
      </c>
      <c r="G744" s="5" t="str">
        <f>IFERROR(__xludf.DUMMYFUNCTION("IFS(
D744=""Exclude"",
FILTER(IMPORTRANGE(""https://docs.google.com/spreadsheets/d/1BJSV3WBYJGRhQ6zExamkszQ5VutGIcaQqmbD9ZTVXMQ/edit#gid=1251630045"",""articles_with_PRISMA_reasons!AB2:AB2113""), $A744=IMPORTRANGE(""https://docs.google.com/spreadsheets/d/"&amp;"1BJSV3WBYJGRhQ6zExamkszQ5VutGIcaQqmbD9ZTVXMQ/edit#gid=1251630045"",""articles_with_PRISMA_reasons!B2:B2113"")),
E744=""Exclude"",
FILTER(IMPORTRANGE(""https://docs.google.com/spreadsheets/d/1qpEmbGH0JjaJbUdp21-y2cPbobDbMjr09BbtdKROZWc/edit#gid=1444865654"&amp;""",""articles_with_PRISMA_reasons!Z2:Z2113""), $A744=IMPORTRANGE(""https://docs.google.com/spreadsheets/d/1qpEmbGH0JjaJbUdp21-y2cPbobDbMjr09BbtdKROZWc/edit#gid=1444865654"",""articles_with_PRISMA_reasons!B2:B2113"")),F744
=""Include"",FILTER(IMPORTRANGE("&amp;"""https://docs.google.com/spreadsheets/d/1kGrh75X1cNR1D7_FcY9zMnHP8iPO4M5RCRjy6nZY0TY/edit#gid=0"",""Table 1: Study characteristics!A4:A171""), $A744=IMPORTRANGE(""https://docs.google.com/spreadsheets/d/1kGrh75X1cNR1D7_FcY9zMnHP8iPO4M5RCRjy6nZY0TY/edit#gi"&amp;"d=0"",""Table 1: Study characteristics!B4:B171""))
)"),"wrong study design")</f>
        <v>wrong study design</v>
      </c>
    </row>
    <row r="745">
      <c r="A745" s="4" t="str">
        <f>IFERROR(__xludf.DUMMYFUNCTION("""COMPUTED_VALUE"""),"Ethical issues in the use of life-prolonging interventions for an infant with trisomy 18")</f>
        <v>Ethical issues in the use of life-prolonging interventions for an infant with trisomy 18</v>
      </c>
      <c r="B745" s="5" t="str">
        <f>IFERROR(__xludf.DUMMYFUNCTION("LEFT(FILTER(IMPORTRANGE(""https://docs.google.com/spreadsheets/d/1BJSV3WBYJGRhQ6zExamkszQ5VutGIcaQqmbD9ZTVXMQ/edit#gid=1251630045"",""articles_with_PRISMA_reasons!K2:K2113""), $A745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$A745=IMPORTRANGE(""https://docs.google.com/spreadsheets/d/1BJSV3WBYJGRhQ6zExamkszQ5VutGIcaQqmbD9ZTVXMQ/edit#gid=1251630045"",""articles_with_PRISMA_reasons!B2:B2113"")))-1)"),"Paris")</f>
        <v>Paris</v>
      </c>
      <c r="C745" s="6" t="str">
        <f>IFERROR(__xludf.DUMMYFUNCTION("FILTER(IMPORTRANGE(""https://docs.google.com/spreadsheets/d/1BJSV3WBYJGRhQ6zExamkszQ5VutGIcaQqmbD9ZTVXMQ/edit#gid=1251630045"",""articles_with_PRISMA_reasons!C2:C2113""), $A745=IMPORTRANGE(""https://docs.google.com/spreadsheets/d/1BJSV3WBYJGRhQ6zExamkszQ5"&amp;"VutGIcaQqmbD9ZTVXMQ/edit#gid=1251630045"",""articles_with_PRISMA_reasons!B2:B2113""))"),"Dec")</f>
        <v>Dec</v>
      </c>
      <c r="D745" s="5" t="str">
        <f>IFERROR(__xludf.DUMMYFUNCTION("IFS(AND(
FILTER(IMPORTRANGE(""https://docs.google.com/spreadsheets/d/1BJSV3WBYJGRhQ6zExamkszQ5VutGIcaQqmbD9ZTVXMQ/edit#gid=1251630045"",""articles_with_PRISMA_reasons!Y2:Y2113""), $A745=IMPORTRANGE(""https://docs.google.com/spreadsheets/d/1BJSV3WBYJGRhQ6z"&amp;"ExamkszQ5VutGIcaQqmbD9ZTVXMQ/edit#gid=1251630045"",""articles_with_PRISMA_reasons!B2:B2113""))&gt;=2,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$A745=IMPORTRANGE(""https://docs.google.com/spreadsheets/d/1BJSV3WBYJGRhQ6zExamkszQ5VutGIcaQqmbD9ZTVXMQ/edit#gid=1251630045"",""articles_with_PRISMA_reasons!B2:B2113""))&lt;2),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$A745=IMPORTRANGE(""https://docs.google.com/spreadsheets/d/1BJSV3WBYJGRhQ6zExamkszQ5VutGIcaQqmbD9ZTVXMQ/edit#gid=1251630045"",""arti"&amp;"cles_with_PRISMA_reasons!B2:B2113""))&lt;2,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$A745=IMPORTRANGE(""https://docs.google.com"&amp;"/spreadsheets/d/1BJSV3WBYJGRhQ6zExamkszQ5VutGIcaQqmbD9ZTVXMQ/edit#gid=1251630045"",""articles_with_PRISMA_reasons!B2:B2113""))&gt;=2),
""Exclude""
)"),"Exclude")</f>
        <v>Exclude</v>
      </c>
      <c r="E745" s="5" t="str">
        <f>IFERROR(__xludf.DUMMYFUNCTION("IFS(
D745=""Exclude"",""Exclude"",
AND(
FILTER(IMPORTRANGE(""https://docs.google.com/spreadsheets/d/1qpEmbGH0JjaJbUdp21-y2cPbobDbMjr09BbtdKROZWc/edit#gid=1444865654"",""articles_with_PRISMA_reasons!W2:W2113""), $A745=IMPORTRANGE(""https://docs.google.com/"&amp;"spreadsheets/d/1qpEmbGH0JjaJbUdp21-y2cPbobDbMjr09BbtdKROZWc/edit#gid=1444865654"",""articles_with_PRISMA_reasons!B2:B2113""))&gt;=2,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$A745=IMPORTRANGE(""https://docs.google.com/spreadsheets/d/1qpEmbGH0JjaJbUdp21-y2cPbobDbMjr09BbtdKROZWc/edit#gid=1444865654"",""articles_with_PRISMA_reasons!B2:B2113""))&lt;2),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$A745=IMPORTRANGE(""https://docs.google.com/spreadsheets/d/1qpEmbGH0JjaJbUdp21-y2cPbobDbMjr09BbtdKRO"&amp;"ZWc/edit#gid=1444865654"",""articles_with_PRISMA_reasons!B2:B2113""))&lt;2,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$A745=IMPOR"&amp;"TRANGE(""https://docs.google.com/spreadsheets/d/1qpEmbGH0JjaJbUdp21-y2cPbobDbMjr09BbtdKROZWc/edit#gid=1444865654"",""articles_with_PRISMA_reasons!B2:B2113""))&gt;=2),
""Exclude""
)"),"Exclude")</f>
        <v>Exclude</v>
      </c>
      <c r="F745" s="5" t="str">
        <f>IFERROR(__xludf.DUMMYFUNCTION("IFS(
E745=""Exclude"",""Exclude"",
AND(
COUNTIF(
IMPORTRANGE(""https://docs.google.com/spreadsheets/d/1kGrh75X1cNR1D7_FcY9zMnHP8iPO4M5RCRjy6nZY0TY/edit#gid=0"",""Table 1: Study characteristics!B4:B171""),A745)&gt;0,
COUNTIF(Studies!$A$2:$A$85,FILTER(IMPORTRA"&amp;"NGE(""https://docs.google.com/spreadsheets/d/1kGrh75X1cNR1D7_FcY9zMnHP8iPO4M5RCRjy6nZY0TY/edit#gid=0"",""Table 1: Study characteristics!A4:A171""), $A745=IMPORTRANGE(""https://docs.google.com/spreadsheets/d/1kGrh75X1cNR1D7_FcY9zMnHP8iPO4M5RCRjy6nZY0TY/edi"&amp;"t#gid=0"",""Table 1: Study characteristics!B4:B171"")))&gt;0
),
""Include""
)"),"Exclude")</f>
        <v>Exclude</v>
      </c>
      <c r="G745" s="5" t="str">
        <f>IFERROR(__xludf.DUMMYFUNCTION("IFS(
D745=""Exclude"",
FILTER(IMPORTRANGE(""https://docs.google.com/spreadsheets/d/1BJSV3WBYJGRhQ6zExamkszQ5VutGIcaQqmbD9ZTVXMQ/edit#gid=1251630045"",""articles_with_PRISMA_reasons!AB2:AB2113""), $A745=IMPORTRANGE(""https://docs.google.com/spreadsheets/d/"&amp;"1BJSV3WBYJGRhQ6zExamkszQ5VutGIcaQqmbD9ZTVXMQ/edit#gid=1251630045"",""articles_with_PRISMA_reasons!B2:B2113"")),
E745=""Exclude"",
FILTER(IMPORTRANGE(""https://docs.google.com/spreadsheets/d/1qpEmbGH0JjaJbUdp21-y2cPbobDbMjr09BbtdKROZWc/edit#gid=1444865654"&amp;""",""articles_with_PRISMA_reasons!Z2:Z2113""), $A745=IMPORTRANGE(""https://docs.google.com/spreadsheets/d/1qpEmbGH0JjaJbUdp21-y2cPbobDbMjr09BbtdKROZWc/edit#gid=1444865654"",""articles_with_PRISMA_reasons!B2:B2113"")),F745
=""Include"",FILTER(IMPORTRANGE("&amp;"""https://docs.google.com/spreadsheets/d/1kGrh75X1cNR1D7_FcY9zMnHP8iPO4M5RCRjy6nZY0TY/edit#gid=0"",""Table 1: Study characteristics!A4:A171""), $A745=IMPORTRANGE(""https://docs.google.com/spreadsheets/d/1kGrh75X1cNR1D7_FcY9zMnHP8iPO4M5RCRjy6nZY0TY/edit#gi"&amp;"d=0"",""Table 1: Study characteristics!B4:B171""))
)"),"wrong study design")</f>
        <v>wrong study design</v>
      </c>
    </row>
    <row r="746">
      <c r="A746" s="4" t="str">
        <f>IFERROR(__xludf.DUMMYFUNCTION("""COMPUTED_VALUE"""),"Ethical problems in the management of myelomeningocele and hydrocephalus-1")</f>
        <v>Ethical problems in the management of myelomeningocele and hydrocephalus-1</v>
      </c>
      <c r="B746" s="5" t="str">
        <f>IFERROR(__xludf.DUMMYFUNCTION("LEFT(FILTER(IMPORTRANGE(""https://docs.google.com/spreadsheets/d/1BJSV3WBYJGRhQ6zExamkszQ5VutGIcaQqmbD9ZTVXMQ/edit#gid=1251630045"",""articles_with_PRISMA_reasons!K2:K2113""), $A746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$A746=IMPORTRANGE(""https://docs.google.com/spreadsheets/d/1BJSV3WBYJGRhQ6zExamkszQ5VutGIcaQqmbD9ZTVXMQ/edit#gid=1251630045"",""articles_with_PRISMA_reasons!B2:B2113"")))-1)"),"Lorber")</f>
        <v>Lorber</v>
      </c>
      <c r="C746" s="6" t="str">
        <f>IFERROR(__xludf.DUMMYFUNCTION("FILTER(IMPORTRANGE(""https://docs.google.com/spreadsheets/d/1BJSV3WBYJGRhQ6zExamkszQ5VutGIcaQqmbD9ZTVXMQ/edit#gid=1251630045"",""articles_with_PRISMA_reasons!C2:C2113""), $A746=IMPORTRANGE(""https://docs.google.com/spreadsheets/d/1BJSV3WBYJGRhQ6zExamkszQ5"&amp;"VutGIcaQqmbD9ZTVXMQ/edit#gid=1251630045"",""articles_with_PRISMA_reasons!B2:B2113""))"),"Feb")</f>
        <v>Feb</v>
      </c>
      <c r="D746" s="5" t="str">
        <f>IFERROR(__xludf.DUMMYFUNCTION("IFS(AND(
FILTER(IMPORTRANGE(""https://docs.google.com/spreadsheets/d/1BJSV3WBYJGRhQ6zExamkszQ5VutGIcaQqmbD9ZTVXMQ/edit#gid=1251630045"",""articles_with_PRISMA_reasons!Y2:Y2113""), $A746=IMPORTRANGE(""https://docs.google.com/spreadsheets/d/1BJSV3WBYJGRhQ6z"&amp;"ExamkszQ5VutGIcaQqmbD9ZTVXMQ/edit#gid=1251630045"",""articles_with_PRISMA_reasons!B2:B2113""))&gt;=2,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$A746=IMPORTRANGE(""https://docs.google.com/spreadsheets/d/1BJSV3WBYJGRhQ6zExamkszQ5VutGIcaQqmbD9ZTVXMQ/edit#gid=1251630045"",""articles_with_PRISMA_reasons!B2:B2113""))&lt;2),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$A746=IMPORTRANGE(""https://docs.google.com/spreadsheets/d/1BJSV3WBYJGRhQ6zExamkszQ5VutGIcaQqmbD9ZTVXMQ/edit#gid=1251630045"",""arti"&amp;"cles_with_PRISMA_reasons!B2:B2113""))&lt;2,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$A746=IMPORTRANGE(""https://docs.google.com"&amp;"/spreadsheets/d/1BJSV3WBYJGRhQ6zExamkszQ5VutGIcaQqmbD9ZTVXMQ/edit#gid=1251630045"",""articles_with_PRISMA_reasons!B2:B2113""))&gt;=2),
""Exclude""
)"),"Exclude")</f>
        <v>Exclude</v>
      </c>
      <c r="E746" s="5" t="str">
        <f>IFERROR(__xludf.DUMMYFUNCTION("IFS(
D746=""Exclude"",""Exclude"",
AND(
FILTER(IMPORTRANGE(""https://docs.google.com/spreadsheets/d/1qpEmbGH0JjaJbUdp21-y2cPbobDbMjr09BbtdKROZWc/edit#gid=1444865654"",""articles_with_PRISMA_reasons!W2:W2113""), $A746=IMPORTRANGE(""https://docs.google.com/"&amp;"spreadsheets/d/1qpEmbGH0JjaJbUdp21-y2cPbobDbMjr09BbtdKROZWc/edit#gid=1444865654"",""articles_with_PRISMA_reasons!B2:B2113""))&gt;=2,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$A746=IMPORTRANGE(""https://docs.google.com/spreadsheets/d/1qpEmbGH0JjaJbUdp21-y2cPbobDbMjr09BbtdKROZWc/edit#gid=1444865654"",""articles_with_PRISMA_reasons!B2:B2113""))&lt;2),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$A746=IMPORTRANGE(""https://docs.google.com/spreadsheets/d/1qpEmbGH0JjaJbUdp21-y2cPbobDbMjr09BbtdKRO"&amp;"ZWc/edit#gid=1444865654"",""articles_with_PRISMA_reasons!B2:B2113""))&lt;2,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$A746=IMPOR"&amp;"TRANGE(""https://docs.google.com/spreadsheets/d/1qpEmbGH0JjaJbUdp21-y2cPbobDbMjr09BbtdKROZWc/edit#gid=1444865654"",""articles_with_PRISMA_reasons!B2:B2113""))&gt;=2),
""Exclude""
)"),"Exclude")</f>
        <v>Exclude</v>
      </c>
      <c r="F746" s="5" t="str">
        <f>IFERROR(__xludf.DUMMYFUNCTION("IFS(
E746=""Exclude"",""Exclude"",
AND(
COUNTIF(
IMPORTRANGE(""https://docs.google.com/spreadsheets/d/1kGrh75X1cNR1D7_FcY9zMnHP8iPO4M5RCRjy6nZY0TY/edit#gid=0"",""Table 1: Study characteristics!B4:B171""),A746)&gt;0,
COUNTIF(Studies!$A$2:$A$85,FILTER(IMPORTRA"&amp;"NGE(""https://docs.google.com/spreadsheets/d/1kGrh75X1cNR1D7_FcY9zMnHP8iPO4M5RCRjy6nZY0TY/edit#gid=0"",""Table 1: Study characteristics!A4:A171""), $A746=IMPORTRANGE(""https://docs.google.com/spreadsheets/d/1kGrh75X1cNR1D7_FcY9zMnHP8iPO4M5RCRjy6nZY0TY/edi"&amp;"t#gid=0"",""Table 1: Study characteristics!B4:B171"")))&gt;0
),
""Include""
)"),"Exclude")</f>
        <v>Exclude</v>
      </c>
      <c r="G746" s="5" t="str">
        <f>IFERROR(__xludf.DUMMYFUNCTION("IFS(
D746=""Exclude"",
FILTER(IMPORTRANGE(""https://docs.google.com/spreadsheets/d/1BJSV3WBYJGRhQ6zExamkszQ5VutGIcaQqmbD9ZTVXMQ/edit#gid=1251630045"",""articles_with_PRISMA_reasons!AB2:AB2113""), $A746=IMPORTRANGE(""https://docs.google.com/spreadsheets/d/"&amp;"1BJSV3WBYJGRhQ6zExamkszQ5VutGIcaQqmbD9ZTVXMQ/edit#gid=1251630045"",""articles_with_PRISMA_reasons!B2:B2113"")),
E746=""Exclude"",
FILTER(IMPORTRANGE(""https://docs.google.com/spreadsheets/d/1qpEmbGH0JjaJbUdp21-y2cPbobDbMjr09BbtdKROZWc/edit#gid=1444865654"&amp;""",""articles_with_PRISMA_reasons!Z2:Z2113""), $A746=IMPORTRANGE(""https://docs.google.com/spreadsheets/d/1qpEmbGH0JjaJbUdp21-y2cPbobDbMjr09BbtdKROZWc/edit#gid=1444865654"",""articles_with_PRISMA_reasons!B2:B2113"")),F746
=""Include"",FILTER(IMPORTRANGE("&amp;"""https://docs.google.com/spreadsheets/d/1kGrh75X1cNR1D7_FcY9zMnHP8iPO4M5RCRjy6nZY0TY/edit#gid=0"",""Table 1: Study characteristics!A4:A171""), $A746=IMPORTRANGE(""https://docs.google.com/spreadsheets/d/1kGrh75X1cNR1D7_FcY9zMnHP8iPO4M5RCRjy6nZY0TY/edit#gi"&amp;"d=0"",""Table 1: Study characteristics!B4:B171""))
)"),"wrong study design")</f>
        <v>wrong study design</v>
      </c>
    </row>
    <row r="747">
      <c r="A747" s="4" t="str">
        <f>IFERROR(__xludf.DUMMYFUNCTION("""COMPUTED_VALUE"""),"Ethical problems in the management of myelomingocele and hydrocephalus. 2")</f>
        <v>Ethical problems in the management of myelomingocele and hydrocephalus. 2</v>
      </c>
      <c r="B747" s="5" t="str">
        <f>IFERROR(__xludf.DUMMYFUNCTION("LEFT(FILTER(IMPORTRANGE(""https://docs.google.com/spreadsheets/d/1BJSV3WBYJGRhQ6zExamkszQ5VutGIcaQqmbD9ZTVXMQ/edit#gid=1251630045"",""articles_with_PRISMA_reasons!K2:K2113""), $A747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$A747=IMPORTRANGE(""https://docs.google.com/spreadsheets/d/1BJSV3WBYJGRhQ6zExamkszQ5VutGIcaQqmbD9ZTVXMQ/edit#gid=1251630045"",""articles_with_PRISMA_reasons!B2:B2113"")))-1)"),"Lorber")</f>
        <v>Lorber</v>
      </c>
      <c r="C747" s="6">
        <f>IFERROR(__xludf.DUMMYFUNCTION("FILTER(IMPORTRANGE(""https://docs.google.com/spreadsheets/d/1BJSV3WBYJGRhQ6zExamkszQ5VutGIcaQqmbD9ZTVXMQ/edit#gid=1251630045"",""articles_with_PRISMA_reasons!C2:C2113""), $A747=IMPORTRANGE(""https://docs.google.com/spreadsheets/d/1BJSV3WBYJGRhQ6zExamkszQ5"&amp;"VutGIcaQqmbD9ZTVXMQ/edit#gid=1251630045"",""articles_with_PRISMA_reasons!B2:B2113""))"),1976.0)</f>
        <v>1976</v>
      </c>
      <c r="D747" s="5" t="str">
        <f>IFERROR(__xludf.DUMMYFUNCTION("IFS(AND(
FILTER(IMPORTRANGE(""https://docs.google.com/spreadsheets/d/1BJSV3WBYJGRhQ6zExamkszQ5VutGIcaQqmbD9ZTVXMQ/edit#gid=1251630045"",""articles_with_PRISMA_reasons!Y2:Y2113""), $A747=IMPORTRANGE(""https://docs.google.com/spreadsheets/d/1BJSV3WBYJGRhQ6z"&amp;"ExamkszQ5VutGIcaQqmbD9ZTVXMQ/edit#gid=1251630045"",""articles_with_PRISMA_reasons!B2:B2113""))&gt;=2,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$A747=IMPORTRANGE(""https://docs.google.com/spreadsheets/d/1BJSV3WBYJGRhQ6zExamkszQ5VutGIcaQqmbD9ZTVXMQ/edit#gid=1251630045"",""articles_with_PRISMA_reasons!B2:B2113""))&lt;2),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$A747=IMPORTRANGE(""https://docs.google.com/spreadsheets/d/1BJSV3WBYJGRhQ6zExamkszQ5VutGIcaQqmbD9ZTVXMQ/edit#gid=1251630045"",""arti"&amp;"cles_with_PRISMA_reasons!B2:B2113""))&lt;2,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$A747=IMPORTRANGE(""https://docs.google.com"&amp;"/spreadsheets/d/1BJSV3WBYJGRhQ6zExamkszQ5VutGIcaQqmbD9ZTVXMQ/edit#gid=1251630045"",""articles_with_PRISMA_reasons!B2:B2113""))&gt;=2),
""Exclude""
)"),"Exclude")</f>
        <v>Exclude</v>
      </c>
      <c r="E747" s="5" t="str">
        <f>IFERROR(__xludf.DUMMYFUNCTION("IFS(
D747=""Exclude"",""Exclude"",
AND(
FILTER(IMPORTRANGE(""https://docs.google.com/spreadsheets/d/1qpEmbGH0JjaJbUdp21-y2cPbobDbMjr09BbtdKROZWc/edit#gid=1444865654"",""articles_with_PRISMA_reasons!W2:W2113""), $A747=IMPORTRANGE(""https://docs.google.com/"&amp;"spreadsheets/d/1qpEmbGH0JjaJbUdp21-y2cPbobDbMjr09BbtdKROZWc/edit#gid=1444865654"",""articles_with_PRISMA_reasons!B2:B2113""))&gt;=2,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$A747=IMPORTRANGE(""https://docs.google.com/spreadsheets/d/1qpEmbGH0JjaJbUdp21-y2cPbobDbMjr09BbtdKROZWc/edit#gid=1444865654"",""articles_with_PRISMA_reasons!B2:B2113""))&lt;2),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$A747=IMPORTRANGE(""https://docs.google.com/spreadsheets/d/1qpEmbGH0JjaJbUdp21-y2cPbobDbMjr09BbtdKRO"&amp;"ZWc/edit#gid=1444865654"",""articles_with_PRISMA_reasons!B2:B2113""))&lt;2,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$A747=IMPOR"&amp;"TRANGE(""https://docs.google.com/spreadsheets/d/1qpEmbGH0JjaJbUdp21-y2cPbobDbMjr09BbtdKROZWc/edit#gid=1444865654"",""articles_with_PRISMA_reasons!B2:B2113""))&gt;=2),
""Exclude""
)"),"Exclude")</f>
        <v>Exclude</v>
      </c>
      <c r="F747" s="5" t="str">
        <f>IFERROR(__xludf.DUMMYFUNCTION("IFS(
E747=""Exclude"",""Exclude"",
AND(
COUNTIF(
IMPORTRANGE(""https://docs.google.com/spreadsheets/d/1kGrh75X1cNR1D7_FcY9zMnHP8iPO4M5RCRjy6nZY0TY/edit#gid=0"",""Table 1: Study characteristics!B4:B171""),A747)&gt;0,
COUNTIF(Studies!$A$2:$A$85,FILTER(IMPORTRA"&amp;"NGE(""https://docs.google.com/spreadsheets/d/1kGrh75X1cNR1D7_FcY9zMnHP8iPO4M5RCRjy6nZY0TY/edit#gid=0"",""Table 1: Study characteristics!A4:A171""), $A747=IMPORTRANGE(""https://docs.google.com/spreadsheets/d/1kGrh75X1cNR1D7_FcY9zMnHP8iPO4M5RCRjy6nZY0TY/edi"&amp;"t#gid=0"",""Table 1: Study characteristics!B4:B171"")))&gt;0
),
""Include""
)"),"Exclude")</f>
        <v>Exclude</v>
      </c>
      <c r="G747" s="5" t="str">
        <f>IFERROR(__xludf.DUMMYFUNCTION("IFS(
D747=""Exclude"",
FILTER(IMPORTRANGE(""https://docs.google.com/spreadsheets/d/1BJSV3WBYJGRhQ6zExamkszQ5VutGIcaQqmbD9ZTVXMQ/edit#gid=1251630045"",""articles_with_PRISMA_reasons!AB2:AB2113""), $A747=IMPORTRANGE(""https://docs.google.com/spreadsheets/d/"&amp;"1BJSV3WBYJGRhQ6zExamkszQ5VutGIcaQqmbD9ZTVXMQ/edit#gid=1251630045"",""articles_with_PRISMA_reasons!B2:B2113"")),
E747=""Exclude"",
FILTER(IMPORTRANGE(""https://docs.google.com/spreadsheets/d/1qpEmbGH0JjaJbUdp21-y2cPbobDbMjr09BbtdKROZWc/edit#gid=1444865654"&amp;""",""articles_with_PRISMA_reasons!Z2:Z2113""), $A747=IMPORTRANGE(""https://docs.google.com/spreadsheets/d/1qpEmbGH0JjaJbUdp21-y2cPbobDbMjr09BbtdKROZWc/edit#gid=1444865654"",""articles_with_PRISMA_reasons!B2:B2113"")),F747
=""Include"",FILTER(IMPORTRANGE("&amp;"""https://docs.google.com/spreadsheets/d/1kGrh75X1cNR1D7_FcY9zMnHP8iPO4M5RCRjy6nZY0TY/edit#gid=0"",""Table 1: Study characteristics!A4:A171""), $A747=IMPORTRANGE(""https://docs.google.com/spreadsheets/d/1kGrh75X1cNR1D7_FcY9zMnHP8iPO4M5RCRjy6nZY0TY/edit#gi"&amp;"d=0"",""Table 1: Study characteristics!B4:B171""))
)"),"wrong study design")</f>
        <v>wrong study design</v>
      </c>
    </row>
    <row r="748">
      <c r="A748" s="4" t="str">
        <f>IFERROR(__xludf.DUMMYFUNCTION("""COMPUTED_VALUE"""),"Etiological differences between the isolated lateral ventricle and the isolated fourth ventricle")</f>
        <v>Etiological differences between the isolated lateral ventricle and the isolated fourth ventricle</v>
      </c>
      <c r="B748" s="5" t="str">
        <f>IFERROR(__xludf.DUMMYFUNCTION("LEFT(FILTER(IMPORTRANGE(""https://docs.google.com/spreadsheets/d/1BJSV3WBYJGRhQ6zExamkszQ5VutGIcaQqmbD9ZTVXMQ/edit#gid=1251630045"",""articles_with_PRISMA_reasons!K2:K2113""), $A748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$A748=IMPORTRANGE(""https://docs.google.com/spreadsheets/d/1BJSV3WBYJGRhQ6zExamkszQ5VutGIcaQqmbD9ZTVXMQ/edit#gid=1251630045"",""articles_with_PRISMA_reasons!B2:B2113"")))-1)"),"Ang")</f>
        <v>Ang</v>
      </c>
      <c r="C748" s="6">
        <f>IFERROR(__xludf.DUMMYFUNCTION("FILTER(IMPORTRANGE(""https://docs.google.com/spreadsheets/d/1BJSV3WBYJGRhQ6zExamkszQ5VutGIcaQqmbD9ZTVXMQ/edit#gid=1251630045"",""articles_with_PRISMA_reasons!C2:C2113""), $A748=IMPORTRANGE(""https://docs.google.com/spreadsheets/d/1BJSV3WBYJGRhQ6zExamkszQ5"&amp;"VutGIcaQqmbD9ZTVXMQ/edit#gid=1251630045"",""articles_with_PRISMA_reasons!B2:B2113""))"),2006.0)</f>
        <v>2006</v>
      </c>
      <c r="D748" s="5" t="str">
        <f>IFERROR(__xludf.DUMMYFUNCTION("IFS(AND(
FILTER(IMPORTRANGE(""https://docs.google.com/spreadsheets/d/1BJSV3WBYJGRhQ6zExamkszQ5VutGIcaQqmbD9ZTVXMQ/edit#gid=1251630045"",""articles_with_PRISMA_reasons!Y2:Y2113""), $A748=IMPORTRANGE(""https://docs.google.com/spreadsheets/d/1BJSV3WBYJGRhQ6z"&amp;"ExamkszQ5VutGIcaQqmbD9ZTVXMQ/edit#gid=1251630045"",""articles_with_PRISMA_reasons!B2:B2113""))&gt;=2,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$A748=IMPORTRANGE(""https://docs.google.com/spreadsheets/d/1BJSV3WBYJGRhQ6zExamkszQ5VutGIcaQqmbD9ZTVXMQ/edit#gid=1251630045"",""articles_with_PRISMA_reasons!B2:B2113""))&lt;2),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$A748=IMPORTRANGE(""https://docs.google.com/spreadsheets/d/1BJSV3WBYJGRhQ6zExamkszQ5VutGIcaQqmbD9ZTVXMQ/edit#gid=1251630045"",""arti"&amp;"cles_with_PRISMA_reasons!B2:B2113""))&lt;2,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$A748=IMPORTRANGE(""https://docs.google.com"&amp;"/spreadsheets/d/1BJSV3WBYJGRhQ6zExamkszQ5VutGIcaQqmbD9ZTVXMQ/edit#gid=1251630045"",""articles_with_PRISMA_reasons!B2:B2113""))&gt;=2),
""Exclude""
)"),"Include")</f>
        <v>Include</v>
      </c>
      <c r="E748" s="5" t="str">
        <f>IFERROR(__xludf.DUMMYFUNCTION("IFS(
D748=""Exclude"",""Exclude"",
AND(
FILTER(IMPORTRANGE(""https://docs.google.com/spreadsheets/d/1qpEmbGH0JjaJbUdp21-y2cPbobDbMjr09BbtdKROZWc/edit#gid=1444865654"",""articles_with_PRISMA_reasons!W2:W2113""), $A748=IMPORTRANGE(""https://docs.google.com/"&amp;"spreadsheets/d/1qpEmbGH0JjaJbUdp21-y2cPbobDbMjr09BbtdKROZWc/edit#gid=1444865654"",""articles_with_PRISMA_reasons!B2:B2113""))&gt;=2,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$A748=IMPORTRANGE(""https://docs.google.com/spreadsheets/d/1qpEmbGH0JjaJbUdp21-y2cPbobDbMjr09BbtdKROZWc/edit#gid=1444865654"",""articles_with_PRISMA_reasons!B2:B2113""))&lt;2),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$A748=IMPORTRANGE(""https://docs.google.com/spreadsheets/d/1qpEmbGH0JjaJbUdp21-y2cPbobDbMjr09BbtdKRO"&amp;"ZWc/edit#gid=1444865654"",""articles_with_PRISMA_reasons!B2:B2113""))&lt;2,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$A748=IMPOR"&amp;"TRANGE(""https://docs.google.com/spreadsheets/d/1qpEmbGH0JjaJbUdp21-y2cPbobDbMjr09BbtdKROZWc/edit#gid=1444865654"",""articles_with_PRISMA_reasons!B2:B2113""))&gt;=2),
""Exclude""
)"),"Include")</f>
        <v>Include</v>
      </c>
      <c r="F748" s="2" t="s">
        <v>8</v>
      </c>
      <c r="G748" s="2" t="s">
        <v>17</v>
      </c>
    </row>
    <row r="749">
      <c r="A749" s="4" t="str">
        <f>IFERROR(__xludf.DUMMYFUNCTION("""COMPUTED_VALUE"""),"Etiology and cranial CT scan profile of nontumoral hydrocephalus in a tertiary black African hospital")</f>
        <v>Etiology and cranial CT scan profile of nontumoral hydrocephalus in a tertiary black African hospital</v>
      </c>
      <c r="B749" s="5" t="str">
        <f>IFERROR(__xludf.DUMMYFUNCTION("LEFT(FILTER(IMPORTRANGE(""https://docs.google.com/spreadsheets/d/1BJSV3WBYJGRhQ6zExamkszQ5VutGIcaQqmbD9ZTVXMQ/edit#gid=1251630045"",""articles_with_PRISMA_reasons!K2:K2113""), $A749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$A749=IMPORTRANGE(""https://docs.google.com/spreadsheets/d/1BJSV3WBYJGRhQ6zExamkszQ5VutGIcaQqmbD9ZTVXMQ/edit#gid=1251630045"",""articles_with_PRISMA_reasons!B2:B2113"")))-1)"),"Idowu")</f>
        <v>Idowu</v>
      </c>
      <c r="C749" s="6">
        <f>IFERROR(__xludf.DUMMYFUNCTION("FILTER(IMPORTRANGE(""https://docs.google.com/spreadsheets/d/1BJSV3WBYJGRhQ6zExamkszQ5VutGIcaQqmbD9ZTVXMQ/edit#gid=1251630045"",""articles_with_PRISMA_reasons!C2:C2113""), $A749=IMPORTRANGE(""https://docs.google.com/spreadsheets/d/1BJSV3WBYJGRhQ6zExamkszQ5"&amp;"VutGIcaQqmbD9ZTVXMQ/edit#gid=1251630045"",""articles_with_PRISMA_reasons!B2:B2113""))"),2011.0)</f>
        <v>2011</v>
      </c>
      <c r="D749" s="5" t="str">
        <f>IFERROR(__xludf.DUMMYFUNCTION("IFS(AND(
FILTER(IMPORTRANGE(""https://docs.google.com/spreadsheets/d/1BJSV3WBYJGRhQ6zExamkszQ5VutGIcaQqmbD9ZTVXMQ/edit#gid=1251630045"",""articles_with_PRISMA_reasons!Y2:Y2113""), $A749=IMPORTRANGE(""https://docs.google.com/spreadsheets/d/1BJSV3WBYJGRhQ6z"&amp;"ExamkszQ5VutGIcaQqmbD9ZTVXMQ/edit#gid=1251630045"",""articles_with_PRISMA_reasons!B2:B2113""))&gt;=2,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$A749=IMPORTRANGE(""https://docs.google.com/spreadsheets/d/1BJSV3WBYJGRhQ6zExamkszQ5VutGIcaQqmbD9ZTVXMQ/edit#gid=1251630045"",""articles_with_PRISMA_reasons!B2:B2113""))&lt;2),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$A749=IMPORTRANGE(""https://docs.google.com/spreadsheets/d/1BJSV3WBYJGRhQ6zExamkszQ5VutGIcaQqmbD9ZTVXMQ/edit#gid=1251630045"",""arti"&amp;"cles_with_PRISMA_reasons!B2:B2113""))&lt;2,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$A749=IMPORTRANGE(""https://docs.google.com"&amp;"/spreadsheets/d/1BJSV3WBYJGRhQ6zExamkszQ5VutGIcaQqmbD9ZTVXMQ/edit#gid=1251630045"",""articles_with_PRISMA_reasons!B2:B2113""))&gt;=2),
""Exclude""
)"),"Exclude")</f>
        <v>Exclude</v>
      </c>
      <c r="E749" s="5" t="str">
        <f>IFERROR(__xludf.DUMMYFUNCTION("IFS(
D749=""Exclude"",""Exclude"",
AND(
FILTER(IMPORTRANGE(""https://docs.google.com/spreadsheets/d/1qpEmbGH0JjaJbUdp21-y2cPbobDbMjr09BbtdKROZWc/edit#gid=1444865654"",""articles_with_PRISMA_reasons!W2:W2113""), $A749=IMPORTRANGE(""https://docs.google.com/"&amp;"spreadsheets/d/1qpEmbGH0JjaJbUdp21-y2cPbobDbMjr09BbtdKROZWc/edit#gid=1444865654"",""articles_with_PRISMA_reasons!B2:B2113""))&gt;=2,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$A749=IMPORTRANGE(""https://docs.google.com/spreadsheets/d/1qpEmbGH0JjaJbUdp21-y2cPbobDbMjr09BbtdKROZWc/edit#gid=1444865654"",""articles_with_PRISMA_reasons!B2:B2113""))&lt;2),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$A749=IMPORTRANGE(""https://docs.google.com/spreadsheets/d/1qpEmbGH0JjaJbUdp21-y2cPbobDbMjr09BbtdKRO"&amp;"ZWc/edit#gid=1444865654"",""articles_with_PRISMA_reasons!B2:B2113""))&lt;2,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$A749=IMPOR"&amp;"TRANGE(""https://docs.google.com/spreadsheets/d/1qpEmbGH0JjaJbUdp21-y2cPbobDbMjr09BbtdKROZWc/edit#gid=1444865654"",""articles_with_PRISMA_reasons!B2:B2113""))&gt;=2),
""Exclude""
)"),"Exclude")</f>
        <v>Exclude</v>
      </c>
      <c r="F749" s="5" t="str">
        <f>IFERROR(__xludf.DUMMYFUNCTION("IFS(
E749=""Exclude"",""Exclude"",
AND(
COUNTIF(
IMPORTRANGE(""https://docs.google.com/spreadsheets/d/1kGrh75X1cNR1D7_FcY9zMnHP8iPO4M5RCRjy6nZY0TY/edit#gid=0"",""Table 1: Study characteristics!B4:B171""),A749)&gt;0,
COUNTIF(Studies!$A$2:$A$85,FILTER(IMPORTRA"&amp;"NGE(""https://docs.google.com/spreadsheets/d/1kGrh75X1cNR1D7_FcY9zMnHP8iPO4M5RCRjy6nZY0TY/edit#gid=0"",""Table 1: Study characteristics!A4:A171""), $A749=IMPORTRANGE(""https://docs.google.com/spreadsheets/d/1kGrh75X1cNR1D7_FcY9zMnHP8iPO4M5RCRjy6nZY0TY/edi"&amp;"t#gid=0"",""Table 1: Study characteristics!B4:B171"")))&gt;0
),
""Include""
)"),"Exclude")</f>
        <v>Exclude</v>
      </c>
      <c r="G749" s="5" t="str">
        <f>IFERROR(__xludf.DUMMYFUNCTION("IFS(
D749=""Exclude"",
FILTER(IMPORTRANGE(""https://docs.google.com/spreadsheets/d/1BJSV3WBYJGRhQ6zExamkszQ5VutGIcaQqmbD9ZTVXMQ/edit#gid=1251630045"",""articles_with_PRISMA_reasons!AB2:AB2113""), $A749=IMPORTRANGE(""https://docs.google.com/spreadsheets/d/"&amp;"1BJSV3WBYJGRhQ6zExamkszQ5VutGIcaQqmbD9ZTVXMQ/edit#gid=1251630045"",""articles_with_PRISMA_reasons!B2:B2113"")),
E749=""Exclude"",
FILTER(IMPORTRANGE(""https://docs.google.com/spreadsheets/d/1qpEmbGH0JjaJbUdp21-y2cPbobDbMjr09BbtdKROZWc/edit#gid=1444865654"&amp;""",""articles_with_PRISMA_reasons!Z2:Z2113""), $A749=IMPORTRANGE(""https://docs.google.com/spreadsheets/d/1qpEmbGH0JjaJbUdp21-y2cPbobDbMjr09BbtdKROZWc/edit#gid=1444865654"",""articles_with_PRISMA_reasons!B2:B2113"")),F749
=""Include"",FILTER(IMPORTRANGE("&amp;"""https://docs.google.com/spreadsheets/d/1kGrh75X1cNR1D7_FcY9zMnHP8iPO4M5RCRjy6nZY0TY/edit#gid=0"",""Table 1: Study characteristics!A4:A171""), $A749=IMPORTRANGE(""https://docs.google.com/spreadsheets/d/1kGrh75X1cNR1D7_FcY9zMnHP8iPO4M5RCRjy6nZY0TY/edit#gi"&amp;"d=0"",""Table 1: Study characteristics!B4:B171""))
)"),"wrong population")</f>
        <v>wrong population</v>
      </c>
    </row>
    <row r="750">
      <c r="A750" s="4" t="str">
        <f>IFERROR(__xludf.DUMMYFUNCTION("""COMPUTED_VALUE"""),"Etiology of bilateral abductor vocal cord paralysis: a review of 389 cases")</f>
        <v>Etiology of bilateral abductor vocal cord paralysis: a review of 389 cases</v>
      </c>
      <c r="B750" s="5" t="str">
        <f>IFERROR(__xludf.DUMMYFUNCTION("LEFT(FILTER(IMPORTRANGE(""https://docs.google.com/spreadsheets/d/1BJSV3WBYJGRhQ6zExamkszQ5VutGIcaQqmbD9ZTVXMQ/edit#gid=1251630045"",""articles_with_PRISMA_reasons!K2:K2113""), $A750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$A750=IMPORTRANGE(""https://docs.google.com/spreadsheets/d/1BJSV3WBYJGRhQ6zExamkszQ5VutGIcaQqmbD9ZTVXMQ/edit#gid=1251630045"",""articles_with_PRISMA_reasons!B2:B2113"")))-1)"),"Holinger")</f>
        <v>Holinger</v>
      </c>
      <c r="C750" s="6">
        <f>IFERROR(__xludf.DUMMYFUNCTION("FILTER(IMPORTRANGE(""https://docs.google.com/spreadsheets/d/1BJSV3WBYJGRhQ6zExamkszQ5VutGIcaQqmbD9ZTVXMQ/edit#gid=1251630045"",""articles_with_PRISMA_reasons!C2:C2113""), $A750=IMPORTRANGE(""https://docs.google.com/spreadsheets/d/1BJSV3WBYJGRhQ6zExamkszQ5"&amp;"VutGIcaQqmbD9ZTVXMQ/edit#gid=1251630045"",""articles_with_PRISMA_reasons!B2:B2113""))"),1976.0)</f>
        <v>1976</v>
      </c>
      <c r="D750" s="5" t="str">
        <f>IFERROR(__xludf.DUMMYFUNCTION("IFS(AND(
FILTER(IMPORTRANGE(""https://docs.google.com/spreadsheets/d/1BJSV3WBYJGRhQ6zExamkszQ5VutGIcaQqmbD9ZTVXMQ/edit#gid=1251630045"",""articles_with_PRISMA_reasons!Y2:Y2113""), $A750=IMPORTRANGE(""https://docs.google.com/spreadsheets/d/1BJSV3WBYJGRhQ6z"&amp;"ExamkszQ5VutGIcaQqmbD9ZTVXMQ/edit#gid=1251630045"",""articles_with_PRISMA_reasons!B2:B2113""))&gt;=2,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$A750=IMPORTRANGE(""https://docs.google.com/spreadsheets/d/1BJSV3WBYJGRhQ6zExamkszQ5VutGIcaQqmbD9ZTVXMQ/edit#gid=1251630045"",""articles_with_PRISMA_reasons!B2:B2113""))&lt;2),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$A750=IMPORTRANGE(""https://docs.google.com/spreadsheets/d/1BJSV3WBYJGRhQ6zExamkszQ5VutGIcaQqmbD9ZTVXMQ/edit#gid=1251630045"",""arti"&amp;"cles_with_PRISMA_reasons!B2:B2113""))&lt;2,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$A750=IMPORTRANGE(""https://docs.google.com"&amp;"/spreadsheets/d/1BJSV3WBYJGRhQ6zExamkszQ5VutGIcaQqmbD9ZTVXMQ/edit#gid=1251630045"",""articles_with_PRISMA_reasons!B2:B2113""))&gt;=2),
""Exclude""
)"),"Exclude")</f>
        <v>Exclude</v>
      </c>
      <c r="E750" s="5" t="str">
        <f>IFERROR(__xludf.DUMMYFUNCTION("IFS(
D750=""Exclude"",""Exclude"",
AND(
FILTER(IMPORTRANGE(""https://docs.google.com/spreadsheets/d/1qpEmbGH0JjaJbUdp21-y2cPbobDbMjr09BbtdKROZWc/edit#gid=1444865654"",""articles_with_PRISMA_reasons!W2:W2113""), $A750=IMPORTRANGE(""https://docs.google.com/"&amp;"spreadsheets/d/1qpEmbGH0JjaJbUdp21-y2cPbobDbMjr09BbtdKROZWc/edit#gid=1444865654"",""articles_with_PRISMA_reasons!B2:B2113""))&gt;=2,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$A750=IMPORTRANGE(""https://docs.google.com/spreadsheets/d/1qpEmbGH0JjaJbUdp21-y2cPbobDbMjr09BbtdKROZWc/edit#gid=1444865654"",""articles_with_PRISMA_reasons!B2:B2113""))&lt;2),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$A750=IMPORTRANGE(""https://docs.google.com/spreadsheets/d/1qpEmbGH0JjaJbUdp21-y2cPbobDbMjr09BbtdKRO"&amp;"ZWc/edit#gid=1444865654"",""articles_with_PRISMA_reasons!B2:B2113""))&lt;2,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$A750=IMPOR"&amp;"TRANGE(""https://docs.google.com/spreadsheets/d/1qpEmbGH0JjaJbUdp21-y2cPbobDbMjr09BbtdKROZWc/edit#gid=1444865654"",""articles_with_PRISMA_reasons!B2:B2113""))&gt;=2),
""Exclude""
)"),"Exclude")</f>
        <v>Exclude</v>
      </c>
      <c r="F750" s="5" t="str">
        <f>IFERROR(__xludf.DUMMYFUNCTION("IFS(
E750=""Exclude"",""Exclude"",
AND(
COUNTIF(
IMPORTRANGE(""https://docs.google.com/spreadsheets/d/1kGrh75X1cNR1D7_FcY9zMnHP8iPO4M5RCRjy6nZY0TY/edit#gid=0"",""Table 1: Study characteristics!B4:B171""),A750)&gt;0,
COUNTIF(Studies!$A$2:$A$85,FILTER(IMPORTRA"&amp;"NGE(""https://docs.google.com/spreadsheets/d/1kGrh75X1cNR1D7_FcY9zMnHP8iPO4M5RCRjy6nZY0TY/edit#gid=0"",""Table 1: Study characteristics!A4:A171""), $A750=IMPORTRANGE(""https://docs.google.com/spreadsheets/d/1kGrh75X1cNR1D7_FcY9zMnHP8iPO4M5RCRjy6nZY0TY/edi"&amp;"t#gid=0"",""Table 1: Study characteristics!B4:B171"")))&gt;0
),
""Include""
)"),"Exclude")</f>
        <v>Exclude</v>
      </c>
      <c r="G750" s="5" t="str">
        <f>IFERROR(__xludf.DUMMYFUNCTION("IFS(
D750=""Exclude"",
FILTER(IMPORTRANGE(""https://docs.google.com/spreadsheets/d/1BJSV3WBYJGRhQ6zExamkszQ5VutGIcaQqmbD9ZTVXMQ/edit#gid=1251630045"",""articles_with_PRISMA_reasons!AB2:AB2113""), $A750=IMPORTRANGE(""https://docs.google.com/spreadsheets/d/"&amp;"1BJSV3WBYJGRhQ6zExamkszQ5VutGIcaQqmbD9ZTVXMQ/edit#gid=1251630045"",""articles_with_PRISMA_reasons!B2:B2113"")),
E750=""Exclude"",
FILTER(IMPORTRANGE(""https://docs.google.com/spreadsheets/d/1qpEmbGH0JjaJbUdp21-y2cPbobDbMjr09BbtdKROZWc/edit#gid=1444865654"&amp;""",""articles_with_PRISMA_reasons!Z2:Z2113""), $A750=IMPORTRANGE(""https://docs.google.com/spreadsheets/d/1qpEmbGH0JjaJbUdp21-y2cPbobDbMjr09BbtdKROZWc/edit#gid=1444865654"",""articles_with_PRISMA_reasons!B2:B2113"")),F750
=""Include"",FILTER(IMPORTRANGE("&amp;"""https://docs.google.com/spreadsheets/d/1kGrh75X1cNR1D7_FcY9zMnHP8iPO4M5RCRjy6nZY0TY/edit#gid=0"",""Table 1: Study characteristics!A4:A171""), $A750=IMPORTRANGE(""https://docs.google.com/spreadsheets/d/1kGrh75X1cNR1D7_FcY9zMnHP8iPO4M5RCRjy6nZY0TY/edit#gi"&amp;"d=0"",""Table 1: Study characteristics!B4:B171""))
)"),"wrong population")</f>
        <v>wrong population</v>
      </c>
    </row>
    <row r="751">
      <c r="A751" s="4" t="str">
        <f>IFERROR(__xludf.DUMMYFUNCTION("""COMPUTED_VALUE"""),"Etiology of optic atrophy: A prospective observational study from Saudi Arabia")</f>
        <v>Etiology of optic atrophy: A prospective observational study from Saudi Arabia</v>
      </c>
      <c r="B751" s="5" t="str">
        <f>IFERROR(__xludf.DUMMYFUNCTION("LEFT(FILTER(IMPORTRANGE(""https://docs.google.com/spreadsheets/d/1BJSV3WBYJGRhQ6zExamkszQ5VutGIcaQqmbD9ZTVXMQ/edit#gid=1251630045"",""articles_with_PRISMA_reasons!K2:K2113""), $A751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$A751=IMPORTRANGE(""https://docs.google.com/spreadsheets/d/1BJSV3WBYJGRhQ6zExamkszQ5VutGIcaQqmbD9ZTVXMQ/edit#gid=1251630045"",""articles_with_PRISMA_reasons!B2:B2113"")))-1)"),"Fattah")</f>
        <v>Fattah</v>
      </c>
      <c r="C751" s="6">
        <f>IFERROR(__xludf.DUMMYFUNCTION("FILTER(IMPORTRANGE(""https://docs.google.com/spreadsheets/d/1BJSV3WBYJGRhQ6zExamkszQ5VutGIcaQqmbD9ZTVXMQ/edit#gid=1251630045"",""articles_with_PRISMA_reasons!C2:C2113""), $A751=IMPORTRANGE(""https://docs.google.com/spreadsheets/d/1BJSV3WBYJGRhQ6zExamkszQ5"&amp;"VutGIcaQqmbD9ZTVXMQ/edit#gid=1251630045"",""articles_with_PRISMA_reasons!B2:B2113""))"),2017.0)</f>
        <v>2017</v>
      </c>
      <c r="D751" s="5" t="str">
        <f>IFERROR(__xludf.DUMMYFUNCTION("IFS(AND(
FILTER(IMPORTRANGE(""https://docs.google.com/spreadsheets/d/1BJSV3WBYJGRhQ6zExamkszQ5VutGIcaQqmbD9ZTVXMQ/edit#gid=1251630045"",""articles_with_PRISMA_reasons!Y2:Y2113""), $A751=IMPORTRANGE(""https://docs.google.com/spreadsheets/d/1BJSV3WBYJGRhQ6z"&amp;"ExamkszQ5VutGIcaQqmbD9ZTVXMQ/edit#gid=1251630045"",""articles_with_PRISMA_reasons!B2:B2113""))&gt;=2,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$A751=IMPORTRANGE(""https://docs.google.com/spreadsheets/d/1BJSV3WBYJGRhQ6zExamkszQ5VutGIcaQqmbD9ZTVXMQ/edit#gid=1251630045"",""articles_with_PRISMA_reasons!B2:B2113""))&lt;2),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$A751=IMPORTRANGE(""https://docs.google.com/spreadsheets/d/1BJSV3WBYJGRhQ6zExamkszQ5VutGIcaQqmbD9ZTVXMQ/edit#gid=1251630045"",""arti"&amp;"cles_with_PRISMA_reasons!B2:B2113""))&lt;2,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$A751=IMPORTRANGE(""https://docs.google.com"&amp;"/spreadsheets/d/1BJSV3WBYJGRhQ6zExamkszQ5VutGIcaQqmbD9ZTVXMQ/edit#gid=1251630045"",""articles_with_PRISMA_reasons!B2:B2113""))&gt;=2),
""Exclude""
)"),"Exclude")</f>
        <v>Exclude</v>
      </c>
      <c r="E751" s="5" t="str">
        <f>IFERROR(__xludf.DUMMYFUNCTION("IFS(
D751=""Exclude"",""Exclude"",
AND(
FILTER(IMPORTRANGE(""https://docs.google.com/spreadsheets/d/1qpEmbGH0JjaJbUdp21-y2cPbobDbMjr09BbtdKROZWc/edit#gid=1444865654"",""articles_with_PRISMA_reasons!W2:W2113""), $A751=IMPORTRANGE(""https://docs.google.com/"&amp;"spreadsheets/d/1qpEmbGH0JjaJbUdp21-y2cPbobDbMjr09BbtdKROZWc/edit#gid=1444865654"",""articles_with_PRISMA_reasons!B2:B2113""))&gt;=2,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$A751=IMPORTRANGE(""https://docs.google.com/spreadsheets/d/1qpEmbGH0JjaJbUdp21-y2cPbobDbMjr09BbtdKROZWc/edit#gid=1444865654"",""articles_with_PRISMA_reasons!B2:B2113""))&lt;2),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$A751=IMPORTRANGE(""https://docs.google.com/spreadsheets/d/1qpEmbGH0JjaJbUdp21-y2cPbobDbMjr09BbtdKRO"&amp;"ZWc/edit#gid=1444865654"",""articles_with_PRISMA_reasons!B2:B2113""))&lt;2,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$A751=IMPOR"&amp;"TRANGE(""https://docs.google.com/spreadsheets/d/1qpEmbGH0JjaJbUdp21-y2cPbobDbMjr09BbtdKROZWc/edit#gid=1444865654"",""articles_with_PRISMA_reasons!B2:B2113""))&gt;=2),
""Exclude""
)"),"Exclude")</f>
        <v>Exclude</v>
      </c>
      <c r="F751" s="5" t="str">
        <f>IFERROR(__xludf.DUMMYFUNCTION("IFS(
E751=""Exclude"",""Exclude"",
AND(
COUNTIF(
IMPORTRANGE(""https://docs.google.com/spreadsheets/d/1kGrh75X1cNR1D7_FcY9zMnHP8iPO4M5RCRjy6nZY0TY/edit#gid=0"",""Table 1: Study characteristics!B4:B171""),A751)&gt;0,
COUNTIF(Studies!$A$2:$A$85,FILTER(IMPORTRA"&amp;"NGE(""https://docs.google.com/spreadsheets/d/1kGrh75X1cNR1D7_FcY9zMnHP8iPO4M5RCRjy6nZY0TY/edit#gid=0"",""Table 1: Study characteristics!A4:A171""), $A751=IMPORTRANGE(""https://docs.google.com/spreadsheets/d/1kGrh75X1cNR1D7_FcY9zMnHP8iPO4M5RCRjy6nZY0TY/edi"&amp;"t#gid=0"",""Table 1: Study characteristics!B4:B171"")))&gt;0
),
""Include""
)"),"Exclude")</f>
        <v>Exclude</v>
      </c>
      <c r="G751" s="5" t="str">
        <f>IFERROR(__xludf.DUMMYFUNCTION("IFS(
D751=""Exclude"",
FILTER(IMPORTRANGE(""https://docs.google.com/spreadsheets/d/1BJSV3WBYJGRhQ6zExamkszQ5VutGIcaQqmbD9ZTVXMQ/edit#gid=1251630045"",""articles_with_PRISMA_reasons!AB2:AB2113""), $A751=IMPORTRANGE(""https://docs.google.com/spreadsheets/d/"&amp;"1BJSV3WBYJGRhQ6zExamkszQ5VutGIcaQqmbD9ZTVXMQ/edit#gid=1251630045"",""articles_with_PRISMA_reasons!B2:B2113"")),
E751=""Exclude"",
FILTER(IMPORTRANGE(""https://docs.google.com/spreadsheets/d/1qpEmbGH0JjaJbUdp21-y2cPbobDbMjr09BbtdKROZWc/edit#gid=1444865654"&amp;""",""articles_with_PRISMA_reasons!Z2:Z2113""), $A751=IMPORTRANGE(""https://docs.google.com/spreadsheets/d/1qpEmbGH0JjaJbUdp21-y2cPbobDbMjr09BbtdKROZWc/edit#gid=1444865654"",""articles_with_PRISMA_reasons!B2:B2113"")),F751
=""Include"",FILTER(IMPORTRANGE("&amp;"""https://docs.google.com/spreadsheets/d/1kGrh75X1cNR1D7_FcY9zMnHP8iPO4M5RCRjy6nZY0TY/edit#gid=0"",""Table 1: Study characteristics!A4:A171""), $A751=IMPORTRANGE(""https://docs.google.com/spreadsheets/d/1kGrh75X1cNR1D7_FcY9zMnHP8iPO4M5RCRjy6nZY0TY/edit#gi"&amp;"d=0"",""Table 1: Study characteristics!B4:B171""))
)"),"wrong population")</f>
        <v>wrong population</v>
      </c>
    </row>
    <row r="752">
      <c r="A752" s="4" t="str">
        <f>IFERROR(__xludf.DUMMYFUNCTION("""COMPUTED_VALUE"""),"ETV as a last resort")</f>
        <v>ETV as a last resort</v>
      </c>
      <c r="B752" s="5" t="str">
        <f>IFERROR(__xludf.DUMMYFUNCTION("LEFT(FILTER(IMPORTRANGE(""https://docs.google.com/spreadsheets/d/1BJSV3WBYJGRhQ6zExamkszQ5VutGIcaQqmbD9ZTVXMQ/edit#gid=1251630045"",""articles_with_PRISMA_reasons!K2:K2113""), $A752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$A752=IMPORTRANGE(""https://docs.google.com/spreadsheets/d/1BJSV3WBYJGRhQ6zExamkszQ5VutGIcaQqmbD9ZTVXMQ/edit#gid=1251630045"",""articles_with_PRISMA_reasons!B2:B2113"")))-1)"),"M and iwanza")</f>
        <v>M and iwanza</v>
      </c>
      <c r="C752" s="6">
        <f>IFERROR(__xludf.DUMMYFUNCTION("FILTER(IMPORTRANGE(""https://docs.google.com/spreadsheets/d/1BJSV3WBYJGRhQ6zExamkszQ5VutGIcaQqmbD9ZTVXMQ/edit#gid=1251630045"",""articles_with_PRISMA_reasons!C2:C2113""), $A752=IMPORTRANGE(""https://docs.google.com/spreadsheets/d/1BJSV3WBYJGRhQ6zExamkszQ5"&amp;"VutGIcaQqmbD9ZTVXMQ/edit#gid=1251630045"",""articles_with_PRISMA_reasons!B2:B2113""))"),2014.0)</f>
        <v>2014</v>
      </c>
      <c r="D752" s="5" t="str">
        <f>IFERROR(__xludf.DUMMYFUNCTION("IFS(AND(
FILTER(IMPORTRANGE(""https://docs.google.com/spreadsheets/d/1BJSV3WBYJGRhQ6zExamkszQ5VutGIcaQqmbD9ZTVXMQ/edit#gid=1251630045"",""articles_with_PRISMA_reasons!Y2:Y2113""), $A752=IMPORTRANGE(""https://docs.google.com/spreadsheets/d/1BJSV3WBYJGRhQ6z"&amp;"ExamkszQ5VutGIcaQqmbD9ZTVXMQ/edit#gid=1251630045"",""articles_with_PRISMA_reasons!B2:B2113""))&gt;=2,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$A752=IMPORTRANGE(""https://docs.google.com/spreadsheets/d/1BJSV3WBYJGRhQ6zExamkszQ5VutGIcaQqmbD9ZTVXMQ/edit#gid=1251630045"",""articles_with_PRISMA_reasons!B2:B2113""))&lt;2),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$A752=IMPORTRANGE(""https://docs.google.com/spreadsheets/d/1BJSV3WBYJGRhQ6zExamkszQ5VutGIcaQqmbD9ZTVXMQ/edit#gid=1251630045"",""arti"&amp;"cles_with_PRISMA_reasons!B2:B2113""))&lt;2,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$A752=IMPORTRANGE(""https://docs.google.com"&amp;"/spreadsheets/d/1BJSV3WBYJGRhQ6zExamkszQ5VutGIcaQqmbD9ZTVXMQ/edit#gid=1251630045"",""articles_with_PRISMA_reasons!B2:B2113""))&gt;=2),
""Exclude""
)"),"Exclude")</f>
        <v>Exclude</v>
      </c>
      <c r="E752" s="5" t="str">
        <f>IFERROR(__xludf.DUMMYFUNCTION("IFS(
D752=""Exclude"",""Exclude"",
AND(
FILTER(IMPORTRANGE(""https://docs.google.com/spreadsheets/d/1qpEmbGH0JjaJbUdp21-y2cPbobDbMjr09BbtdKROZWc/edit#gid=1444865654"",""articles_with_PRISMA_reasons!W2:W2113""), $A752=IMPORTRANGE(""https://docs.google.com/"&amp;"spreadsheets/d/1qpEmbGH0JjaJbUdp21-y2cPbobDbMjr09BbtdKROZWc/edit#gid=1444865654"",""articles_with_PRISMA_reasons!B2:B2113""))&gt;=2,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$A752=IMPORTRANGE(""https://docs.google.com/spreadsheets/d/1qpEmbGH0JjaJbUdp21-y2cPbobDbMjr09BbtdKROZWc/edit#gid=1444865654"",""articles_with_PRISMA_reasons!B2:B2113""))&lt;2),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$A752=IMPORTRANGE(""https://docs.google.com/spreadsheets/d/1qpEmbGH0JjaJbUdp21-y2cPbobDbMjr09BbtdKRO"&amp;"ZWc/edit#gid=1444865654"",""articles_with_PRISMA_reasons!B2:B2113""))&lt;2,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$A752=IMPOR"&amp;"TRANGE(""https://docs.google.com/spreadsheets/d/1qpEmbGH0JjaJbUdp21-y2cPbobDbMjr09BbtdKROZWc/edit#gid=1444865654"",""articles_with_PRISMA_reasons!B2:B2113""))&gt;=2),
""Exclude""
)"),"Exclude")</f>
        <v>Exclude</v>
      </c>
      <c r="F752" s="5" t="str">
        <f>IFERROR(__xludf.DUMMYFUNCTION("IFS(
E752=""Exclude"",""Exclude"",
AND(
COUNTIF(
IMPORTRANGE(""https://docs.google.com/spreadsheets/d/1kGrh75X1cNR1D7_FcY9zMnHP8iPO4M5RCRjy6nZY0TY/edit#gid=0"",""Table 1: Study characteristics!B4:B171""),A752)&gt;0,
COUNTIF(Studies!$A$2:$A$85,FILTER(IMPORTRA"&amp;"NGE(""https://docs.google.com/spreadsheets/d/1kGrh75X1cNR1D7_FcY9zMnHP8iPO4M5RCRjy6nZY0TY/edit#gid=0"",""Table 1: Study characteristics!A4:A171""), $A752=IMPORTRANGE(""https://docs.google.com/spreadsheets/d/1kGrh75X1cNR1D7_FcY9zMnHP8iPO4M5RCRjy6nZY0TY/edi"&amp;"t#gid=0"",""Table 1: Study characteristics!B4:B171"")))&gt;0
),
""Include""
)"),"Exclude")</f>
        <v>Exclude</v>
      </c>
      <c r="G752" s="5" t="str">
        <f>IFERROR(__xludf.DUMMYFUNCTION("IFS(
D752=""Exclude"",
FILTER(IMPORTRANGE(""https://docs.google.com/spreadsheets/d/1BJSV3WBYJGRhQ6zExamkszQ5VutGIcaQqmbD9ZTVXMQ/edit#gid=1251630045"",""articles_with_PRISMA_reasons!AB2:AB2113""), $A752=IMPORTRANGE(""https://docs.google.com/spreadsheets/d/"&amp;"1BJSV3WBYJGRhQ6zExamkszQ5VutGIcaQqmbD9ZTVXMQ/edit#gid=1251630045"",""articles_with_PRISMA_reasons!B2:B2113"")),
E752=""Exclude"",
FILTER(IMPORTRANGE(""https://docs.google.com/spreadsheets/d/1qpEmbGH0JjaJbUdp21-y2cPbobDbMjr09BbtdKROZWc/edit#gid=1444865654"&amp;""",""articles_with_PRISMA_reasons!Z2:Z2113""), $A752=IMPORTRANGE(""https://docs.google.com/spreadsheets/d/1qpEmbGH0JjaJbUdp21-y2cPbobDbMjr09BbtdKROZWc/edit#gid=1444865654"",""articles_with_PRISMA_reasons!B2:B2113"")),F752
=""Include"",FILTER(IMPORTRANGE("&amp;"""https://docs.google.com/spreadsheets/d/1kGrh75X1cNR1D7_FcY9zMnHP8iPO4M5RCRjy6nZY0TY/edit#gid=0"",""Table 1: Study characteristics!A4:A171""), $A752=IMPORTRANGE(""https://docs.google.com/spreadsheets/d/1kGrh75X1cNR1D7_FcY9zMnHP8iPO4M5RCRjy6nZY0TY/edit#gi"&amp;"d=0"",""Table 1: Study characteristics!B4:B171""))
)"),"wrong population")</f>
        <v>wrong population</v>
      </c>
    </row>
    <row r="753">
      <c r="A753" s="4" t="str">
        <f>IFERROR(__xludf.DUMMYFUNCTION("""COMPUTED_VALUE"""),"ETV in infancy and childhood below 2 years of age for treatment of hydrocephalus")</f>
        <v>ETV in infancy and childhood below 2 years of age for treatment of hydrocephalus</v>
      </c>
      <c r="B753" s="5" t="str">
        <f>IFERROR(__xludf.DUMMYFUNCTION("LEFT(FILTER(IMPORTRANGE(""https://docs.google.com/spreadsheets/d/1BJSV3WBYJGRhQ6zExamkszQ5VutGIcaQqmbD9ZTVXMQ/edit#gid=1251630045"",""articles_with_PRISMA_reasons!K2:K2113""), $A753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$A753=IMPORTRANGE(""https://docs.google.com/spreadsheets/d/1BJSV3WBYJGRhQ6zExamkszQ5VutGIcaQqmbD9ZTVXMQ/edit#gid=1251630045"",""articles_with_PRISMA_reasons!B2:B2113"")))-1)"),"El Damaty")</f>
        <v>El Damaty</v>
      </c>
      <c r="C753" s="6">
        <f>IFERROR(__xludf.DUMMYFUNCTION("FILTER(IMPORTRANGE(""https://docs.google.com/spreadsheets/d/1BJSV3WBYJGRhQ6zExamkszQ5VutGIcaQqmbD9ZTVXMQ/edit#gid=1251630045"",""articles_with_PRISMA_reasons!C2:C2113""), $A753=IMPORTRANGE(""https://docs.google.com/spreadsheets/d/1BJSV3WBYJGRhQ6zExamkszQ5"&amp;"VutGIcaQqmbD9ZTVXMQ/edit#gid=1251630045"",""articles_with_PRISMA_reasons!B2:B2113""))"),2020.0)</f>
        <v>2020</v>
      </c>
      <c r="D753" s="5" t="str">
        <f>IFERROR(__xludf.DUMMYFUNCTION("IFS(AND(
FILTER(IMPORTRANGE(""https://docs.google.com/spreadsheets/d/1BJSV3WBYJGRhQ6zExamkszQ5VutGIcaQqmbD9ZTVXMQ/edit#gid=1251630045"",""articles_with_PRISMA_reasons!Y2:Y2113""), $A753=IMPORTRANGE(""https://docs.google.com/spreadsheets/d/1BJSV3WBYJGRhQ6z"&amp;"ExamkszQ5VutGIcaQqmbD9ZTVXMQ/edit#gid=1251630045"",""articles_with_PRISMA_reasons!B2:B2113""))&gt;=2,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$A753=IMPORTRANGE(""https://docs.google.com/spreadsheets/d/1BJSV3WBYJGRhQ6zExamkszQ5VutGIcaQqmbD9ZTVXMQ/edit#gid=1251630045"",""articles_with_PRISMA_reasons!B2:B2113""))&lt;2),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$A753=IMPORTRANGE(""https://docs.google.com/spreadsheets/d/1BJSV3WBYJGRhQ6zExamkszQ5VutGIcaQqmbD9ZTVXMQ/edit#gid=1251630045"",""arti"&amp;"cles_with_PRISMA_reasons!B2:B2113""))&lt;2,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$A753=IMPORTRANGE(""https://docs.google.com"&amp;"/spreadsheets/d/1BJSV3WBYJGRhQ6zExamkszQ5VutGIcaQqmbD9ZTVXMQ/edit#gid=1251630045"",""articles_with_PRISMA_reasons!B2:B2113""))&gt;=2),
""Exclude""
)"),"Include")</f>
        <v>Include</v>
      </c>
      <c r="E753" s="5" t="str">
        <f>IFERROR(__xludf.DUMMYFUNCTION("IFS(
D753=""Exclude"",""Exclude"",
AND(
FILTER(IMPORTRANGE(""https://docs.google.com/spreadsheets/d/1qpEmbGH0JjaJbUdp21-y2cPbobDbMjr09BbtdKROZWc/edit#gid=1444865654"",""articles_with_PRISMA_reasons!W2:W2113""), $A753=IMPORTRANGE(""https://docs.google.com/"&amp;"spreadsheets/d/1qpEmbGH0JjaJbUdp21-y2cPbobDbMjr09BbtdKROZWc/edit#gid=1444865654"",""articles_with_PRISMA_reasons!B2:B2113""))&gt;=2,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$A753=IMPORTRANGE(""https://docs.google.com/spreadsheets/d/1qpEmbGH0JjaJbUdp21-y2cPbobDbMjr09BbtdKROZWc/edit#gid=1444865654"",""articles_with_PRISMA_reasons!B2:B2113""))&lt;2),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$A753=IMPORTRANGE(""https://docs.google.com/spreadsheets/d/1qpEmbGH0JjaJbUdp21-y2cPbobDbMjr09BbtdKRO"&amp;"ZWc/edit#gid=1444865654"",""articles_with_PRISMA_reasons!B2:B2113""))&lt;2,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$A753=IMPOR"&amp;"TRANGE(""https://docs.google.com/spreadsheets/d/1qpEmbGH0JjaJbUdp21-y2cPbobDbMjr09BbtdKROZWc/edit#gid=1444865654"",""articles_with_PRISMA_reasons!B2:B2113""))&gt;=2),
""Exclude""
)"),"Include")</f>
        <v>Include</v>
      </c>
      <c r="F753" s="2" t="s">
        <v>8</v>
      </c>
      <c r="G753" s="2" t="s">
        <v>17</v>
      </c>
    </row>
    <row r="754">
      <c r="A754" s="4" t="str">
        <f>IFERROR(__xludf.DUMMYFUNCTION("""COMPUTED_VALUE"""),"Evaluation of brainstem auditory evoked responses in congenital hydrocephalus")</f>
        <v>Evaluation of brainstem auditory evoked responses in congenital hydrocephalus</v>
      </c>
      <c r="B754" s="5" t="str">
        <f>IFERROR(__xludf.DUMMYFUNCTION("LEFT(FILTER(IMPORTRANGE(""https://docs.google.com/spreadsheets/d/1BJSV3WBYJGRhQ6zExamkszQ5VutGIcaQqmbD9ZTVXMQ/edit#gid=1251630045"",""articles_with_PRISMA_reasons!K2:K2113""), $A754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$A754=IMPORTRANGE(""https://docs.google.com/spreadsheets/d/1BJSV3WBYJGRhQ6zExamkszQ5VutGIcaQqmbD9ZTVXMQ/edit#gid=1251630045"",""articles_with_PRISMA_reasons!B2:B2113"")))-1)"),"Venkataramana")</f>
        <v>Venkataramana</v>
      </c>
      <c r="C754" s="6">
        <f>IFERROR(__xludf.DUMMYFUNCTION("FILTER(IMPORTRANGE(""https://docs.google.com/spreadsheets/d/1BJSV3WBYJGRhQ6zExamkszQ5VutGIcaQqmbD9ZTVXMQ/edit#gid=1251630045"",""articles_with_PRISMA_reasons!C2:C2113""), $A754=IMPORTRANGE(""https://docs.google.com/spreadsheets/d/1BJSV3WBYJGRhQ6zExamkszQ5"&amp;"VutGIcaQqmbD9ZTVXMQ/edit#gid=1251630045"",""articles_with_PRISMA_reasons!B2:B2113""))"),1988.0)</f>
        <v>1988</v>
      </c>
      <c r="D754" s="5" t="str">
        <f>IFERROR(__xludf.DUMMYFUNCTION("IFS(AND(
FILTER(IMPORTRANGE(""https://docs.google.com/spreadsheets/d/1BJSV3WBYJGRhQ6zExamkszQ5VutGIcaQqmbD9ZTVXMQ/edit#gid=1251630045"",""articles_with_PRISMA_reasons!Y2:Y2113""), $A754=IMPORTRANGE(""https://docs.google.com/spreadsheets/d/1BJSV3WBYJGRhQ6z"&amp;"ExamkszQ5VutGIcaQqmbD9ZTVXMQ/edit#gid=1251630045"",""articles_with_PRISMA_reasons!B2:B2113""))&gt;=2,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$A754=IMPORTRANGE(""https://docs.google.com/spreadsheets/d/1BJSV3WBYJGRhQ6zExamkszQ5VutGIcaQqmbD9ZTVXMQ/edit#gid=1251630045"",""articles_with_PRISMA_reasons!B2:B2113""))&lt;2),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$A754=IMPORTRANGE(""https://docs.google.com/spreadsheets/d/1BJSV3WBYJGRhQ6zExamkszQ5VutGIcaQqmbD9ZTVXMQ/edit#gid=1251630045"",""arti"&amp;"cles_with_PRISMA_reasons!B2:B2113""))&lt;2,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$A754=IMPORTRANGE(""https://docs.google.com"&amp;"/spreadsheets/d/1BJSV3WBYJGRhQ6zExamkszQ5VutGIcaQqmbD9ZTVXMQ/edit#gid=1251630045"",""articles_with_PRISMA_reasons!B2:B2113""))&gt;=2),
""Exclude""
)"),"Exclude")</f>
        <v>Exclude</v>
      </c>
      <c r="E754" s="5" t="str">
        <f>IFERROR(__xludf.DUMMYFUNCTION("IFS(
D754=""Exclude"",""Exclude"",
AND(
FILTER(IMPORTRANGE(""https://docs.google.com/spreadsheets/d/1qpEmbGH0JjaJbUdp21-y2cPbobDbMjr09BbtdKROZWc/edit#gid=1444865654"",""articles_with_PRISMA_reasons!W2:W2113""), $A754=IMPORTRANGE(""https://docs.google.com/"&amp;"spreadsheets/d/1qpEmbGH0JjaJbUdp21-y2cPbobDbMjr09BbtdKROZWc/edit#gid=1444865654"",""articles_with_PRISMA_reasons!B2:B2113""))&gt;=2,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$A754=IMPORTRANGE(""https://docs.google.com/spreadsheets/d/1qpEmbGH0JjaJbUdp21-y2cPbobDbMjr09BbtdKROZWc/edit#gid=1444865654"",""articles_with_PRISMA_reasons!B2:B2113""))&lt;2),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$A754=IMPORTRANGE(""https://docs.google.com/spreadsheets/d/1qpEmbGH0JjaJbUdp21-y2cPbobDbMjr09BbtdKRO"&amp;"ZWc/edit#gid=1444865654"",""articles_with_PRISMA_reasons!B2:B2113""))&lt;2,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$A754=IMPOR"&amp;"TRANGE(""https://docs.google.com/spreadsheets/d/1qpEmbGH0JjaJbUdp21-y2cPbobDbMjr09BbtdKROZWc/edit#gid=1444865654"",""articles_with_PRISMA_reasons!B2:B2113""))&gt;=2),
""Exclude""
)"),"Exclude")</f>
        <v>Exclude</v>
      </c>
      <c r="F754" s="5" t="str">
        <f>IFERROR(__xludf.DUMMYFUNCTION("IFS(
E754=""Exclude"",""Exclude"",
AND(
COUNTIF(
IMPORTRANGE(""https://docs.google.com/spreadsheets/d/1kGrh75X1cNR1D7_FcY9zMnHP8iPO4M5RCRjy6nZY0TY/edit#gid=0"",""Table 1: Study characteristics!B4:B171""),A754)&gt;0,
COUNTIF(Studies!$A$2:$A$85,FILTER(IMPORTRA"&amp;"NGE(""https://docs.google.com/spreadsheets/d/1kGrh75X1cNR1D7_FcY9zMnHP8iPO4M5RCRjy6nZY0TY/edit#gid=0"",""Table 1: Study characteristics!A4:A171""), $A754=IMPORTRANGE(""https://docs.google.com/spreadsheets/d/1kGrh75X1cNR1D7_FcY9zMnHP8iPO4M5RCRjy6nZY0TY/edi"&amp;"t#gid=0"",""Table 1: Study characteristics!B4:B171"")))&gt;0
),
""Include""
)"),"Exclude")</f>
        <v>Exclude</v>
      </c>
      <c r="G754" s="5" t="str">
        <f>IFERROR(__xludf.DUMMYFUNCTION("IFS(
D754=""Exclude"",
FILTER(IMPORTRANGE(""https://docs.google.com/spreadsheets/d/1BJSV3WBYJGRhQ6zExamkszQ5VutGIcaQqmbD9ZTVXMQ/edit#gid=1251630045"",""articles_with_PRISMA_reasons!AB2:AB2113""), $A754=IMPORTRANGE(""https://docs.google.com/spreadsheets/d/"&amp;"1BJSV3WBYJGRhQ6zExamkszQ5VutGIcaQqmbD9ZTVXMQ/edit#gid=1251630045"",""articles_with_PRISMA_reasons!B2:B2113"")),
E754=""Exclude"",
FILTER(IMPORTRANGE(""https://docs.google.com/spreadsheets/d/1qpEmbGH0JjaJbUdp21-y2cPbobDbMjr09BbtdKROZWc/edit#gid=1444865654"&amp;""",""articles_with_PRISMA_reasons!Z2:Z2113""), $A754=IMPORTRANGE(""https://docs.google.com/spreadsheets/d/1qpEmbGH0JjaJbUdp21-y2cPbobDbMjr09BbtdKROZWc/edit#gid=1444865654"",""articles_with_PRISMA_reasons!B2:B2113"")),F754
=""Include"",FILTER(IMPORTRANGE("&amp;"""https://docs.google.com/spreadsheets/d/1kGrh75X1cNR1D7_FcY9zMnHP8iPO4M5RCRjy6nZY0TY/edit#gid=0"",""Table 1: Study characteristics!A4:A171""), $A754=IMPORTRANGE(""https://docs.google.com/spreadsheets/d/1kGrh75X1cNR1D7_FcY9zMnHP8iPO4M5RCRjy6nZY0TY/edit#gi"&amp;"d=0"",""Table 1: Study characteristics!B4:B171""))
)"),"wrong population")</f>
        <v>wrong population</v>
      </c>
    </row>
    <row r="755">
      <c r="A755" s="4" t="str">
        <f>IFERROR(__xludf.DUMMYFUNCTION("""COMPUTED_VALUE"""),"Evaluation of fetal central nervous system anomalies by ultrasound and its anatomical correlation")</f>
        <v>Evaluation of fetal central nervous system anomalies by ultrasound and its anatomical correlation</v>
      </c>
      <c r="B755" s="5" t="str">
        <f>IFERROR(__xludf.DUMMYFUNCTION("LEFT(FILTER(IMPORTRANGE(""https://docs.google.com/spreadsheets/d/1BJSV3WBYJGRhQ6zExamkszQ5VutGIcaQqmbD9ZTVXMQ/edit#gid=1251630045"",""articles_with_PRISMA_reasons!K2:K2113""), $A755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$A755=IMPORTRANGE(""https://docs.google.com/spreadsheets/d/1BJSV3WBYJGRhQ6zExamkszQ5VutGIcaQqmbD9ZTVXMQ/edit#gid=1251630045"",""articles_with_PRISMA_reasons!B2:B2113"")))-1)"),"Onkar")</f>
        <v>Onkar</v>
      </c>
      <c r="C755" s="6">
        <f>IFERROR(__xludf.DUMMYFUNCTION("FILTER(IMPORTRANGE(""https://docs.google.com/spreadsheets/d/1BJSV3WBYJGRhQ6zExamkszQ5VutGIcaQqmbD9ZTVXMQ/edit#gid=1251630045"",""articles_with_PRISMA_reasons!C2:C2113""), $A755=IMPORTRANGE(""https://docs.google.com/spreadsheets/d/1BJSV3WBYJGRhQ6zExamkszQ5"&amp;"VutGIcaQqmbD9ZTVXMQ/edit#gid=1251630045"",""articles_with_PRISMA_reasons!B2:B2113""))"),2014.0)</f>
        <v>2014</v>
      </c>
      <c r="D755" s="5" t="str">
        <f>IFERROR(__xludf.DUMMYFUNCTION("IFS(AND(
FILTER(IMPORTRANGE(""https://docs.google.com/spreadsheets/d/1BJSV3WBYJGRhQ6zExamkszQ5VutGIcaQqmbD9ZTVXMQ/edit#gid=1251630045"",""articles_with_PRISMA_reasons!Y2:Y2113""), $A755=IMPORTRANGE(""https://docs.google.com/spreadsheets/d/1BJSV3WBYJGRhQ6z"&amp;"ExamkszQ5VutGIcaQqmbD9ZTVXMQ/edit#gid=1251630045"",""articles_with_PRISMA_reasons!B2:B2113""))&gt;=2,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$A755=IMPORTRANGE(""https://docs.google.com/spreadsheets/d/1BJSV3WBYJGRhQ6zExamkszQ5VutGIcaQqmbD9ZTVXMQ/edit#gid=1251630045"",""articles_with_PRISMA_reasons!B2:B2113""))&lt;2),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$A755=IMPORTRANGE(""https://docs.google.com/spreadsheets/d/1BJSV3WBYJGRhQ6zExamkszQ5VutGIcaQqmbD9ZTVXMQ/edit#gid=1251630045"",""arti"&amp;"cles_with_PRISMA_reasons!B2:B2113""))&lt;2,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$A755=IMPORTRANGE(""https://docs.google.com"&amp;"/spreadsheets/d/1BJSV3WBYJGRhQ6zExamkszQ5VutGIcaQqmbD9ZTVXMQ/edit#gid=1251630045"",""articles_with_PRISMA_reasons!B2:B2113""))&gt;=2),
""Exclude""
)"),"Exclude")</f>
        <v>Exclude</v>
      </c>
      <c r="E755" s="5" t="str">
        <f>IFERROR(__xludf.DUMMYFUNCTION("IFS(
D755=""Exclude"",""Exclude"",
AND(
FILTER(IMPORTRANGE(""https://docs.google.com/spreadsheets/d/1qpEmbGH0JjaJbUdp21-y2cPbobDbMjr09BbtdKROZWc/edit#gid=1444865654"",""articles_with_PRISMA_reasons!W2:W2113""), $A755=IMPORTRANGE(""https://docs.google.com/"&amp;"spreadsheets/d/1qpEmbGH0JjaJbUdp21-y2cPbobDbMjr09BbtdKROZWc/edit#gid=1444865654"",""articles_with_PRISMA_reasons!B2:B2113""))&gt;=2,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$A755=IMPORTRANGE(""https://docs.google.com/spreadsheets/d/1qpEmbGH0JjaJbUdp21-y2cPbobDbMjr09BbtdKROZWc/edit#gid=1444865654"",""articles_with_PRISMA_reasons!B2:B2113""))&lt;2),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$A755=IMPORTRANGE(""https://docs.google.com/spreadsheets/d/1qpEmbGH0JjaJbUdp21-y2cPbobDbMjr09BbtdKRO"&amp;"ZWc/edit#gid=1444865654"",""articles_with_PRISMA_reasons!B2:B2113""))&lt;2,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$A755=IMPOR"&amp;"TRANGE(""https://docs.google.com/spreadsheets/d/1qpEmbGH0JjaJbUdp21-y2cPbobDbMjr09BbtdKROZWc/edit#gid=1444865654"",""articles_with_PRISMA_reasons!B2:B2113""))&gt;=2),
""Exclude""
)"),"Exclude")</f>
        <v>Exclude</v>
      </c>
      <c r="F755" s="5" t="str">
        <f>IFERROR(__xludf.DUMMYFUNCTION("IFS(
E755=""Exclude"",""Exclude"",
AND(
COUNTIF(
IMPORTRANGE(""https://docs.google.com/spreadsheets/d/1kGrh75X1cNR1D7_FcY9zMnHP8iPO4M5RCRjy6nZY0TY/edit#gid=0"",""Table 1: Study characteristics!B4:B171""),A755)&gt;0,
COUNTIF(Studies!$A$2:$A$85,FILTER(IMPORTRA"&amp;"NGE(""https://docs.google.com/spreadsheets/d/1kGrh75X1cNR1D7_FcY9zMnHP8iPO4M5RCRjy6nZY0TY/edit#gid=0"",""Table 1: Study characteristics!A4:A171""), $A755=IMPORTRANGE(""https://docs.google.com/spreadsheets/d/1kGrh75X1cNR1D7_FcY9zMnHP8iPO4M5RCRjy6nZY0TY/edi"&amp;"t#gid=0"",""Table 1: Study characteristics!B4:B171"")))&gt;0
),
""Include""
)"),"Exclude")</f>
        <v>Exclude</v>
      </c>
      <c r="G755" s="5" t="str">
        <f>IFERROR(__xludf.DUMMYFUNCTION("IFS(
D755=""Exclude"",
FILTER(IMPORTRANGE(""https://docs.google.com/spreadsheets/d/1BJSV3WBYJGRhQ6zExamkszQ5VutGIcaQqmbD9ZTVXMQ/edit#gid=1251630045"",""articles_with_PRISMA_reasons!AB2:AB2113""), $A755=IMPORTRANGE(""https://docs.google.com/spreadsheets/d/"&amp;"1BJSV3WBYJGRhQ6zExamkszQ5VutGIcaQqmbD9ZTVXMQ/edit#gid=1251630045"",""articles_with_PRISMA_reasons!B2:B2113"")),
E755=""Exclude"",
FILTER(IMPORTRANGE(""https://docs.google.com/spreadsheets/d/1qpEmbGH0JjaJbUdp21-y2cPbobDbMjr09BbtdKROZWc/edit#gid=1444865654"&amp;""",""articles_with_PRISMA_reasons!Z2:Z2113""), $A755=IMPORTRANGE(""https://docs.google.com/spreadsheets/d/1qpEmbGH0JjaJbUdp21-y2cPbobDbMjr09BbtdKROZWc/edit#gid=1444865654"",""articles_with_PRISMA_reasons!B2:B2113"")),F755
=""Include"",FILTER(IMPORTRANGE("&amp;"""https://docs.google.com/spreadsheets/d/1kGrh75X1cNR1D7_FcY9zMnHP8iPO4M5RCRjy6nZY0TY/edit#gid=0"",""Table 1: Study characteristics!A4:A171""), $A755=IMPORTRANGE(""https://docs.google.com/spreadsheets/d/1kGrh75X1cNR1D7_FcY9zMnHP8iPO4M5RCRjy6nZY0TY/edit#gi"&amp;"d=0"",""Table 1: Study characteristics!B4:B171""))
)"),"wrong study design")</f>
        <v>wrong study design</v>
      </c>
    </row>
    <row r="756">
      <c r="A756" s="4" t="str">
        <f>IFERROR(__xludf.DUMMYFUNCTION("""COMPUTED_VALUE"""),"Evaluation of functional outcomes in congenital hydrocephalus")</f>
        <v>Evaluation of functional outcomes in congenital hydrocephalus</v>
      </c>
      <c r="B756" s="5" t="str">
        <f>IFERROR(__xludf.DUMMYFUNCTION("LEFT(FILTER(IMPORTRANGE(""https://docs.google.com/spreadsheets/d/1BJSV3WBYJGRhQ6zExamkszQ5VutGIcaQqmbD9ZTVXMQ/edit#gid=1251630045"",""articles_with_PRISMA_reasons!K2:K2113""), $A756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$A756=IMPORTRANGE(""https://docs.google.com/spreadsheets/d/1BJSV3WBYJGRhQ6zExamkszQ5VutGIcaQqmbD9ZTVXMQ/edit#gid=1251630045"",""articles_with_PRISMA_reasons!B2:B2113"")))-1)"),"Venkataramana")</f>
        <v>Venkataramana</v>
      </c>
      <c r="C756" s="6">
        <f>IFERROR(__xludf.DUMMYFUNCTION("FILTER(IMPORTRANGE(""https://docs.google.com/spreadsheets/d/1BJSV3WBYJGRhQ6zExamkszQ5VutGIcaQqmbD9ZTVXMQ/edit#gid=1251630045"",""articles_with_PRISMA_reasons!C2:C2113""), $A756=IMPORTRANGE(""https://docs.google.com/spreadsheets/d/1BJSV3WBYJGRhQ6zExamkszQ5"&amp;"VutGIcaQqmbD9ZTVXMQ/edit#gid=1251630045"",""articles_with_PRISMA_reasons!B2:B2113""))"),2011.0)</f>
        <v>2011</v>
      </c>
      <c r="D756" s="5" t="str">
        <f>IFERROR(__xludf.DUMMYFUNCTION("IFS(AND(
FILTER(IMPORTRANGE(""https://docs.google.com/spreadsheets/d/1BJSV3WBYJGRhQ6zExamkszQ5VutGIcaQqmbD9ZTVXMQ/edit#gid=1251630045"",""articles_with_PRISMA_reasons!Y2:Y2113""), $A756=IMPORTRANGE(""https://docs.google.com/spreadsheets/d/1BJSV3WBYJGRhQ6z"&amp;"ExamkszQ5VutGIcaQqmbD9ZTVXMQ/edit#gid=1251630045"",""articles_with_PRISMA_reasons!B2:B2113""))&gt;=2,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$A756=IMPORTRANGE(""https://docs.google.com/spreadsheets/d/1BJSV3WBYJGRhQ6zExamkszQ5VutGIcaQqmbD9ZTVXMQ/edit#gid=1251630045"",""articles_with_PRISMA_reasons!B2:B2113""))&lt;2),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$A756=IMPORTRANGE(""https://docs.google.com/spreadsheets/d/1BJSV3WBYJGRhQ6zExamkszQ5VutGIcaQqmbD9ZTVXMQ/edit#gid=1251630045"",""arti"&amp;"cles_with_PRISMA_reasons!B2:B2113""))&lt;2,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$A756=IMPORTRANGE(""https://docs.google.com"&amp;"/spreadsheets/d/1BJSV3WBYJGRhQ6zExamkszQ5VutGIcaQqmbD9ZTVXMQ/edit#gid=1251630045"",""articles_with_PRISMA_reasons!B2:B2113""))&gt;=2),
""Exclude""
)"),"Include")</f>
        <v>Include</v>
      </c>
      <c r="E756" s="5" t="str">
        <f>IFERROR(__xludf.DUMMYFUNCTION("IFS(
D756=""Exclude"",""Exclude"",
AND(
FILTER(IMPORTRANGE(""https://docs.google.com/spreadsheets/d/1qpEmbGH0JjaJbUdp21-y2cPbobDbMjr09BbtdKROZWc/edit#gid=1444865654"",""articles_with_PRISMA_reasons!W2:W2113""), $A756=IMPORTRANGE(""https://docs.google.com/"&amp;"spreadsheets/d/1qpEmbGH0JjaJbUdp21-y2cPbobDbMjr09BbtdKROZWc/edit#gid=1444865654"",""articles_with_PRISMA_reasons!B2:B2113""))&gt;=2,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$A756=IMPORTRANGE(""https://docs.google.com/spreadsheets/d/1qpEmbGH0JjaJbUdp21-y2cPbobDbMjr09BbtdKROZWc/edit#gid=1444865654"",""articles_with_PRISMA_reasons!B2:B2113""))&lt;2),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$A756=IMPORTRANGE(""https://docs.google.com/spreadsheets/d/1qpEmbGH0JjaJbUdp21-y2cPbobDbMjr09BbtdKRO"&amp;"ZWc/edit#gid=1444865654"",""articles_with_PRISMA_reasons!B2:B2113""))&lt;2,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$A756=IMPOR"&amp;"TRANGE(""https://docs.google.com/spreadsheets/d/1qpEmbGH0JjaJbUdp21-y2cPbobDbMjr09BbtdKROZWc/edit#gid=1444865654"",""articles_with_PRISMA_reasons!B2:B2113""))&gt;=2),
""Exclude""
)"),"Include")</f>
        <v>Include</v>
      </c>
      <c r="F756" s="5" t="str">
        <f>IFERROR(__xludf.DUMMYFUNCTION("IFS(
E756=""Exclude"",""Exclude"",
AND(
COUNTIF(
IMPORTRANGE(""https://docs.google.com/spreadsheets/d/1kGrh75X1cNR1D7_FcY9zMnHP8iPO4M5RCRjy6nZY0TY/edit#gid=0"",""Table 1: Study characteristics!B4:B171""),A756)&gt;0,
COUNTIF(Studies!$A$2:$A$85,FILTER(IMPORTRA"&amp;"NGE(""https://docs.google.com/spreadsheets/d/1kGrh75X1cNR1D7_FcY9zMnHP8iPO4M5RCRjy6nZY0TY/edit#gid=0"",""Table 1: Study characteristics!A4:A171""), $A756=IMPORTRANGE(""https://docs.google.com/spreadsheets/d/1kGrh75X1cNR1D7_FcY9zMnHP8iPO4M5RCRjy6nZY0TY/edi"&amp;"t#gid=0"",""Table 1: Study characteristics!B4:B171"")))&gt;0
),
""Include""
)"),"Include")</f>
        <v>Include</v>
      </c>
      <c r="G756" s="5" t="str">
        <f>IFERROR(__xludf.DUMMYFUNCTION("IFS(
D756=""Exclude"",
FILTER(IMPORTRANGE(""https://docs.google.com/spreadsheets/d/1BJSV3WBYJGRhQ6zExamkszQ5VutGIcaQqmbD9ZTVXMQ/edit#gid=1251630045"",""articles_with_PRISMA_reasons!AB2:AB2113""), $A756=IMPORTRANGE(""https://docs.google.com/spreadsheets/d/"&amp;"1BJSV3WBYJGRhQ6zExamkszQ5VutGIcaQqmbD9ZTVXMQ/edit#gid=1251630045"",""articles_with_PRISMA_reasons!B2:B2113"")),
E756=""Exclude"",
FILTER(IMPORTRANGE(""https://docs.google.com/spreadsheets/d/1qpEmbGH0JjaJbUdp21-y2cPbobDbMjr09BbtdKROZWc/edit#gid=1444865654"&amp;""",""articles_with_PRISMA_reasons!Z2:Z2113""), $A756=IMPORTRANGE(""https://docs.google.com/spreadsheets/d/1qpEmbGH0JjaJbUdp21-y2cPbobDbMjr09BbtdKROZWc/edit#gid=1444865654"",""articles_with_PRISMA_reasons!B2:B2113"")),F756
=""Include"",FILTER(IMPORTRANGE("&amp;"""https://docs.google.com/spreadsheets/d/1kGrh75X1cNR1D7_FcY9zMnHP8iPO4M5RCRjy6nZY0TY/edit#gid=0"",""Table 1: Study characteristics!A4:A171""), $A756=IMPORTRANGE(""https://docs.google.com/spreadsheets/d/1kGrh75X1cNR1D7_FcY9zMnHP8iPO4M5RCRjy6nZY0TY/edit#gi"&amp;"d=0"",""Table 1: Study characteristics!B4:B171""))
)"),"ID 72")</f>
        <v>ID 72</v>
      </c>
    </row>
    <row r="757">
      <c r="A757" s="4" t="str">
        <f>IFERROR(__xludf.DUMMYFUNCTION("""COMPUTED_VALUE"""),"Evaluation of neurological examination, sep results, mri results, and lesion levels in patients who had been operated for myelomeningocele")</f>
        <v>Evaluation of neurological examination, sep results, mri results, and lesion levels in patients who had been operated for myelomeningocele</v>
      </c>
      <c r="B757" s="5" t="str">
        <f>IFERROR(__xludf.DUMMYFUNCTION("LEFT(FILTER(IMPORTRANGE(""https://docs.google.com/spreadsheets/d/1BJSV3WBYJGRhQ6zExamkszQ5VutGIcaQqmbD9ZTVXMQ/edit#gid=1251630045"",""articles_with_PRISMA_reasons!K2:K2113""), $A757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$A757=IMPORTRANGE(""https://docs.google.com/spreadsheets/d/1BJSV3WBYJGRhQ6zExamkszQ5VutGIcaQqmbD9ZTVXMQ/edit#gid=1251630045"",""articles_with_PRISMA_reasons!B2:B2113"")))-1)"),"Canaz")</f>
        <v>Canaz</v>
      </c>
      <c r="C757" s="6">
        <f>IFERROR(__xludf.DUMMYFUNCTION("FILTER(IMPORTRANGE(""https://docs.google.com/spreadsheets/d/1BJSV3WBYJGRhQ6zExamkszQ5VutGIcaQqmbD9ZTVXMQ/edit#gid=1251630045"",""articles_with_PRISMA_reasons!C2:C2113""), $A757=IMPORTRANGE(""https://docs.google.com/spreadsheets/d/1BJSV3WBYJGRhQ6zExamkszQ5"&amp;"VutGIcaQqmbD9ZTVXMQ/edit#gid=1251630045"",""articles_with_PRISMA_reasons!B2:B2113""))"),2020.0)</f>
        <v>2020</v>
      </c>
      <c r="D757" s="5" t="str">
        <f>IFERROR(__xludf.DUMMYFUNCTION("IFS(AND(
FILTER(IMPORTRANGE(""https://docs.google.com/spreadsheets/d/1BJSV3WBYJGRhQ6zExamkszQ5VutGIcaQqmbD9ZTVXMQ/edit#gid=1251630045"",""articles_with_PRISMA_reasons!Y2:Y2113""), $A757=IMPORTRANGE(""https://docs.google.com/spreadsheets/d/1BJSV3WBYJGRhQ6z"&amp;"ExamkszQ5VutGIcaQqmbD9ZTVXMQ/edit#gid=1251630045"",""articles_with_PRISMA_reasons!B2:B2113""))&gt;=2,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$A757=IMPORTRANGE(""https://docs.google.com/spreadsheets/d/1BJSV3WBYJGRhQ6zExamkszQ5VutGIcaQqmbD9ZTVXMQ/edit#gid=1251630045"",""articles_with_PRISMA_reasons!B2:B2113""))&lt;2),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$A757=IMPORTRANGE(""https://docs.google.com/spreadsheets/d/1BJSV3WBYJGRhQ6zExamkszQ5VutGIcaQqmbD9ZTVXMQ/edit#gid=1251630045"",""arti"&amp;"cles_with_PRISMA_reasons!B2:B2113""))&lt;2,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$A757=IMPORTRANGE(""https://docs.google.com"&amp;"/spreadsheets/d/1BJSV3WBYJGRhQ6zExamkszQ5VutGIcaQqmbD9ZTVXMQ/edit#gid=1251630045"",""articles_with_PRISMA_reasons!B2:B2113""))&gt;=2),
""Exclude""
)"),"Exclude")</f>
        <v>Exclude</v>
      </c>
      <c r="E757" s="5" t="str">
        <f>IFERROR(__xludf.DUMMYFUNCTION("IFS(
D757=""Exclude"",""Exclude"",
AND(
FILTER(IMPORTRANGE(""https://docs.google.com/spreadsheets/d/1qpEmbGH0JjaJbUdp21-y2cPbobDbMjr09BbtdKROZWc/edit#gid=1444865654"",""articles_with_PRISMA_reasons!W2:W2113""), $A757=IMPORTRANGE(""https://docs.google.com/"&amp;"spreadsheets/d/1qpEmbGH0JjaJbUdp21-y2cPbobDbMjr09BbtdKROZWc/edit#gid=1444865654"",""articles_with_PRISMA_reasons!B2:B2113""))&gt;=2,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$A757=IMPORTRANGE(""https://docs.google.com/spreadsheets/d/1qpEmbGH0JjaJbUdp21-y2cPbobDbMjr09BbtdKROZWc/edit#gid=1444865654"",""articles_with_PRISMA_reasons!B2:B2113""))&lt;2),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$A757=IMPORTRANGE(""https://docs.google.com/spreadsheets/d/1qpEmbGH0JjaJbUdp21-y2cPbobDbMjr09BbtdKRO"&amp;"ZWc/edit#gid=1444865654"",""articles_with_PRISMA_reasons!B2:B2113""))&lt;2,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$A757=IMPOR"&amp;"TRANGE(""https://docs.google.com/spreadsheets/d/1qpEmbGH0JjaJbUdp21-y2cPbobDbMjr09BbtdKROZWc/edit#gid=1444865654"",""articles_with_PRISMA_reasons!B2:B2113""))&gt;=2),
""Exclude""
)"),"Exclude")</f>
        <v>Exclude</v>
      </c>
      <c r="F757" s="5" t="str">
        <f>IFERROR(__xludf.DUMMYFUNCTION("IFS(
E757=""Exclude"",""Exclude"",
AND(
COUNTIF(
IMPORTRANGE(""https://docs.google.com/spreadsheets/d/1kGrh75X1cNR1D7_FcY9zMnHP8iPO4M5RCRjy6nZY0TY/edit#gid=0"",""Table 1: Study characteristics!B4:B171""),A757)&gt;0,
COUNTIF(Studies!$A$2:$A$85,FILTER(IMPORTRA"&amp;"NGE(""https://docs.google.com/spreadsheets/d/1kGrh75X1cNR1D7_FcY9zMnHP8iPO4M5RCRjy6nZY0TY/edit#gid=0"",""Table 1: Study characteristics!A4:A171""), $A757=IMPORTRANGE(""https://docs.google.com/spreadsheets/d/1kGrh75X1cNR1D7_FcY9zMnHP8iPO4M5RCRjy6nZY0TY/edi"&amp;"t#gid=0"",""Table 1: Study characteristics!B4:B171"")))&gt;0
),
""Include""
)"),"Exclude")</f>
        <v>Exclude</v>
      </c>
      <c r="G757" s="5" t="str">
        <f>IFERROR(__xludf.DUMMYFUNCTION("IFS(
D757=""Exclude"",
FILTER(IMPORTRANGE(""https://docs.google.com/spreadsheets/d/1BJSV3WBYJGRhQ6zExamkszQ5VutGIcaQqmbD9ZTVXMQ/edit#gid=1251630045"",""articles_with_PRISMA_reasons!AB2:AB2113""), $A757=IMPORTRANGE(""https://docs.google.com/spreadsheets/d/"&amp;"1BJSV3WBYJGRhQ6zExamkszQ5VutGIcaQqmbD9ZTVXMQ/edit#gid=1251630045"",""articles_with_PRISMA_reasons!B2:B2113"")),
E757=""Exclude"",
FILTER(IMPORTRANGE(""https://docs.google.com/spreadsheets/d/1qpEmbGH0JjaJbUdp21-y2cPbobDbMjr09BbtdKROZWc/edit#gid=1444865654"&amp;""",""articles_with_PRISMA_reasons!Z2:Z2113""), $A757=IMPORTRANGE(""https://docs.google.com/spreadsheets/d/1qpEmbGH0JjaJbUdp21-y2cPbobDbMjr09BbtdKROZWc/edit#gid=1444865654"",""articles_with_PRISMA_reasons!B2:B2113"")),F757
=""Include"",FILTER(IMPORTRANGE("&amp;"""https://docs.google.com/spreadsheets/d/1kGrh75X1cNR1D7_FcY9zMnHP8iPO4M5RCRjy6nZY0TY/edit#gid=0"",""Table 1: Study characteristics!A4:A171""), $A757=IMPORTRANGE(""https://docs.google.com/spreadsheets/d/1kGrh75X1cNR1D7_FcY9zMnHP8iPO4M5RCRjy6nZY0TY/edit#gi"&amp;"d=0"",""Table 1: Study characteristics!B4:B171""))
)"),"wrong study design")</f>
        <v>wrong study design</v>
      </c>
    </row>
    <row r="758">
      <c r="A758" s="4" t="str">
        <f>IFERROR(__xludf.DUMMYFUNCTION("""COMPUTED_VALUE"""),"Evaluation of pregnancy outcomes from the Tysabri (natalizumab) pregnancy exposure registry: A global, observational, follow-up study")</f>
        <v>Evaluation of pregnancy outcomes from the Tysabri (natalizumab) pregnancy exposure registry: A global, observational, follow-up study</v>
      </c>
      <c r="B758" s="5" t="str">
        <f>IFERROR(__xludf.DUMMYFUNCTION("LEFT(FILTER(IMPORTRANGE(""https://docs.google.com/spreadsheets/d/1BJSV3WBYJGRhQ6zExamkszQ5VutGIcaQqmbD9ZTVXMQ/edit#gid=1251630045"",""articles_with_PRISMA_reasons!K2:K2113""), $A758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$A758=IMPORTRANGE(""https://docs.google.com/spreadsheets/d/1BJSV3WBYJGRhQ6zExamkszQ5VutGIcaQqmbD9ZTVXMQ/edit#gid=1251630045"",""articles_with_PRISMA_reasons!B2:B2113"")))-1)"),"Friend")</f>
        <v>Friend</v>
      </c>
      <c r="C758" s="6">
        <f>IFERROR(__xludf.DUMMYFUNCTION("FILTER(IMPORTRANGE(""https://docs.google.com/spreadsheets/d/1BJSV3WBYJGRhQ6zExamkszQ5VutGIcaQqmbD9ZTVXMQ/edit#gid=1251630045"",""articles_with_PRISMA_reasons!C2:C2113""), $A758=IMPORTRANGE(""https://docs.google.com/spreadsheets/d/1BJSV3WBYJGRhQ6zExamkszQ5"&amp;"VutGIcaQqmbD9ZTVXMQ/edit#gid=1251630045"",""articles_with_PRISMA_reasons!B2:B2113""))"),2016.0)</f>
        <v>2016</v>
      </c>
      <c r="D758" s="5" t="str">
        <f>IFERROR(__xludf.DUMMYFUNCTION("IFS(AND(
FILTER(IMPORTRANGE(""https://docs.google.com/spreadsheets/d/1BJSV3WBYJGRhQ6zExamkszQ5VutGIcaQqmbD9ZTVXMQ/edit#gid=1251630045"",""articles_with_PRISMA_reasons!Y2:Y2113""), $A758=IMPORTRANGE(""https://docs.google.com/spreadsheets/d/1BJSV3WBYJGRhQ6z"&amp;"ExamkszQ5VutGIcaQqmbD9ZTVXMQ/edit#gid=1251630045"",""articles_with_PRISMA_reasons!B2:B2113""))&gt;=2,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$A758=IMPORTRANGE(""https://docs.google.com/spreadsheets/d/1BJSV3WBYJGRhQ6zExamkszQ5VutGIcaQqmbD9ZTVXMQ/edit#gid=1251630045"",""articles_with_PRISMA_reasons!B2:B2113""))&lt;2),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$A758=IMPORTRANGE(""https://docs.google.com/spreadsheets/d/1BJSV3WBYJGRhQ6zExamkszQ5VutGIcaQqmbD9ZTVXMQ/edit#gid=1251630045"",""arti"&amp;"cles_with_PRISMA_reasons!B2:B2113""))&lt;2,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$A758=IMPORTRANGE(""https://docs.google.com"&amp;"/spreadsheets/d/1BJSV3WBYJGRhQ6zExamkszQ5VutGIcaQqmbD9ZTVXMQ/edit#gid=1251630045"",""articles_with_PRISMA_reasons!B2:B2113""))&gt;=2),
""Exclude""
)"),"Exclude")</f>
        <v>Exclude</v>
      </c>
      <c r="E758" s="5" t="str">
        <f>IFERROR(__xludf.DUMMYFUNCTION("IFS(
D758=""Exclude"",""Exclude"",
AND(
FILTER(IMPORTRANGE(""https://docs.google.com/spreadsheets/d/1qpEmbGH0JjaJbUdp21-y2cPbobDbMjr09BbtdKROZWc/edit#gid=1444865654"",""articles_with_PRISMA_reasons!W2:W2113""), $A758=IMPORTRANGE(""https://docs.google.com/"&amp;"spreadsheets/d/1qpEmbGH0JjaJbUdp21-y2cPbobDbMjr09BbtdKROZWc/edit#gid=1444865654"",""articles_with_PRISMA_reasons!B2:B2113""))&gt;=2,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$A758=IMPORTRANGE(""https://docs.google.com/spreadsheets/d/1qpEmbGH0JjaJbUdp21-y2cPbobDbMjr09BbtdKROZWc/edit#gid=1444865654"",""articles_with_PRISMA_reasons!B2:B2113""))&lt;2),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$A758=IMPORTRANGE(""https://docs.google.com/spreadsheets/d/1qpEmbGH0JjaJbUdp21-y2cPbobDbMjr09BbtdKRO"&amp;"ZWc/edit#gid=1444865654"",""articles_with_PRISMA_reasons!B2:B2113""))&lt;2,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$A758=IMPOR"&amp;"TRANGE(""https://docs.google.com/spreadsheets/d/1qpEmbGH0JjaJbUdp21-y2cPbobDbMjr09BbtdKROZWc/edit#gid=1444865654"",""articles_with_PRISMA_reasons!B2:B2113""))&gt;=2),
""Exclude""
)"),"Exclude")</f>
        <v>Exclude</v>
      </c>
      <c r="F758" s="5" t="str">
        <f>IFERROR(__xludf.DUMMYFUNCTION("IFS(
E758=""Exclude"",""Exclude"",
AND(
COUNTIF(
IMPORTRANGE(""https://docs.google.com/spreadsheets/d/1kGrh75X1cNR1D7_FcY9zMnHP8iPO4M5RCRjy6nZY0TY/edit#gid=0"",""Table 1: Study characteristics!B4:B171""),A758)&gt;0,
COUNTIF(Studies!$A$2:$A$85,FILTER(IMPORTRA"&amp;"NGE(""https://docs.google.com/spreadsheets/d/1kGrh75X1cNR1D7_FcY9zMnHP8iPO4M5RCRjy6nZY0TY/edit#gid=0"",""Table 1: Study characteristics!A4:A171""), $A758=IMPORTRANGE(""https://docs.google.com/spreadsheets/d/1kGrh75X1cNR1D7_FcY9zMnHP8iPO4M5RCRjy6nZY0TY/edi"&amp;"t#gid=0"",""Table 1: Study characteristics!B4:B171"")))&gt;0
),
""Include""
)"),"Exclude")</f>
        <v>Exclude</v>
      </c>
      <c r="G758" s="5" t="str">
        <f>IFERROR(__xludf.DUMMYFUNCTION("IFS(
D758=""Exclude"",
FILTER(IMPORTRANGE(""https://docs.google.com/spreadsheets/d/1BJSV3WBYJGRhQ6zExamkszQ5VutGIcaQqmbD9ZTVXMQ/edit#gid=1251630045"",""articles_with_PRISMA_reasons!AB2:AB2113""), $A758=IMPORTRANGE(""https://docs.google.com/spreadsheets/d/"&amp;"1BJSV3WBYJGRhQ6zExamkszQ5VutGIcaQqmbD9ZTVXMQ/edit#gid=1251630045"",""articles_with_PRISMA_reasons!B2:B2113"")),
E758=""Exclude"",
FILTER(IMPORTRANGE(""https://docs.google.com/spreadsheets/d/1qpEmbGH0JjaJbUdp21-y2cPbobDbMjr09BbtdKROZWc/edit#gid=1444865654"&amp;""",""articles_with_PRISMA_reasons!Z2:Z2113""), $A758=IMPORTRANGE(""https://docs.google.com/spreadsheets/d/1qpEmbGH0JjaJbUdp21-y2cPbobDbMjr09BbtdKROZWc/edit#gid=1444865654"",""articles_with_PRISMA_reasons!B2:B2113"")),F758
=""Include"",FILTER(IMPORTRANGE("&amp;"""https://docs.google.com/spreadsheets/d/1kGrh75X1cNR1D7_FcY9zMnHP8iPO4M5RCRjy6nZY0TY/edit#gid=0"",""Table 1: Study characteristics!A4:A171""), $A758=IMPORTRANGE(""https://docs.google.com/spreadsheets/d/1kGrh75X1cNR1D7_FcY9zMnHP8iPO4M5RCRjy6nZY0TY/edit#gi"&amp;"d=0"",""Table 1: Study characteristics!B4:B171""))
)"),"wrong study design")</f>
        <v>wrong study design</v>
      </c>
    </row>
    <row r="759">
      <c r="A759" s="4" t="str">
        <f>IFERROR(__xludf.DUMMYFUNCTION("""COMPUTED_VALUE"""),"Evaluation of shunt treatment in hydrocephalus with myelomeningocele: Some factors relating to mental prognosis")</f>
        <v>Evaluation of shunt treatment in hydrocephalus with myelomeningocele: Some factors relating to mental prognosis</v>
      </c>
      <c r="B759" s="5" t="str">
        <f>IFERROR(__xludf.DUMMYFUNCTION("LEFT(FILTER(IMPORTRANGE(""https://docs.google.com/spreadsheets/d/1BJSV3WBYJGRhQ6zExamkszQ5VutGIcaQqmbD9ZTVXMQ/edit#gid=1251630045"",""articles_with_PRISMA_reasons!K2:K2113""), $A759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$A759=IMPORTRANGE(""https://docs.google.com/spreadsheets/d/1BJSV3WBYJGRhQ6zExamkszQ5VutGIcaQqmbD9ZTVXMQ/edit#gid=1251630045"",""articles_with_PRISMA_reasons!B2:B2113"")))-1)"),"Kojima")</f>
        <v>Kojima</v>
      </c>
      <c r="C759" s="6">
        <f>IFERROR(__xludf.DUMMYFUNCTION("FILTER(IMPORTRANGE(""https://docs.google.com/spreadsheets/d/1BJSV3WBYJGRhQ6zExamkszQ5VutGIcaQqmbD9ZTVXMQ/edit#gid=1251630045"",""articles_with_PRISMA_reasons!C2:C2113""), $A759=IMPORTRANGE(""https://docs.google.com/spreadsheets/d/1BJSV3WBYJGRhQ6zExamkszQ5"&amp;"VutGIcaQqmbD9ZTVXMQ/edit#gid=1251630045"",""articles_with_PRISMA_reasons!B2:B2113""))"),1988.0)</f>
        <v>1988</v>
      </c>
      <c r="D759" s="5" t="str">
        <f>IFERROR(__xludf.DUMMYFUNCTION("IFS(AND(
FILTER(IMPORTRANGE(""https://docs.google.com/spreadsheets/d/1BJSV3WBYJGRhQ6zExamkszQ5VutGIcaQqmbD9ZTVXMQ/edit#gid=1251630045"",""articles_with_PRISMA_reasons!Y2:Y2113""), $A759=IMPORTRANGE(""https://docs.google.com/spreadsheets/d/1BJSV3WBYJGRhQ6z"&amp;"ExamkszQ5VutGIcaQqmbD9ZTVXMQ/edit#gid=1251630045"",""articles_with_PRISMA_reasons!B2:B2113""))&gt;=2,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$A759=IMPORTRANGE(""https://docs.google.com/spreadsheets/d/1BJSV3WBYJGRhQ6zExamkszQ5VutGIcaQqmbD9ZTVXMQ/edit#gid=1251630045"",""articles_with_PRISMA_reasons!B2:B2113""))&lt;2),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$A759=IMPORTRANGE(""https://docs.google.com/spreadsheets/d/1BJSV3WBYJGRhQ6zExamkszQ5VutGIcaQqmbD9ZTVXMQ/edit#gid=1251630045"",""arti"&amp;"cles_with_PRISMA_reasons!B2:B2113""))&lt;2,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$A759=IMPORTRANGE(""https://docs.google.com"&amp;"/spreadsheets/d/1BJSV3WBYJGRhQ6zExamkszQ5VutGIcaQqmbD9ZTVXMQ/edit#gid=1251630045"",""articles_with_PRISMA_reasons!B2:B2113""))&gt;=2),
""Exclude""
)"),"Include")</f>
        <v>Include</v>
      </c>
      <c r="E759" s="5" t="str">
        <f>IFERROR(__xludf.DUMMYFUNCTION("IFS(
D759=""Exclude"",""Exclude"",
AND(
FILTER(IMPORTRANGE(""https://docs.google.com/spreadsheets/d/1qpEmbGH0JjaJbUdp21-y2cPbobDbMjr09BbtdKROZWc/edit#gid=1444865654"",""articles_with_PRISMA_reasons!W2:W2113""), $A759=IMPORTRANGE(""https://docs.google.com/"&amp;"spreadsheets/d/1qpEmbGH0JjaJbUdp21-y2cPbobDbMjr09BbtdKROZWc/edit#gid=1444865654"",""articles_with_PRISMA_reasons!B2:B2113""))&gt;=2,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$A759=IMPORTRANGE(""https://docs.google.com/spreadsheets/d/1qpEmbGH0JjaJbUdp21-y2cPbobDbMjr09BbtdKROZWc/edit#gid=1444865654"",""articles_with_PRISMA_reasons!B2:B2113""))&lt;2),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$A759=IMPORTRANGE(""https://docs.google.com/spreadsheets/d/1qpEmbGH0JjaJbUdp21-y2cPbobDbMjr09BbtdKRO"&amp;"ZWc/edit#gid=1444865654"",""articles_with_PRISMA_reasons!B2:B2113""))&lt;2,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$A759=IMPOR"&amp;"TRANGE(""https://docs.google.com/spreadsheets/d/1qpEmbGH0JjaJbUdp21-y2cPbobDbMjr09BbtdKROZWc/edit#gid=1444865654"",""articles_with_PRISMA_reasons!B2:B2113""))&gt;=2),
""Exclude""
)"),"Exclude")</f>
        <v>Exclude</v>
      </c>
      <c r="F759" s="5" t="str">
        <f>IFERROR(__xludf.DUMMYFUNCTION("IFS(
E759=""Exclude"",""Exclude"",
AND(
COUNTIF(
IMPORTRANGE(""https://docs.google.com/spreadsheets/d/1kGrh75X1cNR1D7_FcY9zMnHP8iPO4M5RCRjy6nZY0TY/edit#gid=0"",""Table 1: Study characteristics!B4:B171""),A759)&gt;0,
COUNTIF(Studies!$A$2:$A$85,FILTER(IMPORTRA"&amp;"NGE(""https://docs.google.com/spreadsheets/d/1kGrh75X1cNR1D7_FcY9zMnHP8iPO4M5RCRjy6nZY0TY/edit#gid=0"",""Table 1: Study characteristics!A4:A171""), $A759=IMPORTRANGE(""https://docs.google.com/spreadsheets/d/1kGrh75X1cNR1D7_FcY9zMnHP8iPO4M5RCRjy6nZY0TY/edi"&amp;"t#gid=0"",""Table 1: Study characteristics!B4:B171"")))&gt;0
),
""Include""
)"),"Exclude")</f>
        <v>Exclude</v>
      </c>
      <c r="G759" s="5" t="str">
        <f>IFERROR(__xludf.DUMMYFUNCTION("IFS(
D759=""Exclude"",
FILTER(IMPORTRANGE(""https://docs.google.com/spreadsheets/d/1BJSV3WBYJGRhQ6zExamkszQ5VutGIcaQqmbD9ZTVXMQ/edit#gid=1251630045"",""articles_with_PRISMA_reasons!AB2:AB2113""), $A759=IMPORTRANGE(""https://docs.google.com/spreadsheets/d/"&amp;"1BJSV3WBYJGRhQ6zExamkszQ5VutGIcaQqmbD9ZTVXMQ/edit#gid=1251630045"",""articles_with_PRISMA_reasons!B2:B2113"")),
E759=""Exclude"",
FILTER(IMPORTRANGE(""https://docs.google.com/spreadsheets/d/1qpEmbGH0JjaJbUdp21-y2cPbobDbMjr09BbtdKROZWc/edit#gid=1444865654"&amp;""",""articles_with_PRISMA_reasons!Z2:Z2113""), $A759=IMPORTRANGE(""https://docs.google.com/spreadsheets/d/1qpEmbGH0JjaJbUdp21-y2cPbobDbMjr09BbtdKROZWc/edit#gid=1444865654"",""articles_with_PRISMA_reasons!B2:B2113"")),F759
=""Include"",FILTER(IMPORTRANGE("&amp;"""https://docs.google.com/spreadsheets/d/1kGrh75X1cNR1D7_FcY9zMnHP8iPO4M5RCRjy6nZY0TY/edit#gid=0"",""Table 1: Study characteristics!A4:A171""), $A759=IMPORTRANGE(""https://docs.google.com/spreadsheets/d/1kGrh75X1cNR1D7_FcY9zMnHP8iPO4M5RCRjy6nZY0TY/edit#gi"&amp;"d=0"",""Table 1: Study characteristics!B4:B171""))
)"),"Full text unavailable")</f>
        <v>Full text unavailable</v>
      </c>
    </row>
    <row r="760">
      <c r="A760" s="4" t="str">
        <f>IFERROR(__xludf.DUMMYFUNCTION("""COMPUTED_VALUE"""),"Evolution of posterior fossa and brain morphology after in utero repair of open neural tube defects assessed by MRI")</f>
        <v>Evolution of posterior fossa and brain morphology after in utero repair of open neural tube defects assessed by MRI</v>
      </c>
      <c r="B760" s="5" t="str">
        <f>IFERROR(__xludf.DUMMYFUNCTION("LEFT(FILTER(IMPORTRANGE(""https://docs.google.com/spreadsheets/d/1BJSV3WBYJGRhQ6zExamkszQ5VutGIcaQqmbD9ZTVXMQ/edit#gid=1251630045"",""articles_with_PRISMA_reasons!K2:K2113""), $A760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$A760=IMPORTRANGE(""https://docs.google.com/spreadsheets/d/1BJSV3WBYJGRhQ6zExamkszQ5VutGIcaQqmbD9ZTVXMQ/edit#gid=1251630045"",""articles_with_PRISMA_reasons!B2:B2113"")))-1)"),"Rethmann")</f>
        <v>Rethmann</v>
      </c>
      <c r="C760" s="6">
        <f>IFERROR(__xludf.DUMMYFUNCTION("FILTER(IMPORTRANGE(""https://docs.google.com/spreadsheets/d/1BJSV3WBYJGRhQ6zExamkszQ5VutGIcaQqmbD9ZTVXMQ/edit#gid=1251630045"",""articles_with_PRISMA_reasons!C2:C2113""), $A760=IMPORTRANGE(""https://docs.google.com/spreadsheets/d/1BJSV3WBYJGRhQ6zExamkszQ5"&amp;"VutGIcaQqmbD9ZTVXMQ/edit#gid=1251630045"",""articles_with_PRISMA_reasons!B2:B2113""))"),2017.0)</f>
        <v>2017</v>
      </c>
      <c r="D760" s="5" t="str">
        <f>IFERROR(__xludf.DUMMYFUNCTION("IFS(AND(
FILTER(IMPORTRANGE(""https://docs.google.com/spreadsheets/d/1BJSV3WBYJGRhQ6zExamkszQ5VutGIcaQqmbD9ZTVXMQ/edit#gid=1251630045"",""articles_with_PRISMA_reasons!Y2:Y2113""), $A760=IMPORTRANGE(""https://docs.google.com/spreadsheets/d/1BJSV3WBYJGRhQ6z"&amp;"ExamkszQ5VutGIcaQqmbD9ZTVXMQ/edit#gid=1251630045"",""articles_with_PRISMA_reasons!B2:B2113""))&gt;=2,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$A760=IMPORTRANGE(""https://docs.google.com/spreadsheets/d/1BJSV3WBYJGRhQ6zExamkszQ5VutGIcaQqmbD9ZTVXMQ/edit#gid=1251630045"",""articles_with_PRISMA_reasons!B2:B2113""))&lt;2),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$A760=IMPORTRANGE(""https://docs.google.com/spreadsheets/d/1BJSV3WBYJGRhQ6zExamkszQ5VutGIcaQqmbD9ZTVXMQ/edit#gid=1251630045"",""arti"&amp;"cles_with_PRISMA_reasons!B2:B2113""))&lt;2,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$A760=IMPORTRANGE(""https://docs.google.com"&amp;"/spreadsheets/d/1BJSV3WBYJGRhQ6zExamkszQ5VutGIcaQqmbD9ZTVXMQ/edit#gid=1251630045"",""articles_with_PRISMA_reasons!B2:B2113""))&gt;=2),
""Exclude""
)"),"Exclude")</f>
        <v>Exclude</v>
      </c>
      <c r="E760" s="5" t="str">
        <f>IFERROR(__xludf.DUMMYFUNCTION("IFS(
D760=""Exclude"",""Exclude"",
AND(
FILTER(IMPORTRANGE(""https://docs.google.com/spreadsheets/d/1qpEmbGH0JjaJbUdp21-y2cPbobDbMjr09BbtdKROZWc/edit#gid=1444865654"",""articles_with_PRISMA_reasons!W2:W2113""), $A760=IMPORTRANGE(""https://docs.google.com/"&amp;"spreadsheets/d/1qpEmbGH0JjaJbUdp21-y2cPbobDbMjr09BbtdKROZWc/edit#gid=1444865654"",""articles_with_PRISMA_reasons!B2:B2113""))&gt;=2,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$A760=IMPORTRANGE(""https://docs.google.com/spreadsheets/d/1qpEmbGH0JjaJbUdp21-y2cPbobDbMjr09BbtdKROZWc/edit#gid=1444865654"",""articles_with_PRISMA_reasons!B2:B2113""))&lt;2),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$A760=IMPORTRANGE(""https://docs.google.com/spreadsheets/d/1qpEmbGH0JjaJbUdp21-y2cPbobDbMjr09BbtdKRO"&amp;"ZWc/edit#gid=1444865654"",""articles_with_PRISMA_reasons!B2:B2113""))&lt;2,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$A760=IMPOR"&amp;"TRANGE(""https://docs.google.com/spreadsheets/d/1qpEmbGH0JjaJbUdp21-y2cPbobDbMjr09BbtdKROZWc/edit#gid=1444865654"",""articles_with_PRISMA_reasons!B2:B2113""))&gt;=2),
""Exclude""
)"),"Exclude")</f>
        <v>Exclude</v>
      </c>
      <c r="F760" s="5" t="str">
        <f>IFERROR(__xludf.DUMMYFUNCTION("IFS(
E760=""Exclude"",""Exclude"",
AND(
COUNTIF(
IMPORTRANGE(""https://docs.google.com/spreadsheets/d/1kGrh75X1cNR1D7_FcY9zMnHP8iPO4M5RCRjy6nZY0TY/edit#gid=0"",""Table 1: Study characteristics!B4:B171""),A760)&gt;0,
COUNTIF(Studies!$A$2:$A$85,FILTER(IMPORTRA"&amp;"NGE(""https://docs.google.com/spreadsheets/d/1kGrh75X1cNR1D7_FcY9zMnHP8iPO4M5RCRjy6nZY0TY/edit#gid=0"",""Table 1: Study characteristics!A4:A171""), $A760=IMPORTRANGE(""https://docs.google.com/spreadsheets/d/1kGrh75X1cNR1D7_FcY9zMnHP8iPO4M5RCRjy6nZY0TY/edi"&amp;"t#gid=0"",""Table 1: Study characteristics!B4:B171"")))&gt;0
),
""Include""
)"),"Exclude")</f>
        <v>Exclude</v>
      </c>
      <c r="G760" s="5" t="str">
        <f>IFERROR(__xludf.DUMMYFUNCTION("IFS(
D760=""Exclude"",
FILTER(IMPORTRANGE(""https://docs.google.com/spreadsheets/d/1BJSV3WBYJGRhQ6zExamkszQ5VutGIcaQqmbD9ZTVXMQ/edit#gid=1251630045"",""articles_with_PRISMA_reasons!AB2:AB2113""), $A760=IMPORTRANGE(""https://docs.google.com/spreadsheets/d/"&amp;"1BJSV3WBYJGRhQ6zExamkszQ5VutGIcaQqmbD9ZTVXMQ/edit#gid=1251630045"",""articles_with_PRISMA_reasons!B2:B2113"")),
E760=""Exclude"",
FILTER(IMPORTRANGE(""https://docs.google.com/spreadsheets/d/1qpEmbGH0JjaJbUdp21-y2cPbobDbMjr09BbtdKROZWc/edit#gid=1444865654"&amp;""",""articles_with_PRISMA_reasons!Z2:Z2113""), $A760=IMPORTRANGE(""https://docs.google.com/spreadsheets/d/1qpEmbGH0JjaJbUdp21-y2cPbobDbMjr09BbtdKROZWc/edit#gid=1444865654"",""articles_with_PRISMA_reasons!B2:B2113"")),F760
=""Include"",FILTER(IMPORTRANGE("&amp;"""https://docs.google.com/spreadsheets/d/1kGrh75X1cNR1D7_FcY9zMnHP8iPO4M5RCRjy6nZY0TY/edit#gid=0"",""Table 1: Study characteristics!A4:A171""), $A760=IMPORTRANGE(""https://docs.google.com/spreadsheets/d/1kGrh75X1cNR1D7_FcY9zMnHP8iPO4M5RCRjy6nZY0TY/edit#gi"&amp;"d=0"",""Table 1: Study characteristics!B4:B171""))
)"),"wrong population")</f>
        <v>wrong population</v>
      </c>
    </row>
    <row r="761">
      <c r="A761" s="4" t="str">
        <f>IFERROR(__xludf.DUMMYFUNCTION("""COMPUTED_VALUE"""),"Experience in shunt management on revision free survival in infants with myelomeningocele")</f>
        <v>Experience in shunt management on revision free survival in infants with myelomeningocele</v>
      </c>
      <c r="B761" s="5" t="str">
        <f>IFERROR(__xludf.DUMMYFUNCTION("LEFT(FILTER(IMPORTRANGE(""https://docs.google.com/spreadsheets/d/1BJSV3WBYJGRhQ6zExamkszQ5VutGIcaQqmbD9ZTVXMQ/edit#gid=1251630045"",""articles_with_PRISMA_reasons!K2:K2113""), $A761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$A761=IMPORTRANGE(""https://docs.google.com/spreadsheets/d/1BJSV3WBYJGRhQ6zExamkszQ5VutGIcaQqmbD9ZTVXMQ/edit#gid=1251630045"",""articles_with_PRISMA_reasons!B2:B2113"")))-1)"),"Al-Hakim")</f>
        <v>Al-Hakim</v>
      </c>
      <c r="C761" s="6">
        <f>IFERROR(__xludf.DUMMYFUNCTION("FILTER(IMPORTRANGE(""https://docs.google.com/spreadsheets/d/1BJSV3WBYJGRhQ6zExamkszQ5VutGIcaQqmbD9ZTVXMQ/edit#gid=1251630045"",""articles_with_PRISMA_reasons!C2:C2113""), $A761=IMPORTRANGE(""https://docs.google.com/spreadsheets/d/1BJSV3WBYJGRhQ6zExamkszQ5"&amp;"VutGIcaQqmbD9ZTVXMQ/edit#gid=1251630045"",""articles_with_PRISMA_reasons!B2:B2113""))"),2018.0)</f>
        <v>2018</v>
      </c>
      <c r="D761" s="5" t="str">
        <f>IFERROR(__xludf.DUMMYFUNCTION("IFS(AND(
FILTER(IMPORTRANGE(""https://docs.google.com/spreadsheets/d/1BJSV3WBYJGRhQ6zExamkszQ5VutGIcaQqmbD9ZTVXMQ/edit#gid=1251630045"",""articles_with_PRISMA_reasons!Y2:Y2113""), $A761=IMPORTRANGE(""https://docs.google.com/spreadsheets/d/1BJSV3WBYJGRhQ6z"&amp;"ExamkszQ5VutGIcaQqmbD9ZTVXMQ/edit#gid=1251630045"",""articles_with_PRISMA_reasons!B2:B2113""))&gt;=2,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$A761=IMPORTRANGE(""https://docs.google.com/spreadsheets/d/1BJSV3WBYJGRhQ6zExamkszQ5VutGIcaQqmbD9ZTVXMQ/edit#gid=1251630045"",""articles_with_PRISMA_reasons!B2:B2113""))&lt;2),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$A761=IMPORTRANGE(""https://docs.google.com/spreadsheets/d/1BJSV3WBYJGRhQ6zExamkszQ5VutGIcaQqmbD9ZTVXMQ/edit#gid=1251630045"",""arti"&amp;"cles_with_PRISMA_reasons!B2:B2113""))&lt;2,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$A761=IMPORTRANGE(""https://docs.google.com"&amp;"/spreadsheets/d/1BJSV3WBYJGRhQ6zExamkszQ5VutGIcaQqmbD9ZTVXMQ/edit#gid=1251630045"",""articles_with_PRISMA_reasons!B2:B2113""))&gt;=2),
""Exclude""
)"),"Include")</f>
        <v>Include</v>
      </c>
      <c r="E761" s="5" t="str">
        <f>IFERROR(__xludf.DUMMYFUNCTION("IFS(
D761=""Exclude"",""Exclude"",
AND(
FILTER(IMPORTRANGE(""https://docs.google.com/spreadsheets/d/1qpEmbGH0JjaJbUdp21-y2cPbobDbMjr09BbtdKROZWc/edit#gid=1444865654"",""articles_with_PRISMA_reasons!W2:W2113""), $A761=IMPORTRANGE(""https://docs.google.com/"&amp;"spreadsheets/d/1qpEmbGH0JjaJbUdp21-y2cPbobDbMjr09BbtdKROZWc/edit#gid=1444865654"",""articles_with_PRISMA_reasons!B2:B2113""))&gt;=2,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$A761=IMPORTRANGE(""https://docs.google.com/spreadsheets/d/1qpEmbGH0JjaJbUdp21-y2cPbobDbMjr09BbtdKROZWc/edit#gid=1444865654"",""articles_with_PRISMA_reasons!B2:B2113""))&lt;2),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$A761=IMPORTRANGE(""https://docs.google.com/spreadsheets/d/1qpEmbGH0JjaJbUdp21-y2cPbobDbMjr09BbtdKRO"&amp;"ZWc/edit#gid=1444865654"",""articles_with_PRISMA_reasons!B2:B2113""))&lt;2,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$A761=IMPOR"&amp;"TRANGE(""https://docs.google.com/spreadsheets/d/1qpEmbGH0JjaJbUdp21-y2cPbobDbMjr09BbtdKROZWc/edit#gid=1444865654"",""articles_with_PRISMA_reasons!B2:B2113""))&gt;=2),
""Exclude""
)"),"Include")</f>
        <v>Include</v>
      </c>
      <c r="F761" s="5" t="str">
        <f>IFERROR(__xludf.DUMMYFUNCTION("IFS(
E761=""Exclude"",""Exclude"",
AND(
COUNTIF(
IMPORTRANGE(""https://docs.google.com/spreadsheets/d/1kGrh75X1cNR1D7_FcY9zMnHP8iPO4M5RCRjy6nZY0TY/edit#gid=0"",""Table 1: Study characteristics!B4:B171""),A761)&gt;0,
COUNTIF(Studies!$A$2:$A$85,FILTER(IMPORTRA"&amp;"NGE(""https://docs.google.com/spreadsheets/d/1kGrh75X1cNR1D7_FcY9zMnHP8iPO4M5RCRjy6nZY0TY/edit#gid=0"",""Table 1: Study characteristics!A4:A171""), $A761=IMPORTRANGE(""https://docs.google.com/spreadsheets/d/1kGrh75X1cNR1D7_FcY9zMnHP8iPO4M5RCRjy6nZY0TY/edi"&amp;"t#gid=0"",""Table 1: Study characteristics!B4:B171"")))&gt;0
),
""Include""
)"),"Include")</f>
        <v>Include</v>
      </c>
      <c r="G761" s="5" t="str">
        <f>IFERROR(__xludf.DUMMYFUNCTION("IFS(
D761=""Exclude"",
FILTER(IMPORTRANGE(""https://docs.google.com/spreadsheets/d/1BJSV3WBYJGRhQ6zExamkszQ5VutGIcaQqmbD9ZTVXMQ/edit#gid=1251630045"",""articles_with_PRISMA_reasons!AB2:AB2113""), $A761=IMPORTRANGE(""https://docs.google.com/spreadsheets/d/"&amp;"1BJSV3WBYJGRhQ6zExamkszQ5VutGIcaQqmbD9ZTVXMQ/edit#gid=1251630045"",""articles_with_PRISMA_reasons!B2:B2113"")),
E761=""Exclude"",
FILTER(IMPORTRANGE(""https://docs.google.com/spreadsheets/d/1qpEmbGH0JjaJbUdp21-y2cPbobDbMjr09BbtdKROZWc/edit#gid=1444865654"&amp;""",""articles_with_PRISMA_reasons!Z2:Z2113""), $A761=IMPORTRANGE(""https://docs.google.com/spreadsheets/d/1qpEmbGH0JjaJbUdp21-y2cPbobDbMjr09BbtdKROZWc/edit#gid=1444865654"",""articles_with_PRISMA_reasons!B2:B2113"")),F761
=""Include"",FILTER(IMPORTRANGE("&amp;"""https://docs.google.com/spreadsheets/d/1kGrh75X1cNR1D7_FcY9zMnHP8iPO4M5RCRjy6nZY0TY/edit#gid=0"",""Table 1: Study characteristics!A4:A171""), $A761=IMPORTRANGE(""https://docs.google.com/spreadsheets/d/1kGrh75X1cNR1D7_FcY9zMnHP8iPO4M5RCRjy6nZY0TY/edit#gi"&amp;"d=0"",""Table 1: Study characteristics!B4:B171""))
)"),"ID 73")</f>
        <v>ID 73</v>
      </c>
    </row>
    <row r="762">
      <c r="A762" s="4" t="str">
        <f>IFERROR(__xludf.DUMMYFUNCTION("""COMPUTED_VALUE"""),"Experience in the Early Surgical Management of Myelomeningocele in Zanzibar")</f>
        <v>Experience in the Early Surgical Management of Myelomeningocele in Zanzibar</v>
      </c>
      <c r="B762" s="5" t="str">
        <f>IFERROR(__xludf.DUMMYFUNCTION("LEFT(FILTER(IMPORTRANGE(""https://docs.google.com/spreadsheets/d/1BJSV3WBYJGRhQ6zExamkszQ5VutGIcaQqmbD9ZTVXMQ/edit#gid=1251630045"",""articles_with_PRISMA_reasons!K2:K2113""), $A762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$A762=IMPORTRANGE(""https://docs.google.com/spreadsheets/d/1BJSV3WBYJGRhQ6zExamkszQ5VutGIcaQqmbD9ZTVXMQ/edit#gid=1251630045"",""articles_with_PRISMA_reasons!B2:B2113"")))-1)"),"Kim")</f>
        <v>Kim</v>
      </c>
      <c r="C762" s="6">
        <f>IFERROR(__xludf.DUMMYFUNCTION("FILTER(IMPORTRANGE(""https://docs.google.com/spreadsheets/d/1BJSV3WBYJGRhQ6zExamkszQ5VutGIcaQqmbD9ZTVXMQ/edit#gid=1251630045"",""articles_with_PRISMA_reasons!C2:C2113""), $A762=IMPORTRANGE(""https://docs.google.com/spreadsheets/d/1BJSV3WBYJGRhQ6zExamkszQ5"&amp;"VutGIcaQqmbD9ZTVXMQ/edit#gid=1251630045"",""articles_with_PRISMA_reasons!B2:B2113""))"),2019.0)</f>
        <v>2019</v>
      </c>
      <c r="D762" s="5" t="str">
        <f>IFERROR(__xludf.DUMMYFUNCTION("IFS(AND(
FILTER(IMPORTRANGE(""https://docs.google.com/spreadsheets/d/1BJSV3WBYJGRhQ6zExamkszQ5VutGIcaQqmbD9ZTVXMQ/edit#gid=1251630045"",""articles_with_PRISMA_reasons!Y2:Y2113""), $A762=IMPORTRANGE(""https://docs.google.com/spreadsheets/d/1BJSV3WBYJGRhQ6z"&amp;"ExamkszQ5VutGIcaQqmbD9ZTVXMQ/edit#gid=1251630045"",""articles_with_PRISMA_reasons!B2:B2113""))&gt;=2,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$A762=IMPORTRANGE(""https://docs.google.com/spreadsheets/d/1BJSV3WBYJGRhQ6zExamkszQ5VutGIcaQqmbD9ZTVXMQ/edit#gid=1251630045"",""articles_with_PRISMA_reasons!B2:B2113""))&lt;2),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$A762=IMPORTRANGE(""https://docs.google.com/spreadsheets/d/1BJSV3WBYJGRhQ6zExamkszQ5VutGIcaQqmbD9ZTVXMQ/edit#gid=1251630045"",""arti"&amp;"cles_with_PRISMA_reasons!B2:B2113""))&lt;2,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$A762=IMPORTRANGE(""https://docs.google.com"&amp;"/spreadsheets/d/1BJSV3WBYJGRhQ6zExamkszQ5VutGIcaQqmbD9ZTVXMQ/edit#gid=1251630045"",""articles_with_PRISMA_reasons!B2:B2113""))&gt;=2),
""Exclude""
)"),"Exclude")</f>
        <v>Exclude</v>
      </c>
      <c r="E762" s="5" t="str">
        <f>IFERROR(__xludf.DUMMYFUNCTION("IFS(
D762=""Exclude"",""Exclude"",
AND(
FILTER(IMPORTRANGE(""https://docs.google.com/spreadsheets/d/1qpEmbGH0JjaJbUdp21-y2cPbobDbMjr09BbtdKROZWc/edit#gid=1444865654"",""articles_with_PRISMA_reasons!W2:W2113""), $A762=IMPORTRANGE(""https://docs.google.com/"&amp;"spreadsheets/d/1qpEmbGH0JjaJbUdp21-y2cPbobDbMjr09BbtdKROZWc/edit#gid=1444865654"",""articles_with_PRISMA_reasons!B2:B2113""))&gt;=2,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$A762=IMPORTRANGE(""https://docs.google.com/spreadsheets/d/1qpEmbGH0JjaJbUdp21-y2cPbobDbMjr09BbtdKROZWc/edit#gid=1444865654"",""articles_with_PRISMA_reasons!B2:B2113""))&lt;2),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$A762=IMPORTRANGE(""https://docs.google.com/spreadsheets/d/1qpEmbGH0JjaJbUdp21-y2cPbobDbMjr09BbtdKRO"&amp;"ZWc/edit#gid=1444865654"",""articles_with_PRISMA_reasons!B2:B2113""))&lt;2,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$A762=IMPOR"&amp;"TRANGE(""https://docs.google.com/spreadsheets/d/1qpEmbGH0JjaJbUdp21-y2cPbobDbMjr09BbtdKROZWc/edit#gid=1444865654"",""articles_with_PRISMA_reasons!B2:B2113""))&gt;=2),
""Exclude""
)"),"Exclude")</f>
        <v>Exclude</v>
      </c>
      <c r="F762" s="5" t="str">
        <f>IFERROR(__xludf.DUMMYFUNCTION("IFS(
E762=""Exclude"",""Exclude"",
AND(
COUNTIF(
IMPORTRANGE(""https://docs.google.com/spreadsheets/d/1kGrh75X1cNR1D7_FcY9zMnHP8iPO4M5RCRjy6nZY0TY/edit#gid=0"",""Table 1: Study characteristics!B4:B171""),A762)&gt;0,
COUNTIF(Studies!$A$2:$A$85,FILTER(IMPORTRA"&amp;"NGE(""https://docs.google.com/spreadsheets/d/1kGrh75X1cNR1D7_FcY9zMnHP8iPO4M5RCRjy6nZY0TY/edit#gid=0"",""Table 1: Study characteristics!A4:A171""), $A762=IMPORTRANGE(""https://docs.google.com/spreadsheets/d/1kGrh75X1cNR1D7_FcY9zMnHP8iPO4M5RCRjy6nZY0TY/edi"&amp;"t#gid=0"",""Table 1: Study characteristics!B4:B171"")))&gt;0
),
""Include""
)"),"Exclude")</f>
        <v>Exclude</v>
      </c>
      <c r="G762" s="5" t="str">
        <f>IFERROR(__xludf.DUMMYFUNCTION("IFS(
D762=""Exclude"",
FILTER(IMPORTRANGE(""https://docs.google.com/spreadsheets/d/1BJSV3WBYJGRhQ6zExamkszQ5VutGIcaQqmbD9ZTVXMQ/edit#gid=1251630045"",""articles_with_PRISMA_reasons!AB2:AB2113""), $A762=IMPORTRANGE(""https://docs.google.com/spreadsheets/d/"&amp;"1BJSV3WBYJGRhQ6zExamkszQ5VutGIcaQqmbD9ZTVXMQ/edit#gid=1251630045"",""articles_with_PRISMA_reasons!B2:B2113"")),
E762=""Exclude"",
FILTER(IMPORTRANGE(""https://docs.google.com/spreadsheets/d/1qpEmbGH0JjaJbUdp21-y2cPbobDbMjr09BbtdKROZWc/edit#gid=1444865654"&amp;""",""articles_with_PRISMA_reasons!Z2:Z2113""), $A762=IMPORTRANGE(""https://docs.google.com/spreadsheets/d/1qpEmbGH0JjaJbUdp21-y2cPbobDbMjr09BbtdKROZWc/edit#gid=1444865654"",""articles_with_PRISMA_reasons!B2:B2113"")),F762
=""Include"",FILTER(IMPORTRANGE("&amp;"""https://docs.google.com/spreadsheets/d/1kGrh75X1cNR1D7_FcY9zMnHP8iPO4M5RCRjy6nZY0TY/edit#gid=0"",""Table 1: Study characteristics!A4:A171""), $A762=IMPORTRANGE(""https://docs.google.com/spreadsheets/d/1kGrh75X1cNR1D7_FcY9zMnHP8iPO4M5RCRjy6nZY0TY/edit#gi"&amp;"d=0"",""Table 1: Study characteristics!B4:B171""))
)"),"wrong population")</f>
        <v>wrong population</v>
      </c>
    </row>
    <row r="763">
      <c r="A763" s="4" t="str">
        <f>IFERROR(__xludf.DUMMYFUNCTION("""COMPUTED_VALUE"""),"Experience in the management of myelomeningocele in Puerto Rico")</f>
        <v>Experience in the management of myelomeningocele in Puerto Rico</v>
      </c>
      <c r="B763" s="5" t="str">
        <f>IFERROR(__xludf.DUMMYFUNCTION("LEFT(FILTER(IMPORTRANGE(""https://docs.google.com/spreadsheets/d/1BJSV3WBYJGRhQ6zExamkszQ5VutGIcaQqmbD9ZTVXMQ/edit#gid=1251630045"",""articles_with_PRISMA_reasons!K2:K2113""), $A763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$A763=IMPORTRANGE(""https://docs.google.com/spreadsheets/d/1BJSV3WBYJGRhQ6zExamkszQ5VutGIcaQqmbD9ZTVXMQ/edit#gid=1251630045"",""articles_with_PRISMA_reasons!B2:B2113"")))-1)"),"Brau")</f>
        <v>Brau</v>
      </c>
      <c r="C763" s="6">
        <f>IFERROR(__xludf.DUMMYFUNCTION("FILTER(IMPORTRANGE(""https://docs.google.com/spreadsheets/d/1BJSV3WBYJGRhQ6zExamkszQ5VutGIcaQqmbD9ZTVXMQ/edit#gid=1251630045"",""articles_with_PRISMA_reasons!C2:C2113""), $A763=IMPORTRANGE(""https://docs.google.com/spreadsheets/d/1BJSV3WBYJGRhQ6zExamkszQ5"&amp;"VutGIcaQqmbD9ZTVXMQ/edit#gid=1251630045"",""articles_with_PRISMA_reasons!B2:B2113""))"),1990.0)</f>
        <v>1990</v>
      </c>
      <c r="D763" s="5" t="str">
        <f>IFERROR(__xludf.DUMMYFUNCTION("IFS(AND(
FILTER(IMPORTRANGE(""https://docs.google.com/spreadsheets/d/1BJSV3WBYJGRhQ6zExamkszQ5VutGIcaQqmbD9ZTVXMQ/edit#gid=1251630045"",""articles_with_PRISMA_reasons!Y2:Y2113""), $A763=IMPORTRANGE(""https://docs.google.com/spreadsheets/d/1BJSV3WBYJGRhQ6z"&amp;"ExamkszQ5VutGIcaQqmbD9ZTVXMQ/edit#gid=1251630045"",""articles_with_PRISMA_reasons!B2:B2113""))&gt;=2,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$A763=IMPORTRANGE(""https://docs.google.com/spreadsheets/d/1BJSV3WBYJGRhQ6zExamkszQ5VutGIcaQqmbD9ZTVXMQ/edit#gid=1251630045"",""articles_with_PRISMA_reasons!B2:B2113""))&lt;2),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$A763=IMPORTRANGE(""https://docs.google.com/spreadsheets/d/1BJSV3WBYJGRhQ6zExamkszQ5VutGIcaQqmbD9ZTVXMQ/edit#gid=1251630045"",""arti"&amp;"cles_with_PRISMA_reasons!B2:B2113""))&lt;2,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$A763=IMPORTRANGE(""https://docs.google.com"&amp;"/spreadsheets/d/1BJSV3WBYJGRhQ6zExamkszQ5VutGIcaQqmbD9ZTVXMQ/edit#gid=1251630045"",""articles_with_PRISMA_reasons!B2:B2113""))&gt;=2),
""Exclude""
)"),"Exclude")</f>
        <v>Exclude</v>
      </c>
      <c r="E763" s="5" t="str">
        <f>IFERROR(__xludf.DUMMYFUNCTION("IFS(
D763=""Exclude"",""Exclude"",
AND(
FILTER(IMPORTRANGE(""https://docs.google.com/spreadsheets/d/1qpEmbGH0JjaJbUdp21-y2cPbobDbMjr09BbtdKROZWc/edit#gid=1444865654"",""articles_with_PRISMA_reasons!W2:W2113""), $A763=IMPORTRANGE(""https://docs.google.com/"&amp;"spreadsheets/d/1qpEmbGH0JjaJbUdp21-y2cPbobDbMjr09BbtdKROZWc/edit#gid=1444865654"",""articles_with_PRISMA_reasons!B2:B2113""))&gt;=2,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$A763=IMPORTRANGE(""https://docs.google.com/spreadsheets/d/1qpEmbGH0JjaJbUdp21-y2cPbobDbMjr09BbtdKROZWc/edit#gid=1444865654"",""articles_with_PRISMA_reasons!B2:B2113""))&lt;2),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$A763=IMPORTRANGE(""https://docs.google.com/spreadsheets/d/1qpEmbGH0JjaJbUdp21-y2cPbobDbMjr09BbtdKRO"&amp;"ZWc/edit#gid=1444865654"",""articles_with_PRISMA_reasons!B2:B2113""))&lt;2,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$A763=IMPOR"&amp;"TRANGE(""https://docs.google.com/spreadsheets/d/1qpEmbGH0JjaJbUdp21-y2cPbobDbMjr09BbtdKROZWc/edit#gid=1444865654"",""articles_with_PRISMA_reasons!B2:B2113""))&gt;=2),
""Exclude""
)"),"Exclude")</f>
        <v>Exclude</v>
      </c>
      <c r="F763" s="5" t="str">
        <f>IFERROR(__xludf.DUMMYFUNCTION("IFS(
E763=""Exclude"",""Exclude"",
AND(
COUNTIF(
IMPORTRANGE(""https://docs.google.com/spreadsheets/d/1kGrh75X1cNR1D7_FcY9zMnHP8iPO4M5RCRjy6nZY0TY/edit#gid=0"",""Table 1: Study characteristics!B4:B171""),A763)&gt;0,
COUNTIF(Studies!$A$2:$A$85,FILTER(IMPORTRA"&amp;"NGE(""https://docs.google.com/spreadsheets/d/1kGrh75X1cNR1D7_FcY9zMnHP8iPO4M5RCRjy6nZY0TY/edit#gid=0"",""Table 1: Study characteristics!A4:A171""), $A763=IMPORTRANGE(""https://docs.google.com/spreadsheets/d/1kGrh75X1cNR1D7_FcY9zMnHP8iPO4M5RCRjy6nZY0TY/edi"&amp;"t#gid=0"",""Table 1: Study characteristics!B4:B171"")))&gt;0
),
""Include""
)"),"Exclude")</f>
        <v>Exclude</v>
      </c>
      <c r="G763" s="5" t="str">
        <f>IFERROR(__xludf.DUMMYFUNCTION("IFS(
D763=""Exclude"",
FILTER(IMPORTRANGE(""https://docs.google.com/spreadsheets/d/1BJSV3WBYJGRhQ6zExamkszQ5VutGIcaQqmbD9ZTVXMQ/edit#gid=1251630045"",""articles_with_PRISMA_reasons!AB2:AB2113""), $A763=IMPORTRANGE(""https://docs.google.com/spreadsheets/d/"&amp;"1BJSV3WBYJGRhQ6zExamkszQ5VutGIcaQqmbD9ZTVXMQ/edit#gid=1251630045"",""articles_with_PRISMA_reasons!B2:B2113"")),
E763=""Exclude"",
FILTER(IMPORTRANGE(""https://docs.google.com/spreadsheets/d/1qpEmbGH0JjaJbUdp21-y2cPbobDbMjr09BbtdKROZWc/edit#gid=1444865654"&amp;""",""articles_with_PRISMA_reasons!Z2:Z2113""), $A763=IMPORTRANGE(""https://docs.google.com/spreadsheets/d/1qpEmbGH0JjaJbUdp21-y2cPbobDbMjr09BbtdKROZWc/edit#gid=1444865654"",""articles_with_PRISMA_reasons!B2:B2113"")),F763
=""Include"",FILTER(IMPORTRANGE("&amp;"""https://docs.google.com/spreadsheets/d/1kGrh75X1cNR1D7_FcY9zMnHP8iPO4M5RCRjy6nZY0TY/edit#gid=0"",""Table 1: Study characteristics!A4:A171""), $A763=IMPORTRANGE(""https://docs.google.com/spreadsheets/d/1kGrh75X1cNR1D7_FcY9zMnHP8iPO4M5RCRjy6nZY0TY/edit#gi"&amp;"d=0"",""Table 1: Study characteristics!B4:B171""))
)"),"wrong population")</f>
        <v>wrong population</v>
      </c>
    </row>
    <row r="764">
      <c r="A764" s="4" t="str">
        <f>IFERROR(__xludf.DUMMYFUNCTION("""COMPUTED_VALUE"""),"Experience of 300 cases of prenatal fetoscopic open spina bifida repair: report of the International Fetoscopic Neural Tube Defect Repair Consortium")</f>
        <v>Experience of 300 cases of prenatal fetoscopic open spina bifida repair: report of the International Fetoscopic Neural Tube Defect Repair Consortium</v>
      </c>
      <c r="B764" s="5" t="str">
        <f>IFERROR(__xludf.DUMMYFUNCTION("LEFT(FILTER(IMPORTRANGE(""https://docs.google.com/spreadsheets/d/1BJSV3WBYJGRhQ6zExamkszQ5VutGIcaQqmbD9ZTVXMQ/edit#gid=1251630045"",""articles_with_PRISMA_reasons!K2:K2113""), $A764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$A764=IMPORTRANGE(""https://docs.google.com/spreadsheets/d/1BJSV3WBYJGRhQ6zExamkszQ5VutGIcaQqmbD9ZTVXMQ/edit#gid=1251630045"",""articles_with_PRISMA_reasons!B2:B2113"")))-1)"),"Sanz Cortes")</f>
        <v>Sanz Cortes</v>
      </c>
      <c r="C764" s="6">
        <f>IFERROR(__xludf.DUMMYFUNCTION("FILTER(IMPORTRANGE(""https://docs.google.com/spreadsheets/d/1BJSV3WBYJGRhQ6zExamkszQ5VutGIcaQqmbD9ZTVXMQ/edit#gid=1251630045"",""articles_with_PRISMA_reasons!C2:C2113""), $A764=IMPORTRANGE(""https://docs.google.com/spreadsheets/d/1BJSV3WBYJGRhQ6zExamkszQ5"&amp;"VutGIcaQqmbD9ZTVXMQ/edit#gid=1251630045"",""articles_with_PRISMA_reasons!B2:B2113""))"),2021.0)</f>
        <v>2021</v>
      </c>
      <c r="D764" s="5" t="str">
        <f>IFERROR(__xludf.DUMMYFUNCTION("IFS(AND(
FILTER(IMPORTRANGE(""https://docs.google.com/spreadsheets/d/1BJSV3WBYJGRhQ6zExamkszQ5VutGIcaQqmbD9ZTVXMQ/edit#gid=1251630045"",""articles_with_PRISMA_reasons!Y2:Y2113""), $A764=IMPORTRANGE(""https://docs.google.com/spreadsheets/d/1BJSV3WBYJGRhQ6z"&amp;"ExamkszQ5VutGIcaQqmbD9ZTVXMQ/edit#gid=1251630045"",""articles_with_PRISMA_reasons!B2:B2113""))&gt;=2,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$A764=IMPORTRANGE(""https://docs.google.com/spreadsheets/d/1BJSV3WBYJGRhQ6zExamkszQ5VutGIcaQqmbD9ZTVXMQ/edit#gid=1251630045"",""articles_with_PRISMA_reasons!B2:B2113""))&lt;2),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$A764=IMPORTRANGE(""https://docs.google.com/spreadsheets/d/1BJSV3WBYJGRhQ6zExamkszQ5VutGIcaQqmbD9ZTVXMQ/edit#gid=1251630045"",""arti"&amp;"cles_with_PRISMA_reasons!B2:B2113""))&lt;2,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$A764=IMPORTRANGE(""https://docs.google.com"&amp;"/spreadsheets/d/1BJSV3WBYJGRhQ6zExamkszQ5VutGIcaQqmbD9ZTVXMQ/edit#gid=1251630045"",""articles_with_PRISMA_reasons!B2:B2113""))&gt;=2),
""Exclude""
)"),"Exclude")</f>
        <v>Exclude</v>
      </c>
      <c r="E764" s="5" t="str">
        <f>IFERROR(__xludf.DUMMYFUNCTION("IFS(
D764=""Exclude"",""Exclude"",
AND(
FILTER(IMPORTRANGE(""https://docs.google.com/spreadsheets/d/1qpEmbGH0JjaJbUdp21-y2cPbobDbMjr09BbtdKROZWc/edit#gid=1444865654"",""articles_with_PRISMA_reasons!W2:W2113""), $A764=IMPORTRANGE(""https://docs.google.com/"&amp;"spreadsheets/d/1qpEmbGH0JjaJbUdp21-y2cPbobDbMjr09BbtdKROZWc/edit#gid=1444865654"",""articles_with_PRISMA_reasons!B2:B2113""))&gt;=2,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$A764=IMPORTRANGE(""https://docs.google.com/spreadsheets/d/1qpEmbGH0JjaJbUdp21-y2cPbobDbMjr09BbtdKROZWc/edit#gid=1444865654"",""articles_with_PRISMA_reasons!B2:B2113""))&lt;2),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$A764=IMPORTRANGE(""https://docs.google.com/spreadsheets/d/1qpEmbGH0JjaJbUdp21-y2cPbobDbMjr09BbtdKRO"&amp;"ZWc/edit#gid=1444865654"",""articles_with_PRISMA_reasons!B2:B2113""))&lt;2,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$A764=IMPOR"&amp;"TRANGE(""https://docs.google.com/spreadsheets/d/1qpEmbGH0JjaJbUdp21-y2cPbobDbMjr09BbtdKROZWc/edit#gid=1444865654"",""articles_with_PRISMA_reasons!B2:B2113""))&gt;=2),
""Exclude""
)"),"Exclude")</f>
        <v>Exclude</v>
      </c>
      <c r="F764" s="5" t="str">
        <f>IFERROR(__xludf.DUMMYFUNCTION("IFS(
E764=""Exclude"",""Exclude"",
AND(
COUNTIF(
IMPORTRANGE(""https://docs.google.com/spreadsheets/d/1kGrh75X1cNR1D7_FcY9zMnHP8iPO4M5RCRjy6nZY0TY/edit#gid=0"",""Table 1: Study characteristics!B4:B171""),A764)&gt;0,
COUNTIF(Studies!$A$2:$A$85,FILTER(IMPORTRA"&amp;"NGE(""https://docs.google.com/spreadsheets/d/1kGrh75X1cNR1D7_FcY9zMnHP8iPO4M5RCRjy6nZY0TY/edit#gid=0"",""Table 1: Study characteristics!A4:A171""), $A764=IMPORTRANGE(""https://docs.google.com/spreadsheets/d/1kGrh75X1cNR1D7_FcY9zMnHP8iPO4M5RCRjy6nZY0TY/edi"&amp;"t#gid=0"",""Table 1: Study characteristics!B4:B171"")))&gt;0
),
""Include""
)"),"Exclude")</f>
        <v>Exclude</v>
      </c>
      <c r="G764" s="5" t="str">
        <f>IFERROR(__xludf.DUMMYFUNCTION("IFS(
D764=""Exclude"",
FILTER(IMPORTRANGE(""https://docs.google.com/spreadsheets/d/1BJSV3WBYJGRhQ6zExamkszQ5VutGIcaQqmbD9ZTVXMQ/edit#gid=1251630045"",""articles_with_PRISMA_reasons!AB2:AB2113""), $A764=IMPORTRANGE(""https://docs.google.com/spreadsheets/d/"&amp;"1BJSV3WBYJGRhQ6zExamkszQ5VutGIcaQqmbD9ZTVXMQ/edit#gid=1251630045"",""articles_with_PRISMA_reasons!B2:B2113"")),
E764=""Exclude"",
FILTER(IMPORTRANGE(""https://docs.google.com/spreadsheets/d/1qpEmbGH0JjaJbUdp21-y2cPbobDbMjr09BbtdKROZWc/edit#gid=1444865654"&amp;""",""articles_with_PRISMA_reasons!Z2:Z2113""), $A764=IMPORTRANGE(""https://docs.google.com/spreadsheets/d/1qpEmbGH0JjaJbUdp21-y2cPbobDbMjr09BbtdKROZWc/edit#gid=1444865654"",""articles_with_PRISMA_reasons!B2:B2113"")),F764
=""Include"",FILTER(IMPORTRANGE("&amp;"""https://docs.google.com/spreadsheets/d/1kGrh75X1cNR1D7_FcY9zMnHP8iPO4M5RCRjy6nZY0TY/edit#gid=0"",""Table 1: Study characteristics!A4:A171""), $A764=IMPORTRANGE(""https://docs.google.com/spreadsheets/d/1kGrh75X1cNR1D7_FcY9zMnHP8iPO4M5RCRjy6nZY0TY/edit#gi"&amp;"d=0"",""Table 1: Study characteristics!B4:B171""))
)"),"wrong population")</f>
        <v>wrong population</v>
      </c>
    </row>
    <row r="765">
      <c r="A765" s="4" t="str">
        <f>IFERROR(__xludf.DUMMYFUNCTION("""COMPUTED_VALUE"""),"Experience with simultaneous ventriculo-peritoneal shunt placement and myelomeningocele repair")</f>
        <v>Experience with simultaneous ventriculo-peritoneal shunt placement and myelomeningocele repair</v>
      </c>
      <c r="B765" s="5" t="str">
        <f>IFERROR(__xludf.DUMMYFUNCTION("LEFT(FILTER(IMPORTRANGE(""https://docs.google.com/spreadsheets/d/1BJSV3WBYJGRhQ6zExamkszQ5VutGIcaQqmbD9ZTVXMQ/edit#gid=1251630045"",""articles_with_PRISMA_reasons!K2:K2113""), $A765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$A765=IMPORTRANGE(""https://docs.google.com/spreadsheets/d/1BJSV3WBYJGRhQ6zExamkszQ5VutGIcaQqmbD9ZTVXMQ/edit#gid=1251630045"",""articles_with_PRISMA_reasons!B2:B2113"")))-1)"),"Chadduck")</f>
        <v>Chadduck</v>
      </c>
      <c r="C765" s="6">
        <f>IFERROR(__xludf.DUMMYFUNCTION("FILTER(IMPORTRANGE(""https://docs.google.com/spreadsheets/d/1BJSV3WBYJGRhQ6zExamkszQ5VutGIcaQqmbD9ZTVXMQ/edit#gid=1251630045"",""articles_with_PRISMA_reasons!C2:C2113""), $A765=IMPORTRANGE(""https://docs.google.com/spreadsheets/d/1BJSV3WBYJGRhQ6zExamkszQ5"&amp;"VutGIcaQqmbD9ZTVXMQ/edit#gid=1251630045"",""articles_with_PRISMA_reasons!B2:B2113""))"),1988.0)</f>
        <v>1988</v>
      </c>
      <c r="D765" s="5" t="str">
        <f>IFERROR(__xludf.DUMMYFUNCTION("IFS(AND(
FILTER(IMPORTRANGE(""https://docs.google.com/spreadsheets/d/1BJSV3WBYJGRhQ6zExamkszQ5VutGIcaQqmbD9ZTVXMQ/edit#gid=1251630045"",""articles_with_PRISMA_reasons!Y2:Y2113""), $A765=IMPORTRANGE(""https://docs.google.com/spreadsheets/d/1BJSV3WBYJGRhQ6z"&amp;"ExamkszQ5VutGIcaQqmbD9ZTVXMQ/edit#gid=1251630045"",""articles_with_PRISMA_reasons!B2:B2113""))&gt;=2,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$A765=IMPORTRANGE(""https://docs.google.com/spreadsheets/d/1BJSV3WBYJGRhQ6zExamkszQ5VutGIcaQqmbD9ZTVXMQ/edit#gid=1251630045"",""articles_with_PRISMA_reasons!B2:B2113""))&lt;2),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$A765=IMPORTRANGE(""https://docs.google.com/spreadsheets/d/1BJSV3WBYJGRhQ6zExamkszQ5VutGIcaQqmbD9ZTVXMQ/edit#gid=1251630045"",""arti"&amp;"cles_with_PRISMA_reasons!B2:B2113""))&lt;2,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$A765=IMPORTRANGE(""https://docs.google.com"&amp;"/spreadsheets/d/1BJSV3WBYJGRhQ6zExamkszQ5VutGIcaQqmbD9ZTVXMQ/edit#gid=1251630045"",""articles_with_PRISMA_reasons!B2:B2113""))&gt;=2),
""Exclude""
)"),"Include")</f>
        <v>Include</v>
      </c>
      <c r="E765" s="5" t="str">
        <f>IFERROR(__xludf.DUMMYFUNCTION("IFS(
D765=""Exclude"",""Exclude"",
AND(
FILTER(IMPORTRANGE(""https://docs.google.com/spreadsheets/d/1qpEmbGH0JjaJbUdp21-y2cPbobDbMjr09BbtdKROZWc/edit#gid=1444865654"",""articles_with_PRISMA_reasons!W2:W2113""), $A765=IMPORTRANGE(""https://docs.google.com/"&amp;"spreadsheets/d/1qpEmbGH0JjaJbUdp21-y2cPbobDbMjr09BbtdKROZWc/edit#gid=1444865654"",""articles_with_PRISMA_reasons!B2:B2113""))&gt;=2,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$A765=IMPORTRANGE(""https://docs.google.com/spreadsheets/d/1qpEmbGH0JjaJbUdp21-y2cPbobDbMjr09BbtdKROZWc/edit#gid=1444865654"",""articles_with_PRISMA_reasons!B2:B2113""))&lt;2),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$A765=IMPORTRANGE(""https://docs.google.com/spreadsheets/d/1qpEmbGH0JjaJbUdp21-y2cPbobDbMjr09BbtdKRO"&amp;"ZWc/edit#gid=1444865654"",""articles_with_PRISMA_reasons!B2:B2113""))&lt;2,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$A765=IMPOR"&amp;"TRANGE(""https://docs.google.com/spreadsheets/d/1qpEmbGH0JjaJbUdp21-y2cPbobDbMjr09BbtdKROZWc/edit#gid=1444865654"",""articles_with_PRISMA_reasons!B2:B2113""))&gt;=2),
""Exclude""
)"),"Include")</f>
        <v>Include</v>
      </c>
      <c r="F765" s="2" t="s">
        <v>8</v>
      </c>
      <c r="G765" s="2" t="s">
        <v>16</v>
      </c>
    </row>
    <row r="766">
      <c r="A766" s="4" t="str">
        <f>IFERROR(__xludf.DUMMYFUNCTION("""COMPUTED_VALUE"""),"Experience with surgical decompression of the Arnold-Chiari malformation in young infants with myelomeningocele")</f>
        <v>Experience with surgical decompression of the Arnold-Chiari malformation in young infants with myelomeningocele</v>
      </c>
      <c r="B766" s="5" t="str">
        <f>IFERROR(__xludf.DUMMYFUNCTION("LEFT(FILTER(IMPORTRANGE(""https://docs.google.com/spreadsheets/d/1BJSV3WBYJGRhQ6zExamkszQ5VutGIcaQqmbD9ZTVXMQ/edit#gid=1251630045"",""articles_with_PRISMA_reasons!K2:K2113""), $A766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$A766=IMPORTRANGE(""https://docs.google.com/spreadsheets/d/1BJSV3WBYJGRhQ6zExamkszQ5VutGIcaQqmbD9ZTVXMQ/edit#gid=1251630045"",""articles_with_PRISMA_reasons!B2:B2113"")))-1)"),"Park")</f>
        <v>Park</v>
      </c>
      <c r="C766" s="6">
        <f>IFERROR(__xludf.DUMMYFUNCTION("FILTER(IMPORTRANGE(""https://docs.google.com/spreadsheets/d/1BJSV3WBYJGRhQ6zExamkszQ5VutGIcaQqmbD9ZTVXMQ/edit#gid=1251630045"",""articles_with_PRISMA_reasons!C2:C2113""), $A766=IMPORTRANGE(""https://docs.google.com/spreadsheets/d/1BJSV3WBYJGRhQ6zExamkszQ5"&amp;"VutGIcaQqmbD9ZTVXMQ/edit#gid=1251630045"",""articles_with_PRISMA_reasons!B2:B2113""))"),1983.0)</f>
        <v>1983</v>
      </c>
      <c r="D766" s="5" t="str">
        <f>IFERROR(__xludf.DUMMYFUNCTION("IFS(AND(
FILTER(IMPORTRANGE(""https://docs.google.com/spreadsheets/d/1BJSV3WBYJGRhQ6zExamkszQ5VutGIcaQqmbD9ZTVXMQ/edit#gid=1251630045"",""articles_with_PRISMA_reasons!Y2:Y2113""), $A766=IMPORTRANGE(""https://docs.google.com/spreadsheets/d/1BJSV3WBYJGRhQ6z"&amp;"ExamkszQ5VutGIcaQqmbD9ZTVXMQ/edit#gid=1251630045"",""articles_with_PRISMA_reasons!B2:B2113""))&gt;=2,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$A766=IMPORTRANGE(""https://docs.google.com/spreadsheets/d/1BJSV3WBYJGRhQ6zExamkszQ5VutGIcaQqmbD9ZTVXMQ/edit#gid=1251630045"",""articles_with_PRISMA_reasons!B2:B2113""))&lt;2),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$A766=IMPORTRANGE(""https://docs.google.com/spreadsheets/d/1BJSV3WBYJGRhQ6zExamkszQ5VutGIcaQqmbD9ZTVXMQ/edit#gid=1251630045"",""arti"&amp;"cles_with_PRISMA_reasons!B2:B2113""))&lt;2,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$A766=IMPORTRANGE(""https://docs.google.com"&amp;"/spreadsheets/d/1BJSV3WBYJGRhQ6zExamkszQ5VutGIcaQqmbD9ZTVXMQ/edit#gid=1251630045"",""articles_with_PRISMA_reasons!B2:B2113""))&gt;=2),
""Exclude""
)"),"Exclude")</f>
        <v>Exclude</v>
      </c>
      <c r="E766" s="5" t="str">
        <f>IFERROR(__xludf.DUMMYFUNCTION("IFS(
D766=""Exclude"",""Exclude"",
AND(
FILTER(IMPORTRANGE(""https://docs.google.com/spreadsheets/d/1qpEmbGH0JjaJbUdp21-y2cPbobDbMjr09BbtdKROZWc/edit#gid=1444865654"",""articles_with_PRISMA_reasons!W2:W2113""), $A766=IMPORTRANGE(""https://docs.google.com/"&amp;"spreadsheets/d/1qpEmbGH0JjaJbUdp21-y2cPbobDbMjr09BbtdKROZWc/edit#gid=1444865654"",""articles_with_PRISMA_reasons!B2:B2113""))&gt;=2,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$A766=IMPORTRANGE(""https://docs.google.com/spreadsheets/d/1qpEmbGH0JjaJbUdp21-y2cPbobDbMjr09BbtdKROZWc/edit#gid=1444865654"",""articles_with_PRISMA_reasons!B2:B2113""))&lt;2),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$A766=IMPORTRANGE(""https://docs.google.com/spreadsheets/d/1qpEmbGH0JjaJbUdp21-y2cPbobDbMjr09BbtdKRO"&amp;"ZWc/edit#gid=1444865654"",""articles_with_PRISMA_reasons!B2:B2113""))&lt;2,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$A766=IMPOR"&amp;"TRANGE(""https://docs.google.com/spreadsheets/d/1qpEmbGH0JjaJbUdp21-y2cPbobDbMjr09BbtdKROZWc/edit#gid=1444865654"",""articles_with_PRISMA_reasons!B2:B2113""))&gt;=2),
""Exclude""
)"),"Exclude")</f>
        <v>Exclude</v>
      </c>
      <c r="F766" s="5" t="str">
        <f>IFERROR(__xludf.DUMMYFUNCTION("IFS(
E766=""Exclude"",""Exclude"",
AND(
COUNTIF(
IMPORTRANGE(""https://docs.google.com/spreadsheets/d/1kGrh75X1cNR1D7_FcY9zMnHP8iPO4M5RCRjy6nZY0TY/edit#gid=0"",""Table 1: Study characteristics!B4:B171""),A766)&gt;0,
COUNTIF(Studies!$A$2:$A$85,FILTER(IMPORTRA"&amp;"NGE(""https://docs.google.com/spreadsheets/d/1kGrh75X1cNR1D7_FcY9zMnHP8iPO4M5RCRjy6nZY0TY/edit#gid=0"",""Table 1: Study characteristics!A4:A171""), $A766=IMPORTRANGE(""https://docs.google.com/spreadsheets/d/1kGrh75X1cNR1D7_FcY9zMnHP8iPO4M5RCRjy6nZY0TY/edi"&amp;"t#gid=0"",""Table 1: Study characteristics!B4:B171"")))&gt;0
),
""Include""
)"),"Exclude")</f>
        <v>Exclude</v>
      </c>
      <c r="G766" s="5" t="str">
        <f>IFERROR(__xludf.DUMMYFUNCTION("IFS(
D766=""Exclude"",
FILTER(IMPORTRANGE(""https://docs.google.com/spreadsheets/d/1BJSV3WBYJGRhQ6zExamkszQ5VutGIcaQqmbD9ZTVXMQ/edit#gid=1251630045"",""articles_with_PRISMA_reasons!AB2:AB2113""), $A766=IMPORTRANGE(""https://docs.google.com/spreadsheets/d/"&amp;"1BJSV3WBYJGRhQ6zExamkszQ5VutGIcaQqmbD9ZTVXMQ/edit#gid=1251630045"",""articles_with_PRISMA_reasons!B2:B2113"")),
E766=""Exclude"",
FILTER(IMPORTRANGE(""https://docs.google.com/spreadsheets/d/1qpEmbGH0JjaJbUdp21-y2cPbobDbMjr09BbtdKROZWc/edit#gid=1444865654"&amp;""",""articles_with_PRISMA_reasons!Z2:Z2113""), $A766=IMPORTRANGE(""https://docs.google.com/spreadsheets/d/1qpEmbGH0JjaJbUdp21-y2cPbobDbMjr09BbtdKROZWc/edit#gid=1444865654"",""articles_with_PRISMA_reasons!B2:B2113"")),F766
=""Include"",FILTER(IMPORTRANGE("&amp;"""https://docs.google.com/spreadsheets/d/1kGrh75X1cNR1D7_FcY9zMnHP8iPO4M5RCRjy6nZY0TY/edit#gid=0"",""Table 1: Study characteristics!A4:A171""), $A766=IMPORTRANGE(""https://docs.google.com/spreadsheets/d/1kGrh75X1cNR1D7_FcY9zMnHP8iPO4M5RCRjy6nZY0TY/edit#gi"&amp;"d=0"",""Table 1: Study characteristics!B4:B171""))
)"),"wrong population")</f>
        <v>wrong population</v>
      </c>
    </row>
    <row r="767">
      <c r="A767" s="4" t="str">
        <f>IFERROR(__xludf.DUMMYFUNCTION("""COMPUTED_VALUE"""),"Exploring hand dexterity in children with myelomeningocele")</f>
        <v>Exploring hand dexterity in children with myelomeningocele</v>
      </c>
      <c r="B767" s="5" t="str">
        <f>IFERROR(__xludf.DUMMYFUNCTION("LEFT(FILTER(IMPORTRANGE(""https://docs.google.com/spreadsheets/d/1BJSV3WBYJGRhQ6zExamkszQ5VutGIcaQqmbD9ZTVXMQ/edit#gid=1251630045"",""articles_with_PRISMA_reasons!K2:K2113""), $A767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$A767=IMPORTRANGE(""https://docs.google.com/spreadsheets/d/1BJSV3WBYJGRhQ6zExamkszQ5VutGIcaQqmbD9ZTVXMQ/edit#gid=1251630045"",""articles_with_PRISMA_reasons!B2:B2113"")))-1)"),"Steinhart")</f>
        <v>Steinhart</v>
      </c>
      <c r="C767" s="6">
        <f>IFERROR(__xludf.DUMMYFUNCTION("FILTER(IMPORTRANGE(""https://docs.google.com/spreadsheets/d/1BJSV3WBYJGRhQ6zExamkszQ5VutGIcaQqmbD9ZTVXMQ/edit#gid=1251630045"",""articles_with_PRISMA_reasons!C2:C2113""), $A767=IMPORTRANGE(""https://docs.google.com/spreadsheets/d/1BJSV3WBYJGRhQ6zExamkszQ5"&amp;"VutGIcaQqmbD9ZTVXMQ/edit#gid=1251630045"",""articles_with_PRISMA_reasons!B2:B2113""))"),2021.0)</f>
        <v>2021</v>
      </c>
      <c r="D767" s="5" t="str">
        <f>IFERROR(__xludf.DUMMYFUNCTION("IFS(AND(
FILTER(IMPORTRANGE(""https://docs.google.com/spreadsheets/d/1BJSV3WBYJGRhQ6zExamkszQ5VutGIcaQqmbD9ZTVXMQ/edit#gid=1251630045"",""articles_with_PRISMA_reasons!Y2:Y2113""), $A767=IMPORTRANGE(""https://docs.google.com/spreadsheets/d/1BJSV3WBYJGRhQ6z"&amp;"ExamkszQ5VutGIcaQqmbD9ZTVXMQ/edit#gid=1251630045"",""articles_with_PRISMA_reasons!B2:B2113""))&gt;=2,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$A767=IMPORTRANGE(""https://docs.google.com/spreadsheets/d/1BJSV3WBYJGRhQ6zExamkszQ5VutGIcaQqmbD9ZTVXMQ/edit#gid=1251630045"",""articles_with_PRISMA_reasons!B2:B2113""))&lt;2),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$A767=IMPORTRANGE(""https://docs.google.com/spreadsheets/d/1BJSV3WBYJGRhQ6zExamkszQ5VutGIcaQqmbD9ZTVXMQ/edit#gid=1251630045"",""arti"&amp;"cles_with_PRISMA_reasons!B2:B2113""))&lt;2,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$A767=IMPORTRANGE(""https://docs.google.com"&amp;"/spreadsheets/d/1BJSV3WBYJGRhQ6zExamkszQ5VutGIcaQqmbD9ZTVXMQ/edit#gid=1251630045"",""articles_with_PRISMA_reasons!B2:B2113""))&gt;=2),
""Exclude""
)"),"Exclude")</f>
        <v>Exclude</v>
      </c>
      <c r="E767" s="5" t="str">
        <f>IFERROR(__xludf.DUMMYFUNCTION("IFS(
D767=""Exclude"",""Exclude"",
AND(
FILTER(IMPORTRANGE(""https://docs.google.com/spreadsheets/d/1qpEmbGH0JjaJbUdp21-y2cPbobDbMjr09BbtdKROZWc/edit#gid=1444865654"",""articles_with_PRISMA_reasons!W2:W2113""), $A767=IMPORTRANGE(""https://docs.google.com/"&amp;"spreadsheets/d/1qpEmbGH0JjaJbUdp21-y2cPbobDbMjr09BbtdKROZWc/edit#gid=1444865654"",""articles_with_PRISMA_reasons!B2:B2113""))&gt;=2,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$A767=IMPORTRANGE(""https://docs.google.com/spreadsheets/d/1qpEmbGH0JjaJbUdp21-y2cPbobDbMjr09BbtdKROZWc/edit#gid=1444865654"",""articles_with_PRISMA_reasons!B2:B2113""))&lt;2),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$A767=IMPORTRANGE(""https://docs.google.com/spreadsheets/d/1qpEmbGH0JjaJbUdp21-y2cPbobDbMjr09BbtdKRO"&amp;"ZWc/edit#gid=1444865654"",""articles_with_PRISMA_reasons!B2:B2113""))&lt;2,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$A767=IMPOR"&amp;"TRANGE(""https://docs.google.com/spreadsheets/d/1qpEmbGH0JjaJbUdp21-y2cPbobDbMjr09BbtdKROZWc/edit#gid=1444865654"",""articles_with_PRISMA_reasons!B2:B2113""))&gt;=2),
""Exclude""
)"),"Exclude")</f>
        <v>Exclude</v>
      </c>
      <c r="F767" s="5" t="str">
        <f>IFERROR(__xludf.DUMMYFUNCTION("IFS(
E767=""Exclude"",""Exclude"",
AND(
COUNTIF(
IMPORTRANGE(""https://docs.google.com/spreadsheets/d/1kGrh75X1cNR1D7_FcY9zMnHP8iPO4M5RCRjy6nZY0TY/edit#gid=0"",""Table 1: Study characteristics!B4:B171""),A767)&gt;0,
COUNTIF(Studies!$A$2:$A$85,FILTER(IMPORTRA"&amp;"NGE(""https://docs.google.com/spreadsheets/d/1kGrh75X1cNR1D7_FcY9zMnHP8iPO4M5RCRjy6nZY0TY/edit#gid=0"",""Table 1: Study characteristics!A4:A171""), $A767=IMPORTRANGE(""https://docs.google.com/spreadsheets/d/1kGrh75X1cNR1D7_FcY9zMnHP8iPO4M5RCRjy6nZY0TY/edi"&amp;"t#gid=0"",""Table 1: Study characteristics!B4:B171"")))&gt;0
),
""Include""
)"),"Exclude")</f>
        <v>Exclude</v>
      </c>
      <c r="G767" s="5" t="str">
        <f>IFERROR(__xludf.DUMMYFUNCTION("IFS(
D767=""Exclude"",
FILTER(IMPORTRANGE(""https://docs.google.com/spreadsheets/d/1BJSV3WBYJGRhQ6zExamkszQ5VutGIcaQqmbD9ZTVXMQ/edit#gid=1251630045"",""articles_with_PRISMA_reasons!AB2:AB2113""), $A767=IMPORTRANGE(""https://docs.google.com/spreadsheets/d/"&amp;"1BJSV3WBYJGRhQ6zExamkszQ5VutGIcaQqmbD9ZTVXMQ/edit#gid=1251630045"",""articles_with_PRISMA_reasons!B2:B2113"")),
E767=""Exclude"",
FILTER(IMPORTRANGE(""https://docs.google.com/spreadsheets/d/1qpEmbGH0JjaJbUdp21-y2cPbobDbMjr09BbtdKROZWc/edit#gid=1444865654"&amp;""",""articles_with_PRISMA_reasons!Z2:Z2113""), $A767=IMPORTRANGE(""https://docs.google.com/spreadsheets/d/1qpEmbGH0JjaJbUdp21-y2cPbobDbMjr09BbtdKROZWc/edit#gid=1444865654"",""articles_with_PRISMA_reasons!B2:B2113"")),F767
=""Include"",FILTER(IMPORTRANGE("&amp;"""https://docs.google.com/spreadsheets/d/1kGrh75X1cNR1D7_FcY9zMnHP8iPO4M5RCRjy6nZY0TY/edit#gid=0"",""Table 1: Study characteristics!A4:A171""), $A767=IMPORTRANGE(""https://docs.google.com/spreadsheets/d/1kGrh75X1cNR1D7_FcY9zMnHP8iPO4M5RCRjy6nZY0TY/edit#gi"&amp;"d=0"",""Table 1: Study characteristics!B4:B171""))
)"),"wrong population")</f>
        <v>wrong population</v>
      </c>
    </row>
    <row r="768">
      <c r="A768" s="4" t="str">
        <f>IFERROR(__xludf.DUMMYFUNCTION("""COMPUTED_VALUE"""),"Extra-arachnoidal cranio-cervical decompression for syringomyelia associated with Chiari I malformation in adults: Technique assessment")</f>
        <v>Extra-arachnoidal cranio-cervical decompression for syringomyelia associated with Chiari I malformation in adults: Technique assessment</v>
      </c>
      <c r="B768" s="5" t="str">
        <f>IFERROR(__xludf.DUMMYFUNCTION("LEFT(FILTER(IMPORTRANGE(""https://docs.google.com/spreadsheets/d/1BJSV3WBYJGRhQ6zExamkszQ5VutGIcaQqmbD9ZTVXMQ/edit#gid=1251630045"",""articles_with_PRISMA_reasons!K2:K2113""), $A768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$A768=IMPORTRANGE(""https://docs.google.com/spreadsheets/d/1BJSV3WBYJGRhQ6zExamkszQ5VutGIcaQqmbD9ZTVXMQ/edit#gid=1251630045"",""articles_with_PRISMA_reasons!B2:B2113"")))-1)"),"Benedetto")</f>
        <v>Benedetto</v>
      </c>
      <c r="C768" s="6">
        <f>IFERROR(__xludf.DUMMYFUNCTION("FILTER(IMPORTRANGE(""https://docs.google.com/spreadsheets/d/1BJSV3WBYJGRhQ6zExamkszQ5VutGIcaQqmbD9ZTVXMQ/edit#gid=1251630045"",""articles_with_PRISMA_reasons!C2:C2113""), $A768=IMPORTRANGE(""https://docs.google.com/spreadsheets/d/1BJSV3WBYJGRhQ6zExamkszQ5"&amp;"VutGIcaQqmbD9ZTVXMQ/edit#gid=1251630045"",""articles_with_PRISMA_reasons!B2:B2113""))"),2007.0)</f>
        <v>2007</v>
      </c>
      <c r="D768" s="5" t="str">
        <f>IFERROR(__xludf.DUMMYFUNCTION("IFS(AND(
FILTER(IMPORTRANGE(""https://docs.google.com/spreadsheets/d/1BJSV3WBYJGRhQ6zExamkszQ5VutGIcaQqmbD9ZTVXMQ/edit#gid=1251630045"",""articles_with_PRISMA_reasons!Y2:Y2113""), $A768=IMPORTRANGE(""https://docs.google.com/spreadsheets/d/1BJSV3WBYJGRhQ6z"&amp;"ExamkszQ5VutGIcaQqmbD9ZTVXMQ/edit#gid=1251630045"",""articles_with_PRISMA_reasons!B2:B2113""))&gt;=2,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$A768=IMPORTRANGE(""https://docs.google.com/spreadsheets/d/1BJSV3WBYJGRhQ6zExamkszQ5VutGIcaQqmbD9ZTVXMQ/edit#gid=1251630045"",""articles_with_PRISMA_reasons!B2:B2113""))&lt;2),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$A768=IMPORTRANGE(""https://docs.google.com/spreadsheets/d/1BJSV3WBYJGRhQ6zExamkszQ5VutGIcaQqmbD9ZTVXMQ/edit#gid=1251630045"",""arti"&amp;"cles_with_PRISMA_reasons!B2:B2113""))&lt;2,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$A768=IMPORTRANGE(""https://docs.google.com"&amp;"/spreadsheets/d/1BJSV3WBYJGRhQ6zExamkszQ5VutGIcaQqmbD9ZTVXMQ/edit#gid=1251630045"",""articles_with_PRISMA_reasons!B2:B2113""))&gt;=2),
""Exclude""
)"),"Exclude")</f>
        <v>Exclude</v>
      </c>
      <c r="E768" s="5" t="str">
        <f>IFERROR(__xludf.DUMMYFUNCTION("IFS(
D768=""Exclude"",""Exclude"",
AND(
FILTER(IMPORTRANGE(""https://docs.google.com/spreadsheets/d/1qpEmbGH0JjaJbUdp21-y2cPbobDbMjr09BbtdKROZWc/edit#gid=1444865654"",""articles_with_PRISMA_reasons!W2:W2113""), $A768=IMPORTRANGE(""https://docs.google.com/"&amp;"spreadsheets/d/1qpEmbGH0JjaJbUdp21-y2cPbobDbMjr09BbtdKROZWc/edit#gid=1444865654"",""articles_with_PRISMA_reasons!B2:B2113""))&gt;=2,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$A768=IMPORTRANGE(""https://docs.google.com/spreadsheets/d/1qpEmbGH0JjaJbUdp21-y2cPbobDbMjr09BbtdKROZWc/edit#gid=1444865654"",""articles_with_PRISMA_reasons!B2:B2113""))&lt;2),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$A768=IMPORTRANGE(""https://docs.google.com/spreadsheets/d/1qpEmbGH0JjaJbUdp21-y2cPbobDbMjr09BbtdKRO"&amp;"ZWc/edit#gid=1444865654"",""articles_with_PRISMA_reasons!B2:B2113""))&lt;2,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$A768=IMPOR"&amp;"TRANGE(""https://docs.google.com/spreadsheets/d/1qpEmbGH0JjaJbUdp21-y2cPbobDbMjr09BbtdKROZWc/edit#gid=1444865654"",""articles_with_PRISMA_reasons!B2:B2113""))&gt;=2),
""Exclude""
)"),"Exclude")</f>
        <v>Exclude</v>
      </c>
      <c r="F768" s="5" t="str">
        <f>IFERROR(__xludf.DUMMYFUNCTION("IFS(
E768=""Exclude"",""Exclude"",
AND(
COUNTIF(
IMPORTRANGE(""https://docs.google.com/spreadsheets/d/1kGrh75X1cNR1D7_FcY9zMnHP8iPO4M5RCRjy6nZY0TY/edit#gid=0"",""Table 1: Study characteristics!B4:B171""),A768)&gt;0,
COUNTIF(Studies!$A$2:$A$85,FILTER(IMPORTRA"&amp;"NGE(""https://docs.google.com/spreadsheets/d/1kGrh75X1cNR1D7_FcY9zMnHP8iPO4M5RCRjy6nZY0TY/edit#gid=0"",""Table 1: Study characteristics!A4:A171""), $A768=IMPORTRANGE(""https://docs.google.com/spreadsheets/d/1kGrh75X1cNR1D7_FcY9zMnHP8iPO4M5RCRjy6nZY0TY/edi"&amp;"t#gid=0"",""Table 1: Study characteristics!B4:B171"")))&gt;0
),
""Include""
)"),"Exclude")</f>
        <v>Exclude</v>
      </c>
      <c r="G768" s="5" t="str">
        <f>IFERROR(__xludf.DUMMYFUNCTION("IFS(
D768=""Exclude"",
FILTER(IMPORTRANGE(""https://docs.google.com/spreadsheets/d/1BJSV3WBYJGRhQ6zExamkszQ5VutGIcaQqmbD9ZTVXMQ/edit#gid=1251630045"",""articles_with_PRISMA_reasons!AB2:AB2113""), $A768=IMPORTRANGE(""https://docs.google.com/spreadsheets/d/"&amp;"1BJSV3WBYJGRhQ6zExamkszQ5VutGIcaQqmbD9ZTVXMQ/edit#gid=1251630045"",""articles_with_PRISMA_reasons!B2:B2113"")),
E768=""Exclude"",
FILTER(IMPORTRANGE(""https://docs.google.com/spreadsheets/d/1qpEmbGH0JjaJbUdp21-y2cPbobDbMjr09BbtdKROZWc/edit#gid=1444865654"&amp;""",""articles_with_PRISMA_reasons!Z2:Z2113""), $A768=IMPORTRANGE(""https://docs.google.com/spreadsheets/d/1qpEmbGH0JjaJbUdp21-y2cPbobDbMjr09BbtdKROZWc/edit#gid=1444865654"",""articles_with_PRISMA_reasons!B2:B2113"")),F768
=""Include"",FILTER(IMPORTRANGE("&amp;"""https://docs.google.com/spreadsheets/d/1kGrh75X1cNR1D7_FcY9zMnHP8iPO4M5RCRjy6nZY0TY/edit#gid=0"",""Table 1: Study characteristics!A4:A171""), $A768=IMPORTRANGE(""https://docs.google.com/spreadsheets/d/1kGrh75X1cNR1D7_FcY9zMnHP8iPO4M5RCRjy6nZY0TY/edit#gi"&amp;"d=0"",""Table 1: Study characteristics!B4:B171""))
)"),"wrong population")</f>
        <v>wrong population</v>
      </c>
    </row>
    <row r="769">
      <c r="A769" s="4" t="str">
        <f>IFERROR(__xludf.DUMMYFUNCTION("""COMPUTED_VALUE"""),"Extra-articular arthrodesis of the subtalar joint: a clinical study and review")</f>
        <v>Extra-articular arthrodesis of the subtalar joint: a clinical study and review</v>
      </c>
      <c r="B769" s="5" t="str">
        <f>IFERROR(__xludf.DUMMYFUNCTION("LEFT(FILTER(IMPORTRANGE(""https://docs.google.com/spreadsheets/d/1BJSV3WBYJGRhQ6zExamkszQ5VutGIcaQqmbD9ZTVXMQ/edit#gid=1251630045"",""articles_with_PRISMA_reasons!K2:K2113""), $A769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$A769=IMPORTRANGE(""https://docs.google.com/spreadsheets/d/1BJSV3WBYJGRhQ6zExamkszQ5VutGIcaQqmbD9ZTVXMQ/edit#gid=1251630045"",""articles_with_PRISMA_reasons!B2:B2113"")))-1)"),"Bratberg")</f>
        <v>Bratberg</v>
      </c>
      <c r="C769" s="6">
        <f>IFERROR(__xludf.DUMMYFUNCTION("FILTER(IMPORTRANGE(""https://docs.google.com/spreadsheets/d/1BJSV3WBYJGRhQ6zExamkszQ5VutGIcaQqmbD9ZTVXMQ/edit#gid=1251630045"",""articles_with_PRISMA_reasons!C2:C2113""), $A769=IMPORTRANGE(""https://docs.google.com/spreadsheets/d/1BJSV3WBYJGRhQ6zExamkszQ5"&amp;"VutGIcaQqmbD9ZTVXMQ/edit#gid=1251630045"",""articles_with_PRISMA_reasons!B2:B2113""))"),1977.0)</f>
        <v>1977</v>
      </c>
      <c r="D769" s="5" t="str">
        <f>IFERROR(__xludf.DUMMYFUNCTION("IFS(AND(
FILTER(IMPORTRANGE(""https://docs.google.com/spreadsheets/d/1BJSV3WBYJGRhQ6zExamkszQ5VutGIcaQqmbD9ZTVXMQ/edit#gid=1251630045"",""articles_with_PRISMA_reasons!Y2:Y2113""), $A769=IMPORTRANGE(""https://docs.google.com/spreadsheets/d/1BJSV3WBYJGRhQ6z"&amp;"ExamkszQ5VutGIcaQqmbD9ZTVXMQ/edit#gid=1251630045"",""articles_with_PRISMA_reasons!B2:B2113""))&gt;=2,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$A769=IMPORTRANGE(""https://docs.google.com/spreadsheets/d/1BJSV3WBYJGRhQ6zExamkszQ5VutGIcaQqmbD9ZTVXMQ/edit#gid=1251630045"",""articles_with_PRISMA_reasons!B2:B2113""))&lt;2),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$A769=IMPORTRANGE(""https://docs.google.com/spreadsheets/d/1BJSV3WBYJGRhQ6zExamkszQ5VutGIcaQqmbD9ZTVXMQ/edit#gid=1251630045"",""arti"&amp;"cles_with_PRISMA_reasons!B2:B2113""))&lt;2,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$A769=IMPORTRANGE(""https://docs.google.com"&amp;"/spreadsheets/d/1BJSV3WBYJGRhQ6zExamkszQ5VutGIcaQqmbD9ZTVXMQ/edit#gid=1251630045"",""articles_with_PRISMA_reasons!B2:B2113""))&gt;=2),
""Exclude""
)"),"Exclude")</f>
        <v>Exclude</v>
      </c>
      <c r="E769" s="5" t="str">
        <f>IFERROR(__xludf.DUMMYFUNCTION("IFS(
D769=""Exclude"",""Exclude"",
AND(
FILTER(IMPORTRANGE(""https://docs.google.com/spreadsheets/d/1qpEmbGH0JjaJbUdp21-y2cPbobDbMjr09BbtdKROZWc/edit#gid=1444865654"",""articles_with_PRISMA_reasons!W2:W2113""), $A769=IMPORTRANGE(""https://docs.google.com/"&amp;"spreadsheets/d/1qpEmbGH0JjaJbUdp21-y2cPbobDbMjr09BbtdKROZWc/edit#gid=1444865654"",""articles_with_PRISMA_reasons!B2:B2113""))&gt;=2,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$A769=IMPORTRANGE(""https://docs.google.com/spreadsheets/d/1qpEmbGH0JjaJbUdp21-y2cPbobDbMjr09BbtdKROZWc/edit#gid=1444865654"",""articles_with_PRISMA_reasons!B2:B2113""))&lt;2),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$A769=IMPORTRANGE(""https://docs.google.com/spreadsheets/d/1qpEmbGH0JjaJbUdp21-y2cPbobDbMjr09BbtdKRO"&amp;"ZWc/edit#gid=1444865654"",""articles_with_PRISMA_reasons!B2:B2113""))&lt;2,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$A769=IMPOR"&amp;"TRANGE(""https://docs.google.com/spreadsheets/d/1qpEmbGH0JjaJbUdp21-y2cPbobDbMjr09BbtdKROZWc/edit#gid=1444865654"",""articles_with_PRISMA_reasons!B2:B2113""))&gt;=2),
""Exclude""
)"),"Exclude")</f>
        <v>Exclude</v>
      </c>
      <c r="F769" s="5" t="str">
        <f>IFERROR(__xludf.DUMMYFUNCTION("IFS(
E769=""Exclude"",""Exclude"",
AND(
COUNTIF(
IMPORTRANGE(""https://docs.google.com/spreadsheets/d/1kGrh75X1cNR1D7_FcY9zMnHP8iPO4M5RCRjy6nZY0TY/edit#gid=0"",""Table 1: Study characteristics!B4:B171""),A769)&gt;0,
COUNTIF(Studies!$A$2:$A$85,FILTER(IMPORTRA"&amp;"NGE(""https://docs.google.com/spreadsheets/d/1kGrh75X1cNR1D7_FcY9zMnHP8iPO4M5RCRjy6nZY0TY/edit#gid=0"",""Table 1: Study characteristics!A4:A171""), $A769=IMPORTRANGE(""https://docs.google.com/spreadsheets/d/1kGrh75X1cNR1D7_FcY9zMnHP8iPO4M5RCRjy6nZY0TY/edi"&amp;"t#gid=0"",""Table 1: Study characteristics!B4:B171"")))&gt;0
),
""Include""
)"),"Exclude")</f>
        <v>Exclude</v>
      </c>
      <c r="G769" s="5" t="str">
        <f>IFERROR(__xludf.DUMMYFUNCTION("IFS(
D769=""Exclude"",
FILTER(IMPORTRANGE(""https://docs.google.com/spreadsheets/d/1BJSV3WBYJGRhQ6zExamkszQ5VutGIcaQqmbD9ZTVXMQ/edit#gid=1251630045"",""articles_with_PRISMA_reasons!AB2:AB2113""), $A769=IMPORTRANGE(""https://docs.google.com/spreadsheets/d/"&amp;"1BJSV3WBYJGRhQ6zExamkszQ5VutGIcaQqmbD9ZTVXMQ/edit#gid=1251630045"",""articles_with_PRISMA_reasons!B2:B2113"")),
E769=""Exclude"",
FILTER(IMPORTRANGE(""https://docs.google.com/spreadsheets/d/1qpEmbGH0JjaJbUdp21-y2cPbobDbMjr09BbtdKROZWc/edit#gid=1444865654"&amp;""",""articles_with_PRISMA_reasons!Z2:Z2113""), $A769=IMPORTRANGE(""https://docs.google.com/spreadsheets/d/1qpEmbGH0JjaJbUdp21-y2cPbobDbMjr09BbtdKROZWc/edit#gid=1444865654"",""articles_with_PRISMA_reasons!B2:B2113"")),F769
=""Include"",FILTER(IMPORTRANGE("&amp;"""https://docs.google.com/spreadsheets/d/1kGrh75X1cNR1D7_FcY9zMnHP8iPO4M5RCRjy6nZY0TY/edit#gid=0"",""Table 1: Study characteristics!A4:A171""), $A769=IMPORTRANGE(""https://docs.google.com/spreadsheets/d/1kGrh75X1cNR1D7_FcY9zMnHP8iPO4M5RCRjy6nZY0TY/edit#gi"&amp;"d=0"",""Table 1: Study characteristics!B4:B171""))
)"),"wrong study design")</f>
        <v>wrong study design</v>
      </c>
    </row>
    <row r="770">
      <c r="A770" s="4" t="str">
        <f>IFERROR(__xludf.DUMMYFUNCTION("""COMPUTED_VALUE"""),"Extracranial CSF shunting for infantile non tumoral hydrocephalus--a retrospective analysis of 360 cases")</f>
        <v>Extracranial CSF shunting for infantile non tumoral hydrocephalus--a retrospective analysis of 360 cases</v>
      </c>
      <c r="B770" s="5" t="str">
        <f>IFERROR(__xludf.DUMMYFUNCTION("LEFT(FILTER(IMPORTRANGE(""https://docs.google.com/spreadsheets/d/1BJSV3WBYJGRhQ6zExamkszQ5VutGIcaQqmbD9ZTVXMQ/edit#gid=1251630045"",""articles_with_PRISMA_reasons!K2:K2113""), $A770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$A770=IMPORTRANGE(""https://docs.google.com/spreadsheets/d/1BJSV3WBYJGRhQ6zExamkszQ5VutGIcaQqmbD9ZTVXMQ/edit#gid=1251630045"",""articles_with_PRISMA_reasons!B2:B2113"")))-1)"),"Giuffre")</f>
        <v>Giuffre</v>
      </c>
      <c r="C770" s="6">
        <f>IFERROR(__xludf.DUMMYFUNCTION("FILTER(IMPORTRANGE(""https://docs.google.com/spreadsheets/d/1BJSV3WBYJGRhQ6zExamkszQ5VutGIcaQqmbD9ZTVXMQ/edit#gid=1251630045"",""articles_with_PRISMA_reasons!C2:C2113""), $A770=IMPORTRANGE(""https://docs.google.com/spreadsheets/d/1BJSV3WBYJGRhQ6zExamkszQ5"&amp;"VutGIcaQqmbD9ZTVXMQ/edit#gid=1251630045"",""articles_with_PRISMA_reasons!B2:B2113""))"),1979.0)</f>
        <v>1979</v>
      </c>
      <c r="D770" s="5" t="str">
        <f>IFERROR(__xludf.DUMMYFUNCTION("IFS(AND(
FILTER(IMPORTRANGE(""https://docs.google.com/spreadsheets/d/1BJSV3WBYJGRhQ6zExamkszQ5VutGIcaQqmbD9ZTVXMQ/edit#gid=1251630045"",""articles_with_PRISMA_reasons!Y2:Y2113""), $A770=IMPORTRANGE(""https://docs.google.com/spreadsheets/d/1BJSV3WBYJGRhQ6z"&amp;"ExamkszQ5VutGIcaQqmbD9ZTVXMQ/edit#gid=1251630045"",""articles_with_PRISMA_reasons!B2:B2113""))&gt;=2,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$A770=IMPORTRANGE(""https://docs.google.com/spreadsheets/d/1BJSV3WBYJGRhQ6zExamkszQ5VutGIcaQqmbD9ZTVXMQ/edit#gid=1251630045"",""articles_with_PRISMA_reasons!B2:B2113""))&lt;2),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$A770=IMPORTRANGE(""https://docs.google.com/spreadsheets/d/1BJSV3WBYJGRhQ6zExamkszQ5VutGIcaQqmbD9ZTVXMQ/edit#gid=1251630045"",""arti"&amp;"cles_with_PRISMA_reasons!B2:B2113""))&lt;2,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$A770=IMPORTRANGE(""https://docs.google.com"&amp;"/spreadsheets/d/1BJSV3WBYJGRhQ6zExamkszQ5VutGIcaQqmbD9ZTVXMQ/edit#gid=1251630045"",""articles_with_PRISMA_reasons!B2:B2113""))&gt;=2),
""Exclude""
)"),"Include")</f>
        <v>Include</v>
      </c>
      <c r="E770" s="5" t="str">
        <f>IFERROR(__xludf.DUMMYFUNCTION("IFS(
D770=""Exclude"",""Exclude"",
AND(
FILTER(IMPORTRANGE(""https://docs.google.com/spreadsheets/d/1qpEmbGH0JjaJbUdp21-y2cPbobDbMjr09BbtdKROZWc/edit#gid=1444865654"",""articles_with_PRISMA_reasons!W2:W2113""), $A770=IMPORTRANGE(""https://docs.google.com/"&amp;"spreadsheets/d/1qpEmbGH0JjaJbUdp21-y2cPbobDbMjr09BbtdKROZWc/edit#gid=1444865654"",""articles_with_PRISMA_reasons!B2:B2113""))&gt;=2,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$A770=IMPORTRANGE(""https://docs.google.com/spreadsheets/d/1qpEmbGH0JjaJbUdp21-y2cPbobDbMjr09BbtdKROZWc/edit#gid=1444865654"",""articles_with_PRISMA_reasons!B2:B2113""))&lt;2),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$A770=IMPORTRANGE(""https://docs.google.com/spreadsheets/d/1qpEmbGH0JjaJbUdp21-y2cPbobDbMjr09BbtdKRO"&amp;"ZWc/edit#gid=1444865654"",""articles_with_PRISMA_reasons!B2:B2113""))&lt;2,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$A770=IMPOR"&amp;"TRANGE(""https://docs.google.com/spreadsheets/d/1qpEmbGH0JjaJbUdp21-y2cPbobDbMjr09BbtdKROZWc/edit#gid=1444865654"",""articles_with_PRISMA_reasons!B2:B2113""))&gt;=2),
""Exclude""
)"),"Include")</f>
        <v>Include</v>
      </c>
      <c r="F770" s="2" t="s">
        <v>8</v>
      </c>
      <c r="G770" s="2" t="s">
        <v>17</v>
      </c>
    </row>
    <row r="771">
      <c r="A771" s="4" t="str">
        <f>IFERROR(__xludf.DUMMYFUNCTION("""COMPUTED_VALUE"""),"Factors affecting health related quality of life and depression levels of mothers in families having children with chronic disabilities")</f>
        <v>Factors affecting health related quality of life and depression levels of mothers in families having children with chronic disabilities</v>
      </c>
      <c r="B771" s="5" t="str">
        <f>IFERROR(__xludf.DUMMYFUNCTION("LEFT(FILTER(IMPORTRANGE(""https://docs.google.com/spreadsheets/d/1BJSV3WBYJGRhQ6zExamkszQ5VutGIcaQqmbD9ZTVXMQ/edit#gid=1251630045"",""articles_with_PRISMA_reasons!K2:K2113""), $A771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$A771=IMPORTRANGE(""https://docs.google.com/spreadsheets/d/1BJSV3WBYJGRhQ6zExamkszQ5VutGIcaQqmbD9ZTVXMQ/edit#gid=1251630045"",""articles_with_PRISMA_reasons!B2:B2113"")))-1)"),"Simsek")</f>
        <v>Simsek</v>
      </c>
      <c r="C771" s="6">
        <f>IFERROR(__xludf.DUMMYFUNCTION("FILTER(IMPORTRANGE(""https://docs.google.com/spreadsheets/d/1BJSV3WBYJGRhQ6zExamkszQ5VutGIcaQqmbD9ZTVXMQ/edit#gid=1251630045"",""articles_with_PRISMA_reasons!C2:C2113""), $A771=IMPORTRANGE(""https://docs.google.com/spreadsheets/d/1BJSV3WBYJGRhQ6zExamkszQ5"&amp;"VutGIcaQqmbD9ZTVXMQ/edit#gid=1251630045"",""articles_with_PRISMA_reasons!B2:B2113""))"),2020.0)</f>
        <v>2020</v>
      </c>
      <c r="D771" s="5" t="str">
        <f>IFERROR(__xludf.DUMMYFUNCTION("IFS(AND(
FILTER(IMPORTRANGE(""https://docs.google.com/spreadsheets/d/1BJSV3WBYJGRhQ6zExamkszQ5VutGIcaQqmbD9ZTVXMQ/edit#gid=1251630045"",""articles_with_PRISMA_reasons!Y2:Y2113""), $A771=IMPORTRANGE(""https://docs.google.com/spreadsheets/d/1BJSV3WBYJGRhQ6z"&amp;"ExamkszQ5VutGIcaQqmbD9ZTVXMQ/edit#gid=1251630045"",""articles_with_PRISMA_reasons!B2:B2113""))&gt;=2,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$A771=IMPORTRANGE(""https://docs.google.com/spreadsheets/d/1BJSV3WBYJGRhQ6zExamkszQ5VutGIcaQqmbD9ZTVXMQ/edit#gid=1251630045"",""articles_with_PRISMA_reasons!B2:B2113""))&lt;2),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$A771=IMPORTRANGE(""https://docs.google.com/spreadsheets/d/1BJSV3WBYJGRhQ6zExamkszQ5VutGIcaQqmbD9ZTVXMQ/edit#gid=1251630045"",""arti"&amp;"cles_with_PRISMA_reasons!B2:B2113""))&lt;2,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$A771=IMPORTRANGE(""https://docs.google.com"&amp;"/spreadsheets/d/1BJSV3WBYJGRhQ6zExamkszQ5VutGIcaQqmbD9ZTVXMQ/edit#gid=1251630045"",""articles_with_PRISMA_reasons!B2:B2113""))&gt;=2),
""Exclude""
)"),"Exclude")</f>
        <v>Exclude</v>
      </c>
      <c r="E771" s="5" t="str">
        <f>IFERROR(__xludf.DUMMYFUNCTION("IFS(
D771=""Exclude"",""Exclude"",
AND(
FILTER(IMPORTRANGE(""https://docs.google.com/spreadsheets/d/1qpEmbGH0JjaJbUdp21-y2cPbobDbMjr09BbtdKROZWc/edit#gid=1444865654"",""articles_with_PRISMA_reasons!W2:W2113""), $A771=IMPORTRANGE(""https://docs.google.com/"&amp;"spreadsheets/d/1qpEmbGH0JjaJbUdp21-y2cPbobDbMjr09BbtdKROZWc/edit#gid=1444865654"",""articles_with_PRISMA_reasons!B2:B2113""))&gt;=2,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$A771=IMPORTRANGE(""https://docs.google.com/spreadsheets/d/1qpEmbGH0JjaJbUdp21-y2cPbobDbMjr09BbtdKROZWc/edit#gid=1444865654"",""articles_with_PRISMA_reasons!B2:B2113""))&lt;2),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$A771=IMPORTRANGE(""https://docs.google.com/spreadsheets/d/1qpEmbGH0JjaJbUdp21-y2cPbobDbMjr09BbtdKRO"&amp;"ZWc/edit#gid=1444865654"",""articles_with_PRISMA_reasons!B2:B2113""))&lt;2,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$A771=IMPOR"&amp;"TRANGE(""https://docs.google.com/spreadsheets/d/1qpEmbGH0JjaJbUdp21-y2cPbobDbMjr09BbtdKROZWc/edit#gid=1444865654"",""articles_with_PRISMA_reasons!B2:B2113""))&gt;=2),
""Exclude""
)"),"Exclude")</f>
        <v>Exclude</v>
      </c>
      <c r="F771" s="5" t="str">
        <f>IFERROR(__xludf.DUMMYFUNCTION("IFS(
E771=""Exclude"",""Exclude"",
AND(
COUNTIF(
IMPORTRANGE(""https://docs.google.com/spreadsheets/d/1kGrh75X1cNR1D7_FcY9zMnHP8iPO4M5RCRjy6nZY0TY/edit#gid=0"",""Table 1: Study characteristics!B4:B171""),A771)&gt;0,
COUNTIF(Studies!$A$2:$A$85,FILTER(IMPORTRA"&amp;"NGE(""https://docs.google.com/spreadsheets/d/1kGrh75X1cNR1D7_FcY9zMnHP8iPO4M5RCRjy6nZY0TY/edit#gid=0"",""Table 1: Study characteristics!A4:A171""), $A771=IMPORTRANGE(""https://docs.google.com/spreadsheets/d/1kGrh75X1cNR1D7_FcY9zMnHP8iPO4M5RCRjy6nZY0TY/edi"&amp;"t#gid=0"",""Table 1: Study characteristics!B4:B171"")))&gt;0
),
""Include""
)"),"Exclude")</f>
        <v>Exclude</v>
      </c>
      <c r="G771" s="5" t="str">
        <f>IFERROR(__xludf.DUMMYFUNCTION("IFS(
D771=""Exclude"",
FILTER(IMPORTRANGE(""https://docs.google.com/spreadsheets/d/1BJSV3WBYJGRhQ6zExamkszQ5VutGIcaQqmbD9ZTVXMQ/edit#gid=1251630045"",""articles_with_PRISMA_reasons!AB2:AB2113""), $A771=IMPORTRANGE(""https://docs.google.com/spreadsheets/d/"&amp;"1BJSV3WBYJGRhQ6zExamkszQ5VutGIcaQqmbD9ZTVXMQ/edit#gid=1251630045"",""articles_with_PRISMA_reasons!B2:B2113"")),
E771=""Exclude"",
FILTER(IMPORTRANGE(""https://docs.google.com/spreadsheets/d/1qpEmbGH0JjaJbUdp21-y2cPbobDbMjr09BbtdKROZWc/edit#gid=1444865654"&amp;""",""articles_with_PRISMA_reasons!Z2:Z2113""), $A771=IMPORTRANGE(""https://docs.google.com/spreadsheets/d/1qpEmbGH0JjaJbUdp21-y2cPbobDbMjr09BbtdKROZWc/edit#gid=1444865654"",""articles_with_PRISMA_reasons!B2:B2113"")),F771
=""Include"",FILTER(IMPORTRANGE("&amp;"""https://docs.google.com/spreadsheets/d/1kGrh75X1cNR1D7_FcY9zMnHP8iPO4M5RCRjy6nZY0TY/edit#gid=0"",""Table 1: Study characteristics!A4:A171""), $A771=IMPORTRANGE(""https://docs.google.com/spreadsheets/d/1kGrh75X1cNR1D7_FcY9zMnHP8iPO4M5RCRjy6nZY0TY/edit#gi"&amp;"d=0"",""Table 1: Study characteristics!B4:B171""))
)"),"wrong population")</f>
        <v>wrong population</v>
      </c>
    </row>
    <row r="772">
      <c r="A772" s="4" t="str">
        <f>IFERROR(__xludf.DUMMYFUNCTION("""COMPUTED_VALUE"""),"Factors affecting infection development after meningomyelocele repair in newborns and the efficacy of antibiotic prophylaxis")</f>
        <v>Factors affecting infection development after meningomyelocele repair in newborns and the efficacy of antibiotic prophylaxis</v>
      </c>
      <c r="B772" s="5" t="str">
        <f>IFERROR(__xludf.DUMMYFUNCTION("LEFT(FILTER(IMPORTRANGE(""https://docs.google.com/spreadsheets/d/1BJSV3WBYJGRhQ6zExamkszQ5VutGIcaQqmbD9ZTVXMQ/edit#gid=1251630045"",""articles_with_PRISMA_reasons!K2:K2113""), $A772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$A772=IMPORTRANGE(""https://docs.google.com/spreadsheets/d/1BJSV3WBYJGRhQ6zExamkszQ5VutGIcaQqmbD9ZTVXMQ/edit#gid=1251630045"",""articles_with_PRISMA_reasons!B2:B2113"")))-1)"),"Demir")</f>
        <v>Demir</v>
      </c>
      <c r="C772" s="6">
        <f>IFERROR(__xludf.DUMMYFUNCTION("FILTER(IMPORTRANGE(""https://docs.google.com/spreadsheets/d/1BJSV3WBYJGRhQ6zExamkszQ5VutGIcaQqmbD9ZTVXMQ/edit#gid=1251630045"",""articles_with_PRISMA_reasons!C2:C2113""), $A772=IMPORTRANGE(""https://docs.google.com/spreadsheets/d/1BJSV3WBYJGRhQ6zExamkszQ5"&amp;"VutGIcaQqmbD9ZTVXMQ/edit#gid=1251630045"",""articles_with_PRISMA_reasons!B2:B2113""))"),2015.0)</f>
        <v>2015</v>
      </c>
      <c r="D772" s="5" t="str">
        <f>IFERROR(__xludf.DUMMYFUNCTION("IFS(AND(
FILTER(IMPORTRANGE(""https://docs.google.com/spreadsheets/d/1BJSV3WBYJGRhQ6zExamkszQ5VutGIcaQqmbD9ZTVXMQ/edit#gid=1251630045"",""articles_with_PRISMA_reasons!Y2:Y2113""), $A772=IMPORTRANGE(""https://docs.google.com/spreadsheets/d/1BJSV3WBYJGRhQ6z"&amp;"ExamkszQ5VutGIcaQqmbD9ZTVXMQ/edit#gid=1251630045"",""articles_with_PRISMA_reasons!B2:B2113""))&gt;=2,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$A772=IMPORTRANGE(""https://docs.google.com/spreadsheets/d/1BJSV3WBYJGRhQ6zExamkszQ5VutGIcaQqmbD9ZTVXMQ/edit#gid=1251630045"",""articles_with_PRISMA_reasons!B2:B2113""))&lt;2),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$A772=IMPORTRANGE(""https://docs.google.com/spreadsheets/d/1BJSV3WBYJGRhQ6zExamkszQ5VutGIcaQqmbD9ZTVXMQ/edit#gid=1251630045"",""arti"&amp;"cles_with_PRISMA_reasons!B2:B2113""))&lt;2,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$A772=IMPORTRANGE(""https://docs.google.com"&amp;"/spreadsheets/d/1BJSV3WBYJGRhQ6zExamkszQ5VutGIcaQqmbD9ZTVXMQ/edit#gid=1251630045"",""articles_with_PRISMA_reasons!B2:B2113""))&gt;=2),
""Exclude""
)"),"Include")</f>
        <v>Include</v>
      </c>
      <c r="E772" s="5" t="str">
        <f>IFERROR(__xludf.DUMMYFUNCTION("IFS(
D772=""Exclude"",""Exclude"",
AND(
FILTER(IMPORTRANGE(""https://docs.google.com/spreadsheets/d/1qpEmbGH0JjaJbUdp21-y2cPbobDbMjr09BbtdKROZWc/edit#gid=1444865654"",""articles_with_PRISMA_reasons!W2:W2113""), $A772=IMPORTRANGE(""https://docs.google.com/"&amp;"spreadsheets/d/1qpEmbGH0JjaJbUdp21-y2cPbobDbMjr09BbtdKROZWc/edit#gid=1444865654"",""articles_with_PRISMA_reasons!B2:B2113""))&gt;=2,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$A772=IMPORTRANGE(""https://docs.google.com/spreadsheets/d/1qpEmbGH0JjaJbUdp21-y2cPbobDbMjr09BbtdKROZWc/edit#gid=1444865654"",""articles_with_PRISMA_reasons!B2:B2113""))&lt;2),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$A772=IMPORTRANGE(""https://docs.google.com/spreadsheets/d/1qpEmbGH0JjaJbUdp21-y2cPbobDbMjr09BbtdKRO"&amp;"ZWc/edit#gid=1444865654"",""articles_with_PRISMA_reasons!B2:B2113""))&lt;2,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$A772=IMPOR"&amp;"TRANGE(""https://docs.google.com/spreadsheets/d/1qpEmbGH0JjaJbUdp21-y2cPbobDbMjr09BbtdKROZWc/edit#gid=1444865654"",""articles_with_PRISMA_reasons!B2:B2113""))&gt;=2),
""Exclude""
)"),"Include")</f>
        <v>Include</v>
      </c>
      <c r="F772" s="5" t="str">
        <f>IFERROR(__xludf.DUMMYFUNCTION("IFS(
E772=""Exclude"",""Exclude"",
AND(
COUNTIF(
IMPORTRANGE(""https://docs.google.com/spreadsheets/d/1kGrh75X1cNR1D7_FcY9zMnHP8iPO4M5RCRjy6nZY0TY/edit#gid=0"",""Table 1: Study characteristics!B4:B171""),A772)&gt;0,
COUNTIF(Studies!$A$2:$A$85,FILTER(IMPORTRA"&amp;"NGE(""https://docs.google.com/spreadsheets/d/1kGrh75X1cNR1D7_FcY9zMnHP8iPO4M5RCRjy6nZY0TY/edit#gid=0"",""Table 1: Study characteristics!A4:A171""), $A772=IMPORTRANGE(""https://docs.google.com/spreadsheets/d/1kGrh75X1cNR1D7_FcY9zMnHP8iPO4M5RCRjy6nZY0TY/edi"&amp;"t#gid=0"",""Table 1: Study characteristics!B4:B171"")))&gt;0
),
""Include""
)"),"Include")</f>
        <v>Include</v>
      </c>
      <c r="G772" s="5" t="str">
        <f>IFERROR(__xludf.DUMMYFUNCTION("IFS(
D772=""Exclude"",
FILTER(IMPORTRANGE(""https://docs.google.com/spreadsheets/d/1BJSV3WBYJGRhQ6zExamkszQ5VutGIcaQqmbD9ZTVXMQ/edit#gid=1251630045"",""articles_with_PRISMA_reasons!AB2:AB2113""), $A772=IMPORTRANGE(""https://docs.google.com/spreadsheets/d/"&amp;"1BJSV3WBYJGRhQ6zExamkszQ5VutGIcaQqmbD9ZTVXMQ/edit#gid=1251630045"",""articles_with_PRISMA_reasons!B2:B2113"")),
E772=""Exclude"",
FILTER(IMPORTRANGE(""https://docs.google.com/spreadsheets/d/1qpEmbGH0JjaJbUdp21-y2cPbobDbMjr09BbtdKROZWc/edit#gid=1444865654"&amp;""",""articles_with_PRISMA_reasons!Z2:Z2113""), $A772=IMPORTRANGE(""https://docs.google.com/spreadsheets/d/1qpEmbGH0JjaJbUdp21-y2cPbobDbMjr09BbtdKROZWc/edit#gid=1444865654"",""articles_with_PRISMA_reasons!B2:B2113"")),F772
=""Include"",FILTER(IMPORTRANGE("&amp;"""https://docs.google.com/spreadsheets/d/1kGrh75X1cNR1D7_FcY9zMnHP8iPO4M5RCRjy6nZY0TY/edit#gid=0"",""Table 1: Study characteristics!A4:A171""), $A772=IMPORTRANGE(""https://docs.google.com/spreadsheets/d/1kGrh75X1cNR1D7_FcY9zMnHP8iPO4M5RCRjy6nZY0TY/edit#gi"&amp;"d=0"",""Table 1: Study characteristics!B4:B171""))
)"),"ID 76")</f>
        <v>ID 76</v>
      </c>
    </row>
    <row r="773">
      <c r="A773" s="4" t="str">
        <f>IFERROR(__xludf.DUMMYFUNCTION("""COMPUTED_VALUE"""),"Factors affecting survival of infants with myelomeningocele in southeastern Uganda")</f>
        <v>Factors affecting survival of infants with myelomeningocele in southeastern Uganda</v>
      </c>
      <c r="B773" s="5" t="str">
        <f>IFERROR(__xludf.DUMMYFUNCTION("LEFT(FILTER(IMPORTRANGE(""https://docs.google.com/spreadsheets/d/1BJSV3WBYJGRhQ6zExamkszQ5VutGIcaQqmbD9ZTVXMQ/edit#gid=1251630045"",""articles_with_PRISMA_reasons!K2:K2113""), $A773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$A773=IMPORTRANGE(""https://docs.google.com/spreadsheets/d/1BJSV3WBYJGRhQ6zExamkszQ5VutGIcaQqmbD9ZTVXMQ/edit#gid=1251630045"",""articles_with_PRISMA_reasons!B2:B2113"")))-1)"),"Warf")</f>
        <v>Warf</v>
      </c>
      <c r="C773" s="6">
        <f>IFERROR(__xludf.DUMMYFUNCTION("FILTER(IMPORTRANGE(""https://docs.google.com/spreadsheets/d/1BJSV3WBYJGRhQ6zExamkszQ5VutGIcaQqmbD9ZTVXMQ/edit#gid=1251630045"",""articles_with_PRISMA_reasons!C2:C2113""), $A773=IMPORTRANGE(""https://docs.google.com/spreadsheets/d/1BJSV3WBYJGRhQ6zExamkszQ5"&amp;"VutGIcaQqmbD9ZTVXMQ/edit#gid=1251630045"",""articles_with_PRISMA_reasons!B2:B2113""))"),2011.0)</f>
        <v>2011</v>
      </c>
      <c r="D773" s="5" t="str">
        <f>IFERROR(__xludf.DUMMYFUNCTION("IFS(AND(
FILTER(IMPORTRANGE(""https://docs.google.com/spreadsheets/d/1BJSV3WBYJGRhQ6zExamkszQ5VutGIcaQqmbD9ZTVXMQ/edit#gid=1251630045"",""articles_with_PRISMA_reasons!Y2:Y2113""), $A773=IMPORTRANGE(""https://docs.google.com/spreadsheets/d/1BJSV3WBYJGRhQ6z"&amp;"ExamkszQ5VutGIcaQqmbD9ZTVXMQ/edit#gid=1251630045"",""articles_with_PRISMA_reasons!B2:B2113""))&gt;=2,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$A773=IMPORTRANGE(""https://docs.google.com/spreadsheets/d/1BJSV3WBYJGRhQ6zExamkszQ5VutGIcaQqmbD9ZTVXMQ/edit#gid=1251630045"",""articles_with_PRISMA_reasons!B2:B2113""))&lt;2),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$A773=IMPORTRANGE(""https://docs.google.com/spreadsheets/d/1BJSV3WBYJGRhQ6zExamkszQ5VutGIcaQqmbD9ZTVXMQ/edit#gid=1251630045"",""arti"&amp;"cles_with_PRISMA_reasons!B2:B2113""))&lt;2,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$A773=IMPORTRANGE(""https://docs.google.com"&amp;"/spreadsheets/d/1BJSV3WBYJGRhQ6zExamkszQ5VutGIcaQqmbD9ZTVXMQ/edit#gid=1251630045"",""articles_with_PRISMA_reasons!B2:B2113""))&gt;=2),
""Exclude""
)"),"Exclude")</f>
        <v>Exclude</v>
      </c>
      <c r="E773" s="5" t="str">
        <f>IFERROR(__xludf.DUMMYFUNCTION("IFS(
D773=""Exclude"",""Exclude"",
AND(
FILTER(IMPORTRANGE(""https://docs.google.com/spreadsheets/d/1qpEmbGH0JjaJbUdp21-y2cPbobDbMjr09BbtdKROZWc/edit#gid=1444865654"",""articles_with_PRISMA_reasons!W2:W2113""), $A773=IMPORTRANGE(""https://docs.google.com/"&amp;"spreadsheets/d/1qpEmbGH0JjaJbUdp21-y2cPbobDbMjr09BbtdKROZWc/edit#gid=1444865654"",""articles_with_PRISMA_reasons!B2:B2113""))&gt;=2,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$A773=IMPORTRANGE(""https://docs.google.com/spreadsheets/d/1qpEmbGH0JjaJbUdp21-y2cPbobDbMjr09BbtdKROZWc/edit#gid=1444865654"",""articles_with_PRISMA_reasons!B2:B2113""))&lt;2),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$A773=IMPORTRANGE(""https://docs.google.com/spreadsheets/d/1qpEmbGH0JjaJbUdp21-y2cPbobDbMjr09BbtdKRO"&amp;"ZWc/edit#gid=1444865654"",""articles_with_PRISMA_reasons!B2:B2113""))&lt;2,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$A773=IMPOR"&amp;"TRANGE(""https://docs.google.com/spreadsheets/d/1qpEmbGH0JjaJbUdp21-y2cPbobDbMjr09BbtdKROZWc/edit#gid=1444865654"",""articles_with_PRISMA_reasons!B2:B2113""))&gt;=2),
""Exclude""
)"),"Exclude")</f>
        <v>Exclude</v>
      </c>
      <c r="F773" s="5" t="str">
        <f>IFERROR(__xludf.DUMMYFUNCTION("IFS(
E773=""Exclude"",""Exclude"",
AND(
COUNTIF(
IMPORTRANGE(""https://docs.google.com/spreadsheets/d/1kGrh75X1cNR1D7_FcY9zMnHP8iPO4M5RCRjy6nZY0TY/edit#gid=0"",""Table 1: Study characteristics!B4:B171""),A773)&gt;0,
COUNTIF(Studies!$A$2:$A$85,FILTER(IMPORTRA"&amp;"NGE(""https://docs.google.com/spreadsheets/d/1kGrh75X1cNR1D7_FcY9zMnHP8iPO4M5RCRjy6nZY0TY/edit#gid=0"",""Table 1: Study characteristics!A4:A171""), $A773=IMPORTRANGE(""https://docs.google.com/spreadsheets/d/1kGrh75X1cNR1D7_FcY9zMnHP8iPO4M5RCRjy6nZY0TY/edi"&amp;"t#gid=0"",""Table 1: Study characteristics!B4:B171"")))&gt;0
),
""Include""
)"),"Exclude")</f>
        <v>Exclude</v>
      </c>
      <c r="G773" s="5" t="str">
        <f>IFERROR(__xludf.DUMMYFUNCTION("IFS(
D773=""Exclude"",
FILTER(IMPORTRANGE(""https://docs.google.com/spreadsheets/d/1BJSV3WBYJGRhQ6zExamkszQ5VutGIcaQqmbD9ZTVXMQ/edit#gid=1251630045"",""articles_with_PRISMA_reasons!AB2:AB2113""), $A773=IMPORTRANGE(""https://docs.google.com/spreadsheets/d/"&amp;"1BJSV3WBYJGRhQ6zExamkszQ5VutGIcaQqmbD9ZTVXMQ/edit#gid=1251630045"",""articles_with_PRISMA_reasons!B2:B2113"")),
E773=""Exclude"",
FILTER(IMPORTRANGE(""https://docs.google.com/spreadsheets/d/1qpEmbGH0JjaJbUdp21-y2cPbobDbMjr09BbtdKROZWc/edit#gid=1444865654"&amp;""",""articles_with_PRISMA_reasons!Z2:Z2113""), $A773=IMPORTRANGE(""https://docs.google.com/spreadsheets/d/1qpEmbGH0JjaJbUdp21-y2cPbobDbMjr09BbtdKROZWc/edit#gid=1444865654"",""articles_with_PRISMA_reasons!B2:B2113"")),F773
=""Include"",FILTER(IMPORTRANGE("&amp;"""https://docs.google.com/spreadsheets/d/1kGrh75X1cNR1D7_FcY9zMnHP8iPO4M5RCRjy6nZY0TY/edit#gid=0"",""Table 1: Study characteristics!A4:A171""), $A773=IMPORTRANGE(""https://docs.google.com/spreadsheets/d/1kGrh75X1cNR1D7_FcY9zMnHP8iPO4M5RCRjy6nZY0TY/edit#gi"&amp;"d=0"",""Table 1: Study characteristics!B4:B171""))
)"),"wrong population")</f>
        <v>wrong population</v>
      </c>
    </row>
    <row r="774">
      <c r="A774" s="4" t="str">
        <f>IFERROR(__xludf.DUMMYFUNCTION("""COMPUTED_VALUE"""),"Factors affecting the form of medullocervical dislocation deformity in relation to meningomyelocele and spina bifida")</f>
        <v>Factors affecting the form of medullocervical dislocation deformity in relation to meningomyelocele and spina bifida</v>
      </c>
      <c r="B774" s="5" t="str">
        <f>IFERROR(__xludf.DUMMYFUNCTION("LEFT(FILTER(IMPORTRANGE(""https://docs.google.com/spreadsheets/d/1BJSV3WBYJGRhQ6zExamkszQ5VutGIcaQqmbD9ZTVXMQ/edit#gid=1251630045"",""articles_with_PRISMA_reasons!K2:K2113""), $A774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$A774=IMPORTRANGE(""https://docs.google.com/spreadsheets/d/1BJSV3WBYJGRhQ6zExamkszQ5VutGIcaQqmbD9ZTVXMQ/edit#gid=1251630045"",""articles_with_PRISMA_reasons!B2:B2113"")))-1)"),"Emery")</f>
        <v>Emery</v>
      </c>
      <c r="C774" s="6">
        <f>IFERROR(__xludf.DUMMYFUNCTION("FILTER(IMPORTRANGE(""https://docs.google.com/spreadsheets/d/1BJSV3WBYJGRhQ6zExamkszQ5VutGIcaQqmbD9ZTVXMQ/edit#gid=1251630045"",""articles_with_PRISMA_reasons!C2:C2113""), $A774=IMPORTRANGE(""https://docs.google.com/spreadsheets/d/1BJSV3WBYJGRhQ6zExamkszQ5"&amp;"VutGIcaQqmbD9ZTVXMQ/edit#gid=1251630045"",""articles_with_PRISMA_reasons!B2:B2113""))"),1973.0)</f>
        <v>1973</v>
      </c>
      <c r="D774" s="5" t="str">
        <f>IFERROR(__xludf.DUMMYFUNCTION("IFS(AND(
FILTER(IMPORTRANGE(""https://docs.google.com/spreadsheets/d/1BJSV3WBYJGRhQ6zExamkszQ5VutGIcaQqmbD9ZTVXMQ/edit#gid=1251630045"",""articles_with_PRISMA_reasons!Y2:Y2113""), $A774=IMPORTRANGE(""https://docs.google.com/spreadsheets/d/1BJSV3WBYJGRhQ6z"&amp;"ExamkszQ5VutGIcaQqmbD9ZTVXMQ/edit#gid=1251630045"",""articles_with_PRISMA_reasons!B2:B2113""))&gt;=2,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$A774=IMPORTRANGE(""https://docs.google.com/spreadsheets/d/1BJSV3WBYJGRhQ6zExamkszQ5VutGIcaQqmbD9ZTVXMQ/edit#gid=1251630045"",""articles_with_PRISMA_reasons!B2:B2113""))&lt;2),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$A774=IMPORTRANGE(""https://docs.google.com/spreadsheets/d/1BJSV3WBYJGRhQ6zExamkszQ5VutGIcaQqmbD9ZTVXMQ/edit#gid=1251630045"",""arti"&amp;"cles_with_PRISMA_reasons!B2:B2113""))&lt;2,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$A774=IMPORTRANGE(""https://docs.google.com"&amp;"/spreadsheets/d/1BJSV3WBYJGRhQ6zExamkszQ5VutGIcaQqmbD9ZTVXMQ/edit#gid=1251630045"",""articles_with_PRISMA_reasons!B2:B2113""))&gt;=2),
""Exclude""
)"),"Exclude")</f>
        <v>Exclude</v>
      </c>
      <c r="E774" s="5" t="str">
        <f>IFERROR(__xludf.DUMMYFUNCTION("IFS(
D774=""Exclude"",""Exclude"",
AND(
FILTER(IMPORTRANGE(""https://docs.google.com/spreadsheets/d/1qpEmbGH0JjaJbUdp21-y2cPbobDbMjr09BbtdKROZWc/edit#gid=1444865654"",""articles_with_PRISMA_reasons!W2:W2113""), $A774=IMPORTRANGE(""https://docs.google.com/"&amp;"spreadsheets/d/1qpEmbGH0JjaJbUdp21-y2cPbobDbMjr09BbtdKROZWc/edit#gid=1444865654"",""articles_with_PRISMA_reasons!B2:B2113""))&gt;=2,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$A774=IMPORTRANGE(""https://docs.google.com/spreadsheets/d/1qpEmbGH0JjaJbUdp21-y2cPbobDbMjr09BbtdKROZWc/edit#gid=1444865654"",""articles_with_PRISMA_reasons!B2:B2113""))&lt;2),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$A774=IMPORTRANGE(""https://docs.google.com/spreadsheets/d/1qpEmbGH0JjaJbUdp21-y2cPbobDbMjr09BbtdKRO"&amp;"ZWc/edit#gid=1444865654"",""articles_with_PRISMA_reasons!B2:B2113""))&lt;2,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$A774=IMPOR"&amp;"TRANGE(""https://docs.google.com/spreadsheets/d/1qpEmbGH0JjaJbUdp21-y2cPbobDbMjr09BbtdKROZWc/edit#gid=1444865654"",""articles_with_PRISMA_reasons!B2:B2113""))&gt;=2),
""Exclude""
)"),"Exclude")</f>
        <v>Exclude</v>
      </c>
      <c r="F774" s="5" t="str">
        <f>IFERROR(__xludf.DUMMYFUNCTION("IFS(
E774=""Exclude"",""Exclude"",
AND(
COUNTIF(
IMPORTRANGE(""https://docs.google.com/spreadsheets/d/1kGrh75X1cNR1D7_FcY9zMnHP8iPO4M5RCRjy6nZY0TY/edit#gid=0"",""Table 1: Study characteristics!B4:B171""),A774)&gt;0,
COUNTIF(Studies!$A$2:$A$85,FILTER(IMPORTRA"&amp;"NGE(""https://docs.google.com/spreadsheets/d/1kGrh75X1cNR1D7_FcY9zMnHP8iPO4M5RCRjy6nZY0TY/edit#gid=0"",""Table 1: Study characteristics!A4:A171""), $A774=IMPORTRANGE(""https://docs.google.com/spreadsheets/d/1kGrh75X1cNR1D7_FcY9zMnHP8iPO4M5RCRjy6nZY0TY/edi"&amp;"t#gid=0"",""Table 1: Study characteristics!B4:B171"")))&gt;0
),
""Include""
)"),"Exclude")</f>
        <v>Exclude</v>
      </c>
      <c r="G774" s="5" t="str">
        <f>IFERROR(__xludf.DUMMYFUNCTION("IFS(
D774=""Exclude"",
FILTER(IMPORTRANGE(""https://docs.google.com/spreadsheets/d/1BJSV3WBYJGRhQ6zExamkszQ5VutGIcaQqmbD9ZTVXMQ/edit#gid=1251630045"",""articles_with_PRISMA_reasons!AB2:AB2113""), $A774=IMPORTRANGE(""https://docs.google.com/spreadsheets/d/"&amp;"1BJSV3WBYJGRhQ6zExamkszQ5VutGIcaQqmbD9ZTVXMQ/edit#gid=1251630045"",""articles_with_PRISMA_reasons!B2:B2113"")),
E774=""Exclude"",
FILTER(IMPORTRANGE(""https://docs.google.com/spreadsheets/d/1qpEmbGH0JjaJbUdp21-y2cPbobDbMjr09BbtdKROZWc/edit#gid=1444865654"&amp;""",""articles_with_PRISMA_reasons!Z2:Z2113""), $A774=IMPORTRANGE(""https://docs.google.com/spreadsheets/d/1qpEmbGH0JjaJbUdp21-y2cPbobDbMjr09BbtdKROZWc/edit#gid=1444865654"",""articles_with_PRISMA_reasons!B2:B2113"")),F774
=""Include"",FILTER(IMPORTRANGE("&amp;"""https://docs.google.com/spreadsheets/d/1kGrh75X1cNR1D7_FcY9zMnHP8iPO4M5RCRjy6nZY0TY/edit#gid=0"",""Table 1: Study characteristics!A4:A171""), $A774=IMPORTRANGE(""https://docs.google.com/spreadsheets/d/1kGrh75X1cNR1D7_FcY9zMnHP8iPO4M5RCRjy6nZY0TY/edit#gi"&amp;"d=0"",""Table 1: Study characteristics!B4:B171""))
)"),"wrong study design")</f>
        <v>wrong study design</v>
      </c>
    </row>
    <row r="775">
      <c r="A775" s="4" t="str">
        <f>IFERROR(__xludf.DUMMYFUNCTION("""COMPUTED_VALUE"""),"Factors affecting the outcome of foetal hydrocephaly")</f>
        <v>Factors affecting the outcome of foetal hydrocephaly</v>
      </c>
      <c r="B775" s="5" t="str">
        <f>IFERROR(__xludf.DUMMYFUNCTION("LEFT(FILTER(IMPORTRANGE(""https://docs.google.com/spreadsheets/d/1BJSV3WBYJGRhQ6zExamkszQ5VutGIcaQqmbD9ZTVXMQ/edit#gid=1251630045"",""articles_with_PRISMA_reasons!K2:K2113""), $A775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$A775=IMPORTRANGE(""https://docs.google.com/spreadsheets/d/1BJSV3WBYJGRhQ6zExamkszQ5VutGIcaQqmbD9ZTVXMQ/edit#gid=1251630045"",""articles_with_PRISMA_reasons!B2:B2113"")))-1)"),"Jamjoom")</f>
        <v>Jamjoom</v>
      </c>
      <c r="C775" s="6">
        <f>IFERROR(__xludf.DUMMYFUNCTION("FILTER(IMPORTRANGE(""https://docs.google.com/spreadsheets/d/1BJSV3WBYJGRhQ6zExamkszQ5VutGIcaQqmbD9ZTVXMQ/edit#gid=1251630045"",""articles_with_PRISMA_reasons!C2:C2113""), $A775=IMPORTRANGE(""https://docs.google.com/spreadsheets/d/1BJSV3WBYJGRhQ6zExamkszQ5"&amp;"VutGIcaQqmbD9ZTVXMQ/edit#gid=1251630045"",""articles_with_PRISMA_reasons!B2:B2113""))"),1998.0)</f>
        <v>1998</v>
      </c>
      <c r="D775" s="5" t="str">
        <f>IFERROR(__xludf.DUMMYFUNCTION("IFS(AND(
FILTER(IMPORTRANGE(""https://docs.google.com/spreadsheets/d/1BJSV3WBYJGRhQ6zExamkszQ5VutGIcaQqmbD9ZTVXMQ/edit#gid=1251630045"",""articles_with_PRISMA_reasons!Y2:Y2113""), $A775=IMPORTRANGE(""https://docs.google.com/spreadsheets/d/1BJSV3WBYJGRhQ6z"&amp;"ExamkszQ5VutGIcaQqmbD9ZTVXMQ/edit#gid=1251630045"",""articles_with_PRISMA_reasons!B2:B2113""))&gt;=2,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$A775=IMPORTRANGE(""https://docs.google.com/spreadsheets/d/1BJSV3WBYJGRhQ6zExamkszQ5VutGIcaQqmbD9ZTVXMQ/edit#gid=1251630045"",""articles_with_PRISMA_reasons!B2:B2113""))&lt;2),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$A775=IMPORTRANGE(""https://docs.google.com/spreadsheets/d/1BJSV3WBYJGRhQ6zExamkszQ5VutGIcaQqmbD9ZTVXMQ/edit#gid=1251630045"",""arti"&amp;"cles_with_PRISMA_reasons!B2:B2113""))&lt;2,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$A775=IMPORTRANGE(""https://docs.google.com"&amp;"/spreadsheets/d/1BJSV3WBYJGRhQ6zExamkszQ5VutGIcaQqmbD9ZTVXMQ/edit#gid=1251630045"",""articles_with_PRISMA_reasons!B2:B2113""))&gt;=2),
""Exclude""
)"),"Exclude")</f>
        <v>Exclude</v>
      </c>
      <c r="E775" s="5" t="str">
        <f>IFERROR(__xludf.DUMMYFUNCTION("IFS(
D775=""Exclude"",""Exclude"",
AND(
FILTER(IMPORTRANGE(""https://docs.google.com/spreadsheets/d/1qpEmbGH0JjaJbUdp21-y2cPbobDbMjr09BbtdKROZWc/edit#gid=1444865654"",""articles_with_PRISMA_reasons!W2:W2113""), $A775=IMPORTRANGE(""https://docs.google.com/"&amp;"spreadsheets/d/1qpEmbGH0JjaJbUdp21-y2cPbobDbMjr09BbtdKROZWc/edit#gid=1444865654"",""articles_with_PRISMA_reasons!B2:B2113""))&gt;=2,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$A775=IMPORTRANGE(""https://docs.google.com/spreadsheets/d/1qpEmbGH0JjaJbUdp21-y2cPbobDbMjr09BbtdKROZWc/edit#gid=1444865654"",""articles_with_PRISMA_reasons!B2:B2113""))&lt;2),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$A775=IMPORTRANGE(""https://docs.google.com/spreadsheets/d/1qpEmbGH0JjaJbUdp21-y2cPbobDbMjr09BbtdKRO"&amp;"ZWc/edit#gid=1444865654"",""articles_with_PRISMA_reasons!B2:B2113""))&lt;2,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$A775=IMPOR"&amp;"TRANGE(""https://docs.google.com/spreadsheets/d/1qpEmbGH0JjaJbUdp21-y2cPbobDbMjr09BbtdKROZWc/edit#gid=1444865654"",""articles_with_PRISMA_reasons!B2:B2113""))&gt;=2),
""Exclude""
)"),"Exclude")</f>
        <v>Exclude</v>
      </c>
      <c r="F775" s="5" t="str">
        <f>IFERROR(__xludf.DUMMYFUNCTION("IFS(
E775=""Exclude"",""Exclude"",
AND(
COUNTIF(
IMPORTRANGE(""https://docs.google.com/spreadsheets/d/1kGrh75X1cNR1D7_FcY9zMnHP8iPO4M5RCRjy6nZY0TY/edit#gid=0"",""Table 1: Study characteristics!B4:B171""),A775)&gt;0,
COUNTIF(Studies!$A$2:$A$85,FILTER(IMPORTRA"&amp;"NGE(""https://docs.google.com/spreadsheets/d/1kGrh75X1cNR1D7_FcY9zMnHP8iPO4M5RCRjy6nZY0TY/edit#gid=0"",""Table 1: Study characteristics!A4:A171""), $A775=IMPORTRANGE(""https://docs.google.com/spreadsheets/d/1kGrh75X1cNR1D7_FcY9zMnHP8iPO4M5RCRjy6nZY0TY/edi"&amp;"t#gid=0"",""Table 1: Study characteristics!B4:B171"")))&gt;0
),
""Include""
)"),"Exclude")</f>
        <v>Exclude</v>
      </c>
      <c r="G775" s="5" t="str">
        <f>IFERROR(__xludf.DUMMYFUNCTION("IFS(
D775=""Exclude"",
FILTER(IMPORTRANGE(""https://docs.google.com/spreadsheets/d/1BJSV3WBYJGRhQ6zExamkszQ5VutGIcaQqmbD9ZTVXMQ/edit#gid=1251630045"",""articles_with_PRISMA_reasons!AB2:AB2113""), $A775=IMPORTRANGE(""https://docs.google.com/spreadsheets/d/"&amp;"1BJSV3WBYJGRhQ6zExamkszQ5VutGIcaQqmbD9ZTVXMQ/edit#gid=1251630045"",""articles_with_PRISMA_reasons!B2:B2113"")),
E775=""Exclude"",
FILTER(IMPORTRANGE(""https://docs.google.com/spreadsheets/d/1qpEmbGH0JjaJbUdp21-y2cPbobDbMjr09BbtdKROZWc/edit#gid=1444865654"&amp;""",""articles_with_PRISMA_reasons!Z2:Z2113""), $A775=IMPORTRANGE(""https://docs.google.com/spreadsheets/d/1qpEmbGH0JjaJbUdp21-y2cPbobDbMjr09BbtdKROZWc/edit#gid=1444865654"",""articles_with_PRISMA_reasons!B2:B2113"")),F775
=""Include"",FILTER(IMPORTRANGE("&amp;"""https://docs.google.com/spreadsheets/d/1kGrh75X1cNR1D7_FcY9zMnHP8iPO4M5RCRjy6nZY0TY/edit#gid=0"",""Table 1: Study characteristics!A4:A171""), $A775=IMPORTRANGE(""https://docs.google.com/spreadsheets/d/1kGrh75X1cNR1D7_FcY9zMnHP8iPO4M5RCRjy6nZY0TY/edit#gi"&amp;"d=0"",""Table 1: Study characteristics!B4:B171""))
)"),"wrong population")</f>
        <v>wrong population</v>
      </c>
    </row>
    <row r="776">
      <c r="A776" s="4" t="str">
        <f>IFERROR(__xludf.DUMMYFUNCTION("""COMPUTED_VALUE"""),"Factors affecting the outcome of Lumbosacral Spinal Surgery")</f>
        <v>Factors affecting the outcome of Lumbosacral Spinal Surgery</v>
      </c>
      <c r="B776" s="2" t="s">
        <v>27</v>
      </c>
      <c r="C776" s="6">
        <f>IFERROR(__xludf.DUMMYFUNCTION("FILTER(IMPORTRANGE(""https://docs.google.com/spreadsheets/d/1BJSV3WBYJGRhQ6zExamkszQ5VutGIcaQqmbD9ZTVXMQ/edit#gid=1251630045"",""articles_with_PRISMA_reasons!C2:C2113""), $A776=IMPORTRANGE(""https://docs.google.com/spreadsheets/d/1BJSV3WBYJGRhQ6zExamkszQ5"&amp;"VutGIcaQqmbD9ZTVXMQ/edit#gid=1251630045"",""articles_with_PRISMA_reasons!B2:B2113""))"),2013.0)</f>
        <v>2013</v>
      </c>
      <c r="D776" s="5" t="str">
        <f>IFERROR(__xludf.DUMMYFUNCTION("IFS(AND(
FILTER(IMPORTRANGE(""https://docs.google.com/spreadsheets/d/1BJSV3WBYJGRhQ6zExamkszQ5VutGIcaQqmbD9ZTVXMQ/edit#gid=1251630045"",""articles_with_PRISMA_reasons!Y2:Y2113""), $A776=IMPORTRANGE(""https://docs.google.com/spreadsheets/d/1BJSV3WBYJGRhQ6z"&amp;"ExamkszQ5VutGIcaQqmbD9ZTVXMQ/edit#gid=1251630045"",""articles_with_PRISMA_reasons!B2:B2113""))&gt;=2,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$A776=IMPORTRANGE(""https://docs.google.com/spreadsheets/d/1BJSV3WBYJGRhQ6zExamkszQ5VutGIcaQqmbD9ZTVXMQ/edit#gid=1251630045"",""articles_with_PRISMA_reasons!B2:B2113""))&lt;2),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$A776=IMPORTRANGE(""https://docs.google.com/spreadsheets/d/1BJSV3WBYJGRhQ6zExamkszQ5VutGIcaQqmbD9ZTVXMQ/edit#gid=1251630045"",""arti"&amp;"cles_with_PRISMA_reasons!B2:B2113""))&lt;2,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$A776=IMPORTRANGE(""https://docs.google.com"&amp;"/spreadsheets/d/1BJSV3WBYJGRhQ6zExamkszQ5VutGIcaQqmbD9ZTVXMQ/edit#gid=1251630045"",""articles_with_PRISMA_reasons!B2:B2113""))&gt;=2),
""Exclude""
)"),"Exclude")</f>
        <v>Exclude</v>
      </c>
      <c r="E776" s="5" t="str">
        <f>IFERROR(__xludf.DUMMYFUNCTION("IFS(
D776=""Exclude"",""Exclude"",
AND(
FILTER(IMPORTRANGE(""https://docs.google.com/spreadsheets/d/1qpEmbGH0JjaJbUdp21-y2cPbobDbMjr09BbtdKROZWc/edit#gid=1444865654"",""articles_with_PRISMA_reasons!W2:W2113""), $A776=IMPORTRANGE(""https://docs.google.com/"&amp;"spreadsheets/d/1qpEmbGH0JjaJbUdp21-y2cPbobDbMjr09BbtdKROZWc/edit#gid=1444865654"",""articles_with_PRISMA_reasons!B2:B2113""))&gt;=2,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$A776=IMPORTRANGE(""https://docs.google.com/spreadsheets/d/1qpEmbGH0JjaJbUdp21-y2cPbobDbMjr09BbtdKROZWc/edit#gid=1444865654"",""articles_with_PRISMA_reasons!B2:B2113""))&lt;2),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$A776=IMPORTRANGE(""https://docs.google.com/spreadsheets/d/1qpEmbGH0JjaJbUdp21-y2cPbobDbMjr09BbtdKRO"&amp;"ZWc/edit#gid=1444865654"",""articles_with_PRISMA_reasons!B2:B2113""))&lt;2,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$A776=IMPOR"&amp;"TRANGE(""https://docs.google.com/spreadsheets/d/1qpEmbGH0JjaJbUdp21-y2cPbobDbMjr09BbtdKROZWc/edit#gid=1444865654"",""articles_with_PRISMA_reasons!B2:B2113""))&gt;=2),
""Exclude""
)"),"Exclude")</f>
        <v>Exclude</v>
      </c>
      <c r="F776" s="5" t="str">
        <f>IFERROR(__xludf.DUMMYFUNCTION("IFS(
E776=""Exclude"",""Exclude"",
AND(
COUNTIF(
IMPORTRANGE(""https://docs.google.com/spreadsheets/d/1kGrh75X1cNR1D7_FcY9zMnHP8iPO4M5RCRjy6nZY0TY/edit#gid=0"",""Table 1: Study characteristics!B4:B171""),A776)&gt;0,
COUNTIF(Studies!$A$2:$A$85,FILTER(IMPORTRA"&amp;"NGE(""https://docs.google.com/spreadsheets/d/1kGrh75X1cNR1D7_FcY9zMnHP8iPO4M5RCRjy6nZY0TY/edit#gid=0"",""Table 1: Study characteristics!A4:A171""), $A776=IMPORTRANGE(""https://docs.google.com/spreadsheets/d/1kGrh75X1cNR1D7_FcY9zMnHP8iPO4M5RCRjy6nZY0TY/edi"&amp;"t#gid=0"",""Table 1: Study characteristics!B4:B171"")))&gt;0
),
""Include""
)"),"Exclude")</f>
        <v>Exclude</v>
      </c>
      <c r="G776" s="5" t="str">
        <f>IFERROR(__xludf.DUMMYFUNCTION("IFS(
D776=""Exclude"",
FILTER(IMPORTRANGE(""https://docs.google.com/spreadsheets/d/1BJSV3WBYJGRhQ6zExamkszQ5VutGIcaQqmbD9ZTVXMQ/edit#gid=1251630045"",""articles_with_PRISMA_reasons!AB2:AB2113""), $A776=IMPORTRANGE(""https://docs.google.com/spreadsheets/d/"&amp;"1BJSV3WBYJGRhQ6zExamkszQ5VutGIcaQqmbD9ZTVXMQ/edit#gid=1251630045"",""articles_with_PRISMA_reasons!B2:B2113"")),
E776=""Exclude"",
FILTER(IMPORTRANGE(""https://docs.google.com/spreadsheets/d/1qpEmbGH0JjaJbUdp21-y2cPbobDbMjr09BbtdKROZWc/edit#gid=1444865654"&amp;""",""articles_with_PRISMA_reasons!Z2:Z2113""), $A776=IMPORTRANGE(""https://docs.google.com/spreadsheets/d/1qpEmbGH0JjaJbUdp21-y2cPbobDbMjr09BbtdKROZWc/edit#gid=1444865654"",""articles_with_PRISMA_reasons!B2:B2113"")),F776
=""Include"",FILTER(IMPORTRANGE("&amp;"""https://docs.google.com/spreadsheets/d/1kGrh75X1cNR1D7_FcY9zMnHP8iPO4M5RCRjy6nZY0TY/edit#gid=0"",""Table 1: Study characteristics!A4:A171""), $A776=IMPORTRANGE(""https://docs.google.com/spreadsheets/d/1kGrh75X1cNR1D7_FcY9zMnHP8iPO4M5RCRjy6nZY0TY/edit#gi"&amp;"d=0"",""Table 1: Study characteristics!B4:B171""))
)"),"wrong study design")</f>
        <v>wrong study design</v>
      </c>
    </row>
    <row r="777">
      <c r="A777" s="4" t="str">
        <f>IFERROR(__xludf.DUMMYFUNCTION("""COMPUTED_VALUE"""),"Factors affecting the outcomes in children post-myelomeningocoele repair in northeastern peninsular Malaysia")</f>
        <v>Factors affecting the outcomes in children post-myelomeningocoele repair in northeastern peninsular Malaysia</v>
      </c>
      <c r="B777" s="5" t="str">
        <f>IFERROR(__xludf.DUMMYFUNCTION("LEFT(FILTER(IMPORTRANGE(""https://docs.google.com/spreadsheets/d/1BJSV3WBYJGRhQ6zExamkszQ5VutGIcaQqmbD9ZTVXMQ/edit#gid=1251630045"",""articles_with_PRISMA_reasons!K2:K2113""), $A777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$A777=IMPORTRANGE(""https://docs.google.com/spreadsheets/d/1BJSV3WBYJGRhQ6zExamkszQ5VutGIcaQqmbD9ZTVXMQ/edit#gid=1251630045"",""articles_with_PRISMA_reasons!B2:B2113"")))-1)"),"Idris")</f>
        <v>Idris</v>
      </c>
      <c r="C777" s="6">
        <f>IFERROR(__xludf.DUMMYFUNCTION("FILTER(IMPORTRANGE(""https://docs.google.com/spreadsheets/d/1BJSV3WBYJGRhQ6zExamkszQ5VutGIcaQqmbD9ZTVXMQ/edit#gid=1251630045"",""articles_with_PRISMA_reasons!C2:C2113""), $A777=IMPORTRANGE(""https://docs.google.com/spreadsheets/d/1BJSV3WBYJGRhQ6zExamkszQ5"&amp;"VutGIcaQqmbD9ZTVXMQ/edit#gid=1251630045"",""articles_with_PRISMA_reasons!B2:B2113""))"),2011.0)</f>
        <v>2011</v>
      </c>
      <c r="D777" s="5" t="str">
        <f>IFERROR(__xludf.DUMMYFUNCTION("IFS(AND(
FILTER(IMPORTRANGE(""https://docs.google.com/spreadsheets/d/1BJSV3WBYJGRhQ6zExamkszQ5VutGIcaQqmbD9ZTVXMQ/edit#gid=1251630045"",""articles_with_PRISMA_reasons!Y2:Y2113""), $A777=IMPORTRANGE(""https://docs.google.com/spreadsheets/d/1BJSV3WBYJGRhQ6z"&amp;"ExamkszQ5VutGIcaQqmbD9ZTVXMQ/edit#gid=1251630045"",""articles_with_PRISMA_reasons!B2:B2113""))&gt;=2,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$A777=IMPORTRANGE(""https://docs.google.com/spreadsheets/d/1BJSV3WBYJGRhQ6zExamkszQ5VutGIcaQqmbD9ZTVXMQ/edit#gid=1251630045"",""articles_with_PRISMA_reasons!B2:B2113""))&lt;2),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$A777=IMPORTRANGE(""https://docs.google.com/spreadsheets/d/1BJSV3WBYJGRhQ6zExamkszQ5VutGIcaQqmbD9ZTVXMQ/edit#gid=1251630045"",""arti"&amp;"cles_with_PRISMA_reasons!B2:B2113""))&lt;2,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$A777=IMPORTRANGE(""https://docs.google.com"&amp;"/spreadsheets/d/1BJSV3WBYJGRhQ6zExamkszQ5VutGIcaQqmbD9ZTVXMQ/edit#gid=1251630045"",""articles_with_PRISMA_reasons!B2:B2113""))&gt;=2),
""Exclude""
)"),"Include")</f>
        <v>Include</v>
      </c>
      <c r="E777" s="5" t="str">
        <f>IFERROR(__xludf.DUMMYFUNCTION("IFS(
D777=""Exclude"",""Exclude"",
AND(
FILTER(IMPORTRANGE(""https://docs.google.com/spreadsheets/d/1qpEmbGH0JjaJbUdp21-y2cPbobDbMjr09BbtdKROZWc/edit#gid=1444865654"",""articles_with_PRISMA_reasons!W2:W2113""), $A777=IMPORTRANGE(""https://docs.google.com/"&amp;"spreadsheets/d/1qpEmbGH0JjaJbUdp21-y2cPbobDbMjr09BbtdKROZWc/edit#gid=1444865654"",""articles_with_PRISMA_reasons!B2:B2113""))&gt;=2,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$A777=IMPORTRANGE(""https://docs.google.com/spreadsheets/d/1qpEmbGH0JjaJbUdp21-y2cPbobDbMjr09BbtdKROZWc/edit#gid=1444865654"",""articles_with_PRISMA_reasons!B2:B2113""))&lt;2),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$A777=IMPORTRANGE(""https://docs.google.com/spreadsheets/d/1qpEmbGH0JjaJbUdp21-y2cPbobDbMjr09BbtdKRO"&amp;"ZWc/edit#gid=1444865654"",""articles_with_PRISMA_reasons!B2:B2113""))&lt;2,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$A777=IMPOR"&amp;"TRANGE(""https://docs.google.com/spreadsheets/d/1qpEmbGH0JjaJbUdp21-y2cPbobDbMjr09BbtdKROZWc/edit#gid=1444865654"",""articles_with_PRISMA_reasons!B2:B2113""))&gt;=2),
""Exclude""
)"),"Exclude")</f>
        <v>Exclude</v>
      </c>
      <c r="F777" s="5" t="str">
        <f>IFERROR(__xludf.DUMMYFUNCTION("IFS(
E777=""Exclude"",""Exclude"",
AND(
COUNTIF(
IMPORTRANGE(""https://docs.google.com/spreadsheets/d/1kGrh75X1cNR1D7_FcY9zMnHP8iPO4M5RCRjy6nZY0TY/edit#gid=0"",""Table 1: Study characteristics!B4:B171""),A777)&gt;0,
COUNTIF(Studies!$A$2:$A$85,FILTER(IMPORTRA"&amp;"NGE(""https://docs.google.com/spreadsheets/d/1kGrh75X1cNR1D7_FcY9zMnHP8iPO4M5RCRjy6nZY0TY/edit#gid=0"",""Table 1: Study characteristics!A4:A171""), $A777=IMPORTRANGE(""https://docs.google.com/spreadsheets/d/1kGrh75X1cNR1D7_FcY9zMnHP8iPO4M5RCRjy6nZY0TY/edi"&amp;"t#gid=0"",""Table 1: Study characteristics!B4:B171"")))&gt;0
),
""Include""
)"),"Exclude")</f>
        <v>Exclude</v>
      </c>
      <c r="G777" s="5" t="str">
        <f>IFERROR(__xludf.DUMMYFUNCTION("IFS(
D777=""Exclude"",
FILTER(IMPORTRANGE(""https://docs.google.com/spreadsheets/d/1BJSV3WBYJGRhQ6zExamkszQ5VutGIcaQqmbD9ZTVXMQ/edit#gid=1251630045"",""articles_with_PRISMA_reasons!AB2:AB2113""), $A777=IMPORTRANGE(""https://docs.google.com/spreadsheets/d/"&amp;"1BJSV3WBYJGRhQ6zExamkszQ5VutGIcaQqmbD9ZTVXMQ/edit#gid=1251630045"",""articles_with_PRISMA_reasons!B2:B2113"")),
E777=""Exclude"",
FILTER(IMPORTRANGE(""https://docs.google.com/spreadsheets/d/1qpEmbGH0JjaJbUdp21-y2cPbobDbMjr09BbtdKROZWc/edit#gid=1444865654"&amp;""",""articles_with_PRISMA_reasons!Z2:Z2113""), $A777=IMPORTRANGE(""https://docs.google.com/spreadsheets/d/1qpEmbGH0JjaJbUdp21-y2cPbobDbMjr09BbtdKROZWc/edit#gid=1444865654"",""articles_with_PRISMA_reasons!B2:B2113"")),F777
=""Include"",FILTER(IMPORTRANGE("&amp;"""https://docs.google.com/spreadsheets/d/1kGrh75X1cNR1D7_FcY9zMnHP8iPO4M5RCRjy6nZY0TY/edit#gid=0"",""Table 1: Study characteristics!A4:A171""), $A777=IMPORTRANGE(""https://docs.google.com/spreadsheets/d/1kGrh75X1cNR1D7_FcY9zMnHP8iPO4M5RCRjy6nZY0TY/edit#gi"&amp;"d=0"",""Table 1: Study characteristics!B4:B171""))
)"),"wrong population")</f>
        <v>wrong population</v>
      </c>
    </row>
    <row r="778">
      <c r="A778" s="4" t="str">
        <f>IFERROR(__xludf.DUMMYFUNCTION("""COMPUTED_VALUE"""),"Factors Associated with Early Neonatal and First-Year Mortality in Infants with Myelomeningocele in California from 2006 to 2011")</f>
        <v>Factors Associated with Early Neonatal and First-Year Mortality in Infants with Myelomeningocele in California from 2006 to 2011</v>
      </c>
      <c r="B778" s="5" t="str">
        <f>IFERROR(__xludf.DUMMYFUNCTION("LEFT(FILTER(IMPORTRANGE(""https://docs.google.com/spreadsheets/d/1BJSV3WBYJGRhQ6zExamkszQ5VutGIcaQqmbD9ZTVXMQ/edit#gid=1251630045"",""articles_with_PRISMA_reasons!K2:K2113""), $A778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$A778=IMPORTRANGE(""https://docs.google.com/spreadsheets/d/1BJSV3WBYJGRhQ6zExamkszQ5VutGIcaQqmbD9ZTVXMQ/edit#gid=1251630045"",""articles_with_PRISMA_reasons!B2:B2113"")))-1)"),"Kancherla")</f>
        <v>Kancherla</v>
      </c>
      <c r="C778" s="6">
        <f>IFERROR(__xludf.DUMMYFUNCTION("FILTER(IMPORTRANGE(""https://docs.google.com/spreadsheets/d/1BJSV3WBYJGRhQ6zExamkszQ5VutGIcaQqmbD9ZTVXMQ/edit#gid=1251630045"",""articles_with_PRISMA_reasons!C2:C2113""), $A778=IMPORTRANGE(""https://docs.google.com/spreadsheets/d/1BJSV3WBYJGRhQ6zExamkszQ5"&amp;"VutGIcaQqmbD9ZTVXMQ/edit#gid=1251630045"",""articles_with_PRISMA_reasons!B2:B2113""))"),2020.0)</f>
        <v>2020</v>
      </c>
      <c r="D778" s="5" t="str">
        <f>IFERROR(__xludf.DUMMYFUNCTION("IFS(AND(
FILTER(IMPORTRANGE(""https://docs.google.com/spreadsheets/d/1BJSV3WBYJGRhQ6zExamkszQ5VutGIcaQqmbD9ZTVXMQ/edit#gid=1251630045"",""articles_with_PRISMA_reasons!Y2:Y2113""), $A778=IMPORTRANGE(""https://docs.google.com/spreadsheets/d/1BJSV3WBYJGRhQ6z"&amp;"ExamkszQ5VutGIcaQqmbD9ZTVXMQ/edit#gid=1251630045"",""articles_with_PRISMA_reasons!B2:B2113""))&gt;=2,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$A778=IMPORTRANGE(""https://docs.google.com/spreadsheets/d/1BJSV3WBYJGRhQ6zExamkszQ5VutGIcaQqmbD9ZTVXMQ/edit#gid=1251630045"",""articles_with_PRISMA_reasons!B2:B2113""))&lt;2),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$A778=IMPORTRANGE(""https://docs.google.com/spreadsheets/d/1BJSV3WBYJGRhQ6zExamkszQ5VutGIcaQqmbD9ZTVXMQ/edit#gid=1251630045"",""arti"&amp;"cles_with_PRISMA_reasons!B2:B2113""))&lt;2,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$A778=IMPORTRANGE(""https://docs.google.com"&amp;"/spreadsheets/d/1BJSV3WBYJGRhQ6zExamkszQ5VutGIcaQqmbD9ZTVXMQ/edit#gid=1251630045"",""articles_with_PRISMA_reasons!B2:B2113""))&gt;=2),
""Exclude""
)"),"Exclude")</f>
        <v>Exclude</v>
      </c>
      <c r="E778" s="5" t="str">
        <f>IFERROR(__xludf.DUMMYFUNCTION("IFS(
D778=""Exclude"",""Exclude"",
AND(
FILTER(IMPORTRANGE(""https://docs.google.com/spreadsheets/d/1qpEmbGH0JjaJbUdp21-y2cPbobDbMjr09BbtdKROZWc/edit#gid=1444865654"",""articles_with_PRISMA_reasons!W2:W2113""), $A778=IMPORTRANGE(""https://docs.google.com/"&amp;"spreadsheets/d/1qpEmbGH0JjaJbUdp21-y2cPbobDbMjr09BbtdKROZWc/edit#gid=1444865654"",""articles_with_PRISMA_reasons!B2:B2113""))&gt;=2,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$A778=IMPORTRANGE(""https://docs.google.com/spreadsheets/d/1qpEmbGH0JjaJbUdp21-y2cPbobDbMjr09BbtdKROZWc/edit#gid=1444865654"",""articles_with_PRISMA_reasons!B2:B2113""))&lt;2),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$A778=IMPORTRANGE(""https://docs.google.com/spreadsheets/d/1qpEmbGH0JjaJbUdp21-y2cPbobDbMjr09BbtdKRO"&amp;"ZWc/edit#gid=1444865654"",""articles_with_PRISMA_reasons!B2:B2113""))&lt;2,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$A778=IMPOR"&amp;"TRANGE(""https://docs.google.com/spreadsheets/d/1qpEmbGH0JjaJbUdp21-y2cPbobDbMjr09BbtdKROZWc/edit#gid=1444865654"",""articles_with_PRISMA_reasons!B2:B2113""))&gt;=2),
""Exclude""
)"),"Exclude")</f>
        <v>Exclude</v>
      </c>
      <c r="F778" s="5" t="str">
        <f>IFERROR(__xludf.DUMMYFUNCTION("IFS(
E778=""Exclude"",""Exclude"",
AND(
COUNTIF(
IMPORTRANGE(""https://docs.google.com/spreadsheets/d/1kGrh75X1cNR1D7_FcY9zMnHP8iPO4M5RCRjy6nZY0TY/edit#gid=0"",""Table 1: Study characteristics!B4:B171""),A778)&gt;0,
COUNTIF(Studies!$A$2:$A$85,FILTER(IMPORTRA"&amp;"NGE(""https://docs.google.com/spreadsheets/d/1kGrh75X1cNR1D7_FcY9zMnHP8iPO4M5RCRjy6nZY0TY/edit#gid=0"",""Table 1: Study characteristics!A4:A171""), $A778=IMPORTRANGE(""https://docs.google.com/spreadsheets/d/1kGrh75X1cNR1D7_FcY9zMnHP8iPO4M5RCRjy6nZY0TY/edi"&amp;"t#gid=0"",""Table 1: Study characteristics!B4:B171"")))&gt;0
),
""Include""
)"),"Exclude")</f>
        <v>Exclude</v>
      </c>
      <c r="G778" s="5" t="str">
        <f>IFERROR(__xludf.DUMMYFUNCTION("IFS(
D778=""Exclude"",
FILTER(IMPORTRANGE(""https://docs.google.com/spreadsheets/d/1BJSV3WBYJGRhQ6zExamkszQ5VutGIcaQqmbD9ZTVXMQ/edit#gid=1251630045"",""articles_with_PRISMA_reasons!AB2:AB2113""), $A778=IMPORTRANGE(""https://docs.google.com/spreadsheets/d/"&amp;"1BJSV3WBYJGRhQ6zExamkszQ5VutGIcaQqmbD9ZTVXMQ/edit#gid=1251630045"",""articles_with_PRISMA_reasons!B2:B2113"")),
E778=""Exclude"",
FILTER(IMPORTRANGE(""https://docs.google.com/spreadsheets/d/1qpEmbGH0JjaJbUdp21-y2cPbobDbMjr09BbtdKROZWc/edit#gid=1444865654"&amp;""",""articles_with_PRISMA_reasons!Z2:Z2113""), $A778=IMPORTRANGE(""https://docs.google.com/spreadsheets/d/1qpEmbGH0JjaJbUdp21-y2cPbobDbMjr09BbtdKROZWc/edit#gid=1444865654"",""articles_with_PRISMA_reasons!B2:B2113"")),F778
=""Include"",FILTER(IMPORTRANGE("&amp;"""https://docs.google.com/spreadsheets/d/1kGrh75X1cNR1D7_FcY9zMnHP8iPO4M5RCRjy6nZY0TY/edit#gid=0"",""Table 1: Study characteristics!A4:A171""), $A778=IMPORTRANGE(""https://docs.google.com/spreadsheets/d/1kGrh75X1cNR1D7_FcY9zMnHP8iPO4M5RCRjy6nZY0TY/edit#gi"&amp;"d=0"",""Table 1: Study characteristics!B4:B171""))
)"),"wrong population")</f>
        <v>wrong population</v>
      </c>
    </row>
    <row r="779">
      <c r="A779" s="4" t="str">
        <f>IFERROR(__xludf.DUMMYFUNCTION("""COMPUTED_VALUE"""),"Factors associated with strabismus in spina bifida myelomeningocele")</f>
        <v>Factors associated with strabismus in spina bifida myelomeningocele</v>
      </c>
      <c r="B779" s="5" t="str">
        <f>IFERROR(__xludf.DUMMYFUNCTION("LEFT(FILTER(IMPORTRANGE(""https://docs.google.com/spreadsheets/d/1BJSV3WBYJGRhQ6zExamkszQ5VutGIcaQqmbD9ZTVXMQ/edit#gid=1251630045"",""articles_with_PRISMA_reasons!K2:K2113""), $A779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$A779=IMPORTRANGE(""https://docs.google.com/spreadsheets/d/1BJSV3WBYJGRhQ6zExamkszQ5VutGIcaQqmbD9ZTVXMQ/edit#gid=1251630045"",""articles_with_PRISMA_reasons!B2:B2113"")))-1)"),"Anderson")</f>
        <v>Anderson</v>
      </c>
      <c r="C779" s="3">
        <v>2012.0</v>
      </c>
      <c r="D779" s="5" t="str">
        <f>IFERROR(__xludf.DUMMYFUNCTION("IFS(AND(
FILTER(IMPORTRANGE(""https://docs.google.com/spreadsheets/d/1BJSV3WBYJGRhQ6zExamkszQ5VutGIcaQqmbD9ZTVXMQ/edit#gid=1251630045"",""articles_with_PRISMA_reasons!Y2:Y2113""), $A779=IMPORTRANGE(""https://docs.google.com/spreadsheets/d/1BJSV3WBYJGRhQ6z"&amp;"ExamkszQ5VutGIcaQqmbD9ZTVXMQ/edit#gid=1251630045"",""articles_with_PRISMA_reasons!B2:B2113""))&gt;=2,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$A779=IMPORTRANGE(""https://docs.google.com/spreadsheets/d/1BJSV3WBYJGRhQ6zExamkszQ5VutGIcaQqmbD9ZTVXMQ/edit#gid=1251630045"",""articles_with_PRISMA_reasons!B2:B2113""))&lt;2),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$A779=IMPORTRANGE(""https://docs.google.com/spreadsheets/d/1BJSV3WBYJGRhQ6zExamkszQ5VutGIcaQqmbD9ZTVXMQ/edit#gid=1251630045"",""arti"&amp;"cles_with_PRISMA_reasons!B2:B2113""))&lt;2,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$A779=IMPORTRANGE(""https://docs.google.com"&amp;"/spreadsheets/d/1BJSV3WBYJGRhQ6zExamkszQ5VutGIcaQqmbD9ZTVXMQ/edit#gid=1251630045"",""articles_with_PRISMA_reasons!B2:B2113""))&gt;=2),
""Exclude""
)"),"Exclude")</f>
        <v>Exclude</v>
      </c>
      <c r="E779" s="5" t="str">
        <f>IFERROR(__xludf.DUMMYFUNCTION("IFS(
D779=""Exclude"",""Exclude"",
AND(
FILTER(IMPORTRANGE(""https://docs.google.com/spreadsheets/d/1qpEmbGH0JjaJbUdp21-y2cPbobDbMjr09BbtdKROZWc/edit#gid=1444865654"",""articles_with_PRISMA_reasons!W2:W2113""), $A779=IMPORTRANGE(""https://docs.google.com/"&amp;"spreadsheets/d/1qpEmbGH0JjaJbUdp21-y2cPbobDbMjr09BbtdKROZWc/edit#gid=1444865654"",""articles_with_PRISMA_reasons!B2:B2113""))&gt;=2,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$A779=IMPORTRANGE(""https://docs.google.com/spreadsheets/d/1qpEmbGH0JjaJbUdp21-y2cPbobDbMjr09BbtdKROZWc/edit#gid=1444865654"",""articles_with_PRISMA_reasons!B2:B2113""))&lt;2),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$A779=IMPORTRANGE(""https://docs.google.com/spreadsheets/d/1qpEmbGH0JjaJbUdp21-y2cPbobDbMjr09BbtdKRO"&amp;"ZWc/edit#gid=1444865654"",""articles_with_PRISMA_reasons!B2:B2113""))&lt;2,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$A779=IMPOR"&amp;"TRANGE(""https://docs.google.com/spreadsheets/d/1qpEmbGH0JjaJbUdp21-y2cPbobDbMjr09BbtdKROZWc/edit#gid=1444865654"",""articles_with_PRISMA_reasons!B2:B2113""))&gt;=2),
""Exclude""
)"),"Exclude")</f>
        <v>Exclude</v>
      </c>
      <c r="F779" s="5" t="str">
        <f>IFERROR(__xludf.DUMMYFUNCTION("IFS(
E779=""Exclude"",""Exclude"",
AND(
COUNTIF(
IMPORTRANGE(""https://docs.google.com/spreadsheets/d/1kGrh75X1cNR1D7_FcY9zMnHP8iPO4M5RCRjy6nZY0TY/edit#gid=0"",""Table 1: Study characteristics!B4:B171""),A779)&gt;0,
COUNTIF(Studies!$A$2:$A$85,FILTER(IMPORTRA"&amp;"NGE(""https://docs.google.com/spreadsheets/d/1kGrh75X1cNR1D7_FcY9zMnHP8iPO4M5RCRjy6nZY0TY/edit#gid=0"",""Table 1: Study characteristics!A4:A171""), $A779=IMPORTRANGE(""https://docs.google.com/spreadsheets/d/1kGrh75X1cNR1D7_FcY9zMnHP8iPO4M5RCRjy6nZY0TY/edi"&amp;"t#gid=0"",""Table 1: Study characteristics!B4:B171"")))&gt;0
),
""Include""
)"),"Exclude")</f>
        <v>Exclude</v>
      </c>
      <c r="G779" s="5" t="s">
        <v>7</v>
      </c>
    </row>
    <row r="780">
      <c r="A780" s="4" t="str">
        <f>IFERROR(__xludf.DUMMYFUNCTION("""COMPUTED_VALUE"""),"Factors associated with strabismus in spina bifida myelomeningocele")</f>
        <v>Factors associated with strabismus in spina bifida myelomeningocele</v>
      </c>
      <c r="B780" s="5" t="str">
        <f>IFERROR(__xludf.DUMMYFUNCTION("LEFT(FILTER(IMPORTRANGE(""https://docs.google.com/spreadsheets/d/1BJSV3WBYJGRhQ6zExamkszQ5VutGIcaQqmbD9ZTVXMQ/edit#gid=1251630045"",""articles_with_PRISMA_reasons!K2:K2113""), $A780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$A780=IMPORTRANGE(""https://docs.google.com/spreadsheets/d/1BJSV3WBYJGRhQ6zExamkszQ5VutGIcaQqmbD9ZTVXMQ/edit#gid=1251630045"",""articles_with_PRISMA_reasons!B2:B2113"")))-1)"),"Anderson")</f>
        <v>Anderson</v>
      </c>
      <c r="C780" s="3">
        <v>2012.0</v>
      </c>
      <c r="D780" s="5" t="str">
        <f>IFERROR(__xludf.DUMMYFUNCTION("IFS(AND(
FILTER(IMPORTRANGE(""https://docs.google.com/spreadsheets/d/1BJSV3WBYJGRhQ6zExamkszQ5VutGIcaQqmbD9ZTVXMQ/edit#gid=1251630045"",""articles_with_PRISMA_reasons!Y2:Y2113""), $A780=IMPORTRANGE(""https://docs.google.com/spreadsheets/d/1BJSV3WBYJGRhQ6z"&amp;"ExamkszQ5VutGIcaQqmbD9ZTVXMQ/edit#gid=1251630045"",""articles_with_PRISMA_reasons!B2:B2113""))&gt;=2,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$A780=IMPORTRANGE(""https://docs.google.com/spreadsheets/d/1BJSV3WBYJGRhQ6zExamkszQ5VutGIcaQqmbD9ZTVXMQ/edit#gid=1251630045"",""articles_with_PRISMA_reasons!B2:B2113""))&lt;2),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$A780=IMPORTRANGE(""https://docs.google.com/spreadsheets/d/1BJSV3WBYJGRhQ6zExamkszQ5VutGIcaQqmbD9ZTVXMQ/edit#gid=1251630045"",""arti"&amp;"cles_with_PRISMA_reasons!B2:B2113""))&lt;2,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$A780=IMPORTRANGE(""https://docs.google.com"&amp;"/spreadsheets/d/1BJSV3WBYJGRhQ6zExamkszQ5VutGIcaQqmbD9ZTVXMQ/edit#gid=1251630045"",""articles_with_PRISMA_reasons!B2:B2113""))&gt;=2),
""Exclude""
)"),"Exclude")</f>
        <v>Exclude</v>
      </c>
      <c r="E780" s="5" t="str">
        <f>IFERROR(__xludf.DUMMYFUNCTION("IFS(
D780=""Exclude"",""Exclude"",
AND(
FILTER(IMPORTRANGE(""https://docs.google.com/spreadsheets/d/1qpEmbGH0JjaJbUdp21-y2cPbobDbMjr09BbtdKROZWc/edit#gid=1444865654"",""articles_with_PRISMA_reasons!W2:W2113""), $A780=IMPORTRANGE(""https://docs.google.com/"&amp;"spreadsheets/d/1qpEmbGH0JjaJbUdp21-y2cPbobDbMjr09BbtdKROZWc/edit#gid=1444865654"",""articles_with_PRISMA_reasons!B2:B2113""))&gt;=2,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$A780=IMPORTRANGE(""https://docs.google.com/spreadsheets/d/1qpEmbGH0JjaJbUdp21-y2cPbobDbMjr09BbtdKROZWc/edit#gid=1444865654"",""articles_with_PRISMA_reasons!B2:B2113""))&lt;2),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$A780=IMPORTRANGE(""https://docs.google.com/spreadsheets/d/1qpEmbGH0JjaJbUdp21-y2cPbobDbMjr09BbtdKRO"&amp;"ZWc/edit#gid=1444865654"",""articles_with_PRISMA_reasons!B2:B2113""))&lt;2,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$A780=IMPOR"&amp;"TRANGE(""https://docs.google.com/spreadsheets/d/1qpEmbGH0JjaJbUdp21-y2cPbobDbMjr09BbtdKROZWc/edit#gid=1444865654"",""articles_with_PRISMA_reasons!B2:B2113""))&gt;=2),
""Exclude""
)"),"Exclude")</f>
        <v>Exclude</v>
      </c>
      <c r="F780" s="5" t="str">
        <f>IFERROR(__xludf.DUMMYFUNCTION("IFS(
E780=""Exclude"",""Exclude"",
AND(
COUNTIF(
IMPORTRANGE(""https://docs.google.com/spreadsheets/d/1kGrh75X1cNR1D7_FcY9zMnHP8iPO4M5RCRjy6nZY0TY/edit#gid=0"",""Table 1: Study characteristics!B4:B171""),A780)&gt;0,
COUNTIF(Studies!$A$2:$A$85,FILTER(IMPORTRA"&amp;"NGE(""https://docs.google.com/spreadsheets/d/1kGrh75X1cNR1D7_FcY9zMnHP8iPO4M5RCRjy6nZY0TY/edit#gid=0"",""Table 1: Study characteristics!A4:A171""), $A780=IMPORTRANGE(""https://docs.google.com/spreadsheets/d/1kGrh75X1cNR1D7_FcY9zMnHP8iPO4M5RCRjy6nZY0TY/edi"&amp;"t#gid=0"",""Table 1: Study characteristics!B4:B171"")))&gt;0
),
""Include""
)"),"Exclude")</f>
        <v>Exclude</v>
      </c>
      <c r="G780" s="5" t="s">
        <v>7</v>
      </c>
    </row>
    <row r="781">
      <c r="A781" s="4" t="str">
        <f>IFERROR(__xludf.DUMMYFUNCTION("""COMPUTED_VALUE"""),"Factors associated with the timeliness of postnatal surgical repair of spina bifida")</f>
        <v>Factors associated with the timeliness of postnatal surgical repair of spina bifida</v>
      </c>
      <c r="B781" s="5" t="str">
        <f>IFERROR(__xludf.DUMMYFUNCTION("LEFT(FILTER(IMPORTRANGE(""https://docs.google.com/spreadsheets/d/1BJSV3WBYJGRhQ6zExamkszQ5VutGIcaQqmbD9ZTVXMQ/edit#gid=1251630045"",""articles_with_PRISMA_reasons!K2:K2113""), $A781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$A781=IMPORTRANGE(""https://docs.google.com/spreadsheets/d/1BJSV3WBYJGRhQ6zExamkszQ5VutGIcaQqmbD9ZTVXMQ/edit#gid=1251630045"",""articles_with_PRISMA_reasons!B2:B2113"")))-1)"),"Radcliff")</f>
        <v>Radcliff</v>
      </c>
      <c r="C781" s="6">
        <f>IFERROR(__xludf.DUMMYFUNCTION("FILTER(IMPORTRANGE(""https://docs.google.com/spreadsheets/d/1BJSV3WBYJGRhQ6zExamkszQ5VutGIcaQqmbD9ZTVXMQ/edit#gid=1251630045"",""articles_with_PRISMA_reasons!C2:C2113""), $A781=IMPORTRANGE(""https://docs.google.com/spreadsheets/d/1BJSV3WBYJGRhQ6zExamkszQ5"&amp;"VutGIcaQqmbD9ZTVXMQ/edit#gid=1251630045"",""articles_with_PRISMA_reasons!B2:B2113""))"),2016.0)</f>
        <v>2016</v>
      </c>
      <c r="D781" s="5" t="str">
        <f>IFERROR(__xludf.DUMMYFUNCTION("IFS(AND(
FILTER(IMPORTRANGE(""https://docs.google.com/spreadsheets/d/1BJSV3WBYJGRhQ6zExamkszQ5VutGIcaQqmbD9ZTVXMQ/edit#gid=1251630045"",""articles_with_PRISMA_reasons!Y2:Y2113""), $A781=IMPORTRANGE(""https://docs.google.com/spreadsheets/d/1BJSV3WBYJGRhQ6z"&amp;"ExamkszQ5VutGIcaQqmbD9ZTVXMQ/edit#gid=1251630045"",""articles_with_PRISMA_reasons!B2:B2113""))&gt;=2,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$A781=IMPORTRANGE(""https://docs.google.com/spreadsheets/d/1BJSV3WBYJGRhQ6zExamkszQ5VutGIcaQqmbD9ZTVXMQ/edit#gid=1251630045"",""articles_with_PRISMA_reasons!B2:B2113""))&lt;2),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$A781=IMPORTRANGE(""https://docs.google.com/spreadsheets/d/1BJSV3WBYJGRhQ6zExamkszQ5VutGIcaQqmbD9ZTVXMQ/edit#gid=1251630045"",""arti"&amp;"cles_with_PRISMA_reasons!B2:B2113""))&lt;2,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$A781=IMPORTRANGE(""https://docs.google.com"&amp;"/spreadsheets/d/1BJSV3WBYJGRhQ6zExamkszQ5VutGIcaQqmbD9ZTVXMQ/edit#gid=1251630045"",""articles_with_PRISMA_reasons!B2:B2113""))&gt;=2),
""Exclude""
)"),"Exclude")</f>
        <v>Exclude</v>
      </c>
      <c r="E781" s="5" t="str">
        <f>IFERROR(__xludf.DUMMYFUNCTION("IFS(
D781=""Exclude"",""Exclude"",
AND(
FILTER(IMPORTRANGE(""https://docs.google.com/spreadsheets/d/1qpEmbGH0JjaJbUdp21-y2cPbobDbMjr09BbtdKROZWc/edit#gid=1444865654"",""articles_with_PRISMA_reasons!W2:W2113""), $A781=IMPORTRANGE(""https://docs.google.com/"&amp;"spreadsheets/d/1qpEmbGH0JjaJbUdp21-y2cPbobDbMjr09BbtdKROZWc/edit#gid=1444865654"",""articles_with_PRISMA_reasons!B2:B2113""))&gt;=2,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$A781=IMPORTRANGE(""https://docs.google.com/spreadsheets/d/1qpEmbGH0JjaJbUdp21-y2cPbobDbMjr09BbtdKROZWc/edit#gid=1444865654"",""articles_with_PRISMA_reasons!B2:B2113""))&lt;2),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$A781=IMPORTRANGE(""https://docs.google.com/spreadsheets/d/1qpEmbGH0JjaJbUdp21-y2cPbobDbMjr09BbtdKRO"&amp;"ZWc/edit#gid=1444865654"",""articles_with_PRISMA_reasons!B2:B2113""))&lt;2,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$A781=IMPOR"&amp;"TRANGE(""https://docs.google.com/spreadsheets/d/1qpEmbGH0JjaJbUdp21-y2cPbobDbMjr09BbtdKROZWc/edit#gid=1444865654"",""articles_with_PRISMA_reasons!B2:B2113""))&gt;=2),
""Exclude""
)"),"Exclude")</f>
        <v>Exclude</v>
      </c>
      <c r="F781" s="5" t="str">
        <f>IFERROR(__xludf.DUMMYFUNCTION("IFS(
E781=""Exclude"",""Exclude"",
AND(
COUNTIF(
IMPORTRANGE(""https://docs.google.com/spreadsheets/d/1kGrh75X1cNR1D7_FcY9zMnHP8iPO4M5RCRjy6nZY0TY/edit#gid=0"",""Table 1: Study characteristics!B4:B171""),A781)&gt;0,
COUNTIF(Studies!$A$2:$A$85,FILTER(IMPORTRA"&amp;"NGE(""https://docs.google.com/spreadsheets/d/1kGrh75X1cNR1D7_FcY9zMnHP8iPO4M5RCRjy6nZY0TY/edit#gid=0"",""Table 1: Study characteristics!A4:A171""), $A781=IMPORTRANGE(""https://docs.google.com/spreadsheets/d/1kGrh75X1cNR1D7_FcY9zMnHP8iPO4M5RCRjy6nZY0TY/edi"&amp;"t#gid=0"",""Table 1: Study characteristics!B4:B171"")))&gt;0
),
""Include""
)"),"Exclude")</f>
        <v>Exclude</v>
      </c>
      <c r="G781" s="5" t="str">
        <f>IFERROR(__xludf.DUMMYFUNCTION("IFS(
D781=""Exclude"",
FILTER(IMPORTRANGE(""https://docs.google.com/spreadsheets/d/1BJSV3WBYJGRhQ6zExamkszQ5VutGIcaQqmbD9ZTVXMQ/edit#gid=1251630045"",""articles_with_PRISMA_reasons!AB2:AB2113""), $A781=IMPORTRANGE(""https://docs.google.com/spreadsheets/d/"&amp;"1BJSV3WBYJGRhQ6zExamkszQ5VutGIcaQqmbD9ZTVXMQ/edit#gid=1251630045"",""articles_with_PRISMA_reasons!B2:B2113"")),
E781=""Exclude"",
FILTER(IMPORTRANGE(""https://docs.google.com/spreadsheets/d/1qpEmbGH0JjaJbUdp21-y2cPbobDbMjr09BbtdKROZWc/edit#gid=1444865654"&amp;""",""articles_with_PRISMA_reasons!Z2:Z2113""), $A781=IMPORTRANGE(""https://docs.google.com/spreadsheets/d/1qpEmbGH0JjaJbUdp21-y2cPbobDbMjr09BbtdKROZWc/edit#gid=1444865654"",""articles_with_PRISMA_reasons!B2:B2113"")),F781
=""Include"",FILTER(IMPORTRANGE("&amp;"""https://docs.google.com/spreadsheets/d/1kGrh75X1cNR1D7_FcY9zMnHP8iPO4M5RCRjy6nZY0TY/edit#gid=0"",""Table 1: Study characteristics!A4:A171""), $A781=IMPORTRANGE(""https://docs.google.com/spreadsheets/d/1kGrh75X1cNR1D7_FcY9zMnHP8iPO4M5RCRjy6nZY0TY/edit#gi"&amp;"d=0"",""Table 1: Study characteristics!B4:B171""))
)"),"wrong population")</f>
        <v>wrong population</v>
      </c>
    </row>
    <row r="782">
      <c r="A782" s="4" t="str">
        <f>IFERROR(__xludf.DUMMYFUNCTION("""COMPUTED_VALUE"""),"Factors Associated with Timeliness of Surgical Repair among Infants with Myelomeningocele: California Perinatal Quality Care Collaborative, 2006 to 2011")</f>
        <v>Factors Associated with Timeliness of Surgical Repair among Infants with Myelomeningocele: California Perinatal Quality Care Collaborative, 2006 to 2011</v>
      </c>
      <c r="B782" s="5" t="str">
        <f>IFERROR(__xludf.DUMMYFUNCTION("LEFT(FILTER(IMPORTRANGE(""https://docs.google.com/spreadsheets/d/1BJSV3WBYJGRhQ6zExamkszQ5VutGIcaQqmbD9ZTVXMQ/edit#gid=1251630045"",""articles_with_PRISMA_reasons!K2:K2113""), $A782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$A782=IMPORTRANGE(""https://docs.google.com/spreadsheets/d/1BJSV3WBYJGRhQ6zExamkszQ5VutGIcaQqmbD9ZTVXMQ/edit#gid=1251630045"",""articles_with_PRISMA_reasons!B2:B2113"")))-1)"),"Ma")</f>
        <v>Ma</v>
      </c>
      <c r="C782" s="6">
        <f>IFERROR(__xludf.DUMMYFUNCTION("FILTER(IMPORTRANGE(""https://docs.google.com/spreadsheets/d/1BJSV3WBYJGRhQ6zExamkszQ5VutGIcaQqmbD9ZTVXMQ/edit#gid=1251630045"",""articles_with_PRISMA_reasons!C2:C2113""), $A782=IMPORTRANGE(""https://docs.google.com/spreadsheets/d/1BJSV3WBYJGRhQ6zExamkszQ5"&amp;"VutGIcaQqmbD9ZTVXMQ/edit#gid=1251630045"",""articles_with_PRISMA_reasons!B2:B2113""))"),2020.0)</f>
        <v>2020</v>
      </c>
      <c r="D782" s="5" t="str">
        <f>IFERROR(__xludf.DUMMYFUNCTION("IFS(AND(
FILTER(IMPORTRANGE(""https://docs.google.com/spreadsheets/d/1BJSV3WBYJGRhQ6zExamkszQ5VutGIcaQqmbD9ZTVXMQ/edit#gid=1251630045"",""articles_with_PRISMA_reasons!Y2:Y2113""), $A782=IMPORTRANGE(""https://docs.google.com/spreadsheets/d/1BJSV3WBYJGRhQ6z"&amp;"ExamkszQ5VutGIcaQqmbD9ZTVXMQ/edit#gid=1251630045"",""articles_with_PRISMA_reasons!B2:B2113""))&gt;=2,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$A782=IMPORTRANGE(""https://docs.google.com/spreadsheets/d/1BJSV3WBYJGRhQ6zExamkszQ5VutGIcaQqmbD9ZTVXMQ/edit#gid=1251630045"",""articles_with_PRISMA_reasons!B2:B2113""))&lt;2),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$A782=IMPORTRANGE(""https://docs.google.com/spreadsheets/d/1BJSV3WBYJGRhQ6zExamkszQ5VutGIcaQqmbD9ZTVXMQ/edit#gid=1251630045"",""arti"&amp;"cles_with_PRISMA_reasons!B2:B2113""))&lt;2,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$A782=IMPORTRANGE(""https://docs.google.com"&amp;"/spreadsheets/d/1BJSV3WBYJGRhQ6zExamkszQ5VutGIcaQqmbD9ZTVXMQ/edit#gid=1251630045"",""articles_with_PRISMA_reasons!B2:B2113""))&gt;=2),
""Exclude""
)"),"Exclude")</f>
        <v>Exclude</v>
      </c>
      <c r="E782" s="5" t="str">
        <f>IFERROR(__xludf.DUMMYFUNCTION("IFS(
D782=""Exclude"",""Exclude"",
AND(
FILTER(IMPORTRANGE(""https://docs.google.com/spreadsheets/d/1qpEmbGH0JjaJbUdp21-y2cPbobDbMjr09BbtdKROZWc/edit#gid=1444865654"",""articles_with_PRISMA_reasons!W2:W2113""), $A782=IMPORTRANGE(""https://docs.google.com/"&amp;"spreadsheets/d/1qpEmbGH0JjaJbUdp21-y2cPbobDbMjr09BbtdKROZWc/edit#gid=1444865654"",""articles_with_PRISMA_reasons!B2:B2113""))&gt;=2,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$A782=IMPORTRANGE(""https://docs.google.com/spreadsheets/d/1qpEmbGH0JjaJbUdp21-y2cPbobDbMjr09BbtdKROZWc/edit#gid=1444865654"",""articles_with_PRISMA_reasons!B2:B2113""))&lt;2),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$A782=IMPORTRANGE(""https://docs.google.com/spreadsheets/d/1qpEmbGH0JjaJbUdp21-y2cPbobDbMjr09BbtdKRO"&amp;"ZWc/edit#gid=1444865654"",""articles_with_PRISMA_reasons!B2:B2113""))&lt;2,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$A782=IMPOR"&amp;"TRANGE(""https://docs.google.com/spreadsheets/d/1qpEmbGH0JjaJbUdp21-y2cPbobDbMjr09BbtdKROZWc/edit#gid=1444865654"",""articles_with_PRISMA_reasons!B2:B2113""))&gt;=2),
""Exclude""
)"),"Exclude")</f>
        <v>Exclude</v>
      </c>
      <c r="F782" s="5" t="str">
        <f>IFERROR(__xludf.DUMMYFUNCTION("IFS(
E782=""Exclude"",""Exclude"",
AND(
COUNTIF(
IMPORTRANGE(""https://docs.google.com/spreadsheets/d/1kGrh75X1cNR1D7_FcY9zMnHP8iPO4M5RCRjy6nZY0TY/edit#gid=0"",""Table 1: Study characteristics!B4:B171""),A782)&gt;0,
COUNTIF(Studies!$A$2:$A$85,FILTER(IMPORTRA"&amp;"NGE(""https://docs.google.com/spreadsheets/d/1kGrh75X1cNR1D7_FcY9zMnHP8iPO4M5RCRjy6nZY0TY/edit#gid=0"",""Table 1: Study characteristics!A4:A171""), $A782=IMPORTRANGE(""https://docs.google.com/spreadsheets/d/1kGrh75X1cNR1D7_FcY9zMnHP8iPO4M5RCRjy6nZY0TY/edi"&amp;"t#gid=0"",""Table 1: Study characteristics!B4:B171"")))&gt;0
),
""Include""
)"),"Exclude")</f>
        <v>Exclude</v>
      </c>
      <c r="G782" s="5" t="str">
        <f>IFERROR(__xludf.DUMMYFUNCTION("IFS(
D782=""Exclude"",
FILTER(IMPORTRANGE(""https://docs.google.com/spreadsheets/d/1BJSV3WBYJGRhQ6zExamkszQ5VutGIcaQqmbD9ZTVXMQ/edit#gid=1251630045"",""articles_with_PRISMA_reasons!AB2:AB2113""), $A782=IMPORTRANGE(""https://docs.google.com/spreadsheets/d/"&amp;"1BJSV3WBYJGRhQ6zExamkszQ5VutGIcaQqmbD9ZTVXMQ/edit#gid=1251630045"",""articles_with_PRISMA_reasons!B2:B2113"")),
E782=""Exclude"",
FILTER(IMPORTRANGE(""https://docs.google.com/spreadsheets/d/1qpEmbGH0JjaJbUdp21-y2cPbobDbMjr09BbtdKROZWc/edit#gid=1444865654"&amp;""",""articles_with_PRISMA_reasons!Z2:Z2113""), $A782=IMPORTRANGE(""https://docs.google.com/spreadsheets/d/1qpEmbGH0JjaJbUdp21-y2cPbobDbMjr09BbtdKROZWc/edit#gid=1444865654"",""articles_with_PRISMA_reasons!B2:B2113"")),F782
=""Include"",FILTER(IMPORTRANGE("&amp;"""https://docs.google.com/spreadsheets/d/1kGrh75X1cNR1D7_FcY9zMnHP8iPO4M5RCRjy6nZY0TY/edit#gid=0"",""Table 1: Study characteristics!A4:A171""), $A782=IMPORTRANGE(""https://docs.google.com/spreadsheets/d/1kGrh75X1cNR1D7_FcY9zMnHP8iPO4M5RCRjy6nZY0TY/edit#gi"&amp;"d=0"",""Table 1: Study characteristics!B4:B171""))
)"),"wrong population")</f>
        <v>wrong population</v>
      </c>
    </row>
    <row r="783">
      <c r="A783" s="4" t="str">
        <f>IFERROR(__xludf.DUMMYFUNCTION("""COMPUTED_VALUE"""),"Factors influencing ambulation in myelomeningocele: a cross-sectional study")</f>
        <v>Factors influencing ambulation in myelomeningocele: a cross-sectional study</v>
      </c>
      <c r="B783" s="5" t="str">
        <f>IFERROR(__xludf.DUMMYFUNCTION("LEFT(FILTER(IMPORTRANGE(""https://docs.google.com/spreadsheets/d/1BJSV3WBYJGRhQ6zExamkszQ5VutGIcaQqmbD9ZTVXMQ/edit#gid=1251630045"",""articles_with_PRISMA_reasons!K2:K2113""), $A783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$A783=IMPORTRANGE(""https://docs.google.com/spreadsheets/d/1BJSV3WBYJGRhQ6zExamkszQ5VutGIcaQqmbD9ZTVXMQ/edit#gid=1251630045"",""articles_with_PRISMA_reasons!B2:B2113"")))-1)"),"Bartonek")</f>
        <v>Bartonek</v>
      </c>
      <c r="C783" s="6">
        <f>IFERROR(__xludf.DUMMYFUNCTION("FILTER(IMPORTRANGE(""https://docs.google.com/spreadsheets/d/1BJSV3WBYJGRhQ6zExamkszQ5VutGIcaQqmbD9ZTVXMQ/edit#gid=1251630045"",""articles_with_PRISMA_reasons!C2:C2113""), $A783=IMPORTRANGE(""https://docs.google.com/spreadsheets/d/1BJSV3WBYJGRhQ6zExamkszQ5"&amp;"VutGIcaQqmbD9ZTVXMQ/edit#gid=1251630045"",""articles_with_PRISMA_reasons!B2:B2113""))"),2001.0)</f>
        <v>2001</v>
      </c>
      <c r="D783" s="5" t="str">
        <f>IFERROR(__xludf.DUMMYFUNCTION("IFS(AND(
FILTER(IMPORTRANGE(""https://docs.google.com/spreadsheets/d/1BJSV3WBYJGRhQ6zExamkszQ5VutGIcaQqmbD9ZTVXMQ/edit#gid=1251630045"",""articles_with_PRISMA_reasons!Y2:Y2113""), $A783=IMPORTRANGE(""https://docs.google.com/spreadsheets/d/1BJSV3WBYJGRhQ6z"&amp;"ExamkszQ5VutGIcaQqmbD9ZTVXMQ/edit#gid=1251630045"",""articles_with_PRISMA_reasons!B2:B2113""))&gt;=2,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$A783=IMPORTRANGE(""https://docs.google.com/spreadsheets/d/1BJSV3WBYJGRhQ6zExamkszQ5VutGIcaQqmbD9ZTVXMQ/edit#gid=1251630045"",""articles_with_PRISMA_reasons!B2:B2113""))&lt;2),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$A783=IMPORTRANGE(""https://docs.google.com/spreadsheets/d/1BJSV3WBYJGRhQ6zExamkszQ5VutGIcaQqmbD9ZTVXMQ/edit#gid=1251630045"",""arti"&amp;"cles_with_PRISMA_reasons!B2:B2113""))&lt;2,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$A783=IMPORTRANGE(""https://docs.google.com"&amp;"/spreadsheets/d/1BJSV3WBYJGRhQ6zExamkszQ5VutGIcaQqmbD9ZTVXMQ/edit#gid=1251630045"",""articles_with_PRISMA_reasons!B2:B2113""))&gt;=2),
""Exclude""
)"),"Exclude")</f>
        <v>Exclude</v>
      </c>
      <c r="E783" s="5" t="str">
        <f>IFERROR(__xludf.DUMMYFUNCTION("IFS(
D783=""Exclude"",""Exclude"",
AND(
FILTER(IMPORTRANGE(""https://docs.google.com/spreadsheets/d/1qpEmbGH0JjaJbUdp21-y2cPbobDbMjr09BbtdKROZWc/edit#gid=1444865654"",""articles_with_PRISMA_reasons!W2:W2113""), $A783=IMPORTRANGE(""https://docs.google.com/"&amp;"spreadsheets/d/1qpEmbGH0JjaJbUdp21-y2cPbobDbMjr09BbtdKROZWc/edit#gid=1444865654"",""articles_with_PRISMA_reasons!B2:B2113""))&gt;=2,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$A783=IMPORTRANGE(""https://docs.google.com/spreadsheets/d/1qpEmbGH0JjaJbUdp21-y2cPbobDbMjr09BbtdKROZWc/edit#gid=1444865654"",""articles_with_PRISMA_reasons!B2:B2113""))&lt;2),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$A783=IMPORTRANGE(""https://docs.google.com/spreadsheets/d/1qpEmbGH0JjaJbUdp21-y2cPbobDbMjr09BbtdKRO"&amp;"ZWc/edit#gid=1444865654"",""articles_with_PRISMA_reasons!B2:B2113""))&lt;2,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$A783=IMPOR"&amp;"TRANGE(""https://docs.google.com/spreadsheets/d/1qpEmbGH0JjaJbUdp21-y2cPbobDbMjr09BbtdKROZWc/edit#gid=1444865654"",""articles_with_PRISMA_reasons!B2:B2113""))&gt;=2),
""Exclude""
)"),"Exclude")</f>
        <v>Exclude</v>
      </c>
      <c r="F783" s="5" t="str">
        <f>IFERROR(__xludf.DUMMYFUNCTION("IFS(
E783=""Exclude"",""Exclude"",
AND(
COUNTIF(
IMPORTRANGE(""https://docs.google.com/spreadsheets/d/1kGrh75X1cNR1D7_FcY9zMnHP8iPO4M5RCRjy6nZY0TY/edit#gid=0"",""Table 1: Study characteristics!B4:B171""),A783)&gt;0,
COUNTIF(Studies!$A$2:$A$85,FILTER(IMPORTRA"&amp;"NGE(""https://docs.google.com/spreadsheets/d/1kGrh75X1cNR1D7_FcY9zMnHP8iPO4M5RCRjy6nZY0TY/edit#gid=0"",""Table 1: Study characteristics!A4:A171""), $A783=IMPORTRANGE(""https://docs.google.com/spreadsheets/d/1kGrh75X1cNR1D7_FcY9zMnHP8iPO4M5RCRjy6nZY0TY/edi"&amp;"t#gid=0"",""Table 1: Study characteristics!B4:B171"")))&gt;0
),
""Include""
)"),"Exclude")</f>
        <v>Exclude</v>
      </c>
      <c r="G783" s="5" t="str">
        <f>IFERROR(__xludf.DUMMYFUNCTION("IFS(
D783=""Exclude"",
FILTER(IMPORTRANGE(""https://docs.google.com/spreadsheets/d/1BJSV3WBYJGRhQ6zExamkszQ5VutGIcaQqmbD9ZTVXMQ/edit#gid=1251630045"",""articles_with_PRISMA_reasons!AB2:AB2113""), $A783=IMPORTRANGE(""https://docs.google.com/spreadsheets/d/"&amp;"1BJSV3WBYJGRhQ6zExamkszQ5VutGIcaQqmbD9ZTVXMQ/edit#gid=1251630045"",""articles_with_PRISMA_reasons!B2:B2113"")),
E783=""Exclude"",
FILTER(IMPORTRANGE(""https://docs.google.com/spreadsheets/d/1qpEmbGH0JjaJbUdp21-y2cPbobDbMjr09BbtdKROZWc/edit#gid=1444865654"&amp;""",""articles_with_PRISMA_reasons!Z2:Z2113""), $A783=IMPORTRANGE(""https://docs.google.com/spreadsheets/d/1qpEmbGH0JjaJbUdp21-y2cPbobDbMjr09BbtdKROZWc/edit#gid=1444865654"",""articles_with_PRISMA_reasons!B2:B2113"")),F783
=""Include"",FILTER(IMPORTRANGE("&amp;"""https://docs.google.com/spreadsheets/d/1kGrh75X1cNR1D7_FcY9zMnHP8iPO4M5RCRjy6nZY0TY/edit#gid=0"",""Table 1: Study characteristics!A4:A171""), $A783=IMPORTRANGE(""https://docs.google.com/spreadsheets/d/1kGrh75X1cNR1D7_FcY9zMnHP8iPO4M5RCRjy6nZY0TY/edit#gi"&amp;"d=0"",""Table 1: Study characteristics!B4:B171""))
)"),"wrong study design")</f>
        <v>wrong study design</v>
      </c>
    </row>
    <row r="784">
      <c r="A784" s="4" t="str">
        <f>IFERROR(__xludf.DUMMYFUNCTION("""COMPUTED_VALUE"""),"Factors related to endoscopic third ventriculostomy prognosis in the paediatric population")</f>
        <v>Factors related to endoscopic third ventriculostomy prognosis in the paediatric population</v>
      </c>
      <c r="B784" s="5" t="str">
        <f>IFERROR(__xludf.DUMMYFUNCTION("LEFT(FILTER(IMPORTRANGE(""https://docs.google.com/spreadsheets/d/1BJSV3WBYJGRhQ6zExamkszQ5VutGIcaQqmbD9ZTVXMQ/edit#gid=1251630045"",""articles_with_PRISMA_reasons!K2:K2113""), $A784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$A784=IMPORTRANGE(""https://docs.google.com/spreadsheets/d/1BJSV3WBYJGRhQ6zExamkszQ5VutGIcaQqmbD9ZTVXMQ/edit#gid=1251630045"",""articles_with_PRISMA_reasons!B2:B2113"")))-1)"),"Iglesias")</f>
        <v>Iglesias</v>
      </c>
      <c r="C784" s="6">
        <f>IFERROR(__xludf.DUMMYFUNCTION("FILTER(IMPORTRANGE(""https://docs.google.com/spreadsheets/d/1BJSV3WBYJGRhQ6zExamkszQ5VutGIcaQqmbD9ZTVXMQ/edit#gid=1251630045"",""articles_with_PRISMA_reasons!C2:C2113""), $A784=IMPORTRANGE(""https://docs.google.com/spreadsheets/d/1BJSV3WBYJGRhQ6zExamkszQ5"&amp;"VutGIcaQqmbD9ZTVXMQ/edit#gid=1251630045"",""articles_with_PRISMA_reasons!B2:B2113""))"),2013.0)</f>
        <v>2013</v>
      </c>
      <c r="D784" s="5" t="str">
        <f>IFERROR(__xludf.DUMMYFUNCTION("IFS(AND(
FILTER(IMPORTRANGE(""https://docs.google.com/spreadsheets/d/1BJSV3WBYJGRhQ6zExamkszQ5VutGIcaQqmbD9ZTVXMQ/edit#gid=1251630045"",""articles_with_PRISMA_reasons!Y2:Y2113""), $A784=IMPORTRANGE(""https://docs.google.com/spreadsheets/d/1BJSV3WBYJGRhQ6z"&amp;"ExamkszQ5VutGIcaQqmbD9ZTVXMQ/edit#gid=1251630045"",""articles_with_PRISMA_reasons!B2:B2113""))&gt;=2,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$A784=IMPORTRANGE(""https://docs.google.com/spreadsheets/d/1BJSV3WBYJGRhQ6zExamkszQ5VutGIcaQqmbD9ZTVXMQ/edit#gid=1251630045"",""articles_with_PRISMA_reasons!B2:B2113""))&lt;2),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$A784=IMPORTRANGE(""https://docs.google.com/spreadsheets/d/1BJSV3WBYJGRhQ6zExamkszQ5VutGIcaQqmbD9ZTVXMQ/edit#gid=1251630045"",""arti"&amp;"cles_with_PRISMA_reasons!B2:B2113""))&lt;2,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$A784=IMPORTRANGE(""https://docs.google.com"&amp;"/spreadsheets/d/1BJSV3WBYJGRhQ6zExamkszQ5VutGIcaQqmbD9ZTVXMQ/edit#gid=1251630045"",""articles_with_PRISMA_reasons!B2:B2113""))&gt;=2),
""Exclude""
)"),"Include")</f>
        <v>Include</v>
      </c>
      <c r="E784" s="5" t="str">
        <f>IFERROR(__xludf.DUMMYFUNCTION("IFS(
D784=""Exclude"",""Exclude"",
AND(
FILTER(IMPORTRANGE(""https://docs.google.com/spreadsheets/d/1qpEmbGH0JjaJbUdp21-y2cPbobDbMjr09BbtdKROZWc/edit#gid=1444865654"",""articles_with_PRISMA_reasons!W2:W2113""), $A784=IMPORTRANGE(""https://docs.google.com/"&amp;"spreadsheets/d/1qpEmbGH0JjaJbUdp21-y2cPbobDbMjr09BbtdKROZWc/edit#gid=1444865654"",""articles_with_PRISMA_reasons!B2:B2113""))&gt;=2,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$A784=IMPORTRANGE(""https://docs.google.com/spreadsheets/d/1qpEmbGH0JjaJbUdp21-y2cPbobDbMjr09BbtdKROZWc/edit#gid=1444865654"",""articles_with_PRISMA_reasons!B2:B2113""))&lt;2),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$A784=IMPORTRANGE(""https://docs.google.com/spreadsheets/d/1qpEmbGH0JjaJbUdp21-y2cPbobDbMjr09BbtdKRO"&amp;"ZWc/edit#gid=1444865654"",""articles_with_PRISMA_reasons!B2:B2113""))&lt;2,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$A784=IMPOR"&amp;"TRANGE(""https://docs.google.com/spreadsheets/d/1qpEmbGH0JjaJbUdp21-y2cPbobDbMjr09BbtdKROZWc/edit#gid=1444865654"",""articles_with_PRISMA_reasons!B2:B2113""))&gt;=2),
""Exclude""
)"),"Exclude")</f>
        <v>Exclude</v>
      </c>
      <c r="F784" s="5" t="str">
        <f>IFERROR(__xludf.DUMMYFUNCTION("IFS(
E784=""Exclude"",""Exclude"",
AND(
COUNTIF(
IMPORTRANGE(""https://docs.google.com/spreadsheets/d/1kGrh75X1cNR1D7_FcY9zMnHP8iPO4M5RCRjy6nZY0TY/edit#gid=0"",""Table 1: Study characteristics!B4:B171""),A784)&gt;0,
COUNTIF(Studies!$A$2:$A$85,FILTER(IMPORTRA"&amp;"NGE(""https://docs.google.com/spreadsheets/d/1kGrh75X1cNR1D7_FcY9zMnHP8iPO4M5RCRjy6nZY0TY/edit#gid=0"",""Table 1: Study characteristics!A4:A171""), $A784=IMPORTRANGE(""https://docs.google.com/spreadsheets/d/1kGrh75X1cNR1D7_FcY9zMnHP8iPO4M5RCRjy6nZY0TY/edi"&amp;"t#gid=0"",""Table 1: Study characteristics!B4:B171"")))&gt;0
),
""Include""
)"),"Exclude")</f>
        <v>Exclude</v>
      </c>
      <c r="G784" s="5" t="str">
        <f>IFERROR(__xludf.DUMMYFUNCTION("IFS(
D784=""Exclude"",
FILTER(IMPORTRANGE(""https://docs.google.com/spreadsheets/d/1BJSV3WBYJGRhQ6zExamkszQ5VutGIcaQqmbD9ZTVXMQ/edit#gid=1251630045"",""articles_with_PRISMA_reasons!AB2:AB2113""), $A784=IMPORTRANGE(""https://docs.google.com/spreadsheets/d/"&amp;"1BJSV3WBYJGRhQ6zExamkszQ5VutGIcaQqmbD9ZTVXMQ/edit#gid=1251630045"",""articles_with_PRISMA_reasons!B2:B2113"")),
E784=""Exclude"",
FILTER(IMPORTRANGE(""https://docs.google.com/spreadsheets/d/1qpEmbGH0JjaJbUdp21-y2cPbobDbMjr09BbtdKROZWc/edit#gid=1444865654"&amp;""",""articles_with_PRISMA_reasons!Z2:Z2113""), $A784=IMPORTRANGE(""https://docs.google.com/spreadsheets/d/1qpEmbGH0JjaJbUdp21-y2cPbobDbMjr09BbtdKROZWc/edit#gid=1444865654"",""articles_with_PRISMA_reasons!B2:B2113"")),F784
=""Include"",FILTER(IMPORTRANGE("&amp;"""https://docs.google.com/spreadsheets/d/1kGrh75X1cNR1D7_FcY9zMnHP8iPO4M5RCRjy6nZY0TY/edit#gid=0"",""Table 1: Study characteristics!A4:A171""), $A784=IMPORTRANGE(""https://docs.google.com/spreadsheets/d/1kGrh75X1cNR1D7_FcY9zMnHP8iPO4M5RCRjy6nZY0TY/edit#gi"&amp;"d=0"",""Table 1: Study characteristics!B4:B171""))
)"),"wrong population")</f>
        <v>wrong population</v>
      </c>
    </row>
    <row r="785">
      <c r="A785" s="4" t="str">
        <f>IFERROR(__xludf.DUMMYFUNCTION("""COMPUTED_VALUE"""),"Failure of oral acetazolamide to avert hydrocephalus in infants with myelomeningocele")</f>
        <v>Failure of oral acetazolamide to avert hydrocephalus in infants with myelomeningocele</v>
      </c>
      <c r="B785" s="5" t="str">
        <f>IFERROR(__xludf.DUMMYFUNCTION("LEFT(FILTER(IMPORTRANGE(""https://docs.google.com/spreadsheets/d/1BJSV3WBYJGRhQ6zExamkszQ5VutGIcaQqmbD9ZTVXMQ/edit#gid=1251630045"",""articles_with_PRISMA_reasons!K2:K2113""), $A785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$A785=IMPORTRANGE(""https://docs.google.com/spreadsheets/d/1BJSV3WBYJGRhQ6zExamkszQ5VutGIcaQqmbD9ZTVXMQ/edit#gid=1251630045"",""articles_with_PRISMA_reasons!B2:B2113"")))-1)"),"Mealey")</f>
        <v>Mealey</v>
      </c>
      <c r="C785" s="6">
        <f>IFERROR(__xludf.DUMMYFUNCTION("FILTER(IMPORTRANGE(""https://docs.google.com/spreadsheets/d/1BJSV3WBYJGRhQ6zExamkszQ5VutGIcaQqmbD9ZTVXMQ/edit#gid=1251630045"",""articles_with_PRISMA_reasons!C2:C2113""), $A785=IMPORTRANGE(""https://docs.google.com/spreadsheets/d/1BJSV3WBYJGRhQ6zExamkszQ5"&amp;"VutGIcaQqmbD9ZTVXMQ/edit#gid=1251630045"",""articles_with_PRISMA_reasons!B2:B2113""))"),1968.0)</f>
        <v>1968</v>
      </c>
      <c r="D785" s="5" t="str">
        <f>IFERROR(__xludf.DUMMYFUNCTION("IFS(AND(
FILTER(IMPORTRANGE(""https://docs.google.com/spreadsheets/d/1BJSV3WBYJGRhQ6zExamkszQ5VutGIcaQqmbD9ZTVXMQ/edit#gid=1251630045"",""articles_with_PRISMA_reasons!Y2:Y2113""), $A785=IMPORTRANGE(""https://docs.google.com/spreadsheets/d/1BJSV3WBYJGRhQ6z"&amp;"ExamkszQ5VutGIcaQqmbD9ZTVXMQ/edit#gid=1251630045"",""articles_with_PRISMA_reasons!B2:B2113""))&gt;=2,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$A785=IMPORTRANGE(""https://docs.google.com/spreadsheets/d/1BJSV3WBYJGRhQ6zExamkszQ5VutGIcaQqmbD9ZTVXMQ/edit#gid=1251630045"",""articles_with_PRISMA_reasons!B2:B2113""))&lt;2),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$A785=IMPORTRANGE(""https://docs.google.com/spreadsheets/d/1BJSV3WBYJGRhQ6zExamkszQ5VutGIcaQqmbD9ZTVXMQ/edit#gid=1251630045"",""arti"&amp;"cles_with_PRISMA_reasons!B2:B2113""))&lt;2,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$A785=IMPORTRANGE(""https://docs.google.com"&amp;"/spreadsheets/d/1BJSV3WBYJGRhQ6zExamkszQ5VutGIcaQqmbD9ZTVXMQ/edit#gid=1251630045"",""articles_with_PRISMA_reasons!B2:B2113""))&gt;=2),
""Exclude""
)"),"Exclude")</f>
        <v>Exclude</v>
      </c>
      <c r="E785" s="5" t="str">
        <f>IFERROR(__xludf.DUMMYFUNCTION("IFS(
D785=""Exclude"",""Exclude"",
AND(
FILTER(IMPORTRANGE(""https://docs.google.com/spreadsheets/d/1qpEmbGH0JjaJbUdp21-y2cPbobDbMjr09BbtdKROZWc/edit#gid=1444865654"",""articles_with_PRISMA_reasons!W2:W2113""), $A785=IMPORTRANGE(""https://docs.google.com/"&amp;"spreadsheets/d/1qpEmbGH0JjaJbUdp21-y2cPbobDbMjr09BbtdKROZWc/edit#gid=1444865654"",""articles_with_PRISMA_reasons!B2:B2113""))&gt;=2,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$A785=IMPORTRANGE(""https://docs.google.com/spreadsheets/d/1qpEmbGH0JjaJbUdp21-y2cPbobDbMjr09BbtdKROZWc/edit#gid=1444865654"",""articles_with_PRISMA_reasons!B2:B2113""))&lt;2),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$A785=IMPORTRANGE(""https://docs.google.com/spreadsheets/d/1qpEmbGH0JjaJbUdp21-y2cPbobDbMjr09BbtdKRO"&amp;"ZWc/edit#gid=1444865654"",""articles_with_PRISMA_reasons!B2:B2113""))&lt;2,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$A785=IMPOR"&amp;"TRANGE(""https://docs.google.com/spreadsheets/d/1qpEmbGH0JjaJbUdp21-y2cPbobDbMjr09BbtdKROZWc/edit#gid=1444865654"",""articles_with_PRISMA_reasons!B2:B2113""))&gt;=2),
""Exclude""
)"),"Exclude")</f>
        <v>Exclude</v>
      </c>
      <c r="F785" s="5" t="str">
        <f>IFERROR(__xludf.DUMMYFUNCTION("IFS(
E785=""Exclude"",""Exclude"",
AND(
COUNTIF(
IMPORTRANGE(""https://docs.google.com/spreadsheets/d/1kGrh75X1cNR1D7_FcY9zMnHP8iPO4M5RCRjy6nZY0TY/edit#gid=0"",""Table 1: Study characteristics!B4:B171""),A785)&gt;0,
COUNTIF(Studies!$A$2:$A$85,FILTER(IMPORTRA"&amp;"NGE(""https://docs.google.com/spreadsheets/d/1kGrh75X1cNR1D7_FcY9zMnHP8iPO4M5RCRjy6nZY0TY/edit#gid=0"",""Table 1: Study characteristics!A4:A171""), $A785=IMPORTRANGE(""https://docs.google.com/spreadsheets/d/1kGrh75X1cNR1D7_FcY9zMnHP8iPO4M5RCRjy6nZY0TY/edi"&amp;"t#gid=0"",""Table 1: Study characteristics!B4:B171"")))&gt;0
),
""Include""
)"),"Exclude")</f>
        <v>Exclude</v>
      </c>
      <c r="G785" s="5" t="str">
        <f>IFERROR(__xludf.DUMMYFUNCTION("IFS(
D785=""Exclude"",
FILTER(IMPORTRANGE(""https://docs.google.com/spreadsheets/d/1BJSV3WBYJGRhQ6zExamkszQ5VutGIcaQqmbD9ZTVXMQ/edit#gid=1251630045"",""articles_with_PRISMA_reasons!AB2:AB2113""), $A785=IMPORTRANGE(""https://docs.google.com/spreadsheets/d/"&amp;"1BJSV3WBYJGRhQ6zExamkszQ5VutGIcaQqmbD9ZTVXMQ/edit#gid=1251630045"",""articles_with_PRISMA_reasons!B2:B2113"")),
E785=""Exclude"",
FILTER(IMPORTRANGE(""https://docs.google.com/spreadsheets/d/1qpEmbGH0JjaJbUdp21-y2cPbobDbMjr09BbtdKROZWc/edit#gid=1444865654"&amp;""",""articles_with_PRISMA_reasons!Z2:Z2113""), $A785=IMPORTRANGE(""https://docs.google.com/spreadsheets/d/1qpEmbGH0JjaJbUdp21-y2cPbobDbMjr09BbtdKROZWc/edit#gid=1444865654"",""articles_with_PRISMA_reasons!B2:B2113"")),F785
=""Include"",FILTER(IMPORTRANGE("&amp;"""https://docs.google.com/spreadsheets/d/1kGrh75X1cNR1D7_FcY9zMnHP8iPO4M5RCRjy6nZY0TY/edit#gid=0"",""Table 1: Study characteristics!A4:A171""), $A785=IMPORTRANGE(""https://docs.google.com/spreadsheets/d/1kGrh75X1cNR1D7_FcY9zMnHP8iPO4M5RCRjy6nZY0TY/edit#gi"&amp;"d=0"",""Table 1: Study characteristics!B4:B171""))
)"),"wrong study design")</f>
        <v>wrong study design</v>
      </c>
    </row>
    <row r="786">
      <c r="A786" s="4" t="str">
        <f>IFERROR(__xludf.DUMMYFUNCTION("""COMPUTED_VALUE"""),"Failure to follow patients with hydrocephalus shunts can lead to death")</f>
        <v>Failure to follow patients with hydrocephalus shunts can lead to death</v>
      </c>
      <c r="B786" s="5" t="str">
        <f>IFERROR(__xludf.DUMMYFUNCTION("LEFT(FILTER(IMPORTRANGE(""https://docs.google.com/spreadsheets/d/1BJSV3WBYJGRhQ6zExamkszQ5VutGIcaQqmbD9ZTVXMQ/edit#gid=1251630045"",""articles_with_PRISMA_reasons!K2:K2113""), $A786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$A786=IMPORTRANGE(""https://docs.google.com/spreadsheets/d/1BJSV3WBYJGRhQ6zExamkszQ5VutGIcaQqmbD9ZTVXMQ/edit#gid=1251630045"",""articles_with_PRISMA_reasons!B2:B2113"")))-1)"),"Punt")</f>
        <v>Punt</v>
      </c>
      <c r="C786" s="6">
        <f>IFERROR(__xludf.DUMMYFUNCTION("FILTER(IMPORTRANGE(""https://docs.google.com/spreadsheets/d/1BJSV3WBYJGRhQ6zExamkszQ5VutGIcaQqmbD9ZTVXMQ/edit#gid=1251630045"",""articles_with_PRISMA_reasons!C2:C2113""), $A786=IMPORTRANGE(""https://docs.google.com/spreadsheets/d/1BJSV3WBYJGRhQ6zExamkszQ5"&amp;"VutGIcaQqmbD9ZTVXMQ/edit#gid=1251630045"",""articles_with_PRISMA_reasons!B2:B2113""))"),1998.0)</f>
        <v>1998</v>
      </c>
      <c r="D786" s="5" t="str">
        <f>IFERROR(__xludf.DUMMYFUNCTION("IFS(AND(
FILTER(IMPORTRANGE(""https://docs.google.com/spreadsheets/d/1BJSV3WBYJGRhQ6zExamkszQ5VutGIcaQqmbD9ZTVXMQ/edit#gid=1251630045"",""articles_with_PRISMA_reasons!Y2:Y2113""), $A786=IMPORTRANGE(""https://docs.google.com/spreadsheets/d/1BJSV3WBYJGRhQ6z"&amp;"ExamkszQ5VutGIcaQqmbD9ZTVXMQ/edit#gid=1251630045"",""articles_with_PRISMA_reasons!B2:B2113""))&gt;=2,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$A786=IMPORTRANGE(""https://docs.google.com/spreadsheets/d/1BJSV3WBYJGRhQ6zExamkszQ5VutGIcaQqmbD9ZTVXMQ/edit#gid=1251630045"",""articles_with_PRISMA_reasons!B2:B2113""))&lt;2),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$A786=IMPORTRANGE(""https://docs.google.com/spreadsheets/d/1BJSV3WBYJGRhQ6zExamkszQ5VutGIcaQqmbD9ZTVXMQ/edit#gid=1251630045"",""arti"&amp;"cles_with_PRISMA_reasons!B2:B2113""))&lt;2,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$A786=IMPORTRANGE(""https://docs.google.com"&amp;"/spreadsheets/d/1BJSV3WBYJGRhQ6zExamkszQ5VutGIcaQqmbD9ZTVXMQ/edit#gid=1251630045"",""articles_with_PRISMA_reasons!B2:B2113""))&gt;=2),
""Exclude""
)"),"Exclude")</f>
        <v>Exclude</v>
      </c>
      <c r="E786" s="5" t="str">
        <f>IFERROR(__xludf.DUMMYFUNCTION("IFS(
D786=""Exclude"",""Exclude"",
AND(
FILTER(IMPORTRANGE(""https://docs.google.com/spreadsheets/d/1qpEmbGH0JjaJbUdp21-y2cPbobDbMjr09BbtdKROZWc/edit#gid=1444865654"",""articles_with_PRISMA_reasons!W2:W2113""), $A786=IMPORTRANGE(""https://docs.google.com/"&amp;"spreadsheets/d/1qpEmbGH0JjaJbUdp21-y2cPbobDbMjr09BbtdKROZWc/edit#gid=1444865654"",""articles_with_PRISMA_reasons!B2:B2113""))&gt;=2,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$A786=IMPORTRANGE(""https://docs.google.com/spreadsheets/d/1qpEmbGH0JjaJbUdp21-y2cPbobDbMjr09BbtdKROZWc/edit#gid=1444865654"",""articles_with_PRISMA_reasons!B2:B2113""))&lt;2),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$A786=IMPORTRANGE(""https://docs.google.com/spreadsheets/d/1qpEmbGH0JjaJbUdp21-y2cPbobDbMjr09BbtdKRO"&amp;"ZWc/edit#gid=1444865654"",""articles_with_PRISMA_reasons!B2:B2113""))&lt;2,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$A786=IMPOR"&amp;"TRANGE(""https://docs.google.com/spreadsheets/d/1qpEmbGH0JjaJbUdp21-y2cPbobDbMjr09BbtdKROZWc/edit#gid=1444865654"",""articles_with_PRISMA_reasons!B2:B2113""))&gt;=2),
""Exclude""
)"),"Exclude")</f>
        <v>Exclude</v>
      </c>
      <c r="F786" s="5" t="str">
        <f>IFERROR(__xludf.DUMMYFUNCTION("IFS(
E786=""Exclude"",""Exclude"",
AND(
COUNTIF(
IMPORTRANGE(""https://docs.google.com/spreadsheets/d/1kGrh75X1cNR1D7_FcY9zMnHP8iPO4M5RCRjy6nZY0TY/edit#gid=0"",""Table 1: Study characteristics!B4:B171""),A786)&gt;0,
COUNTIF(Studies!$A$2:$A$85,FILTER(IMPORTRA"&amp;"NGE(""https://docs.google.com/spreadsheets/d/1kGrh75X1cNR1D7_FcY9zMnHP8iPO4M5RCRjy6nZY0TY/edit#gid=0"",""Table 1: Study characteristics!A4:A171""), $A786=IMPORTRANGE(""https://docs.google.com/spreadsheets/d/1kGrh75X1cNR1D7_FcY9zMnHP8iPO4M5RCRjy6nZY0TY/edi"&amp;"t#gid=0"",""Table 1: Study characteristics!B4:B171"")))&gt;0
),
""Include""
)"),"Exclude")</f>
        <v>Exclude</v>
      </c>
      <c r="G786" s="5" t="str">
        <f>IFERROR(__xludf.DUMMYFUNCTION("IFS(
D786=""Exclude"",
FILTER(IMPORTRANGE(""https://docs.google.com/spreadsheets/d/1BJSV3WBYJGRhQ6zExamkszQ5VutGIcaQqmbD9ZTVXMQ/edit#gid=1251630045"",""articles_with_PRISMA_reasons!AB2:AB2113""), $A786=IMPORTRANGE(""https://docs.google.com/spreadsheets/d/"&amp;"1BJSV3WBYJGRhQ6zExamkszQ5VutGIcaQqmbD9ZTVXMQ/edit#gid=1251630045"",""articles_with_PRISMA_reasons!B2:B2113"")),
E786=""Exclude"",
FILTER(IMPORTRANGE(""https://docs.google.com/spreadsheets/d/1qpEmbGH0JjaJbUdp21-y2cPbobDbMjr09BbtdKROZWc/edit#gid=1444865654"&amp;""",""articles_with_PRISMA_reasons!Z2:Z2113""), $A786=IMPORTRANGE(""https://docs.google.com/spreadsheets/d/1qpEmbGH0JjaJbUdp21-y2cPbobDbMjr09BbtdKROZWc/edit#gid=1444865654"",""articles_with_PRISMA_reasons!B2:B2113"")),F786
=""Include"",FILTER(IMPORTRANGE("&amp;"""https://docs.google.com/spreadsheets/d/1kGrh75X1cNR1D7_FcY9zMnHP8iPO4M5RCRjy6nZY0TY/edit#gid=0"",""Table 1: Study characteristics!A4:A171""), $A786=IMPORTRANGE(""https://docs.google.com/spreadsheets/d/1kGrh75X1cNR1D7_FcY9zMnHP8iPO4M5RCRjy6nZY0TY/edit#gi"&amp;"d=0"",""Table 1: Study characteristics!B4:B171""))
)"),"wrong study design")</f>
        <v>wrong study design</v>
      </c>
    </row>
    <row r="787">
      <c r="A787" s="4" t="str">
        <f>IFERROR(__xludf.DUMMYFUNCTION("""COMPUTED_VALUE"""),"Familial bilateral vocal cord paralysis and Charcot-Marie-Tooth disease type II-C")</f>
        <v>Familial bilateral vocal cord paralysis and Charcot-Marie-Tooth disease type II-C</v>
      </c>
      <c r="B787" s="5" t="str">
        <f>IFERROR(__xludf.DUMMYFUNCTION("LEFT(FILTER(IMPORTRANGE(""https://docs.google.com/spreadsheets/d/1BJSV3WBYJGRhQ6zExamkszQ5VutGIcaQqmbD9ZTVXMQ/edit#gid=1251630045"",""articles_with_PRISMA_reasons!K2:K2113""), $A787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$A787=IMPORTRANGE(""https://docs.google.com/spreadsheets/d/1BJSV3WBYJGRhQ6zExamkszQ5VutGIcaQqmbD9ZTVXMQ/edit#gid=1251630045"",""articles_with_PRISMA_reasons!B2:B2113"")))-1)"),"Lacy")</f>
        <v>Lacy</v>
      </c>
      <c r="C787" s="6">
        <f>IFERROR(__xludf.DUMMYFUNCTION("FILTER(IMPORTRANGE(""https://docs.google.com/spreadsheets/d/1BJSV3WBYJGRhQ6zExamkszQ5VutGIcaQqmbD9ZTVXMQ/edit#gid=1251630045"",""articles_with_PRISMA_reasons!C2:C2113""), $A787=IMPORTRANGE(""https://docs.google.com/spreadsheets/d/1BJSV3WBYJGRhQ6zExamkszQ5"&amp;"VutGIcaQqmbD9ZTVXMQ/edit#gid=1251630045"",""articles_with_PRISMA_reasons!B2:B2113""))"),2001.0)</f>
        <v>2001</v>
      </c>
      <c r="D787" s="5" t="str">
        <f>IFERROR(__xludf.DUMMYFUNCTION("IFS(AND(
FILTER(IMPORTRANGE(""https://docs.google.com/spreadsheets/d/1BJSV3WBYJGRhQ6zExamkszQ5VutGIcaQqmbD9ZTVXMQ/edit#gid=1251630045"",""articles_with_PRISMA_reasons!Y2:Y2113""), $A787=IMPORTRANGE(""https://docs.google.com/spreadsheets/d/1BJSV3WBYJGRhQ6z"&amp;"ExamkszQ5VutGIcaQqmbD9ZTVXMQ/edit#gid=1251630045"",""articles_with_PRISMA_reasons!B2:B2113""))&gt;=2,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$A787=IMPORTRANGE(""https://docs.google.com/spreadsheets/d/1BJSV3WBYJGRhQ6zExamkszQ5VutGIcaQqmbD9ZTVXMQ/edit#gid=1251630045"",""articles_with_PRISMA_reasons!B2:B2113""))&lt;2),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$A787=IMPORTRANGE(""https://docs.google.com/spreadsheets/d/1BJSV3WBYJGRhQ6zExamkszQ5VutGIcaQqmbD9ZTVXMQ/edit#gid=1251630045"",""arti"&amp;"cles_with_PRISMA_reasons!B2:B2113""))&lt;2,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$A787=IMPORTRANGE(""https://docs.google.com"&amp;"/spreadsheets/d/1BJSV3WBYJGRhQ6zExamkszQ5VutGIcaQqmbD9ZTVXMQ/edit#gid=1251630045"",""articles_with_PRISMA_reasons!B2:B2113""))&gt;=2),
""Exclude""
)"),"Exclude")</f>
        <v>Exclude</v>
      </c>
      <c r="E787" s="5" t="str">
        <f>IFERROR(__xludf.DUMMYFUNCTION("IFS(
D787=""Exclude"",""Exclude"",
AND(
FILTER(IMPORTRANGE(""https://docs.google.com/spreadsheets/d/1qpEmbGH0JjaJbUdp21-y2cPbobDbMjr09BbtdKROZWc/edit#gid=1444865654"",""articles_with_PRISMA_reasons!W2:W2113""), $A787=IMPORTRANGE(""https://docs.google.com/"&amp;"spreadsheets/d/1qpEmbGH0JjaJbUdp21-y2cPbobDbMjr09BbtdKROZWc/edit#gid=1444865654"",""articles_with_PRISMA_reasons!B2:B2113""))&gt;=2,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$A787=IMPORTRANGE(""https://docs.google.com/spreadsheets/d/1qpEmbGH0JjaJbUdp21-y2cPbobDbMjr09BbtdKROZWc/edit#gid=1444865654"",""articles_with_PRISMA_reasons!B2:B2113""))&lt;2),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$A787=IMPORTRANGE(""https://docs.google.com/spreadsheets/d/1qpEmbGH0JjaJbUdp21-y2cPbobDbMjr09BbtdKRO"&amp;"ZWc/edit#gid=1444865654"",""articles_with_PRISMA_reasons!B2:B2113""))&lt;2,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$A787=IMPOR"&amp;"TRANGE(""https://docs.google.com/spreadsheets/d/1qpEmbGH0JjaJbUdp21-y2cPbobDbMjr09BbtdKROZWc/edit#gid=1444865654"",""articles_with_PRISMA_reasons!B2:B2113""))&gt;=2),
""Exclude""
)"),"Exclude")</f>
        <v>Exclude</v>
      </c>
      <c r="F787" s="5" t="str">
        <f>IFERROR(__xludf.DUMMYFUNCTION("IFS(
E787=""Exclude"",""Exclude"",
AND(
COUNTIF(
IMPORTRANGE(""https://docs.google.com/spreadsheets/d/1kGrh75X1cNR1D7_FcY9zMnHP8iPO4M5RCRjy6nZY0TY/edit#gid=0"",""Table 1: Study characteristics!B4:B171""),A787)&gt;0,
COUNTIF(Studies!$A$2:$A$85,FILTER(IMPORTRA"&amp;"NGE(""https://docs.google.com/spreadsheets/d/1kGrh75X1cNR1D7_FcY9zMnHP8iPO4M5RCRjy6nZY0TY/edit#gid=0"",""Table 1: Study characteristics!A4:A171""), $A787=IMPORTRANGE(""https://docs.google.com/spreadsheets/d/1kGrh75X1cNR1D7_FcY9zMnHP8iPO4M5RCRjy6nZY0TY/edi"&amp;"t#gid=0"",""Table 1: Study characteristics!B4:B171"")))&gt;0
),
""Include""
)"),"Exclude")</f>
        <v>Exclude</v>
      </c>
      <c r="G787" s="5" t="str">
        <f>IFERROR(__xludf.DUMMYFUNCTION("IFS(
D787=""Exclude"",
FILTER(IMPORTRANGE(""https://docs.google.com/spreadsheets/d/1BJSV3WBYJGRhQ6zExamkszQ5VutGIcaQqmbD9ZTVXMQ/edit#gid=1251630045"",""articles_with_PRISMA_reasons!AB2:AB2113""), $A787=IMPORTRANGE(""https://docs.google.com/spreadsheets/d/"&amp;"1BJSV3WBYJGRhQ6zExamkszQ5VutGIcaQqmbD9ZTVXMQ/edit#gid=1251630045"",""articles_with_PRISMA_reasons!B2:B2113"")),
E787=""Exclude"",
FILTER(IMPORTRANGE(""https://docs.google.com/spreadsheets/d/1qpEmbGH0JjaJbUdp21-y2cPbobDbMjr09BbtdKROZWc/edit#gid=1444865654"&amp;""",""articles_with_PRISMA_reasons!Z2:Z2113""), $A787=IMPORTRANGE(""https://docs.google.com/spreadsheets/d/1qpEmbGH0JjaJbUdp21-y2cPbobDbMjr09BbtdKROZWc/edit#gid=1444865654"",""articles_with_PRISMA_reasons!B2:B2113"")),F787
=""Include"",FILTER(IMPORTRANGE("&amp;"""https://docs.google.com/spreadsheets/d/1kGrh75X1cNR1D7_FcY9zMnHP8iPO4M5RCRjy6nZY0TY/edit#gid=0"",""Table 1: Study characteristics!A4:A171""), $A787=IMPORTRANGE(""https://docs.google.com/spreadsheets/d/1kGrh75X1cNR1D7_FcY9zMnHP8iPO4M5RCRjy6nZY0TY/edit#gi"&amp;"d=0"",""Table 1: Study characteristics!B4:B171""))
)"),"wrong population")</f>
        <v>wrong population</v>
      </c>
    </row>
    <row r="788">
      <c r="A788" s="4" t="str">
        <f>IFERROR(__xludf.DUMMYFUNCTION("""COMPUTED_VALUE"""),"Fatally flawed? A review and ethical analysis of lethal congenital malformations")</f>
        <v>Fatally flawed? A review and ethical analysis of lethal congenital malformations</v>
      </c>
      <c r="B788" s="5" t="str">
        <f>IFERROR(__xludf.DUMMYFUNCTION("LEFT(FILTER(IMPORTRANGE(""https://docs.google.com/spreadsheets/d/1BJSV3WBYJGRhQ6zExamkszQ5VutGIcaQqmbD9ZTVXMQ/edit#gid=1251630045"",""articles_with_PRISMA_reasons!K2:K2113""), $A788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$A788=IMPORTRANGE(""https://docs.google.com/spreadsheets/d/1BJSV3WBYJGRhQ6zExamkszQ5VutGIcaQqmbD9ZTVXMQ/edit#gid=1251630045"",""articles_with_PRISMA_reasons!B2:B2113"")))-1)"),"Wilkinson")</f>
        <v>Wilkinson</v>
      </c>
      <c r="C788" s="6">
        <f>IFERROR(__xludf.DUMMYFUNCTION("FILTER(IMPORTRANGE(""https://docs.google.com/spreadsheets/d/1BJSV3WBYJGRhQ6zExamkszQ5VutGIcaQqmbD9ZTVXMQ/edit#gid=1251630045"",""articles_with_PRISMA_reasons!C2:C2113""), $A788=IMPORTRANGE(""https://docs.google.com/spreadsheets/d/1BJSV3WBYJGRhQ6zExamkszQ5"&amp;"VutGIcaQqmbD9ZTVXMQ/edit#gid=1251630045"",""articles_with_PRISMA_reasons!B2:B2113""))"),2012.0)</f>
        <v>2012</v>
      </c>
      <c r="D788" s="5" t="str">
        <f>IFERROR(__xludf.DUMMYFUNCTION("IFS(AND(
FILTER(IMPORTRANGE(""https://docs.google.com/spreadsheets/d/1BJSV3WBYJGRhQ6zExamkszQ5VutGIcaQqmbD9ZTVXMQ/edit#gid=1251630045"",""articles_with_PRISMA_reasons!Y2:Y2113""), $A788=IMPORTRANGE(""https://docs.google.com/spreadsheets/d/1BJSV3WBYJGRhQ6z"&amp;"ExamkszQ5VutGIcaQqmbD9ZTVXMQ/edit#gid=1251630045"",""articles_with_PRISMA_reasons!B2:B2113""))&gt;=2,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$A788=IMPORTRANGE(""https://docs.google.com/spreadsheets/d/1BJSV3WBYJGRhQ6zExamkszQ5VutGIcaQqmbD9ZTVXMQ/edit#gid=1251630045"",""articles_with_PRISMA_reasons!B2:B2113""))&lt;2),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$A788=IMPORTRANGE(""https://docs.google.com/spreadsheets/d/1BJSV3WBYJGRhQ6zExamkszQ5VutGIcaQqmbD9ZTVXMQ/edit#gid=1251630045"",""arti"&amp;"cles_with_PRISMA_reasons!B2:B2113""))&lt;2,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$A788=IMPORTRANGE(""https://docs.google.com"&amp;"/spreadsheets/d/1BJSV3WBYJGRhQ6zExamkszQ5VutGIcaQqmbD9ZTVXMQ/edit#gid=1251630045"",""articles_with_PRISMA_reasons!B2:B2113""))&gt;=2),
""Exclude""
)"),"Exclude")</f>
        <v>Exclude</v>
      </c>
      <c r="E788" s="5" t="str">
        <f>IFERROR(__xludf.DUMMYFUNCTION("IFS(
D788=""Exclude"",""Exclude"",
AND(
FILTER(IMPORTRANGE(""https://docs.google.com/spreadsheets/d/1qpEmbGH0JjaJbUdp21-y2cPbobDbMjr09BbtdKROZWc/edit#gid=1444865654"",""articles_with_PRISMA_reasons!W2:W2113""), $A788=IMPORTRANGE(""https://docs.google.com/"&amp;"spreadsheets/d/1qpEmbGH0JjaJbUdp21-y2cPbobDbMjr09BbtdKROZWc/edit#gid=1444865654"",""articles_with_PRISMA_reasons!B2:B2113""))&gt;=2,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$A788=IMPORTRANGE(""https://docs.google.com/spreadsheets/d/1qpEmbGH0JjaJbUdp21-y2cPbobDbMjr09BbtdKROZWc/edit#gid=1444865654"",""articles_with_PRISMA_reasons!B2:B2113""))&lt;2),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$A788=IMPORTRANGE(""https://docs.google.com/spreadsheets/d/1qpEmbGH0JjaJbUdp21-y2cPbobDbMjr09BbtdKRO"&amp;"ZWc/edit#gid=1444865654"",""articles_with_PRISMA_reasons!B2:B2113""))&lt;2,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$A788=IMPOR"&amp;"TRANGE(""https://docs.google.com/spreadsheets/d/1qpEmbGH0JjaJbUdp21-y2cPbobDbMjr09BbtdKROZWc/edit#gid=1444865654"",""articles_with_PRISMA_reasons!B2:B2113""))&gt;=2),
""Exclude""
)"),"Exclude")</f>
        <v>Exclude</v>
      </c>
      <c r="F788" s="5" t="str">
        <f>IFERROR(__xludf.DUMMYFUNCTION("IFS(
E788=""Exclude"",""Exclude"",
AND(
COUNTIF(
IMPORTRANGE(""https://docs.google.com/spreadsheets/d/1kGrh75X1cNR1D7_FcY9zMnHP8iPO4M5RCRjy6nZY0TY/edit#gid=0"",""Table 1: Study characteristics!B4:B171""),A788)&gt;0,
COUNTIF(Studies!$A$2:$A$85,FILTER(IMPORTRA"&amp;"NGE(""https://docs.google.com/spreadsheets/d/1kGrh75X1cNR1D7_FcY9zMnHP8iPO4M5RCRjy6nZY0TY/edit#gid=0"",""Table 1: Study characteristics!A4:A171""), $A788=IMPORTRANGE(""https://docs.google.com/spreadsheets/d/1kGrh75X1cNR1D7_FcY9zMnHP8iPO4M5RCRjy6nZY0TY/edi"&amp;"t#gid=0"",""Table 1: Study characteristics!B4:B171"")))&gt;0
),
""Include""
)"),"Exclude")</f>
        <v>Exclude</v>
      </c>
      <c r="G788" s="5" t="str">
        <f>IFERROR(__xludf.DUMMYFUNCTION("IFS(
D788=""Exclude"",
FILTER(IMPORTRANGE(""https://docs.google.com/spreadsheets/d/1BJSV3WBYJGRhQ6zExamkszQ5VutGIcaQqmbD9ZTVXMQ/edit#gid=1251630045"",""articles_with_PRISMA_reasons!AB2:AB2113""), $A788=IMPORTRANGE(""https://docs.google.com/spreadsheets/d/"&amp;"1BJSV3WBYJGRhQ6zExamkszQ5VutGIcaQqmbD9ZTVXMQ/edit#gid=1251630045"",""articles_with_PRISMA_reasons!B2:B2113"")),
E788=""Exclude"",
FILTER(IMPORTRANGE(""https://docs.google.com/spreadsheets/d/1qpEmbGH0JjaJbUdp21-y2cPbobDbMjr09BbtdKROZWc/edit#gid=1444865654"&amp;""",""articles_with_PRISMA_reasons!Z2:Z2113""), $A788=IMPORTRANGE(""https://docs.google.com/spreadsheets/d/1qpEmbGH0JjaJbUdp21-y2cPbobDbMjr09BbtdKROZWc/edit#gid=1444865654"",""articles_with_PRISMA_reasons!B2:B2113"")),F788
=""Include"",FILTER(IMPORTRANGE("&amp;"""https://docs.google.com/spreadsheets/d/1kGrh75X1cNR1D7_FcY9zMnHP8iPO4M5RCRjy6nZY0TY/edit#gid=0"",""Table 1: Study characteristics!A4:A171""), $A788=IMPORTRANGE(""https://docs.google.com/spreadsheets/d/1kGrh75X1cNR1D7_FcY9zMnHP8iPO4M5RCRjy6nZY0TY/edit#gi"&amp;"d=0"",""Table 1: Study characteristics!B4:B171""))
)"),"wrong study design")</f>
        <v>wrong study design</v>
      </c>
    </row>
    <row r="789">
      <c r="A789" s="4" t="str">
        <f>IFERROR(__xludf.DUMMYFUNCTION("""COMPUTED_VALUE"""),"Feasibility of a fetal anatomy 3D atlas by computer-assisted anatomic dissection")</f>
        <v>Feasibility of a fetal anatomy 3D atlas by computer-assisted anatomic dissection</v>
      </c>
      <c r="B789" s="5" t="str">
        <f>IFERROR(__xludf.DUMMYFUNCTION("LEFT(FILTER(IMPORTRANGE(""https://docs.google.com/spreadsheets/d/1BJSV3WBYJGRhQ6zExamkszQ5VutGIcaQqmbD9ZTVXMQ/edit#gid=1251630045"",""articles_with_PRISMA_reasons!K2:K2113""), $A789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$A789=IMPORTRANGE(""https://docs.google.com/spreadsheets/d/1BJSV3WBYJGRhQ6zExamkszQ5VutGIcaQqmbD9ZTVXMQ/edit#gid=1251630045"",""articles_with_PRISMA_reasons!B2:B2113"")))-1)"),"Balaya")</f>
        <v>Balaya</v>
      </c>
      <c r="C789" s="6">
        <f>IFERROR(__xludf.DUMMYFUNCTION("FILTER(IMPORTRANGE(""https://docs.google.com/spreadsheets/d/1BJSV3WBYJGRhQ6zExamkszQ5VutGIcaQqmbD9ZTVXMQ/edit#gid=1251630045"",""articles_with_PRISMA_reasons!C2:C2113""), $A789=IMPORTRANGE(""https://docs.google.com/spreadsheets/d/1BJSV3WBYJGRhQ6zExamkszQ5"&amp;"VutGIcaQqmbD9ZTVXMQ/edit#gid=1251630045"",""articles_with_PRISMA_reasons!B2:B2113""))"),2020.0)</f>
        <v>2020</v>
      </c>
      <c r="D789" s="5" t="str">
        <f>IFERROR(__xludf.DUMMYFUNCTION("IFS(AND(
FILTER(IMPORTRANGE(""https://docs.google.com/spreadsheets/d/1BJSV3WBYJGRhQ6zExamkszQ5VutGIcaQqmbD9ZTVXMQ/edit#gid=1251630045"",""articles_with_PRISMA_reasons!Y2:Y2113""), $A789=IMPORTRANGE(""https://docs.google.com/spreadsheets/d/1BJSV3WBYJGRhQ6z"&amp;"ExamkszQ5VutGIcaQqmbD9ZTVXMQ/edit#gid=1251630045"",""articles_with_PRISMA_reasons!B2:B2113""))&gt;=2,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$A789=IMPORTRANGE(""https://docs.google.com/spreadsheets/d/1BJSV3WBYJGRhQ6zExamkszQ5VutGIcaQqmbD9ZTVXMQ/edit#gid=1251630045"",""articles_with_PRISMA_reasons!B2:B2113""))&lt;2),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$A789=IMPORTRANGE(""https://docs.google.com/spreadsheets/d/1BJSV3WBYJGRhQ6zExamkszQ5VutGIcaQqmbD9ZTVXMQ/edit#gid=1251630045"",""arti"&amp;"cles_with_PRISMA_reasons!B2:B2113""))&lt;2,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$A789=IMPORTRANGE(""https://docs.google.com"&amp;"/spreadsheets/d/1BJSV3WBYJGRhQ6zExamkszQ5VutGIcaQqmbD9ZTVXMQ/edit#gid=1251630045"",""articles_with_PRISMA_reasons!B2:B2113""))&gt;=2),
""Exclude""
)"),"Exclude")</f>
        <v>Exclude</v>
      </c>
      <c r="E789" s="5" t="str">
        <f>IFERROR(__xludf.DUMMYFUNCTION("IFS(
D789=""Exclude"",""Exclude"",
AND(
FILTER(IMPORTRANGE(""https://docs.google.com/spreadsheets/d/1qpEmbGH0JjaJbUdp21-y2cPbobDbMjr09BbtdKROZWc/edit#gid=1444865654"",""articles_with_PRISMA_reasons!W2:W2113""), $A789=IMPORTRANGE(""https://docs.google.com/"&amp;"spreadsheets/d/1qpEmbGH0JjaJbUdp21-y2cPbobDbMjr09BbtdKROZWc/edit#gid=1444865654"",""articles_with_PRISMA_reasons!B2:B2113""))&gt;=2,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$A789=IMPORTRANGE(""https://docs.google.com/spreadsheets/d/1qpEmbGH0JjaJbUdp21-y2cPbobDbMjr09BbtdKROZWc/edit#gid=1444865654"",""articles_with_PRISMA_reasons!B2:B2113""))&lt;2),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$A789=IMPORTRANGE(""https://docs.google.com/spreadsheets/d/1qpEmbGH0JjaJbUdp21-y2cPbobDbMjr09BbtdKRO"&amp;"ZWc/edit#gid=1444865654"",""articles_with_PRISMA_reasons!B2:B2113""))&lt;2,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$A789=IMPOR"&amp;"TRANGE(""https://docs.google.com/spreadsheets/d/1qpEmbGH0JjaJbUdp21-y2cPbobDbMjr09BbtdKROZWc/edit#gid=1444865654"",""articles_with_PRISMA_reasons!B2:B2113""))&gt;=2),
""Exclude""
)"),"Exclude")</f>
        <v>Exclude</v>
      </c>
      <c r="F789" s="5" t="str">
        <f>IFERROR(__xludf.DUMMYFUNCTION("IFS(
E789=""Exclude"",""Exclude"",
AND(
COUNTIF(
IMPORTRANGE(""https://docs.google.com/spreadsheets/d/1kGrh75X1cNR1D7_FcY9zMnHP8iPO4M5RCRjy6nZY0TY/edit#gid=0"",""Table 1: Study characteristics!B4:B171""),A789)&gt;0,
COUNTIF(Studies!$A$2:$A$85,FILTER(IMPORTRA"&amp;"NGE(""https://docs.google.com/spreadsheets/d/1kGrh75X1cNR1D7_FcY9zMnHP8iPO4M5RCRjy6nZY0TY/edit#gid=0"",""Table 1: Study characteristics!A4:A171""), $A789=IMPORTRANGE(""https://docs.google.com/spreadsheets/d/1kGrh75X1cNR1D7_FcY9zMnHP8iPO4M5RCRjy6nZY0TY/edi"&amp;"t#gid=0"",""Table 1: Study characteristics!B4:B171"")))&gt;0
),
""Include""
)"),"Exclude")</f>
        <v>Exclude</v>
      </c>
      <c r="G789" s="5" t="str">
        <f>IFERROR(__xludf.DUMMYFUNCTION("IFS(
D789=""Exclude"",
FILTER(IMPORTRANGE(""https://docs.google.com/spreadsheets/d/1BJSV3WBYJGRhQ6zExamkszQ5VutGIcaQqmbD9ZTVXMQ/edit#gid=1251630045"",""articles_with_PRISMA_reasons!AB2:AB2113""), $A789=IMPORTRANGE(""https://docs.google.com/spreadsheets/d/"&amp;"1BJSV3WBYJGRhQ6zExamkszQ5VutGIcaQqmbD9ZTVXMQ/edit#gid=1251630045"",""articles_with_PRISMA_reasons!B2:B2113"")),
E789=""Exclude"",
FILTER(IMPORTRANGE(""https://docs.google.com/spreadsheets/d/1qpEmbGH0JjaJbUdp21-y2cPbobDbMjr09BbtdKROZWc/edit#gid=1444865654"&amp;""",""articles_with_PRISMA_reasons!Z2:Z2113""), $A789=IMPORTRANGE(""https://docs.google.com/spreadsheets/d/1qpEmbGH0JjaJbUdp21-y2cPbobDbMjr09BbtdKROZWc/edit#gid=1444865654"",""articles_with_PRISMA_reasons!B2:B2113"")),F789
=""Include"",FILTER(IMPORTRANGE("&amp;"""https://docs.google.com/spreadsheets/d/1kGrh75X1cNR1D7_FcY9zMnHP8iPO4M5RCRjy6nZY0TY/edit#gid=0"",""Table 1: Study characteristics!A4:A171""), $A789=IMPORTRANGE(""https://docs.google.com/spreadsheets/d/1kGrh75X1cNR1D7_FcY9zMnHP8iPO4M5RCRjy6nZY0TY/edit#gi"&amp;"d=0"",""Table 1: Study characteristics!B4:B171""))
)"),"wrong study design")</f>
        <v>wrong study design</v>
      </c>
    </row>
    <row r="790">
      <c r="A790" s="4" t="str">
        <f>IFERROR(__xludf.DUMMYFUNCTION("""COMPUTED_VALUE"""),"Female-specific issues in multiple sclerosis")</f>
        <v>Female-specific issues in multiple sclerosis</v>
      </c>
      <c r="B790" s="5" t="str">
        <f>IFERROR(__xludf.DUMMYFUNCTION("LEFT(FILTER(IMPORTRANGE(""https://docs.google.com/spreadsheets/d/1BJSV3WBYJGRhQ6zExamkszQ5VutGIcaQqmbD9ZTVXMQ/edit#gid=1251630045"",""articles_with_PRISMA_reasons!K2:K2113""), $A790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$A790=IMPORTRANGE(""https://docs.google.com/spreadsheets/d/1BJSV3WBYJGRhQ6zExamkszQ5VutGIcaQqmbD9ZTVXMQ/edit#gid=1251630045"",""articles_with_PRISMA_reasons!B2:B2113"")))-1)"),"Ghezzi")</f>
        <v>Ghezzi</v>
      </c>
      <c r="C790" s="6">
        <f>IFERROR(__xludf.DUMMYFUNCTION("FILTER(IMPORTRANGE(""https://docs.google.com/spreadsheets/d/1BJSV3WBYJGRhQ6zExamkszQ5VutGIcaQqmbD9ZTVXMQ/edit#gid=1251630045"",""articles_with_PRISMA_reasons!C2:C2113""), $A790=IMPORTRANGE(""https://docs.google.com/spreadsheets/d/1BJSV3WBYJGRhQ6zExamkszQ5"&amp;"VutGIcaQqmbD9ZTVXMQ/edit#gid=1251630045"",""articles_with_PRISMA_reasons!B2:B2113""))"),2008.0)</f>
        <v>2008</v>
      </c>
      <c r="D790" s="5" t="str">
        <f>IFERROR(__xludf.DUMMYFUNCTION("IFS(AND(
FILTER(IMPORTRANGE(""https://docs.google.com/spreadsheets/d/1BJSV3WBYJGRhQ6zExamkszQ5VutGIcaQqmbD9ZTVXMQ/edit#gid=1251630045"",""articles_with_PRISMA_reasons!Y2:Y2113""), $A790=IMPORTRANGE(""https://docs.google.com/spreadsheets/d/1BJSV3WBYJGRhQ6z"&amp;"ExamkszQ5VutGIcaQqmbD9ZTVXMQ/edit#gid=1251630045"",""articles_with_PRISMA_reasons!B2:B2113""))&gt;=2,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$A790=IMPORTRANGE(""https://docs.google.com/spreadsheets/d/1BJSV3WBYJGRhQ6zExamkszQ5VutGIcaQqmbD9ZTVXMQ/edit#gid=1251630045"",""articles_with_PRISMA_reasons!B2:B2113""))&lt;2),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$A790=IMPORTRANGE(""https://docs.google.com/spreadsheets/d/1BJSV3WBYJGRhQ6zExamkszQ5VutGIcaQqmbD9ZTVXMQ/edit#gid=1251630045"",""arti"&amp;"cles_with_PRISMA_reasons!B2:B2113""))&lt;2,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$A790=IMPORTRANGE(""https://docs.google.com"&amp;"/spreadsheets/d/1BJSV3WBYJGRhQ6zExamkszQ5VutGIcaQqmbD9ZTVXMQ/edit#gid=1251630045"",""articles_with_PRISMA_reasons!B2:B2113""))&gt;=2),
""Exclude""
)"),"Exclude")</f>
        <v>Exclude</v>
      </c>
      <c r="E790" s="5" t="str">
        <f>IFERROR(__xludf.DUMMYFUNCTION("IFS(
D790=""Exclude"",""Exclude"",
AND(
FILTER(IMPORTRANGE(""https://docs.google.com/spreadsheets/d/1qpEmbGH0JjaJbUdp21-y2cPbobDbMjr09BbtdKROZWc/edit#gid=1444865654"",""articles_with_PRISMA_reasons!W2:W2113""), $A790=IMPORTRANGE(""https://docs.google.com/"&amp;"spreadsheets/d/1qpEmbGH0JjaJbUdp21-y2cPbobDbMjr09BbtdKROZWc/edit#gid=1444865654"",""articles_with_PRISMA_reasons!B2:B2113""))&gt;=2,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$A790=IMPORTRANGE(""https://docs.google.com/spreadsheets/d/1qpEmbGH0JjaJbUdp21-y2cPbobDbMjr09BbtdKROZWc/edit#gid=1444865654"",""articles_with_PRISMA_reasons!B2:B2113""))&lt;2),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$A790=IMPORTRANGE(""https://docs.google.com/spreadsheets/d/1qpEmbGH0JjaJbUdp21-y2cPbobDbMjr09BbtdKRO"&amp;"ZWc/edit#gid=1444865654"",""articles_with_PRISMA_reasons!B2:B2113""))&lt;2,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$A790=IMPOR"&amp;"TRANGE(""https://docs.google.com/spreadsheets/d/1qpEmbGH0JjaJbUdp21-y2cPbobDbMjr09BbtdKROZWc/edit#gid=1444865654"",""articles_with_PRISMA_reasons!B2:B2113""))&gt;=2),
""Exclude""
)"),"Exclude")</f>
        <v>Exclude</v>
      </c>
      <c r="F790" s="5" t="str">
        <f>IFERROR(__xludf.DUMMYFUNCTION("IFS(
E790=""Exclude"",""Exclude"",
AND(
COUNTIF(
IMPORTRANGE(""https://docs.google.com/spreadsheets/d/1kGrh75X1cNR1D7_FcY9zMnHP8iPO4M5RCRjy6nZY0TY/edit#gid=0"",""Table 1: Study characteristics!B4:B171""),A790)&gt;0,
COUNTIF(Studies!$A$2:$A$85,FILTER(IMPORTRA"&amp;"NGE(""https://docs.google.com/spreadsheets/d/1kGrh75X1cNR1D7_FcY9zMnHP8iPO4M5RCRjy6nZY0TY/edit#gid=0"",""Table 1: Study characteristics!A4:A171""), $A790=IMPORTRANGE(""https://docs.google.com/spreadsheets/d/1kGrh75X1cNR1D7_FcY9zMnHP8iPO4M5RCRjy6nZY0TY/edi"&amp;"t#gid=0"",""Table 1: Study characteristics!B4:B171"")))&gt;0
),
""Include""
)"),"Exclude")</f>
        <v>Exclude</v>
      </c>
      <c r="G790" s="5" t="str">
        <f>IFERROR(__xludf.DUMMYFUNCTION("IFS(
D790=""Exclude"",
FILTER(IMPORTRANGE(""https://docs.google.com/spreadsheets/d/1BJSV3WBYJGRhQ6zExamkszQ5VutGIcaQqmbD9ZTVXMQ/edit#gid=1251630045"",""articles_with_PRISMA_reasons!AB2:AB2113""), $A790=IMPORTRANGE(""https://docs.google.com/spreadsheets/d/"&amp;"1BJSV3WBYJGRhQ6zExamkszQ5VutGIcaQqmbD9ZTVXMQ/edit#gid=1251630045"",""articles_with_PRISMA_reasons!B2:B2113"")),
E790=""Exclude"",
FILTER(IMPORTRANGE(""https://docs.google.com/spreadsheets/d/1qpEmbGH0JjaJbUdp21-y2cPbobDbMjr09BbtdKROZWc/edit#gid=1444865654"&amp;""",""articles_with_PRISMA_reasons!Z2:Z2113""), $A790=IMPORTRANGE(""https://docs.google.com/spreadsheets/d/1qpEmbGH0JjaJbUdp21-y2cPbobDbMjr09BbtdKROZWc/edit#gid=1444865654"",""articles_with_PRISMA_reasons!B2:B2113"")),F790
=""Include"",FILTER(IMPORTRANGE("&amp;"""https://docs.google.com/spreadsheets/d/1kGrh75X1cNR1D7_FcY9zMnHP8iPO4M5RCRjy6nZY0TY/edit#gid=0"",""Table 1: Study characteristics!A4:A171""), $A790=IMPORTRANGE(""https://docs.google.com/spreadsheets/d/1kGrh75X1cNR1D7_FcY9zMnHP8iPO4M5RCRjy6nZY0TY/edit#gi"&amp;"d=0"",""Table 1: Study characteristics!B4:B171""))
)"),"wrong study design")</f>
        <v>wrong study design</v>
      </c>
    </row>
    <row r="791">
      <c r="A791" s="4" t="str">
        <f>IFERROR(__xludf.DUMMYFUNCTION("""COMPUTED_VALUE"""),"Fetal abnormalities leading to termination of twin pregnancies: the 17-year experience of a single medical center")</f>
        <v>Fetal abnormalities leading to termination of twin pregnancies: the 17-year experience of a single medical center</v>
      </c>
      <c r="B791" s="5" t="str">
        <f>IFERROR(__xludf.DUMMYFUNCTION("LEFT(FILTER(IMPORTRANGE(""https://docs.google.com/spreadsheets/d/1BJSV3WBYJGRhQ6zExamkszQ5VutGIcaQqmbD9ZTVXMQ/edit#gid=1251630045"",""articles_with_PRISMA_reasons!K2:K2113""), $A791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$A791=IMPORTRANGE(""https://docs.google.com/spreadsheets/d/1BJSV3WBYJGRhQ6zExamkszQ5VutGIcaQqmbD9ZTVXMQ/edit#gid=1251630045"",""articles_with_PRISMA_reasons!B2:B2113"")))-1)"),"Melcer")</f>
        <v>Melcer</v>
      </c>
      <c r="C791" s="6">
        <f>IFERROR(__xludf.DUMMYFUNCTION("FILTER(IMPORTRANGE(""https://docs.google.com/spreadsheets/d/1BJSV3WBYJGRhQ6zExamkszQ5VutGIcaQqmbD9ZTVXMQ/edit#gid=1251630045"",""articles_with_PRISMA_reasons!C2:C2113""), $A791=IMPORTRANGE(""https://docs.google.com/spreadsheets/d/1BJSV3WBYJGRhQ6zExamkszQ5"&amp;"VutGIcaQqmbD9ZTVXMQ/edit#gid=1251630045"",""articles_with_PRISMA_reasons!B2:B2113""))"),2017.0)</f>
        <v>2017</v>
      </c>
      <c r="D791" s="5" t="str">
        <f>IFERROR(__xludf.DUMMYFUNCTION("IFS(AND(
FILTER(IMPORTRANGE(""https://docs.google.com/spreadsheets/d/1BJSV3WBYJGRhQ6zExamkszQ5VutGIcaQqmbD9ZTVXMQ/edit#gid=1251630045"",""articles_with_PRISMA_reasons!Y2:Y2113""), $A791=IMPORTRANGE(""https://docs.google.com/spreadsheets/d/1BJSV3WBYJGRhQ6z"&amp;"ExamkszQ5VutGIcaQqmbD9ZTVXMQ/edit#gid=1251630045"",""articles_with_PRISMA_reasons!B2:B2113""))&gt;=2,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$A791=IMPORTRANGE(""https://docs.google.com/spreadsheets/d/1BJSV3WBYJGRhQ6zExamkszQ5VutGIcaQqmbD9ZTVXMQ/edit#gid=1251630045"",""articles_with_PRISMA_reasons!B2:B2113""))&lt;2),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$A791=IMPORTRANGE(""https://docs.google.com/spreadsheets/d/1BJSV3WBYJGRhQ6zExamkszQ5VutGIcaQqmbD9ZTVXMQ/edit#gid=1251630045"",""arti"&amp;"cles_with_PRISMA_reasons!B2:B2113""))&lt;2,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$A791=IMPORTRANGE(""https://docs.google.com"&amp;"/spreadsheets/d/1BJSV3WBYJGRhQ6zExamkszQ5VutGIcaQqmbD9ZTVXMQ/edit#gid=1251630045"",""articles_with_PRISMA_reasons!B2:B2113""))&gt;=2),
""Exclude""
)"),"Exclude")</f>
        <v>Exclude</v>
      </c>
      <c r="E791" s="5" t="str">
        <f>IFERROR(__xludf.DUMMYFUNCTION("IFS(
D791=""Exclude"",""Exclude"",
AND(
FILTER(IMPORTRANGE(""https://docs.google.com/spreadsheets/d/1qpEmbGH0JjaJbUdp21-y2cPbobDbMjr09BbtdKROZWc/edit#gid=1444865654"",""articles_with_PRISMA_reasons!W2:W2113""), $A791=IMPORTRANGE(""https://docs.google.com/"&amp;"spreadsheets/d/1qpEmbGH0JjaJbUdp21-y2cPbobDbMjr09BbtdKROZWc/edit#gid=1444865654"",""articles_with_PRISMA_reasons!B2:B2113""))&gt;=2,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$A791=IMPORTRANGE(""https://docs.google.com/spreadsheets/d/1qpEmbGH0JjaJbUdp21-y2cPbobDbMjr09BbtdKROZWc/edit#gid=1444865654"",""articles_with_PRISMA_reasons!B2:B2113""))&lt;2),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$A791=IMPORTRANGE(""https://docs.google.com/spreadsheets/d/1qpEmbGH0JjaJbUdp21-y2cPbobDbMjr09BbtdKRO"&amp;"ZWc/edit#gid=1444865654"",""articles_with_PRISMA_reasons!B2:B2113""))&lt;2,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$A791=IMPOR"&amp;"TRANGE(""https://docs.google.com/spreadsheets/d/1qpEmbGH0JjaJbUdp21-y2cPbobDbMjr09BbtdKROZWc/edit#gid=1444865654"",""articles_with_PRISMA_reasons!B2:B2113""))&gt;=2),
""Exclude""
)"),"Exclude")</f>
        <v>Exclude</v>
      </c>
      <c r="F791" s="5" t="str">
        <f>IFERROR(__xludf.DUMMYFUNCTION("IFS(
E791=""Exclude"",""Exclude"",
AND(
COUNTIF(
IMPORTRANGE(""https://docs.google.com/spreadsheets/d/1kGrh75X1cNR1D7_FcY9zMnHP8iPO4M5RCRjy6nZY0TY/edit#gid=0"",""Table 1: Study characteristics!B4:B171""),A791)&gt;0,
COUNTIF(Studies!$A$2:$A$85,FILTER(IMPORTRA"&amp;"NGE(""https://docs.google.com/spreadsheets/d/1kGrh75X1cNR1D7_FcY9zMnHP8iPO4M5RCRjy6nZY0TY/edit#gid=0"",""Table 1: Study characteristics!A4:A171""), $A791=IMPORTRANGE(""https://docs.google.com/spreadsheets/d/1kGrh75X1cNR1D7_FcY9zMnHP8iPO4M5RCRjy6nZY0TY/edi"&amp;"t#gid=0"",""Table 1: Study characteristics!B4:B171"")))&gt;0
),
""Include""
)"),"Exclude")</f>
        <v>Exclude</v>
      </c>
      <c r="G791" s="5" t="str">
        <f>IFERROR(__xludf.DUMMYFUNCTION("IFS(
D791=""Exclude"",
FILTER(IMPORTRANGE(""https://docs.google.com/spreadsheets/d/1BJSV3WBYJGRhQ6zExamkszQ5VutGIcaQqmbD9ZTVXMQ/edit#gid=1251630045"",""articles_with_PRISMA_reasons!AB2:AB2113""), $A791=IMPORTRANGE(""https://docs.google.com/spreadsheets/d/"&amp;"1BJSV3WBYJGRhQ6zExamkszQ5VutGIcaQqmbD9ZTVXMQ/edit#gid=1251630045"",""articles_with_PRISMA_reasons!B2:B2113"")),
E791=""Exclude"",
FILTER(IMPORTRANGE(""https://docs.google.com/spreadsheets/d/1qpEmbGH0JjaJbUdp21-y2cPbobDbMjr09BbtdKROZWc/edit#gid=1444865654"&amp;""",""articles_with_PRISMA_reasons!Z2:Z2113""), $A791=IMPORTRANGE(""https://docs.google.com/spreadsheets/d/1qpEmbGH0JjaJbUdp21-y2cPbobDbMjr09BbtdKROZWc/edit#gid=1444865654"",""articles_with_PRISMA_reasons!B2:B2113"")),F791
=""Include"",FILTER(IMPORTRANGE("&amp;"""https://docs.google.com/spreadsheets/d/1kGrh75X1cNR1D7_FcY9zMnHP8iPO4M5RCRjy6nZY0TY/edit#gid=0"",""Table 1: Study characteristics!A4:A171""), $A791=IMPORTRANGE(""https://docs.google.com/spreadsheets/d/1kGrh75X1cNR1D7_FcY9zMnHP8iPO4M5RCRjy6nZY0TY/edit#gi"&amp;"d=0"",""Table 1: Study characteristics!B4:B171""))
)"),"wrong population")</f>
        <v>wrong population</v>
      </c>
    </row>
    <row r="792">
      <c r="A792" s="4" t="str">
        <f>IFERROR(__xludf.DUMMYFUNCTION("""COMPUTED_VALUE"""),"Fetal and neonatal neurologic case histories: Assessment of brain disorders in the context of fetal-meternal-placental disease. Part 1: Fetal neurologic consultations in the context of antepartum events and prenatal brain development")</f>
        <v>Fetal and neonatal neurologic case histories: Assessment of brain disorders in the context of fetal-meternal-placental disease. Part 1: Fetal neurologic consultations in the context of antepartum events and prenatal brain development</v>
      </c>
      <c r="B792" s="5" t="str">
        <f>IFERROR(__xludf.DUMMYFUNCTION("LEFT(FILTER(IMPORTRANGE(""https://docs.google.com/spreadsheets/d/1BJSV3WBYJGRhQ6zExamkszQ5VutGIcaQqmbD9ZTVXMQ/edit#gid=1251630045"",""articles_with_PRISMA_reasons!K2:K2113""), $A792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$A792=IMPORTRANGE(""https://docs.google.com/spreadsheets/d/1BJSV3WBYJGRhQ6zExamkszQ5VutGIcaQqmbD9ZTVXMQ/edit#gid=1251630045"",""articles_with_PRISMA_reasons!B2:B2113"")))-1)"),"Scher")</f>
        <v>Scher</v>
      </c>
      <c r="C792" s="6">
        <f>IFERROR(__xludf.DUMMYFUNCTION("FILTER(IMPORTRANGE(""https://docs.google.com/spreadsheets/d/1BJSV3WBYJGRhQ6zExamkszQ5VutGIcaQqmbD9ZTVXMQ/edit#gid=1251630045"",""articles_with_PRISMA_reasons!C2:C2113""), $A792=IMPORTRANGE(""https://docs.google.com/spreadsheets/d/1BJSV3WBYJGRhQ6zExamkszQ5"&amp;"VutGIcaQqmbD9ZTVXMQ/edit#gid=1251630045"",""articles_with_PRISMA_reasons!B2:B2113""))"),2003.0)</f>
        <v>2003</v>
      </c>
      <c r="D792" s="5" t="str">
        <f>IFERROR(__xludf.DUMMYFUNCTION("IFS(AND(
FILTER(IMPORTRANGE(""https://docs.google.com/spreadsheets/d/1BJSV3WBYJGRhQ6zExamkszQ5VutGIcaQqmbD9ZTVXMQ/edit#gid=1251630045"",""articles_with_PRISMA_reasons!Y2:Y2113""), $A792=IMPORTRANGE(""https://docs.google.com/spreadsheets/d/1BJSV3WBYJGRhQ6z"&amp;"ExamkszQ5VutGIcaQqmbD9ZTVXMQ/edit#gid=1251630045"",""articles_with_PRISMA_reasons!B2:B2113""))&gt;=2,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$A792=IMPORTRANGE(""https://docs.google.com/spreadsheets/d/1BJSV3WBYJGRhQ6zExamkszQ5VutGIcaQqmbD9ZTVXMQ/edit#gid=1251630045"",""articles_with_PRISMA_reasons!B2:B2113""))&lt;2),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$A792=IMPORTRANGE(""https://docs.google.com/spreadsheets/d/1BJSV3WBYJGRhQ6zExamkszQ5VutGIcaQqmbD9ZTVXMQ/edit#gid=1251630045"",""arti"&amp;"cles_with_PRISMA_reasons!B2:B2113""))&lt;2,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$A792=IMPORTRANGE(""https://docs.google.com"&amp;"/spreadsheets/d/1BJSV3WBYJGRhQ6zExamkszQ5VutGIcaQqmbD9ZTVXMQ/edit#gid=1251630045"",""articles_with_PRISMA_reasons!B2:B2113""))&gt;=2),
""Exclude""
)"),"Exclude")</f>
        <v>Exclude</v>
      </c>
      <c r="E792" s="5" t="str">
        <f>IFERROR(__xludf.DUMMYFUNCTION("IFS(
D792=""Exclude"",""Exclude"",
AND(
FILTER(IMPORTRANGE(""https://docs.google.com/spreadsheets/d/1qpEmbGH0JjaJbUdp21-y2cPbobDbMjr09BbtdKROZWc/edit#gid=1444865654"",""articles_with_PRISMA_reasons!W2:W2113""), $A792=IMPORTRANGE(""https://docs.google.com/"&amp;"spreadsheets/d/1qpEmbGH0JjaJbUdp21-y2cPbobDbMjr09BbtdKROZWc/edit#gid=1444865654"",""articles_with_PRISMA_reasons!B2:B2113""))&gt;=2,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$A792=IMPORTRANGE(""https://docs.google.com/spreadsheets/d/1qpEmbGH0JjaJbUdp21-y2cPbobDbMjr09BbtdKROZWc/edit#gid=1444865654"",""articles_with_PRISMA_reasons!B2:B2113""))&lt;2),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$A792=IMPORTRANGE(""https://docs.google.com/spreadsheets/d/1qpEmbGH0JjaJbUdp21-y2cPbobDbMjr09BbtdKRO"&amp;"ZWc/edit#gid=1444865654"",""articles_with_PRISMA_reasons!B2:B2113""))&lt;2,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$A792=IMPOR"&amp;"TRANGE(""https://docs.google.com/spreadsheets/d/1qpEmbGH0JjaJbUdp21-y2cPbobDbMjr09BbtdKROZWc/edit#gid=1444865654"",""articles_with_PRISMA_reasons!B2:B2113""))&gt;=2),
""Exclude""
)"),"Exclude")</f>
        <v>Exclude</v>
      </c>
      <c r="F792" s="5" t="str">
        <f>IFERROR(__xludf.DUMMYFUNCTION("IFS(
E792=""Exclude"",""Exclude"",
AND(
COUNTIF(
IMPORTRANGE(""https://docs.google.com/spreadsheets/d/1kGrh75X1cNR1D7_FcY9zMnHP8iPO4M5RCRjy6nZY0TY/edit#gid=0"",""Table 1: Study characteristics!B4:B171""),A792)&gt;0,
COUNTIF(Studies!$A$2:$A$85,FILTER(IMPORTRA"&amp;"NGE(""https://docs.google.com/spreadsheets/d/1kGrh75X1cNR1D7_FcY9zMnHP8iPO4M5RCRjy6nZY0TY/edit#gid=0"",""Table 1: Study characteristics!A4:A171""), $A792=IMPORTRANGE(""https://docs.google.com/spreadsheets/d/1kGrh75X1cNR1D7_FcY9zMnHP8iPO4M5RCRjy6nZY0TY/edi"&amp;"t#gid=0"",""Table 1: Study characteristics!B4:B171"")))&gt;0
),
""Include""
)"),"Exclude")</f>
        <v>Exclude</v>
      </c>
      <c r="G792" s="5" t="str">
        <f>IFERROR(__xludf.DUMMYFUNCTION("IFS(
D792=""Exclude"",
FILTER(IMPORTRANGE(""https://docs.google.com/spreadsheets/d/1BJSV3WBYJGRhQ6zExamkszQ5VutGIcaQqmbD9ZTVXMQ/edit#gid=1251630045"",""articles_with_PRISMA_reasons!AB2:AB2113""), $A792=IMPORTRANGE(""https://docs.google.com/spreadsheets/d/"&amp;"1BJSV3WBYJGRhQ6zExamkszQ5VutGIcaQqmbD9ZTVXMQ/edit#gid=1251630045"",""articles_with_PRISMA_reasons!B2:B2113"")),
E792=""Exclude"",
FILTER(IMPORTRANGE(""https://docs.google.com/spreadsheets/d/1qpEmbGH0JjaJbUdp21-y2cPbobDbMjr09BbtdKROZWc/edit#gid=1444865654"&amp;""",""articles_with_PRISMA_reasons!Z2:Z2113""), $A792=IMPORTRANGE(""https://docs.google.com/spreadsheets/d/1qpEmbGH0JjaJbUdp21-y2cPbobDbMjr09BbtdKROZWc/edit#gid=1444865654"",""articles_with_PRISMA_reasons!B2:B2113"")),F792
=""Include"",FILTER(IMPORTRANGE("&amp;"""https://docs.google.com/spreadsheets/d/1kGrh75X1cNR1D7_FcY9zMnHP8iPO4M5RCRjy6nZY0TY/edit#gid=0"",""Table 1: Study characteristics!A4:A171""), $A792=IMPORTRANGE(""https://docs.google.com/spreadsheets/d/1kGrh75X1cNR1D7_FcY9zMnHP8iPO4M5RCRjy6nZY0TY/edit#gi"&amp;"d=0"",""Table 1: Study characteristics!B4:B171""))
)"),"wrong population")</f>
        <v>wrong population</v>
      </c>
    </row>
    <row r="793">
      <c r="A793" s="4" t="str">
        <f>IFERROR(__xludf.DUMMYFUNCTION("""COMPUTED_VALUE"""),"Fetal and neonatal presentation of OEIS complex")</f>
        <v>Fetal and neonatal presentation of OEIS complex</v>
      </c>
      <c r="B793" s="5" t="str">
        <f>IFERROR(__xludf.DUMMYFUNCTION("LEFT(FILTER(IMPORTRANGE(""https://docs.google.com/spreadsheets/d/1BJSV3WBYJGRhQ6zExamkszQ5VutGIcaQqmbD9ZTVXMQ/edit#gid=1251630045"",""articles_with_PRISMA_reasons!K2:K2113""), $A793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$A793=IMPORTRANGE(""https://docs.google.com/spreadsheets/d/1BJSV3WBYJGRhQ6zExamkszQ5VutGIcaQqmbD9ZTVXMQ/edit#gid=1251630045"",""articles_with_PRISMA_reasons!B2:B2113"")))-1)"),"Allam")</f>
        <v>Allam</v>
      </c>
      <c r="C793" s="6">
        <f>IFERROR(__xludf.DUMMYFUNCTION("FILTER(IMPORTRANGE(""https://docs.google.com/spreadsheets/d/1BJSV3WBYJGRhQ6zExamkszQ5VutGIcaQqmbD9ZTVXMQ/edit#gid=1251630045"",""articles_with_PRISMA_reasons!C2:C2113""), $A793=IMPORTRANGE(""https://docs.google.com/spreadsheets/d/1BJSV3WBYJGRhQ6zExamkszQ5"&amp;"VutGIcaQqmbD9ZTVXMQ/edit#gid=1251630045"",""articles_with_PRISMA_reasons!B2:B2113""))"),2015.0)</f>
        <v>2015</v>
      </c>
      <c r="D793" s="5" t="str">
        <f>IFERROR(__xludf.DUMMYFUNCTION("IFS(AND(
FILTER(IMPORTRANGE(""https://docs.google.com/spreadsheets/d/1BJSV3WBYJGRhQ6zExamkszQ5VutGIcaQqmbD9ZTVXMQ/edit#gid=1251630045"",""articles_with_PRISMA_reasons!Y2:Y2113""), $A793=IMPORTRANGE(""https://docs.google.com/spreadsheets/d/1BJSV3WBYJGRhQ6z"&amp;"ExamkszQ5VutGIcaQqmbD9ZTVXMQ/edit#gid=1251630045"",""articles_with_PRISMA_reasons!B2:B2113""))&gt;=2,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$A793=IMPORTRANGE(""https://docs.google.com/spreadsheets/d/1BJSV3WBYJGRhQ6zExamkszQ5VutGIcaQqmbD9ZTVXMQ/edit#gid=1251630045"",""articles_with_PRISMA_reasons!B2:B2113""))&lt;2),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$A793=IMPORTRANGE(""https://docs.google.com/spreadsheets/d/1BJSV3WBYJGRhQ6zExamkszQ5VutGIcaQqmbD9ZTVXMQ/edit#gid=1251630045"",""arti"&amp;"cles_with_PRISMA_reasons!B2:B2113""))&lt;2,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$A793=IMPORTRANGE(""https://docs.google.com"&amp;"/spreadsheets/d/1BJSV3WBYJGRhQ6zExamkszQ5VutGIcaQqmbD9ZTVXMQ/edit#gid=1251630045"",""articles_with_PRISMA_reasons!B2:B2113""))&gt;=2),
""Exclude""
)"),"Exclude")</f>
        <v>Exclude</v>
      </c>
      <c r="E793" s="5" t="str">
        <f>IFERROR(__xludf.DUMMYFUNCTION("IFS(
D793=""Exclude"",""Exclude"",
AND(
FILTER(IMPORTRANGE(""https://docs.google.com/spreadsheets/d/1qpEmbGH0JjaJbUdp21-y2cPbobDbMjr09BbtdKROZWc/edit#gid=1444865654"",""articles_with_PRISMA_reasons!W2:W2113""), $A793=IMPORTRANGE(""https://docs.google.com/"&amp;"spreadsheets/d/1qpEmbGH0JjaJbUdp21-y2cPbobDbMjr09BbtdKROZWc/edit#gid=1444865654"",""articles_with_PRISMA_reasons!B2:B2113""))&gt;=2,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$A793=IMPORTRANGE(""https://docs.google.com/spreadsheets/d/1qpEmbGH0JjaJbUdp21-y2cPbobDbMjr09BbtdKROZWc/edit#gid=1444865654"",""articles_with_PRISMA_reasons!B2:B2113""))&lt;2),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$A793=IMPORTRANGE(""https://docs.google.com/spreadsheets/d/1qpEmbGH0JjaJbUdp21-y2cPbobDbMjr09BbtdKRO"&amp;"ZWc/edit#gid=1444865654"",""articles_with_PRISMA_reasons!B2:B2113""))&lt;2,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$A793=IMPOR"&amp;"TRANGE(""https://docs.google.com/spreadsheets/d/1qpEmbGH0JjaJbUdp21-y2cPbobDbMjr09BbtdKROZWc/edit#gid=1444865654"",""articles_with_PRISMA_reasons!B2:B2113""))&gt;=2),
""Exclude""
)"),"Exclude")</f>
        <v>Exclude</v>
      </c>
      <c r="F793" s="5" t="str">
        <f>IFERROR(__xludf.DUMMYFUNCTION("IFS(
E793=""Exclude"",""Exclude"",
AND(
COUNTIF(
IMPORTRANGE(""https://docs.google.com/spreadsheets/d/1kGrh75X1cNR1D7_FcY9zMnHP8iPO4M5RCRjy6nZY0TY/edit#gid=0"",""Table 1: Study characteristics!B4:B171""),A793)&gt;0,
COUNTIF(Studies!$A$2:$A$85,FILTER(IMPORTRA"&amp;"NGE(""https://docs.google.com/spreadsheets/d/1kGrh75X1cNR1D7_FcY9zMnHP8iPO4M5RCRjy6nZY0TY/edit#gid=0"",""Table 1: Study characteristics!A4:A171""), $A793=IMPORTRANGE(""https://docs.google.com/spreadsheets/d/1kGrh75X1cNR1D7_FcY9zMnHP8iPO4M5RCRjy6nZY0TY/edi"&amp;"t#gid=0"",""Table 1: Study characteristics!B4:B171"")))&gt;0
),
""Include""
)"),"Exclude")</f>
        <v>Exclude</v>
      </c>
      <c r="G793" s="5" t="str">
        <f>IFERROR(__xludf.DUMMYFUNCTION("IFS(
D793=""Exclude"",
FILTER(IMPORTRANGE(""https://docs.google.com/spreadsheets/d/1BJSV3WBYJGRhQ6zExamkszQ5VutGIcaQqmbD9ZTVXMQ/edit#gid=1251630045"",""articles_with_PRISMA_reasons!AB2:AB2113""), $A793=IMPORTRANGE(""https://docs.google.com/spreadsheets/d/"&amp;"1BJSV3WBYJGRhQ6zExamkszQ5VutGIcaQqmbD9ZTVXMQ/edit#gid=1251630045"",""articles_with_PRISMA_reasons!B2:B2113"")),
E793=""Exclude"",
FILTER(IMPORTRANGE(""https://docs.google.com/spreadsheets/d/1qpEmbGH0JjaJbUdp21-y2cPbobDbMjr09BbtdKROZWc/edit#gid=1444865654"&amp;""",""articles_with_PRISMA_reasons!Z2:Z2113""), $A793=IMPORTRANGE(""https://docs.google.com/spreadsheets/d/1qpEmbGH0JjaJbUdp21-y2cPbobDbMjr09BbtdKROZWc/edit#gid=1444865654"",""articles_with_PRISMA_reasons!B2:B2113"")),F793
=""Include"",FILTER(IMPORTRANGE("&amp;"""https://docs.google.com/spreadsheets/d/1kGrh75X1cNR1D7_FcY9zMnHP8iPO4M5RCRjy6nZY0TY/edit#gid=0"",""Table 1: Study characteristics!A4:A171""), $A793=IMPORTRANGE(""https://docs.google.com/spreadsheets/d/1kGrh75X1cNR1D7_FcY9zMnHP8iPO4M5RCRjy6nZY0TY/edit#gi"&amp;"d=0"",""Table 1: Study characteristics!B4:B171""))
)"),"wrong study design")</f>
        <v>wrong study design</v>
      </c>
    </row>
    <row r="794">
      <c r="A794" s="4" t="str">
        <f>IFERROR(__xludf.DUMMYFUNCTION("""COMPUTED_VALUE"""),"Fetal brain anomalies detection during the first trimester: expanding the scope of antenatal sonography")</f>
        <v>Fetal brain anomalies detection during the first trimester: expanding the scope of antenatal sonography</v>
      </c>
      <c r="B794" s="5" t="str">
        <f>IFERROR(__xludf.DUMMYFUNCTION("LEFT(FILTER(IMPORTRANGE(""https://docs.google.com/spreadsheets/d/1BJSV3WBYJGRhQ6zExamkszQ5VutGIcaQqmbD9ZTVXMQ/edit#gid=1251630045"",""articles_with_PRISMA_reasons!K2:K2113""), $A794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$A794=IMPORTRANGE(""https://docs.google.com/spreadsheets/d/1BJSV3WBYJGRhQ6zExamkszQ5VutGIcaQqmbD9ZTVXMQ/edit#gid=1251630045"",""articles_with_PRISMA_reasons!B2:B2113"")))-1)"),"Katorza")</f>
        <v>Katorza</v>
      </c>
      <c r="C794" s="6">
        <f>IFERROR(__xludf.DUMMYFUNCTION("FILTER(IMPORTRANGE(""https://docs.google.com/spreadsheets/d/1BJSV3WBYJGRhQ6zExamkszQ5VutGIcaQqmbD9ZTVXMQ/edit#gid=1251630045"",""articles_with_PRISMA_reasons!C2:C2113""), $A794=IMPORTRANGE(""https://docs.google.com/spreadsheets/d/1BJSV3WBYJGRhQ6zExamkszQ5"&amp;"VutGIcaQqmbD9ZTVXMQ/edit#gid=1251630045"",""articles_with_PRISMA_reasons!B2:B2113""))"),2018.0)</f>
        <v>2018</v>
      </c>
      <c r="D794" s="5" t="str">
        <f>IFERROR(__xludf.DUMMYFUNCTION("IFS(AND(
FILTER(IMPORTRANGE(""https://docs.google.com/spreadsheets/d/1BJSV3WBYJGRhQ6zExamkszQ5VutGIcaQqmbD9ZTVXMQ/edit#gid=1251630045"",""articles_with_PRISMA_reasons!Y2:Y2113""), $A794=IMPORTRANGE(""https://docs.google.com/spreadsheets/d/1BJSV3WBYJGRhQ6z"&amp;"ExamkszQ5VutGIcaQqmbD9ZTVXMQ/edit#gid=1251630045"",""articles_with_PRISMA_reasons!B2:B2113""))&gt;=2,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$A794=IMPORTRANGE(""https://docs.google.com/spreadsheets/d/1BJSV3WBYJGRhQ6zExamkszQ5VutGIcaQqmbD9ZTVXMQ/edit#gid=1251630045"",""articles_with_PRISMA_reasons!B2:B2113""))&lt;2),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$A794=IMPORTRANGE(""https://docs.google.com/spreadsheets/d/1BJSV3WBYJGRhQ6zExamkszQ5VutGIcaQqmbD9ZTVXMQ/edit#gid=1251630045"",""arti"&amp;"cles_with_PRISMA_reasons!B2:B2113""))&lt;2,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$A794=IMPORTRANGE(""https://docs.google.com"&amp;"/spreadsheets/d/1BJSV3WBYJGRhQ6zExamkszQ5VutGIcaQqmbD9ZTVXMQ/edit#gid=1251630045"",""articles_with_PRISMA_reasons!B2:B2113""))&gt;=2),
""Exclude""
)"),"Exclude")</f>
        <v>Exclude</v>
      </c>
      <c r="E794" s="5" t="str">
        <f>IFERROR(__xludf.DUMMYFUNCTION("IFS(
D794=""Exclude"",""Exclude"",
AND(
FILTER(IMPORTRANGE(""https://docs.google.com/spreadsheets/d/1qpEmbGH0JjaJbUdp21-y2cPbobDbMjr09BbtdKROZWc/edit#gid=1444865654"",""articles_with_PRISMA_reasons!W2:W2113""), $A794=IMPORTRANGE(""https://docs.google.com/"&amp;"spreadsheets/d/1qpEmbGH0JjaJbUdp21-y2cPbobDbMjr09BbtdKROZWc/edit#gid=1444865654"",""articles_with_PRISMA_reasons!B2:B2113""))&gt;=2,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$A794=IMPORTRANGE(""https://docs.google.com/spreadsheets/d/1qpEmbGH0JjaJbUdp21-y2cPbobDbMjr09BbtdKROZWc/edit#gid=1444865654"",""articles_with_PRISMA_reasons!B2:B2113""))&lt;2),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$A794=IMPORTRANGE(""https://docs.google.com/spreadsheets/d/1qpEmbGH0JjaJbUdp21-y2cPbobDbMjr09BbtdKRO"&amp;"ZWc/edit#gid=1444865654"",""articles_with_PRISMA_reasons!B2:B2113""))&lt;2,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$A794=IMPOR"&amp;"TRANGE(""https://docs.google.com/spreadsheets/d/1qpEmbGH0JjaJbUdp21-y2cPbobDbMjr09BbtdKROZWc/edit#gid=1444865654"",""articles_with_PRISMA_reasons!B2:B2113""))&gt;=2),
""Exclude""
)"),"Exclude")</f>
        <v>Exclude</v>
      </c>
      <c r="F794" s="5" t="str">
        <f>IFERROR(__xludf.DUMMYFUNCTION("IFS(
E794=""Exclude"",""Exclude"",
AND(
COUNTIF(
IMPORTRANGE(""https://docs.google.com/spreadsheets/d/1kGrh75X1cNR1D7_FcY9zMnHP8iPO4M5RCRjy6nZY0TY/edit#gid=0"",""Table 1: Study characteristics!B4:B171""),A794)&gt;0,
COUNTIF(Studies!$A$2:$A$85,FILTER(IMPORTRA"&amp;"NGE(""https://docs.google.com/spreadsheets/d/1kGrh75X1cNR1D7_FcY9zMnHP8iPO4M5RCRjy6nZY0TY/edit#gid=0"",""Table 1: Study characteristics!A4:A171""), $A794=IMPORTRANGE(""https://docs.google.com/spreadsheets/d/1kGrh75X1cNR1D7_FcY9zMnHP8iPO4M5RCRjy6nZY0TY/edi"&amp;"t#gid=0"",""Table 1: Study characteristics!B4:B171"")))&gt;0
),
""Include""
)"),"Exclude")</f>
        <v>Exclude</v>
      </c>
      <c r="G794" s="5" t="str">
        <f>IFERROR(__xludf.DUMMYFUNCTION("IFS(
D794=""Exclude"",
FILTER(IMPORTRANGE(""https://docs.google.com/spreadsheets/d/1BJSV3WBYJGRhQ6zExamkszQ5VutGIcaQqmbD9ZTVXMQ/edit#gid=1251630045"",""articles_with_PRISMA_reasons!AB2:AB2113""), $A794=IMPORTRANGE(""https://docs.google.com/spreadsheets/d/"&amp;"1BJSV3WBYJGRhQ6zExamkszQ5VutGIcaQqmbD9ZTVXMQ/edit#gid=1251630045"",""articles_with_PRISMA_reasons!B2:B2113"")),
E794=""Exclude"",
FILTER(IMPORTRANGE(""https://docs.google.com/spreadsheets/d/1qpEmbGH0JjaJbUdp21-y2cPbobDbMjr09BbtdKROZWc/edit#gid=1444865654"&amp;""",""articles_with_PRISMA_reasons!Z2:Z2113""), $A794=IMPORTRANGE(""https://docs.google.com/spreadsheets/d/1qpEmbGH0JjaJbUdp21-y2cPbobDbMjr09BbtdKROZWc/edit#gid=1444865654"",""articles_with_PRISMA_reasons!B2:B2113"")),F794
=""Include"",FILTER(IMPORTRANGE("&amp;"""https://docs.google.com/spreadsheets/d/1kGrh75X1cNR1D7_FcY9zMnHP8iPO4M5RCRjy6nZY0TY/edit#gid=0"",""Table 1: Study characteristics!A4:A171""), $A794=IMPORTRANGE(""https://docs.google.com/spreadsheets/d/1kGrh75X1cNR1D7_FcY9zMnHP8iPO4M5RCRjy6nZY0TY/edit#gi"&amp;"d=0"",""Table 1: Study characteristics!B4:B171""))
)"),"wrong population")</f>
        <v>wrong population</v>
      </c>
    </row>
    <row r="795">
      <c r="A795" s="4" t="str">
        <f>IFERROR(__xludf.DUMMYFUNCTION("""COMPUTED_VALUE"""),"Fetal central nervous system anomalies detected by magnetic resonance imaging: A two-year experience")</f>
        <v>Fetal central nervous system anomalies detected by magnetic resonance imaging: A two-year experience</v>
      </c>
      <c r="B795" s="5" t="str">
        <f>IFERROR(__xludf.DUMMYFUNCTION("LEFT(FILTER(IMPORTRANGE(""https://docs.google.com/spreadsheets/d/1BJSV3WBYJGRhQ6zExamkszQ5VutGIcaQqmbD9ZTVXMQ/edit#gid=1251630045"",""articles_with_PRISMA_reasons!K2:K2113""), $A795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$A795=IMPORTRANGE(""https://docs.google.com/spreadsheets/d/1BJSV3WBYJGRhQ6zExamkszQ5VutGIcaQqmbD9ZTVXMQ/edit#gid=1251630045"",""articles_with_PRISMA_reasons!B2:B2113"")))-1)"),"Sefidbakht")</f>
        <v>Sefidbakht</v>
      </c>
      <c r="C795" s="6">
        <f>IFERROR(__xludf.DUMMYFUNCTION("FILTER(IMPORTRANGE(""https://docs.google.com/spreadsheets/d/1BJSV3WBYJGRhQ6zExamkszQ5VutGIcaQqmbD9ZTVXMQ/edit#gid=1251630045"",""articles_with_PRISMA_reasons!C2:C2113""), $A795=IMPORTRANGE(""https://docs.google.com/spreadsheets/d/1BJSV3WBYJGRhQ6zExamkszQ5"&amp;"VutGIcaQqmbD9ZTVXMQ/edit#gid=1251630045"",""articles_with_PRISMA_reasons!B2:B2113""))"),2016.0)</f>
        <v>2016</v>
      </c>
      <c r="D795" s="5" t="str">
        <f>IFERROR(__xludf.DUMMYFUNCTION("IFS(AND(
FILTER(IMPORTRANGE(""https://docs.google.com/spreadsheets/d/1BJSV3WBYJGRhQ6zExamkszQ5VutGIcaQqmbD9ZTVXMQ/edit#gid=1251630045"",""articles_with_PRISMA_reasons!Y2:Y2113""), $A795=IMPORTRANGE(""https://docs.google.com/spreadsheets/d/1BJSV3WBYJGRhQ6z"&amp;"ExamkszQ5VutGIcaQqmbD9ZTVXMQ/edit#gid=1251630045"",""articles_with_PRISMA_reasons!B2:B2113""))&gt;=2,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$A795=IMPORTRANGE(""https://docs.google.com/spreadsheets/d/1BJSV3WBYJGRhQ6zExamkszQ5VutGIcaQqmbD9ZTVXMQ/edit#gid=1251630045"",""articles_with_PRISMA_reasons!B2:B2113""))&lt;2),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$A795=IMPORTRANGE(""https://docs.google.com/spreadsheets/d/1BJSV3WBYJGRhQ6zExamkszQ5VutGIcaQqmbD9ZTVXMQ/edit#gid=1251630045"",""arti"&amp;"cles_with_PRISMA_reasons!B2:B2113""))&lt;2,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$A795=IMPORTRANGE(""https://docs.google.com"&amp;"/spreadsheets/d/1BJSV3WBYJGRhQ6zExamkszQ5VutGIcaQqmbD9ZTVXMQ/edit#gid=1251630045"",""articles_with_PRISMA_reasons!B2:B2113""))&gt;=2),
""Exclude""
)"),"Exclude")</f>
        <v>Exclude</v>
      </c>
      <c r="E795" s="5" t="str">
        <f>IFERROR(__xludf.DUMMYFUNCTION("IFS(
D795=""Exclude"",""Exclude"",
AND(
FILTER(IMPORTRANGE(""https://docs.google.com/spreadsheets/d/1qpEmbGH0JjaJbUdp21-y2cPbobDbMjr09BbtdKROZWc/edit#gid=1444865654"",""articles_with_PRISMA_reasons!W2:W2113""), $A795=IMPORTRANGE(""https://docs.google.com/"&amp;"spreadsheets/d/1qpEmbGH0JjaJbUdp21-y2cPbobDbMjr09BbtdKROZWc/edit#gid=1444865654"",""articles_with_PRISMA_reasons!B2:B2113""))&gt;=2,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$A795=IMPORTRANGE(""https://docs.google.com/spreadsheets/d/1qpEmbGH0JjaJbUdp21-y2cPbobDbMjr09BbtdKROZWc/edit#gid=1444865654"",""articles_with_PRISMA_reasons!B2:B2113""))&lt;2),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$A795=IMPORTRANGE(""https://docs.google.com/spreadsheets/d/1qpEmbGH0JjaJbUdp21-y2cPbobDbMjr09BbtdKRO"&amp;"ZWc/edit#gid=1444865654"",""articles_with_PRISMA_reasons!B2:B2113""))&lt;2,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$A795=IMPOR"&amp;"TRANGE(""https://docs.google.com/spreadsheets/d/1qpEmbGH0JjaJbUdp21-y2cPbobDbMjr09BbtdKROZWc/edit#gid=1444865654"",""articles_with_PRISMA_reasons!B2:B2113""))&gt;=2),
""Exclude""
)"),"Exclude")</f>
        <v>Exclude</v>
      </c>
      <c r="F795" s="5" t="str">
        <f>IFERROR(__xludf.DUMMYFUNCTION("IFS(
E795=""Exclude"",""Exclude"",
AND(
COUNTIF(
IMPORTRANGE(""https://docs.google.com/spreadsheets/d/1kGrh75X1cNR1D7_FcY9zMnHP8iPO4M5RCRjy6nZY0TY/edit#gid=0"",""Table 1: Study characteristics!B4:B171""),A795)&gt;0,
COUNTIF(Studies!$A$2:$A$85,FILTER(IMPORTRA"&amp;"NGE(""https://docs.google.com/spreadsheets/d/1kGrh75X1cNR1D7_FcY9zMnHP8iPO4M5RCRjy6nZY0TY/edit#gid=0"",""Table 1: Study characteristics!A4:A171""), $A795=IMPORTRANGE(""https://docs.google.com/spreadsheets/d/1kGrh75X1cNR1D7_FcY9zMnHP8iPO4M5RCRjy6nZY0TY/edi"&amp;"t#gid=0"",""Table 1: Study characteristics!B4:B171"")))&gt;0
),
""Include""
)"),"Exclude")</f>
        <v>Exclude</v>
      </c>
      <c r="G795" s="5" t="str">
        <f>IFERROR(__xludf.DUMMYFUNCTION("IFS(
D795=""Exclude"",
FILTER(IMPORTRANGE(""https://docs.google.com/spreadsheets/d/1BJSV3WBYJGRhQ6zExamkszQ5VutGIcaQqmbD9ZTVXMQ/edit#gid=1251630045"",""articles_with_PRISMA_reasons!AB2:AB2113""), $A795=IMPORTRANGE(""https://docs.google.com/spreadsheets/d/"&amp;"1BJSV3WBYJGRhQ6zExamkszQ5VutGIcaQqmbD9ZTVXMQ/edit#gid=1251630045"",""articles_with_PRISMA_reasons!B2:B2113"")),
E795=""Exclude"",
FILTER(IMPORTRANGE(""https://docs.google.com/spreadsheets/d/1qpEmbGH0JjaJbUdp21-y2cPbobDbMjr09BbtdKROZWc/edit#gid=1444865654"&amp;""",""articles_with_PRISMA_reasons!Z2:Z2113""), $A795=IMPORTRANGE(""https://docs.google.com/spreadsheets/d/1qpEmbGH0JjaJbUdp21-y2cPbobDbMjr09BbtdKROZWc/edit#gid=1444865654"",""articles_with_PRISMA_reasons!B2:B2113"")),F795
=""Include"",FILTER(IMPORTRANGE("&amp;"""https://docs.google.com/spreadsheets/d/1kGrh75X1cNR1D7_FcY9zMnHP8iPO4M5RCRjy6nZY0TY/edit#gid=0"",""Table 1: Study characteristics!A4:A171""), $A795=IMPORTRANGE(""https://docs.google.com/spreadsheets/d/1kGrh75X1cNR1D7_FcY9zMnHP8iPO4M5RCRjy6nZY0TY/edit#gi"&amp;"d=0"",""Table 1: Study characteristics!B4:B171""))
)"),"wrong population")</f>
        <v>wrong population</v>
      </c>
    </row>
    <row r="796">
      <c r="A796" s="4" t="str">
        <f>IFERROR(__xludf.DUMMYFUNCTION("""COMPUTED_VALUE"""),"Fetal central nervous system anomalies: Comparison of magnetic resonance imaging and ultrasonography for diagnosis")</f>
        <v>Fetal central nervous system anomalies: Comparison of magnetic resonance imaging and ultrasonography for diagnosis</v>
      </c>
      <c r="B796" s="5" t="str">
        <f>IFERROR(__xludf.DUMMYFUNCTION("LEFT(FILTER(IMPORTRANGE(""https://docs.google.com/spreadsheets/d/1BJSV3WBYJGRhQ6zExamkszQ5VutGIcaQqmbD9ZTVXMQ/edit#gid=1251630045"",""articles_with_PRISMA_reasons!K2:K2113""), $A796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$A796=IMPORTRANGE(""https://docs.google.com/spreadsheets/d/1BJSV3WBYJGRhQ6zExamkszQ5VutGIcaQqmbD9ZTVXMQ/edit#gid=1251630045"",""articles_with_PRISMA_reasons!B2:B2113"")))-1)"),"Wang")</f>
        <v>Wang</v>
      </c>
      <c r="C796" s="6">
        <f>IFERROR(__xludf.DUMMYFUNCTION("FILTER(IMPORTRANGE(""https://docs.google.com/spreadsheets/d/1BJSV3WBYJGRhQ6zExamkszQ5VutGIcaQqmbD9ZTVXMQ/edit#gid=1251630045"",""articles_with_PRISMA_reasons!C2:C2113""), $A796=IMPORTRANGE(""https://docs.google.com/spreadsheets/d/1BJSV3WBYJGRhQ6zExamkszQ5"&amp;"VutGIcaQqmbD9ZTVXMQ/edit#gid=1251630045"",""articles_with_PRISMA_reasons!B2:B2113""))"),2006.0)</f>
        <v>2006</v>
      </c>
      <c r="D796" s="5" t="str">
        <f>IFERROR(__xludf.DUMMYFUNCTION("IFS(AND(
FILTER(IMPORTRANGE(""https://docs.google.com/spreadsheets/d/1BJSV3WBYJGRhQ6zExamkszQ5VutGIcaQqmbD9ZTVXMQ/edit#gid=1251630045"",""articles_with_PRISMA_reasons!Y2:Y2113""), $A796=IMPORTRANGE(""https://docs.google.com/spreadsheets/d/1BJSV3WBYJGRhQ6z"&amp;"ExamkszQ5VutGIcaQqmbD9ZTVXMQ/edit#gid=1251630045"",""articles_with_PRISMA_reasons!B2:B2113""))&gt;=2,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$A796=IMPORTRANGE(""https://docs.google.com/spreadsheets/d/1BJSV3WBYJGRhQ6zExamkszQ5VutGIcaQqmbD9ZTVXMQ/edit#gid=1251630045"",""articles_with_PRISMA_reasons!B2:B2113""))&lt;2),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$A796=IMPORTRANGE(""https://docs.google.com/spreadsheets/d/1BJSV3WBYJGRhQ6zExamkszQ5VutGIcaQqmbD9ZTVXMQ/edit#gid=1251630045"",""arti"&amp;"cles_with_PRISMA_reasons!B2:B2113""))&lt;2,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$A796=IMPORTRANGE(""https://docs.google.com"&amp;"/spreadsheets/d/1BJSV3WBYJGRhQ6zExamkszQ5VutGIcaQqmbD9ZTVXMQ/edit#gid=1251630045"",""articles_with_PRISMA_reasons!B2:B2113""))&gt;=2),
""Exclude""
)"),"Exclude")</f>
        <v>Exclude</v>
      </c>
      <c r="E796" s="5" t="str">
        <f>IFERROR(__xludf.DUMMYFUNCTION("IFS(
D796=""Exclude"",""Exclude"",
AND(
FILTER(IMPORTRANGE(""https://docs.google.com/spreadsheets/d/1qpEmbGH0JjaJbUdp21-y2cPbobDbMjr09BbtdKROZWc/edit#gid=1444865654"",""articles_with_PRISMA_reasons!W2:W2113""), $A796=IMPORTRANGE(""https://docs.google.com/"&amp;"spreadsheets/d/1qpEmbGH0JjaJbUdp21-y2cPbobDbMjr09BbtdKROZWc/edit#gid=1444865654"",""articles_with_PRISMA_reasons!B2:B2113""))&gt;=2,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$A796=IMPORTRANGE(""https://docs.google.com/spreadsheets/d/1qpEmbGH0JjaJbUdp21-y2cPbobDbMjr09BbtdKROZWc/edit#gid=1444865654"",""articles_with_PRISMA_reasons!B2:B2113""))&lt;2),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$A796=IMPORTRANGE(""https://docs.google.com/spreadsheets/d/1qpEmbGH0JjaJbUdp21-y2cPbobDbMjr09BbtdKRO"&amp;"ZWc/edit#gid=1444865654"",""articles_with_PRISMA_reasons!B2:B2113""))&lt;2,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$A796=IMPOR"&amp;"TRANGE(""https://docs.google.com/spreadsheets/d/1qpEmbGH0JjaJbUdp21-y2cPbobDbMjr09BbtdKROZWc/edit#gid=1444865654"",""articles_with_PRISMA_reasons!B2:B2113""))&gt;=2),
""Exclude""
)"),"Exclude")</f>
        <v>Exclude</v>
      </c>
      <c r="F796" s="5" t="str">
        <f>IFERROR(__xludf.DUMMYFUNCTION("IFS(
E796=""Exclude"",""Exclude"",
AND(
COUNTIF(
IMPORTRANGE(""https://docs.google.com/spreadsheets/d/1kGrh75X1cNR1D7_FcY9zMnHP8iPO4M5RCRjy6nZY0TY/edit#gid=0"",""Table 1: Study characteristics!B4:B171""),A796)&gt;0,
COUNTIF(Studies!$A$2:$A$85,FILTER(IMPORTRA"&amp;"NGE(""https://docs.google.com/spreadsheets/d/1kGrh75X1cNR1D7_FcY9zMnHP8iPO4M5RCRjy6nZY0TY/edit#gid=0"",""Table 1: Study characteristics!A4:A171""), $A796=IMPORTRANGE(""https://docs.google.com/spreadsheets/d/1kGrh75X1cNR1D7_FcY9zMnHP8iPO4M5RCRjy6nZY0TY/edi"&amp;"t#gid=0"",""Table 1: Study characteristics!B4:B171"")))&gt;0
),
""Include""
)"),"Exclude")</f>
        <v>Exclude</v>
      </c>
      <c r="G796" s="5" t="str">
        <f>IFERROR(__xludf.DUMMYFUNCTION("IFS(
D796=""Exclude"",
FILTER(IMPORTRANGE(""https://docs.google.com/spreadsheets/d/1BJSV3WBYJGRhQ6zExamkszQ5VutGIcaQqmbD9ZTVXMQ/edit#gid=1251630045"",""articles_with_PRISMA_reasons!AB2:AB2113""), $A796=IMPORTRANGE(""https://docs.google.com/spreadsheets/d/"&amp;"1BJSV3WBYJGRhQ6zExamkszQ5VutGIcaQqmbD9ZTVXMQ/edit#gid=1251630045"",""articles_with_PRISMA_reasons!B2:B2113"")),
E796=""Exclude"",
FILTER(IMPORTRANGE(""https://docs.google.com/spreadsheets/d/1qpEmbGH0JjaJbUdp21-y2cPbobDbMjr09BbtdKROZWc/edit#gid=1444865654"&amp;""",""articles_with_PRISMA_reasons!Z2:Z2113""), $A796=IMPORTRANGE(""https://docs.google.com/spreadsheets/d/1qpEmbGH0JjaJbUdp21-y2cPbobDbMjr09BbtdKROZWc/edit#gid=1444865654"",""articles_with_PRISMA_reasons!B2:B2113"")),F796
=""Include"",FILTER(IMPORTRANGE("&amp;"""https://docs.google.com/spreadsheets/d/1kGrh75X1cNR1D7_FcY9zMnHP8iPO4M5RCRjy6nZY0TY/edit#gid=0"",""Table 1: Study characteristics!A4:A171""), $A796=IMPORTRANGE(""https://docs.google.com/spreadsheets/d/1kGrh75X1cNR1D7_FcY9zMnHP8iPO4M5RCRjy6nZY0TY/edit#gi"&amp;"d=0"",""Table 1: Study characteristics!B4:B171""))
)"),"wrong population")</f>
        <v>wrong population</v>
      </c>
    </row>
    <row r="797">
      <c r="A797" s="4" t="str">
        <f>IFERROR(__xludf.DUMMYFUNCTION("""COMPUTED_VALUE"""),"Fetal electroencephalography. Relationship to neonatal and one-year developmental neurological examinations in high-risk infants")</f>
        <v>Fetal electroencephalography. Relationship to neonatal and one-year developmental neurological examinations in high-risk infants</v>
      </c>
      <c r="B797" s="5" t="str">
        <f>IFERROR(__xludf.DUMMYFUNCTION("LEFT(FILTER(IMPORTRANGE(""https://docs.google.com/spreadsheets/d/1BJSV3WBYJGRhQ6zExamkszQ5VutGIcaQqmbD9ZTVXMQ/edit#gid=1251630045"",""articles_with_PRISMA_reasons!K2:K2113""), $A797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$A797=IMPORTRANGE(""https://docs.google.com/spreadsheets/d/1BJSV3WBYJGRhQ6zExamkszQ5VutGIcaQqmbD9ZTVXMQ/edit#gid=1251630045"",""articles_with_PRISMA_reasons!B2:B2113"")))-1)"),"Borgstedt")</f>
        <v>Borgstedt</v>
      </c>
      <c r="C797" s="6">
        <f>IFERROR(__xludf.DUMMYFUNCTION("FILTER(IMPORTRANGE(""https://docs.google.com/spreadsheets/d/1BJSV3WBYJGRhQ6zExamkszQ5VutGIcaQqmbD9ZTVXMQ/edit#gid=1251630045"",""articles_with_PRISMA_reasons!C2:C2113""), $A797=IMPORTRANGE(""https://docs.google.com/spreadsheets/d/1BJSV3WBYJGRhQ6zExamkszQ5"&amp;"VutGIcaQqmbD9ZTVXMQ/edit#gid=1251630045"",""articles_with_PRISMA_reasons!B2:B2113""))"),1975.0)</f>
        <v>1975</v>
      </c>
      <c r="D797" s="5" t="str">
        <f>IFERROR(__xludf.DUMMYFUNCTION("IFS(AND(
FILTER(IMPORTRANGE(""https://docs.google.com/spreadsheets/d/1BJSV3WBYJGRhQ6zExamkszQ5VutGIcaQqmbD9ZTVXMQ/edit#gid=1251630045"",""articles_with_PRISMA_reasons!Y2:Y2113""), $A797=IMPORTRANGE(""https://docs.google.com/spreadsheets/d/1BJSV3WBYJGRhQ6z"&amp;"ExamkszQ5VutGIcaQqmbD9ZTVXMQ/edit#gid=1251630045"",""articles_with_PRISMA_reasons!B2:B2113""))&gt;=2,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$A797=IMPORTRANGE(""https://docs.google.com/spreadsheets/d/1BJSV3WBYJGRhQ6zExamkszQ5VutGIcaQqmbD9ZTVXMQ/edit#gid=1251630045"",""articles_with_PRISMA_reasons!B2:B2113""))&lt;2),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$A797=IMPORTRANGE(""https://docs.google.com/spreadsheets/d/1BJSV3WBYJGRhQ6zExamkszQ5VutGIcaQqmbD9ZTVXMQ/edit#gid=1251630045"",""arti"&amp;"cles_with_PRISMA_reasons!B2:B2113""))&lt;2,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$A797=IMPORTRANGE(""https://docs.google.com"&amp;"/spreadsheets/d/1BJSV3WBYJGRhQ6zExamkszQ5VutGIcaQqmbD9ZTVXMQ/edit#gid=1251630045"",""articles_with_PRISMA_reasons!B2:B2113""))&gt;=2),
""Exclude""
)"),"Exclude")</f>
        <v>Exclude</v>
      </c>
      <c r="E797" s="5" t="str">
        <f>IFERROR(__xludf.DUMMYFUNCTION("IFS(
D797=""Exclude"",""Exclude"",
AND(
FILTER(IMPORTRANGE(""https://docs.google.com/spreadsheets/d/1qpEmbGH0JjaJbUdp21-y2cPbobDbMjr09BbtdKROZWc/edit#gid=1444865654"",""articles_with_PRISMA_reasons!W2:W2113""), $A797=IMPORTRANGE(""https://docs.google.com/"&amp;"spreadsheets/d/1qpEmbGH0JjaJbUdp21-y2cPbobDbMjr09BbtdKROZWc/edit#gid=1444865654"",""articles_with_PRISMA_reasons!B2:B2113""))&gt;=2,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$A797=IMPORTRANGE(""https://docs.google.com/spreadsheets/d/1qpEmbGH0JjaJbUdp21-y2cPbobDbMjr09BbtdKROZWc/edit#gid=1444865654"",""articles_with_PRISMA_reasons!B2:B2113""))&lt;2),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$A797=IMPORTRANGE(""https://docs.google.com/spreadsheets/d/1qpEmbGH0JjaJbUdp21-y2cPbobDbMjr09BbtdKRO"&amp;"ZWc/edit#gid=1444865654"",""articles_with_PRISMA_reasons!B2:B2113""))&lt;2,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$A797=IMPOR"&amp;"TRANGE(""https://docs.google.com/spreadsheets/d/1qpEmbGH0JjaJbUdp21-y2cPbobDbMjr09BbtdKROZWc/edit#gid=1444865654"",""articles_with_PRISMA_reasons!B2:B2113""))&gt;=2),
""Exclude""
)"),"Exclude")</f>
        <v>Exclude</v>
      </c>
      <c r="F797" s="5" t="str">
        <f>IFERROR(__xludf.DUMMYFUNCTION("IFS(
E797=""Exclude"",""Exclude"",
AND(
COUNTIF(
IMPORTRANGE(""https://docs.google.com/spreadsheets/d/1kGrh75X1cNR1D7_FcY9zMnHP8iPO4M5RCRjy6nZY0TY/edit#gid=0"",""Table 1: Study characteristics!B4:B171""),A797)&gt;0,
COUNTIF(Studies!$A$2:$A$85,FILTER(IMPORTRA"&amp;"NGE(""https://docs.google.com/spreadsheets/d/1kGrh75X1cNR1D7_FcY9zMnHP8iPO4M5RCRjy6nZY0TY/edit#gid=0"",""Table 1: Study characteristics!A4:A171""), $A797=IMPORTRANGE(""https://docs.google.com/spreadsheets/d/1kGrh75X1cNR1D7_FcY9zMnHP8iPO4M5RCRjy6nZY0TY/edi"&amp;"t#gid=0"",""Table 1: Study characteristics!B4:B171"")))&gt;0
),
""Include""
)"),"Exclude")</f>
        <v>Exclude</v>
      </c>
      <c r="G797" s="5" t="str">
        <f>IFERROR(__xludf.DUMMYFUNCTION("IFS(
D797=""Exclude"",
FILTER(IMPORTRANGE(""https://docs.google.com/spreadsheets/d/1BJSV3WBYJGRhQ6zExamkszQ5VutGIcaQqmbD9ZTVXMQ/edit#gid=1251630045"",""articles_with_PRISMA_reasons!AB2:AB2113""), $A797=IMPORTRANGE(""https://docs.google.com/spreadsheets/d/"&amp;"1BJSV3WBYJGRhQ6zExamkszQ5VutGIcaQqmbD9ZTVXMQ/edit#gid=1251630045"",""articles_with_PRISMA_reasons!B2:B2113"")),
E797=""Exclude"",
FILTER(IMPORTRANGE(""https://docs.google.com/spreadsheets/d/1qpEmbGH0JjaJbUdp21-y2cPbobDbMjr09BbtdKROZWc/edit#gid=1444865654"&amp;""",""articles_with_PRISMA_reasons!Z2:Z2113""), $A797=IMPORTRANGE(""https://docs.google.com/spreadsheets/d/1qpEmbGH0JjaJbUdp21-y2cPbobDbMjr09BbtdKROZWc/edit#gid=1444865654"",""articles_with_PRISMA_reasons!B2:B2113"")),F797
=""Include"",FILTER(IMPORTRANGE("&amp;"""https://docs.google.com/spreadsheets/d/1kGrh75X1cNR1D7_FcY9zMnHP8iPO4M5RCRjy6nZY0TY/edit#gid=0"",""Table 1: Study characteristics!A4:A171""), $A797=IMPORTRANGE(""https://docs.google.com/spreadsheets/d/1kGrh75X1cNR1D7_FcY9zMnHP8iPO4M5RCRjy6nZY0TY/edit#gi"&amp;"d=0"",""Table 1: Study characteristics!B4:B171""))
)"),"wrong population")</f>
        <v>wrong population</v>
      </c>
    </row>
    <row r="798">
      <c r="A798" s="4" t="str">
        <f>IFERROR(__xludf.DUMMYFUNCTION("""COMPUTED_VALUE"""),"Fetal hydrocephalus")</f>
        <v>Fetal hydrocephalus</v>
      </c>
      <c r="B798" s="5" t="str">
        <f>IFERROR(__xludf.DUMMYFUNCTION("LEFT(FILTER(IMPORTRANGE(""https://docs.google.com/spreadsheets/d/1BJSV3WBYJGRhQ6zExamkszQ5VutGIcaQqmbD9ZTVXMQ/edit#gid=1251630045"",""articles_with_PRISMA_reasons!K2:K2113""), $A798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$A798=IMPORTRANGE(""https://docs.google.com/spreadsheets/d/1BJSV3WBYJGRhQ6zExamkszQ5VutGIcaQqmbD9ZTVXMQ/edit#gid=1251630045"",""articles_with_PRISMA_reasons!B2:B2113"")))-1)"),"Cavalheiro")</f>
        <v>Cavalheiro</v>
      </c>
      <c r="C798" s="6">
        <f>IFERROR(__xludf.DUMMYFUNCTION("FILTER(IMPORTRANGE(""https://docs.google.com/spreadsheets/d/1BJSV3WBYJGRhQ6zExamkszQ5VutGIcaQqmbD9ZTVXMQ/edit#gid=1251630045"",""articles_with_PRISMA_reasons!C2:C2113""), $A798=IMPORTRANGE(""https://docs.google.com/spreadsheets/d/1BJSV3WBYJGRhQ6zExamkszQ5"&amp;"VutGIcaQqmbD9ZTVXMQ/edit#gid=1251630045"",""articles_with_PRISMA_reasons!B2:B2113""))"),2011.0)</f>
        <v>2011</v>
      </c>
      <c r="D798" s="5" t="str">
        <f>IFERROR(__xludf.DUMMYFUNCTION("IFS(AND(
FILTER(IMPORTRANGE(""https://docs.google.com/spreadsheets/d/1BJSV3WBYJGRhQ6zExamkszQ5VutGIcaQqmbD9ZTVXMQ/edit#gid=1251630045"",""articles_with_PRISMA_reasons!Y2:Y2113""), $A798=IMPORTRANGE(""https://docs.google.com/spreadsheets/d/1BJSV3WBYJGRhQ6z"&amp;"ExamkszQ5VutGIcaQqmbD9ZTVXMQ/edit#gid=1251630045"",""articles_with_PRISMA_reasons!B2:B2113""))&gt;=2,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$A798=IMPORTRANGE(""https://docs.google.com/spreadsheets/d/1BJSV3WBYJGRhQ6zExamkszQ5VutGIcaQqmbD9ZTVXMQ/edit#gid=1251630045"",""articles_with_PRISMA_reasons!B2:B2113""))&lt;2),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$A798=IMPORTRANGE(""https://docs.google.com/spreadsheets/d/1BJSV3WBYJGRhQ6zExamkszQ5VutGIcaQqmbD9ZTVXMQ/edit#gid=1251630045"",""arti"&amp;"cles_with_PRISMA_reasons!B2:B2113""))&lt;2,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$A798=IMPORTRANGE(""https://docs.google.com"&amp;"/spreadsheets/d/1BJSV3WBYJGRhQ6zExamkszQ5VutGIcaQqmbD9ZTVXMQ/edit#gid=1251630045"",""articles_with_PRISMA_reasons!B2:B2113""))&gt;=2),
""Exclude""
)"),"Exclude")</f>
        <v>Exclude</v>
      </c>
      <c r="E798" s="5" t="str">
        <f>IFERROR(__xludf.DUMMYFUNCTION("IFS(
D798=""Exclude"",""Exclude"",
AND(
FILTER(IMPORTRANGE(""https://docs.google.com/spreadsheets/d/1qpEmbGH0JjaJbUdp21-y2cPbobDbMjr09BbtdKROZWc/edit#gid=1444865654"",""articles_with_PRISMA_reasons!W2:W2113""), $A798=IMPORTRANGE(""https://docs.google.com/"&amp;"spreadsheets/d/1qpEmbGH0JjaJbUdp21-y2cPbobDbMjr09BbtdKROZWc/edit#gid=1444865654"",""articles_with_PRISMA_reasons!B2:B2113""))&gt;=2,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$A798=IMPORTRANGE(""https://docs.google.com/spreadsheets/d/1qpEmbGH0JjaJbUdp21-y2cPbobDbMjr09BbtdKROZWc/edit#gid=1444865654"",""articles_with_PRISMA_reasons!B2:B2113""))&lt;2),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$A798=IMPORTRANGE(""https://docs.google.com/spreadsheets/d/1qpEmbGH0JjaJbUdp21-y2cPbobDbMjr09BbtdKRO"&amp;"ZWc/edit#gid=1444865654"",""articles_with_PRISMA_reasons!B2:B2113""))&lt;2,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$A798=IMPOR"&amp;"TRANGE(""https://docs.google.com/spreadsheets/d/1qpEmbGH0JjaJbUdp21-y2cPbobDbMjr09BbtdKROZWc/edit#gid=1444865654"",""articles_with_PRISMA_reasons!B2:B2113""))&gt;=2),
""Exclude""
)"),"Exclude")</f>
        <v>Exclude</v>
      </c>
      <c r="F798" s="5" t="str">
        <f>IFERROR(__xludf.DUMMYFUNCTION("IFS(
E798=""Exclude"",""Exclude"",
AND(
COUNTIF(
IMPORTRANGE(""https://docs.google.com/spreadsheets/d/1kGrh75X1cNR1D7_FcY9zMnHP8iPO4M5RCRjy6nZY0TY/edit#gid=0"",""Table 1: Study characteristics!B4:B171""),A798)&gt;0,
COUNTIF(Studies!$A$2:$A$85,FILTER(IMPORTRA"&amp;"NGE(""https://docs.google.com/spreadsheets/d/1kGrh75X1cNR1D7_FcY9zMnHP8iPO4M5RCRjy6nZY0TY/edit#gid=0"",""Table 1: Study characteristics!A4:A171""), $A798=IMPORTRANGE(""https://docs.google.com/spreadsheets/d/1kGrh75X1cNR1D7_FcY9zMnHP8iPO4M5RCRjy6nZY0TY/edi"&amp;"t#gid=0"",""Table 1: Study characteristics!B4:B171"")))&gt;0
),
""Include""
)"),"Exclude")</f>
        <v>Exclude</v>
      </c>
      <c r="G798" s="5" t="str">
        <f>IFERROR(__xludf.DUMMYFUNCTION("IFS(
D798=""Exclude"",
FILTER(IMPORTRANGE(""https://docs.google.com/spreadsheets/d/1BJSV3WBYJGRhQ6zExamkszQ5VutGIcaQqmbD9ZTVXMQ/edit#gid=1251630045"",""articles_with_PRISMA_reasons!AB2:AB2113""), $A798=IMPORTRANGE(""https://docs.google.com/spreadsheets/d/"&amp;"1BJSV3WBYJGRhQ6zExamkszQ5VutGIcaQqmbD9ZTVXMQ/edit#gid=1251630045"",""articles_with_PRISMA_reasons!B2:B2113"")),
E798=""Exclude"",
FILTER(IMPORTRANGE(""https://docs.google.com/spreadsheets/d/1qpEmbGH0JjaJbUdp21-y2cPbobDbMjr09BbtdKROZWc/edit#gid=1444865654"&amp;""",""articles_with_PRISMA_reasons!Z2:Z2113""), $A798=IMPORTRANGE(""https://docs.google.com/spreadsheets/d/1qpEmbGH0JjaJbUdp21-y2cPbobDbMjr09BbtdKROZWc/edit#gid=1444865654"",""articles_with_PRISMA_reasons!B2:B2113"")),F798
=""Include"",FILTER(IMPORTRANGE("&amp;"""https://docs.google.com/spreadsheets/d/1kGrh75X1cNR1D7_FcY9zMnHP8iPO4M5RCRjy6nZY0TY/edit#gid=0"",""Table 1: Study characteristics!A4:A171""), $A798=IMPORTRANGE(""https://docs.google.com/spreadsheets/d/1kGrh75X1cNR1D7_FcY9zMnHP8iPO4M5RCRjy6nZY0TY/edit#gi"&amp;"d=0"",""Table 1: Study characteristics!B4:B171""))
)"),"wrong population")</f>
        <v>wrong population</v>
      </c>
    </row>
    <row r="799">
      <c r="A799" s="4" t="str">
        <f>IFERROR(__xludf.DUMMYFUNCTION("""COMPUTED_VALUE"""),"Fetal intervention for neurological disorders: Indications and future developments")</f>
        <v>Fetal intervention for neurological disorders: Indications and future developments</v>
      </c>
      <c r="B799" s="5" t="str">
        <f>IFERROR(__xludf.DUMMYFUNCTION("LEFT(FILTER(IMPORTRANGE(""https://docs.google.com/spreadsheets/d/1BJSV3WBYJGRhQ6zExamkszQ5VutGIcaQqmbD9ZTVXMQ/edit#gid=1251630045"",""articles_with_PRISMA_reasons!K2:K2113""), $A799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$A799=IMPORTRANGE(""https://docs.google.com/spreadsheets/d/1BJSV3WBYJGRhQ6zExamkszQ5VutGIcaQqmbD9ZTVXMQ/edit#gid=1251630045"",""articles_with_PRISMA_reasons!B2:B2113"")))-1)"),"Saadai")</f>
        <v>Saadai</v>
      </c>
      <c r="C799" s="6">
        <f>IFERROR(__xludf.DUMMYFUNCTION("FILTER(IMPORTRANGE(""https://docs.google.com/spreadsheets/d/1BJSV3WBYJGRhQ6zExamkszQ5VutGIcaQqmbD9ZTVXMQ/edit#gid=1251630045"",""articles_with_PRISMA_reasons!C2:C2113""), $A799=IMPORTRANGE(""https://docs.google.com/spreadsheets/d/1BJSV3WBYJGRhQ6zExamkszQ5"&amp;"VutGIcaQqmbD9ZTVXMQ/edit#gid=1251630045"",""articles_with_PRISMA_reasons!B2:B2113""))"),2012.0)</f>
        <v>2012</v>
      </c>
      <c r="D799" s="5" t="str">
        <f>IFERROR(__xludf.DUMMYFUNCTION("IFS(AND(
FILTER(IMPORTRANGE(""https://docs.google.com/spreadsheets/d/1BJSV3WBYJGRhQ6zExamkszQ5VutGIcaQqmbD9ZTVXMQ/edit#gid=1251630045"",""articles_with_PRISMA_reasons!Y2:Y2113""), $A799=IMPORTRANGE(""https://docs.google.com/spreadsheets/d/1BJSV3WBYJGRhQ6z"&amp;"ExamkszQ5VutGIcaQqmbD9ZTVXMQ/edit#gid=1251630045"",""articles_with_PRISMA_reasons!B2:B2113""))&gt;=2,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$A799=IMPORTRANGE(""https://docs.google.com/spreadsheets/d/1BJSV3WBYJGRhQ6zExamkszQ5VutGIcaQqmbD9ZTVXMQ/edit#gid=1251630045"",""articles_with_PRISMA_reasons!B2:B2113""))&lt;2),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$A799=IMPORTRANGE(""https://docs.google.com/spreadsheets/d/1BJSV3WBYJGRhQ6zExamkszQ5VutGIcaQqmbD9ZTVXMQ/edit#gid=1251630045"",""arti"&amp;"cles_with_PRISMA_reasons!B2:B2113""))&lt;2,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$A799=IMPORTRANGE(""https://docs.google.com"&amp;"/spreadsheets/d/1BJSV3WBYJGRhQ6zExamkszQ5VutGIcaQqmbD9ZTVXMQ/edit#gid=1251630045"",""articles_with_PRISMA_reasons!B2:B2113""))&gt;=2),
""Exclude""
)"),"Exclude")</f>
        <v>Exclude</v>
      </c>
      <c r="E799" s="5" t="str">
        <f>IFERROR(__xludf.DUMMYFUNCTION("IFS(
D799=""Exclude"",""Exclude"",
AND(
FILTER(IMPORTRANGE(""https://docs.google.com/spreadsheets/d/1qpEmbGH0JjaJbUdp21-y2cPbobDbMjr09BbtdKROZWc/edit#gid=1444865654"",""articles_with_PRISMA_reasons!W2:W2113""), $A799=IMPORTRANGE(""https://docs.google.com/"&amp;"spreadsheets/d/1qpEmbGH0JjaJbUdp21-y2cPbobDbMjr09BbtdKROZWc/edit#gid=1444865654"",""articles_with_PRISMA_reasons!B2:B2113""))&gt;=2,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$A799=IMPORTRANGE(""https://docs.google.com/spreadsheets/d/1qpEmbGH0JjaJbUdp21-y2cPbobDbMjr09BbtdKROZWc/edit#gid=1444865654"",""articles_with_PRISMA_reasons!B2:B2113""))&lt;2),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$A799=IMPORTRANGE(""https://docs.google.com/spreadsheets/d/1qpEmbGH0JjaJbUdp21-y2cPbobDbMjr09BbtdKRO"&amp;"ZWc/edit#gid=1444865654"",""articles_with_PRISMA_reasons!B2:B2113""))&lt;2,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$A799=IMPOR"&amp;"TRANGE(""https://docs.google.com/spreadsheets/d/1qpEmbGH0JjaJbUdp21-y2cPbobDbMjr09BbtdKROZWc/edit#gid=1444865654"",""articles_with_PRISMA_reasons!B2:B2113""))&gt;=2),
""Exclude""
)"),"Exclude")</f>
        <v>Exclude</v>
      </c>
      <c r="F799" s="5" t="str">
        <f>IFERROR(__xludf.DUMMYFUNCTION("IFS(
E799=""Exclude"",""Exclude"",
AND(
COUNTIF(
IMPORTRANGE(""https://docs.google.com/spreadsheets/d/1kGrh75X1cNR1D7_FcY9zMnHP8iPO4M5RCRjy6nZY0TY/edit#gid=0"",""Table 1: Study characteristics!B4:B171""),A799)&gt;0,
COUNTIF(Studies!$A$2:$A$85,FILTER(IMPORTRA"&amp;"NGE(""https://docs.google.com/spreadsheets/d/1kGrh75X1cNR1D7_FcY9zMnHP8iPO4M5RCRjy6nZY0TY/edit#gid=0"",""Table 1: Study characteristics!A4:A171""), $A799=IMPORTRANGE(""https://docs.google.com/spreadsheets/d/1kGrh75X1cNR1D7_FcY9zMnHP8iPO4M5RCRjy6nZY0TY/edi"&amp;"t#gid=0"",""Table 1: Study characteristics!B4:B171"")))&gt;0
),
""Include""
)"),"Exclude")</f>
        <v>Exclude</v>
      </c>
      <c r="G799" s="5" t="str">
        <f>IFERROR(__xludf.DUMMYFUNCTION("IFS(
D799=""Exclude"",
FILTER(IMPORTRANGE(""https://docs.google.com/spreadsheets/d/1BJSV3WBYJGRhQ6zExamkszQ5VutGIcaQqmbD9ZTVXMQ/edit#gid=1251630045"",""articles_with_PRISMA_reasons!AB2:AB2113""), $A799=IMPORTRANGE(""https://docs.google.com/spreadsheets/d/"&amp;"1BJSV3WBYJGRhQ6zExamkszQ5VutGIcaQqmbD9ZTVXMQ/edit#gid=1251630045"",""articles_with_PRISMA_reasons!B2:B2113"")),
E799=""Exclude"",
FILTER(IMPORTRANGE(""https://docs.google.com/spreadsheets/d/1qpEmbGH0JjaJbUdp21-y2cPbobDbMjr09BbtdKROZWc/edit#gid=1444865654"&amp;""",""articles_with_PRISMA_reasons!Z2:Z2113""), $A799=IMPORTRANGE(""https://docs.google.com/spreadsheets/d/1qpEmbGH0JjaJbUdp21-y2cPbobDbMjr09BbtdKROZWc/edit#gid=1444865654"",""articles_with_PRISMA_reasons!B2:B2113"")),F799
=""Include"",FILTER(IMPORTRANGE("&amp;"""https://docs.google.com/spreadsheets/d/1kGrh75X1cNR1D7_FcY9zMnHP8iPO4M5RCRjy6nZY0TY/edit#gid=0"",""Table 1: Study characteristics!A4:A171""), $A799=IMPORTRANGE(""https://docs.google.com/spreadsheets/d/1kGrh75X1cNR1D7_FcY9zMnHP8iPO4M5RCRjy6nZY0TY/edit#gi"&amp;"d=0"",""Table 1: Study characteristics!B4:B171""))
)"),"background article")</f>
        <v>background article</v>
      </c>
    </row>
    <row r="800">
      <c r="A800" s="4" t="str">
        <f>IFERROR(__xludf.DUMMYFUNCTION("""COMPUTED_VALUE"""),"Fetal magnetic resonance imaging")</f>
        <v>Fetal magnetic resonance imaging</v>
      </c>
      <c r="B800" s="5" t="str">
        <f>IFERROR(__xludf.DUMMYFUNCTION("LEFT(FILTER(IMPORTRANGE(""https://docs.google.com/spreadsheets/d/1BJSV3WBYJGRhQ6zExamkszQ5VutGIcaQqmbD9ZTVXMQ/edit#gid=1251630045"",""articles_with_PRISMA_reasons!K2:K2113""), $A800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$A800=IMPORTRANGE(""https://docs.google.com/spreadsheets/d/1BJSV3WBYJGRhQ6zExamkszQ5VutGIcaQqmbD9ZTVXMQ/edit#gid=1251630045"",""articles_with_PRISMA_reasons!B2:B2113"")))-1)"),"Levine")</f>
        <v>Levine</v>
      </c>
      <c r="C800" s="6">
        <f>IFERROR(__xludf.DUMMYFUNCTION("FILTER(IMPORTRANGE(""https://docs.google.com/spreadsheets/d/1BJSV3WBYJGRhQ6zExamkszQ5VutGIcaQqmbD9ZTVXMQ/edit#gid=1251630045"",""articles_with_PRISMA_reasons!C2:C2113""), $A800=IMPORTRANGE(""https://docs.google.com/spreadsheets/d/1BJSV3WBYJGRhQ6zExamkszQ5"&amp;"VutGIcaQqmbD9ZTVXMQ/edit#gid=1251630045"",""articles_with_PRISMA_reasons!B2:B2113""))"),2004.0)</f>
        <v>2004</v>
      </c>
      <c r="D800" s="5" t="str">
        <f>IFERROR(__xludf.DUMMYFUNCTION("IFS(AND(
FILTER(IMPORTRANGE(""https://docs.google.com/spreadsheets/d/1BJSV3WBYJGRhQ6zExamkszQ5VutGIcaQqmbD9ZTVXMQ/edit#gid=1251630045"",""articles_with_PRISMA_reasons!Y2:Y2113""), $A800=IMPORTRANGE(""https://docs.google.com/spreadsheets/d/1BJSV3WBYJGRhQ6z"&amp;"ExamkszQ5VutGIcaQqmbD9ZTVXMQ/edit#gid=1251630045"",""articles_with_PRISMA_reasons!B2:B2113""))&gt;=2,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$A800=IMPORTRANGE(""https://docs.google.com/spreadsheets/d/1BJSV3WBYJGRhQ6zExamkszQ5VutGIcaQqmbD9ZTVXMQ/edit#gid=1251630045"",""articles_with_PRISMA_reasons!B2:B2113""))&lt;2),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$A800=IMPORTRANGE(""https://docs.google.com/spreadsheets/d/1BJSV3WBYJGRhQ6zExamkszQ5VutGIcaQqmbD9ZTVXMQ/edit#gid=1251630045"",""arti"&amp;"cles_with_PRISMA_reasons!B2:B2113""))&lt;2,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$A800=IMPORTRANGE(""https://docs.google.com"&amp;"/spreadsheets/d/1BJSV3WBYJGRhQ6zExamkszQ5VutGIcaQqmbD9ZTVXMQ/edit#gid=1251630045"",""articles_with_PRISMA_reasons!B2:B2113""))&gt;=2),
""Exclude""
)"),"Exclude")</f>
        <v>Exclude</v>
      </c>
      <c r="E800" s="5" t="str">
        <f>IFERROR(__xludf.DUMMYFUNCTION("IFS(
D800=""Exclude"",""Exclude"",
AND(
FILTER(IMPORTRANGE(""https://docs.google.com/spreadsheets/d/1qpEmbGH0JjaJbUdp21-y2cPbobDbMjr09BbtdKROZWc/edit#gid=1444865654"",""articles_with_PRISMA_reasons!W2:W2113""), $A800=IMPORTRANGE(""https://docs.google.com/"&amp;"spreadsheets/d/1qpEmbGH0JjaJbUdp21-y2cPbobDbMjr09BbtdKROZWc/edit#gid=1444865654"",""articles_with_PRISMA_reasons!B2:B2113""))&gt;=2,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$A800=IMPORTRANGE(""https://docs.google.com/spreadsheets/d/1qpEmbGH0JjaJbUdp21-y2cPbobDbMjr09BbtdKROZWc/edit#gid=1444865654"",""articles_with_PRISMA_reasons!B2:B2113""))&lt;2),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$A800=IMPORTRANGE(""https://docs.google.com/spreadsheets/d/1qpEmbGH0JjaJbUdp21-y2cPbobDbMjr09BbtdKRO"&amp;"ZWc/edit#gid=1444865654"",""articles_with_PRISMA_reasons!B2:B2113""))&lt;2,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$A800=IMPOR"&amp;"TRANGE(""https://docs.google.com/spreadsheets/d/1qpEmbGH0JjaJbUdp21-y2cPbobDbMjr09BbtdKROZWc/edit#gid=1444865654"",""articles_with_PRISMA_reasons!B2:B2113""))&gt;=2),
""Exclude""
)"),"Exclude")</f>
        <v>Exclude</v>
      </c>
      <c r="F800" s="5" t="str">
        <f>IFERROR(__xludf.DUMMYFUNCTION("IFS(
E800=""Exclude"",""Exclude"",
AND(
COUNTIF(
IMPORTRANGE(""https://docs.google.com/spreadsheets/d/1kGrh75X1cNR1D7_FcY9zMnHP8iPO4M5RCRjy6nZY0TY/edit#gid=0"",""Table 1: Study characteristics!B4:B171""),A800)&gt;0,
COUNTIF(Studies!$A$2:$A$85,FILTER(IMPORTRA"&amp;"NGE(""https://docs.google.com/spreadsheets/d/1kGrh75X1cNR1D7_FcY9zMnHP8iPO4M5RCRjy6nZY0TY/edit#gid=0"",""Table 1: Study characteristics!A4:A171""), $A800=IMPORTRANGE(""https://docs.google.com/spreadsheets/d/1kGrh75X1cNR1D7_FcY9zMnHP8iPO4M5RCRjy6nZY0TY/edi"&amp;"t#gid=0"",""Table 1: Study characteristics!B4:B171"")))&gt;0
),
""Include""
)"),"Exclude")</f>
        <v>Exclude</v>
      </c>
      <c r="G800" s="5" t="str">
        <f>IFERROR(__xludf.DUMMYFUNCTION("IFS(
D800=""Exclude"",
FILTER(IMPORTRANGE(""https://docs.google.com/spreadsheets/d/1BJSV3WBYJGRhQ6zExamkszQ5VutGIcaQqmbD9ZTVXMQ/edit#gid=1251630045"",""articles_with_PRISMA_reasons!AB2:AB2113""), $A800=IMPORTRANGE(""https://docs.google.com/spreadsheets/d/"&amp;"1BJSV3WBYJGRhQ6zExamkszQ5VutGIcaQqmbD9ZTVXMQ/edit#gid=1251630045"",""articles_with_PRISMA_reasons!B2:B2113"")),
E800=""Exclude"",
FILTER(IMPORTRANGE(""https://docs.google.com/spreadsheets/d/1qpEmbGH0JjaJbUdp21-y2cPbobDbMjr09BbtdKROZWc/edit#gid=1444865654"&amp;""",""articles_with_PRISMA_reasons!Z2:Z2113""), $A800=IMPORTRANGE(""https://docs.google.com/spreadsheets/d/1qpEmbGH0JjaJbUdp21-y2cPbobDbMjr09BbtdKROZWc/edit#gid=1444865654"",""articles_with_PRISMA_reasons!B2:B2113"")),F800
=""Include"",FILTER(IMPORTRANGE("&amp;"""https://docs.google.com/spreadsheets/d/1kGrh75X1cNR1D7_FcY9zMnHP8iPO4M5RCRjy6nZY0TY/edit#gid=0"",""Table 1: Study characteristics!A4:A171""), $A800=IMPORTRANGE(""https://docs.google.com/spreadsheets/d/1kGrh75X1cNR1D7_FcY9zMnHP8iPO4M5RCRjy6nZY0TY/edit#gi"&amp;"d=0"",""Table 1: Study characteristics!B4:B171""))
)"),"wrong study design")</f>
        <v>wrong study design</v>
      </c>
    </row>
    <row r="801">
      <c r="A801" s="4" t="str">
        <f>IFERROR(__xludf.DUMMYFUNCTION("""COMPUTED_VALUE"""),"Fetal magnetic resonance imaging and three-dimensional ultrasound in clinical practice: Applications in prenatal diagnosis")</f>
        <v>Fetal magnetic resonance imaging and three-dimensional ultrasound in clinical practice: Applications in prenatal diagnosis</v>
      </c>
      <c r="B801" s="5" t="str">
        <f>IFERROR(__xludf.DUMMYFUNCTION("LEFT(FILTER(IMPORTRANGE(""https://docs.google.com/spreadsheets/d/1BJSV3WBYJGRhQ6zExamkszQ5VutGIcaQqmbD9ZTVXMQ/edit#gid=1251630045"",""articles_with_PRISMA_reasons!K2:K2113""), $A801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$A801=IMPORTRANGE(""https://docs.google.com/spreadsheets/d/1BJSV3WBYJGRhQ6zExamkszQ5VutGIcaQqmbD9ZTVXMQ/edit#gid=1251630045"",""articles_with_PRISMA_reasons!B2:B2113"")))-1)"),"Sepulveda")</f>
        <v>Sepulveda</v>
      </c>
      <c r="C801" s="6">
        <f>IFERROR(__xludf.DUMMYFUNCTION("FILTER(IMPORTRANGE(""https://docs.google.com/spreadsheets/d/1BJSV3WBYJGRhQ6zExamkszQ5VutGIcaQqmbD9ZTVXMQ/edit#gid=1251630045"",""articles_with_PRISMA_reasons!C2:C2113""), $A801=IMPORTRANGE(""https://docs.google.com/spreadsheets/d/1BJSV3WBYJGRhQ6zExamkszQ5"&amp;"VutGIcaQqmbD9ZTVXMQ/edit#gid=1251630045"",""articles_with_PRISMA_reasons!B2:B2113""))"),2012.0)</f>
        <v>2012</v>
      </c>
      <c r="D801" s="5" t="str">
        <f>IFERROR(__xludf.DUMMYFUNCTION("IFS(AND(
FILTER(IMPORTRANGE(""https://docs.google.com/spreadsheets/d/1BJSV3WBYJGRhQ6zExamkszQ5VutGIcaQqmbD9ZTVXMQ/edit#gid=1251630045"",""articles_with_PRISMA_reasons!Y2:Y2113""), $A801=IMPORTRANGE(""https://docs.google.com/spreadsheets/d/1BJSV3WBYJGRhQ6z"&amp;"ExamkszQ5VutGIcaQqmbD9ZTVXMQ/edit#gid=1251630045"",""articles_with_PRISMA_reasons!B2:B2113""))&gt;=2,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$A801=IMPORTRANGE(""https://docs.google.com/spreadsheets/d/1BJSV3WBYJGRhQ6zExamkszQ5VutGIcaQqmbD9ZTVXMQ/edit#gid=1251630045"",""articles_with_PRISMA_reasons!B2:B2113""))&lt;2),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$A801=IMPORTRANGE(""https://docs.google.com/spreadsheets/d/1BJSV3WBYJGRhQ6zExamkszQ5VutGIcaQqmbD9ZTVXMQ/edit#gid=1251630045"",""arti"&amp;"cles_with_PRISMA_reasons!B2:B2113""))&lt;2,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$A801=IMPORTRANGE(""https://docs.google.com"&amp;"/spreadsheets/d/1BJSV3WBYJGRhQ6zExamkszQ5VutGIcaQqmbD9ZTVXMQ/edit#gid=1251630045"",""articles_with_PRISMA_reasons!B2:B2113""))&gt;=2),
""Exclude""
)"),"Exclude")</f>
        <v>Exclude</v>
      </c>
      <c r="E801" s="5" t="str">
        <f>IFERROR(__xludf.DUMMYFUNCTION("IFS(
D801=""Exclude"",""Exclude"",
AND(
FILTER(IMPORTRANGE(""https://docs.google.com/spreadsheets/d/1qpEmbGH0JjaJbUdp21-y2cPbobDbMjr09BbtdKROZWc/edit#gid=1444865654"",""articles_with_PRISMA_reasons!W2:W2113""), $A801=IMPORTRANGE(""https://docs.google.com/"&amp;"spreadsheets/d/1qpEmbGH0JjaJbUdp21-y2cPbobDbMjr09BbtdKROZWc/edit#gid=1444865654"",""articles_with_PRISMA_reasons!B2:B2113""))&gt;=2,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$A801=IMPORTRANGE(""https://docs.google.com/spreadsheets/d/1qpEmbGH0JjaJbUdp21-y2cPbobDbMjr09BbtdKROZWc/edit#gid=1444865654"",""articles_with_PRISMA_reasons!B2:B2113""))&lt;2),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$A801=IMPORTRANGE(""https://docs.google.com/spreadsheets/d/1qpEmbGH0JjaJbUdp21-y2cPbobDbMjr09BbtdKRO"&amp;"ZWc/edit#gid=1444865654"",""articles_with_PRISMA_reasons!B2:B2113""))&lt;2,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$A801=IMPOR"&amp;"TRANGE(""https://docs.google.com/spreadsheets/d/1qpEmbGH0JjaJbUdp21-y2cPbobDbMjr09BbtdKROZWc/edit#gid=1444865654"",""articles_with_PRISMA_reasons!B2:B2113""))&gt;=2),
""Exclude""
)"),"Exclude")</f>
        <v>Exclude</v>
      </c>
      <c r="F801" s="5" t="str">
        <f>IFERROR(__xludf.DUMMYFUNCTION("IFS(
E801=""Exclude"",""Exclude"",
AND(
COUNTIF(
IMPORTRANGE(""https://docs.google.com/spreadsheets/d/1kGrh75X1cNR1D7_FcY9zMnHP8iPO4M5RCRjy6nZY0TY/edit#gid=0"",""Table 1: Study characteristics!B4:B171""),A801)&gt;0,
COUNTIF(Studies!$A$2:$A$85,FILTER(IMPORTRA"&amp;"NGE(""https://docs.google.com/spreadsheets/d/1kGrh75X1cNR1D7_FcY9zMnHP8iPO4M5RCRjy6nZY0TY/edit#gid=0"",""Table 1: Study characteristics!A4:A171""), $A801=IMPORTRANGE(""https://docs.google.com/spreadsheets/d/1kGrh75X1cNR1D7_FcY9zMnHP8iPO4M5RCRjy6nZY0TY/edi"&amp;"t#gid=0"",""Table 1: Study characteristics!B4:B171"")))&gt;0
),
""Include""
)"),"Exclude")</f>
        <v>Exclude</v>
      </c>
      <c r="G801" s="5" t="str">
        <f>IFERROR(__xludf.DUMMYFUNCTION("IFS(
D801=""Exclude"",
FILTER(IMPORTRANGE(""https://docs.google.com/spreadsheets/d/1BJSV3WBYJGRhQ6zExamkszQ5VutGIcaQqmbD9ZTVXMQ/edit#gid=1251630045"",""articles_with_PRISMA_reasons!AB2:AB2113""), $A801=IMPORTRANGE(""https://docs.google.com/spreadsheets/d/"&amp;"1BJSV3WBYJGRhQ6zExamkszQ5VutGIcaQqmbD9ZTVXMQ/edit#gid=1251630045"",""articles_with_PRISMA_reasons!B2:B2113"")),
E801=""Exclude"",
FILTER(IMPORTRANGE(""https://docs.google.com/spreadsheets/d/1qpEmbGH0JjaJbUdp21-y2cPbobDbMjr09BbtdKROZWc/edit#gid=1444865654"&amp;""",""articles_with_PRISMA_reasons!Z2:Z2113""), $A801=IMPORTRANGE(""https://docs.google.com/spreadsheets/d/1qpEmbGH0JjaJbUdp21-y2cPbobDbMjr09BbtdKROZWc/edit#gid=1444865654"",""articles_with_PRISMA_reasons!B2:B2113"")),F801
=""Include"",FILTER(IMPORTRANGE("&amp;"""https://docs.google.com/spreadsheets/d/1kGrh75X1cNR1D7_FcY9zMnHP8iPO4M5RCRjy6nZY0TY/edit#gid=0"",""Table 1: Study characteristics!A4:A171""), $A801=IMPORTRANGE(""https://docs.google.com/spreadsheets/d/1kGrh75X1cNR1D7_FcY9zMnHP8iPO4M5RCRjy6nZY0TY/edit#gi"&amp;"d=0"",""Table 1: Study characteristics!B4:B171""))
)"),"background article")</f>
        <v>background article</v>
      </c>
    </row>
    <row r="802">
      <c r="A802" s="4" t="str">
        <f>IFERROR(__xludf.DUMMYFUNCTION("""COMPUTED_VALUE"""),"Fetal MRI in the evaluation of fetuses referred for sonographically suspected neural tube defects (NTDs): Impact on diagnosis and management decision")</f>
        <v>Fetal MRI in the evaluation of fetuses referred for sonographically suspected neural tube defects (NTDs): Impact on diagnosis and management decision</v>
      </c>
      <c r="B802" s="5" t="str">
        <f>IFERROR(__xludf.DUMMYFUNCTION("LEFT(FILTER(IMPORTRANGE(""https://docs.google.com/spreadsheets/d/1BJSV3WBYJGRhQ6zExamkszQ5VutGIcaQqmbD9ZTVXMQ/edit#gid=1251630045"",""articles_with_PRISMA_reasons!K2:K2113""), $A802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$A802=IMPORTRANGE(""https://docs.google.com/spreadsheets/d/1BJSV3WBYJGRhQ6zExamkszQ5VutGIcaQqmbD9ZTVXMQ/edit#gid=1251630045"",""articles_with_PRISMA_reasons!B2:B2113"")))-1)"),"Saleem")</f>
        <v>Saleem</v>
      </c>
      <c r="C802" s="6">
        <f>IFERROR(__xludf.DUMMYFUNCTION("FILTER(IMPORTRANGE(""https://docs.google.com/spreadsheets/d/1BJSV3WBYJGRhQ6zExamkszQ5VutGIcaQqmbD9ZTVXMQ/edit#gid=1251630045"",""articles_with_PRISMA_reasons!C2:C2113""), $A802=IMPORTRANGE(""https://docs.google.com/spreadsheets/d/1BJSV3WBYJGRhQ6zExamkszQ5"&amp;"VutGIcaQqmbD9ZTVXMQ/edit#gid=1251630045"",""articles_with_PRISMA_reasons!B2:B2113""))"),2009.0)</f>
        <v>2009</v>
      </c>
      <c r="D802" s="5" t="str">
        <f>IFERROR(__xludf.DUMMYFUNCTION("IFS(AND(
FILTER(IMPORTRANGE(""https://docs.google.com/spreadsheets/d/1BJSV3WBYJGRhQ6zExamkszQ5VutGIcaQqmbD9ZTVXMQ/edit#gid=1251630045"",""articles_with_PRISMA_reasons!Y2:Y2113""), $A802=IMPORTRANGE(""https://docs.google.com/spreadsheets/d/1BJSV3WBYJGRhQ6z"&amp;"ExamkszQ5VutGIcaQqmbD9ZTVXMQ/edit#gid=1251630045"",""articles_with_PRISMA_reasons!B2:B2113""))&gt;=2,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$A802=IMPORTRANGE(""https://docs.google.com/spreadsheets/d/1BJSV3WBYJGRhQ6zExamkszQ5VutGIcaQqmbD9ZTVXMQ/edit#gid=1251630045"",""articles_with_PRISMA_reasons!B2:B2113""))&lt;2),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$A802=IMPORTRANGE(""https://docs.google.com/spreadsheets/d/1BJSV3WBYJGRhQ6zExamkszQ5VutGIcaQqmbD9ZTVXMQ/edit#gid=1251630045"",""arti"&amp;"cles_with_PRISMA_reasons!B2:B2113""))&lt;2,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$A802=IMPORTRANGE(""https://docs.google.com"&amp;"/spreadsheets/d/1BJSV3WBYJGRhQ6zExamkszQ5VutGIcaQqmbD9ZTVXMQ/edit#gid=1251630045"",""articles_with_PRISMA_reasons!B2:B2113""))&gt;=2),
""Exclude""
)"),"Exclude")</f>
        <v>Exclude</v>
      </c>
      <c r="E802" s="5" t="str">
        <f>IFERROR(__xludf.DUMMYFUNCTION("IFS(
D802=""Exclude"",""Exclude"",
AND(
FILTER(IMPORTRANGE(""https://docs.google.com/spreadsheets/d/1qpEmbGH0JjaJbUdp21-y2cPbobDbMjr09BbtdKROZWc/edit#gid=1444865654"",""articles_with_PRISMA_reasons!W2:W2113""), $A802=IMPORTRANGE(""https://docs.google.com/"&amp;"spreadsheets/d/1qpEmbGH0JjaJbUdp21-y2cPbobDbMjr09BbtdKROZWc/edit#gid=1444865654"",""articles_with_PRISMA_reasons!B2:B2113""))&gt;=2,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$A802=IMPORTRANGE(""https://docs.google.com/spreadsheets/d/1qpEmbGH0JjaJbUdp21-y2cPbobDbMjr09BbtdKROZWc/edit#gid=1444865654"",""articles_with_PRISMA_reasons!B2:B2113""))&lt;2),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$A802=IMPORTRANGE(""https://docs.google.com/spreadsheets/d/1qpEmbGH0JjaJbUdp21-y2cPbobDbMjr09BbtdKRO"&amp;"ZWc/edit#gid=1444865654"",""articles_with_PRISMA_reasons!B2:B2113""))&lt;2,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$A802=IMPOR"&amp;"TRANGE(""https://docs.google.com/spreadsheets/d/1qpEmbGH0JjaJbUdp21-y2cPbobDbMjr09BbtdKROZWc/edit#gid=1444865654"",""articles_with_PRISMA_reasons!B2:B2113""))&gt;=2),
""Exclude""
)"),"Exclude")</f>
        <v>Exclude</v>
      </c>
      <c r="F802" s="5" t="str">
        <f>IFERROR(__xludf.DUMMYFUNCTION("IFS(
E802=""Exclude"",""Exclude"",
AND(
COUNTIF(
IMPORTRANGE(""https://docs.google.com/spreadsheets/d/1kGrh75X1cNR1D7_FcY9zMnHP8iPO4M5RCRjy6nZY0TY/edit#gid=0"",""Table 1: Study characteristics!B4:B171""),A802)&gt;0,
COUNTIF(Studies!$A$2:$A$85,FILTER(IMPORTRA"&amp;"NGE(""https://docs.google.com/spreadsheets/d/1kGrh75X1cNR1D7_FcY9zMnHP8iPO4M5RCRjy6nZY0TY/edit#gid=0"",""Table 1: Study characteristics!A4:A171""), $A802=IMPORTRANGE(""https://docs.google.com/spreadsheets/d/1kGrh75X1cNR1D7_FcY9zMnHP8iPO4M5RCRjy6nZY0TY/edi"&amp;"t#gid=0"",""Table 1: Study characteristics!B4:B171"")))&gt;0
),
""Include""
)"),"Exclude")</f>
        <v>Exclude</v>
      </c>
      <c r="G802" s="5" t="str">
        <f>IFERROR(__xludf.DUMMYFUNCTION("IFS(
D802=""Exclude"",
FILTER(IMPORTRANGE(""https://docs.google.com/spreadsheets/d/1BJSV3WBYJGRhQ6zExamkszQ5VutGIcaQqmbD9ZTVXMQ/edit#gid=1251630045"",""articles_with_PRISMA_reasons!AB2:AB2113""), $A802=IMPORTRANGE(""https://docs.google.com/spreadsheets/d/"&amp;"1BJSV3WBYJGRhQ6zExamkszQ5VutGIcaQqmbD9ZTVXMQ/edit#gid=1251630045"",""articles_with_PRISMA_reasons!B2:B2113"")),
E802=""Exclude"",
FILTER(IMPORTRANGE(""https://docs.google.com/spreadsheets/d/1qpEmbGH0JjaJbUdp21-y2cPbobDbMjr09BbtdKROZWc/edit#gid=1444865654"&amp;""",""articles_with_PRISMA_reasons!Z2:Z2113""), $A802=IMPORTRANGE(""https://docs.google.com/spreadsheets/d/1qpEmbGH0JjaJbUdp21-y2cPbobDbMjr09BbtdKROZWc/edit#gid=1444865654"",""articles_with_PRISMA_reasons!B2:B2113"")),F802
=""Include"",FILTER(IMPORTRANGE("&amp;"""https://docs.google.com/spreadsheets/d/1kGrh75X1cNR1D7_FcY9zMnHP8iPO4M5RCRjy6nZY0TY/edit#gid=0"",""Table 1: Study characteristics!A4:A171""), $A802=IMPORTRANGE(""https://docs.google.com/spreadsheets/d/1kGrh75X1cNR1D7_FcY9zMnHP8iPO4M5RCRjy6nZY0TY/edit#gi"&amp;"d=0"",""Table 1: Study characteristics!B4:B171""))
)"),"wrong population")</f>
        <v>wrong population</v>
      </c>
    </row>
    <row r="803">
      <c r="A803" s="4" t="str">
        <f>IFERROR(__xludf.DUMMYFUNCTION("""COMPUTED_VALUE"""),"Fetal MRI in the evaluation of intrauterine myelomeningocele")</f>
        <v>Fetal MRI in the evaluation of intrauterine myelomeningocele</v>
      </c>
      <c r="B803" s="5" t="str">
        <f>IFERROR(__xludf.DUMMYFUNCTION("LEFT(FILTER(IMPORTRANGE(""https://docs.google.com/spreadsheets/d/1BJSV3WBYJGRhQ6zExamkszQ5VutGIcaQqmbD9ZTVXMQ/edit#gid=1251630045"",""articles_with_PRISMA_reasons!K2:K2113""), $A803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$A803=IMPORTRANGE(""https://docs.google.com/spreadsheets/d/1BJSV3WBYJGRhQ6zExamkszQ5VutGIcaQqmbD9ZTVXMQ/edit#gid=1251630045"",""articles_with_PRISMA_reasons!B2:B2113"")))-1)"),"Tulipan")</f>
        <v>Tulipan</v>
      </c>
      <c r="C803" s="6">
        <f>IFERROR(__xludf.DUMMYFUNCTION("FILTER(IMPORTRANGE(""https://docs.google.com/spreadsheets/d/1BJSV3WBYJGRhQ6zExamkszQ5VutGIcaQqmbD9ZTVXMQ/edit#gid=1251630045"",""articles_with_PRISMA_reasons!C2:C2113""), $A803=IMPORTRANGE(""https://docs.google.com/spreadsheets/d/1BJSV3WBYJGRhQ6zExamkszQ5"&amp;"VutGIcaQqmbD9ZTVXMQ/edit#gid=1251630045"",""articles_with_PRISMA_reasons!B2:B2113""))"),2000.0)</f>
        <v>2000</v>
      </c>
      <c r="D803" s="5" t="str">
        <f>IFERROR(__xludf.DUMMYFUNCTION("IFS(AND(
FILTER(IMPORTRANGE(""https://docs.google.com/spreadsheets/d/1BJSV3WBYJGRhQ6zExamkszQ5VutGIcaQqmbD9ZTVXMQ/edit#gid=1251630045"",""articles_with_PRISMA_reasons!Y2:Y2113""), $A803=IMPORTRANGE(""https://docs.google.com/spreadsheets/d/1BJSV3WBYJGRhQ6z"&amp;"ExamkszQ5VutGIcaQqmbD9ZTVXMQ/edit#gid=1251630045"",""articles_with_PRISMA_reasons!B2:B2113""))&gt;=2,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$A803=IMPORTRANGE(""https://docs.google.com/spreadsheets/d/1BJSV3WBYJGRhQ6zExamkszQ5VutGIcaQqmbD9ZTVXMQ/edit#gid=1251630045"",""articles_with_PRISMA_reasons!B2:B2113""))&lt;2),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$A803=IMPORTRANGE(""https://docs.google.com/spreadsheets/d/1BJSV3WBYJGRhQ6zExamkszQ5VutGIcaQqmbD9ZTVXMQ/edit#gid=1251630045"",""arti"&amp;"cles_with_PRISMA_reasons!B2:B2113""))&lt;2,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$A803=IMPORTRANGE(""https://docs.google.com"&amp;"/spreadsheets/d/1BJSV3WBYJGRhQ6zExamkszQ5VutGIcaQqmbD9ZTVXMQ/edit#gid=1251630045"",""articles_with_PRISMA_reasons!B2:B2113""))&gt;=2),
""Exclude""
)"),"Exclude")</f>
        <v>Exclude</v>
      </c>
      <c r="E803" s="5" t="str">
        <f>IFERROR(__xludf.DUMMYFUNCTION("IFS(
D803=""Exclude"",""Exclude"",
AND(
FILTER(IMPORTRANGE(""https://docs.google.com/spreadsheets/d/1qpEmbGH0JjaJbUdp21-y2cPbobDbMjr09BbtdKROZWc/edit#gid=1444865654"",""articles_with_PRISMA_reasons!W2:W2113""), $A803=IMPORTRANGE(""https://docs.google.com/"&amp;"spreadsheets/d/1qpEmbGH0JjaJbUdp21-y2cPbobDbMjr09BbtdKROZWc/edit#gid=1444865654"",""articles_with_PRISMA_reasons!B2:B2113""))&gt;=2,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$A803=IMPORTRANGE(""https://docs.google.com/spreadsheets/d/1qpEmbGH0JjaJbUdp21-y2cPbobDbMjr09BbtdKROZWc/edit#gid=1444865654"",""articles_with_PRISMA_reasons!B2:B2113""))&lt;2),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$A803=IMPORTRANGE(""https://docs.google.com/spreadsheets/d/1qpEmbGH0JjaJbUdp21-y2cPbobDbMjr09BbtdKRO"&amp;"ZWc/edit#gid=1444865654"",""articles_with_PRISMA_reasons!B2:B2113""))&lt;2,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$A803=IMPOR"&amp;"TRANGE(""https://docs.google.com/spreadsheets/d/1qpEmbGH0JjaJbUdp21-y2cPbobDbMjr09BbtdKROZWc/edit#gid=1444865654"",""articles_with_PRISMA_reasons!B2:B2113""))&gt;=2),
""Exclude""
)"),"Exclude")</f>
        <v>Exclude</v>
      </c>
      <c r="F803" s="5" t="str">
        <f>IFERROR(__xludf.DUMMYFUNCTION("IFS(
E803=""Exclude"",""Exclude"",
AND(
COUNTIF(
IMPORTRANGE(""https://docs.google.com/spreadsheets/d/1kGrh75X1cNR1D7_FcY9zMnHP8iPO4M5RCRjy6nZY0TY/edit#gid=0"",""Table 1: Study characteristics!B4:B171""),A803)&gt;0,
COUNTIF(Studies!$A$2:$A$85,FILTER(IMPORTRA"&amp;"NGE(""https://docs.google.com/spreadsheets/d/1kGrh75X1cNR1D7_FcY9zMnHP8iPO4M5RCRjy6nZY0TY/edit#gid=0"",""Table 1: Study characteristics!A4:A171""), $A803=IMPORTRANGE(""https://docs.google.com/spreadsheets/d/1kGrh75X1cNR1D7_FcY9zMnHP8iPO4M5RCRjy6nZY0TY/edi"&amp;"t#gid=0"",""Table 1: Study characteristics!B4:B171"")))&gt;0
),
""Include""
)"),"Exclude")</f>
        <v>Exclude</v>
      </c>
      <c r="G803" s="5" t="str">
        <f>IFERROR(__xludf.DUMMYFUNCTION("IFS(
D803=""Exclude"",
FILTER(IMPORTRANGE(""https://docs.google.com/spreadsheets/d/1BJSV3WBYJGRhQ6zExamkszQ5VutGIcaQqmbD9ZTVXMQ/edit#gid=1251630045"",""articles_with_PRISMA_reasons!AB2:AB2113""), $A803=IMPORTRANGE(""https://docs.google.com/spreadsheets/d/"&amp;"1BJSV3WBYJGRhQ6zExamkszQ5VutGIcaQqmbD9ZTVXMQ/edit#gid=1251630045"",""articles_with_PRISMA_reasons!B2:B2113"")),
E803=""Exclude"",
FILTER(IMPORTRANGE(""https://docs.google.com/spreadsheets/d/1qpEmbGH0JjaJbUdp21-y2cPbobDbMjr09BbtdKROZWc/edit#gid=1444865654"&amp;""",""articles_with_PRISMA_reasons!Z2:Z2113""), $A803=IMPORTRANGE(""https://docs.google.com/spreadsheets/d/1qpEmbGH0JjaJbUdp21-y2cPbobDbMjr09BbtdKROZWc/edit#gid=1444865654"",""articles_with_PRISMA_reasons!B2:B2113"")),F803
=""Include"",FILTER(IMPORTRANGE("&amp;"""https://docs.google.com/spreadsheets/d/1kGrh75X1cNR1D7_FcY9zMnHP8iPO4M5RCRjy6nZY0TY/edit#gid=0"",""Table 1: Study characteristics!A4:A171""), $A803=IMPORTRANGE(""https://docs.google.com/spreadsheets/d/1kGrh75X1cNR1D7_FcY9zMnHP8iPO4M5RCRjy6nZY0TY/edit#gi"&amp;"d=0"",""Table 1: Study characteristics!B4:B171""))
)"),"wrong population")</f>
        <v>wrong population</v>
      </c>
    </row>
    <row r="804">
      <c r="A804" s="4" t="str">
        <f>IFERROR(__xludf.DUMMYFUNCTION("""COMPUTED_VALUE"""),"Fetal myelomeningocele after maternal methotrexate administration: A case report")</f>
        <v>Fetal myelomeningocele after maternal methotrexate administration: A case report</v>
      </c>
      <c r="B804" s="5" t="str">
        <f>IFERROR(__xludf.DUMMYFUNCTION("LEFT(FILTER(IMPORTRANGE(""https://docs.google.com/spreadsheets/d/1BJSV3WBYJGRhQ6zExamkszQ5VutGIcaQqmbD9ZTVXMQ/edit#gid=1251630045"",""articles_with_PRISMA_reasons!K2:K2113""), $A804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$A804=IMPORTRANGE(""https://docs.google.com/spreadsheets/d/1BJSV3WBYJGRhQ6zExamkszQ5VutGIcaQqmbD9ZTVXMQ/edit#gid=1251630045"",""articles_with_PRISMA_reasons!B2:B2113"")))-1)"),"Martino")</f>
        <v>Martino</v>
      </c>
      <c r="C804" s="6">
        <f>IFERROR(__xludf.DUMMYFUNCTION("FILTER(IMPORTRANGE(""https://docs.google.com/spreadsheets/d/1BJSV3WBYJGRhQ6zExamkszQ5VutGIcaQqmbD9ZTVXMQ/edit#gid=1251630045"",""articles_with_PRISMA_reasons!C2:C2113""), $A804=IMPORTRANGE(""https://docs.google.com/spreadsheets/d/1BJSV3WBYJGRhQ6zExamkszQ5"&amp;"VutGIcaQqmbD9ZTVXMQ/edit#gid=1251630045"",""articles_with_PRISMA_reasons!B2:B2113""))"),2016.0)</f>
        <v>2016</v>
      </c>
      <c r="D804" s="5" t="str">
        <f>IFERROR(__xludf.DUMMYFUNCTION("IFS(AND(
FILTER(IMPORTRANGE(""https://docs.google.com/spreadsheets/d/1BJSV3WBYJGRhQ6zExamkszQ5VutGIcaQqmbD9ZTVXMQ/edit#gid=1251630045"",""articles_with_PRISMA_reasons!Y2:Y2113""), $A804=IMPORTRANGE(""https://docs.google.com/spreadsheets/d/1BJSV3WBYJGRhQ6z"&amp;"ExamkszQ5VutGIcaQqmbD9ZTVXMQ/edit#gid=1251630045"",""articles_with_PRISMA_reasons!B2:B2113""))&gt;=2,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$A804=IMPORTRANGE(""https://docs.google.com/spreadsheets/d/1BJSV3WBYJGRhQ6zExamkszQ5VutGIcaQqmbD9ZTVXMQ/edit#gid=1251630045"",""articles_with_PRISMA_reasons!B2:B2113""))&lt;2),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$A804=IMPORTRANGE(""https://docs.google.com/spreadsheets/d/1BJSV3WBYJGRhQ6zExamkszQ5VutGIcaQqmbD9ZTVXMQ/edit#gid=1251630045"",""arti"&amp;"cles_with_PRISMA_reasons!B2:B2113""))&lt;2,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$A804=IMPORTRANGE(""https://docs.google.com"&amp;"/spreadsheets/d/1BJSV3WBYJGRhQ6zExamkszQ5VutGIcaQqmbD9ZTVXMQ/edit#gid=1251630045"",""articles_with_PRISMA_reasons!B2:B2113""))&gt;=2),
""Exclude""
)"),"Exclude")</f>
        <v>Exclude</v>
      </c>
      <c r="E804" s="5" t="str">
        <f>IFERROR(__xludf.DUMMYFUNCTION("IFS(
D804=""Exclude"",""Exclude"",
AND(
FILTER(IMPORTRANGE(""https://docs.google.com/spreadsheets/d/1qpEmbGH0JjaJbUdp21-y2cPbobDbMjr09BbtdKROZWc/edit#gid=1444865654"",""articles_with_PRISMA_reasons!W2:W2113""), $A804=IMPORTRANGE(""https://docs.google.com/"&amp;"spreadsheets/d/1qpEmbGH0JjaJbUdp21-y2cPbobDbMjr09BbtdKROZWc/edit#gid=1444865654"",""articles_with_PRISMA_reasons!B2:B2113""))&gt;=2,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$A804=IMPORTRANGE(""https://docs.google.com/spreadsheets/d/1qpEmbGH0JjaJbUdp21-y2cPbobDbMjr09BbtdKROZWc/edit#gid=1444865654"",""articles_with_PRISMA_reasons!B2:B2113""))&lt;2),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$A804=IMPORTRANGE(""https://docs.google.com/spreadsheets/d/1qpEmbGH0JjaJbUdp21-y2cPbobDbMjr09BbtdKRO"&amp;"ZWc/edit#gid=1444865654"",""articles_with_PRISMA_reasons!B2:B2113""))&lt;2,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$A804=IMPOR"&amp;"TRANGE(""https://docs.google.com/spreadsheets/d/1qpEmbGH0JjaJbUdp21-y2cPbobDbMjr09BbtdKROZWc/edit#gid=1444865654"",""articles_with_PRISMA_reasons!B2:B2113""))&gt;=2),
""Exclude""
)"),"Exclude")</f>
        <v>Exclude</v>
      </c>
      <c r="F804" s="5" t="str">
        <f>IFERROR(__xludf.DUMMYFUNCTION("IFS(
E804=""Exclude"",""Exclude"",
AND(
COUNTIF(
IMPORTRANGE(""https://docs.google.com/spreadsheets/d/1kGrh75X1cNR1D7_FcY9zMnHP8iPO4M5RCRjy6nZY0TY/edit#gid=0"",""Table 1: Study characteristics!B4:B171""),A804)&gt;0,
COUNTIF(Studies!$A$2:$A$85,FILTER(IMPORTRA"&amp;"NGE(""https://docs.google.com/spreadsheets/d/1kGrh75X1cNR1D7_FcY9zMnHP8iPO4M5RCRjy6nZY0TY/edit#gid=0"",""Table 1: Study characteristics!A4:A171""), $A804=IMPORTRANGE(""https://docs.google.com/spreadsheets/d/1kGrh75X1cNR1D7_FcY9zMnHP8iPO4M5RCRjy6nZY0TY/edi"&amp;"t#gid=0"",""Table 1: Study characteristics!B4:B171"")))&gt;0
),
""Include""
)"),"Exclude")</f>
        <v>Exclude</v>
      </c>
      <c r="G804" s="5" t="str">
        <f>IFERROR(__xludf.DUMMYFUNCTION("IFS(
D804=""Exclude"",
FILTER(IMPORTRANGE(""https://docs.google.com/spreadsheets/d/1BJSV3WBYJGRhQ6zExamkszQ5VutGIcaQqmbD9ZTVXMQ/edit#gid=1251630045"",""articles_with_PRISMA_reasons!AB2:AB2113""), $A804=IMPORTRANGE(""https://docs.google.com/spreadsheets/d/"&amp;"1BJSV3WBYJGRhQ6zExamkszQ5VutGIcaQqmbD9ZTVXMQ/edit#gid=1251630045"",""articles_with_PRISMA_reasons!B2:B2113"")),
E804=""Exclude"",
FILTER(IMPORTRANGE(""https://docs.google.com/spreadsheets/d/1qpEmbGH0JjaJbUdp21-y2cPbobDbMjr09BbtdKROZWc/edit#gid=1444865654"&amp;""",""articles_with_PRISMA_reasons!Z2:Z2113""), $A804=IMPORTRANGE(""https://docs.google.com/spreadsheets/d/1qpEmbGH0JjaJbUdp21-y2cPbobDbMjr09BbtdKROZWc/edit#gid=1444865654"",""articles_with_PRISMA_reasons!B2:B2113"")),F804
=""Include"",FILTER(IMPORTRANGE("&amp;"""https://docs.google.com/spreadsheets/d/1kGrh75X1cNR1D7_FcY9zMnHP8iPO4M5RCRjy6nZY0TY/edit#gid=0"",""Table 1: Study characteristics!A4:A171""), $A804=IMPORTRANGE(""https://docs.google.com/spreadsheets/d/1kGrh75X1cNR1D7_FcY9zMnHP8iPO4M5RCRjy6nZY0TY/edit#gi"&amp;"d=0"",""Table 1: Study characteristics!B4:B171""))
)"),"wrong publication type")</f>
        <v>wrong publication type</v>
      </c>
    </row>
    <row r="805">
      <c r="A805" s="4" t="str">
        <f>IFERROR(__xludf.DUMMYFUNCTION("""COMPUTED_VALUE"""),"Fetal myelomeningocele and the potential in-utero repair: Follow-up of 58 fetuses")</f>
        <v>Fetal myelomeningocele and the potential in-utero repair: Follow-up of 58 fetuses</v>
      </c>
      <c r="B805" s="5" t="str">
        <f>IFERROR(__xludf.DUMMYFUNCTION("LEFT(FILTER(IMPORTRANGE(""https://docs.google.com/spreadsheets/d/1BJSV3WBYJGRhQ6zExamkszQ5VutGIcaQqmbD9ZTVXMQ/edit#gid=1251630045"",""articles_with_PRISMA_reasons!K2:K2113""), $A805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$A805=IMPORTRANGE(""https://docs.google.com/spreadsheets/d/1BJSV3WBYJGRhQ6zExamkszQ5VutGIcaQqmbD9ZTVXMQ/edit#gid=1251630045"",""articles_with_PRISMA_reasons!B2:B2113"")))-1)"),"Lopes Mir and a")</f>
        <v>Lopes Mir and a</v>
      </c>
      <c r="C805" s="6">
        <f>IFERROR(__xludf.DUMMYFUNCTION("FILTER(IMPORTRANGE(""https://docs.google.com/spreadsheets/d/1BJSV3WBYJGRhQ6zExamkszQ5VutGIcaQqmbD9ZTVXMQ/edit#gid=1251630045"",""articles_with_PRISMA_reasons!C2:C2113""), $A805=IMPORTRANGE(""https://docs.google.com/spreadsheets/d/1BJSV3WBYJGRhQ6zExamkszQ5"&amp;"VutGIcaQqmbD9ZTVXMQ/edit#gid=1251630045"",""articles_with_PRISMA_reasons!B2:B2113""))"),2004.0)</f>
        <v>2004</v>
      </c>
      <c r="D805" s="5" t="str">
        <f>IFERROR(__xludf.DUMMYFUNCTION("IFS(AND(
FILTER(IMPORTRANGE(""https://docs.google.com/spreadsheets/d/1BJSV3WBYJGRhQ6zExamkszQ5VutGIcaQqmbD9ZTVXMQ/edit#gid=1251630045"",""articles_with_PRISMA_reasons!Y2:Y2113""), $A805=IMPORTRANGE(""https://docs.google.com/spreadsheets/d/1BJSV3WBYJGRhQ6z"&amp;"ExamkszQ5VutGIcaQqmbD9ZTVXMQ/edit#gid=1251630045"",""articles_with_PRISMA_reasons!B2:B2113""))&gt;=2,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$A805=IMPORTRANGE(""https://docs.google.com/spreadsheets/d/1BJSV3WBYJGRhQ6zExamkszQ5VutGIcaQqmbD9ZTVXMQ/edit#gid=1251630045"",""articles_with_PRISMA_reasons!B2:B2113""))&lt;2),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$A805=IMPORTRANGE(""https://docs.google.com/spreadsheets/d/1BJSV3WBYJGRhQ6zExamkszQ5VutGIcaQqmbD9ZTVXMQ/edit#gid=1251630045"",""arti"&amp;"cles_with_PRISMA_reasons!B2:B2113""))&lt;2,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$A805=IMPORTRANGE(""https://docs.google.com"&amp;"/spreadsheets/d/1BJSV3WBYJGRhQ6zExamkszQ5VutGIcaQqmbD9ZTVXMQ/edit#gid=1251630045"",""articles_with_PRISMA_reasons!B2:B2113""))&gt;=2),
""Exclude""
)"),"Exclude")</f>
        <v>Exclude</v>
      </c>
      <c r="E805" s="5" t="str">
        <f>IFERROR(__xludf.DUMMYFUNCTION("IFS(
D805=""Exclude"",""Exclude"",
AND(
FILTER(IMPORTRANGE(""https://docs.google.com/spreadsheets/d/1qpEmbGH0JjaJbUdp21-y2cPbobDbMjr09BbtdKROZWc/edit#gid=1444865654"",""articles_with_PRISMA_reasons!W2:W2113""), $A805=IMPORTRANGE(""https://docs.google.com/"&amp;"spreadsheets/d/1qpEmbGH0JjaJbUdp21-y2cPbobDbMjr09BbtdKROZWc/edit#gid=1444865654"",""articles_with_PRISMA_reasons!B2:B2113""))&gt;=2,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$A805=IMPORTRANGE(""https://docs.google.com/spreadsheets/d/1qpEmbGH0JjaJbUdp21-y2cPbobDbMjr09BbtdKROZWc/edit#gid=1444865654"",""articles_with_PRISMA_reasons!B2:B2113""))&lt;2),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$A805=IMPORTRANGE(""https://docs.google.com/spreadsheets/d/1qpEmbGH0JjaJbUdp21-y2cPbobDbMjr09BbtdKRO"&amp;"ZWc/edit#gid=1444865654"",""articles_with_PRISMA_reasons!B2:B2113""))&lt;2,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$A805=IMPOR"&amp;"TRANGE(""https://docs.google.com/spreadsheets/d/1qpEmbGH0JjaJbUdp21-y2cPbobDbMjr09BbtdKROZWc/edit#gid=1444865654"",""articles_with_PRISMA_reasons!B2:B2113""))&gt;=2),
""Exclude""
)"),"Exclude")</f>
        <v>Exclude</v>
      </c>
      <c r="F805" s="5" t="str">
        <f>IFERROR(__xludf.DUMMYFUNCTION("IFS(
E805=""Exclude"",""Exclude"",
AND(
COUNTIF(
IMPORTRANGE(""https://docs.google.com/spreadsheets/d/1kGrh75X1cNR1D7_FcY9zMnHP8iPO4M5RCRjy6nZY0TY/edit#gid=0"",""Table 1: Study characteristics!B4:B171""),A805)&gt;0,
COUNTIF(Studies!$A$2:$A$85,FILTER(IMPORTRA"&amp;"NGE(""https://docs.google.com/spreadsheets/d/1kGrh75X1cNR1D7_FcY9zMnHP8iPO4M5RCRjy6nZY0TY/edit#gid=0"",""Table 1: Study characteristics!A4:A171""), $A805=IMPORTRANGE(""https://docs.google.com/spreadsheets/d/1kGrh75X1cNR1D7_FcY9zMnHP8iPO4M5RCRjy6nZY0TY/edi"&amp;"t#gid=0"",""Table 1: Study characteristics!B4:B171"")))&gt;0
),
""Include""
)"),"Exclude")</f>
        <v>Exclude</v>
      </c>
      <c r="G805" s="5" t="str">
        <f>IFERROR(__xludf.DUMMYFUNCTION("IFS(
D805=""Exclude"",
FILTER(IMPORTRANGE(""https://docs.google.com/spreadsheets/d/1BJSV3WBYJGRhQ6zExamkszQ5VutGIcaQqmbD9ZTVXMQ/edit#gid=1251630045"",""articles_with_PRISMA_reasons!AB2:AB2113""), $A805=IMPORTRANGE(""https://docs.google.com/spreadsheets/d/"&amp;"1BJSV3WBYJGRhQ6zExamkszQ5VutGIcaQqmbD9ZTVXMQ/edit#gid=1251630045"",""articles_with_PRISMA_reasons!B2:B2113"")),
E805=""Exclude"",
FILTER(IMPORTRANGE(""https://docs.google.com/spreadsheets/d/1qpEmbGH0JjaJbUdp21-y2cPbobDbMjr09BbtdKROZWc/edit#gid=1444865654"&amp;""",""articles_with_PRISMA_reasons!Z2:Z2113""), $A805=IMPORTRANGE(""https://docs.google.com/spreadsheets/d/1qpEmbGH0JjaJbUdp21-y2cPbobDbMjr09BbtdKROZWc/edit#gid=1444865654"",""articles_with_PRISMA_reasons!B2:B2113"")),F805
=""Include"",FILTER(IMPORTRANGE("&amp;"""https://docs.google.com/spreadsheets/d/1kGrh75X1cNR1D7_FcY9zMnHP8iPO4M5RCRjy6nZY0TY/edit#gid=0"",""Table 1: Study characteristics!A4:A171""), $A805=IMPORTRANGE(""https://docs.google.com/spreadsheets/d/1kGrh75X1cNR1D7_FcY9zMnHP8iPO4M5RCRjy6nZY0TY/edit#gi"&amp;"d=0"",""Table 1: Study characteristics!B4:B171""))
)"),"wrong population")</f>
        <v>wrong population</v>
      </c>
    </row>
    <row r="806">
      <c r="A806" s="4" t="str">
        <f>IFERROR(__xludf.DUMMYFUNCTION("""COMPUTED_VALUE"""),"Fetal myelomeningocele repair")</f>
        <v>Fetal myelomeningocele repair</v>
      </c>
      <c r="B806" s="5" t="str">
        <f>IFERROR(__xludf.DUMMYFUNCTION("LEFT(FILTER(IMPORTRANGE(""https://docs.google.com/spreadsheets/d/1BJSV3WBYJGRhQ6zExamkszQ5VutGIcaQqmbD9ZTVXMQ/edit#gid=1251630045"",""articles_with_PRISMA_reasons!K2:K2113""), $A806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$A806=IMPORTRANGE(""https://docs.google.com/spreadsheets/d/1BJSV3WBYJGRhQ6zExamkszQ5VutGIcaQqmbD9ZTVXMQ/edit#gid=1251630045"",""articles_with_PRISMA_reasons!B2:B2113"")))-1)"),"Yamashiro")</f>
        <v>Yamashiro</v>
      </c>
      <c r="C806" s="6">
        <f>IFERROR(__xludf.DUMMYFUNCTION("FILTER(IMPORTRANGE(""https://docs.google.com/spreadsheets/d/1BJSV3WBYJGRhQ6zExamkszQ5VutGIcaQqmbD9ZTVXMQ/edit#gid=1251630045"",""articles_with_PRISMA_reasons!C2:C2113""), $A806=IMPORTRANGE(""https://docs.google.com/spreadsheets/d/1BJSV3WBYJGRhQ6zExamkszQ5"&amp;"VutGIcaQqmbD9ZTVXMQ/edit#gid=1251630045"",""articles_with_PRISMA_reasons!B2:B2113""))"),2019.0)</f>
        <v>2019</v>
      </c>
      <c r="D806" s="5" t="str">
        <f>IFERROR(__xludf.DUMMYFUNCTION("IFS(AND(
FILTER(IMPORTRANGE(""https://docs.google.com/spreadsheets/d/1BJSV3WBYJGRhQ6zExamkszQ5VutGIcaQqmbD9ZTVXMQ/edit#gid=1251630045"",""articles_with_PRISMA_reasons!Y2:Y2113""), $A806=IMPORTRANGE(""https://docs.google.com/spreadsheets/d/1BJSV3WBYJGRhQ6z"&amp;"ExamkszQ5VutGIcaQqmbD9ZTVXMQ/edit#gid=1251630045"",""articles_with_PRISMA_reasons!B2:B2113""))&gt;=2,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$A806=IMPORTRANGE(""https://docs.google.com/spreadsheets/d/1BJSV3WBYJGRhQ6zExamkszQ5VutGIcaQqmbD9ZTVXMQ/edit#gid=1251630045"",""articles_with_PRISMA_reasons!B2:B2113""))&lt;2),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$A806=IMPORTRANGE(""https://docs.google.com/spreadsheets/d/1BJSV3WBYJGRhQ6zExamkszQ5VutGIcaQqmbD9ZTVXMQ/edit#gid=1251630045"",""arti"&amp;"cles_with_PRISMA_reasons!B2:B2113""))&lt;2,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$A806=IMPORTRANGE(""https://docs.google.com"&amp;"/spreadsheets/d/1BJSV3WBYJGRhQ6zExamkszQ5VutGIcaQqmbD9ZTVXMQ/edit#gid=1251630045"",""articles_with_PRISMA_reasons!B2:B2113""))&gt;=2),
""Exclude""
)"),"Exclude")</f>
        <v>Exclude</v>
      </c>
      <c r="E806" s="5" t="str">
        <f>IFERROR(__xludf.DUMMYFUNCTION("IFS(
D806=""Exclude"",""Exclude"",
AND(
FILTER(IMPORTRANGE(""https://docs.google.com/spreadsheets/d/1qpEmbGH0JjaJbUdp21-y2cPbobDbMjr09BbtdKROZWc/edit#gid=1444865654"",""articles_with_PRISMA_reasons!W2:W2113""), $A806=IMPORTRANGE(""https://docs.google.com/"&amp;"spreadsheets/d/1qpEmbGH0JjaJbUdp21-y2cPbobDbMjr09BbtdKROZWc/edit#gid=1444865654"",""articles_with_PRISMA_reasons!B2:B2113""))&gt;=2,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$A806=IMPORTRANGE(""https://docs.google.com/spreadsheets/d/1qpEmbGH0JjaJbUdp21-y2cPbobDbMjr09BbtdKROZWc/edit#gid=1444865654"",""articles_with_PRISMA_reasons!B2:B2113""))&lt;2),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$A806=IMPORTRANGE(""https://docs.google.com/spreadsheets/d/1qpEmbGH0JjaJbUdp21-y2cPbobDbMjr09BbtdKRO"&amp;"ZWc/edit#gid=1444865654"",""articles_with_PRISMA_reasons!B2:B2113""))&lt;2,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$A806=IMPOR"&amp;"TRANGE(""https://docs.google.com/spreadsheets/d/1qpEmbGH0JjaJbUdp21-y2cPbobDbMjr09BbtdKROZWc/edit#gid=1444865654"",""articles_with_PRISMA_reasons!B2:B2113""))&gt;=2),
""Exclude""
)"),"Exclude")</f>
        <v>Exclude</v>
      </c>
      <c r="F806" s="5" t="str">
        <f>IFERROR(__xludf.DUMMYFUNCTION("IFS(
E806=""Exclude"",""Exclude"",
AND(
COUNTIF(
IMPORTRANGE(""https://docs.google.com/spreadsheets/d/1kGrh75X1cNR1D7_FcY9zMnHP8iPO4M5RCRjy6nZY0TY/edit#gid=0"",""Table 1: Study characteristics!B4:B171""),A806)&gt;0,
COUNTIF(Studies!$A$2:$A$85,FILTER(IMPORTRA"&amp;"NGE(""https://docs.google.com/spreadsheets/d/1kGrh75X1cNR1D7_FcY9zMnHP8iPO4M5RCRjy6nZY0TY/edit#gid=0"",""Table 1: Study characteristics!A4:A171""), $A806=IMPORTRANGE(""https://docs.google.com/spreadsheets/d/1kGrh75X1cNR1D7_FcY9zMnHP8iPO4M5RCRjy6nZY0TY/edi"&amp;"t#gid=0"",""Table 1: Study characteristics!B4:B171"")))&gt;0
),
""Include""
)"),"Exclude")</f>
        <v>Exclude</v>
      </c>
      <c r="G806" s="5" t="str">
        <f>IFERROR(__xludf.DUMMYFUNCTION("IFS(
D806=""Exclude"",
FILTER(IMPORTRANGE(""https://docs.google.com/spreadsheets/d/1BJSV3WBYJGRhQ6zExamkszQ5VutGIcaQqmbD9ZTVXMQ/edit#gid=1251630045"",""articles_with_PRISMA_reasons!AB2:AB2113""), $A806=IMPORTRANGE(""https://docs.google.com/spreadsheets/d/"&amp;"1BJSV3WBYJGRhQ6zExamkszQ5VutGIcaQqmbD9ZTVXMQ/edit#gid=1251630045"",""articles_with_PRISMA_reasons!B2:B2113"")),
E806=""Exclude"",
FILTER(IMPORTRANGE(""https://docs.google.com/spreadsheets/d/1qpEmbGH0JjaJbUdp21-y2cPbobDbMjr09BbtdKROZWc/edit#gid=1444865654"&amp;""",""articles_with_PRISMA_reasons!Z2:Z2113""), $A806=IMPORTRANGE(""https://docs.google.com/spreadsheets/d/1qpEmbGH0JjaJbUdp21-y2cPbobDbMjr09BbtdKROZWc/edit#gid=1444865654"",""articles_with_PRISMA_reasons!B2:B2113"")),F806
=""Include"",FILTER(IMPORTRANGE("&amp;"""https://docs.google.com/spreadsheets/d/1kGrh75X1cNR1D7_FcY9zMnHP8iPO4M5RCRjy6nZY0TY/edit#gid=0"",""Table 1: Study characteristics!A4:A171""), $A806=IMPORTRANGE(""https://docs.google.com/spreadsheets/d/1kGrh75X1cNR1D7_FcY9zMnHP8iPO4M5RCRjy6nZY0TY/edit#gi"&amp;"d=0"",""Table 1: Study characteristics!B4:B171""))
)"),"background article")</f>
        <v>background article</v>
      </c>
    </row>
    <row r="807">
      <c r="A807" s="4" t="str">
        <f>IFERROR(__xludf.DUMMYFUNCTION("""COMPUTED_VALUE"""),"Fetal Myelomeningocele Repair through a Mini-Hysterotomy")</f>
        <v>Fetal Myelomeningocele Repair through a Mini-Hysterotomy</v>
      </c>
      <c r="B807" s="5" t="str">
        <f>IFERROR(__xludf.DUMMYFUNCTION("LEFT(FILTER(IMPORTRANGE(""https://docs.google.com/spreadsheets/d/1BJSV3WBYJGRhQ6zExamkszQ5VutGIcaQqmbD9ZTVXMQ/edit#gid=1251630045"",""articles_with_PRISMA_reasons!K2:K2113""), $A807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$A807=IMPORTRANGE(""https://docs.google.com/spreadsheets/d/1BJSV3WBYJGRhQ6zExamkszQ5VutGIcaQqmbD9ZTVXMQ/edit#gid=1251630045"",""articles_with_PRISMA_reasons!B2:B2113"")))-1)"),"Botelho")</f>
        <v>Botelho</v>
      </c>
      <c r="C807" s="6">
        <f>IFERROR(__xludf.DUMMYFUNCTION("FILTER(IMPORTRANGE(""https://docs.google.com/spreadsheets/d/1BJSV3WBYJGRhQ6zExamkszQ5VutGIcaQqmbD9ZTVXMQ/edit#gid=1251630045"",""articles_with_PRISMA_reasons!C2:C2113""), $A807=IMPORTRANGE(""https://docs.google.com/spreadsheets/d/1BJSV3WBYJGRhQ6zExamkszQ5"&amp;"VutGIcaQqmbD9ZTVXMQ/edit#gid=1251630045"",""articles_with_PRISMA_reasons!B2:B2113""))"),2017.0)</f>
        <v>2017</v>
      </c>
      <c r="D807" s="5" t="str">
        <f>IFERROR(__xludf.DUMMYFUNCTION("IFS(AND(
FILTER(IMPORTRANGE(""https://docs.google.com/spreadsheets/d/1BJSV3WBYJGRhQ6zExamkszQ5VutGIcaQqmbD9ZTVXMQ/edit#gid=1251630045"",""articles_with_PRISMA_reasons!Y2:Y2113""), $A807=IMPORTRANGE(""https://docs.google.com/spreadsheets/d/1BJSV3WBYJGRhQ6z"&amp;"ExamkszQ5VutGIcaQqmbD9ZTVXMQ/edit#gid=1251630045"",""articles_with_PRISMA_reasons!B2:B2113""))&gt;=2,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$A807=IMPORTRANGE(""https://docs.google.com/spreadsheets/d/1BJSV3WBYJGRhQ6zExamkszQ5VutGIcaQqmbD9ZTVXMQ/edit#gid=1251630045"",""articles_with_PRISMA_reasons!B2:B2113""))&lt;2),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$A807=IMPORTRANGE(""https://docs.google.com/spreadsheets/d/1BJSV3WBYJGRhQ6zExamkszQ5VutGIcaQqmbD9ZTVXMQ/edit#gid=1251630045"",""arti"&amp;"cles_with_PRISMA_reasons!B2:B2113""))&lt;2,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$A807=IMPORTRANGE(""https://docs.google.com"&amp;"/spreadsheets/d/1BJSV3WBYJGRhQ6zExamkszQ5VutGIcaQqmbD9ZTVXMQ/edit#gid=1251630045"",""articles_with_PRISMA_reasons!B2:B2113""))&gt;=2),
""Exclude""
)"),"Exclude")</f>
        <v>Exclude</v>
      </c>
      <c r="E807" s="5" t="str">
        <f>IFERROR(__xludf.DUMMYFUNCTION("IFS(
D807=""Exclude"",""Exclude"",
AND(
FILTER(IMPORTRANGE(""https://docs.google.com/spreadsheets/d/1qpEmbGH0JjaJbUdp21-y2cPbobDbMjr09BbtdKROZWc/edit#gid=1444865654"",""articles_with_PRISMA_reasons!W2:W2113""), $A807=IMPORTRANGE(""https://docs.google.com/"&amp;"spreadsheets/d/1qpEmbGH0JjaJbUdp21-y2cPbobDbMjr09BbtdKROZWc/edit#gid=1444865654"",""articles_with_PRISMA_reasons!B2:B2113""))&gt;=2,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$A807=IMPORTRANGE(""https://docs.google.com/spreadsheets/d/1qpEmbGH0JjaJbUdp21-y2cPbobDbMjr09BbtdKROZWc/edit#gid=1444865654"",""articles_with_PRISMA_reasons!B2:B2113""))&lt;2),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$A807=IMPORTRANGE(""https://docs.google.com/spreadsheets/d/1qpEmbGH0JjaJbUdp21-y2cPbobDbMjr09BbtdKRO"&amp;"ZWc/edit#gid=1444865654"",""articles_with_PRISMA_reasons!B2:B2113""))&lt;2,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$A807=IMPOR"&amp;"TRANGE(""https://docs.google.com/spreadsheets/d/1qpEmbGH0JjaJbUdp21-y2cPbobDbMjr09BbtdKROZWc/edit#gid=1444865654"",""articles_with_PRISMA_reasons!B2:B2113""))&gt;=2),
""Exclude""
)"),"Exclude")</f>
        <v>Exclude</v>
      </c>
      <c r="F807" s="5" t="str">
        <f>IFERROR(__xludf.DUMMYFUNCTION("IFS(
E807=""Exclude"",""Exclude"",
AND(
COUNTIF(
IMPORTRANGE(""https://docs.google.com/spreadsheets/d/1kGrh75X1cNR1D7_FcY9zMnHP8iPO4M5RCRjy6nZY0TY/edit#gid=0"",""Table 1: Study characteristics!B4:B171""),A807)&gt;0,
COUNTIF(Studies!$A$2:$A$85,FILTER(IMPORTRA"&amp;"NGE(""https://docs.google.com/spreadsheets/d/1kGrh75X1cNR1D7_FcY9zMnHP8iPO4M5RCRjy6nZY0TY/edit#gid=0"",""Table 1: Study characteristics!A4:A171""), $A807=IMPORTRANGE(""https://docs.google.com/spreadsheets/d/1kGrh75X1cNR1D7_FcY9zMnHP8iPO4M5RCRjy6nZY0TY/edi"&amp;"t#gid=0"",""Table 1: Study characteristics!B4:B171"")))&gt;0
),
""Include""
)"),"Exclude")</f>
        <v>Exclude</v>
      </c>
      <c r="G807" s="5" t="str">
        <f>IFERROR(__xludf.DUMMYFUNCTION("IFS(
D807=""Exclude"",
FILTER(IMPORTRANGE(""https://docs.google.com/spreadsheets/d/1BJSV3WBYJGRhQ6zExamkszQ5VutGIcaQqmbD9ZTVXMQ/edit#gid=1251630045"",""articles_with_PRISMA_reasons!AB2:AB2113""), $A807=IMPORTRANGE(""https://docs.google.com/spreadsheets/d/"&amp;"1BJSV3WBYJGRhQ6zExamkszQ5VutGIcaQqmbD9ZTVXMQ/edit#gid=1251630045"",""articles_with_PRISMA_reasons!B2:B2113"")),
E807=""Exclude"",
FILTER(IMPORTRANGE(""https://docs.google.com/spreadsheets/d/1qpEmbGH0JjaJbUdp21-y2cPbobDbMjr09BbtdKROZWc/edit#gid=1444865654"&amp;""",""articles_with_PRISMA_reasons!Z2:Z2113""), $A807=IMPORTRANGE(""https://docs.google.com/spreadsheets/d/1qpEmbGH0JjaJbUdp21-y2cPbobDbMjr09BbtdKROZWc/edit#gid=1444865654"",""articles_with_PRISMA_reasons!B2:B2113"")),F807
=""Include"",FILTER(IMPORTRANGE("&amp;"""https://docs.google.com/spreadsheets/d/1kGrh75X1cNR1D7_FcY9zMnHP8iPO4M5RCRjy6nZY0TY/edit#gid=0"",""Table 1: Study characteristics!A4:A171""), $A807=IMPORTRANGE(""https://docs.google.com/spreadsheets/d/1kGrh75X1cNR1D7_FcY9zMnHP8iPO4M5RCRjy6nZY0TY/edit#gi"&amp;"d=0"",""Table 1: Study characteristics!B4:B171""))
)"),"wrong population")</f>
        <v>wrong population</v>
      </c>
    </row>
    <row r="808">
      <c r="A808" s="4" t="str">
        <f>IFERROR(__xludf.DUMMYFUNCTION("""COMPUTED_VALUE"""),"Fetal Myelomeningocele Repair: How Many Techniques Are Necessary?")</f>
        <v>Fetal Myelomeningocele Repair: How Many Techniques Are Necessary?</v>
      </c>
      <c r="B808" s="5" t="str">
        <f>IFERROR(__xludf.DUMMYFUNCTION("LEFT(FILTER(IMPORTRANGE(""https://docs.google.com/spreadsheets/d/1BJSV3WBYJGRhQ6zExamkszQ5VutGIcaQqmbD9ZTVXMQ/edit#gid=1251630045"",""articles_with_PRISMA_reasons!K2:K2113""), $A808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$A808=IMPORTRANGE(""https://docs.google.com/spreadsheets/d/1BJSV3WBYJGRhQ6zExamkszQ5VutGIcaQqmbD9ZTVXMQ/edit#gid=1251630045"",""articles_with_PRISMA_reasons!B2:B2113"")))-1)"),"Camargo")</f>
        <v>Camargo</v>
      </c>
      <c r="C808" s="6">
        <f>IFERROR(__xludf.DUMMYFUNCTION("FILTER(IMPORTRANGE(""https://docs.google.com/spreadsheets/d/1BJSV3WBYJGRhQ6zExamkszQ5VutGIcaQqmbD9ZTVXMQ/edit#gid=1251630045"",""articles_with_PRISMA_reasons!C2:C2113""), $A808=IMPORTRANGE(""https://docs.google.com/spreadsheets/d/1BJSV3WBYJGRhQ6zExamkszQ5"&amp;"VutGIcaQqmbD9ZTVXMQ/edit#gid=1251630045"",""articles_with_PRISMA_reasons!B2:B2113""))"),2020.0)</f>
        <v>2020</v>
      </c>
      <c r="D808" s="5" t="str">
        <f>IFERROR(__xludf.DUMMYFUNCTION("IFS(AND(
FILTER(IMPORTRANGE(""https://docs.google.com/spreadsheets/d/1BJSV3WBYJGRhQ6zExamkszQ5VutGIcaQqmbD9ZTVXMQ/edit#gid=1251630045"",""articles_with_PRISMA_reasons!Y2:Y2113""), $A808=IMPORTRANGE(""https://docs.google.com/spreadsheets/d/1BJSV3WBYJGRhQ6z"&amp;"ExamkszQ5VutGIcaQqmbD9ZTVXMQ/edit#gid=1251630045"",""articles_with_PRISMA_reasons!B2:B2113""))&gt;=2,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$A808=IMPORTRANGE(""https://docs.google.com/spreadsheets/d/1BJSV3WBYJGRhQ6zExamkszQ5VutGIcaQqmbD9ZTVXMQ/edit#gid=1251630045"",""articles_with_PRISMA_reasons!B2:B2113""))&lt;2),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$A808=IMPORTRANGE(""https://docs.google.com/spreadsheets/d/1BJSV3WBYJGRhQ6zExamkszQ5VutGIcaQqmbD9ZTVXMQ/edit#gid=1251630045"",""arti"&amp;"cles_with_PRISMA_reasons!B2:B2113""))&lt;2,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$A808=IMPORTRANGE(""https://docs.google.com"&amp;"/spreadsheets/d/1BJSV3WBYJGRhQ6zExamkszQ5VutGIcaQqmbD9ZTVXMQ/edit#gid=1251630045"",""articles_with_PRISMA_reasons!B2:B2113""))&gt;=2),
""Exclude""
)"),"Exclude")</f>
        <v>Exclude</v>
      </c>
      <c r="E808" s="5" t="str">
        <f>IFERROR(__xludf.DUMMYFUNCTION("IFS(
D808=""Exclude"",""Exclude"",
AND(
FILTER(IMPORTRANGE(""https://docs.google.com/spreadsheets/d/1qpEmbGH0JjaJbUdp21-y2cPbobDbMjr09BbtdKROZWc/edit#gid=1444865654"",""articles_with_PRISMA_reasons!W2:W2113""), $A808=IMPORTRANGE(""https://docs.google.com/"&amp;"spreadsheets/d/1qpEmbGH0JjaJbUdp21-y2cPbobDbMjr09BbtdKROZWc/edit#gid=1444865654"",""articles_with_PRISMA_reasons!B2:B2113""))&gt;=2,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$A808=IMPORTRANGE(""https://docs.google.com/spreadsheets/d/1qpEmbGH0JjaJbUdp21-y2cPbobDbMjr09BbtdKROZWc/edit#gid=1444865654"",""articles_with_PRISMA_reasons!B2:B2113""))&lt;2),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$A808=IMPORTRANGE(""https://docs.google.com/spreadsheets/d/1qpEmbGH0JjaJbUdp21-y2cPbobDbMjr09BbtdKRO"&amp;"ZWc/edit#gid=1444865654"",""articles_with_PRISMA_reasons!B2:B2113""))&lt;2,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$A808=IMPOR"&amp;"TRANGE(""https://docs.google.com/spreadsheets/d/1qpEmbGH0JjaJbUdp21-y2cPbobDbMjr09BbtdKROZWc/edit#gid=1444865654"",""articles_with_PRISMA_reasons!B2:B2113""))&gt;=2),
""Exclude""
)"),"Exclude")</f>
        <v>Exclude</v>
      </c>
      <c r="F808" s="5" t="str">
        <f>IFERROR(__xludf.DUMMYFUNCTION("IFS(
E808=""Exclude"",""Exclude"",
AND(
COUNTIF(
IMPORTRANGE(""https://docs.google.com/spreadsheets/d/1kGrh75X1cNR1D7_FcY9zMnHP8iPO4M5RCRjy6nZY0TY/edit#gid=0"",""Table 1: Study characteristics!B4:B171""),A808)&gt;0,
COUNTIF(Studies!$A$2:$A$85,FILTER(IMPORTRA"&amp;"NGE(""https://docs.google.com/spreadsheets/d/1kGrh75X1cNR1D7_FcY9zMnHP8iPO4M5RCRjy6nZY0TY/edit#gid=0"",""Table 1: Study characteristics!A4:A171""), $A808=IMPORTRANGE(""https://docs.google.com/spreadsheets/d/1kGrh75X1cNR1D7_FcY9zMnHP8iPO4M5RCRjy6nZY0TY/edi"&amp;"t#gid=0"",""Table 1: Study characteristics!B4:B171"")))&gt;0
),
""Include""
)"),"Exclude")</f>
        <v>Exclude</v>
      </c>
      <c r="G808" s="5" t="str">
        <f>IFERROR(__xludf.DUMMYFUNCTION("IFS(
D808=""Exclude"",
FILTER(IMPORTRANGE(""https://docs.google.com/spreadsheets/d/1BJSV3WBYJGRhQ6zExamkszQ5VutGIcaQqmbD9ZTVXMQ/edit#gid=1251630045"",""articles_with_PRISMA_reasons!AB2:AB2113""), $A808=IMPORTRANGE(""https://docs.google.com/spreadsheets/d/"&amp;"1BJSV3WBYJGRhQ6zExamkszQ5VutGIcaQqmbD9ZTVXMQ/edit#gid=1251630045"",""articles_with_PRISMA_reasons!B2:B2113"")),
E808=""Exclude"",
FILTER(IMPORTRANGE(""https://docs.google.com/spreadsheets/d/1qpEmbGH0JjaJbUdp21-y2cPbobDbMjr09BbtdKROZWc/edit#gid=1444865654"&amp;""",""articles_with_PRISMA_reasons!Z2:Z2113""), $A808=IMPORTRANGE(""https://docs.google.com/spreadsheets/d/1qpEmbGH0JjaJbUdp21-y2cPbobDbMjr09BbtdKROZWc/edit#gid=1444865654"",""articles_with_PRISMA_reasons!B2:B2113"")),F808
=""Include"",FILTER(IMPORTRANGE("&amp;"""https://docs.google.com/spreadsheets/d/1kGrh75X1cNR1D7_FcY9zMnHP8iPO4M5RCRjy6nZY0TY/edit#gid=0"",""Table 1: Study characteristics!A4:A171""), $A808=IMPORTRANGE(""https://docs.google.com/spreadsheets/d/1kGrh75X1cNR1D7_FcY9zMnHP8iPO4M5RCRjy6nZY0TY/edit#gi"&amp;"d=0"",""Table 1: Study characteristics!B4:B171""))
)"),"wrong study design")</f>
        <v>wrong study design</v>
      </c>
    </row>
    <row r="809">
      <c r="A809" s="4" t="str">
        <f>IFERROR(__xludf.DUMMYFUNCTION("""COMPUTED_VALUE"""),"Fetal myelomeningocele: Natural history, pathophysiology, and in-utero intervention")</f>
        <v>Fetal myelomeningocele: Natural history, pathophysiology, and in-utero intervention</v>
      </c>
      <c r="B809" s="5" t="str">
        <f>IFERROR(__xludf.DUMMYFUNCTION("LEFT(FILTER(IMPORTRANGE(""https://docs.google.com/spreadsheets/d/1BJSV3WBYJGRhQ6zExamkszQ5VutGIcaQqmbD9ZTVXMQ/edit#gid=1251630045"",""articles_with_PRISMA_reasons!K2:K2113""), $A809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$A809=IMPORTRANGE(""https://docs.google.com/spreadsheets/d/1BJSV3WBYJGRhQ6zExamkszQ5VutGIcaQqmbD9ZTVXMQ/edit#gid=1251630045"",""articles_with_PRISMA_reasons!B2:B2113"")))-1)"),"Adzick")</f>
        <v>Adzick</v>
      </c>
      <c r="C809" s="6">
        <f>IFERROR(__xludf.DUMMYFUNCTION("FILTER(IMPORTRANGE(""https://docs.google.com/spreadsheets/d/1BJSV3WBYJGRhQ6zExamkszQ5VutGIcaQqmbD9ZTVXMQ/edit#gid=1251630045"",""articles_with_PRISMA_reasons!C2:C2113""), $A809=IMPORTRANGE(""https://docs.google.com/spreadsheets/d/1BJSV3WBYJGRhQ6zExamkszQ5"&amp;"VutGIcaQqmbD9ZTVXMQ/edit#gid=1251630045"",""articles_with_PRISMA_reasons!B2:B2113""))"),2010.0)</f>
        <v>2010</v>
      </c>
      <c r="D809" s="5" t="str">
        <f>IFERROR(__xludf.DUMMYFUNCTION("IFS(AND(
FILTER(IMPORTRANGE(""https://docs.google.com/spreadsheets/d/1BJSV3WBYJGRhQ6zExamkszQ5VutGIcaQqmbD9ZTVXMQ/edit#gid=1251630045"",""articles_with_PRISMA_reasons!Y2:Y2113""), $A809=IMPORTRANGE(""https://docs.google.com/spreadsheets/d/1BJSV3WBYJGRhQ6z"&amp;"ExamkszQ5VutGIcaQqmbD9ZTVXMQ/edit#gid=1251630045"",""articles_with_PRISMA_reasons!B2:B2113""))&gt;=2,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$A809=IMPORTRANGE(""https://docs.google.com/spreadsheets/d/1BJSV3WBYJGRhQ6zExamkszQ5VutGIcaQqmbD9ZTVXMQ/edit#gid=1251630045"",""articles_with_PRISMA_reasons!B2:B2113""))&lt;2),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$A809=IMPORTRANGE(""https://docs.google.com/spreadsheets/d/1BJSV3WBYJGRhQ6zExamkszQ5VutGIcaQqmbD9ZTVXMQ/edit#gid=1251630045"",""arti"&amp;"cles_with_PRISMA_reasons!B2:B2113""))&lt;2,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$A809=IMPORTRANGE(""https://docs.google.com"&amp;"/spreadsheets/d/1BJSV3WBYJGRhQ6zExamkszQ5VutGIcaQqmbD9ZTVXMQ/edit#gid=1251630045"",""articles_with_PRISMA_reasons!B2:B2113""))&gt;=2),
""Exclude""
)"),"Exclude")</f>
        <v>Exclude</v>
      </c>
      <c r="E809" s="5" t="str">
        <f>IFERROR(__xludf.DUMMYFUNCTION("IFS(
D809=""Exclude"",""Exclude"",
AND(
FILTER(IMPORTRANGE(""https://docs.google.com/spreadsheets/d/1qpEmbGH0JjaJbUdp21-y2cPbobDbMjr09BbtdKROZWc/edit#gid=1444865654"",""articles_with_PRISMA_reasons!W2:W2113""), $A809=IMPORTRANGE(""https://docs.google.com/"&amp;"spreadsheets/d/1qpEmbGH0JjaJbUdp21-y2cPbobDbMjr09BbtdKROZWc/edit#gid=1444865654"",""articles_with_PRISMA_reasons!B2:B2113""))&gt;=2,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$A809=IMPORTRANGE(""https://docs.google.com/spreadsheets/d/1qpEmbGH0JjaJbUdp21-y2cPbobDbMjr09BbtdKROZWc/edit#gid=1444865654"",""articles_with_PRISMA_reasons!B2:B2113""))&lt;2),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$A809=IMPORTRANGE(""https://docs.google.com/spreadsheets/d/1qpEmbGH0JjaJbUdp21-y2cPbobDbMjr09BbtdKRO"&amp;"ZWc/edit#gid=1444865654"",""articles_with_PRISMA_reasons!B2:B2113""))&lt;2,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$A809=IMPOR"&amp;"TRANGE(""https://docs.google.com/spreadsheets/d/1qpEmbGH0JjaJbUdp21-y2cPbobDbMjr09BbtdKROZWc/edit#gid=1444865654"",""articles_with_PRISMA_reasons!B2:B2113""))&gt;=2),
""Exclude""
)"),"Exclude")</f>
        <v>Exclude</v>
      </c>
      <c r="F809" s="5" t="str">
        <f>IFERROR(__xludf.DUMMYFUNCTION("IFS(
E809=""Exclude"",""Exclude"",
AND(
COUNTIF(
IMPORTRANGE(""https://docs.google.com/spreadsheets/d/1kGrh75X1cNR1D7_FcY9zMnHP8iPO4M5RCRjy6nZY0TY/edit#gid=0"",""Table 1: Study characteristics!B4:B171""),A809)&gt;0,
COUNTIF(Studies!$A$2:$A$85,FILTER(IMPORTRA"&amp;"NGE(""https://docs.google.com/spreadsheets/d/1kGrh75X1cNR1D7_FcY9zMnHP8iPO4M5RCRjy6nZY0TY/edit#gid=0"",""Table 1: Study characteristics!A4:A171""), $A809=IMPORTRANGE(""https://docs.google.com/spreadsheets/d/1kGrh75X1cNR1D7_FcY9zMnHP8iPO4M5RCRjy6nZY0TY/edi"&amp;"t#gid=0"",""Table 1: Study characteristics!B4:B171"")))&gt;0
),
""Include""
)"),"Exclude")</f>
        <v>Exclude</v>
      </c>
      <c r="G809" s="5" t="str">
        <f>IFERROR(__xludf.DUMMYFUNCTION("IFS(
D809=""Exclude"",
FILTER(IMPORTRANGE(""https://docs.google.com/spreadsheets/d/1BJSV3WBYJGRhQ6zExamkszQ5VutGIcaQqmbD9ZTVXMQ/edit#gid=1251630045"",""articles_with_PRISMA_reasons!AB2:AB2113""), $A809=IMPORTRANGE(""https://docs.google.com/spreadsheets/d/"&amp;"1BJSV3WBYJGRhQ6zExamkszQ5VutGIcaQqmbD9ZTVXMQ/edit#gid=1251630045"",""articles_with_PRISMA_reasons!B2:B2113"")),
E809=""Exclude"",
FILTER(IMPORTRANGE(""https://docs.google.com/spreadsheets/d/1qpEmbGH0JjaJbUdp21-y2cPbobDbMjr09BbtdKROZWc/edit#gid=1444865654"&amp;""",""articles_with_PRISMA_reasons!Z2:Z2113""), $A809=IMPORTRANGE(""https://docs.google.com/spreadsheets/d/1qpEmbGH0JjaJbUdp21-y2cPbobDbMjr09BbtdKROZWc/edit#gid=1444865654"",""articles_with_PRISMA_reasons!B2:B2113"")),F809
=""Include"",FILTER(IMPORTRANGE("&amp;"""https://docs.google.com/spreadsheets/d/1kGrh75X1cNR1D7_FcY9zMnHP8iPO4M5RCRjy6nZY0TY/edit#gid=0"",""Table 1: Study characteristics!A4:A171""), $A809=IMPORTRANGE(""https://docs.google.com/spreadsheets/d/1kGrh75X1cNR1D7_FcY9zMnHP8iPO4M5RCRjy6nZY0TY/edit#gi"&amp;"d=0"",""Table 1: Study characteristics!B4:B171""))
)"),"wrong study design")</f>
        <v>wrong study design</v>
      </c>
    </row>
    <row r="810">
      <c r="A810" s="4" t="str">
        <f>IFERROR(__xludf.DUMMYFUNCTION("""COMPUTED_VALUE"""),"Fetal myelomeningocele. Is antenatal ultrasound useful in predicting neonatal outcome?")</f>
        <v>Fetal myelomeningocele. Is antenatal ultrasound useful in predicting neonatal outcome?</v>
      </c>
      <c r="B810" s="5" t="str">
        <f>IFERROR(__xludf.DUMMYFUNCTION("LEFT(FILTER(IMPORTRANGE(""https://docs.google.com/spreadsheets/d/1BJSV3WBYJGRhQ6zExamkszQ5VutGIcaQqmbD9ZTVXMQ/edit#gid=1251630045"",""articles_with_PRISMA_reasons!K2:K2113""), $A810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$A810=IMPORTRANGE(""https://docs.google.com/spreadsheets/d/1BJSV3WBYJGRhQ6zExamkszQ5VutGIcaQqmbD9ZTVXMQ/edit#gid=1251630045"",""articles_with_PRISMA_reasons!B2:B2113"")))-1)"),"Brumfield")</f>
        <v>Brumfield</v>
      </c>
      <c r="C810" s="6">
        <f>IFERROR(__xludf.DUMMYFUNCTION("FILTER(IMPORTRANGE(""https://docs.google.com/spreadsheets/d/1BJSV3WBYJGRhQ6zExamkszQ5VutGIcaQqmbD9ZTVXMQ/edit#gid=1251630045"",""articles_with_PRISMA_reasons!C2:C2113""), $A810=IMPORTRANGE(""https://docs.google.com/spreadsheets/d/1BJSV3WBYJGRhQ6zExamkszQ5"&amp;"VutGIcaQqmbD9ZTVXMQ/edit#gid=1251630045"",""articles_with_PRISMA_reasons!B2:B2113""))"),1995.0)</f>
        <v>1995</v>
      </c>
      <c r="D810" s="5" t="str">
        <f>IFERROR(__xludf.DUMMYFUNCTION("IFS(AND(
FILTER(IMPORTRANGE(""https://docs.google.com/spreadsheets/d/1BJSV3WBYJGRhQ6zExamkszQ5VutGIcaQqmbD9ZTVXMQ/edit#gid=1251630045"",""articles_with_PRISMA_reasons!Y2:Y2113""), $A810=IMPORTRANGE(""https://docs.google.com/spreadsheets/d/1BJSV3WBYJGRhQ6z"&amp;"ExamkszQ5VutGIcaQqmbD9ZTVXMQ/edit#gid=1251630045"",""articles_with_PRISMA_reasons!B2:B2113""))&gt;=2,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$A810=IMPORTRANGE(""https://docs.google.com/spreadsheets/d/1BJSV3WBYJGRhQ6zExamkszQ5VutGIcaQqmbD9ZTVXMQ/edit#gid=1251630045"",""articles_with_PRISMA_reasons!B2:B2113""))&lt;2),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$A810=IMPORTRANGE(""https://docs.google.com/spreadsheets/d/1BJSV3WBYJGRhQ6zExamkszQ5VutGIcaQqmbD9ZTVXMQ/edit#gid=1251630045"",""arti"&amp;"cles_with_PRISMA_reasons!B2:B2113""))&lt;2,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$A810=IMPORTRANGE(""https://docs.google.com"&amp;"/spreadsheets/d/1BJSV3WBYJGRhQ6zExamkszQ5VutGIcaQqmbD9ZTVXMQ/edit#gid=1251630045"",""articles_with_PRISMA_reasons!B2:B2113""))&gt;=2),
""Exclude""
)"),"Exclude")</f>
        <v>Exclude</v>
      </c>
      <c r="E810" s="5" t="str">
        <f>IFERROR(__xludf.DUMMYFUNCTION("IFS(
D810=""Exclude"",""Exclude"",
AND(
FILTER(IMPORTRANGE(""https://docs.google.com/spreadsheets/d/1qpEmbGH0JjaJbUdp21-y2cPbobDbMjr09BbtdKROZWc/edit#gid=1444865654"",""articles_with_PRISMA_reasons!W2:W2113""), $A810=IMPORTRANGE(""https://docs.google.com/"&amp;"spreadsheets/d/1qpEmbGH0JjaJbUdp21-y2cPbobDbMjr09BbtdKROZWc/edit#gid=1444865654"",""articles_with_PRISMA_reasons!B2:B2113""))&gt;=2,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$A810=IMPORTRANGE(""https://docs.google.com/spreadsheets/d/1qpEmbGH0JjaJbUdp21-y2cPbobDbMjr09BbtdKROZWc/edit#gid=1444865654"",""articles_with_PRISMA_reasons!B2:B2113""))&lt;2),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$A810=IMPORTRANGE(""https://docs.google.com/spreadsheets/d/1qpEmbGH0JjaJbUdp21-y2cPbobDbMjr09BbtdKRO"&amp;"ZWc/edit#gid=1444865654"",""articles_with_PRISMA_reasons!B2:B2113""))&lt;2,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$A810=IMPOR"&amp;"TRANGE(""https://docs.google.com/spreadsheets/d/1qpEmbGH0JjaJbUdp21-y2cPbobDbMjr09BbtdKROZWc/edit#gid=1444865654"",""articles_with_PRISMA_reasons!B2:B2113""))&gt;=2),
""Exclude""
)"),"Exclude")</f>
        <v>Exclude</v>
      </c>
      <c r="F810" s="5" t="str">
        <f>IFERROR(__xludf.DUMMYFUNCTION("IFS(
E810=""Exclude"",""Exclude"",
AND(
COUNTIF(
IMPORTRANGE(""https://docs.google.com/spreadsheets/d/1kGrh75X1cNR1D7_FcY9zMnHP8iPO4M5RCRjy6nZY0TY/edit#gid=0"",""Table 1: Study characteristics!B4:B171""),A810)&gt;0,
COUNTIF(Studies!$A$2:$A$85,FILTER(IMPORTRA"&amp;"NGE(""https://docs.google.com/spreadsheets/d/1kGrh75X1cNR1D7_FcY9zMnHP8iPO4M5RCRjy6nZY0TY/edit#gid=0"",""Table 1: Study characteristics!A4:A171""), $A810=IMPORTRANGE(""https://docs.google.com/spreadsheets/d/1kGrh75X1cNR1D7_FcY9zMnHP8iPO4M5RCRjy6nZY0TY/edi"&amp;"t#gid=0"",""Table 1: Study characteristics!B4:B171"")))&gt;0
),
""Include""
)"),"Exclude")</f>
        <v>Exclude</v>
      </c>
      <c r="G810" s="5" t="str">
        <f>IFERROR(__xludf.DUMMYFUNCTION("IFS(
D810=""Exclude"",
FILTER(IMPORTRANGE(""https://docs.google.com/spreadsheets/d/1BJSV3WBYJGRhQ6zExamkszQ5VutGIcaQqmbD9ZTVXMQ/edit#gid=1251630045"",""articles_with_PRISMA_reasons!AB2:AB2113""), $A810=IMPORTRANGE(""https://docs.google.com/spreadsheets/d/"&amp;"1BJSV3WBYJGRhQ6zExamkszQ5VutGIcaQqmbD9ZTVXMQ/edit#gid=1251630045"",""articles_with_PRISMA_reasons!B2:B2113"")),
E810=""Exclude"",
FILTER(IMPORTRANGE(""https://docs.google.com/spreadsheets/d/1qpEmbGH0JjaJbUdp21-y2cPbobDbMjr09BbtdKROZWc/edit#gid=1444865654"&amp;""",""articles_with_PRISMA_reasons!Z2:Z2113""), $A810=IMPORTRANGE(""https://docs.google.com/spreadsheets/d/1qpEmbGH0JjaJbUdp21-y2cPbobDbMjr09BbtdKROZWc/edit#gid=1444865654"",""articles_with_PRISMA_reasons!B2:B2113"")),F810
=""Include"",FILTER(IMPORTRANGE("&amp;"""https://docs.google.com/spreadsheets/d/1kGrh75X1cNR1D7_FcY9zMnHP8iPO4M5RCRjy6nZY0TY/edit#gid=0"",""Table 1: Study characteristics!A4:A171""), $A810=IMPORTRANGE(""https://docs.google.com/spreadsheets/d/1kGrh75X1cNR1D7_FcY9zMnHP8iPO4M5RCRjy6nZY0TY/edit#gi"&amp;"d=0"",""Table 1: Study characteristics!B4:B171""))
)"),"wrong population")</f>
        <v>wrong population</v>
      </c>
    </row>
    <row r="811">
      <c r="A811" s="4" t="str">
        <f>IFERROR(__xludf.DUMMYFUNCTION("""COMPUTED_VALUE"""),"Fetal Neuroimaging")</f>
        <v>Fetal Neuroimaging</v>
      </c>
      <c r="B811" s="5" t="str">
        <f>IFERROR(__xludf.DUMMYFUNCTION("LEFT(FILTER(IMPORTRANGE(""https://docs.google.com/spreadsheets/d/1BJSV3WBYJGRhQ6zExamkszQ5VutGIcaQqmbD9ZTVXMQ/edit#gid=1251630045"",""articles_with_PRISMA_reasons!K2:K2113""), $A811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$A811=IMPORTRANGE(""https://docs.google.com/spreadsheets/d/1BJSV3WBYJGRhQ6zExamkszQ5VutGIcaQqmbD9ZTVXMQ/edit#gid=1251630045"",""articles_with_PRISMA_reasons!B2:B2113"")))-1)"),"Shekdar")</f>
        <v>Shekdar</v>
      </c>
      <c r="C811" s="6">
        <f>IFERROR(__xludf.DUMMYFUNCTION("FILTER(IMPORTRANGE(""https://docs.google.com/spreadsheets/d/1BJSV3WBYJGRhQ6zExamkszQ5VutGIcaQqmbD9ZTVXMQ/edit#gid=1251630045"",""articles_with_PRISMA_reasons!C2:C2113""), $A811=IMPORTRANGE(""https://docs.google.com/spreadsheets/d/1BJSV3WBYJGRhQ6zExamkszQ5"&amp;"VutGIcaQqmbD9ZTVXMQ/edit#gid=1251630045"",""articles_with_PRISMA_reasons!B2:B2113""))"),2011.0)</f>
        <v>2011</v>
      </c>
      <c r="D811" s="5" t="str">
        <f>IFERROR(__xludf.DUMMYFUNCTION("IFS(AND(
FILTER(IMPORTRANGE(""https://docs.google.com/spreadsheets/d/1BJSV3WBYJGRhQ6zExamkszQ5VutGIcaQqmbD9ZTVXMQ/edit#gid=1251630045"",""articles_with_PRISMA_reasons!Y2:Y2113""), $A811=IMPORTRANGE(""https://docs.google.com/spreadsheets/d/1BJSV3WBYJGRhQ6z"&amp;"ExamkszQ5VutGIcaQqmbD9ZTVXMQ/edit#gid=1251630045"",""articles_with_PRISMA_reasons!B2:B2113""))&gt;=2,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$A811=IMPORTRANGE(""https://docs.google.com/spreadsheets/d/1BJSV3WBYJGRhQ6zExamkszQ5VutGIcaQqmbD9ZTVXMQ/edit#gid=1251630045"",""articles_with_PRISMA_reasons!B2:B2113""))&lt;2),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$A811=IMPORTRANGE(""https://docs.google.com/spreadsheets/d/1BJSV3WBYJGRhQ6zExamkszQ5VutGIcaQqmbD9ZTVXMQ/edit#gid=1251630045"",""arti"&amp;"cles_with_PRISMA_reasons!B2:B2113""))&lt;2,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$A811=IMPORTRANGE(""https://docs.google.com"&amp;"/spreadsheets/d/1BJSV3WBYJGRhQ6zExamkszQ5VutGIcaQqmbD9ZTVXMQ/edit#gid=1251630045"",""articles_with_PRISMA_reasons!B2:B2113""))&gt;=2),
""Exclude""
)"),"Exclude")</f>
        <v>Exclude</v>
      </c>
      <c r="E811" s="5" t="str">
        <f>IFERROR(__xludf.DUMMYFUNCTION("IFS(
D811=""Exclude"",""Exclude"",
AND(
FILTER(IMPORTRANGE(""https://docs.google.com/spreadsheets/d/1qpEmbGH0JjaJbUdp21-y2cPbobDbMjr09BbtdKROZWc/edit#gid=1444865654"",""articles_with_PRISMA_reasons!W2:W2113""), $A811=IMPORTRANGE(""https://docs.google.com/"&amp;"spreadsheets/d/1qpEmbGH0JjaJbUdp21-y2cPbobDbMjr09BbtdKROZWc/edit#gid=1444865654"",""articles_with_PRISMA_reasons!B2:B2113""))&gt;=2,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$A811=IMPORTRANGE(""https://docs.google.com/spreadsheets/d/1qpEmbGH0JjaJbUdp21-y2cPbobDbMjr09BbtdKROZWc/edit#gid=1444865654"",""articles_with_PRISMA_reasons!B2:B2113""))&lt;2),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$A811=IMPORTRANGE(""https://docs.google.com/spreadsheets/d/1qpEmbGH0JjaJbUdp21-y2cPbobDbMjr09BbtdKRO"&amp;"ZWc/edit#gid=1444865654"",""articles_with_PRISMA_reasons!B2:B2113""))&lt;2,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$A811=IMPOR"&amp;"TRANGE(""https://docs.google.com/spreadsheets/d/1qpEmbGH0JjaJbUdp21-y2cPbobDbMjr09BbtdKROZWc/edit#gid=1444865654"",""articles_with_PRISMA_reasons!B2:B2113""))&gt;=2),
""Exclude""
)"),"Exclude")</f>
        <v>Exclude</v>
      </c>
      <c r="F811" s="5" t="str">
        <f>IFERROR(__xludf.DUMMYFUNCTION("IFS(
E811=""Exclude"",""Exclude"",
AND(
COUNTIF(
IMPORTRANGE(""https://docs.google.com/spreadsheets/d/1kGrh75X1cNR1D7_FcY9zMnHP8iPO4M5RCRjy6nZY0TY/edit#gid=0"",""Table 1: Study characteristics!B4:B171""),A811)&gt;0,
COUNTIF(Studies!$A$2:$A$85,FILTER(IMPORTRA"&amp;"NGE(""https://docs.google.com/spreadsheets/d/1kGrh75X1cNR1D7_FcY9zMnHP8iPO4M5RCRjy6nZY0TY/edit#gid=0"",""Table 1: Study characteristics!A4:A171""), $A811=IMPORTRANGE(""https://docs.google.com/spreadsheets/d/1kGrh75X1cNR1D7_FcY9zMnHP8iPO4M5RCRjy6nZY0TY/edi"&amp;"t#gid=0"",""Table 1: Study characteristics!B4:B171"")))&gt;0
),
""Include""
)"),"Exclude")</f>
        <v>Exclude</v>
      </c>
      <c r="G811" s="5" t="str">
        <f>IFERROR(__xludf.DUMMYFUNCTION("IFS(
D811=""Exclude"",
FILTER(IMPORTRANGE(""https://docs.google.com/spreadsheets/d/1BJSV3WBYJGRhQ6zExamkszQ5VutGIcaQqmbD9ZTVXMQ/edit#gid=1251630045"",""articles_with_PRISMA_reasons!AB2:AB2113""), $A811=IMPORTRANGE(""https://docs.google.com/spreadsheets/d/"&amp;"1BJSV3WBYJGRhQ6zExamkszQ5VutGIcaQqmbD9ZTVXMQ/edit#gid=1251630045"",""articles_with_PRISMA_reasons!B2:B2113"")),
E811=""Exclude"",
FILTER(IMPORTRANGE(""https://docs.google.com/spreadsheets/d/1qpEmbGH0JjaJbUdp21-y2cPbobDbMjr09BbtdKROZWc/edit#gid=1444865654"&amp;""",""articles_with_PRISMA_reasons!Z2:Z2113""), $A811=IMPORTRANGE(""https://docs.google.com/spreadsheets/d/1qpEmbGH0JjaJbUdp21-y2cPbobDbMjr09BbtdKROZWc/edit#gid=1444865654"",""articles_with_PRISMA_reasons!B2:B2113"")),F811
=""Include"",FILTER(IMPORTRANGE("&amp;"""https://docs.google.com/spreadsheets/d/1kGrh75X1cNR1D7_FcY9zMnHP8iPO4M5RCRjy6nZY0TY/edit#gid=0"",""Table 1: Study characteristics!A4:A171""), $A811=IMPORTRANGE(""https://docs.google.com/spreadsheets/d/1kGrh75X1cNR1D7_FcY9zMnHP8iPO4M5RCRjy6nZY0TY/edit#gi"&amp;"d=0"",""Table 1: Study characteristics!B4:B171""))
)"),"wrong study design")</f>
        <v>wrong study design</v>
      </c>
    </row>
    <row r="812">
      <c r="A812" s="4" t="str">
        <f>IFERROR(__xludf.DUMMYFUNCTION("""COMPUTED_VALUE"""),"Fetal neuroimaging by transvaginal 3D ultrasound and MRI")</f>
        <v>Fetal neuroimaging by transvaginal 3D ultrasound and MRI</v>
      </c>
      <c r="B812" s="5" t="str">
        <f>IFERROR(__xludf.DUMMYFUNCTION("LEFT(FILTER(IMPORTRANGE(""https://docs.google.com/spreadsheets/d/1BJSV3WBYJGRhQ6zExamkszQ5VutGIcaQqmbD9ZTVXMQ/edit#gid=1251630045"",""articles_with_PRISMA_reasons!K2:K2113""), $A812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$A812=IMPORTRANGE(""https://docs.google.com/spreadsheets/d/1BJSV3WBYJGRhQ6zExamkszQ5VutGIcaQqmbD9ZTVXMQ/edit#gid=1251630045"",""articles_with_PRISMA_reasons!B2:B2113"")))-1)"),"Pooh")</f>
        <v>Pooh</v>
      </c>
      <c r="C812" s="6">
        <f>IFERROR(__xludf.DUMMYFUNCTION("FILTER(IMPORTRANGE(""https://docs.google.com/spreadsheets/d/1BJSV3WBYJGRhQ6zExamkszQ5VutGIcaQqmbD9ZTVXMQ/edit#gid=1251630045"",""articles_with_PRISMA_reasons!C2:C2113""), $A812=IMPORTRANGE(""https://docs.google.com/spreadsheets/d/1BJSV3WBYJGRhQ6zExamkszQ5"&amp;"VutGIcaQqmbD9ZTVXMQ/edit#gid=1251630045"",""articles_with_PRISMA_reasons!B2:B2113""))"),2011.0)</f>
        <v>2011</v>
      </c>
      <c r="D812" s="5" t="str">
        <f>IFERROR(__xludf.DUMMYFUNCTION("IFS(AND(
FILTER(IMPORTRANGE(""https://docs.google.com/spreadsheets/d/1BJSV3WBYJGRhQ6zExamkszQ5VutGIcaQqmbD9ZTVXMQ/edit#gid=1251630045"",""articles_with_PRISMA_reasons!Y2:Y2113""), $A812=IMPORTRANGE(""https://docs.google.com/spreadsheets/d/1BJSV3WBYJGRhQ6z"&amp;"ExamkszQ5VutGIcaQqmbD9ZTVXMQ/edit#gid=1251630045"",""articles_with_PRISMA_reasons!B2:B2113""))&gt;=2,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$A812=IMPORTRANGE(""https://docs.google.com/spreadsheets/d/1BJSV3WBYJGRhQ6zExamkszQ5VutGIcaQqmbD9ZTVXMQ/edit#gid=1251630045"",""articles_with_PRISMA_reasons!B2:B2113""))&lt;2),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$A812=IMPORTRANGE(""https://docs.google.com/spreadsheets/d/1BJSV3WBYJGRhQ6zExamkszQ5VutGIcaQqmbD9ZTVXMQ/edit#gid=1251630045"",""arti"&amp;"cles_with_PRISMA_reasons!B2:B2113""))&lt;2,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$A812=IMPORTRANGE(""https://docs.google.com"&amp;"/spreadsheets/d/1BJSV3WBYJGRhQ6zExamkszQ5VutGIcaQqmbD9ZTVXMQ/edit#gid=1251630045"",""articles_with_PRISMA_reasons!B2:B2113""))&gt;=2),
""Exclude""
)"),"Exclude")</f>
        <v>Exclude</v>
      </c>
      <c r="E812" s="5" t="str">
        <f>IFERROR(__xludf.DUMMYFUNCTION("IFS(
D812=""Exclude"",""Exclude"",
AND(
FILTER(IMPORTRANGE(""https://docs.google.com/spreadsheets/d/1qpEmbGH0JjaJbUdp21-y2cPbobDbMjr09BbtdKROZWc/edit#gid=1444865654"",""articles_with_PRISMA_reasons!W2:W2113""), $A812=IMPORTRANGE(""https://docs.google.com/"&amp;"spreadsheets/d/1qpEmbGH0JjaJbUdp21-y2cPbobDbMjr09BbtdKROZWc/edit#gid=1444865654"",""articles_with_PRISMA_reasons!B2:B2113""))&gt;=2,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$A812=IMPORTRANGE(""https://docs.google.com/spreadsheets/d/1qpEmbGH0JjaJbUdp21-y2cPbobDbMjr09BbtdKROZWc/edit#gid=1444865654"",""articles_with_PRISMA_reasons!B2:B2113""))&lt;2),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$A812=IMPORTRANGE(""https://docs.google.com/spreadsheets/d/1qpEmbGH0JjaJbUdp21-y2cPbobDbMjr09BbtdKRO"&amp;"ZWc/edit#gid=1444865654"",""articles_with_PRISMA_reasons!B2:B2113""))&lt;2,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$A812=IMPOR"&amp;"TRANGE(""https://docs.google.com/spreadsheets/d/1qpEmbGH0JjaJbUdp21-y2cPbobDbMjr09BbtdKROZWc/edit#gid=1444865654"",""articles_with_PRISMA_reasons!B2:B2113""))&gt;=2),
""Exclude""
)"),"Exclude")</f>
        <v>Exclude</v>
      </c>
      <c r="F812" s="5" t="str">
        <f>IFERROR(__xludf.DUMMYFUNCTION("IFS(
E812=""Exclude"",""Exclude"",
AND(
COUNTIF(
IMPORTRANGE(""https://docs.google.com/spreadsheets/d/1kGrh75X1cNR1D7_FcY9zMnHP8iPO4M5RCRjy6nZY0TY/edit#gid=0"",""Table 1: Study characteristics!B4:B171""),A812)&gt;0,
COUNTIF(Studies!$A$2:$A$85,FILTER(IMPORTRA"&amp;"NGE(""https://docs.google.com/spreadsheets/d/1kGrh75X1cNR1D7_FcY9zMnHP8iPO4M5RCRjy6nZY0TY/edit#gid=0"",""Table 1: Study characteristics!A4:A171""), $A812=IMPORTRANGE(""https://docs.google.com/spreadsheets/d/1kGrh75X1cNR1D7_FcY9zMnHP8iPO4M5RCRjy6nZY0TY/edi"&amp;"t#gid=0"",""Table 1: Study characteristics!B4:B171"")))&gt;0
),
""Include""
)"),"Exclude")</f>
        <v>Exclude</v>
      </c>
      <c r="G812" s="5" t="str">
        <f>IFERROR(__xludf.DUMMYFUNCTION("IFS(
D812=""Exclude"",
FILTER(IMPORTRANGE(""https://docs.google.com/spreadsheets/d/1BJSV3WBYJGRhQ6zExamkszQ5VutGIcaQqmbD9ZTVXMQ/edit#gid=1251630045"",""articles_with_PRISMA_reasons!AB2:AB2113""), $A812=IMPORTRANGE(""https://docs.google.com/spreadsheets/d/"&amp;"1BJSV3WBYJGRhQ6zExamkszQ5VutGIcaQqmbD9ZTVXMQ/edit#gid=1251630045"",""articles_with_PRISMA_reasons!B2:B2113"")),
E812=""Exclude"",
FILTER(IMPORTRANGE(""https://docs.google.com/spreadsheets/d/1qpEmbGH0JjaJbUdp21-y2cPbobDbMjr09BbtdKROZWc/edit#gid=1444865654"&amp;""",""articles_with_PRISMA_reasons!Z2:Z2113""), $A812=IMPORTRANGE(""https://docs.google.com/spreadsheets/d/1qpEmbGH0JjaJbUdp21-y2cPbobDbMjr09BbtdKROZWc/edit#gid=1444865654"",""articles_with_PRISMA_reasons!B2:B2113"")),F812
=""Include"",FILTER(IMPORTRANGE("&amp;"""https://docs.google.com/spreadsheets/d/1kGrh75X1cNR1D7_FcY9zMnHP8iPO4M5RCRjy6nZY0TY/edit#gid=0"",""Table 1: Study characteristics!A4:A171""), $A812=IMPORTRANGE(""https://docs.google.com/spreadsheets/d/1kGrh75X1cNR1D7_FcY9zMnHP8iPO4M5RCRjy6nZY0TY/edit#gi"&amp;"d=0"",""Table 1: Study characteristics!B4:B171""))
)"),"wrong study design")</f>
        <v>wrong study design</v>
      </c>
    </row>
    <row r="813">
      <c r="A813" s="4" t="str">
        <f>IFERROR(__xludf.DUMMYFUNCTION("""COMPUTED_VALUE"""),"Fetal neuroimaging: US and MRI")</f>
        <v>Fetal neuroimaging: US and MRI</v>
      </c>
      <c r="B813" s="5" t="str">
        <f>IFERROR(__xludf.DUMMYFUNCTION("LEFT(FILTER(IMPORTRANGE(""https://docs.google.com/spreadsheets/d/1BJSV3WBYJGRhQ6zExamkszQ5VutGIcaQqmbD9ZTVXMQ/edit#gid=1251630045"",""articles_with_PRISMA_reasons!K2:K2113""), $A813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$A813=IMPORTRANGE(""https://docs.google.com/spreadsheets/d/1BJSV3WBYJGRhQ6zExamkszQ5VutGIcaQqmbD9ZTVXMQ/edit#gid=1251630045"",""articles_with_PRISMA_reasons!B2:B2113"")))-1)"),"Vazquez")</f>
        <v>Vazquez</v>
      </c>
      <c r="C813" s="6">
        <f>IFERROR(__xludf.DUMMYFUNCTION("FILTER(IMPORTRANGE(""https://docs.google.com/spreadsheets/d/1BJSV3WBYJGRhQ6zExamkszQ5VutGIcaQqmbD9ZTVXMQ/edit#gid=1251630045"",""articles_with_PRISMA_reasons!C2:C2113""), $A813=IMPORTRANGE(""https://docs.google.com/spreadsheets/d/1BJSV3WBYJGRhQ6zExamkszQ5"&amp;"VutGIcaQqmbD9ZTVXMQ/edit#gid=1251630045"",""articles_with_PRISMA_reasons!B2:B2113""))"),2009.0)</f>
        <v>2009</v>
      </c>
      <c r="D813" s="5" t="str">
        <f>IFERROR(__xludf.DUMMYFUNCTION("IFS(AND(
FILTER(IMPORTRANGE(""https://docs.google.com/spreadsheets/d/1BJSV3WBYJGRhQ6zExamkszQ5VutGIcaQqmbD9ZTVXMQ/edit#gid=1251630045"",""articles_with_PRISMA_reasons!Y2:Y2113""), $A813=IMPORTRANGE(""https://docs.google.com/spreadsheets/d/1BJSV3WBYJGRhQ6z"&amp;"ExamkszQ5VutGIcaQqmbD9ZTVXMQ/edit#gid=1251630045"",""articles_with_PRISMA_reasons!B2:B2113""))&gt;=2,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$A813=IMPORTRANGE(""https://docs.google.com/spreadsheets/d/1BJSV3WBYJGRhQ6zExamkszQ5VutGIcaQqmbD9ZTVXMQ/edit#gid=1251630045"",""articles_with_PRISMA_reasons!B2:B2113""))&lt;2),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$A813=IMPORTRANGE(""https://docs.google.com/spreadsheets/d/1BJSV3WBYJGRhQ6zExamkszQ5VutGIcaQqmbD9ZTVXMQ/edit#gid=1251630045"",""arti"&amp;"cles_with_PRISMA_reasons!B2:B2113""))&lt;2,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$A813=IMPORTRANGE(""https://docs.google.com"&amp;"/spreadsheets/d/1BJSV3WBYJGRhQ6zExamkszQ5VutGIcaQqmbD9ZTVXMQ/edit#gid=1251630045"",""articles_with_PRISMA_reasons!B2:B2113""))&gt;=2),
""Exclude""
)"),"Exclude")</f>
        <v>Exclude</v>
      </c>
      <c r="E813" s="5" t="str">
        <f>IFERROR(__xludf.DUMMYFUNCTION("IFS(
D813=""Exclude"",""Exclude"",
AND(
FILTER(IMPORTRANGE(""https://docs.google.com/spreadsheets/d/1qpEmbGH0JjaJbUdp21-y2cPbobDbMjr09BbtdKROZWc/edit#gid=1444865654"",""articles_with_PRISMA_reasons!W2:W2113""), $A813=IMPORTRANGE(""https://docs.google.com/"&amp;"spreadsheets/d/1qpEmbGH0JjaJbUdp21-y2cPbobDbMjr09BbtdKROZWc/edit#gid=1444865654"",""articles_with_PRISMA_reasons!B2:B2113""))&gt;=2,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$A813=IMPORTRANGE(""https://docs.google.com/spreadsheets/d/1qpEmbGH0JjaJbUdp21-y2cPbobDbMjr09BbtdKROZWc/edit#gid=1444865654"",""articles_with_PRISMA_reasons!B2:B2113""))&lt;2),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$A813=IMPORTRANGE(""https://docs.google.com/spreadsheets/d/1qpEmbGH0JjaJbUdp21-y2cPbobDbMjr09BbtdKRO"&amp;"ZWc/edit#gid=1444865654"",""articles_with_PRISMA_reasons!B2:B2113""))&lt;2,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$A813=IMPOR"&amp;"TRANGE(""https://docs.google.com/spreadsheets/d/1qpEmbGH0JjaJbUdp21-y2cPbobDbMjr09BbtdKROZWc/edit#gid=1444865654"",""articles_with_PRISMA_reasons!B2:B2113""))&gt;=2),
""Exclude""
)"),"Exclude")</f>
        <v>Exclude</v>
      </c>
      <c r="F813" s="5" t="str">
        <f>IFERROR(__xludf.DUMMYFUNCTION("IFS(
E813=""Exclude"",""Exclude"",
AND(
COUNTIF(
IMPORTRANGE(""https://docs.google.com/spreadsheets/d/1kGrh75X1cNR1D7_FcY9zMnHP8iPO4M5RCRjy6nZY0TY/edit#gid=0"",""Table 1: Study characteristics!B4:B171""),A813)&gt;0,
COUNTIF(Studies!$A$2:$A$85,FILTER(IMPORTRA"&amp;"NGE(""https://docs.google.com/spreadsheets/d/1kGrh75X1cNR1D7_FcY9zMnHP8iPO4M5RCRjy6nZY0TY/edit#gid=0"",""Table 1: Study characteristics!A4:A171""), $A813=IMPORTRANGE(""https://docs.google.com/spreadsheets/d/1kGrh75X1cNR1D7_FcY9zMnHP8iPO4M5RCRjy6nZY0TY/edi"&amp;"t#gid=0"",""Table 1: Study characteristics!B4:B171"")))&gt;0
),
""Include""
)"),"Exclude")</f>
        <v>Exclude</v>
      </c>
      <c r="G813" s="5" t="str">
        <f>IFERROR(__xludf.DUMMYFUNCTION("IFS(
D813=""Exclude"",
FILTER(IMPORTRANGE(""https://docs.google.com/spreadsheets/d/1BJSV3WBYJGRhQ6zExamkszQ5VutGIcaQqmbD9ZTVXMQ/edit#gid=1251630045"",""articles_with_PRISMA_reasons!AB2:AB2113""), $A813=IMPORTRANGE(""https://docs.google.com/spreadsheets/d/"&amp;"1BJSV3WBYJGRhQ6zExamkszQ5VutGIcaQqmbD9ZTVXMQ/edit#gid=1251630045"",""articles_with_PRISMA_reasons!B2:B2113"")),
E813=""Exclude"",
FILTER(IMPORTRANGE(""https://docs.google.com/spreadsheets/d/1qpEmbGH0JjaJbUdp21-y2cPbobDbMjr09BbtdKROZWc/edit#gid=1444865654"&amp;""",""articles_with_PRISMA_reasons!Z2:Z2113""), $A813=IMPORTRANGE(""https://docs.google.com/spreadsheets/d/1qpEmbGH0JjaJbUdp21-y2cPbobDbMjr09BbtdKROZWc/edit#gid=1444865654"",""articles_with_PRISMA_reasons!B2:B2113"")),F813
=""Include"",FILTER(IMPORTRANGE("&amp;"""https://docs.google.com/spreadsheets/d/1kGrh75X1cNR1D7_FcY9zMnHP8iPO4M5RCRjy6nZY0TY/edit#gid=0"",""Table 1: Study characteristics!A4:A171""), $A813=IMPORTRANGE(""https://docs.google.com/spreadsheets/d/1kGrh75X1cNR1D7_FcY9zMnHP8iPO4M5RCRjy6nZY0TY/edit#gi"&amp;"d=0"",""Table 1: Study characteristics!B4:B171""))
)"),"wrong population")</f>
        <v>wrong population</v>
      </c>
    </row>
    <row r="814">
      <c r="A814" s="4" t="str">
        <f>IFERROR(__xludf.DUMMYFUNCTION("""COMPUTED_VALUE"""),"Fetal neurosurgery")</f>
        <v>Fetal neurosurgery</v>
      </c>
      <c r="B814" s="5" t="str">
        <f>IFERROR(__xludf.DUMMYFUNCTION("LEFT(FILTER(IMPORTRANGE(""https://docs.google.com/spreadsheets/d/1BJSV3WBYJGRhQ6zExamkszQ5VutGIcaQqmbD9ZTVXMQ/edit#gid=1251630045"",""articles_with_PRISMA_reasons!K2:K2113""), $A814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$A814=IMPORTRANGE(""https://docs.google.com/spreadsheets/d/1BJSV3WBYJGRhQ6zExamkszQ5VutGIcaQqmbD9ZTVXMQ/edit#gid=1251630045"",""articles_with_PRISMA_reasons!B2:B2113"")))-1)"),"Sun")</f>
        <v>Sun</v>
      </c>
      <c r="C814" s="6">
        <f>IFERROR(__xludf.DUMMYFUNCTION("FILTER(IMPORTRANGE(""https://docs.google.com/spreadsheets/d/1BJSV3WBYJGRhQ6zExamkszQ5VutGIcaQqmbD9ZTVXMQ/edit#gid=1251630045"",""articles_with_PRISMA_reasons!C2:C2113""), $A814=IMPORTRANGE(""https://docs.google.com/spreadsheets/d/1BJSV3WBYJGRhQ6zExamkszQ5"&amp;"VutGIcaQqmbD9ZTVXMQ/edit#gid=1251630045"",""articles_with_PRISMA_reasons!B2:B2113""))"),2001.0)</f>
        <v>2001</v>
      </c>
      <c r="D814" s="5" t="str">
        <f>IFERROR(__xludf.DUMMYFUNCTION("IFS(AND(
FILTER(IMPORTRANGE(""https://docs.google.com/spreadsheets/d/1BJSV3WBYJGRhQ6zExamkszQ5VutGIcaQqmbD9ZTVXMQ/edit#gid=1251630045"",""articles_with_PRISMA_reasons!Y2:Y2113""), $A814=IMPORTRANGE(""https://docs.google.com/spreadsheets/d/1BJSV3WBYJGRhQ6z"&amp;"ExamkszQ5VutGIcaQqmbD9ZTVXMQ/edit#gid=1251630045"",""articles_with_PRISMA_reasons!B2:B2113""))&gt;=2,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$A814=IMPORTRANGE(""https://docs.google.com/spreadsheets/d/1BJSV3WBYJGRhQ6zExamkszQ5VutGIcaQqmbD9ZTVXMQ/edit#gid=1251630045"",""articles_with_PRISMA_reasons!B2:B2113""))&lt;2),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$A814=IMPORTRANGE(""https://docs.google.com/spreadsheets/d/1BJSV3WBYJGRhQ6zExamkszQ5VutGIcaQqmbD9ZTVXMQ/edit#gid=1251630045"",""arti"&amp;"cles_with_PRISMA_reasons!B2:B2113""))&lt;2,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$A814=IMPORTRANGE(""https://docs.google.com"&amp;"/spreadsheets/d/1BJSV3WBYJGRhQ6zExamkszQ5VutGIcaQqmbD9ZTVXMQ/edit#gid=1251630045"",""articles_with_PRISMA_reasons!B2:B2113""))&gt;=2),
""Exclude""
)"),"Exclude")</f>
        <v>Exclude</v>
      </c>
      <c r="E814" s="5" t="str">
        <f>IFERROR(__xludf.DUMMYFUNCTION("IFS(
D814=""Exclude"",""Exclude"",
AND(
FILTER(IMPORTRANGE(""https://docs.google.com/spreadsheets/d/1qpEmbGH0JjaJbUdp21-y2cPbobDbMjr09BbtdKROZWc/edit#gid=1444865654"",""articles_with_PRISMA_reasons!W2:W2113""), $A814=IMPORTRANGE(""https://docs.google.com/"&amp;"spreadsheets/d/1qpEmbGH0JjaJbUdp21-y2cPbobDbMjr09BbtdKROZWc/edit#gid=1444865654"",""articles_with_PRISMA_reasons!B2:B2113""))&gt;=2,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$A814=IMPORTRANGE(""https://docs.google.com/spreadsheets/d/1qpEmbGH0JjaJbUdp21-y2cPbobDbMjr09BbtdKROZWc/edit#gid=1444865654"",""articles_with_PRISMA_reasons!B2:B2113""))&lt;2),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$A814=IMPORTRANGE(""https://docs.google.com/spreadsheets/d/1qpEmbGH0JjaJbUdp21-y2cPbobDbMjr09BbtdKRO"&amp;"ZWc/edit#gid=1444865654"",""articles_with_PRISMA_reasons!B2:B2113""))&lt;2,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$A814=IMPOR"&amp;"TRANGE(""https://docs.google.com/spreadsheets/d/1qpEmbGH0JjaJbUdp21-y2cPbobDbMjr09BbtdKROZWc/edit#gid=1444865654"",""articles_with_PRISMA_reasons!B2:B2113""))&gt;=2),
""Exclude""
)"),"Exclude")</f>
        <v>Exclude</v>
      </c>
      <c r="F814" s="5" t="str">
        <f>IFERROR(__xludf.DUMMYFUNCTION("IFS(
E814=""Exclude"",""Exclude"",
AND(
COUNTIF(
IMPORTRANGE(""https://docs.google.com/spreadsheets/d/1kGrh75X1cNR1D7_FcY9zMnHP8iPO4M5RCRjy6nZY0TY/edit#gid=0"",""Table 1: Study characteristics!B4:B171""),A814)&gt;0,
COUNTIF(Studies!$A$2:$A$85,FILTER(IMPORTRA"&amp;"NGE(""https://docs.google.com/spreadsheets/d/1kGrh75X1cNR1D7_FcY9zMnHP8iPO4M5RCRjy6nZY0TY/edit#gid=0"",""Table 1: Study characteristics!A4:A171""), $A814=IMPORTRANGE(""https://docs.google.com/spreadsheets/d/1kGrh75X1cNR1D7_FcY9zMnHP8iPO4M5RCRjy6nZY0TY/edi"&amp;"t#gid=0"",""Table 1: Study characteristics!B4:B171"")))&gt;0
),
""Include""
)"),"Exclude")</f>
        <v>Exclude</v>
      </c>
      <c r="G814" s="5" t="str">
        <f>IFERROR(__xludf.DUMMYFUNCTION("IFS(
D814=""Exclude"",
FILTER(IMPORTRANGE(""https://docs.google.com/spreadsheets/d/1BJSV3WBYJGRhQ6zExamkszQ5VutGIcaQqmbD9ZTVXMQ/edit#gid=1251630045"",""articles_with_PRISMA_reasons!AB2:AB2113""), $A814=IMPORTRANGE(""https://docs.google.com/spreadsheets/d/"&amp;"1BJSV3WBYJGRhQ6zExamkszQ5VutGIcaQqmbD9ZTVXMQ/edit#gid=1251630045"",""articles_with_PRISMA_reasons!B2:B2113"")),
E814=""Exclude"",
FILTER(IMPORTRANGE(""https://docs.google.com/spreadsheets/d/1qpEmbGH0JjaJbUdp21-y2cPbobDbMjr09BbtdKROZWc/edit#gid=1444865654"&amp;""",""articles_with_PRISMA_reasons!Z2:Z2113""), $A814=IMPORTRANGE(""https://docs.google.com/spreadsheets/d/1qpEmbGH0JjaJbUdp21-y2cPbobDbMjr09BbtdKROZWc/edit#gid=1444865654"",""articles_with_PRISMA_reasons!B2:B2113"")),F814
=""Include"",FILTER(IMPORTRANGE("&amp;"""https://docs.google.com/spreadsheets/d/1kGrh75X1cNR1D7_FcY9zMnHP8iPO4M5RCRjy6nZY0TY/edit#gid=0"",""Table 1: Study characteristics!A4:A171""), $A814=IMPORTRANGE(""https://docs.google.com/spreadsheets/d/1kGrh75X1cNR1D7_FcY9zMnHP8iPO4M5RCRjy6nZY0TY/edit#gi"&amp;"d=0"",""Table 1: Study characteristics!B4:B171""))
)"),"background article")</f>
        <v>background article</v>
      </c>
    </row>
    <row r="815">
      <c r="A815" s="4" t="str">
        <f>IFERROR(__xludf.DUMMYFUNCTION("""COMPUTED_VALUE"""),"Fetal neurosurgery: Current state of the art")</f>
        <v>Fetal neurosurgery: Current state of the art</v>
      </c>
      <c r="B815" s="5" t="str">
        <f>IFERROR(__xludf.DUMMYFUNCTION("LEFT(FILTER(IMPORTRANGE(""https://docs.google.com/spreadsheets/d/1BJSV3WBYJGRhQ6zExamkszQ5VutGIcaQqmbD9ZTVXMQ/edit#gid=1251630045"",""articles_with_PRISMA_reasons!K2:K2113""), $A815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$A815=IMPORTRANGE(""https://docs.google.com/spreadsheets/d/1BJSV3WBYJGRhQ6zExamkszQ5VutGIcaQqmbD9ZTVXMQ/edit#gid=1251630045"",""articles_with_PRISMA_reasons!B2:B2113"")))-1)"),"Saadai")</f>
        <v>Saadai</v>
      </c>
      <c r="C815" s="6">
        <f>IFERROR(__xludf.DUMMYFUNCTION("FILTER(IMPORTRANGE(""https://docs.google.com/spreadsheets/d/1BJSV3WBYJGRhQ6zExamkszQ5VutGIcaQqmbD9ZTVXMQ/edit#gid=1251630045"",""articles_with_PRISMA_reasons!C2:C2113""), $A815=IMPORTRANGE(""https://docs.google.com/spreadsheets/d/1BJSV3WBYJGRhQ6zExamkszQ5"&amp;"VutGIcaQqmbD9ZTVXMQ/edit#gid=1251630045"",""articles_with_PRISMA_reasons!B2:B2113""))"),2011.0)</f>
        <v>2011</v>
      </c>
      <c r="D815" s="5" t="str">
        <f>IFERROR(__xludf.DUMMYFUNCTION("IFS(AND(
FILTER(IMPORTRANGE(""https://docs.google.com/spreadsheets/d/1BJSV3WBYJGRhQ6zExamkszQ5VutGIcaQqmbD9ZTVXMQ/edit#gid=1251630045"",""articles_with_PRISMA_reasons!Y2:Y2113""), $A815=IMPORTRANGE(""https://docs.google.com/spreadsheets/d/1BJSV3WBYJGRhQ6z"&amp;"ExamkszQ5VutGIcaQqmbD9ZTVXMQ/edit#gid=1251630045"",""articles_with_PRISMA_reasons!B2:B2113""))&gt;=2,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$A815=IMPORTRANGE(""https://docs.google.com/spreadsheets/d/1BJSV3WBYJGRhQ6zExamkszQ5VutGIcaQqmbD9ZTVXMQ/edit#gid=1251630045"",""articles_with_PRISMA_reasons!B2:B2113""))&lt;2),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$A815=IMPORTRANGE(""https://docs.google.com/spreadsheets/d/1BJSV3WBYJGRhQ6zExamkszQ5VutGIcaQqmbD9ZTVXMQ/edit#gid=1251630045"",""arti"&amp;"cles_with_PRISMA_reasons!B2:B2113""))&lt;2,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$A815=IMPORTRANGE(""https://docs.google.com"&amp;"/spreadsheets/d/1BJSV3WBYJGRhQ6zExamkszQ5VutGIcaQqmbD9ZTVXMQ/edit#gid=1251630045"",""articles_with_PRISMA_reasons!B2:B2113""))&gt;=2),
""Exclude""
)"),"Exclude")</f>
        <v>Exclude</v>
      </c>
      <c r="E815" s="5" t="str">
        <f>IFERROR(__xludf.DUMMYFUNCTION("IFS(
D815=""Exclude"",""Exclude"",
AND(
FILTER(IMPORTRANGE(""https://docs.google.com/spreadsheets/d/1qpEmbGH0JjaJbUdp21-y2cPbobDbMjr09BbtdKROZWc/edit#gid=1444865654"",""articles_with_PRISMA_reasons!W2:W2113""), $A815=IMPORTRANGE(""https://docs.google.com/"&amp;"spreadsheets/d/1qpEmbGH0JjaJbUdp21-y2cPbobDbMjr09BbtdKROZWc/edit#gid=1444865654"",""articles_with_PRISMA_reasons!B2:B2113""))&gt;=2,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$A815=IMPORTRANGE(""https://docs.google.com/spreadsheets/d/1qpEmbGH0JjaJbUdp21-y2cPbobDbMjr09BbtdKROZWc/edit#gid=1444865654"",""articles_with_PRISMA_reasons!B2:B2113""))&lt;2),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$A815=IMPORTRANGE(""https://docs.google.com/spreadsheets/d/1qpEmbGH0JjaJbUdp21-y2cPbobDbMjr09BbtdKRO"&amp;"ZWc/edit#gid=1444865654"",""articles_with_PRISMA_reasons!B2:B2113""))&lt;2,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$A815=IMPOR"&amp;"TRANGE(""https://docs.google.com/spreadsheets/d/1qpEmbGH0JjaJbUdp21-y2cPbobDbMjr09BbtdKROZWc/edit#gid=1444865654"",""articles_with_PRISMA_reasons!B2:B2113""))&gt;=2),
""Exclude""
)"),"Exclude")</f>
        <v>Exclude</v>
      </c>
      <c r="F815" s="5" t="str">
        <f>IFERROR(__xludf.DUMMYFUNCTION("IFS(
E815=""Exclude"",""Exclude"",
AND(
COUNTIF(
IMPORTRANGE(""https://docs.google.com/spreadsheets/d/1kGrh75X1cNR1D7_FcY9zMnHP8iPO4M5RCRjy6nZY0TY/edit#gid=0"",""Table 1: Study characteristics!B4:B171""),A815)&gt;0,
COUNTIF(Studies!$A$2:$A$85,FILTER(IMPORTRA"&amp;"NGE(""https://docs.google.com/spreadsheets/d/1kGrh75X1cNR1D7_FcY9zMnHP8iPO4M5RCRjy6nZY0TY/edit#gid=0"",""Table 1: Study characteristics!A4:A171""), $A815=IMPORTRANGE(""https://docs.google.com/spreadsheets/d/1kGrh75X1cNR1D7_FcY9zMnHP8iPO4M5RCRjy6nZY0TY/edi"&amp;"t#gid=0"",""Table 1: Study characteristics!B4:B171"")))&gt;0
),
""Include""
)"),"Exclude")</f>
        <v>Exclude</v>
      </c>
      <c r="G815" s="5" t="str">
        <f>IFERROR(__xludf.DUMMYFUNCTION("IFS(
D815=""Exclude"",
FILTER(IMPORTRANGE(""https://docs.google.com/spreadsheets/d/1BJSV3WBYJGRhQ6zExamkszQ5VutGIcaQqmbD9ZTVXMQ/edit#gid=1251630045"",""articles_with_PRISMA_reasons!AB2:AB2113""), $A815=IMPORTRANGE(""https://docs.google.com/spreadsheets/d/"&amp;"1BJSV3WBYJGRhQ6zExamkszQ5VutGIcaQqmbD9ZTVXMQ/edit#gid=1251630045"",""articles_with_PRISMA_reasons!B2:B2113"")),
E815=""Exclude"",
FILTER(IMPORTRANGE(""https://docs.google.com/spreadsheets/d/1qpEmbGH0JjaJbUdp21-y2cPbobDbMjr09BbtdKROZWc/edit#gid=1444865654"&amp;""",""articles_with_PRISMA_reasons!Z2:Z2113""), $A815=IMPORTRANGE(""https://docs.google.com/spreadsheets/d/1qpEmbGH0JjaJbUdp21-y2cPbobDbMjr09BbtdKROZWc/edit#gid=1444865654"",""articles_with_PRISMA_reasons!B2:B2113"")),F815
=""Include"",FILTER(IMPORTRANGE("&amp;"""https://docs.google.com/spreadsheets/d/1kGrh75X1cNR1D7_FcY9zMnHP8iPO4M5RCRjy6nZY0TY/edit#gid=0"",""Table 1: Study characteristics!A4:A171""), $A815=IMPORTRANGE(""https://docs.google.com/spreadsheets/d/1kGrh75X1cNR1D7_FcY9zMnHP8iPO4M5RCRjy6nZY0TY/edit#gi"&amp;"d=0"",""Table 1: Study characteristics!B4:B171""))
)"),"background article")</f>
        <v>background article</v>
      </c>
    </row>
    <row r="816">
      <c r="A816" s="4" t="str">
        <f>IFERROR(__xludf.DUMMYFUNCTION("""COMPUTED_VALUE"""),"Fetal repair of myelomeningocele: current status and urologic implications")</f>
        <v>Fetal repair of myelomeningocele: current status and urologic implications</v>
      </c>
      <c r="B816" s="5" t="str">
        <f>IFERROR(__xludf.DUMMYFUNCTION("LEFT(FILTER(IMPORTRANGE(""https://docs.google.com/spreadsheets/d/1BJSV3WBYJGRhQ6zExamkszQ5VutGIcaQqmbD9ZTVXMQ/edit#gid=1251630045"",""articles_with_PRISMA_reasons!K2:K2113""), $A816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$A816=IMPORTRANGE(""https://docs.google.com/spreadsheets/d/1BJSV3WBYJGRhQ6zExamkszQ5VutGIcaQqmbD9ZTVXMQ/edit#gid=1251630045"",""articles_with_PRISMA_reasons!B2:B2113"")))-1)"),"Clayton")</f>
        <v>Clayton</v>
      </c>
      <c r="C816" s="6">
        <f>IFERROR(__xludf.DUMMYFUNCTION("FILTER(IMPORTRANGE(""https://docs.google.com/spreadsheets/d/1BJSV3WBYJGRhQ6zExamkszQ5VutGIcaQqmbD9ZTVXMQ/edit#gid=1251630045"",""articles_with_PRISMA_reasons!C2:C2113""), $A816=IMPORTRANGE(""https://docs.google.com/spreadsheets/d/1BJSV3WBYJGRhQ6zExamkszQ5"&amp;"VutGIcaQqmbD9ZTVXMQ/edit#gid=1251630045"",""articles_with_PRISMA_reasons!B2:B2113""))"),2020.0)</f>
        <v>2020</v>
      </c>
      <c r="D816" s="5" t="str">
        <f>IFERROR(__xludf.DUMMYFUNCTION("IFS(AND(
FILTER(IMPORTRANGE(""https://docs.google.com/spreadsheets/d/1BJSV3WBYJGRhQ6zExamkszQ5VutGIcaQqmbD9ZTVXMQ/edit#gid=1251630045"",""articles_with_PRISMA_reasons!Y2:Y2113""), $A816=IMPORTRANGE(""https://docs.google.com/spreadsheets/d/1BJSV3WBYJGRhQ6z"&amp;"ExamkszQ5VutGIcaQqmbD9ZTVXMQ/edit#gid=1251630045"",""articles_with_PRISMA_reasons!B2:B2113""))&gt;=2,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$A816=IMPORTRANGE(""https://docs.google.com/spreadsheets/d/1BJSV3WBYJGRhQ6zExamkszQ5VutGIcaQqmbD9ZTVXMQ/edit#gid=1251630045"",""articles_with_PRISMA_reasons!B2:B2113""))&lt;2),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$A816=IMPORTRANGE(""https://docs.google.com/spreadsheets/d/1BJSV3WBYJGRhQ6zExamkszQ5VutGIcaQqmbD9ZTVXMQ/edit#gid=1251630045"",""arti"&amp;"cles_with_PRISMA_reasons!B2:B2113""))&lt;2,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$A816=IMPORTRANGE(""https://docs.google.com"&amp;"/spreadsheets/d/1BJSV3WBYJGRhQ6zExamkszQ5VutGIcaQqmbD9ZTVXMQ/edit#gid=1251630045"",""articles_with_PRISMA_reasons!B2:B2113""))&gt;=2),
""Exclude""
)"),"Exclude")</f>
        <v>Exclude</v>
      </c>
      <c r="E816" s="5" t="str">
        <f>IFERROR(__xludf.DUMMYFUNCTION("IFS(
D816=""Exclude"",""Exclude"",
AND(
FILTER(IMPORTRANGE(""https://docs.google.com/spreadsheets/d/1qpEmbGH0JjaJbUdp21-y2cPbobDbMjr09BbtdKROZWc/edit#gid=1444865654"",""articles_with_PRISMA_reasons!W2:W2113""), $A816=IMPORTRANGE(""https://docs.google.com/"&amp;"spreadsheets/d/1qpEmbGH0JjaJbUdp21-y2cPbobDbMjr09BbtdKROZWc/edit#gid=1444865654"",""articles_with_PRISMA_reasons!B2:B2113""))&gt;=2,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$A816=IMPORTRANGE(""https://docs.google.com/spreadsheets/d/1qpEmbGH0JjaJbUdp21-y2cPbobDbMjr09BbtdKROZWc/edit#gid=1444865654"",""articles_with_PRISMA_reasons!B2:B2113""))&lt;2),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$A816=IMPORTRANGE(""https://docs.google.com/spreadsheets/d/1qpEmbGH0JjaJbUdp21-y2cPbobDbMjr09BbtdKRO"&amp;"ZWc/edit#gid=1444865654"",""articles_with_PRISMA_reasons!B2:B2113""))&lt;2,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$A816=IMPOR"&amp;"TRANGE(""https://docs.google.com/spreadsheets/d/1qpEmbGH0JjaJbUdp21-y2cPbobDbMjr09BbtdKROZWc/edit#gid=1444865654"",""articles_with_PRISMA_reasons!B2:B2113""))&gt;=2),
""Exclude""
)"),"Exclude")</f>
        <v>Exclude</v>
      </c>
      <c r="F816" s="5" t="str">
        <f>IFERROR(__xludf.DUMMYFUNCTION("IFS(
E816=""Exclude"",""Exclude"",
AND(
COUNTIF(
IMPORTRANGE(""https://docs.google.com/spreadsheets/d/1kGrh75X1cNR1D7_FcY9zMnHP8iPO4M5RCRjy6nZY0TY/edit#gid=0"",""Table 1: Study characteristics!B4:B171""),A816)&gt;0,
COUNTIF(Studies!$A$2:$A$85,FILTER(IMPORTRA"&amp;"NGE(""https://docs.google.com/spreadsheets/d/1kGrh75X1cNR1D7_FcY9zMnHP8iPO4M5RCRjy6nZY0TY/edit#gid=0"",""Table 1: Study characteristics!A4:A171""), $A816=IMPORTRANGE(""https://docs.google.com/spreadsheets/d/1kGrh75X1cNR1D7_FcY9zMnHP8iPO4M5RCRjy6nZY0TY/edi"&amp;"t#gid=0"",""Table 1: Study characteristics!B4:B171"")))&gt;0
),
""Include""
)"),"Exclude")</f>
        <v>Exclude</v>
      </c>
      <c r="G816" s="5" t="str">
        <f>IFERROR(__xludf.DUMMYFUNCTION("IFS(
D816=""Exclude"",
FILTER(IMPORTRANGE(""https://docs.google.com/spreadsheets/d/1BJSV3WBYJGRhQ6zExamkszQ5VutGIcaQqmbD9ZTVXMQ/edit#gid=1251630045"",""articles_with_PRISMA_reasons!AB2:AB2113""), $A816=IMPORTRANGE(""https://docs.google.com/spreadsheets/d/"&amp;"1BJSV3WBYJGRhQ6zExamkszQ5VutGIcaQqmbD9ZTVXMQ/edit#gid=1251630045"",""articles_with_PRISMA_reasons!B2:B2113"")),
E816=""Exclude"",
FILTER(IMPORTRANGE(""https://docs.google.com/spreadsheets/d/1qpEmbGH0JjaJbUdp21-y2cPbobDbMjr09BbtdKROZWc/edit#gid=1444865654"&amp;""",""articles_with_PRISMA_reasons!Z2:Z2113""), $A816=IMPORTRANGE(""https://docs.google.com/spreadsheets/d/1qpEmbGH0JjaJbUdp21-y2cPbobDbMjr09BbtdKROZWc/edit#gid=1444865654"",""articles_with_PRISMA_reasons!B2:B2113"")),F816
=""Include"",FILTER(IMPORTRANGE("&amp;"""https://docs.google.com/spreadsheets/d/1kGrh75X1cNR1D7_FcY9zMnHP8iPO4M5RCRjy6nZY0TY/edit#gid=0"",""Table 1: Study characteristics!A4:A171""), $A816=IMPORTRANGE(""https://docs.google.com/spreadsheets/d/1kGrh75X1cNR1D7_FcY9zMnHP8iPO4M5RCRjy6nZY0TY/edit#gi"&amp;"d=0"",""Table 1: Study characteristics!B4:B171""))
)"),"wrong study design")</f>
        <v>wrong study design</v>
      </c>
    </row>
    <row r="817">
      <c r="A817" s="4" t="str">
        <f>IFERROR(__xludf.DUMMYFUNCTION("""COMPUTED_VALUE"""),"Fetal Repair of Open Neural Tube Defects: Ethical, Legal, and Social Issues")</f>
        <v>Fetal Repair of Open Neural Tube Defects: Ethical, Legal, and Social Issues</v>
      </c>
      <c r="B817" s="5" t="str">
        <f>IFERROR(__xludf.DUMMYFUNCTION("LEFT(FILTER(IMPORTRANGE(""https://docs.google.com/spreadsheets/d/1BJSV3WBYJGRhQ6zExamkszQ5VutGIcaQqmbD9ZTVXMQ/edit#gid=1251630045"",""articles_with_PRISMA_reasons!K2:K2113""), $A817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$A817=IMPORTRANGE(""https://docs.google.com/spreadsheets/d/1BJSV3WBYJGRhQ6zExamkszQ5VutGIcaQqmbD9ZTVXMQ/edit#gid=1251630045"",""articles_with_PRISMA_reasons!B2:B2113"")))-1)"),"Radic")</f>
        <v>Radic</v>
      </c>
      <c r="C817" s="6">
        <f>IFERROR(__xludf.DUMMYFUNCTION("FILTER(IMPORTRANGE(""https://docs.google.com/spreadsheets/d/1BJSV3WBYJGRhQ6zExamkszQ5VutGIcaQqmbD9ZTVXMQ/edit#gid=1251630045"",""articles_with_PRISMA_reasons!C2:C2113""), $A817=IMPORTRANGE(""https://docs.google.com/spreadsheets/d/1BJSV3WBYJGRhQ6zExamkszQ5"&amp;"VutGIcaQqmbD9ZTVXMQ/edit#gid=1251630045"",""articles_with_PRISMA_reasons!B2:B2113""))"),2019.0)</f>
        <v>2019</v>
      </c>
      <c r="D817" s="5" t="str">
        <f>IFERROR(__xludf.DUMMYFUNCTION("IFS(AND(
FILTER(IMPORTRANGE(""https://docs.google.com/spreadsheets/d/1BJSV3WBYJGRhQ6zExamkszQ5VutGIcaQqmbD9ZTVXMQ/edit#gid=1251630045"",""articles_with_PRISMA_reasons!Y2:Y2113""), $A817=IMPORTRANGE(""https://docs.google.com/spreadsheets/d/1BJSV3WBYJGRhQ6z"&amp;"ExamkszQ5VutGIcaQqmbD9ZTVXMQ/edit#gid=1251630045"",""articles_with_PRISMA_reasons!B2:B2113""))&gt;=2,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$A817=IMPORTRANGE(""https://docs.google.com/spreadsheets/d/1BJSV3WBYJGRhQ6zExamkszQ5VutGIcaQqmbD9ZTVXMQ/edit#gid=1251630045"",""articles_with_PRISMA_reasons!B2:B2113""))&lt;2),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$A817=IMPORTRANGE(""https://docs.google.com/spreadsheets/d/1BJSV3WBYJGRhQ6zExamkszQ5VutGIcaQqmbD9ZTVXMQ/edit#gid=1251630045"",""arti"&amp;"cles_with_PRISMA_reasons!B2:B2113""))&lt;2,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$A817=IMPORTRANGE(""https://docs.google.com"&amp;"/spreadsheets/d/1BJSV3WBYJGRhQ6zExamkszQ5VutGIcaQqmbD9ZTVXMQ/edit#gid=1251630045"",""articles_with_PRISMA_reasons!B2:B2113""))&gt;=2),
""Exclude""
)"),"Exclude")</f>
        <v>Exclude</v>
      </c>
      <c r="E817" s="5" t="str">
        <f>IFERROR(__xludf.DUMMYFUNCTION("IFS(
D817=""Exclude"",""Exclude"",
AND(
FILTER(IMPORTRANGE(""https://docs.google.com/spreadsheets/d/1qpEmbGH0JjaJbUdp21-y2cPbobDbMjr09BbtdKROZWc/edit#gid=1444865654"",""articles_with_PRISMA_reasons!W2:W2113""), $A817=IMPORTRANGE(""https://docs.google.com/"&amp;"spreadsheets/d/1qpEmbGH0JjaJbUdp21-y2cPbobDbMjr09BbtdKROZWc/edit#gid=1444865654"",""articles_with_PRISMA_reasons!B2:B2113""))&gt;=2,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$A817=IMPORTRANGE(""https://docs.google.com/spreadsheets/d/1qpEmbGH0JjaJbUdp21-y2cPbobDbMjr09BbtdKROZWc/edit#gid=1444865654"",""articles_with_PRISMA_reasons!B2:B2113""))&lt;2),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$A817=IMPORTRANGE(""https://docs.google.com/spreadsheets/d/1qpEmbGH0JjaJbUdp21-y2cPbobDbMjr09BbtdKRO"&amp;"ZWc/edit#gid=1444865654"",""articles_with_PRISMA_reasons!B2:B2113""))&lt;2,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$A817=IMPOR"&amp;"TRANGE(""https://docs.google.com/spreadsheets/d/1qpEmbGH0JjaJbUdp21-y2cPbobDbMjr09BbtdKROZWc/edit#gid=1444865654"",""articles_with_PRISMA_reasons!B2:B2113""))&gt;=2),
""Exclude""
)"),"Exclude")</f>
        <v>Exclude</v>
      </c>
      <c r="F817" s="5" t="str">
        <f>IFERROR(__xludf.DUMMYFUNCTION("IFS(
E817=""Exclude"",""Exclude"",
AND(
COUNTIF(
IMPORTRANGE(""https://docs.google.com/spreadsheets/d/1kGrh75X1cNR1D7_FcY9zMnHP8iPO4M5RCRjy6nZY0TY/edit#gid=0"",""Table 1: Study characteristics!B4:B171""),A817)&gt;0,
COUNTIF(Studies!$A$2:$A$85,FILTER(IMPORTRA"&amp;"NGE(""https://docs.google.com/spreadsheets/d/1kGrh75X1cNR1D7_FcY9zMnHP8iPO4M5RCRjy6nZY0TY/edit#gid=0"",""Table 1: Study characteristics!A4:A171""), $A817=IMPORTRANGE(""https://docs.google.com/spreadsheets/d/1kGrh75X1cNR1D7_FcY9zMnHP8iPO4M5RCRjy6nZY0TY/edi"&amp;"t#gid=0"",""Table 1: Study characteristics!B4:B171"")))&gt;0
),
""Include""
)"),"Exclude")</f>
        <v>Exclude</v>
      </c>
      <c r="G817" s="5" t="str">
        <f>IFERROR(__xludf.DUMMYFUNCTION("IFS(
D817=""Exclude"",
FILTER(IMPORTRANGE(""https://docs.google.com/spreadsheets/d/1BJSV3WBYJGRhQ6zExamkszQ5VutGIcaQqmbD9ZTVXMQ/edit#gid=1251630045"",""articles_with_PRISMA_reasons!AB2:AB2113""), $A817=IMPORTRANGE(""https://docs.google.com/spreadsheets/d/"&amp;"1BJSV3WBYJGRhQ6zExamkszQ5VutGIcaQqmbD9ZTVXMQ/edit#gid=1251630045"",""articles_with_PRISMA_reasons!B2:B2113"")),
E817=""Exclude"",
FILTER(IMPORTRANGE(""https://docs.google.com/spreadsheets/d/1qpEmbGH0JjaJbUdp21-y2cPbobDbMjr09BbtdKROZWc/edit#gid=1444865654"&amp;""",""articles_with_PRISMA_reasons!Z2:Z2113""), $A817=IMPORTRANGE(""https://docs.google.com/spreadsheets/d/1qpEmbGH0JjaJbUdp21-y2cPbobDbMjr09BbtdKROZWc/edit#gid=1444865654"",""articles_with_PRISMA_reasons!B2:B2113"")),F817
=""Include"",FILTER(IMPORTRANGE("&amp;"""https://docs.google.com/spreadsheets/d/1kGrh75X1cNR1D7_FcY9zMnHP8iPO4M5RCRjy6nZY0TY/edit#gid=0"",""Table 1: Study characteristics!A4:A171""), $A817=IMPORTRANGE(""https://docs.google.com/spreadsheets/d/1kGrh75X1cNR1D7_FcY9zMnHP8iPO4M5RCRjy6nZY0TY/edit#gi"&amp;"d=0"",""Table 1: Study characteristics!B4:B171""))
)"),"wrong population")</f>
        <v>wrong population</v>
      </c>
    </row>
    <row r="818">
      <c r="A818" s="4" t="str">
        <f>IFERROR(__xludf.DUMMYFUNCTION("""COMPUTED_VALUE"""),"Fetal risks related to the treatment of multiple sclerosis during pregnancy and breastfeeding")</f>
        <v>Fetal risks related to the treatment of multiple sclerosis during pregnancy and breastfeeding</v>
      </c>
      <c r="B818" s="5" t="str">
        <f>IFERROR(__xludf.DUMMYFUNCTION("LEFT(FILTER(IMPORTRANGE(""https://docs.google.com/spreadsheets/d/1BJSV3WBYJGRhQ6zExamkszQ5VutGIcaQqmbD9ZTVXMQ/edit#gid=1251630045"",""articles_with_PRISMA_reasons!K2:K2113""), $A818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$A818=IMPORTRANGE(""https://docs.google.com/spreadsheets/d/1BJSV3WBYJGRhQ6zExamkszQ5VutGIcaQqmbD9ZTVXMQ/edit#gid=1251630045"",""articles_with_PRISMA_reasons!B2:B2113"")))-1)"),"Ferrero")</f>
        <v>Ferrero</v>
      </c>
      <c r="C818" s="6">
        <f>IFERROR(__xludf.DUMMYFUNCTION("FILTER(IMPORTRANGE(""https://docs.google.com/spreadsheets/d/1BJSV3WBYJGRhQ6zExamkszQ5VutGIcaQqmbD9ZTVXMQ/edit#gid=1251630045"",""articles_with_PRISMA_reasons!C2:C2113""), $A818=IMPORTRANGE(""https://docs.google.com/spreadsheets/d/1BJSV3WBYJGRhQ6zExamkszQ5"&amp;"VutGIcaQqmbD9ZTVXMQ/edit#gid=1251630045"",""articles_with_PRISMA_reasons!B2:B2113""))"),2006.0)</f>
        <v>2006</v>
      </c>
      <c r="D818" s="5" t="str">
        <f>IFERROR(__xludf.DUMMYFUNCTION("IFS(AND(
FILTER(IMPORTRANGE(""https://docs.google.com/spreadsheets/d/1BJSV3WBYJGRhQ6zExamkszQ5VutGIcaQqmbD9ZTVXMQ/edit#gid=1251630045"",""articles_with_PRISMA_reasons!Y2:Y2113""), $A818=IMPORTRANGE(""https://docs.google.com/spreadsheets/d/1BJSV3WBYJGRhQ6z"&amp;"ExamkszQ5VutGIcaQqmbD9ZTVXMQ/edit#gid=1251630045"",""articles_with_PRISMA_reasons!B2:B2113""))&gt;=2,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$A818=IMPORTRANGE(""https://docs.google.com/spreadsheets/d/1BJSV3WBYJGRhQ6zExamkszQ5VutGIcaQqmbD9ZTVXMQ/edit#gid=1251630045"",""articles_with_PRISMA_reasons!B2:B2113""))&lt;2),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$A818=IMPORTRANGE(""https://docs.google.com/spreadsheets/d/1BJSV3WBYJGRhQ6zExamkszQ5VutGIcaQqmbD9ZTVXMQ/edit#gid=1251630045"",""arti"&amp;"cles_with_PRISMA_reasons!B2:B2113""))&lt;2,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$A818=IMPORTRANGE(""https://docs.google.com"&amp;"/spreadsheets/d/1BJSV3WBYJGRhQ6zExamkszQ5VutGIcaQqmbD9ZTVXMQ/edit#gid=1251630045"",""articles_with_PRISMA_reasons!B2:B2113""))&gt;=2),
""Exclude""
)"),"Exclude")</f>
        <v>Exclude</v>
      </c>
      <c r="E818" s="5" t="str">
        <f>IFERROR(__xludf.DUMMYFUNCTION("IFS(
D818=""Exclude"",""Exclude"",
AND(
FILTER(IMPORTRANGE(""https://docs.google.com/spreadsheets/d/1qpEmbGH0JjaJbUdp21-y2cPbobDbMjr09BbtdKROZWc/edit#gid=1444865654"",""articles_with_PRISMA_reasons!W2:W2113""), $A818=IMPORTRANGE(""https://docs.google.com/"&amp;"spreadsheets/d/1qpEmbGH0JjaJbUdp21-y2cPbobDbMjr09BbtdKROZWc/edit#gid=1444865654"",""articles_with_PRISMA_reasons!B2:B2113""))&gt;=2,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$A818=IMPORTRANGE(""https://docs.google.com/spreadsheets/d/1qpEmbGH0JjaJbUdp21-y2cPbobDbMjr09BbtdKROZWc/edit#gid=1444865654"",""articles_with_PRISMA_reasons!B2:B2113""))&lt;2),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$A818=IMPORTRANGE(""https://docs.google.com/spreadsheets/d/1qpEmbGH0JjaJbUdp21-y2cPbobDbMjr09BbtdKRO"&amp;"ZWc/edit#gid=1444865654"",""articles_with_PRISMA_reasons!B2:B2113""))&lt;2,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$A818=IMPOR"&amp;"TRANGE(""https://docs.google.com/spreadsheets/d/1qpEmbGH0JjaJbUdp21-y2cPbobDbMjr09BbtdKROZWc/edit#gid=1444865654"",""articles_with_PRISMA_reasons!B2:B2113""))&gt;=2),
""Exclude""
)"),"Exclude")</f>
        <v>Exclude</v>
      </c>
      <c r="F818" s="5" t="str">
        <f>IFERROR(__xludf.DUMMYFUNCTION("IFS(
E818=""Exclude"",""Exclude"",
AND(
COUNTIF(
IMPORTRANGE(""https://docs.google.com/spreadsheets/d/1kGrh75X1cNR1D7_FcY9zMnHP8iPO4M5RCRjy6nZY0TY/edit#gid=0"",""Table 1: Study characteristics!B4:B171""),A818)&gt;0,
COUNTIF(Studies!$A$2:$A$85,FILTER(IMPORTRA"&amp;"NGE(""https://docs.google.com/spreadsheets/d/1kGrh75X1cNR1D7_FcY9zMnHP8iPO4M5RCRjy6nZY0TY/edit#gid=0"",""Table 1: Study characteristics!A4:A171""), $A818=IMPORTRANGE(""https://docs.google.com/spreadsheets/d/1kGrh75X1cNR1D7_FcY9zMnHP8iPO4M5RCRjy6nZY0TY/edi"&amp;"t#gid=0"",""Table 1: Study characteristics!B4:B171"")))&gt;0
),
""Include""
)"),"Exclude")</f>
        <v>Exclude</v>
      </c>
      <c r="G818" s="5" t="str">
        <f>IFERROR(__xludf.DUMMYFUNCTION("IFS(
D818=""Exclude"",
FILTER(IMPORTRANGE(""https://docs.google.com/spreadsheets/d/1BJSV3WBYJGRhQ6zExamkszQ5VutGIcaQqmbD9ZTVXMQ/edit#gid=1251630045"",""articles_with_PRISMA_reasons!AB2:AB2113""), $A818=IMPORTRANGE(""https://docs.google.com/spreadsheets/d/"&amp;"1BJSV3WBYJGRhQ6zExamkszQ5VutGIcaQqmbD9ZTVXMQ/edit#gid=1251630045"",""articles_with_PRISMA_reasons!B2:B2113"")),
E818=""Exclude"",
FILTER(IMPORTRANGE(""https://docs.google.com/spreadsheets/d/1qpEmbGH0JjaJbUdp21-y2cPbobDbMjr09BbtdKROZWc/edit#gid=1444865654"&amp;""",""articles_with_PRISMA_reasons!Z2:Z2113""), $A818=IMPORTRANGE(""https://docs.google.com/spreadsheets/d/1qpEmbGH0JjaJbUdp21-y2cPbobDbMjr09BbtdKROZWc/edit#gid=1444865654"",""articles_with_PRISMA_reasons!B2:B2113"")),F818
=""Include"",FILTER(IMPORTRANGE("&amp;"""https://docs.google.com/spreadsheets/d/1kGrh75X1cNR1D7_FcY9zMnHP8iPO4M5RCRjy6nZY0TY/edit#gid=0"",""Table 1: Study characteristics!A4:A171""), $A818=IMPORTRANGE(""https://docs.google.com/spreadsheets/d/1kGrh75X1cNR1D7_FcY9zMnHP8iPO4M5RCRjy6nZY0TY/edit#gi"&amp;"d=0"",""Table 1: Study characteristics!B4:B171""))
)"),"wrong population")</f>
        <v>wrong population</v>
      </c>
    </row>
    <row r="819">
      <c r="A819" s="4" t="str">
        <f>IFERROR(__xludf.DUMMYFUNCTION("""COMPUTED_VALUE"""),"Fetal spina bifida repair--current trends and prospects of intrauterine neurosurgery")</f>
        <v>Fetal spina bifida repair--current trends and prospects of intrauterine neurosurgery</v>
      </c>
      <c r="B819" s="5" t="str">
        <f>IFERROR(__xludf.DUMMYFUNCTION("LEFT(FILTER(IMPORTRANGE(""https://docs.google.com/spreadsheets/d/1BJSV3WBYJGRhQ6zExamkszQ5VutGIcaQqmbD9ZTVXMQ/edit#gid=1251630045"",""articles_with_PRISMA_reasons!K2:K2113""), $A819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$A819=IMPORTRANGE(""https://docs.google.com/spreadsheets/d/1BJSV3WBYJGRhQ6zExamkszQ5VutGIcaQqmbD9ZTVXMQ/edit#gid=1251630045"",""articles_with_PRISMA_reasons!B2:B2113"")))-1)"),"Fichter")</f>
        <v>Fichter</v>
      </c>
      <c r="C819" s="6">
        <f>IFERROR(__xludf.DUMMYFUNCTION("FILTER(IMPORTRANGE(""https://docs.google.com/spreadsheets/d/1BJSV3WBYJGRhQ6zExamkszQ5VutGIcaQqmbD9ZTVXMQ/edit#gid=1251630045"",""articles_with_PRISMA_reasons!C2:C2113""), $A819=IMPORTRANGE(""https://docs.google.com/spreadsheets/d/1BJSV3WBYJGRhQ6zExamkszQ5"&amp;"VutGIcaQqmbD9ZTVXMQ/edit#gid=1251630045"",""articles_with_PRISMA_reasons!B2:B2113""))"),2008.0)</f>
        <v>2008</v>
      </c>
      <c r="D819" s="5" t="str">
        <f>IFERROR(__xludf.DUMMYFUNCTION("IFS(AND(
FILTER(IMPORTRANGE(""https://docs.google.com/spreadsheets/d/1BJSV3WBYJGRhQ6zExamkszQ5VutGIcaQqmbD9ZTVXMQ/edit#gid=1251630045"",""articles_with_PRISMA_reasons!Y2:Y2113""), $A819=IMPORTRANGE(""https://docs.google.com/spreadsheets/d/1BJSV3WBYJGRhQ6z"&amp;"ExamkszQ5VutGIcaQqmbD9ZTVXMQ/edit#gid=1251630045"",""articles_with_PRISMA_reasons!B2:B2113""))&gt;=2,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$A819=IMPORTRANGE(""https://docs.google.com/spreadsheets/d/1BJSV3WBYJGRhQ6zExamkszQ5VutGIcaQqmbD9ZTVXMQ/edit#gid=1251630045"",""articles_with_PRISMA_reasons!B2:B2113""))&lt;2),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$A819=IMPORTRANGE(""https://docs.google.com/spreadsheets/d/1BJSV3WBYJGRhQ6zExamkszQ5VutGIcaQqmbD9ZTVXMQ/edit#gid=1251630045"",""arti"&amp;"cles_with_PRISMA_reasons!B2:B2113""))&lt;2,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$A819=IMPORTRANGE(""https://docs.google.com"&amp;"/spreadsheets/d/1BJSV3WBYJGRhQ6zExamkszQ5VutGIcaQqmbD9ZTVXMQ/edit#gid=1251630045"",""articles_with_PRISMA_reasons!B2:B2113""))&gt;=2),
""Exclude""
)"),"Exclude")</f>
        <v>Exclude</v>
      </c>
      <c r="E819" s="5" t="str">
        <f>IFERROR(__xludf.DUMMYFUNCTION("IFS(
D819=""Exclude"",""Exclude"",
AND(
FILTER(IMPORTRANGE(""https://docs.google.com/spreadsheets/d/1qpEmbGH0JjaJbUdp21-y2cPbobDbMjr09BbtdKROZWc/edit#gid=1444865654"",""articles_with_PRISMA_reasons!W2:W2113""), $A819=IMPORTRANGE(""https://docs.google.com/"&amp;"spreadsheets/d/1qpEmbGH0JjaJbUdp21-y2cPbobDbMjr09BbtdKROZWc/edit#gid=1444865654"",""articles_with_PRISMA_reasons!B2:B2113""))&gt;=2,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$A819=IMPORTRANGE(""https://docs.google.com/spreadsheets/d/1qpEmbGH0JjaJbUdp21-y2cPbobDbMjr09BbtdKROZWc/edit#gid=1444865654"",""articles_with_PRISMA_reasons!B2:B2113""))&lt;2),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$A819=IMPORTRANGE(""https://docs.google.com/spreadsheets/d/1qpEmbGH0JjaJbUdp21-y2cPbobDbMjr09BbtdKRO"&amp;"ZWc/edit#gid=1444865654"",""articles_with_PRISMA_reasons!B2:B2113""))&lt;2,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$A819=IMPOR"&amp;"TRANGE(""https://docs.google.com/spreadsheets/d/1qpEmbGH0JjaJbUdp21-y2cPbobDbMjr09BbtdKROZWc/edit#gid=1444865654"",""articles_with_PRISMA_reasons!B2:B2113""))&gt;=2),
""Exclude""
)"),"Exclude")</f>
        <v>Exclude</v>
      </c>
      <c r="F819" s="5" t="str">
        <f>IFERROR(__xludf.DUMMYFUNCTION("IFS(
E819=""Exclude"",""Exclude"",
AND(
COUNTIF(
IMPORTRANGE(""https://docs.google.com/spreadsheets/d/1kGrh75X1cNR1D7_FcY9zMnHP8iPO4M5RCRjy6nZY0TY/edit#gid=0"",""Table 1: Study characteristics!B4:B171""),A819)&gt;0,
COUNTIF(Studies!$A$2:$A$85,FILTER(IMPORTRA"&amp;"NGE(""https://docs.google.com/spreadsheets/d/1kGrh75X1cNR1D7_FcY9zMnHP8iPO4M5RCRjy6nZY0TY/edit#gid=0"",""Table 1: Study characteristics!A4:A171""), $A819=IMPORTRANGE(""https://docs.google.com/spreadsheets/d/1kGrh75X1cNR1D7_FcY9zMnHP8iPO4M5RCRjy6nZY0TY/edi"&amp;"t#gid=0"",""Table 1: Study characteristics!B4:B171"")))&gt;0
),
""Include""
)"),"Exclude")</f>
        <v>Exclude</v>
      </c>
      <c r="G819" s="5" t="str">
        <f>IFERROR(__xludf.DUMMYFUNCTION("IFS(
D819=""Exclude"",
FILTER(IMPORTRANGE(""https://docs.google.com/spreadsheets/d/1BJSV3WBYJGRhQ6zExamkszQ5VutGIcaQqmbD9ZTVXMQ/edit#gid=1251630045"",""articles_with_PRISMA_reasons!AB2:AB2113""), $A819=IMPORTRANGE(""https://docs.google.com/spreadsheets/d/"&amp;"1BJSV3WBYJGRhQ6zExamkszQ5VutGIcaQqmbD9ZTVXMQ/edit#gid=1251630045"",""articles_with_PRISMA_reasons!B2:B2113"")),
E819=""Exclude"",
FILTER(IMPORTRANGE(""https://docs.google.com/spreadsheets/d/1qpEmbGH0JjaJbUdp21-y2cPbobDbMjr09BbtdKROZWc/edit#gid=1444865654"&amp;""",""articles_with_PRISMA_reasons!Z2:Z2113""), $A819=IMPORTRANGE(""https://docs.google.com/spreadsheets/d/1qpEmbGH0JjaJbUdp21-y2cPbobDbMjr09BbtdKROZWc/edit#gid=1444865654"",""articles_with_PRISMA_reasons!B2:B2113"")),F819
=""Include"",FILTER(IMPORTRANGE("&amp;"""https://docs.google.com/spreadsheets/d/1kGrh75X1cNR1D7_FcY9zMnHP8iPO4M5RCRjy6nZY0TY/edit#gid=0"",""Table 1: Study characteristics!A4:A171""), $A819=IMPORTRANGE(""https://docs.google.com/spreadsheets/d/1kGrh75X1cNR1D7_FcY9zMnHP8iPO4M5RCRjy6nZY0TY/edit#gi"&amp;"d=0"",""Table 1: Study characteristics!B4:B171""))
)"),"wrong study design")</f>
        <v>wrong study design</v>
      </c>
    </row>
    <row r="820">
      <c r="A820" s="4" t="str">
        <f>IFERROR(__xludf.DUMMYFUNCTION("""COMPUTED_VALUE"""),"Fetal surgery")</f>
        <v>Fetal surgery</v>
      </c>
      <c r="B820" s="5" t="str">
        <f>IFERROR(__xludf.DUMMYFUNCTION("LEFT(FILTER(IMPORTRANGE(""https://docs.google.com/spreadsheets/d/1BJSV3WBYJGRhQ6zExamkszQ5VutGIcaQqmbD9ZTVXMQ/edit#gid=1251630045"",""articles_with_PRISMA_reasons!K2:K2113""), $A820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$A820=IMPORTRANGE(""https://docs.google.com/spreadsheets/d/1BJSV3WBYJGRhQ6zExamkszQ5VutGIcaQqmbD9ZTVXMQ/edit#gid=1251630045"",""articles_with_PRISMA_reasons!B2:B2113"")))-1)"),"Harrison")</f>
        <v>Harrison</v>
      </c>
      <c r="C820" s="6">
        <f>IFERROR(__xludf.DUMMYFUNCTION("FILTER(IMPORTRANGE(""https://docs.google.com/spreadsheets/d/1BJSV3WBYJGRhQ6zExamkszQ5VutGIcaQqmbD9ZTVXMQ/edit#gid=1251630045"",""articles_with_PRISMA_reasons!C2:C2113""), $A820=IMPORTRANGE(""https://docs.google.com/spreadsheets/d/1BJSV3WBYJGRhQ6zExamkszQ5"&amp;"VutGIcaQqmbD9ZTVXMQ/edit#gid=1251630045"",""articles_with_PRISMA_reasons!B2:B2113""))"),1993.0)</f>
        <v>1993</v>
      </c>
      <c r="D820" s="5" t="str">
        <f>IFERROR(__xludf.DUMMYFUNCTION("IFS(AND(
FILTER(IMPORTRANGE(""https://docs.google.com/spreadsheets/d/1BJSV3WBYJGRhQ6zExamkszQ5VutGIcaQqmbD9ZTVXMQ/edit#gid=1251630045"",""articles_with_PRISMA_reasons!Y2:Y2113""), $A820=IMPORTRANGE(""https://docs.google.com/spreadsheets/d/1BJSV3WBYJGRhQ6z"&amp;"ExamkszQ5VutGIcaQqmbD9ZTVXMQ/edit#gid=1251630045"",""articles_with_PRISMA_reasons!B2:B2113""))&gt;=2,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$A820=IMPORTRANGE(""https://docs.google.com/spreadsheets/d/1BJSV3WBYJGRhQ6zExamkszQ5VutGIcaQqmbD9ZTVXMQ/edit#gid=1251630045"",""articles_with_PRISMA_reasons!B2:B2113""))&lt;2),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$A820=IMPORTRANGE(""https://docs.google.com/spreadsheets/d/1BJSV3WBYJGRhQ6zExamkszQ5VutGIcaQqmbD9ZTVXMQ/edit#gid=1251630045"",""arti"&amp;"cles_with_PRISMA_reasons!B2:B2113""))&lt;2,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$A820=IMPORTRANGE(""https://docs.google.com"&amp;"/spreadsheets/d/1BJSV3WBYJGRhQ6zExamkszQ5VutGIcaQqmbD9ZTVXMQ/edit#gid=1251630045"",""articles_with_PRISMA_reasons!B2:B2113""))&gt;=2),
""Exclude""
)"),"Exclude")</f>
        <v>Exclude</v>
      </c>
      <c r="E820" s="5" t="str">
        <f>IFERROR(__xludf.DUMMYFUNCTION("IFS(
D820=""Exclude"",""Exclude"",
AND(
FILTER(IMPORTRANGE(""https://docs.google.com/spreadsheets/d/1qpEmbGH0JjaJbUdp21-y2cPbobDbMjr09BbtdKROZWc/edit#gid=1444865654"",""articles_with_PRISMA_reasons!W2:W2113""), $A820=IMPORTRANGE(""https://docs.google.com/"&amp;"spreadsheets/d/1qpEmbGH0JjaJbUdp21-y2cPbobDbMjr09BbtdKROZWc/edit#gid=1444865654"",""articles_with_PRISMA_reasons!B2:B2113""))&gt;=2,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$A820=IMPORTRANGE(""https://docs.google.com/spreadsheets/d/1qpEmbGH0JjaJbUdp21-y2cPbobDbMjr09BbtdKROZWc/edit#gid=1444865654"",""articles_with_PRISMA_reasons!B2:B2113""))&lt;2),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$A820=IMPORTRANGE(""https://docs.google.com/spreadsheets/d/1qpEmbGH0JjaJbUdp21-y2cPbobDbMjr09BbtdKRO"&amp;"ZWc/edit#gid=1444865654"",""articles_with_PRISMA_reasons!B2:B2113""))&lt;2,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$A820=IMPOR"&amp;"TRANGE(""https://docs.google.com/spreadsheets/d/1qpEmbGH0JjaJbUdp21-y2cPbobDbMjr09BbtdKROZWc/edit#gid=1444865654"",""articles_with_PRISMA_reasons!B2:B2113""))&gt;=2),
""Exclude""
)"),"Exclude")</f>
        <v>Exclude</v>
      </c>
      <c r="F820" s="5" t="str">
        <f>IFERROR(__xludf.DUMMYFUNCTION("IFS(
E820=""Exclude"",""Exclude"",
AND(
COUNTIF(
IMPORTRANGE(""https://docs.google.com/spreadsheets/d/1kGrh75X1cNR1D7_FcY9zMnHP8iPO4M5RCRjy6nZY0TY/edit#gid=0"",""Table 1: Study characteristics!B4:B171""),A820)&gt;0,
COUNTIF(Studies!$A$2:$A$85,FILTER(IMPORTRA"&amp;"NGE(""https://docs.google.com/spreadsheets/d/1kGrh75X1cNR1D7_FcY9zMnHP8iPO4M5RCRjy6nZY0TY/edit#gid=0"",""Table 1: Study characteristics!A4:A171""), $A820=IMPORTRANGE(""https://docs.google.com/spreadsheets/d/1kGrh75X1cNR1D7_FcY9zMnHP8iPO4M5RCRjy6nZY0TY/edi"&amp;"t#gid=0"",""Table 1: Study characteristics!B4:B171"")))&gt;0
),
""Include""
)"),"Exclude")</f>
        <v>Exclude</v>
      </c>
      <c r="G820" s="5" t="str">
        <f>IFERROR(__xludf.DUMMYFUNCTION("IFS(
D820=""Exclude"",
FILTER(IMPORTRANGE(""https://docs.google.com/spreadsheets/d/1BJSV3WBYJGRhQ6zExamkszQ5VutGIcaQqmbD9ZTVXMQ/edit#gid=1251630045"",""articles_with_PRISMA_reasons!AB2:AB2113""), $A820=IMPORTRANGE(""https://docs.google.com/spreadsheets/d/"&amp;"1BJSV3WBYJGRhQ6zExamkszQ5VutGIcaQqmbD9ZTVXMQ/edit#gid=1251630045"",""articles_with_PRISMA_reasons!B2:B2113"")),
E820=""Exclude"",
FILTER(IMPORTRANGE(""https://docs.google.com/spreadsheets/d/1qpEmbGH0JjaJbUdp21-y2cPbobDbMjr09BbtdKROZWc/edit#gid=1444865654"&amp;""",""articles_with_PRISMA_reasons!Z2:Z2113""), $A820=IMPORTRANGE(""https://docs.google.com/spreadsheets/d/1qpEmbGH0JjaJbUdp21-y2cPbobDbMjr09BbtdKROZWc/edit#gid=1444865654"",""articles_with_PRISMA_reasons!B2:B2113"")),F820
=""Include"",FILTER(IMPORTRANGE("&amp;"""https://docs.google.com/spreadsheets/d/1kGrh75X1cNR1D7_FcY9zMnHP8iPO4M5RCRjy6nZY0TY/edit#gid=0"",""Table 1: Study characteristics!A4:A171""), $A820=IMPORTRANGE(""https://docs.google.com/spreadsheets/d/1kGrh75X1cNR1D7_FcY9zMnHP8iPO4M5RCRjy6nZY0TY/edit#gi"&amp;"d=0"",""Table 1: Study characteristics!B4:B171""))
)"),"wrong study design")</f>
        <v>wrong study design</v>
      </c>
    </row>
    <row r="821">
      <c r="A821" s="4" t="str">
        <f>IFERROR(__xludf.DUMMYFUNCTION("""COMPUTED_VALUE"""),"Fetal surgery (III)")</f>
        <v>Fetal surgery (III)</v>
      </c>
      <c r="B821" s="5" t="str">
        <f>IFERROR(__xludf.DUMMYFUNCTION("LEFT(FILTER(IMPORTRANGE(""https://docs.google.com/spreadsheets/d/1BJSV3WBYJGRhQ6zExamkszQ5VutGIcaQqmbD9ZTVXMQ/edit#gid=1251630045"",""articles_with_PRISMA_reasons!K2:K2113""), $A821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$A821=IMPORTRANGE(""https://docs.google.com/spreadsheets/d/1BJSV3WBYJGRhQ6zExamkszQ5VutGIcaQqmbD9ZTVXMQ/edit#gid=1251630045"",""articles_with_PRISMA_reasons!B2:B2113"")))-1)"),"Encinas")</f>
        <v>Encinas</v>
      </c>
      <c r="C821" s="6">
        <f>IFERROR(__xludf.DUMMYFUNCTION("FILTER(IMPORTRANGE(""https://docs.google.com/spreadsheets/d/1BJSV3WBYJGRhQ6zExamkszQ5VutGIcaQqmbD9ZTVXMQ/edit#gid=1251630045"",""articles_with_PRISMA_reasons!C2:C2113""), $A821=IMPORTRANGE(""https://docs.google.com/spreadsheets/d/1BJSV3WBYJGRhQ6zExamkszQ5"&amp;"VutGIcaQqmbD9ZTVXMQ/edit#gid=1251630045"",""articles_with_PRISMA_reasons!B2:B2113""))"),2010.0)</f>
        <v>2010</v>
      </c>
      <c r="D821" s="5" t="str">
        <f>IFERROR(__xludf.DUMMYFUNCTION("IFS(AND(
FILTER(IMPORTRANGE(""https://docs.google.com/spreadsheets/d/1BJSV3WBYJGRhQ6zExamkszQ5VutGIcaQqmbD9ZTVXMQ/edit#gid=1251630045"",""articles_with_PRISMA_reasons!Y2:Y2113""), $A821=IMPORTRANGE(""https://docs.google.com/spreadsheets/d/1BJSV3WBYJGRhQ6z"&amp;"ExamkszQ5VutGIcaQqmbD9ZTVXMQ/edit#gid=1251630045"",""articles_with_PRISMA_reasons!B2:B2113""))&gt;=2,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$A821=IMPORTRANGE(""https://docs.google.com/spreadsheets/d/1BJSV3WBYJGRhQ6zExamkszQ5VutGIcaQqmbD9ZTVXMQ/edit#gid=1251630045"",""articles_with_PRISMA_reasons!B2:B2113""))&lt;2),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$A821=IMPORTRANGE(""https://docs.google.com/spreadsheets/d/1BJSV3WBYJGRhQ6zExamkszQ5VutGIcaQqmbD9ZTVXMQ/edit#gid=1251630045"",""arti"&amp;"cles_with_PRISMA_reasons!B2:B2113""))&lt;2,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$A821=IMPORTRANGE(""https://docs.google.com"&amp;"/spreadsheets/d/1BJSV3WBYJGRhQ6zExamkszQ5VutGIcaQqmbD9ZTVXMQ/edit#gid=1251630045"",""articles_with_PRISMA_reasons!B2:B2113""))&gt;=2),
""Exclude""
)"),"Exclude")</f>
        <v>Exclude</v>
      </c>
      <c r="E821" s="5" t="str">
        <f>IFERROR(__xludf.DUMMYFUNCTION("IFS(
D821=""Exclude"",""Exclude"",
AND(
FILTER(IMPORTRANGE(""https://docs.google.com/spreadsheets/d/1qpEmbGH0JjaJbUdp21-y2cPbobDbMjr09BbtdKROZWc/edit#gid=1444865654"",""articles_with_PRISMA_reasons!W2:W2113""), $A821=IMPORTRANGE(""https://docs.google.com/"&amp;"spreadsheets/d/1qpEmbGH0JjaJbUdp21-y2cPbobDbMjr09BbtdKROZWc/edit#gid=1444865654"",""articles_with_PRISMA_reasons!B2:B2113""))&gt;=2,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$A821=IMPORTRANGE(""https://docs.google.com/spreadsheets/d/1qpEmbGH0JjaJbUdp21-y2cPbobDbMjr09BbtdKROZWc/edit#gid=1444865654"",""articles_with_PRISMA_reasons!B2:B2113""))&lt;2),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$A821=IMPORTRANGE(""https://docs.google.com/spreadsheets/d/1qpEmbGH0JjaJbUdp21-y2cPbobDbMjr09BbtdKRO"&amp;"ZWc/edit#gid=1444865654"",""articles_with_PRISMA_reasons!B2:B2113""))&lt;2,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$A821=IMPOR"&amp;"TRANGE(""https://docs.google.com/spreadsheets/d/1qpEmbGH0JjaJbUdp21-y2cPbobDbMjr09BbtdKROZWc/edit#gid=1444865654"",""articles_with_PRISMA_reasons!B2:B2113""))&gt;=2),
""Exclude""
)"),"Exclude")</f>
        <v>Exclude</v>
      </c>
      <c r="F821" s="5" t="str">
        <f>IFERROR(__xludf.DUMMYFUNCTION("IFS(
E821=""Exclude"",""Exclude"",
AND(
COUNTIF(
IMPORTRANGE(""https://docs.google.com/spreadsheets/d/1kGrh75X1cNR1D7_FcY9zMnHP8iPO4M5RCRjy6nZY0TY/edit#gid=0"",""Table 1: Study characteristics!B4:B171""),A821)&gt;0,
COUNTIF(Studies!$A$2:$A$85,FILTER(IMPORTRA"&amp;"NGE(""https://docs.google.com/spreadsheets/d/1kGrh75X1cNR1D7_FcY9zMnHP8iPO4M5RCRjy6nZY0TY/edit#gid=0"",""Table 1: Study characteristics!A4:A171""), $A821=IMPORTRANGE(""https://docs.google.com/spreadsheets/d/1kGrh75X1cNR1D7_FcY9zMnHP8iPO4M5RCRjy6nZY0TY/edi"&amp;"t#gid=0"",""Table 1: Study characteristics!B4:B171"")))&gt;0
),
""Include""
)"),"Exclude")</f>
        <v>Exclude</v>
      </c>
      <c r="G821" s="5" t="str">
        <f>IFERROR(__xludf.DUMMYFUNCTION("IFS(
D821=""Exclude"",
FILTER(IMPORTRANGE(""https://docs.google.com/spreadsheets/d/1BJSV3WBYJGRhQ6zExamkszQ5VutGIcaQqmbD9ZTVXMQ/edit#gid=1251630045"",""articles_with_PRISMA_reasons!AB2:AB2113""), $A821=IMPORTRANGE(""https://docs.google.com/spreadsheets/d/"&amp;"1BJSV3WBYJGRhQ6zExamkszQ5VutGIcaQqmbD9ZTVXMQ/edit#gid=1251630045"",""articles_with_PRISMA_reasons!B2:B2113"")),
E821=""Exclude"",
FILTER(IMPORTRANGE(""https://docs.google.com/spreadsheets/d/1qpEmbGH0JjaJbUdp21-y2cPbobDbMjr09BbtdKROZWc/edit#gid=1444865654"&amp;""",""articles_with_PRISMA_reasons!Z2:Z2113""), $A821=IMPORTRANGE(""https://docs.google.com/spreadsheets/d/1qpEmbGH0JjaJbUdp21-y2cPbobDbMjr09BbtdKROZWc/edit#gid=1444865654"",""articles_with_PRISMA_reasons!B2:B2113"")),F821
=""Include"",FILTER(IMPORTRANGE("&amp;"""https://docs.google.com/spreadsheets/d/1kGrh75X1cNR1D7_FcY9zMnHP8iPO4M5RCRjy6nZY0TY/edit#gid=0"",""Table 1: Study characteristics!A4:A171""), $A821=IMPORTRANGE(""https://docs.google.com/spreadsheets/d/1kGrh75X1cNR1D7_FcY9zMnHP8iPO4M5RCRjy6nZY0TY/edit#gi"&amp;"d=0"",""Table 1: Study characteristics!B4:B171""))
)"),"Ante-natal intervention")</f>
        <v>Ante-natal intervention</v>
      </c>
    </row>
    <row r="822">
      <c r="A822" s="4" t="str">
        <f>IFERROR(__xludf.DUMMYFUNCTION("""COMPUTED_VALUE"""),"Fetal Surgery for Myelomeningocele")</f>
        <v>Fetal Surgery for Myelomeningocele</v>
      </c>
      <c r="B822" s="5" t="str">
        <f>IFERROR(__xludf.DUMMYFUNCTION("LEFT(FILTER(IMPORTRANGE(""https://docs.google.com/spreadsheets/d/1BJSV3WBYJGRhQ6zExamkszQ5VutGIcaQqmbD9ZTVXMQ/edit#gid=1251630045"",""articles_with_PRISMA_reasons!K2:K2113""), $A822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$A822=IMPORTRANGE(""https://docs.google.com/spreadsheets/d/1BJSV3WBYJGRhQ6zExamkszQ5VutGIcaQqmbD9ZTVXMQ/edit#gid=1251630045"",""articles_with_PRISMA_reasons!B2:B2113"")))-1)"),"Hirose")</f>
        <v>Hirose</v>
      </c>
      <c r="C822" s="3">
        <v>2009.0</v>
      </c>
      <c r="D822" s="5" t="str">
        <f>IFERROR(__xludf.DUMMYFUNCTION("IFS(AND(
FILTER(IMPORTRANGE(""https://docs.google.com/spreadsheets/d/1BJSV3WBYJGRhQ6zExamkszQ5VutGIcaQqmbD9ZTVXMQ/edit#gid=1251630045"",""articles_with_PRISMA_reasons!Y2:Y2113""), $A822=IMPORTRANGE(""https://docs.google.com/spreadsheets/d/1BJSV3WBYJGRhQ6z"&amp;"ExamkszQ5VutGIcaQqmbD9ZTVXMQ/edit#gid=1251630045"",""articles_with_PRISMA_reasons!B2:B2113""))&gt;=2,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$A822=IMPORTRANGE(""https://docs.google.com/spreadsheets/d/1BJSV3WBYJGRhQ6zExamkszQ5VutGIcaQqmbD9ZTVXMQ/edit#gid=1251630045"",""articles_with_PRISMA_reasons!B2:B2113""))&lt;2),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$A822=IMPORTRANGE(""https://docs.google.com/spreadsheets/d/1BJSV3WBYJGRhQ6zExamkszQ5VutGIcaQqmbD9ZTVXMQ/edit#gid=1251630045"",""arti"&amp;"cles_with_PRISMA_reasons!B2:B2113""))&lt;2,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$A822=IMPORTRANGE(""https://docs.google.com"&amp;"/spreadsheets/d/1BJSV3WBYJGRhQ6zExamkszQ5VutGIcaQqmbD9ZTVXMQ/edit#gid=1251630045"",""articles_with_PRISMA_reasons!B2:B2113""))&gt;=2),
""Exclude""
)"),"Exclude")</f>
        <v>Exclude</v>
      </c>
      <c r="E822" s="5" t="str">
        <f>IFERROR(__xludf.DUMMYFUNCTION("IFS(
D822=""Exclude"",""Exclude"",
AND(
FILTER(IMPORTRANGE(""https://docs.google.com/spreadsheets/d/1qpEmbGH0JjaJbUdp21-y2cPbobDbMjr09BbtdKROZWc/edit#gid=1444865654"",""articles_with_PRISMA_reasons!W2:W2113""), $A822=IMPORTRANGE(""https://docs.google.com/"&amp;"spreadsheets/d/1qpEmbGH0JjaJbUdp21-y2cPbobDbMjr09BbtdKROZWc/edit#gid=1444865654"",""articles_with_PRISMA_reasons!B2:B2113""))&gt;=2,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$A822=IMPORTRANGE(""https://docs.google.com/spreadsheets/d/1qpEmbGH0JjaJbUdp21-y2cPbobDbMjr09BbtdKROZWc/edit#gid=1444865654"",""articles_with_PRISMA_reasons!B2:B2113""))&lt;2),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$A822=IMPORTRANGE(""https://docs.google.com/spreadsheets/d/1qpEmbGH0JjaJbUdp21-y2cPbobDbMjr09BbtdKRO"&amp;"ZWc/edit#gid=1444865654"",""articles_with_PRISMA_reasons!B2:B2113""))&lt;2,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$A822=IMPOR"&amp;"TRANGE(""https://docs.google.com/spreadsheets/d/1qpEmbGH0JjaJbUdp21-y2cPbobDbMjr09BbtdKROZWc/edit#gid=1444865654"",""articles_with_PRISMA_reasons!B2:B2113""))&gt;=2),
""Exclude""
)"),"Exclude")</f>
        <v>Exclude</v>
      </c>
      <c r="F822" s="5" t="str">
        <f>IFERROR(__xludf.DUMMYFUNCTION("IFS(
E822=""Exclude"",""Exclude"",
AND(
COUNTIF(
IMPORTRANGE(""https://docs.google.com/spreadsheets/d/1kGrh75X1cNR1D7_FcY9zMnHP8iPO4M5RCRjy6nZY0TY/edit#gid=0"",""Table 1: Study characteristics!B4:B171""),A822)&gt;0,
COUNTIF(Studies!$A$2:$A$85,FILTER(IMPORTRA"&amp;"NGE(""https://docs.google.com/spreadsheets/d/1kGrh75X1cNR1D7_FcY9zMnHP8iPO4M5RCRjy6nZY0TY/edit#gid=0"",""Table 1: Study characteristics!A4:A171""), $A822=IMPORTRANGE(""https://docs.google.com/spreadsheets/d/1kGrh75X1cNR1D7_FcY9zMnHP8iPO4M5RCRjy6nZY0TY/edi"&amp;"t#gid=0"",""Table 1: Study characteristics!B4:B171"")))&gt;0
),
""Include""
)"),"Exclude")</f>
        <v>Exclude</v>
      </c>
      <c r="G822" s="2" t="s">
        <v>28</v>
      </c>
    </row>
    <row r="823">
      <c r="A823" s="4" t="str">
        <f>IFERROR(__xludf.DUMMYFUNCTION("""COMPUTED_VALUE"""),"Fetal Surgery for Myelomeningocele")</f>
        <v>Fetal Surgery for Myelomeningocele</v>
      </c>
      <c r="B823" s="5" t="str">
        <f>IFERROR(__xludf.DUMMYFUNCTION("LEFT(FILTER(IMPORTRANGE(""https://docs.google.com/spreadsheets/d/1BJSV3WBYJGRhQ6zExamkszQ5VutGIcaQqmbD9ZTVXMQ/edit#gid=1251630045"",""articles_with_PRISMA_reasons!K2:K2113""), $A823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$A823=IMPORTRANGE(""https://docs.google.com/spreadsheets/d/1BJSV3WBYJGRhQ6zExamkszQ5VutGIcaQqmbD9ZTVXMQ/edit#gid=1251630045"",""articles_with_PRISMA_reasons!B2:B2113"")))-1)"),"Hirose")</f>
        <v>Hirose</v>
      </c>
      <c r="C823" s="3">
        <v>2009.0</v>
      </c>
      <c r="D823" s="5" t="str">
        <f>IFERROR(__xludf.DUMMYFUNCTION("IFS(AND(
FILTER(IMPORTRANGE(""https://docs.google.com/spreadsheets/d/1BJSV3WBYJGRhQ6zExamkszQ5VutGIcaQqmbD9ZTVXMQ/edit#gid=1251630045"",""articles_with_PRISMA_reasons!Y2:Y2113""), $A823=IMPORTRANGE(""https://docs.google.com/spreadsheets/d/1BJSV3WBYJGRhQ6z"&amp;"ExamkszQ5VutGIcaQqmbD9ZTVXMQ/edit#gid=1251630045"",""articles_with_PRISMA_reasons!B2:B2113""))&gt;=2,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$A823=IMPORTRANGE(""https://docs.google.com/spreadsheets/d/1BJSV3WBYJGRhQ6zExamkszQ5VutGIcaQqmbD9ZTVXMQ/edit#gid=1251630045"",""articles_with_PRISMA_reasons!B2:B2113""))&lt;2),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$A823=IMPORTRANGE(""https://docs.google.com/spreadsheets/d/1BJSV3WBYJGRhQ6zExamkszQ5VutGIcaQqmbD9ZTVXMQ/edit#gid=1251630045"",""arti"&amp;"cles_with_PRISMA_reasons!B2:B2113""))&lt;2,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$A823=IMPORTRANGE(""https://docs.google.com"&amp;"/spreadsheets/d/1BJSV3WBYJGRhQ6zExamkszQ5VutGIcaQqmbD9ZTVXMQ/edit#gid=1251630045"",""articles_with_PRISMA_reasons!B2:B2113""))&gt;=2),
""Exclude""
)"),"Exclude")</f>
        <v>Exclude</v>
      </c>
      <c r="E823" s="5" t="str">
        <f>IFERROR(__xludf.DUMMYFUNCTION("IFS(
D823=""Exclude"",""Exclude"",
AND(
FILTER(IMPORTRANGE(""https://docs.google.com/spreadsheets/d/1qpEmbGH0JjaJbUdp21-y2cPbobDbMjr09BbtdKROZWc/edit#gid=1444865654"",""articles_with_PRISMA_reasons!W2:W2113""), $A823=IMPORTRANGE(""https://docs.google.com/"&amp;"spreadsheets/d/1qpEmbGH0JjaJbUdp21-y2cPbobDbMjr09BbtdKROZWc/edit#gid=1444865654"",""articles_with_PRISMA_reasons!B2:B2113""))&gt;=2,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$A823=IMPORTRANGE(""https://docs.google.com/spreadsheets/d/1qpEmbGH0JjaJbUdp21-y2cPbobDbMjr09BbtdKROZWc/edit#gid=1444865654"",""articles_with_PRISMA_reasons!B2:B2113""))&lt;2),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$A823=IMPORTRANGE(""https://docs.google.com/spreadsheets/d/1qpEmbGH0JjaJbUdp21-y2cPbobDbMjr09BbtdKRO"&amp;"ZWc/edit#gid=1444865654"",""articles_with_PRISMA_reasons!B2:B2113""))&lt;2,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$A823=IMPOR"&amp;"TRANGE(""https://docs.google.com/spreadsheets/d/1qpEmbGH0JjaJbUdp21-y2cPbobDbMjr09BbtdKROZWc/edit#gid=1444865654"",""articles_with_PRISMA_reasons!B2:B2113""))&gt;=2),
""Exclude""
)"),"Exclude")</f>
        <v>Exclude</v>
      </c>
      <c r="F823" s="5" t="str">
        <f>IFERROR(__xludf.DUMMYFUNCTION("IFS(
E823=""Exclude"",""Exclude"",
AND(
COUNTIF(
IMPORTRANGE(""https://docs.google.com/spreadsheets/d/1kGrh75X1cNR1D7_FcY9zMnHP8iPO4M5RCRjy6nZY0TY/edit#gid=0"",""Table 1: Study characteristics!B4:B171""),A823)&gt;0,
COUNTIF(Studies!$A$2:$A$85,FILTER(IMPORTRA"&amp;"NGE(""https://docs.google.com/spreadsheets/d/1kGrh75X1cNR1D7_FcY9zMnHP8iPO4M5RCRjy6nZY0TY/edit#gid=0"",""Table 1: Study characteristics!A4:A171""), $A823=IMPORTRANGE(""https://docs.google.com/spreadsheets/d/1kGrh75X1cNR1D7_FcY9zMnHP8iPO4M5RCRjy6nZY0TY/edi"&amp;"t#gid=0"",""Table 1: Study characteristics!B4:B171"")))&gt;0
),
""Include""
)"),"Exclude")</f>
        <v>Exclude</v>
      </c>
      <c r="G823" s="2" t="s">
        <v>13</v>
      </c>
    </row>
    <row r="824">
      <c r="A824" s="4" t="str">
        <f>IFERROR(__xludf.DUMMYFUNCTION("""COMPUTED_VALUE"""),"Fetal surgery for myelomeningocele and the incidence of shunt-dependent hydrocephalus")</f>
        <v>Fetal surgery for myelomeningocele and the incidence of shunt-dependent hydrocephalus</v>
      </c>
      <c r="B824" s="5" t="str">
        <f>IFERROR(__xludf.DUMMYFUNCTION("LEFT(FILTER(IMPORTRANGE(""https://docs.google.com/spreadsheets/d/1BJSV3WBYJGRhQ6zExamkszQ5VutGIcaQqmbD9ZTVXMQ/edit#gid=1251630045"",""articles_with_PRISMA_reasons!K2:K2113""), $A824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$A824=IMPORTRANGE(""https://docs.google.com/spreadsheets/d/1BJSV3WBYJGRhQ6zExamkszQ5VutGIcaQqmbD9ZTVXMQ/edit#gid=1251630045"",""articles_with_PRISMA_reasons!B2:B2113"")))-1)"),"Boehm")</f>
        <v>Boehm</v>
      </c>
      <c r="C824" s="6">
        <f>IFERROR(__xludf.DUMMYFUNCTION("FILTER(IMPORTRANGE(""https://docs.google.com/spreadsheets/d/1BJSV3WBYJGRhQ6zExamkszQ5VutGIcaQqmbD9ZTVXMQ/edit#gid=1251630045"",""articles_with_PRISMA_reasons!C2:C2113""), $A824=IMPORTRANGE(""https://docs.google.com/spreadsheets/d/1BJSV3WBYJGRhQ6zExamkszQ5"&amp;"VutGIcaQqmbD9ZTVXMQ/edit#gid=1251630045"",""articles_with_PRISMA_reasons!B2:B2113""))"),1999.0)</f>
        <v>1999</v>
      </c>
      <c r="D824" s="5" t="str">
        <f>IFERROR(__xludf.DUMMYFUNCTION("IFS(AND(
FILTER(IMPORTRANGE(""https://docs.google.com/spreadsheets/d/1BJSV3WBYJGRhQ6zExamkszQ5VutGIcaQqmbD9ZTVXMQ/edit#gid=1251630045"",""articles_with_PRISMA_reasons!Y2:Y2113""), $A824=IMPORTRANGE(""https://docs.google.com/spreadsheets/d/1BJSV3WBYJGRhQ6z"&amp;"ExamkszQ5VutGIcaQqmbD9ZTVXMQ/edit#gid=1251630045"",""articles_with_PRISMA_reasons!B2:B2113""))&gt;=2,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$A824=IMPORTRANGE(""https://docs.google.com/spreadsheets/d/1BJSV3WBYJGRhQ6zExamkszQ5VutGIcaQqmbD9ZTVXMQ/edit#gid=1251630045"",""articles_with_PRISMA_reasons!B2:B2113""))&lt;2),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$A824=IMPORTRANGE(""https://docs.google.com/spreadsheets/d/1BJSV3WBYJGRhQ6zExamkszQ5VutGIcaQqmbD9ZTVXMQ/edit#gid=1251630045"",""arti"&amp;"cles_with_PRISMA_reasons!B2:B2113""))&lt;2,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$A824=IMPORTRANGE(""https://docs.google.com"&amp;"/spreadsheets/d/1BJSV3WBYJGRhQ6zExamkszQ5VutGIcaQqmbD9ZTVXMQ/edit#gid=1251630045"",""articles_with_PRISMA_reasons!B2:B2113""))&gt;=2),
""Exclude""
)"),"Exclude")</f>
        <v>Exclude</v>
      </c>
      <c r="E824" s="5" t="str">
        <f>IFERROR(__xludf.DUMMYFUNCTION("IFS(
D824=""Exclude"",""Exclude"",
AND(
FILTER(IMPORTRANGE(""https://docs.google.com/spreadsheets/d/1qpEmbGH0JjaJbUdp21-y2cPbobDbMjr09BbtdKROZWc/edit#gid=1444865654"",""articles_with_PRISMA_reasons!W2:W2113""), $A824=IMPORTRANGE(""https://docs.google.com/"&amp;"spreadsheets/d/1qpEmbGH0JjaJbUdp21-y2cPbobDbMjr09BbtdKROZWc/edit#gid=1444865654"",""articles_with_PRISMA_reasons!B2:B2113""))&gt;=2,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$A824=IMPORTRANGE(""https://docs.google.com/spreadsheets/d/1qpEmbGH0JjaJbUdp21-y2cPbobDbMjr09BbtdKROZWc/edit#gid=1444865654"",""articles_with_PRISMA_reasons!B2:B2113""))&lt;2),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$A824=IMPORTRANGE(""https://docs.google.com/spreadsheets/d/1qpEmbGH0JjaJbUdp21-y2cPbobDbMjr09BbtdKRO"&amp;"ZWc/edit#gid=1444865654"",""articles_with_PRISMA_reasons!B2:B2113""))&lt;2,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$A824=IMPOR"&amp;"TRANGE(""https://docs.google.com/spreadsheets/d/1qpEmbGH0JjaJbUdp21-y2cPbobDbMjr09BbtdKROZWc/edit#gid=1444865654"",""articles_with_PRISMA_reasons!B2:B2113""))&gt;=2),
""Exclude""
)"),"Exclude")</f>
        <v>Exclude</v>
      </c>
      <c r="F824" s="5" t="str">
        <f>IFERROR(__xludf.DUMMYFUNCTION("IFS(
E824=""Exclude"",""Exclude"",
AND(
COUNTIF(
IMPORTRANGE(""https://docs.google.com/spreadsheets/d/1kGrh75X1cNR1D7_FcY9zMnHP8iPO4M5RCRjy6nZY0TY/edit#gid=0"",""Table 1: Study characteristics!B4:B171""),A824)&gt;0,
COUNTIF(Studies!$A$2:$A$85,FILTER(IMPORTRA"&amp;"NGE(""https://docs.google.com/spreadsheets/d/1kGrh75X1cNR1D7_FcY9zMnHP8iPO4M5RCRjy6nZY0TY/edit#gid=0"",""Table 1: Study characteristics!A4:A171""), $A824=IMPORTRANGE(""https://docs.google.com/spreadsheets/d/1kGrh75X1cNR1D7_FcY9zMnHP8iPO4M5RCRjy6nZY0TY/edi"&amp;"t#gid=0"",""Table 1: Study characteristics!B4:B171"")))&gt;0
),
""Include""
)"),"Exclude")</f>
        <v>Exclude</v>
      </c>
      <c r="G824" s="5" t="str">
        <f>IFERROR(__xludf.DUMMYFUNCTION("IFS(
D824=""Exclude"",
FILTER(IMPORTRANGE(""https://docs.google.com/spreadsheets/d/1BJSV3WBYJGRhQ6zExamkszQ5VutGIcaQqmbD9ZTVXMQ/edit#gid=1251630045"",""articles_with_PRISMA_reasons!AB2:AB2113""), $A824=IMPORTRANGE(""https://docs.google.com/spreadsheets/d/"&amp;"1BJSV3WBYJGRhQ6zExamkszQ5VutGIcaQqmbD9ZTVXMQ/edit#gid=1251630045"",""articles_with_PRISMA_reasons!B2:B2113"")),
E824=""Exclude"",
FILTER(IMPORTRANGE(""https://docs.google.com/spreadsheets/d/1qpEmbGH0JjaJbUdp21-y2cPbobDbMjr09BbtdKROZWc/edit#gid=1444865654"&amp;""",""articles_with_PRISMA_reasons!Z2:Z2113""), $A824=IMPORTRANGE(""https://docs.google.com/spreadsheets/d/1qpEmbGH0JjaJbUdp21-y2cPbobDbMjr09BbtdKROZWc/edit#gid=1444865654"",""articles_with_PRISMA_reasons!B2:B2113"")),F824
=""Include"",FILTER(IMPORTRANGE("&amp;"""https://docs.google.com/spreadsheets/d/1kGrh75X1cNR1D7_FcY9zMnHP8iPO4M5RCRjy6nZY0TY/edit#gid=0"",""Table 1: Study characteristics!A4:A171""), $A824=IMPORTRANGE(""https://docs.google.com/spreadsheets/d/1kGrh75X1cNR1D7_FcY9zMnHP8iPO4M5RCRjy6nZY0TY/edit#gi"&amp;"d=0"",""Table 1: Study characteristics!B4:B171""))
)"),"Ante-natal intervention")</f>
        <v>Ante-natal intervention</v>
      </c>
    </row>
    <row r="825">
      <c r="A825" s="4" t="str">
        <f>IFERROR(__xludf.DUMMYFUNCTION("""COMPUTED_VALUE"""),"Fetal Surgery for Myelomeningocele: A Critical Appraisal")</f>
        <v>Fetal Surgery for Myelomeningocele: A Critical Appraisal</v>
      </c>
      <c r="B825" s="5" t="str">
        <f>IFERROR(__xludf.DUMMYFUNCTION("LEFT(FILTER(IMPORTRANGE(""https://docs.google.com/spreadsheets/d/1BJSV3WBYJGRhQ6zExamkszQ5VutGIcaQqmbD9ZTVXMQ/edit#gid=1251630045"",""articles_with_PRISMA_reasons!K2:K2113""), $A825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$A825=IMPORTRANGE(""https://docs.google.com/spreadsheets/d/1BJSV3WBYJGRhQ6zExamkszQ5VutGIcaQqmbD9ZTVXMQ/edit#gid=1251630045"",""articles_with_PRISMA_reasons!B2:B2113"")))-1)"),"Meuli")</f>
        <v>Meuli</v>
      </c>
      <c r="C825" s="3">
        <v>2013.0</v>
      </c>
      <c r="D825" s="5" t="str">
        <f>IFERROR(__xludf.DUMMYFUNCTION("IFS(AND(
FILTER(IMPORTRANGE(""https://docs.google.com/spreadsheets/d/1BJSV3WBYJGRhQ6zExamkszQ5VutGIcaQqmbD9ZTVXMQ/edit#gid=1251630045"",""articles_with_PRISMA_reasons!Y2:Y2113""), $A825=IMPORTRANGE(""https://docs.google.com/spreadsheets/d/1BJSV3WBYJGRhQ6z"&amp;"ExamkszQ5VutGIcaQqmbD9ZTVXMQ/edit#gid=1251630045"",""articles_with_PRISMA_reasons!B2:B2113""))&gt;=2,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$A825=IMPORTRANGE(""https://docs.google.com/spreadsheets/d/1BJSV3WBYJGRhQ6zExamkszQ5VutGIcaQqmbD9ZTVXMQ/edit#gid=1251630045"",""articles_with_PRISMA_reasons!B2:B2113""))&lt;2),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$A825=IMPORTRANGE(""https://docs.google.com/spreadsheets/d/1BJSV3WBYJGRhQ6zExamkszQ5VutGIcaQqmbD9ZTVXMQ/edit#gid=1251630045"",""arti"&amp;"cles_with_PRISMA_reasons!B2:B2113""))&lt;2,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$A825=IMPORTRANGE(""https://docs.google.com"&amp;"/spreadsheets/d/1BJSV3WBYJGRhQ6zExamkszQ5VutGIcaQqmbD9ZTVXMQ/edit#gid=1251630045"",""articles_with_PRISMA_reasons!B2:B2113""))&gt;=2),
""Exclude""
)"),"Exclude")</f>
        <v>Exclude</v>
      </c>
      <c r="E825" s="5" t="str">
        <f>IFERROR(__xludf.DUMMYFUNCTION("IFS(
D825=""Exclude"",""Exclude"",
AND(
FILTER(IMPORTRANGE(""https://docs.google.com/spreadsheets/d/1qpEmbGH0JjaJbUdp21-y2cPbobDbMjr09BbtdKROZWc/edit#gid=1444865654"",""articles_with_PRISMA_reasons!W2:W2113""), $A825=IMPORTRANGE(""https://docs.google.com/"&amp;"spreadsheets/d/1qpEmbGH0JjaJbUdp21-y2cPbobDbMjr09BbtdKROZWc/edit#gid=1444865654"",""articles_with_PRISMA_reasons!B2:B2113""))&gt;=2,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$A825=IMPORTRANGE(""https://docs.google.com/spreadsheets/d/1qpEmbGH0JjaJbUdp21-y2cPbobDbMjr09BbtdKROZWc/edit#gid=1444865654"",""articles_with_PRISMA_reasons!B2:B2113""))&lt;2),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$A825=IMPORTRANGE(""https://docs.google.com/spreadsheets/d/1qpEmbGH0JjaJbUdp21-y2cPbobDbMjr09BbtdKRO"&amp;"ZWc/edit#gid=1444865654"",""articles_with_PRISMA_reasons!B2:B2113""))&lt;2,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$A825=IMPOR"&amp;"TRANGE(""https://docs.google.com/spreadsheets/d/1qpEmbGH0JjaJbUdp21-y2cPbobDbMjr09BbtdKROZWc/edit#gid=1444865654"",""articles_with_PRISMA_reasons!B2:B2113""))&gt;=2),
""Exclude""
)"),"Exclude")</f>
        <v>Exclude</v>
      </c>
      <c r="F825" s="5" t="str">
        <f>IFERROR(__xludf.DUMMYFUNCTION("IFS(
E825=""Exclude"",""Exclude"",
AND(
COUNTIF(
IMPORTRANGE(""https://docs.google.com/spreadsheets/d/1kGrh75X1cNR1D7_FcY9zMnHP8iPO4M5RCRjy6nZY0TY/edit#gid=0"",""Table 1: Study characteristics!B4:B171""),A825)&gt;0,
COUNTIF(Studies!$A$2:$A$85,FILTER(IMPORTRA"&amp;"NGE(""https://docs.google.com/spreadsheets/d/1kGrh75X1cNR1D7_FcY9zMnHP8iPO4M5RCRjy6nZY0TY/edit#gid=0"",""Table 1: Study characteristics!A4:A171""), $A825=IMPORTRANGE(""https://docs.google.com/spreadsheets/d/1kGrh75X1cNR1D7_FcY9zMnHP8iPO4M5RCRjy6nZY0TY/edi"&amp;"t#gid=0"",""Table 1: Study characteristics!B4:B171"")))&gt;0
),
""Include""
)"),"Exclude")</f>
        <v>Exclude</v>
      </c>
      <c r="G825" s="2" t="s">
        <v>7</v>
      </c>
    </row>
    <row r="826">
      <c r="A826" s="4" t="str">
        <f>IFERROR(__xludf.DUMMYFUNCTION("""COMPUTED_VALUE"""),"Fetal surgery for myelomeningocele: a critical appraisal")</f>
        <v>Fetal surgery for myelomeningocele: a critical appraisal</v>
      </c>
      <c r="B826" s="5" t="str">
        <f>IFERROR(__xludf.DUMMYFUNCTION("LEFT(FILTER(IMPORTRANGE(""https://docs.google.com/spreadsheets/d/1BJSV3WBYJGRhQ6zExamkszQ5VutGIcaQqmbD9ZTVXMQ/edit#gid=1251630045"",""articles_with_PRISMA_reasons!K2:K2113""), $A826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$A826=IMPORTRANGE(""https://docs.google.com/spreadsheets/d/1BJSV3WBYJGRhQ6zExamkszQ5VutGIcaQqmbD9ZTVXMQ/edit#gid=1251630045"",""articles_with_PRISMA_reasons!B2:B2113"")))-1)"),"Meuli")</f>
        <v>Meuli</v>
      </c>
      <c r="C826" s="3">
        <v>2013.0</v>
      </c>
      <c r="D826" s="5" t="str">
        <f>IFERROR(__xludf.DUMMYFUNCTION("IFS(AND(
FILTER(IMPORTRANGE(""https://docs.google.com/spreadsheets/d/1BJSV3WBYJGRhQ6zExamkszQ5VutGIcaQqmbD9ZTVXMQ/edit#gid=1251630045"",""articles_with_PRISMA_reasons!Y2:Y2113""), $A826=IMPORTRANGE(""https://docs.google.com/spreadsheets/d/1BJSV3WBYJGRhQ6z"&amp;"ExamkszQ5VutGIcaQqmbD9ZTVXMQ/edit#gid=1251630045"",""articles_with_PRISMA_reasons!B2:B2113""))&gt;=2,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$A826=IMPORTRANGE(""https://docs.google.com/spreadsheets/d/1BJSV3WBYJGRhQ6zExamkszQ5VutGIcaQqmbD9ZTVXMQ/edit#gid=1251630045"",""articles_with_PRISMA_reasons!B2:B2113""))&lt;2),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$A826=IMPORTRANGE(""https://docs.google.com/spreadsheets/d/1BJSV3WBYJGRhQ6zExamkszQ5VutGIcaQqmbD9ZTVXMQ/edit#gid=1251630045"",""arti"&amp;"cles_with_PRISMA_reasons!B2:B2113""))&lt;2,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$A826=IMPORTRANGE(""https://docs.google.com"&amp;"/spreadsheets/d/1BJSV3WBYJGRhQ6zExamkszQ5VutGIcaQqmbD9ZTVXMQ/edit#gid=1251630045"",""articles_with_PRISMA_reasons!B2:B2113""))&gt;=2),
""Exclude""
)"),"Exclude")</f>
        <v>Exclude</v>
      </c>
      <c r="E826" s="5" t="str">
        <f>IFERROR(__xludf.DUMMYFUNCTION("IFS(
D826=""Exclude"",""Exclude"",
AND(
FILTER(IMPORTRANGE(""https://docs.google.com/spreadsheets/d/1qpEmbGH0JjaJbUdp21-y2cPbobDbMjr09BbtdKROZWc/edit#gid=1444865654"",""articles_with_PRISMA_reasons!W2:W2113""), $A826=IMPORTRANGE(""https://docs.google.com/"&amp;"spreadsheets/d/1qpEmbGH0JjaJbUdp21-y2cPbobDbMjr09BbtdKROZWc/edit#gid=1444865654"",""articles_with_PRISMA_reasons!B2:B2113""))&gt;=2,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$A826=IMPORTRANGE(""https://docs.google.com/spreadsheets/d/1qpEmbGH0JjaJbUdp21-y2cPbobDbMjr09BbtdKROZWc/edit#gid=1444865654"",""articles_with_PRISMA_reasons!B2:B2113""))&lt;2),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$A826=IMPORTRANGE(""https://docs.google.com/spreadsheets/d/1qpEmbGH0JjaJbUdp21-y2cPbobDbMjr09BbtdKRO"&amp;"ZWc/edit#gid=1444865654"",""articles_with_PRISMA_reasons!B2:B2113""))&lt;2,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$A826=IMPOR"&amp;"TRANGE(""https://docs.google.com/spreadsheets/d/1qpEmbGH0JjaJbUdp21-y2cPbobDbMjr09BbtdKROZWc/edit#gid=1444865654"",""articles_with_PRISMA_reasons!B2:B2113""))&gt;=2),
""Exclude""
)"),"Exclude")</f>
        <v>Exclude</v>
      </c>
      <c r="F826" s="5" t="str">
        <f>IFERROR(__xludf.DUMMYFUNCTION("IFS(
E826=""Exclude"",""Exclude"",
AND(
COUNTIF(
IMPORTRANGE(""https://docs.google.com/spreadsheets/d/1kGrh75X1cNR1D7_FcY9zMnHP8iPO4M5RCRjy6nZY0TY/edit#gid=0"",""Table 1: Study characteristics!B4:B171""),A826)&gt;0,
COUNTIF(Studies!$A$2:$A$85,FILTER(IMPORTRA"&amp;"NGE(""https://docs.google.com/spreadsheets/d/1kGrh75X1cNR1D7_FcY9zMnHP8iPO4M5RCRjy6nZY0TY/edit#gid=0"",""Table 1: Study characteristics!A4:A171""), $A826=IMPORTRANGE(""https://docs.google.com/spreadsheets/d/1kGrh75X1cNR1D7_FcY9zMnHP8iPO4M5RCRjy6nZY0TY/edi"&amp;"t#gid=0"",""Table 1: Study characteristics!B4:B171"")))&gt;0
),
""Include""
)"),"Exclude")</f>
        <v>Exclude</v>
      </c>
      <c r="G826" s="2" t="s">
        <v>13</v>
      </c>
    </row>
    <row r="827">
      <c r="A827" s="4" t="str">
        <f>IFERROR(__xludf.DUMMYFUNCTION("""COMPUTED_VALUE"""),"Fetal Surgery for Myelomeningocele: A Systematic Review and Meta-Analysis of Outcomes in Fetoscopic versus Open Repair")</f>
        <v>Fetal Surgery for Myelomeningocele: A Systematic Review and Meta-Analysis of Outcomes in Fetoscopic versus Open Repair</v>
      </c>
      <c r="B827" s="5" t="str">
        <f>IFERROR(__xludf.DUMMYFUNCTION("LEFT(FILTER(IMPORTRANGE(""https://docs.google.com/spreadsheets/d/1BJSV3WBYJGRhQ6zExamkszQ5VutGIcaQqmbD9ZTVXMQ/edit#gid=1251630045"",""articles_with_PRISMA_reasons!K2:K2113""), $A827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$A827=IMPORTRANGE(""https://docs.google.com/spreadsheets/d/1BJSV3WBYJGRhQ6zExamkszQ5VutGIcaQqmbD9ZTVXMQ/edit#gid=1251630045"",""articles_with_PRISMA_reasons!B2:B2113"")))-1)"),"Kabagambe")</f>
        <v>Kabagambe</v>
      </c>
      <c r="C827" s="6">
        <f>IFERROR(__xludf.DUMMYFUNCTION("FILTER(IMPORTRANGE(""https://docs.google.com/spreadsheets/d/1BJSV3WBYJGRhQ6zExamkszQ5VutGIcaQqmbD9ZTVXMQ/edit#gid=1251630045"",""articles_with_PRISMA_reasons!C2:C2113""), $A827=IMPORTRANGE(""https://docs.google.com/spreadsheets/d/1BJSV3WBYJGRhQ6zExamkszQ5"&amp;"VutGIcaQqmbD9ZTVXMQ/edit#gid=1251630045"",""articles_with_PRISMA_reasons!B2:B2113""))"),2018.0)</f>
        <v>2018</v>
      </c>
      <c r="D827" s="5" t="str">
        <f>IFERROR(__xludf.DUMMYFUNCTION("IFS(AND(
FILTER(IMPORTRANGE(""https://docs.google.com/spreadsheets/d/1BJSV3WBYJGRhQ6zExamkszQ5VutGIcaQqmbD9ZTVXMQ/edit#gid=1251630045"",""articles_with_PRISMA_reasons!Y2:Y2113""), $A827=IMPORTRANGE(""https://docs.google.com/spreadsheets/d/1BJSV3WBYJGRhQ6z"&amp;"ExamkszQ5VutGIcaQqmbD9ZTVXMQ/edit#gid=1251630045"",""articles_with_PRISMA_reasons!B2:B2113""))&gt;=2,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$A827=IMPORTRANGE(""https://docs.google.com/spreadsheets/d/1BJSV3WBYJGRhQ6zExamkszQ5VutGIcaQqmbD9ZTVXMQ/edit#gid=1251630045"",""articles_with_PRISMA_reasons!B2:B2113""))&lt;2),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$A827=IMPORTRANGE(""https://docs.google.com/spreadsheets/d/1BJSV3WBYJGRhQ6zExamkszQ5VutGIcaQqmbD9ZTVXMQ/edit#gid=1251630045"",""arti"&amp;"cles_with_PRISMA_reasons!B2:B2113""))&lt;2,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$A827=IMPORTRANGE(""https://docs.google.com"&amp;"/spreadsheets/d/1BJSV3WBYJGRhQ6zExamkszQ5VutGIcaQqmbD9ZTVXMQ/edit#gid=1251630045"",""articles_with_PRISMA_reasons!B2:B2113""))&gt;=2),
""Exclude""
)"),"Exclude")</f>
        <v>Exclude</v>
      </c>
      <c r="E827" s="5" t="str">
        <f>IFERROR(__xludf.DUMMYFUNCTION("IFS(
D827=""Exclude"",""Exclude"",
AND(
FILTER(IMPORTRANGE(""https://docs.google.com/spreadsheets/d/1qpEmbGH0JjaJbUdp21-y2cPbobDbMjr09BbtdKROZWc/edit#gid=1444865654"",""articles_with_PRISMA_reasons!W2:W2113""), $A827=IMPORTRANGE(""https://docs.google.com/"&amp;"spreadsheets/d/1qpEmbGH0JjaJbUdp21-y2cPbobDbMjr09BbtdKROZWc/edit#gid=1444865654"",""articles_with_PRISMA_reasons!B2:B2113""))&gt;=2,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$A827=IMPORTRANGE(""https://docs.google.com/spreadsheets/d/1qpEmbGH0JjaJbUdp21-y2cPbobDbMjr09BbtdKROZWc/edit#gid=1444865654"",""articles_with_PRISMA_reasons!B2:B2113""))&lt;2),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$A827=IMPORTRANGE(""https://docs.google.com/spreadsheets/d/1qpEmbGH0JjaJbUdp21-y2cPbobDbMjr09BbtdKRO"&amp;"ZWc/edit#gid=1444865654"",""articles_with_PRISMA_reasons!B2:B2113""))&lt;2,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$A827=IMPOR"&amp;"TRANGE(""https://docs.google.com/spreadsheets/d/1qpEmbGH0JjaJbUdp21-y2cPbobDbMjr09BbtdKROZWc/edit#gid=1444865654"",""articles_with_PRISMA_reasons!B2:B2113""))&gt;=2),
""Exclude""
)"),"Exclude")</f>
        <v>Exclude</v>
      </c>
      <c r="F827" s="5" t="str">
        <f>IFERROR(__xludf.DUMMYFUNCTION("IFS(
E827=""Exclude"",""Exclude"",
AND(
COUNTIF(
IMPORTRANGE(""https://docs.google.com/spreadsheets/d/1kGrh75X1cNR1D7_FcY9zMnHP8iPO4M5RCRjy6nZY0TY/edit#gid=0"",""Table 1: Study characteristics!B4:B171""),A827)&gt;0,
COUNTIF(Studies!$A$2:$A$85,FILTER(IMPORTRA"&amp;"NGE(""https://docs.google.com/spreadsheets/d/1kGrh75X1cNR1D7_FcY9zMnHP8iPO4M5RCRjy6nZY0TY/edit#gid=0"",""Table 1: Study characteristics!A4:A171""), $A827=IMPORTRANGE(""https://docs.google.com/spreadsheets/d/1kGrh75X1cNR1D7_FcY9zMnHP8iPO4M5RCRjy6nZY0TY/edi"&amp;"t#gid=0"",""Table 1: Study characteristics!B4:B171"")))&gt;0
),
""Include""
)"),"Exclude")</f>
        <v>Exclude</v>
      </c>
      <c r="G827" s="5" t="str">
        <f>IFERROR(__xludf.DUMMYFUNCTION("IFS(
D827=""Exclude"",
FILTER(IMPORTRANGE(""https://docs.google.com/spreadsheets/d/1BJSV3WBYJGRhQ6zExamkszQ5VutGIcaQqmbD9ZTVXMQ/edit#gid=1251630045"",""articles_with_PRISMA_reasons!AB2:AB2113""), $A827=IMPORTRANGE(""https://docs.google.com/spreadsheets/d/"&amp;"1BJSV3WBYJGRhQ6zExamkszQ5VutGIcaQqmbD9ZTVXMQ/edit#gid=1251630045"",""articles_with_PRISMA_reasons!B2:B2113"")),
E827=""Exclude"",
FILTER(IMPORTRANGE(""https://docs.google.com/spreadsheets/d/1qpEmbGH0JjaJbUdp21-y2cPbobDbMjr09BbtdKROZWc/edit#gid=1444865654"&amp;""",""articles_with_PRISMA_reasons!Z2:Z2113""), $A827=IMPORTRANGE(""https://docs.google.com/spreadsheets/d/1qpEmbGH0JjaJbUdp21-y2cPbobDbMjr09BbtdKROZWc/edit#gid=1444865654"",""articles_with_PRISMA_reasons!B2:B2113"")),F827
=""Include"",FILTER(IMPORTRANGE("&amp;"""https://docs.google.com/spreadsheets/d/1kGrh75X1cNR1D7_FcY9zMnHP8iPO4M5RCRjy6nZY0TY/edit#gid=0"",""Table 1: Study characteristics!A4:A171""), $A827=IMPORTRANGE(""https://docs.google.com/spreadsheets/d/1kGrh75X1cNR1D7_FcY9zMnHP8iPO4M5RCRjy6nZY0TY/edit#gi"&amp;"d=0"",""Table 1: Study characteristics!B4:B171""))
)"),"wrong study design")</f>
        <v>wrong study design</v>
      </c>
    </row>
    <row r="828">
      <c r="A828" s="4" t="str">
        <f>IFERROR(__xludf.DUMMYFUNCTION("""COMPUTED_VALUE"""),"Fetal surgery for myelomeningocele: Panacea or peril?")</f>
        <v>Fetal surgery for myelomeningocele: Panacea or peril?</v>
      </c>
      <c r="B828" s="5" t="str">
        <f>IFERROR(__xludf.DUMMYFUNCTION("LEFT(FILTER(IMPORTRANGE(""https://docs.google.com/spreadsheets/d/1BJSV3WBYJGRhQ6zExamkszQ5VutGIcaQqmbD9ZTVXMQ/edit#gid=1251630045"",""articles_with_PRISMA_reasons!K2:K2113""), $A828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$A828=IMPORTRANGE(""https://docs.google.com/spreadsheets/d/1BJSV3WBYJGRhQ6zExamkszQ5VutGIcaQqmbD9ZTVXMQ/edit#gid=1251630045"",""articles_with_PRISMA_reasons!B2:B2113"")))-1)"),"Hirose")</f>
        <v>Hirose</v>
      </c>
      <c r="C828" s="6">
        <f>IFERROR(__xludf.DUMMYFUNCTION("FILTER(IMPORTRANGE(""https://docs.google.com/spreadsheets/d/1BJSV3WBYJGRhQ6zExamkszQ5VutGIcaQqmbD9ZTVXMQ/edit#gid=1251630045"",""articles_with_PRISMA_reasons!C2:C2113""), $A828=IMPORTRANGE(""https://docs.google.com/spreadsheets/d/1BJSV3WBYJGRhQ6zExamkszQ5"&amp;"VutGIcaQqmbD9ZTVXMQ/edit#gid=1251630045"",""articles_with_PRISMA_reasons!B2:B2113""))"),2003.0)</f>
        <v>2003</v>
      </c>
      <c r="D828" s="5" t="str">
        <f>IFERROR(__xludf.DUMMYFUNCTION("IFS(AND(
FILTER(IMPORTRANGE(""https://docs.google.com/spreadsheets/d/1BJSV3WBYJGRhQ6zExamkszQ5VutGIcaQqmbD9ZTVXMQ/edit#gid=1251630045"",""articles_with_PRISMA_reasons!Y2:Y2113""), $A828=IMPORTRANGE(""https://docs.google.com/spreadsheets/d/1BJSV3WBYJGRhQ6z"&amp;"ExamkszQ5VutGIcaQqmbD9ZTVXMQ/edit#gid=1251630045"",""articles_with_PRISMA_reasons!B2:B2113""))&gt;=2,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$A828=IMPORTRANGE(""https://docs.google.com/spreadsheets/d/1BJSV3WBYJGRhQ6zExamkszQ5VutGIcaQqmbD9ZTVXMQ/edit#gid=1251630045"",""articles_with_PRISMA_reasons!B2:B2113""))&lt;2),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$A828=IMPORTRANGE(""https://docs.google.com/spreadsheets/d/1BJSV3WBYJGRhQ6zExamkszQ5VutGIcaQqmbD9ZTVXMQ/edit#gid=1251630045"",""arti"&amp;"cles_with_PRISMA_reasons!B2:B2113""))&lt;2,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$A828=IMPORTRANGE(""https://docs.google.com"&amp;"/spreadsheets/d/1BJSV3WBYJGRhQ6zExamkszQ5VutGIcaQqmbD9ZTVXMQ/edit#gid=1251630045"",""articles_with_PRISMA_reasons!B2:B2113""))&gt;=2),
""Exclude""
)"),"Exclude")</f>
        <v>Exclude</v>
      </c>
      <c r="E828" s="5" t="str">
        <f>IFERROR(__xludf.DUMMYFUNCTION("IFS(
D828=""Exclude"",""Exclude"",
AND(
FILTER(IMPORTRANGE(""https://docs.google.com/spreadsheets/d/1qpEmbGH0JjaJbUdp21-y2cPbobDbMjr09BbtdKROZWc/edit#gid=1444865654"",""articles_with_PRISMA_reasons!W2:W2113""), $A828=IMPORTRANGE(""https://docs.google.com/"&amp;"spreadsheets/d/1qpEmbGH0JjaJbUdp21-y2cPbobDbMjr09BbtdKROZWc/edit#gid=1444865654"",""articles_with_PRISMA_reasons!B2:B2113""))&gt;=2,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$A828=IMPORTRANGE(""https://docs.google.com/spreadsheets/d/1qpEmbGH0JjaJbUdp21-y2cPbobDbMjr09BbtdKROZWc/edit#gid=1444865654"",""articles_with_PRISMA_reasons!B2:B2113""))&lt;2),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$A828=IMPORTRANGE(""https://docs.google.com/spreadsheets/d/1qpEmbGH0JjaJbUdp21-y2cPbobDbMjr09BbtdKRO"&amp;"ZWc/edit#gid=1444865654"",""articles_with_PRISMA_reasons!B2:B2113""))&lt;2,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$A828=IMPOR"&amp;"TRANGE(""https://docs.google.com/spreadsheets/d/1qpEmbGH0JjaJbUdp21-y2cPbobDbMjr09BbtdKROZWc/edit#gid=1444865654"",""articles_with_PRISMA_reasons!B2:B2113""))&gt;=2),
""Exclude""
)"),"Exclude")</f>
        <v>Exclude</v>
      </c>
      <c r="F828" s="5" t="str">
        <f>IFERROR(__xludf.DUMMYFUNCTION("IFS(
E828=""Exclude"",""Exclude"",
AND(
COUNTIF(
IMPORTRANGE(""https://docs.google.com/spreadsheets/d/1kGrh75X1cNR1D7_FcY9zMnHP8iPO4M5RCRjy6nZY0TY/edit#gid=0"",""Table 1: Study characteristics!B4:B171""),A828)&gt;0,
COUNTIF(Studies!$A$2:$A$85,FILTER(IMPORTRA"&amp;"NGE(""https://docs.google.com/spreadsheets/d/1kGrh75X1cNR1D7_FcY9zMnHP8iPO4M5RCRjy6nZY0TY/edit#gid=0"",""Table 1: Study characteristics!A4:A171""), $A828=IMPORTRANGE(""https://docs.google.com/spreadsheets/d/1kGrh75X1cNR1D7_FcY9zMnHP8iPO4M5RCRjy6nZY0TY/edi"&amp;"t#gid=0"",""Table 1: Study characteristics!B4:B171"")))&gt;0
),
""Include""
)"),"Exclude")</f>
        <v>Exclude</v>
      </c>
      <c r="G828" s="5" t="str">
        <f>IFERROR(__xludf.DUMMYFUNCTION("IFS(
D828=""Exclude"",
FILTER(IMPORTRANGE(""https://docs.google.com/spreadsheets/d/1BJSV3WBYJGRhQ6zExamkszQ5VutGIcaQqmbD9ZTVXMQ/edit#gid=1251630045"",""articles_with_PRISMA_reasons!AB2:AB2113""), $A828=IMPORTRANGE(""https://docs.google.com/spreadsheets/d/"&amp;"1BJSV3WBYJGRhQ6zExamkszQ5VutGIcaQqmbD9ZTVXMQ/edit#gid=1251630045"",""articles_with_PRISMA_reasons!B2:B2113"")),
E828=""Exclude"",
FILTER(IMPORTRANGE(""https://docs.google.com/spreadsheets/d/1qpEmbGH0JjaJbUdp21-y2cPbobDbMjr09BbtdKROZWc/edit#gid=1444865654"&amp;""",""articles_with_PRISMA_reasons!Z2:Z2113""), $A828=IMPORTRANGE(""https://docs.google.com/spreadsheets/d/1qpEmbGH0JjaJbUdp21-y2cPbobDbMjr09BbtdKROZWc/edit#gid=1444865654"",""articles_with_PRISMA_reasons!B2:B2113"")),F828
=""Include"",FILTER(IMPORTRANGE("&amp;"""https://docs.google.com/spreadsheets/d/1kGrh75X1cNR1D7_FcY9zMnHP8iPO4M5RCRjy6nZY0TY/edit#gid=0"",""Table 1: Study characteristics!A4:A171""), $A828=IMPORTRANGE(""https://docs.google.com/spreadsheets/d/1kGrh75X1cNR1D7_FcY9zMnHP8iPO4M5RCRjy6nZY0TY/edit#gi"&amp;"d=0"",""Table 1: Study characteristics!B4:B171""))
)"),"Ante-natal intervention")</f>
        <v>Ante-natal intervention</v>
      </c>
    </row>
    <row r="829">
      <c r="A829" s="4" t="str">
        <f>IFERROR(__xludf.DUMMYFUNCTION("""COMPUTED_VALUE"""),"Fetal surgery for myelomeningocele: patient selection, perioperative management and outcomes")</f>
        <v>Fetal surgery for myelomeningocele: patient selection, perioperative management and outcomes</v>
      </c>
      <c r="B829" s="5" t="str">
        <f>IFERROR(__xludf.DUMMYFUNCTION("LEFT(FILTER(IMPORTRANGE(""https://docs.google.com/spreadsheets/d/1BJSV3WBYJGRhQ6zExamkszQ5VutGIcaQqmbD9ZTVXMQ/edit#gid=1251630045"",""articles_with_PRISMA_reasons!K2:K2113""), $A829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$A829=IMPORTRANGE(""https://docs.google.com/spreadsheets/d/1BJSV3WBYJGRhQ6zExamkszQ5VutGIcaQqmbD9ZTVXMQ/edit#gid=1251630045"",""articles_with_PRISMA_reasons!B2:B2113"")))-1)"),"Danzer")</f>
        <v>Danzer</v>
      </c>
      <c r="C829" s="6">
        <f>IFERROR(__xludf.DUMMYFUNCTION("FILTER(IMPORTRANGE(""https://docs.google.com/spreadsheets/d/1BJSV3WBYJGRhQ6zExamkszQ5VutGIcaQqmbD9ZTVXMQ/edit#gid=1251630045"",""articles_with_PRISMA_reasons!C2:C2113""), $A829=IMPORTRANGE(""https://docs.google.com/spreadsheets/d/1BJSV3WBYJGRhQ6zExamkszQ5"&amp;"VutGIcaQqmbD9ZTVXMQ/edit#gid=1251630045"",""articles_with_PRISMA_reasons!B2:B2113""))"),2011.0)</f>
        <v>2011</v>
      </c>
      <c r="D829" s="5" t="str">
        <f>IFERROR(__xludf.DUMMYFUNCTION("IFS(AND(
FILTER(IMPORTRANGE(""https://docs.google.com/spreadsheets/d/1BJSV3WBYJGRhQ6zExamkszQ5VutGIcaQqmbD9ZTVXMQ/edit#gid=1251630045"",""articles_with_PRISMA_reasons!Y2:Y2113""), $A829=IMPORTRANGE(""https://docs.google.com/spreadsheets/d/1BJSV3WBYJGRhQ6z"&amp;"ExamkszQ5VutGIcaQqmbD9ZTVXMQ/edit#gid=1251630045"",""articles_with_PRISMA_reasons!B2:B2113""))&gt;=2,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$A829=IMPORTRANGE(""https://docs.google.com/spreadsheets/d/1BJSV3WBYJGRhQ6zExamkszQ5VutGIcaQqmbD9ZTVXMQ/edit#gid=1251630045"",""articles_with_PRISMA_reasons!B2:B2113""))&lt;2),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$A829=IMPORTRANGE(""https://docs.google.com/spreadsheets/d/1BJSV3WBYJGRhQ6zExamkszQ5VutGIcaQqmbD9ZTVXMQ/edit#gid=1251630045"",""arti"&amp;"cles_with_PRISMA_reasons!B2:B2113""))&lt;2,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$A829=IMPORTRANGE(""https://docs.google.com"&amp;"/spreadsheets/d/1BJSV3WBYJGRhQ6zExamkszQ5VutGIcaQqmbD9ZTVXMQ/edit#gid=1251630045"",""articles_with_PRISMA_reasons!B2:B2113""))&gt;=2),
""Exclude""
)"),"Exclude")</f>
        <v>Exclude</v>
      </c>
      <c r="E829" s="5" t="str">
        <f>IFERROR(__xludf.DUMMYFUNCTION("IFS(
D829=""Exclude"",""Exclude"",
AND(
FILTER(IMPORTRANGE(""https://docs.google.com/spreadsheets/d/1qpEmbGH0JjaJbUdp21-y2cPbobDbMjr09BbtdKROZWc/edit#gid=1444865654"",""articles_with_PRISMA_reasons!W2:W2113""), $A829=IMPORTRANGE(""https://docs.google.com/"&amp;"spreadsheets/d/1qpEmbGH0JjaJbUdp21-y2cPbobDbMjr09BbtdKROZWc/edit#gid=1444865654"",""articles_with_PRISMA_reasons!B2:B2113""))&gt;=2,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$A829=IMPORTRANGE(""https://docs.google.com/spreadsheets/d/1qpEmbGH0JjaJbUdp21-y2cPbobDbMjr09BbtdKROZWc/edit#gid=1444865654"",""articles_with_PRISMA_reasons!B2:B2113""))&lt;2),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$A829=IMPORTRANGE(""https://docs.google.com/spreadsheets/d/1qpEmbGH0JjaJbUdp21-y2cPbobDbMjr09BbtdKRO"&amp;"ZWc/edit#gid=1444865654"",""articles_with_PRISMA_reasons!B2:B2113""))&lt;2,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$A829=IMPOR"&amp;"TRANGE(""https://docs.google.com/spreadsheets/d/1qpEmbGH0JjaJbUdp21-y2cPbobDbMjr09BbtdKROZWc/edit#gid=1444865654"",""articles_with_PRISMA_reasons!B2:B2113""))&gt;=2),
""Exclude""
)"),"Exclude")</f>
        <v>Exclude</v>
      </c>
      <c r="F829" s="5" t="str">
        <f>IFERROR(__xludf.DUMMYFUNCTION("IFS(
E829=""Exclude"",""Exclude"",
AND(
COUNTIF(
IMPORTRANGE(""https://docs.google.com/spreadsheets/d/1kGrh75X1cNR1D7_FcY9zMnHP8iPO4M5RCRjy6nZY0TY/edit#gid=0"",""Table 1: Study characteristics!B4:B171""),A829)&gt;0,
COUNTIF(Studies!$A$2:$A$85,FILTER(IMPORTRA"&amp;"NGE(""https://docs.google.com/spreadsheets/d/1kGrh75X1cNR1D7_FcY9zMnHP8iPO4M5RCRjy6nZY0TY/edit#gid=0"",""Table 1: Study characteristics!A4:A171""), $A829=IMPORTRANGE(""https://docs.google.com/spreadsheets/d/1kGrh75X1cNR1D7_FcY9zMnHP8iPO4M5RCRjy6nZY0TY/edi"&amp;"t#gid=0"",""Table 1: Study characteristics!B4:B171"")))&gt;0
),
""Include""
)"),"Exclude")</f>
        <v>Exclude</v>
      </c>
      <c r="G829" s="5" t="str">
        <f>IFERROR(__xludf.DUMMYFUNCTION("IFS(
D829=""Exclude"",
FILTER(IMPORTRANGE(""https://docs.google.com/spreadsheets/d/1BJSV3WBYJGRhQ6zExamkszQ5VutGIcaQqmbD9ZTVXMQ/edit#gid=1251630045"",""articles_with_PRISMA_reasons!AB2:AB2113""), $A829=IMPORTRANGE(""https://docs.google.com/spreadsheets/d/"&amp;"1BJSV3WBYJGRhQ6zExamkszQ5VutGIcaQqmbD9ZTVXMQ/edit#gid=1251630045"",""articles_with_PRISMA_reasons!B2:B2113"")),
E829=""Exclude"",
FILTER(IMPORTRANGE(""https://docs.google.com/spreadsheets/d/1qpEmbGH0JjaJbUdp21-y2cPbobDbMjr09BbtdKROZWc/edit#gid=1444865654"&amp;""",""articles_with_PRISMA_reasons!Z2:Z2113""), $A829=IMPORTRANGE(""https://docs.google.com/spreadsheets/d/1qpEmbGH0JjaJbUdp21-y2cPbobDbMjr09BbtdKROZWc/edit#gid=1444865654"",""articles_with_PRISMA_reasons!B2:B2113"")),F829
=""Include"",FILTER(IMPORTRANGE("&amp;"""https://docs.google.com/spreadsheets/d/1kGrh75X1cNR1D7_FcY9zMnHP8iPO4M5RCRjy6nZY0TY/edit#gid=0"",""Table 1: Study characteristics!A4:A171""), $A829=IMPORTRANGE(""https://docs.google.com/spreadsheets/d/1kGrh75X1cNR1D7_FcY9zMnHP8iPO4M5RCRjy6nZY0TY/edit#gi"&amp;"d=0"",""Table 1: Study characteristics!B4:B171""))
)"),"Ante-natal intervention")</f>
        <v>Ante-natal intervention</v>
      </c>
    </row>
    <row r="830">
      <c r="A830" s="4" t="str">
        <f>IFERROR(__xludf.DUMMYFUNCTION("""COMPUTED_VALUE"""),"Fetal surgery for myelomeningocele: Progress and perspectives")</f>
        <v>Fetal surgery for myelomeningocele: Progress and perspectives</v>
      </c>
      <c r="B830" s="5" t="str">
        <f>IFERROR(__xludf.DUMMYFUNCTION("LEFT(FILTER(IMPORTRANGE(""https://docs.google.com/spreadsheets/d/1BJSV3WBYJGRhQ6zExamkszQ5VutGIcaQqmbD9ZTVXMQ/edit#gid=1251630045"",""articles_with_PRISMA_reasons!K2:K2113""), $A830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$A830=IMPORTRANGE(""https://docs.google.com/spreadsheets/d/1BJSV3WBYJGRhQ6zExamkszQ5VutGIcaQqmbD9ZTVXMQ/edit#gid=1251630045"",""articles_with_PRISMA_reasons!B2:B2113"")))-1)"),"Danzer")</f>
        <v>Danzer</v>
      </c>
      <c r="C830" s="6">
        <f>IFERROR(__xludf.DUMMYFUNCTION("FILTER(IMPORTRANGE(""https://docs.google.com/spreadsheets/d/1BJSV3WBYJGRhQ6zExamkszQ5VutGIcaQqmbD9ZTVXMQ/edit#gid=1251630045"",""articles_with_PRISMA_reasons!C2:C2113""), $A830=IMPORTRANGE(""https://docs.google.com/spreadsheets/d/1BJSV3WBYJGRhQ6zExamkszQ5"&amp;"VutGIcaQqmbD9ZTVXMQ/edit#gid=1251630045"",""articles_with_PRISMA_reasons!B2:B2113""))"),2012.0)</f>
        <v>2012</v>
      </c>
      <c r="D830" s="5" t="str">
        <f>IFERROR(__xludf.DUMMYFUNCTION("IFS(AND(
FILTER(IMPORTRANGE(""https://docs.google.com/spreadsheets/d/1BJSV3WBYJGRhQ6zExamkszQ5VutGIcaQqmbD9ZTVXMQ/edit#gid=1251630045"",""articles_with_PRISMA_reasons!Y2:Y2113""), $A830=IMPORTRANGE(""https://docs.google.com/spreadsheets/d/1BJSV3WBYJGRhQ6z"&amp;"ExamkszQ5VutGIcaQqmbD9ZTVXMQ/edit#gid=1251630045"",""articles_with_PRISMA_reasons!B2:B2113""))&gt;=2,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$A830=IMPORTRANGE(""https://docs.google.com/spreadsheets/d/1BJSV3WBYJGRhQ6zExamkszQ5VutGIcaQqmbD9ZTVXMQ/edit#gid=1251630045"",""articles_with_PRISMA_reasons!B2:B2113""))&lt;2),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$A830=IMPORTRANGE(""https://docs.google.com/spreadsheets/d/1BJSV3WBYJGRhQ6zExamkszQ5VutGIcaQqmbD9ZTVXMQ/edit#gid=1251630045"",""arti"&amp;"cles_with_PRISMA_reasons!B2:B2113""))&lt;2,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$A830=IMPORTRANGE(""https://docs.google.com"&amp;"/spreadsheets/d/1BJSV3WBYJGRhQ6zExamkszQ5VutGIcaQqmbD9ZTVXMQ/edit#gid=1251630045"",""articles_with_PRISMA_reasons!B2:B2113""))&gt;=2),
""Exclude""
)"),"Exclude")</f>
        <v>Exclude</v>
      </c>
      <c r="E830" s="5" t="str">
        <f>IFERROR(__xludf.DUMMYFUNCTION("IFS(
D830=""Exclude"",""Exclude"",
AND(
FILTER(IMPORTRANGE(""https://docs.google.com/spreadsheets/d/1qpEmbGH0JjaJbUdp21-y2cPbobDbMjr09BbtdKROZWc/edit#gid=1444865654"",""articles_with_PRISMA_reasons!W2:W2113""), $A830=IMPORTRANGE(""https://docs.google.com/"&amp;"spreadsheets/d/1qpEmbGH0JjaJbUdp21-y2cPbobDbMjr09BbtdKROZWc/edit#gid=1444865654"",""articles_with_PRISMA_reasons!B2:B2113""))&gt;=2,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$A830=IMPORTRANGE(""https://docs.google.com/spreadsheets/d/1qpEmbGH0JjaJbUdp21-y2cPbobDbMjr09BbtdKROZWc/edit#gid=1444865654"",""articles_with_PRISMA_reasons!B2:B2113""))&lt;2),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$A830=IMPORTRANGE(""https://docs.google.com/spreadsheets/d/1qpEmbGH0JjaJbUdp21-y2cPbobDbMjr09BbtdKRO"&amp;"ZWc/edit#gid=1444865654"",""articles_with_PRISMA_reasons!B2:B2113""))&lt;2,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$A830=IMPOR"&amp;"TRANGE(""https://docs.google.com/spreadsheets/d/1qpEmbGH0JjaJbUdp21-y2cPbobDbMjr09BbtdKROZWc/edit#gid=1444865654"",""articles_with_PRISMA_reasons!B2:B2113""))&gt;=2),
""Exclude""
)"),"Exclude")</f>
        <v>Exclude</v>
      </c>
      <c r="F830" s="5" t="str">
        <f>IFERROR(__xludf.DUMMYFUNCTION("IFS(
E830=""Exclude"",""Exclude"",
AND(
COUNTIF(
IMPORTRANGE(""https://docs.google.com/spreadsheets/d/1kGrh75X1cNR1D7_FcY9zMnHP8iPO4M5RCRjy6nZY0TY/edit#gid=0"",""Table 1: Study characteristics!B4:B171""),A830)&gt;0,
COUNTIF(Studies!$A$2:$A$85,FILTER(IMPORTRA"&amp;"NGE(""https://docs.google.com/spreadsheets/d/1kGrh75X1cNR1D7_FcY9zMnHP8iPO4M5RCRjy6nZY0TY/edit#gid=0"",""Table 1: Study characteristics!A4:A171""), $A830=IMPORTRANGE(""https://docs.google.com/spreadsheets/d/1kGrh75X1cNR1D7_FcY9zMnHP8iPO4M5RCRjy6nZY0TY/edi"&amp;"t#gid=0"",""Table 1: Study characteristics!B4:B171"")))&gt;0
),
""Include""
)"),"Exclude")</f>
        <v>Exclude</v>
      </c>
      <c r="G830" s="5" t="str">
        <f>IFERROR(__xludf.DUMMYFUNCTION("IFS(
D830=""Exclude"",
FILTER(IMPORTRANGE(""https://docs.google.com/spreadsheets/d/1BJSV3WBYJGRhQ6zExamkszQ5VutGIcaQqmbD9ZTVXMQ/edit#gid=1251630045"",""articles_with_PRISMA_reasons!AB2:AB2113""), $A830=IMPORTRANGE(""https://docs.google.com/spreadsheets/d/"&amp;"1BJSV3WBYJGRhQ6zExamkszQ5VutGIcaQqmbD9ZTVXMQ/edit#gid=1251630045"",""articles_with_PRISMA_reasons!B2:B2113"")),
E830=""Exclude"",
FILTER(IMPORTRANGE(""https://docs.google.com/spreadsheets/d/1qpEmbGH0JjaJbUdp21-y2cPbobDbMjr09BbtdKROZWc/edit#gid=1444865654"&amp;""",""articles_with_PRISMA_reasons!Z2:Z2113""), $A830=IMPORTRANGE(""https://docs.google.com/spreadsheets/d/1qpEmbGH0JjaJbUdp21-y2cPbobDbMjr09BbtdKROZWc/edit#gid=1444865654"",""articles_with_PRISMA_reasons!B2:B2113"")),F830
=""Include"",FILTER(IMPORTRANGE("&amp;"""https://docs.google.com/spreadsheets/d/1kGrh75X1cNR1D7_FcY9zMnHP8iPO4M5RCRjy6nZY0TY/edit#gid=0"",""Table 1: Study characteristics!A4:A171""), $A830=IMPORTRANGE(""https://docs.google.com/spreadsheets/d/1kGrh75X1cNR1D7_FcY9zMnHP8iPO4M5RCRjy6nZY0TY/edit#gi"&amp;"d=0"",""Table 1: Study characteristics!B4:B171""))
)"),"wrong study design")</f>
        <v>wrong study design</v>
      </c>
    </row>
    <row r="831">
      <c r="A831" s="4" t="str">
        <f>IFERROR(__xludf.DUMMYFUNCTION("""COMPUTED_VALUE"""),"Fetal surgery for myelomeningocele: Trials and tribulations")</f>
        <v>Fetal surgery for myelomeningocele: Trials and tribulations</v>
      </c>
      <c r="B831" s="5" t="str">
        <f>IFERROR(__xludf.DUMMYFUNCTION("LEFT(FILTER(IMPORTRANGE(""https://docs.google.com/spreadsheets/d/1BJSV3WBYJGRhQ6zExamkszQ5VutGIcaQqmbD9ZTVXMQ/edit#gid=1251630045"",""articles_with_PRISMA_reasons!K2:K2113""), $A831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$A831=IMPORTRANGE(""https://docs.google.com/spreadsheets/d/1BJSV3WBYJGRhQ6zExamkszQ5VutGIcaQqmbD9ZTVXMQ/edit#gid=1251630045"",""articles_with_PRISMA_reasons!B2:B2113"")))-1)"),"Adzick")</f>
        <v>Adzick</v>
      </c>
      <c r="C831" s="6">
        <f>IFERROR(__xludf.DUMMYFUNCTION("FILTER(IMPORTRANGE(""https://docs.google.com/spreadsheets/d/1BJSV3WBYJGRhQ6zExamkszQ5VutGIcaQqmbD9ZTVXMQ/edit#gid=1251630045"",""articles_with_PRISMA_reasons!C2:C2113""), $A831=IMPORTRANGE(""https://docs.google.com/spreadsheets/d/1BJSV3WBYJGRhQ6zExamkszQ5"&amp;"VutGIcaQqmbD9ZTVXMQ/edit#gid=1251630045"",""articles_with_PRISMA_reasons!B2:B2113""))"),2012.0)</f>
        <v>2012</v>
      </c>
      <c r="D831" s="5" t="str">
        <f>IFERROR(__xludf.DUMMYFUNCTION("IFS(AND(
FILTER(IMPORTRANGE(""https://docs.google.com/spreadsheets/d/1BJSV3WBYJGRhQ6zExamkszQ5VutGIcaQqmbD9ZTVXMQ/edit#gid=1251630045"",""articles_with_PRISMA_reasons!Y2:Y2113""), $A831=IMPORTRANGE(""https://docs.google.com/spreadsheets/d/1BJSV3WBYJGRhQ6z"&amp;"ExamkszQ5VutGIcaQqmbD9ZTVXMQ/edit#gid=1251630045"",""articles_with_PRISMA_reasons!B2:B2113""))&gt;=2,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$A831=IMPORTRANGE(""https://docs.google.com/spreadsheets/d/1BJSV3WBYJGRhQ6zExamkszQ5VutGIcaQqmbD9ZTVXMQ/edit#gid=1251630045"",""articles_with_PRISMA_reasons!B2:B2113""))&lt;2),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$A831=IMPORTRANGE(""https://docs.google.com/spreadsheets/d/1BJSV3WBYJGRhQ6zExamkszQ5VutGIcaQqmbD9ZTVXMQ/edit#gid=1251630045"",""arti"&amp;"cles_with_PRISMA_reasons!B2:B2113""))&lt;2,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$A831=IMPORTRANGE(""https://docs.google.com"&amp;"/spreadsheets/d/1BJSV3WBYJGRhQ6zExamkszQ5VutGIcaQqmbD9ZTVXMQ/edit#gid=1251630045"",""articles_with_PRISMA_reasons!B2:B2113""))&gt;=2),
""Exclude""
)"),"Exclude")</f>
        <v>Exclude</v>
      </c>
      <c r="E831" s="5" t="str">
        <f>IFERROR(__xludf.DUMMYFUNCTION("IFS(
D831=""Exclude"",""Exclude"",
AND(
FILTER(IMPORTRANGE(""https://docs.google.com/spreadsheets/d/1qpEmbGH0JjaJbUdp21-y2cPbobDbMjr09BbtdKROZWc/edit#gid=1444865654"",""articles_with_PRISMA_reasons!W2:W2113""), $A831=IMPORTRANGE(""https://docs.google.com/"&amp;"spreadsheets/d/1qpEmbGH0JjaJbUdp21-y2cPbobDbMjr09BbtdKROZWc/edit#gid=1444865654"",""articles_with_PRISMA_reasons!B2:B2113""))&gt;=2,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$A831=IMPORTRANGE(""https://docs.google.com/spreadsheets/d/1qpEmbGH0JjaJbUdp21-y2cPbobDbMjr09BbtdKROZWc/edit#gid=1444865654"",""articles_with_PRISMA_reasons!B2:B2113""))&lt;2),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$A831=IMPORTRANGE(""https://docs.google.com/spreadsheets/d/1qpEmbGH0JjaJbUdp21-y2cPbobDbMjr09BbtdKRO"&amp;"ZWc/edit#gid=1444865654"",""articles_with_PRISMA_reasons!B2:B2113""))&lt;2,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$A831=IMPOR"&amp;"TRANGE(""https://docs.google.com/spreadsheets/d/1qpEmbGH0JjaJbUdp21-y2cPbobDbMjr09BbtdKROZWc/edit#gid=1444865654"",""articles_with_PRISMA_reasons!B2:B2113""))&gt;=2),
""Exclude""
)"),"Exclude")</f>
        <v>Exclude</v>
      </c>
      <c r="F831" s="5" t="str">
        <f>IFERROR(__xludf.DUMMYFUNCTION("IFS(
E831=""Exclude"",""Exclude"",
AND(
COUNTIF(
IMPORTRANGE(""https://docs.google.com/spreadsheets/d/1kGrh75X1cNR1D7_FcY9zMnHP8iPO4M5RCRjy6nZY0TY/edit#gid=0"",""Table 1: Study characteristics!B4:B171""),A831)&gt;0,
COUNTIF(Studies!$A$2:$A$85,FILTER(IMPORTRA"&amp;"NGE(""https://docs.google.com/spreadsheets/d/1kGrh75X1cNR1D7_FcY9zMnHP8iPO4M5RCRjy6nZY0TY/edit#gid=0"",""Table 1: Study characteristics!A4:A171""), $A831=IMPORTRANGE(""https://docs.google.com/spreadsheets/d/1kGrh75X1cNR1D7_FcY9zMnHP8iPO4M5RCRjy6nZY0TY/edi"&amp;"t#gid=0"",""Table 1: Study characteristics!B4:B171"")))&gt;0
),
""Include""
)"),"Exclude")</f>
        <v>Exclude</v>
      </c>
      <c r="G831" s="5" t="str">
        <f>IFERROR(__xludf.DUMMYFUNCTION("IFS(
D831=""Exclude"",
FILTER(IMPORTRANGE(""https://docs.google.com/spreadsheets/d/1BJSV3WBYJGRhQ6zExamkszQ5VutGIcaQqmbD9ZTVXMQ/edit#gid=1251630045"",""articles_with_PRISMA_reasons!AB2:AB2113""), $A831=IMPORTRANGE(""https://docs.google.com/spreadsheets/d/"&amp;"1BJSV3WBYJGRhQ6zExamkszQ5VutGIcaQqmbD9ZTVXMQ/edit#gid=1251630045"",""articles_with_PRISMA_reasons!B2:B2113"")),
E831=""Exclude"",
FILTER(IMPORTRANGE(""https://docs.google.com/spreadsheets/d/1qpEmbGH0JjaJbUdp21-y2cPbobDbMjr09BbtdKROZWc/edit#gid=1444865654"&amp;""",""articles_with_PRISMA_reasons!Z2:Z2113""), $A831=IMPORTRANGE(""https://docs.google.com/spreadsheets/d/1qpEmbGH0JjaJbUdp21-y2cPbobDbMjr09BbtdKROZWc/edit#gid=1444865654"",""articles_with_PRISMA_reasons!B2:B2113"")),F831
=""Include"",FILTER(IMPORTRANGE("&amp;"""https://docs.google.com/spreadsheets/d/1kGrh75X1cNR1D7_FcY9zMnHP8iPO4M5RCRjy6nZY0TY/edit#gid=0"",""Table 1: Study characteristics!A4:A171""), $A831=IMPORTRANGE(""https://docs.google.com/spreadsheets/d/1kGrh75X1cNR1D7_FcY9zMnHP8iPO4M5RCRjy6nZY0TY/edit#gi"&amp;"d=0"",""Table 1: Study characteristics!B4:B171""))
)"),"wrong study design")</f>
        <v>wrong study design</v>
      </c>
    </row>
    <row r="832">
      <c r="A832" s="4" t="str">
        <f>IFERROR(__xludf.DUMMYFUNCTION("""COMPUTED_VALUE"""),"Fetal surgery for neural tube defects")</f>
        <v>Fetal surgery for neural tube defects</v>
      </c>
      <c r="B832" s="5" t="str">
        <f>IFERROR(__xludf.DUMMYFUNCTION("LEFT(FILTER(IMPORTRANGE(""https://docs.google.com/spreadsheets/d/1BJSV3WBYJGRhQ6zExamkszQ5VutGIcaQqmbD9ZTVXMQ/edit#gid=1251630045"",""articles_with_PRISMA_reasons!K2:K2113""), $A832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$A832=IMPORTRANGE(""https://docs.google.com/spreadsheets/d/1BJSV3WBYJGRhQ6zExamkszQ5VutGIcaQqmbD9ZTVXMQ/edit#gid=1251630045"",""articles_with_PRISMA_reasons!B2:B2113"")))-1)"),"Sutton")</f>
        <v>Sutton</v>
      </c>
      <c r="C832" s="6">
        <f>IFERROR(__xludf.DUMMYFUNCTION("FILTER(IMPORTRANGE(""https://docs.google.com/spreadsheets/d/1BJSV3WBYJGRhQ6zExamkszQ5VutGIcaQqmbD9ZTVXMQ/edit#gid=1251630045"",""articles_with_PRISMA_reasons!C2:C2113""), $A832=IMPORTRANGE(""https://docs.google.com/spreadsheets/d/1BJSV3WBYJGRhQ6zExamkszQ5"&amp;"VutGIcaQqmbD9ZTVXMQ/edit#gid=1251630045"",""articles_with_PRISMA_reasons!B2:B2113""))"),2008.0)</f>
        <v>2008</v>
      </c>
      <c r="D832" s="5" t="str">
        <f>IFERROR(__xludf.DUMMYFUNCTION("IFS(AND(
FILTER(IMPORTRANGE(""https://docs.google.com/spreadsheets/d/1BJSV3WBYJGRhQ6zExamkszQ5VutGIcaQqmbD9ZTVXMQ/edit#gid=1251630045"",""articles_with_PRISMA_reasons!Y2:Y2113""), $A832=IMPORTRANGE(""https://docs.google.com/spreadsheets/d/1BJSV3WBYJGRhQ6z"&amp;"ExamkszQ5VutGIcaQqmbD9ZTVXMQ/edit#gid=1251630045"",""articles_with_PRISMA_reasons!B2:B2113""))&gt;=2,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$A832=IMPORTRANGE(""https://docs.google.com/spreadsheets/d/1BJSV3WBYJGRhQ6zExamkszQ5VutGIcaQqmbD9ZTVXMQ/edit#gid=1251630045"",""articles_with_PRISMA_reasons!B2:B2113""))&lt;2),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$A832=IMPORTRANGE(""https://docs.google.com/spreadsheets/d/1BJSV3WBYJGRhQ6zExamkszQ5VutGIcaQqmbD9ZTVXMQ/edit#gid=1251630045"",""arti"&amp;"cles_with_PRISMA_reasons!B2:B2113""))&lt;2,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$A832=IMPORTRANGE(""https://docs.google.com"&amp;"/spreadsheets/d/1BJSV3WBYJGRhQ6zExamkszQ5VutGIcaQqmbD9ZTVXMQ/edit#gid=1251630045"",""articles_with_PRISMA_reasons!B2:B2113""))&gt;=2),
""Exclude""
)"),"Exclude")</f>
        <v>Exclude</v>
      </c>
      <c r="E832" s="5" t="str">
        <f>IFERROR(__xludf.DUMMYFUNCTION("IFS(
D832=""Exclude"",""Exclude"",
AND(
FILTER(IMPORTRANGE(""https://docs.google.com/spreadsheets/d/1qpEmbGH0JjaJbUdp21-y2cPbobDbMjr09BbtdKROZWc/edit#gid=1444865654"",""articles_with_PRISMA_reasons!W2:W2113""), $A832=IMPORTRANGE(""https://docs.google.com/"&amp;"spreadsheets/d/1qpEmbGH0JjaJbUdp21-y2cPbobDbMjr09BbtdKROZWc/edit#gid=1444865654"",""articles_with_PRISMA_reasons!B2:B2113""))&gt;=2,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$A832=IMPORTRANGE(""https://docs.google.com/spreadsheets/d/1qpEmbGH0JjaJbUdp21-y2cPbobDbMjr09BbtdKROZWc/edit#gid=1444865654"",""articles_with_PRISMA_reasons!B2:B2113""))&lt;2),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$A832=IMPORTRANGE(""https://docs.google.com/spreadsheets/d/1qpEmbGH0JjaJbUdp21-y2cPbobDbMjr09BbtdKRO"&amp;"ZWc/edit#gid=1444865654"",""articles_with_PRISMA_reasons!B2:B2113""))&lt;2,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$A832=IMPOR"&amp;"TRANGE(""https://docs.google.com/spreadsheets/d/1qpEmbGH0JjaJbUdp21-y2cPbobDbMjr09BbtdKROZWc/edit#gid=1444865654"",""articles_with_PRISMA_reasons!B2:B2113""))&gt;=2),
""Exclude""
)"),"Exclude")</f>
        <v>Exclude</v>
      </c>
      <c r="F832" s="5" t="str">
        <f>IFERROR(__xludf.DUMMYFUNCTION("IFS(
E832=""Exclude"",""Exclude"",
AND(
COUNTIF(
IMPORTRANGE(""https://docs.google.com/spreadsheets/d/1kGrh75X1cNR1D7_FcY9zMnHP8iPO4M5RCRjy6nZY0TY/edit#gid=0"",""Table 1: Study characteristics!B4:B171""),A832)&gt;0,
COUNTIF(Studies!$A$2:$A$85,FILTER(IMPORTRA"&amp;"NGE(""https://docs.google.com/spreadsheets/d/1kGrh75X1cNR1D7_FcY9zMnHP8iPO4M5RCRjy6nZY0TY/edit#gid=0"",""Table 1: Study characteristics!A4:A171""), $A832=IMPORTRANGE(""https://docs.google.com/spreadsheets/d/1kGrh75X1cNR1D7_FcY9zMnHP8iPO4M5RCRjy6nZY0TY/edi"&amp;"t#gid=0"",""Table 1: Study characteristics!B4:B171"")))&gt;0
),
""Include""
)"),"Exclude")</f>
        <v>Exclude</v>
      </c>
      <c r="G832" s="5" t="str">
        <f>IFERROR(__xludf.DUMMYFUNCTION("IFS(
D832=""Exclude"",
FILTER(IMPORTRANGE(""https://docs.google.com/spreadsheets/d/1BJSV3WBYJGRhQ6zExamkszQ5VutGIcaQqmbD9ZTVXMQ/edit#gid=1251630045"",""articles_with_PRISMA_reasons!AB2:AB2113""), $A832=IMPORTRANGE(""https://docs.google.com/spreadsheets/d/"&amp;"1BJSV3WBYJGRhQ6zExamkszQ5VutGIcaQqmbD9ZTVXMQ/edit#gid=1251630045"",""articles_with_PRISMA_reasons!B2:B2113"")),
E832=""Exclude"",
FILTER(IMPORTRANGE(""https://docs.google.com/spreadsheets/d/1qpEmbGH0JjaJbUdp21-y2cPbobDbMjr09BbtdKROZWc/edit#gid=1444865654"&amp;""",""articles_with_PRISMA_reasons!Z2:Z2113""), $A832=IMPORTRANGE(""https://docs.google.com/spreadsheets/d/1qpEmbGH0JjaJbUdp21-y2cPbobDbMjr09BbtdKROZWc/edit#gid=1444865654"",""articles_with_PRISMA_reasons!B2:B2113"")),F832
=""Include"",FILTER(IMPORTRANGE("&amp;"""https://docs.google.com/spreadsheets/d/1kGrh75X1cNR1D7_FcY9zMnHP8iPO4M5RCRjy6nZY0TY/edit#gid=0"",""Table 1: Study characteristics!A4:A171""), $A832=IMPORTRANGE(""https://docs.google.com/spreadsheets/d/1kGrh75X1cNR1D7_FcY9zMnHP8iPO4M5RCRjy6nZY0TY/edit#gi"&amp;"d=0"",""Table 1: Study characteristics!B4:B171""))
)"),"Ante-natal intervention")</f>
        <v>Ante-natal intervention</v>
      </c>
    </row>
    <row r="833">
      <c r="A833" s="4" t="str">
        <f>IFERROR(__xludf.DUMMYFUNCTION("""COMPUTED_VALUE"""),"Fetal surgery for spina bifida")</f>
        <v>Fetal surgery for spina bifida</v>
      </c>
      <c r="B833" s="5" t="str">
        <f>IFERROR(__xludf.DUMMYFUNCTION("LEFT(FILTER(IMPORTRANGE(""https://docs.google.com/spreadsheets/d/1BJSV3WBYJGRhQ6zExamkszQ5VutGIcaQqmbD9ZTVXMQ/edit#gid=1251630045"",""articles_with_PRISMA_reasons!K2:K2113""), $A833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$A833=IMPORTRANGE(""https://docs.google.com/spreadsheets/d/1BJSV3WBYJGRhQ6zExamkszQ5VutGIcaQqmbD9ZTVXMQ/edit#gid=1251630045"",""articles_with_PRISMA_reasons!B2:B2113"")))-1)"),"Dewan")</f>
        <v>Dewan</v>
      </c>
      <c r="C833" s="6">
        <f>IFERROR(__xludf.DUMMYFUNCTION("FILTER(IMPORTRANGE(""https://docs.google.com/spreadsheets/d/1BJSV3WBYJGRhQ6zExamkszQ5VutGIcaQqmbD9ZTVXMQ/edit#gid=1251630045"",""articles_with_PRISMA_reasons!C2:C2113""), $A833=IMPORTRANGE(""https://docs.google.com/spreadsheets/d/1BJSV3WBYJGRhQ6zExamkszQ5"&amp;"VutGIcaQqmbD9ZTVXMQ/edit#gid=1251630045"",""articles_with_PRISMA_reasons!B2:B2113""))"),2019.0)</f>
        <v>2019</v>
      </c>
      <c r="D833" s="5" t="str">
        <f>IFERROR(__xludf.DUMMYFUNCTION("IFS(AND(
FILTER(IMPORTRANGE(""https://docs.google.com/spreadsheets/d/1BJSV3WBYJGRhQ6zExamkszQ5VutGIcaQqmbD9ZTVXMQ/edit#gid=1251630045"",""articles_with_PRISMA_reasons!Y2:Y2113""), $A833=IMPORTRANGE(""https://docs.google.com/spreadsheets/d/1BJSV3WBYJGRhQ6z"&amp;"ExamkszQ5VutGIcaQqmbD9ZTVXMQ/edit#gid=1251630045"",""articles_with_PRISMA_reasons!B2:B2113""))&gt;=2,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$A833=IMPORTRANGE(""https://docs.google.com/spreadsheets/d/1BJSV3WBYJGRhQ6zExamkszQ5VutGIcaQqmbD9ZTVXMQ/edit#gid=1251630045"",""articles_with_PRISMA_reasons!B2:B2113""))&lt;2),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$A833=IMPORTRANGE(""https://docs.google.com/spreadsheets/d/1BJSV3WBYJGRhQ6zExamkszQ5VutGIcaQqmbD9ZTVXMQ/edit#gid=1251630045"",""arti"&amp;"cles_with_PRISMA_reasons!B2:B2113""))&lt;2,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$A833=IMPORTRANGE(""https://docs.google.com"&amp;"/spreadsheets/d/1BJSV3WBYJGRhQ6zExamkszQ5VutGIcaQqmbD9ZTVXMQ/edit#gid=1251630045"",""articles_with_PRISMA_reasons!B2:B2113""))&gt;=2),
""Exclude""
)"),"Exclude")</f>
        <v>Exclude</v>
      </c>
      <c r="E833" s="5" t="str">
        <f>IFERROR(__xludf.DUMMYFUNCTION("IFS(
D833=""Exclude"",""Exclude"",
AND(
FILTER(IMPORTRANGE(""https://docs.google.com/spreadsheets/d/1qpEmbGH0JjaJbUdp21-y2cPbobDbMjr09BbtdKROZWc/edit#gid=1444865654"",""articles_with_PRISMA_reasons!W2:W2113""), $A833=IMPORTRANGE(""https://docs.google.com/"&amp;"spreadsheets/d/1qpEmbGH0JjaJbUdp21-y2cPbobDbMjr09BbtdKROZWc/edit#gid=1444865654"",""articles_with_PRISMA_reasons!B2:B2113""))&gt;=2,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$A833=IMPORTRANGE(""https://docs.google.com/spreadsheets/d/1qpEmbGH0JjaJbUdp21-y2cPbobDbMjr09BbtdKROZWc/edit#gid=1444865654"",""articles_with_PRISMA_reasons!B2:B2113""))&lt;2),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$A833=IMPORTRANGE(""https://docs.google.com/spreadsheets/d/1qpEmbGH0JjaJbUdp21-y2cPbobDbMjr09BbtdKRO"&amp;"ZWc/edit#gid=1444865654"",""articles_with_PRISMA_reasons!B2:B2113""))&lt;2,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$A833=IMPOR"&amp;"TRANGE(""https://docs.google.com/spreadsheets/d/1qpEmbGH0JjaJbUdp21-y2cPbobDbMjr09BbtdKROZWc/edit#gid=1444865654"",""articles_with_PRISMA_reasons!B2:B2113""))&gt;=2),
""Exclude""
)"),"Exclude")</f>
        <v>Exclude</v>
      </c>
      <c r="F833" s="5" t="str">
        <f>IFERROR(__xludf.DUMMYFUNCTION("IFS(
E833=""Exclude"",""Exclude"",
AND(
COUNTIF(
IMPORTRANGE(""https://docs.google.com/spreadsheets/d/1kGrh75X1cNR1D7_FcY9zMnHP8iPO4M5RCRjy6nZY0TY/edit#gid=0"",""Table 1: Study characteristics!B4:B171""),A833)&gt;0,
COUNTIF(Studies!$A$2:$A$85,FILTER(IMPORTRA"&amp;"NGE(""https://docs.google.com/spreadsheets/d/1kGrh75X1cNR1D7_FcY9zMnHP8iPO4M5RCRjy6nZY0TY/edit#gid=0"",""Table 1: Study characteristics!A4:A171""), $A833=IMPORTRANGE(""https://docs.google.com/spreadsheets/d/1kGrh75X1cNR1D7_FcY9zMnHP8iPO4M5RCRjy6nZY0TY/edi"&amp;"t#gid=0"",""Table 1: Study characteristics!B4:B171"")))&gt;0
),
""Include""
)"),"Exclude")</f>
        <v>Exclude</v>
      </c>
      <c r="G833" s="5" t="str">
        <f>IFERROR(__xludf.DUMMYFUNCTION("IFS(
D833=""Exclude"",
FILTER(IMPORTRANGE(""https://docs.google.com/spreadsheets/d/1BJSV3WBYJGRhQ6zExamkszQ5VutGIcaQqmbD9ZTVXMQ/edit#gid=1251630045"",""articles_with_PRISMA_reasons!AB2:AB2113""), $A833=IMPORTRANGE(""https://docs.google.com/spreadsheets/d/"&amp;"1BJSV3WBYJGRhQ6zExamkszQ5VutGIcaQqmbD9ZTVXMQ/edit#gid=1251630045"",""articles_with_PRISMA_reasons!B2:B2113"")),
E833=""Exclude"",
FILTER(IMPORTRANGE(""https://docs.google.com/spreadsheets/d/1qpEmbGH0JjaJbUdp21-y2cPbobDbMjr09BbtdKROZWc/edit#gid=1444865654"&amp;""",""articles_with_PRISMA_reasons!Z2:Z2113""), $A833=IMPORTRANGE(""https://docs.google.com/spreadsheets/d/1qpEmbGH0JjaJbUdp21-y2cPbobDbMjr09BbtdKROZWc/edit#gid=1444865654"",""articles_with_PRISMA_reasons!B2:B2113"")),F833
=""Include"",FILTER(IMPORTRANGE("&amp;"""https://docs.google.com/spreadsheets/d/1kGrh75X1cNR1D7_FcY9zMnHP8iPO4M5RCRjy6nZY0TY/edit#gid=0"",""Table 1: Study characteristics!A4:A171""), $A833=IMPORTRANGE(""https://docs.google.com/spreadsheets/d/1kGrh75X1cNR1D7_FcY9zMnHP8iPO4M5RCRjy6nZY0TY/edit#gi"&amp;"d=0"",""Table 1: Study characteristics!B4:B171""))
)"),"wrong study design")</f>
        <v>wrong study design</v>
      </c>
    </row>
    <row r="834">
      <c r="A834" s="4" t="str">
        <f>IFERROR(__xludf.DUMMYFUNCTION("""COMPUTED_VALUE"""),"Fetal surgery for spina bifida: past, present, future")</f>
        <v>Fetal surgery for spina bifida: past, present, future</v>
      </c>
      <c r="B834" s="5" t="str">
        <f>IFERROR(__xludf.DUMMYFUNCTION("LEFT(FILTER(IMPORTRANGE(""https://docs.google.com/spreadsheets/d/1BJSV3WBYJGRhQ6zExamkszQ5VutGIcaQqmbD9ZTVXMQ/edit#gid=1251630045"",""articles_with_PRISMA_reasons!K2:K2113""), $A834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$A834=IMPORTRANGE(""https://docs.google.com/spreadsheets/d/1BJSV3WBYJGRhQ6zExamkszQ5VutGIcaQqmbD9ZTVXMQ/edit#gid=1251630045"",""articles_with_PRISMA_reasons!B2:B2113"")))-1)"),"Adzick")</f>
        <v>Adzick</v>
      </c>
      <c r="C834" s="6">
        <f>IFERROR(__xludf.DUMMYFUNCTION("FILTER(IMPORTRANGE(""https://docs.google.com/spreadsheets/d/1BJSV3WBYJGRhQ6zExamkszQ5VutGIcaQqmbD9ZTVXMQ/edit#gid=1251630045"",""articles_with_PRISMA_reasons!C2:C2113""), $A834=IMPORTRANGE(""https://docs.google.com/spreadsheets/d/1BJSV3WBYJGRhQ6zExamkszQ5"&amp;"VutGIcaQqmbD9ZTVXMQ/edit#gid=1251630045"",""articles_with_PRISMA_reasons!B2:B2113""))"),2013.0)</f>
        <v>2013</v>
      </c>
      <c r="D834" s="5" t="str">
        <f>IFERROR(__xludf.DUMMYFUNCTION("IFS(AND(
FILTER(IMPORTRANGE(""https://docs.google.com/spreadsheets/d/1BJSV3WBYJGRhQ6zExamkszQ5VutGIcaQqmbD9ZTVXMQ/edit#gid=1251630045"",""articles_with_PRISMA_reasons!Y2:Y2113""), $A834=IMPORTRANGE(""https://docs.google.com/spreadsheets/d/1BJSV3WBYJGRhQ6z"&amp;"ExamkszQ5VutGIcaQqmbD9ZTVXMQ/edit#gid=1251630045"",""articles_with_PRISMA_reasons!B2:B2113""))&gt;=2,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$A834=IMPORTRANGE(""https://docs.google.com/spreadsheets/d/1BJSV3WBYJGRhQ6zExamkszQ5VutGIcaQqmbD9ZTVXMQ/edit#gid=1251630045"",""articles_with_PRISMA_reasons!B2:B2113""))&lt;2),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$A834=IMPORTRANGE(""https://docs.google.com/spreadsheets/d/1BJSV3WBYJGRhQ6zExamkszQ5VutGIcaQqmbD9ZTVXMQ/edit#gid=1251630045"",""arti"&amp;"cles_with_PRISMA_reasons!B2:B2113""))&lt;2,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$A834=IMPORTRANGE(""https://docs.google.com"&amp;"/spreadsheets/d/1BJSV3WBYJGRhQ6zExamkszQ5VutGIcaQqmbD9ZTVXMQ/edit#gid=1251630045"",""articles_with_PRISMA_reasons!B2:B2113""))&gt;=2),
""Exclude""
)"),"Exclude")</f>
        <v>Exclude</v>
      </c>
      <c r="E834" s="5" t="str">
        <f>IFERROR(__xludf.DUMMYFUNCTION("IFS(
D834=""Exclude"",""Exclude"",
AND(
FILTER(IMPORTRANGE(""https://docs.google.com/spreadsheets/d/1qpEmbGH0JjaJbUdp21-y2cPbobDbMjr09BbtdKROZWc/edit#gid=1444865654"",""articles_with_PRISMA_reasons!W2:W2113""), $A834=IMPORTRANGE(""https://docs.google.com/"&amp;"spreadsheets/d/1qpEmbGH0JjaJbUdp21-y2cPbobDbMjr09BbtdKROZWc/edit#gid=1444865654"",""articles_with_PRISMA_reasons!B2:B2113""))&gt;=2,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$A834=IMPORTRANGE(""https://docs.google.com/spreadsheets/d/1qpEmbGH0JjaJbUdp21-y2cPbobDbMjr09BbtdKROZWc/edit#gid=1444865654"",""articles_with_PRISMA_reasons!B2:B2113""))&lt;2),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$A834=IMPORTRANGE(""https://docs.google.com/spreadsheets/d/1qpEmbGH0JjaJbUdp21-y2cPbobDbMjr09BbtdKRO"&amp;"ZWc/edit#gid=1444865654"",""articles_with_PRISMA_reasons!B2:B2113""))&lt;2,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$A834=IMPOR"&amp;"TRANGE(""https://docs.google.com/spreadsheets/d/1qpEmbGH0JjaJbUdp21-y2cPbobDbMjr09BbtdKROZWc/edit#gid=1444865654"",""articles_with_PRISMA_reasons!B2:B2113""))&gt;=2),
""Exclude""
)"),"Exclude")</f>
        <v>Exclude</v>
      </c>
      <c r="F834" s="5" t="str">
        <f>IFERROR(__xludf.DUMMYFUNCTION("IFS(
E834=""Exclude"",""Exclude"",
AND(
COUNTIF(
IMPORTRANGE(""https://docs.google.com/spreadsheets/d/1kGrh75X1cNR1D7_FcY9zMnHP8iPO4M5RCRjy6nZY0TY/edit#gid=0"",""Table 1: Study characteristics!B4:B171""),A834)&gt;0,
COUNTIF(Studies!$A$2:$A$85,FILTER(IMPORTRA"&amp;"NGE(""https://docs.google.com/spreadsheets/d/1kGrh75X1cNR1D7_FcY9zMnHP8iPO4M5RCRjy6nZY0TY/edit#gid=0"",""Table 1: Study characteristics!A4:A171""), $A834=IMPORTRANGE(""https://docs.google.com/spreadsheets/d/1kGrh75X1cNR1D7_FcY9zMnHP8iPO4M5RCRjy6nZY0TY/edi"&amp;"t#gid=0"",""Table 1: Study characteristics!B4:B171"")))&gt;0
),
""Include""
)"),"Exclude")</f>
        <v>Exclude</v>
      </c>
      <c r="G834" s="5" t="str">
        <f>IFERROR(__xludf.DUMMYFUNCTION("IFS(
D834=""Exclude"",
FILTER(IMPORTRANGE(""https://docs.google.com/spreadsheets/d/1BJSV3WBYJGRhQ6zExamkszQ5VutGIcaQqmbD9ZTVXMQ/edit#gid=1251630045"",""articles_with_PRISMA_reasons!AB2:AB2113""), $A834=IMPORTRANGE(""https://docs.google.com/spreadsheets/d/"&amp;"1BJSV3WBYJGRhQ6zExamkszQ5VutGIcaQqmbD9ZTVXMQ/edit#gid=1251630045"",""articles_with_PRISMA_reasons!B2:B2113"")),
E834=""Exclude"",
FILTER(IMPORTRANGE(""https://docs.google.com/spreadsheets/d/1qpEmbGH0JjaJbUdp21-y2cPbobDbMjr09BbtdKROZWc/edit#gid=1444865654"&amp;""",""articles_with_PRISMA_reasons!Z2:Z2113""), $A834=IMPORTRANGE(""https://docs.google.com/spreadsheets/d/1qpEmbGH0JjaJbUdp21-y2cPbobDbMjr09BbtdKROZWc/edit#gid=1444865654"",""articles_with_PRISMA_reasons!B2:B2113"")),F834
=""Include"",FILTER(IMPORTRANGE("&amp;"""https://docs.google.com/spreadsheets/d/1kGrh75X1cNR1D7_FcY9zMnHP8iPO4M5RCRjy6nZY0TY/edit#gid=0"",""Table 1: Study characteristics!A4:A171""), $A834=IMPORTRANGE(""https://docs.google.com/spreadsheets/d/1kGrh75X1cNR1D7_FcY9zMnHP8iPO4M5RCRjy6nZY0TY/edit#gi"&amp;"d=0"",""Table 1: Study characteristics!B4:B171""))
)"),"wrong study design")</f>
        <v>wrong study design</v>
      </c>
    </row>
    <row r="835">
      <c r="A835" s="4" t="str">
        <f>IFERROR(__xludf.DUMMYFUNCTION("""COMPUTED_VALUE"""),"Fetal surgery in Zurich: Key features of our first open in utero repair of myelomeningocele")</f>
        <v>Fetal surgery in Zurich: Key features of our first open in utero repair of myelomeningocele</v>
      </c>
      <c r="B835" s="5" t="str">
        <f>IFERROR(__xludf.DUMMYFUNCTION("LEFT(FILTER(IMPORTRANGE(""https://docs.google.com/spreadsheets/d/1BJSV3WBYJGRhQ6zExamkszQ5VutGIcaQqmbD9ZTVXMQ/edit#gid=1251630045"",""articles_with_PRISMA_reasons!K2:K2113""), $A835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$A835=IMPORTRANGE(""https://docs.google.com/spreadsheets/d/1BJSV3WBYJGRhQ6zExamkszQ5VutGIcaQqmbD9ZTVXMQ/edit#gid=1251630045"",""articles_with_PRISMA_reasons!B2:B2113"")))-1)"),"Meuli")</f>
        <v>Meuli</v>
      </c>
      <c r="C835" s="6">
        <f>IFERROR(__xludf.DUMMYFUNCTION("FILTER(IMPORTRANGE(""https://docs.google.com/spreadsheets/d/1BJSV3WBYJGRhQ6zExamkszQ5VutGIcaQqmbD9ZTVXMQ/edit#gid=1251630045"",""articles_with_PRISMA_reasons!C2:C2113""), $A835=IMPORTRANGE(""https://docs.google.com/spreadsheets/d/1BJSV3WBYJGRhQ6zExamkszQ5"&amp;"VutGIcaQqmbD9ZTVXMQ/edit#gid=1251630045"",""articles_with_PRISMA_reasons!B2:B2113""))"),2013.0)</f>
        <v>2013</v>
      </c>
      <c r="D835" s="5" t="str">
        <f>IFERROR(__xludf.DUMMYFUNCTION("IFS(AND(
FILTER(IMPORTRANGE(""https://docs.google.com/spreadsheets/d/1BJSV3WBYJGRhQ6zExamkszQ5VutGIcaQqmbD9ZTVXMQ/edit#gid=1251630045"",""articles_with_PRISMA_reasons!Y2:Y2113""), $A835=IMPORTRANGE(""https://docs.google.com/spreadsheets/d/1BJSV3WBYJGRhQ6z"&amp;"ExamkszQ5VutGIcaQqmbD9ZTVXMQ/edit#gid=1251630045"",""articles_with_PRISMA_reasons!B2:B2113""))&gt;=2,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$A835=IMPORTRANGE(""https://docs.google.com/spreadsheets/d/1BJSV3WBYJGRhQ6zExamkszQ5VutGIcaQqmbD9ZTVXMQ/edit#gid=1251630045"",""articles_with_PRISMA_reasons!B2:B2113""))&lt;2),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$A835=IMPORTRANGE(""https://docs.google.com/spreadsheets/d/1BJSV3WBYJGRhQ6zExamkszQ5VutGIcaQqmbD9ZTVXMQ/edit#gid=1251630045"",""arti"&amp;"cles_with_PRISMA_reasons!B2:B2113""))&lt;2,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$A835=IMPORTRANGE(""https://docs.google.com"&amp;"/spreadsheets/d/1BJSV3WBYJGRhQ6zExamkszQ5VutGIcaQqmbD9ZTVXMQ/edit#gid=1251630045"",""articles_with_PRISMA_reasons!B2:B2113""))&gt;=2),
""Exclude""
)"),"Exclude")</f>
        <v>Exclude</v>
      </c>
      <c r="E835" s="5" t="str">
        <f>IFERROR(__xludf.DUMMYFUNCTION("IFS(
D835=""Exclude"",""Exclude"",
AND(
FILTER(IMPORTRANGE(""https://docs.google.com/spreadsheets/d/1qpEmbGH0JjaJbUdp21-y2cPbobDbMjr09BbtdKROZWc/edit#gid=1444865654"",""articles_with_PRISMA_reasons!W2:W2113""), $A835=IMPORTRANGE(""https://docs.google.com/"&amp;"spreadsheets/d/1qpEmbGH0JjaJbUdp21-y2cPbobDbMjr09BbtdKROZWc/edit#gid=1444865654"",""articles_with_PRISMA_reasons!B2:B2113""))&gt;=2,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$A835=IMPORTRANGE(""https://docs.google.com/spreadsheets/d/1qpEmbGH0JjaJbUdp21-y2cPbobDbMjr09BbtdKROZWc/edit#gid=1444865654"",""articles_with_PRISMA_reasons!B2:B2113""))&lt;2),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$A835=IMPORTRANGE(""https://docs.google.com/spreadsheets/d/1qpEmbGH0JjaJbUdp21-y2cPbobDbMjr09BbtdKRO"&amp;"ZWc/edit#gid=1444865654"",""articles_with_PRISMA_reasons!B2:B2113""))&lt;2,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$A835=IMPOR"&amp;"TRANGE(""https://docs.google.com/spreadsheets/d/1qpEmbGH0JjaJbUdp21-y2cPbobDbMjr09BbtdKROZWc/edit#gid=1444865654"",""articles_with_PRISMA_reasons!B2:B2113""))&gt;=2),
""Exclude""
)"),"Exclude")</f>
        <v>Exclude</v>
      </c>
      <c r="F835" s="5" t="str">
        <f>IFERROR(__xludf.DUMMYFUNCTION("IFS(
E835=""Exclude"",""Exclude"",
AND(
COUNTIF(
IMPORTRANGE(""https://docs.google.com/spreadsheets/d/1kGrh75X1cNR1D7_FcY9zMnHP8iPO4M5RCRjy6nZY0TY/edit#gid=0"",""Table 1: Study characteristics!B4:B171""),A835)&gt;0,
COUNTIF(Studies!$A$2:$A$85,FILTER(IMPORTRA"&amp;"NGE(""https://docs.google.com/spreadsheets/d/1kGrh75X1cNR1D7_FcY9zMnHP8iPO4M5RCRjy6nZY0TY/edit#gid=0"",""Table 1: Study characteristics!A4:A171""), $A835=IMPORTRANGE(""https://docs.google.com/spreadsheets/d/1kGrh75X1cNR1D7_FcY9zMnHP8iPO4M5RCRjy6nZY0TY/edi"&amp;"t#gid=0"",""Table 1: Study characteristics!B4:B171"")))&gt;0
),
""Include""
)"),"Exclude")</f>
        <v>Exclude</v>
      </c>
      <c r="G835" s="5" t="str">
        <f>IFERROR(__xludf.DUMMYFUNCTION("IFS(
D835=""Exclude"",
FILTER(IMPORTRANGE(""https://docs.google.com/spreadsheets/d/1BJSV3WBYJGRhQ6zExamkszQ5VutGIcaQqmbD9ZTVXMQ/edit#gid=1251630045"",""articles_with_PRISMA_reasons!AB2:AB2113""), $A835=IMPORTRANGE(""https://docs.google.com/spreadsheets/d/"&amp;"1BJSV3WBYJGRhQ6zExamkszQ5VutGIcaQqmbD9ZTVXMQ/edit#gid=1251630045"",""articles_with_PRISMA_reasons!B2:B2113"")),
E835=""Exclude"",
FILTER(IMPORTRANGE(""https://docs.google.com/spreadsheets/d/1qpEmbGH0JjaJbUdp21-y2cPbobDbMjr09BbtdKROZWc/edit#gid=1444865654"&amp;""",""articles_with_PRISMA_reasons!Z2:Z2113""), $A835=IMPORTRANGE(""https://docs.google.com/spreadsheets/d/1qpEmbGH0JjaJbUdp21-y2cPbobDbMjr09BbtdKROZWc/edit#gid=1444865654"",""articles_with_PRISMA_reasons!B2:B2113"")),F835
=""Include"",FILTER(IMPORTRANGE("&amp;"""https://docs.google.com/spreadsheets/d/1kGrh75X1cNR1D7_FcY9zMnHP8iPO4M5RCRjy6nZY0TY/edit#gid=0"",""Table 1: Study characteristics!A4:A171""), $A835=IMPORTRANGE(""https://docs.google.com/spreadsheets/d/1kGrh75X1cNR1D7_FcY9zMnHP8iPO4M5RCRjy6nZY0TY/edit#gi"&amp;"d=0"",""Table 1: Study characteristics!B4:B171""))
)"),"wrong population")</f>
        <v>wrong population</v>
      </c>
    </row>
    <row r="836">
      <c r="A836" s="4" t="str">
        <f>IFERROR(__xludf.DUMMYFUNCTION("""COMPUTED_VALUE"""),"Fetal surgery: Future or way leading to nowhere. First experiences")</f>
        <v>Fetal surgery: Future or way leading to nowhere. First experiences</v>
      </c>
      <c r="B836" s="5" t="str">
        <f>IFERROR(__xludf.DUMMYFUNCTION("LEFT(FILTER(IMPORTRANGE(""https://docs.google.com/spreadsheets/d/1BJSV3WBYJGRhQ6zExamkszQ5VutGIcaQqmbD9ZTVXMQ/edit#gid=1251630045"",""articles_with_PRISMA_reasons!K2:K2113""), $A836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$A836=IMPORTRANGE(""https://docs.google.com/spreadsheets/d/1BJSV3WBYJGRhQ6zExamkszQ5VutGIcaQqmbD9ZTVXMQ/edit#gid=1251630045"",""articles_with_PRISMA_reasons!B2:B2113"")))-1)"),"Sroka")</f>
        <v>Sroka</v>
      </c>
      <c r="C836" s="6">
        <f>IFERROR(__xludf.DUMMYFUNCTION("FILTER(IMPORTRANGE(""https://docs.google.com/spreadsheets/d/1BJSV3WBYJGRhQ6zExamkszQ5VutGIcaQqmbD9ZTVXMQ/edit#gid=1251630045"",""articles_with_PRISMA_reasons!C2:C2113""), $A836=IMPORTRANGE(""https://docs.google.com/spreadsheets/d/1BJSV3WBYJGRhQ6zExamkszQ5"&amp;"VutGIcaQqmbD9ZTVXMQ/edit#gid=1251630045"",""articles_with_PRISMA_reasons!B2:B2113""))"),2007.0)</f>
        <v>2007</v>
      </c>
      <c r="D836" s="5" t="str">
        <f>IFERROR(__xludf.DUMMYFUNCTION("IFS(AND(
FILTER(IMPORTRANGE(""https://docs.google.com/spreadsheets/d/1BJSV3WBYJGRhQ6zExamkszQ5VutGIcaQqmbD9ZTVXMQ/edit#gid=1251630045"",""articles_with_PRISMA_reasons!Y2:Y2113""), $A836=IMPORTRANGE(""https://docs.google.com/spreadsheets/d/1BJSV3WBYJGRhQ6z"&amp;"ExamkszQ5VutGIcaQqmbD9ZTVXMQ/edit#gid=1251630045"",""articles_with_PRISMA_reasons!B2:B2113""))&gt;=2,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$A836=IMPORTRANGE(""https://docs.google.com/spreadsheets/d/1BJSV3WBYJGRhQ6zExamkszQ5VutGIcaQqmbD9ZTVXMQ/edit#gid=1251630045"",""articles_with_PRISMA_reasons!B2:B2113""))&lt;2),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$A836=IMPORTRANGE(""https://docs.google.com/spreadsheets/d/1BJSV3WBYJGRhQ6zExamkszQ5VutGIcaQqmbD9ZTVXMQ/edit#gid=1251630045"",""arti"&amp;"cles_with_PRISMA_reasons!B2:B2113""))&lt;2,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$A836=IMPORTRANGE(""https://docs.google.com"&amp;"/spreadsheets/d/1BJSV3WBYJGRhQ6zExamkszQ5VutGIcaQqmbD9ZTVXMQ/edit#gid=1251630045"",""articles_with_PRISMA_reasons!B2:B2113""))&gt;=2),
""Exclude""
)"),"Exclude")</f>
        <v>Exclude</v>
      </c>
      <c r="E836" s="5" t="str">
        <f>IFERROR(__xludf.DUMMYFUNCTION("IFS(
D836=""Exclude"",""Exclude"",
AND(
FILTER(IMPORTRANGE(""https://docs.google.com/spreadsheets/d/1qpEmbGH0JjaJbUdp21-y2cPbobDbMjr09BbtdKROZWc/edit#gid=1444865654"",""articles_with_PRISMA_reasons!W2:W2113""), $A836=IMPORTRANGE(""https://docs.google.com/"&amp;"spreadsheets/d/1qpEmbGH0JjaJbUdp21-y2cPbobDbMjr09BbtdKROZWc/edit#gid=1444865654"",""articles_with_PRISMA_reasons!B2:B2113""))&gt;=2,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$A836=IMPORTRANGE(""https://docs.google.com/spreadsheets/d/1qpEmbGH0JjaJbUdp21-y2cPbobDbMjr09BbtdKROZWc/edit#gid=1444865654"",""articles_with_PRISMA_reasons!B2:B2113""))&lt;2),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$A836=IMPORTRANGE(""https://docs.google.com/spreadsheets/d/1qpEmbGH0JjaJbUdp21-y2cPbobDbMjr09BbtdKRO"&amp;"ZWc/edit#gid=1444865654"",""articles_with_PRISMA_reasons!B2:B2113""))&lt;2,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$A836=IMPOR"&amp;"TRANGE(""https://docs.google.com/spreadsheets/d/1qpEmbGH0JjaJbUdp21-y2cPbobDbMjr09BbtdKROZWc/edit#gid=1444865654"",""articles_with_PRISMA_reasons!B2:B2113""))&gt;=2),
""Exclude""
)"),"Exclude")</f>
        <v>Exclude</v>
      </c>
      <c r="F836" s="5" t="str">
        <f>IFERROR(__xludf.DUMMYFUNCTION("IFS(
E836=""Exclude"",""Exclude"",
AND(
COUNTIF(
IMPORTRANGE(""https://docs.google.com/spreadsheets/d/1kGrh75X1cNR1D7_FcY9zMnHP8iPO4M5RCRjy6nZY0TY/edit#gid=0"",""Table 1: Study characteristics!B4:B171""),A836)&gt;0,
COUNTIF(Studies!$A$2:$A$85,FILTER(IMPORTRA"&amp;"NGE(""https://docs.google.com/spreadsheets/d/1kGrh75X1cNR1D7_FcY9zMnHP8iPO4M5RCRjy6nZY0TY/edit#gid=0"",""Table 1: Study characteristics!A4:A171""), $A836=IMPORTRANGE(""https://docs.google.com/spreadsheets/d/1kGrh75X1cNR1D7_FcY9zMnHP8iPO4M5RCRjy6nZY0TY/edi"&amp;"t#gid=0"",""Table 1: Study characteristics!B4:B171"")))&gt;0
),
""Include""
)"),"Exclude")</f>
        <v>Exclude</v>
      </c>
      <c r="G836" s="5" t="str">
        <f>IFERROR(__xludf.DUMMYFUNCTION("IFS(
D836=""Exclude"",
FILTER(IMPORTRANGE(""https://docs.google.com/spreadsheets/d/1BJSV3WBYJGRhQ6zExamkszQ5VutGIcaQqmbD9ZTVXMQ/edit#gid=1251630045"",""articles_with_PRISMA_reasons!AB2:AB2113""), $A836=IMPORTRANGE(""https://docs.google.com/spreadsheets/d/"&amp;"1BJSV3WBYJGRhQ6zExamkszQ5VutGIcaQqmbD9ZTVXMQ/edit#gid=1251630045"",""articles_with_PRISMA_reasons!B2:B2113"")),
E836=""Exclude"",
FILTER(IMPORTRANGE(""https://docs.google.com/spreadsheets/d/1qpEmbGH0JjaJbUdp21-y2cPbobDbMjr09BbtdKROZWc/edit#gid=1444865654"&amp;""",""articles_with_PRISMA_reasons!Z2:Z2113""), $A836=IMPORTRANGE(""https://docs.google.com/spreadsheets/d/1qpEmbGH0JjaJbUdp21-y2cPbobDbMjr09BbtdKROZWc/edit#gid=1444865654"",""articles_with_PRISMA_reasons!B2:B2113"")),F836
=""Include"",FILTER(IMPORTRANGE("&amp;"""https://docs.google.com/spreadsheets/d/1kGrh75X1cNR1D7_FcY9zMnHP8iPO4M5RCRjy6nZY0TY/edit#gid=0"",""Table 1: Study characteristics!A4:A171""), $A836=IMPORTRANGE(""https://docs.google.com/spreadsheets/d/1kGrh75X1cNR1D7_FcY9zMnHP8iPO4M5RCRjy6nZY0TY/edit#gi"&amp;"d=0"",""Table 1: Study characteristics!B4:B171""))
)"),"wrong population")</f>
        <v>wrong population</v>
      </c>
    </row>
    <row r="837">
      <c r="A837" s="4" t="str">
        <f>IFERROR(__xludf.DUMMYFUNCTION("""COMPUTED_VALUE"""),"Fetal surgery: The Ochsner experience with in utero spina bifida repair")</f>
        <v>Fetal surgery: The Ochsner experience with in utero spina bifida repair</v>
      </c>
      <c r="B837" s="5" t="str">
        <f>IFERROR(__xludf.DUMMYFUNCTION("LEFT(FILTER(IMPORTRANGE(""https://docs.google.com/spreadsheets/d/1BJSV3WBYJGRhQ6zExamkszQ5VutGIcaQqmbD9ZTVXMQ/edit#gid=1251630045"",""articles_with_PRISMA_reasons!K2:K2113""), $A837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$A837=IMPORTRANGE(""https://docs.google.com/spreadsheets/d/1BJSV3WBYJGRhQ6zExamkszQ5VutGIcaQqmbD9ZTVXMQ/edit#gid=1251630045"",""articles_with_PRISMA_reasons!B2:B2113"")))-1)"),"Kahn")</f>
        <v>Kahn</v>
      </c>
      <c r="C837" s="6">
        <f>IFERROR(__xludf.DUMMYFUNCTION("FILTER(IMPORTRANGE(""https://docs.google.com/spreadsheets/d/1BJSV3WBYJGRhQ6zExamkszQ5VutGIcaQqmbD9ZTVXMQ/edit#gid=1251630045"",""articles_with_PRISMA_reasons!C2:C2113""), $A837=IMPORTRANGE(""https://docs.google.com/spreadsheets/d/1BJSV3WBYJGRhQ6zExamkszQ5"&amp;"VutGIcaQqmbD9ZTVXMQ/edit#gid=1251630045"",""articles_with_PRISMA_reasons!B2:B2113""))"),2014.0)</f>
        <v>2014</v>
      </c>
      <c r="D837" s="5" t="str">
        <f>IFERROR(__xludf.DUMMYFUNCTION("IFS(AND(
FILTER(IMPORTRANGE(""https://docs.google.com/spreadsheets/d/1BJSV3WBYJGRhQ6zExamkszQ5VutGIcaQqmbD9ZTVXMQ/edit#gid=1251630045"",""articles_with_PRISMA_reasons!Y2:Y2113""), $A837=IMPORTRANGE(""https://docs.google.com/spreadsheets/d/1BJSV3WBYJGRhQ6z"&amp;"ExamkszQ5VutGIcaQqmbD9ZTVXMQ/edit#gid=1251630045"",""articles_with_PRISMA_reasons!B2:B2113""))&gt;=2,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$A837=IMPORTRANGE(""https://docs.google.com/spreadsheets/d/1BJSV3WBYJGRhQ6zExamkszQ5VutGIcaQqmbD9ZTVXMQ/edit#gid=1251630045"",""articles_with_PRISMA_reasons!B2:B2113""))&lt;2),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$A837=IMPORTRANGE(""https://docs.google.com/spreadsheets/d/1BJSV3WBYJGRhQ6zExamkszQ5VutGIcaQqmbD9ZTVXMQ/edit#gid=1251630045"",""arti"&amp;"cles_with_PRISMA_reasons!B2:B2113""))&lt;2,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$A837=IMPORTRANGE(""https://docs.google.com"&amp;"/spreadsheets/d/1BJSV3WBYJGRhQ6zExamkszQ5VutGIcaQqmbD9ZTVXMQ/edit#gid=1251630045"",""articles_with_PRISMA_reasons!B2:B2113""))&gt;=2),
""Exclude""
)"),"Exclude")</f>
        <v>Exclude</v>
      </c>
      <c r="E837" s="5" t="str">
        <f>IFERROR(__xludf.DUMMYFUNCTION("IFS(
D837=""Exclude"",""Exclude"",
AND(
FILTER(IMPORTRANGE(""https://docs.google.com/spreadsheets/d/1qpEmbGH0JjaJbUdp21-y2cPbobDbMjr09BbtdKROZWc/edit#gid=1444865654"",""articles_with_PRISMA_reasons!W2:W2113""), $A837=IMPORTRANGE(""https://docs.google.com/"&amp;"spreadsheets/d/1qpEmbGH0JjaJbUdp21-y2cPbobDbMjr09BbtdKROZWc/edit#gid=1444865654"",""articles_with_PRISMA_reasons!B2:B2113""))&gt;=2,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$A837=IMPORTRANGE(""https://docs.google.com/spreadsheets/d/1qpEmbGH0JjaJbUdp21-y2cPbobDbMjr09BbtdKROZWc/edit#gid=1444865654"",""articles_with_PRISMA_reasons!B2:B2113""))&lt;2),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$A837=IMPORTRANGE(""https://docs.google.com/spreadsheets/d/1qpEmbGH0JjaJbUdp21-y2cPbobDbMjr09BbtdKRO"&amp;"ZWc/edit#gid=1444865654"",""articles_with_PRISMA_reasons!B2:B2113""))&lt;2,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$A837=IMPOR"&amp;"TRANGE(""https://docs.google.com/spreadsheets/d/1qpEmbGH0JjaJbUdp21-y2cPbobDbMjr09BbtdKROZWc/edit#gid=1444865654"",""articles_with_PRISMA_reasons!B2:B2113""))&gt;=2),
""Exclude""
)"),"Exclude")</f>
        <v>Exclude</v>
      </c>
      <c r="F837" s="5" t="str">
        <f>IFERROR(__xludf.DUMMYFUNCTION("IFS(
E837=""Exclude"",""Exclude"",
AND(
COUNTIF(
IMPORTRANGE(""https://docs.google.com/spreadsheets/d/1kGrh75X1cNR1D7_FcY9zMnHP8iPO4M5RCRjy6nZY0TY/edit#gid=0"",""Table 1: Study characteristics!B4:B171""),A837)&gt;0,
COUNTIF(Studies!$A$2:$A$85,FILTER(IMPORTRA"&amp;"NGE(""https://docs.google.com/spreadsheets/d/1kGrh75X1cNR1D7_FcY9zMnHP8iPO4M5RCRjy6nZY0TY/edit#gid=0"",""Table 1: Study characteristics!A4:A171""), $A837=IMPORTRANGE(""https://docs.google.com/spreadsheets/d/1kGrh75X1cNR1D7_FcY9zMnHP8iPO4M5RCRjy6nZY0TY/edi"&amp;"t#gid=0"",""Table 1: Study characteristics!B4:B171"")))&gt;0
),
""Include""
)"),"Exclude")</f>
        <v>Exclude</v>
      </c>
      <c r="G837" s="5" t="str">
        <f>IFERROR(__xludf.DUMMYFUNCTION("IFS(
D837=""Exclude"",
FILTER(IMPORTRANGE(""https://docs.google.com/spreadsheets/d/1BJSV3WBYJGRhQ6zExamkszQ5VutGIcaQqmbD9ZTVXMQ/edit#gid=1251630045"",""articles_with_PRISMA_reasons!AB2:AB2113""), $A837=IMPORTRANGE(""https://docs.google.com/spreadsheets/d/"&amp;"1BJSV3WBYJGRhQ6zExamkszQ5VutGIcaQqmbD9ZTVXMQ/edit#gid=1251630045"",""articles_with_PRISMA_reasons!B2:B2113"")),
E837=""Exclude"",
FILTER(IMPORTRANGE(""https://docs.google.com/spreadsheets/d/1qpEmbGH0JjaJbUdp21-y2cPbobDbMjr09BbtdKROZWc/edit#gid=1444865654"&amp;""",""articles_with_PRISMA_reasons!Z2:Z2113""), $A837=IMPORTRANGE(""https://docs.google.com/spreadsheets/d/1qpEmbGH0JjaJbUdp21-y2cPbobDbMjr09BbtdKROZWc/edit#gid=1444865654"",""articles_with_PRISMA_reasons!B2:B2113"")),F837
=""Include"",FILTER(IMPORTRANGE("&amp;"""https://docs.google.com/spreadsheets/d/1kGrh75X1cNR1D7_FcY9zMnHP8iPO4M5RCRjy6nZY0TY/edit#gid=0"",""Table 1: Study characteristics!A4:A171""), $A837=IMPORTRANGE(""https://docs.google.com/spreadsheets/d/1kGrh75X1cNR1D7_FcY9zMnHP8iPO4M5RCRjy6nZY0TY/edit#gi"&amp;"d=0"",""Table 1: Study characteristics!B4:B171""))
)"),"wrong study design")</f>
        <v>wrong study design</v>
      </c>
    </row>
    <row r="838">
      <c r="A838" s="4" t="str">
        <f>IFERROR(__xludf.DUMMYFUNCTION("""COMPUTED_VALUE"""),"Fetoscopic Multilayer, Dural Patch Closure Technique for Intrauterine Myelomeningocele Repair: 2-Dimensional Operative Video")</f>
        <v>Fetoscopic Multilayer, Dural Patch Closure Technique for Intrauterine Myelomeningocele Repair: 2-Dimensional Operative Video</v>
      </c>
      <c r="B838" s="5" t="str">
        <f>IFERROR(__xludf.DUMMYFUNCTION("LEFT(FILTER(IMPORTRANGE(""https://docs.google.com/spreadsheets/d/1BJSV3WBYJGRhQ6zExamkszQ5VutGIcaQqmbD9ZTVXMQ/edit#gid=1251630045"",""articles_with_PRISMA_reasons!K2:K2113""), $A838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$A838=IMPORTRANGE(""https://docs.google.com/spreadsheets/d/1BJSV3WBYJGRhQ6zExamkszQ5VutGIcaQqmbD9ZTVXMQ/edit#gid=1251630045"",""articles_with_PRISMA_reasons!B2:B2113"")))-1)"),"Patel")</f>
        <v>Patel</v>
      </c>
      <c r="C838" s="6">
        <f>IFERROR(__xludf.DUMMYFUNCTION("FILTER(IMPORTRANGE(""https://docs.google.com/spreadsheets/d/1BJSV3WBYJGRhQ6zExamkszQ5VutGIcaQqmbD9ZTVXMQ/edit#gid=1251630045"",""articles_with_PRISMA_reasons!C2:C2113""), $A838=IMPORTRANGE(""https://docs.google.com/spreadsheets/d/1BJSV3WBYJGRhQ6zExamkszQ5"&amp;"VutGIcaQqmbD9ZTVXMQ/edit#gid=1251630045"",""articles_with_PRISMA_reasons!B2:B2113""))"),2021.0)</f>
        <v>2021</v>
      </c>
      <c r="D838" s="5" t="str">
        <f>IFERROR(__xludf.DUMMYFUNCTION("IFS(AND(
FILTER(IMPORTRANGE(""https://docs.google.com/spreadsheets/d/1BJSV3WBYJGRhQ6zExamkszQ5VutGIcaQqmbD9ZTVXMQ/edit#gid=1251630045"",""articles_with_PRISMA_reasons!Y2:Y2113""), $A838=IMPORTRANGE(""https://docs.google.com/spreadsheets/d/1BJSV3WBYJGRhQ6z"&amp;"ExamkszQ5VutGIcaQqmbD9ZTVXMQ/edit#gid=1251630045"",""articles_with_PRISMA_reasons!B2:B2113""))&gt;=2,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$A838=IMPORTRANGE(""https://docs.google.com/spreadsheets/d/1BJSV3WBYJGRhQ6zExamkszQ5VutGIcaQqmbD9ZTVXMQ/edit#gid=1251630045"",""articles_with_PRISMA_reasons!B2:B2113""))&lt;2),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$A838=IMPORTRANGE(""https://docs.google.com/spreadsheets/d/1BJSV3WBYJGRhQ6zExamkszQ5VutGIcaQqmbD9ZTVXMQ/edit#gid=1251630045"",""arti"&amp;"cles_with_PRISMA_reasons!B2:B2113""))&lt;2,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$A838=IMPORTRANGE(""https://docs.google.com"&amp;"/spreadsheets/d/1BJSV3WBYJGRhQ6zExamkszQ5VutGIcaQqmbD9ZTVXMQ/edit#gid=1251630045"",""articles_with_PRISMA_reasons!B2:B2113""))&gt;=2),
""Exclude""
)"),"Exclude")</f>
        <v>Exclude</v>
      </c>
      <c r="E838" s="5" t="str">
        <f>IFERROR(__xludf.DUMMYFUNCTION("IFS(
D838=""Exclude"",""Exclude"",
AND(
FILTER(IMPORTRANGE(""https://docs.google.com/spreadsheets/d/1qpEmbGH0JjaJbUdp21-y2cPbobDbMjr09BbtdKROZWc/edit#gid=1444865654"",""articles_with_PRISMA_reasons!W2:W2113""), $A838=IMPORTRANGE(""https://docs.google.com/"&amp;"spreadsheets/d/1qpEmbGH0JjaJbUdp21-y2cPbobDbMjr09BbtdKROZWc/edit#gid=1444865654"",""articles_with_PRISMA_reasons!B2:B2113""))&gt;=2,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$A838=IMPORTRANGE(""https://docs.google.com/spreadsheets/d/1qpEmbGH0JjaJbUdp21-y2cPbobDbMjr09BbtdKROZWc/edit#gid=1444865654"",""articles_with_PRISMA_reasons!B2:B2113""))&lt;2),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$A838=IMPORTRANGE(""https://docs.google.com/spreadsheets/d/1qpEmbGH0JjaJbUdp21-y2cPbobDbMjr09BbtdKRO"&amp;"ZWc/edit#gid=1444865654"",""articles_with_PRISMA_reasons!B2:B2113""))&lt;2,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$A838=IMPOR"&amp;"TRANGE(""https://docs.google.com/spreadsheets/d/1qpEmbGH0JjaJbUdp21-y2cPbobDbMjr09BbtdKROZWc/edit#gid=1444865654"",""articles_with_PRISMA_reasons!B2:B2113""))&gt;=2),
""Exclude""
)"),"Exclude")</f>
        <v>Exclude</v>
      </c>
      <c r="F838" s="5" t="str">
        <f>IFERROR(__xludf.DUMMYFUNCTION("IFS(
E838=""Exclude"",""Exclude"",
AND(
COUNTIF(
IMPORTRANGE(""https://docs.google.com/spreadsheets/d/1kGrh75X1cNR1D7_FcY9zMnHP8iPO4M5RCRjy6nZY0TY/edit#gid=0"",""Table 1: Study characteristics!B4:B171""),A838)&gt;0,
COUNTIF(Studies!$A$2:$A$85,FILTER(IMPORTRA"&amp;"NGE(""https://docs.google.com/spreadsheets/d/1kGrh75X1cNR1D7_FcY9zMnHP8iPO4M5RCRjy6nZY0TY/edit#gid=0"",""Table 1: Study characteristics!A4:A171""), $A838=IMPORTRANGE(""https://docs.google.com/spreadsheets/d/1kGrh75X1cNR1D7_FcY9zMnHP8iPO4M5RCRjy6nZY0TY/edi"&amp;"t#gid=0"",""Table 1: Study characteristics!B4:B171"")))&gt;0
),
""Include""
)"),"Exclude")</f>
        <v>Exclude</v>
      </c>
      <c r="G838" s="5" t="str">
        <f>IFERROR(__xludf.DUMMYFUNCTION("IFS(
D838=""Exclude"",
FILTER(IMPORTRANGE(""https://docs.google.com/spreadsheets/d/1BJSV3WBYJGRhQ6zExamkszQ5VutGIcaQqmbD9ZTVXMQ/edit#gid=1251630045"",""articles_with_PRISMA_reasons!AB2:AB2113""), $A838=IMPORTRANGE(""https://docs.google.com/spreadsheets/d/"&amp;"1BJSV3WBYJGRhQ6zExamkszQ5VutGIcaQqmbD9ZTVXMQ/edit#gid=1251630045"",""articles_with_PRISMA_reasons!B2:B2113"")),
E838=""Exclude"",
FILTER(IMPORTRANGE(""https://docs.google.com/spreadsheets/d/1qpEmbGH0JjaJbUdp21-y2cPbobDbMjr09BbtdKROZWc/edit#gid=1444865654"&amp;""",""articles_with_PRISMA_reasons!Z2:Z2113""), $A838=IMPORTRANGE(""https://docs.google.com/spreadsheets/d/1qpEmbGH0JjaJbUdp21-y2cPbobDbMjr09BbtdKROZWc/edit#gid=1444865654"",""articles_with_PRISMA_reasons!B2:B2113"")),F838
=""Include"",FILTER(IMPORTRANGE("&amp;"""https://docs.google.com/spreadsheets/d/1kGrh75X1cNR1D7_FcY9zMnHP8iPO4M5RCRjy6nZY0TY/edit#gid=0"",""Table 1: Study characteristics!A4:A171""), $A838=IMPORTRANGE(""https://docs.google.com/spreadsheets/d/1kGrh75X1cNR1D7_FcY9zMnHP8iPO4M5RCRjy6nZY0TY/edit#gi"&amp;"d=0"",""Table 1: Study characteristics!B4:B171""))
)"),"wrong population")</f>
        <v>wrong population</v>
      </c>
    </row>
    <row r="839">
      <c r="A839" s="4" t="str">
        <f>IFERROR(__xludf.DUMMYFUNCTION("""COMPUTED_VALUE"""),"Fetoscopic open neural tube defect repair: Development and refinement of a two-port, carbon dioxide insufflation technique")</f>
        <v>Fetoscopic open neural tube defect repair: Development and refinement of a two-port, carbon dioxide insufflation technique</v>
      </c>
      <c r="B839" s="5" t="str">
        <f>IFERROR(__xludf.DUMMYFUNCTION("LEFT(FILTER(IMPORTRANGE(""https://docs.google.com/spreadsheets/d/1BJSV3WBYJGRhQ6zExamkszQ5VutGIcaQqmbD9ZTVXMQ/edit#gid=1251630045"",""articles_with_PRISMA_reasons!K2:K2113""), $A839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$A839=IMPORTRANGE(""https://docs.google.com/spreadsheets/d/1BJSV3WBYJGRhQ6zExamkszQ5VutGIcaQqmbD9ZTVXMQ/edit#gid=1251630045"",""articles_with_PRISMA_reasons!B2:B2113"")))-1)"),"Belfort")</f>
        <v>Belfort</v>
      </c>
      <c r="C839" s="6">
        <f>IFERROR(__xludf.DUMMYFUNCTION("FILTER(IMPORTRANGE(""https://docs.google.com/spreadsheets/d/1BJSV3WBYJGRhQ6zExamkszQ5VutGIcaQqmbD9ZTVXMQ/edit#gid=1251630045"",""articles_with_PRISMA_reasons!C2:C2113""), $A839=IMPORTRANGE(""https://docs.google.com/spreadsheets/d/1BJSV3WBYJGRhQ6zExamkszQ5"&amp;"VutGIcaQqmbD9ZTVXMQ/edit#gid=1251630045"",""articles_with_PRISMA_reasons!B2:B2113""))"),2017.0)</f>
        <v>2017</v>
      </c>
      <c r="D839" s="5" t="str">
        <f>IFERROR(__xludf.DUMMYFUNCTION("IFS(AND(
FILTER(IMPORTRANGE(""https://docs.google.com/spreadsheets/d/1BJSV3WBYJGRhQ6zExamkszQ5VutGIcaQqmbD9ZTVXMQ/edit#gid=1251630045"",""articles_with_PRISMA_reasons!Y2:Y2113""), $A839=IMPORTRANGE(""https://docs.google.com/spreadsheets/d/1BJSV3WBYJGRhQ6z"&amp;"ExamkszQ5VutGIcaQqmbD9ZTVXMQ/edit#gid=1251630045"",""articles_with_PRISMA_reasons!B2:B2113""))&gt;=2,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$A839=IMPORTRANGE(""https://docs.google.com/spreadsheets/d/1BJSV3WBYJGRhQ6zExamkszQ5VutGIcaQqmbD9ZTVXMQ/edit#gid=1251630045"",""articles_with_PRISMA_reasons!B2:B2113""))&lt;2),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$A839=IMPORTRANGE(""https://docs.google.com/spreadsheets/d/1BJSV3WBYJGRhQ6zExamkszQ5VutGIcaQqmbD9ZTVXMQ/edit#gid=1251630045"",""arti"&amp;"cles_with_PRISMA_reasons!B2:B2113""))&lt;2,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$A839=IMPORTRANGE(""https://docs.google.com"&amp;"/spreadsheets/d/1BJSV3WBYJGRhQ6zExamkszQ5VutGIcaQqmbD9ZTVXMQ/edit#gid=1251630045"",""articles_with_PRISMA_reasons!B2:B2113""))&gt;=2),
""Exclude""
)"),"Exclude")</f>
        <v>Exclude</v>
      </c>
      <c r="E839" s="5" t="str">
        <f>IFERROR(__xludf.DUMMYFUNCTION("IFS(
D839=""Exclude"",""Exclude"",
AND(
FILTER(IMPORTRANGE(""https://docs.google.com/spreadsheets/d/1qpEmbGH0JjaJbUdp21-y2cPbobDbMjr09BbtdKROZWc/edit#gid=1444865654"",""articles_with_PRISMA_reasons!W2:W2113""), $A839=IMPORTRANGE(""https://docs.google.com/"&amp;"spreadsheets/d/1qpEmbGH0JjaJbUdp21-y2cPbobDbMjr09BbtdKROZWc/edit#gid=1444865654"",""articles_with_PRISMA_reasons!B2:B2113""))&gt;=2,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$A839=IMPORTRANGE(""https://docs.google.com/spreadsheets/d/1qpEmbGH0JjaJbUdp21-y2cPbobDbMjr09BbtdKROZWc/edit#gid=1444865654"",""articles_with_PRISMA_reasons!B2:B2113""))&lt;2),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$A839=IMPORTRANGE(""https://docs.google.com/spreadsheets/d/1qpEmbGH0JjaJbUdp21-y2cPbobDbMjr09BbtdKRO"&amp;"ZWc/edit#gid=1444865654"",""articles_with_PRISMA_reasons!B2:B2113""))&lt;2,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$A839=IMPOR"&amp;"TRANGE(""https://docs.google.com/spreadsheets/d/1qpEmbGH0JjaJbUdp21-y2cPbobDbMjr09BbtdKROZWc/edit#gid=1444865654"",""articles_with_PRISMA_reasons!B2:B2113""))&gt;=2),
""Exclude""
)"),"Exclude")</f>
        <v>Exclude</v>
      </c>
      <c r="F839" s="5" t="str">
        <f>IFERROR(__xludf.DUMMYFUNCTION("IFS(
E839=""Exclude"",""Exclude"",
AND(
COUNTIF(
IMPORTRANGE(""https://docs.google.com/spreadsheets/d/1kGrh75X1cNR1D7_FcY9zMnHP8iPO4M5RCRjy6nZY0TY/edit#gid=0"",""Table 1: Study characteristics!B4:B171""),A839)&gt;0,
COUNTIF(Studies!$A$2:$A$85,FILTER(IMPORTRA"&amp;"NGE(""https://docs.google.com/spreadsheets/d/1kGrh75X1cNR1D7_FcY9zMnHP8iPO4M5RCRjy6nZY0TY/edit#gid=0"",""Table 1: Study characteristics!A4:A171""), $A839=IMPORTRANGE(""https://docs.google.com/spreadsheets/d/1kGrh75X1cNR1D7_FcY9zMnHP8iPO4M5RCRjy6nZY0TY/edi"&amp;"t#gid=0"",""Table 1: Study characteristics!B4:B171"")))&gt;0
),
""Include""
)"),"Exclude")</f>
        <v>Exclude</v>
      </c>
      <c r="G839" s="5" t="str">
        <f>IFERROR(__xludf.DUMMYFUNCTION("IFS(
D839=""Exclude"",
FILTER(IMPORTRANGE(""https://docs.google.com/spreadsheets/d/1BJSV3WBYJGRhQ6zExamkszQ5VutGIcaQqmbD9ZTVXMQ/edit#gid=1251630045"",""articles_with_PRISMA_reasons!AB2:AB2113""), $A839=IMPORTRANGE(""https://docs.google.com/spreadsheets/d/"&amp;"1BJSV3WBYJGRhQ6zExamkszQ5VutGIcaQqmbD9ZTVXMQ/edit#gid=1251630045"",""articles_with_PRISMA_reasons!B2:B2113"")),
E839=""Exclude"",
FILTER(IMPORTRANGE(""https://docs.google.com/spreadsheets/d/1qpEmbGH0JjaJbUdp21-y2cPbobDbMjr09BbtdKROZWc/edit#gid=1444865654"&amp;""",""articles_with_PRISMA_reasons!Z2:Z2113""), $A839=IMPORTRANGE(""https://docs.google.com/spreadsheets/d/1qpEmbGH0JjaJbUdp21-y2cPbobDbMjr09BbtdKROZWc/edit#gid=1444865654"",""articles_with_PRISMA_reasons!B2:B2113"")),F839
=""Include"",FILTER(IMPORTRANGE("&amp;"""https://docs.google.com/spreadsheets/d/1kGrh75X1cNR1D7_FcY9zMnHP8iPO4M5RCRjy6nZY0TY/edit#gid=0"",""Table 1: Study characteristics!A4:A171""), $A839=IMPORTRANGE(""https://docs.google.com/spreadsheets/d/1kGrh75X1cNR1D7_FcY9zMnHP8iPO4M5RCRjy6nZY0TY/edit#gi"&amp;"d=0"",""Table 1: Study characteristics!B4:B171""))
)"),"Ante-natal intervention")</f>
        <v>Ante-natal intervention</v>
      </c>
    </row>
    <row r="840">
      <c r="A840" s="4" t="str">
        <f>IFERROR(__xludf.DUMMYFUNCTION("""COMPUTED_VALUE"""),"Fetoscopic spina bifida repair")</f>
        <v>Fetoscopic spina bifida repair</v>
      </c>
      <c r="B840" s="5" t="str">
        <f>IFERROR(__xludf.DUMMYFUNCTION("LEFT(FILTER(IMPORTRANGE(""https://docs.google.com/spreadsheets/d/1BJSV3WBYJGRhQ6zExamkszQ5VutGIcaQqmbD9ZTVXMQ/edit#gid=1251630045"",""articles_with_PRISMA_reasons!K2:K2113""), $A840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$A840=IMPORTRANGE(""https://docs.google.com/spreadsheets/d/1BJSV3WBYJGRhQ6zExamkszQ5VutGIcaQqmbD9ZTVXMQ/edit#gid=1251630045"",""articles_with_PRISMA_reasons!B2:B2113"")))-1)"),"Miller")</f>
        <v>Miller</v>
      </c>
      <c r="C840" s="6">
        <f>IFERROR(__xludf.DUMMYFUNCTION("FILTER(IMPORTRANGE(""https://docs.google.com/spreadsheets/d/1BJSV3WBYJGRhQ6zExamkszQ5VutGIcaQqmbD9ZTVXMQ/edit#gid=1251630045"",""articles_with_PRISMA_reasons!C2:C2113""), $A840=IMPORTRANGE(""https://docs.google.com/spreadsheets/d/1BJSV3WBYJGRhQ6zExamkszQ5"&amp;"VutGIcaQqmbD9ZTVXMQ/edit#gid=1251630045"",""articles_with_PRISMA_reasons!B2:B2113""))"),2019.0)</f>
        <v>2019</v>
      </c>
      <c r="D840" s="5" t="str">
        <f>IFERROR(__xludf.DUMMYFUNCTION("IFS(AND(
FILTER(IMPORTRANGE(""https://docs.google.com/spreadsheets/d/1BJSV3WBYJGRhQ6zExamkszQ5VutGIcaQqmbD9ZTVXMQ/edit#gid=1251630045"",""articles_with_PRISMA_reasons!Y2:Y2113""), $A840=IMPORTRANGE(""https://docs.google.com/spreadsheets/d/1BJSV3WBYJGRhQ6z"&amp;"ExamkszQ5VutGIcaQqmbD9ZTVXMQ/edit#gid=1251630045"",""articles_with_PRISMA_reasons!B2:B2113""))&gt;=2,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$A840=IMPORTRANGE(""https://docs.google.com/spreadsheets/d/1BJSV3WBYJGRhQ6zExamkszQ5VutGIcaQqmbD9ZTVXMQ/edit#gid=1251630045"",""articles_with_PRISMA_reasons!B2:B2113""))&lt;2),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$A840=IMPORTRANGE(""https://docs.google.com/spreadsheets/d/1BJSV3WBYJGRhQ6zExamkszQ5VutGIcaQqmbD9ZTVXMQ/edit#gid=1251630045"",""arti"&amp;"cles_with_PRISMA_reasons!B2:B2113""))&lt;2,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$A840=IMPORTRANGE(""https://docs.google.com"&amp;"/spreadsheets/d/1BJSV3WBYJGRhQ6zExamkszQ5VutGIcaQqmbD9ZTVXMQ/edit#gid=1251630045"",""articles_with_PRISMA_reasons!B2:B2113""))&gt;=2),
""Exclude""
)"),"Exclude")</f>
        <v>Exclude</v>
      </c>
      <c r="E840" s="5" t="str">
        <f>IFERROR(__xludf.DUMMYFUNCTION("IFS(
D840=""Exclude"",""Exclude"",
AND(
FILTER(IMPORTRANGE(""https://docs.google.com/spreadsheets/d/1qpEmbGH0JjaJbUdp21-y2cPbobDbMjr09BbtdKROZWc/edit#gid=1444865654"",""articles_with_PRISMA_reasons!W2:W2113""), $A840=IMPORTRANGE(""https://docs.google.com/"&amp;"spreadsheets/d/1qpEmbGH0JjaJbUdp21-y2cPbobDbMjr09BbtdKROZWc/edit#gid=1444865654"",""articles_with_PRISMA_reasons!B2:B2113""))&gt;=2,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$A840=IMPORTRANGE(""https://docs.google.com/spreadsheets/d/1qpEmbGH0JjaJbUdp21-y2cPbobDbMjr09BbtdKROZWc/edit#gid=1444865654"",""articles_with_PRISMA_reasons!B2:B2113""))&lt;2),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$A840=IMPORTRANGE(""https://docs.google.com/spreadsheets/d/1qpEmbGH0JjaJbUdp21-y2cPbobDbMjr09BbtdKRO"&amp;"ZWc/edit#gid=1444865654"",""articles_with_PRISMA_reasons!B2:B2113""))&lt;2,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$A840=IMPOR"&amp;"TRANGE(""https://docs.google.com/spreadsheets/d/1qpEmbGH0JjaJbUdp21-y2cPbobDbMjr09BbtdKROZWc/edit#gid=1444865654"",""articles_with_PRISMA_reasons!B2:B2113""))&gt;=2),
""Exclude""
)"),"Exclude")</f>
        <v>Exclude</v>
      </c>
      <c r="F840" s="5" t="str">
        <f>IFERROR(__xludf.DUMMYFUNCTION("IFS(
E840=""Exclude"",""Exclude"",
AND(
COUNTIF(
IMPORTRANGE(""https://docs.google.com/spreadsheets/d/1kGrh75X1cNR1D7_FcY9zMnHP8iPO4M5RCRjy6nZY0TY/edit#gid=0"",""Table 1: Study characteristics!B4:B171""),A840)&gt;0,
COUNTIF(Studies!$A$2:$A$85,FILTER(IMPORTRA"&amp;"NGE(""https://docs.google.com/spreadsheets/d/1kGrh75X1cNR1D7_FcY9zMnHP8iPO4M5RCRjy6nZY0TY/edit#gid=0"",""Table 1: Study characteristics!A4:A171""), $A840=IMPORTRANGE(""https://docs.google.com/spreadsheets/d/1kGrh75X1cNR1D7_FcY9zMnHP8iPO4M5RCRjy6nZY0TY/edi"&amp;"t#gid=0"",""Table 1: Study characteristics!B4:B171"")))&gt;0
),
""Include""
)"),"Exclude")</f>
        <v>Exclude</v>
      </c>
      <c r="G840" s="5" t="str">
        <f>IFERROR(__xludf.DUMMYFUNCTION("IFS(
D840=""Exclude"",
FILTER(IMPORTRANGE(""https://docs.google.com/spreadsheets/d/1BJSV3WBYJGRhQ6zExamkszQ5VutGIcaQqmbD9ZTVXMQ/edit#gid=1251630045"",""articles_with_PRISMA_reasons!AB2:AB2113""), $A840=IMPORTRANGE(""https://docs.google.com/spreadsheets/d/"&amp;"1BJSV3WBYJGRhQ6zExamkszQ5VutGIcaQqmbD9ZTVXMQ/edit#gid=1251630045"",""articles_with_PRISMA_reasons!B2:B2113"")),
E840=""Exclude"",
FILTER(IMPORTRANGE(""https://docs.google.com/spreadsheets/d/1qpEmbGH0JjaJbUdp21-y2cPbobDbMjr09BbtdKROZWc/edit#gid=1444865654"&amp;""",""articles_with_PRISMA_reasons!Z2:Z2113""), $A840=IMPORTRANGE(""https://docs.google.com/spreadsheets/d/1qpEmbGH0JjaJbUdp21-y2cPbobDbMjr09BbtdKROZWc/edit#gid=1444865654"",""articles_with_PRISMA_reasons!B2:B2113"")),F840
=""Include"",FILTER(IMPORTRANGE("&amp;"""https://docs.google.com/spreadsheets/d/1kGrh75X1cNR1D7_FcY9zMnHP8iPO4M5RCRjy6nZY0TY/edit#gid=0"",""Table 1: Study characteristics!A4:A171""), $A840=IMPORTRANGE(""https://docs.google.com/spreadsheets/d/1kGrh75X1cNR1D7_FcY9zMnHP8iPO4M5RCRjy6nZY0TY/edit#gi"&amp;"d=0"",""Table 1: Study characteristics!B4:B171""))
)"),"wrong population")</f>
        <v>wrong population</v>
      </c>
    </row>
    <row r="841">
      <c r="A841" s="4" t="str">
        <f>IFERROR(__xludf.DUMMYFUNCTION("""COMPUTED_VALUE"""),"First 60 fetal in-utero myelomeningocele repairs at Saint Louis Fetal Care Institute in the post-MOMS trial era: hydrocephalus treatment outcomes (endoscopic third ventriculostomy versus ventriculo-peritoneal shunt)")</f>
        <v>First 60 fetal in-utero myelomeningocele repairs at Saint Louis Fetal Care Institute in the post-MOMS trial era: hydrocephalus treatment outcomes (endoscopic third ventriculostomy versus ventriculo-peritoneal shunt)</v>
      </c>
      <c r="B841" s="5" t="str">
        <f>IFERROR(__xludf.DUMMYFUNCTION("LEFT(FILTER(IMPORTRANGE(""https://docs.google.com/spreadsheets/d/1BJSV3WBYJGRhQ6zExamkszQ5VutGIcaQqmbD9ZTVXMQ/edit#gid=1251630045"",""articles_with_PRISMA_reasons!K2:K2113""), $A841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$A841=IMPORTRANGE(""https://docs.google.com/spreadsheets/d/1BJSV3WBYJGRhQ6zExamkszQ5VutGIcaQqmbD9ZTVXMQ/edit#gid=1251630045"",""articles_with_PRISMA_reasons!B2:B2113"")))-1)"),"Elbabaa")</f>
        <v>Elbabaa</v>
      </c>
      <c r="C841" s="6">
        <f>IFERROR(__xludf.DUMMYFUNCTION("FILTER(IMPORTRANGE(""https://docs.google.com/spreadsheets/d/1BJSV3WBYJGRhQ6zExamkszQ5VutGIcaQqmbD9ZTVXMQ/edit#gid=1251630045"",""articles_with_PRISMA_reasons!C2:C2113""), $A841=IMPORTRANGE(""https://docs.google.com/spreadsheets/d/1BJSV3WBYJGRhQ6zExamkszQ5"&amp;"VutGIcaQqmbD9ZTVXMQ/edit#gid=1251630045"",""articles_with_PRISMA_reasons!B2:B2113""))"),2017.0)</f>
        <v>2017</v>
      </c>
      <c r="D841" s="5" t="str">
        <f>IFERROR(__xludf.DUMMYFUNCTION("IFS(AND(
FILTER(IMPORTRANGE(""https://docs.google.com/spreadsheets/d/1BJSV3WBYJGRhQ6zExamkszQ5VutGIcaQqmbD9ZTVXMQ/edit#gid=1251630045"",""articles_with_PRISMA_reasons!Y2:Y2113""), $A841=IMPORTRANGE(""https://docs.google.com/spreadsheets/d/1BJSV3WBYJGRhQ6z"&amp;"ExamkszQ5VutGIcaQqmbD9ZTVXMQ/edit#gid=1251630045"",""articles_with_PRISMA_reasons!B2:B2113""))&gt;=2,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$A841=IMPORTRANGE(""https://docs.google.com/spreadsheets/d/1BJSV3WBYJGRhQ6zExamkszQ5VutGIcaQqmbD9ZTVXMQ/edit#gid=1251630045"",""articles_with_PRISMA_reasons!B2:B2113""))&lt;2),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$A841=IMPORTRANGE(""https://docs.google.com/spreadsheets/d/1BJSV3WBYJGRhQ6zExamkszQ5VutGIcaQqmbD9ZTVXMQ/edit#gid=1251630045"",""arti"&amp;"cles_with_PRISMA_reasons!B2:B2113""))&lt;2,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$A841=IMPORTRANGE(""https://docs.google.com"&amp;"/spreadsheets/d/1BJSV3WBYJGRhQ6zExamkszQ5VutGIcaQqmbD9ZTVXMQ/edit#gid=1251630045"",""articles_with_PRISMA_reasons!B2:B2113""))&gt;=2),
""Exclude""
)"),"Exclude")</f>
        <v>Exclude</v>
      </c>
      <c r="E841" s="5" t="str">
        <f>IFERROR(__xludf.DUMMYFUNCTION("IFS(
D841=""Exclude"",""Exclude"",
AND(
FILTER(IMPORTRANGE(""https://docs.google.com/spreadsheets/d/1qpEmbGH0JjaJbUdp21-y2cPbobDbMjr09BbtdKROZWc/edit#gid=1444865654"",""articles_with_PRISMA_reasons!W2:W2113""), $A841=IMPORTRANGE(""https://docs.google.com/"&amp;"spreadsheets/d/1qpEmbGH0JjaJbUdp21-y2cPbobDbMjr09BbtdKROZWc/edit#gid=1444865654"",""articles_with_PRISMA_reasons!B2:B2113""))&gt;=2,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$A841=IMPORTRANGE(""https://docs.google.com/spreadsheets/d/1qpEmbGH0JjaJbUdp21-y2cPbobDbMjr09BbtdKROZWc/edit#gid=1444865654"",""articles_with_PRISMA_reasons!B2:B2113""))&lt;2),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$A841=IMPORTRANGE(""https://docs.google.com/spreadsheets/d/1qpEmbGH0JjaJbUdp21-y2cPbobDbMjr09BbtdKRO"&amp;"ZWc/edit#gid=1444865654"",""articles_with_PRISMA_reasons!B2:B2113""))&lt;2,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$A841=IMPOR"&amp;"TRANGE(""https://docs.google.com/spreadsheets/d/1qpEmbGH0JjaJbUdp21-y2cPbobDbMjr09BbtdKROZWc/edit#gid=1444865654"",""articles_with_PRISMA_reasons!B2:B2113""))&gt;=2),
""Exclude""
)"),"Exclude")</f>
        <v>Exclude</v>
      </c>
      <c r="F841" s="5" t="str">
        <f>IFERROR(__xludf.DUMMYFUNCTION("IFS(
E841=""Exclude"",""Exclude"",
AND(
COUNTIF(
IMPORTRANGE(""https://docs.google.com/spreadsheets/d/1kGrh75X1cNR1D7_FcY9zMnHP8iPO4M5RCRjy6nZY0TY/edit#gid=0"",""Table 1: Study characteristics!B4:B171""),A841)&gt;0,
COUNTIF(Studies!$A$2:$A$85,FILTER(IMPORTRA"&amp;"NGE(""https://docs.google.com/spreadsheets/d/1kGrh75X1cNR1D7_FcY9zMnHP8iPO4M5RCRjy6nZY0TY/edit#gid=0"",""Table 1: Study characteristics!A4:A171""), $A841=IMPORTRANGE(""https://docs.google.com/spreadsheets/d/1kGrh75X1cNR1D7_FcY9zMnHP8iPO4M5RCRjy6nZY0TY/edi"&amp;"t#gid=0"",""Table 1: Study characteristics!B4:B171"")))&gt;0
),
""Include""
)"),"Exclude")</f>
        <v>Exclude</v>
      </c>
      <c r="G841" s="5" t="str">
        <f>IFERROR(__xludf.DUMMYFUNCTION("IFS(
D841=""Exclude"",
FILTER(IMPORTRANGE(""https://docs.google.com/spreadsheets/d/1BJSV3WBYJGRhQ6zExamkszQ5VutGIcaQqmbD9ZTVXMQ/edit#gid=1251630045"",""articles_with_PRISMA_reasons!AB2:AB2113""), $A841=IMPORTRANGE(""https://docs.google.com/spreadsheets/d/"&amp;"1BJSV3WBYJGRhQ6zExamkszQ5VutGIcaQqmbD9ZTVXMQ/edit#gid=1251630045"",""articles_with_PRISMA_reasons!B2:B2113"")),
E841=""Exclude"",
FILTER(IMPORTRANGE(""https://docs.google.com/spreadsheets/d/1qpEmbGH0JjaJbUdp21-y2cPbobDbMjr09BbtdKROZWc/edit#gid=1444865654"&amp;""",""articles_with_PRISMA_reasons!Z2:Z2113""), $A841=IMPORTRANGE(""https://docs.google.com/spreadsheets/d/1qpEmbGH0JjaJbUdp21-y2cPbobDbMjr09BbtdKROZWc/edit#gid=1444865654"",""articles_with_PRISMA_reasons!B2:B2113"")),F841
=""Include"",FILTER(IMPORTRANGE("&amp;"""https://docs.google.com/spreadsheets/d/1kGrh75X1cNR1D7_FcY9zMnHP8iPO4M5RCRjy6nZY0TY/edit#gid=0"",""Table 1: Study characteristics!A4:A171""), $A841=IMPORTRANGE(""https://docs.google.com/spreadsheets/d/1kGrh75X1cNR1D7_FcY9zMnHP8iPO4M5RCRjy6nZY0TY/edit#gi"&amp;"d=0"",""Table 1: Study characteristics!B4:B171""))
)"),"Ante-natal intervention")</f>
        <v>Ante-natal intervention</v>
      </c>
    </row>
    <row r="842">
      <c r="A842" s="4" t="str">
        <f>IFERROR(__xludf.DUMMYFUNCTION("""COMPUTED_VALUE"""),"First Case Report of an Infant with Aplasia Cutis Congenita of Scalp and Myelomeningocele")</f>
        <v>First Case Report of an Infant with Aplasia Cutis Congenita of Scalp and Myelomeningocele</v>
      </c>
      <c r="B842" s="5" t="str">
        <f>IFERROR(__xludf.DUMMYFUNCTION("LEFT(FILTER(IMPORTRANGE(""https://docs.google.com/spreadsheets/d/1BJSV3WBYJGRhQ6zExamkszQ5VutGIcaQqmbD9ZTVXMQ/edit#gid=1251630045"",""articles_with_PRISMA_reasons!K2:K2113""), $A842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$A842=IMPORTRANGE(""https://docs.google.com/spreadsheets/d/1BJSV3WBYJGRhQ6zExamkszQ5VutGIcaQqmbD9ZTVXMQ/edit#gid=1251630045"",""articles_with_PRISMA_reasons!B2:B2113"")))-1)"),"Silva Neto")</f>
        <v>Silva Neto</v>
      </c>
      <c r="C842" s="6">
        <f>IFERROR(__xludf.DUMMYFUNCTION("FILTER(IMPORTRANGE(""https://docs.google.com/spreadsheets/d/1BJSV3WBYJGRhQ6zExamkszQ5VutGIcaQqmbD9ZTVXMQ/edit#gid=1251630045"",""articles_with_PRISMA_reasons!C2:C2113""), $A842=IMPORTRANGE(""https://docs.google.com/spreadsheets/d/1BJSV3WBYJGRhQ6zExamkszQ5"&amp;"VutGIcaQqmbD9ZTVXMQ/edit#gid=1251630045"",""articles_with_PRISMA_reasons!B2:B2113""))"),2016.0)</f>
        <v>2016</v>
      </c>
      <c r="D842" s="5" t="str">
        <f>IFERROR(__xludf.DUMMYFUNCTION("IFS(AND(
FILTER(IMPORTRANGE(""https://docs.google.com/spreadsheets/d/1BJSV3WBYJGRhQ6zExamkszQ5VutGIcaQqmbD9ZTVXMQ/edit#gid=1251630045"",""articles_with_PRISMA_reasons!Y2:Y2113""), $A842=IMPORTRANGE(""https://docs.google.com/spreadsheets/d/1BJSV3WBYJGRhQ6z"&amp;"ExamkszQ5VutGIcaQqmbD9ZTVXMQ/edit#gid=1251630045"",""articles_with_PRISMA_reasons!B2:B2113""))&gt;=2,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$A842=IMPORTRANGE(""https://docs.google.com/spreadsheets/d/1BJSV3WBYJGRhQ6zExamkszQ5VutGIcaQqmbD9ZTVXMQ/edit#gid=1251630045"",""articles_with_PRISMA_reasons!B2:B2113""))&lt;2),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$A842=IMPORTRANGE(""https://docs.google.com/spreadsheets/d/1BJSV3WBYJGRhQ6zExamkszQ5VutGIcaQqmbD9ZTVXMQ/edit#gid=1251630045"",""arti"&amp;"cles_with_PRISMA_reasons!B2:B2113""))&lt;2,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$A842=IMPORTRANGE(""https://docs.google.com"&amp;"/spreadsheets/d/1BJSV3WBYJGRhQ6zExamkszQ5VutGIcaQqmbD9ZTVXMQ/edit#gid=1251630045"",""articles_with_PRISMA_reasons!B2:B2113""))&gt;=2),
""Exclude""
)"),"Exclude")</f>
        <v>Exclude</v>
      </c>
      <c r="E842" s="5" t="str">
        <f>IFERROR(__xludf.DUMMYFUNCTION("IFS(
D842=""Exclude"",""Exclude"",
AND(
FILTER(IMPORTRANGE(""https://docs.google.com/spreadsheets/d/1qpEmbGH0JjaJbUdp21-y2cPbobDbMjr09BbtdKROZWc/edit#gid=1444865654"",""articles_with_PRISMA_reasons!W2:W2113""), $A842=IMPORTRANGE(""https://docs.google.com/"&amp;"spreadsheets/d/1qpEmbGH0JjaJbUdp21-y2cPbobDbMjr09BbtdKROZWc/edit#gid=1444865654"",""articles_with_PRISMA_reasons!B2:B2113""))&gt;=2,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$A842=IMPORTRANGE(""https://docs.google.com/spreadsheets/d/1qpEmbGH0JjaJbUdp21-y2cPbobDbMjr09BbtdKROZWc/edit#gid=1444865654"",""articles_with_PRISMA_reasons!B2:B2113""))&lt;2),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$A842=IMPORTRANGE(""https://docs.google.com/spreadsheets/d/1qpEmbGH0JjaJbUdp21-y2cPbobDbMjr09BbtdKRO"&amp;"ZWc/edit#gid=1444865654"",""articles_with_PRISMA_reasons!B2:B2113""))&lt;2,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$A842=IMPOR"&amp;"TRANGE(""https://docs.google.com/spreadsheets/d/1qpEmbGH0JjaJbUdp21-y2cPbobDbMjr09BbtdKROZWc/edit#gid=1444865654"",""articles_with_PRISMA_reasons!B2:B2113""))&gt;=2),
""Exclude""
)"),"Exclude")</f>
        <v>Exclude</v>
      </c>
      <c r="F842" s="5" t="str">
        <f>IFERROR(__xludf.DUMMYFUNCTION("IFS(
E842=""Exclude"",""Exclude"",
AND(
COUNTIF(
IMPORTRANGE(""https://docs.google.com/spreadsheets/d/1kGrh75X1cNR1D7_FcY9zMnHP8iPO4M5RCRjy6nZY0TY/edit#gid=0"",""Table 1: Study characteristics!B4:B171""),A842)&gt;0,
COUNTIF(Studies!$A$2:$A$85,FILTER(IMPORTRA"&amp;"NGE(""https://docs.google.com/spreadsheets/d/1kGrh75X1cNR1D7_FcY9zMnHP8iPO4M5RCRjy6nZY0TY/edit#gid=0"",""Table 1: Study characteristics!A4:A171""), $A842=IMPORTRANGE(""https://docs.google.com/spreadsheets/d/1kGrh75X1cNR1D7_FcY9zMnHP8iPO4M5RCRjy6nZY0TY/edi"&amp;"t#gid=0"",""Table 1: Study characteristics!B4:B171"")))&gt;0
),
""Include""
)"),"Exclude")</f>
        <v>Exclude</v>
      </c>
      <c r="G842" s="5" t="str">
        <f>IFERROR(__xludf.DUMMYFUNCTION("IFS(
D842=""Exclude"",
FILTER(IMPORTRANGE(""https://docs.google.com/spreadsheets/d/1BJSV3WBYJGRhQ6zExamkszQ5VutGIcaQqmbD9ZTVXMQ/edit#gid=1251630045"",""articles_with_PRISMA_reasons!AB2:AB2113""), $A842=IMPORTRANGE(""https://docs.google.com/spreadsheets/d/"&amp;"1BJSV3WBYJGRhQ6zExamkszQ5VutGIcaQqmbD9ZTVXMQ/edit#gid=1251630045"",""articles_with_PRISMA_reasons!B2:B2113"")),
E842=""Exclude"",
FILTER(IMPORTRANGE(""https://docs.google.com/spreadsheets/d/1qpEmbGH0JjaJbUdp21-y2cPbobDbMjr09BbtdKROZWc/edit#gid=1444865654"&amp;""",""articles_with_PRISMA_reasons!Z2:Z2113""), $A842=IMPORTRANGE(""https://docs.google.com/spreadsheets/d/1qpEmbGH0JjaJbUdp21-y2cPbobDbMjr09BbtdKROZWc/edit#gid=1444865654"",""articles_with_PRISMA_reasons!B2:B2113"")),F842
=""Include"",FILTER(IMPORTRANGE("&amp;"""https://docs.google.com/spreadsheets/d/1kGrh75X1cNR1D7_FcY9zMnHP8iPO4M5RCRjy6nZY0TY/edit#gid=0"",""Table 1: Study characteristics!A4:A171""), $A842=IMPORTRANGE(""https://docs.google.com/spreadsheets/d/1kGrh75X1cNR1D7_FcY9zMnHP8iPO4M5RCRjy6nZY0TY/edit#gi"&amp;"d=0"",""Table 1: Study characteristics!B4:B171""))
)"),"wrong publication type")</f>
        <v>wrong publication type</v>
      </c>
    </row>
    <row r="843">
      <c r="A843" s="4" t="str">
        <f>IFERROR(__xludf.DUMMYFUNCTION("""COMPUTED_VALUE"""),"First trimester anomaly scan-the last redoubt won: Open spina bifida")</f>
        <v>First trimester anomaly scan-the last redoubt won: Open spina bifida</v>
      </c>
      <c r="B843" s="5" t="str">
        <f>IFERROR(__xludf.DUMMYFUNCTION("LEFT(FILTER(IMPORTRANGE(""https://docs.google.com/spreadsheets/d/1BJSV3WBYJGRhQ6zExamkszQ5VutGIcaQqmbD9ZTVXMQ/edit#gid=1251630045"",""articles_with_PRISMA_reasons!K2:K2113""), $A843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$A843=IMPORTRANGE(""https://docs.google.com/spreadsheets/d/1BJSV3WBYJGRhQ6zExamkszQ5VutGIcaQqmbD9ZTVXMQ/edit#gid=1251630045"",""articles_with_PRISMA_reasons!B2:B2113"")))-1)"),"Tudorache")</f>
        <v>Tudorache</v>
      </c>
      <c r="C843" s="6">
        <f>IFERROR(__xludf.DUMMYFUNCTION("FILTER(IMPORTRANGE(""https://docs.google.com/spreadsheets/d/1BJSV3WBYJGRhQ6zExamkszQ5VutGIcaQqmbD9ZTVXMQ/edit#gid=1251630045"",""articles_with_PRISMA_reasons!C2:C2113""), $A843=IMPORTRANGE(""https://docs.google.com/spreadsheets/d/1BJSV3WBYJGRhQ6zExamkszQ5"&amp;"VutGIcaQqmbD9ZTVXMQ/edit#gid=1251630045"",""articles_with_PRISMA_reasons!B2:B2113""))"),2015.0)</f>
        <v>2015</v>
      </c>
      <c r="D843" s="5" t="str">
        <f>IFERROR(__xludf.DUMMYFUNCTION("IFS(AND(
FILTER(IMPORTRANGE(""https://docs.google.com/spreadsheets/d/1BJSV3WBYJGRhQ6zExamkszQ5VutGIcaQqmbD9ZTVXMQ/edit#gid=1251630045"",""articles_with_PRISMA_reasons!Y2:Y2113""), $A843=IMPORTRANGE(""https://docs.google.com/spreadsheets/d/1BJSV3WBYJGRhQ6z"&amp;"ExamkszQ5VutGIcaQqmbD9ZTVXMQ/edit#gid=1251630045"",""articles_with_PRISMA_reasons!B2:B2113""))&gt;=2,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$A843=IMPORTRANGE(""https://docs.google.com/spreadsheets/d/1BJSV3WBYJGRhQ6zExamkszQ5VutGIcaQqmbD9ZTVXMQ/edit#gid=1251630045"",""articles_with_PRISMA_reasons!B2:B2113""))&lt;2),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$A843=IMPORTRANGE(""https://docs.google.com/spreadsheets/d/1BJSV3WBYJGRhQ6zExamkszQ5VutGIcaQqmbD9ZTVXMQ/edit#gid=1251630045"",""arti"&amp;"cles_with_PRISMA_reasons!B2:B2113""))&lt;2,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$A843=IMPORTRANGE(""https://docs.google.com"&amp;"/spreadsheets/d/1BJSV3WBYJGRhQ6zExamkszQ5VutGIcaQqmbD9ZTVXMQ/edit#gid=1251630045"",""articles_with_PRISMA_reasons!B2:B2113""))&gt;=2),
""Exclude""
)"),"Exclude")</f>
        <v>Exclude</v>
      </c>
      <c r="E843" s="5" t="str">
        <f>IFERROR(__xludf.DUMMYFUNCTION("IFS(
D843=""Exclude"",""Exclude"",
AND(
FILTER(IMPORTRANGE(""https://docs.google.com/spreadsheets/d/1qpEmbGH0JjaJbUdp21-y2cPbobDbMjr09BbtdKROZWc/edit#gid=1444865654"",""articles_with_PRISMA_reasons!W2:W2113""), $A843=IMPORTRANGE(""https://docs.google.com/"&amp;"spreadsheets/d/1qpEmbGH0JjaJbUdp21-y2cPbobDbMjr09BbtdKROZWc/edit#gid=1444865654"",""articles_with_PRISMA_reasons!B2:B2113""))&gt;=2,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$A843=IMPORTRANGE(""https://docs.google.com/spreadsheets/d/1qpEmbGH0JjaJbUdp21-y2cPbobDbMjr09BbtdKROZWc/edit#gid=1444865654"",""articles_with_PRISMA_reasons!B2:B2113""))&lt;2),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$A843=IMPORTRANGE(""https://docs.google.com/spreadsheets/d/1qpEmbGH0JjaJbUdp21-y2cPbobDbMjr09BbtdKRO"&amp;"ZWc/edit#gid=1444865654"",""articles_with_PRISMA_reasons!B2:B2113""))&lt;2,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$A843=IMPOR"&amp;"TRANGE(""https://docs.google.com/spreadsheets/d/1qpEmbGH0JjaJbUdp21-y2cPbobDbMjr09BbtdKROZWc/edit#gid=1444865654"",""articles_with_PRISMA_reasons!B2:B2113""))&gt;=2),
""Exclude""
)"),"Exclude")</f>
        <v>Exclude</v>
      </c>
      <c r="F843" s="5" t="str">
        <f>IFERROR(__xludf.DUMMYFUNCTION("IFS(
E843=""Exclude"",""Exclude"",
AND(
COUNTIF(
IMPORTRANGE(""https://docs.google.com/spreadsheets/d/1kGrh75X1cNR1D7_FcY9zMnHP8iPO4M5RCRjy6nZY0TY/edit#gid=0"",""Table 1: Study characteristics!B4:B171""),A843)&gt;0,
COUNTIF(Studies!$A$2:$A$85,FILTER(IMPORTRA"&amp;"NGE(""https://docs.google.com/spreadsheets/d/1kGrh75X1cNR1D7_FcY9zMnHP8iPO4M5RCRjy6nZY0TY/edit#gid=0"",""Table 1: Study characteristics!A4:A171""), $A843=IMPORTRANGE(""https://docs.google.com/spreadsheets/d/1kGrh75X1cNR1D7_FcY9zMnHP8iPO4M5RCRjy6nZY0TY/edi"&amp;"t#gid=0"",""Table 1: Study characteristics!B4:B171"")))&gt;0
),
""Include""
)"),"Exclude")</f>
        <v>Exclude</v>
      </c>
      <c r="G843" s="5" t="str">
        <f>IFERROR(__xludf.DUMMYFUNCTION("IFS(
D843=""Exclude"",
FILTER(IMPORTRANGE(""https://docs.google.com/spreadsheets/d/1BJSV3WBYJGRhQ6zExamkszQ5VutGIcaQqmbD9ZTVXMQ/edit#gid=1251630045"",""articles_with_PRISMA_reasons!AB2:AB2113""), $A843=IMPORTRANGE(""https://docs.google.com/spreadsheets/d/"&amp;"1BJSV3WBYJGRhQ6zExamkszQ5VutGIcaQqmbD9ZTVXMQ/edit#gid=1251630045"",""articles_with_PRISMA_reasons!B2:B2113"")),
E843=""Exclude"",
FILTER(IMPORTRANGE(""https://docs.google.com/spreadsheets/d/1qpEmbGH0JjaJbUdp21-y2cPbobDbMjr09BbtdKROZWc/edit#gid=1444865654"&amp;""",""articles_with_PRISMA_reasons!Z2:Z2113""), $A843=IMPORTRANGE(""https://docs.google.com/spreadsheets/d/1qpEmbGH0JjaJbUdp21-y2cPbobDbMjr09BbtdKROZWc/edit#gid=1444865654"",""articles_with_PRISMA_reasons!B2:B2113"")),F843
=""Include"",FILTER(IMPORTRANGE("&amp;"""https://docs.google.com/spreadsheets/d/1kGrh75X1cNR1D7_FcY9zMnHP8iPO4M5RCRjy6nZY0TY/edit#gid=0"",""Table 1: Study characteristics!A4:A171""), $A843=IMPORTRANGE(""https://docs.google.com/spreadsheets/d/1kGrh75X1cNR1D7_FcY9zMnHP8iPO4M5RCRjy6nZY0TY/edit#gi"&amp;"d=0"",""Table 1: Study characteristics!B4:B171""))
)"),"wrong population")</f>
        <v>wrong population</v>
      </c>
    </row>
    <row r="844">
      <c r="A844" s="4" t="str">
        <f>IFERROR(__xludf.DUMMYFUNCTION("""COMPUTED_VALUE"""),"Five-Level Posterior Total en Bloc Spondylectomy of Severe Myelomeningocele Kyphosis")</f>
        <v>Five-Level Posterior Total en Bloc Spondylectomy of Severe Myelomeningocele Kyphosis</v>
      </c>
      <c r="B844" s="5" t="str">
        <f>IFERROR(__xludf.DUMMYFUNCTION("LEFT(FILTER(IMPORTRANGE(""https://docs.google.com/spreadsheets/d/1BJSV3WBYJGRhQ6zExamkszQ5VutGIcaQqmbD9ZTVXMQ/edit#gid=1251630045"",""articles_with_PRISMA_reasons!K2:K2113""), $A844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$A844=IMPORTRANGE(""https://docs.google.com/spreadsheets/d/1BJSV3WBYJGRhQ6zExamkszQ5VutGIcaQqmbD9ZTVXMQ/edit#gid=1251630045"",""articles_with_PRISMA_reasons!B2:B2113"")))-1)"),"Ganjeifar")</f>
        <v>Ganjeifar</v>
      </c>
      <c r="C844" s="6">
        <f>IFERROR(__xludf.DUMMYFUNCTION("FILTER(IMPORTRANGE(""https://docs.google.com/spreadsheets/d/1BJSV3WBYJGRhQ6zExamkszQ5VutGIcaQqmbD9ZTVXMQ/edit#gid=1251630045"",""articles_with_PRISMA_reasons!C2:C2113""), $A844=IMPORTRANGE(""https://docs.google.com/spreadsheets/d/1BJSV3WBYJGRhQ6zExamkszQ5"&amp;"VutGIcaQqmbD9ZTVXMQ/edit#gid=1251630045"",""articles_with_PRISMA_reasons!B2:B2113""))"),2016.0)</f>
        <v>2016</v>
      </c>
      <c r="D844" s="5" t="str">
        <f>IFERROR(__xludf.DUMMYFUNCTION("IFS(AND(
FILTER(IMPORTRANGE(""https://docs.google.com/spreadsheets/d/1BJSV3WBYJGRhQ6zExamkszQ5VutGIcaQqmbD9ZTVXMQ/edit#gid=1251630045"",""articles_with_PRISMA_reasons!Y2:Y2113""), $A844=IMPORTRANGE(""https://docs.google.com/spreadsheets/d/1BJSV3WBYJGRhQ6z"&amp;"ExamkszQ5VutGIcaQqmbD9ZTVXMQ/edit#gid=1251630045"",""articles_with_PRISMA_reasons!B2:B2113""))&gt;=2,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$A844=IMPORTRANGE(""https://docs.google.com/spreadsheets/d/1BJSV3WBYJGRhQ6zExamkszQ5VutGIcaQqmbD9ZTVXMQ/edit#gid=1251630045"",""articles_with_PRISMA_reasons!B2:B2113""))&lt;2),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$A844=IMPORTRANGE(""https://docs.google.com/spreadsheets/d/1BJSV3WBYJGRhQ6zExamkszQ5VutGIcaQqmbD9ZTVXMQ/edit#gid=1251630045"",""arti"&amp;"cles_with_PRISMA_reasons!B2:B2113""))&lt;2,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$A844=IMPORTRANGE(""https://docs.google.com"&amp;"/spreadsheets/d/1BJSV3WBYJGRhQ6zExamkszQ5VutGIcaQqmbD9ZTVXMQ/edit#gid=1251630045"",""articles_with_PRISMA_reasons!B2:B2113""))&gt;=2),
""Exclude""
)"),"Exclude")</f>
        <v>Exclude</v>
      </c>
      <c r="E844" s="5" t="str">
        <f>IFERROR(__xludf.DUMMYFUNCTION("IFS(
D844=""Exclude"",""Exclude"",
AND(
FILTER(IMPORTRANGE(""https://docs.google.com/spreadsheets/d/1qpEmbGH0JjaJbUdp21-y2cPbobDbMjr09BbtdKROZWc/edit#gid=1444865654"",""articles_with_PRISMA_reasons!W2:W2113""), $A844=IMPORTRANGE(""https://docs.google.com/"&amp;"spreadsheets/d/1qpEmbGH0JjaJbUdp21-y2cPbobDbMjr09BbtdKROZWc/edit#gid=1444865654"",""articles_with_PRISMA_reasons!B2:B2113""))&gt;=2,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$A844=IMPORTRANGE(""https://docs.google.com/spreadsheets/d/1qpEmbGH0JjaJbUdp21-y2cPbobDbMjr09BbtdKROZWc/edit#gid=1444865654"",""articles_with_PRISMA_reasons!B2:B2113""))&lt;2),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$A844=IMPORTRANGE(""https://docs.google.com/spreadsheets/d/1qpEmbGH0JjaJbUdp21-y2cPbobDbMjr09BbtdKRO"&amp;"ZWc/edit#gid=1444865654"",""articles_with_PRISMA_reasons!B2:B2113""))&lt;2,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$A844=IMPOR"&amp;"TRANGE(""https://docs.google.com/spreadsheets/d/1qpEmbGH0JjaJbUdp21-y2cPbobDbMjr09BbtdKROZWc/edit#gid=1444865654"",""articles_with_PRISMA_reasons!B2:B2113""))&gt;=2),
""Exclude""
)"),"Exclude")</f>
        <v>Exclude</v>
      </c>
      <c r="F844" s="5" t="str">
        <f>IFERROR(__xludf.DUMMYFUNCTION("IFS(
E844=""Exclude"",""Exclude"",
AND(
COUNTIF(
IMPORTRANGE(""https://docs.google.com/spreadsheets/d/1kGrh75X1cNR1D7_FcY9zMnHP8iPO4M5RCRjy6nZY0TY/edit#gid=0"",""Table 1: Study characteristics!B4:B171""),A844)&gt;0,
COUNTIF(Studies!$A$2:$A$85,FILTER(IMPORTRA"&amp;"NGE(""https://docs.google.com/spreadsheets/d/1kGrh75X1cNR1D7_FcY9zMnHP8iPO4M5RCRjy6nZY0TY/edit#gid=0"",""Table 1: Study characteristics!A4:A171""), $A844=IMPORTRANGE(""https://docs.google.com/spreadsheets/d/1kGrh75X1cNR1D7_FcY9zMnHP8iPO4M5RCRjy6nZY0TY/edi"&amp;"t#gid=0"",""Table 1: Study characteristics!B4:B171"")))&gt;0
),
""Include""
)"),"Exclude")</f>
        <v>Exclude</v>
      </c>
      <c r="G844" s="5" t="str">
        <f>IFERROR(__xludf.DUMMYFUNCTION("IFS(
D844=""Exclude"",
FILTER(IMPORTRANGE(""https://docs.google.com/spreadsheets/d/1BJSV3WBYJGRhQ6zExamkszQ5VutGIcaQqmbD9ZTVXMQ/edit#gid=1251630045"",""articles_with_PRISMA_reasons!AB2:AB2113""), $A844=IMPORTRANGE(""https://docs.google.com/spreadsheets/d/"&amp;"1BJSV3WBYJGRhQ6zExamkszQ5VutGIcaQqmbD9ZTVXMQ/edit#gid=1251630045"",""articles_with_PRISMA_reasons!B2:B2113"")),
E844=""Exclude"",
FILTER(IMPORTRANGE(""https://docs.google.com/spreadsheets/d/1qpEmbGH0JjaJbUdp21-y2cPbobDbMjr09BbtdKROZWc/edit#gid=1444865654"&amp;""",""articles_with_PRISMA_reasons!Z2:Z2113""), $A844=IMPORTRANGE(""https://docs.google.com/spreadsheets/d/1qpEmbGH0JjaJbUdp21-y2cPbobDbMjr09BbtdKROZWc/edit#gid=1444865654"",""articles_with_PRISMA_reasons!B2:B2113"")),F844
=""Include"",FILTER(IMPORTRANGE("&amp;"""https://docs.google.com/spreadsheets/d/1kGrh75X1cNR1D7_FcY9zMnHP8iPO4M5RCRjy6nZY0TY/edit#gid=0"",""Table 1: Study characteristics!A4:A171""), $A844=IMPORTRANGE(""https://docs.google.com/spreadsheets/d/1kGrh75X1cNR1D7_FcY9zMnHP8iPO4M5RCRjy6nZY0TY/edit#gi"&amp;"d=0"",""Table 1: Study characteristics!B4:B171""))
)"),"wrong publication type")</f>
        <v>wrong publication type</v>
      </c>
    </row>
    <row r="845">
      <c r="A845" s="4" t="str">
        <f>IFERROR(__xludf.DUMMYFUNCTION("""COMPUTED_VALUE"""),"Fluoroscopically guided lumbar puncture")</f>
        <v>Fluoroscopically guided lumbar puncture</v>
      </c>
      <c r="B845" s="5" t="str">
        <f>IFERROR(__xludf.DUMMYFUNCTION("LEFT(FILTER(IMPORTRANGE(""https://docs.google.com/spreadsheets/d/1BJSV3WBYJGRhQ6zExamkszQ5VutGIcaQqmbD9ZTVXMQ/edit#gid=1251630045"",""articles_with_PRISMA_reasons!K2:K2113""), $A845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$A845=IMPORTRANGE(""https://docs.google.com/spreadsheets/d/1BJSV3WBYJGRhQ6zExamkszQ5VutGIcaQqmbD9ZTVXMQ/edit#gid=1251630045"",""articles_with_PRISMA_reasons!B2:B2113"")))-1)"),"Cauley")</f>
        <v>Cauley</v>
      </c>
      <c r="C845" s="6">
        <f>IFERROR(__xludf.DUMMYFUNCTION("FILTER(IMPORTRANGE(""https://docs.google.com/spreadsheets/d/1BJSV3WBYJGRhQ6zExamkszQ5VutGIcaQqmbD9ZTVXMQ/edit#gid=1251630045"",""articles_with_PRISMA_reasons!C2:C2113""), $A845=IMPORTRANGE(""https://docs.google.com/spreadsheets/d/1BJSV3WBYJGRhQ6zExamkszQ5"&amp;"VutGIcaQqmbD9ZTVXMQ/edit#gid=1251630045"",""articles_with_PRISMA_reasons!B2:B2113""))"),2015.0)</f>
        <v>2015</v>
      </c>
      <c r="D845" s="5" t="str">
        <f>IFERROR(__xludf.DUMMYFUNCTION("IFS(AND(
FILTER(IMPORTRANGE(""https://docs.google.com/spreadsheets/d/1BJSV3WBYJGRhQ6zExamkszQ5VutGIcaQqmbD9ZTVXMQ/edit#gid=1251630045"",""articles_with_PRISMA_reasons!Y2:Y2113""), $A845=IMPORTRANGE(""https://docs.google.com/spreadsheets/d/1BJSV3WBYJGRhQ6z"&amp;"ExamkszQ5VutGIcaQqmbD9ZTVXMQ/edit#gid=1251630045"",""articles_with_PRISMA_reasons!B2:B2113""))&gt;=2,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$A845=IMPORTRANGE(""https://docs.google.com/spreadsheets/d/1BJSV3WBYJGRhQ6zExamkszQ5VutGIcaQqmbD9ZTVXMQ/edit#gid=1251630045"",""articles_with_PRISMA_reasons!B2:B2113""))&lt;2),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$A845=IMPORTRANGE(""https://docs.google.com/spreadsheets/d/1BJSV3WBYJGRhQ6zExamkszQ5VutGIcaQqmbD9ZTVXMQ/edit#gid=1251630045"",""arti"&amp;"cles_with_PRISMA_reasons!B2:B2113""))&lt;2,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$A845=IMPORTRANGE(""https://docs.google.com"&amp;"/spreadsheets/d/1BJSV3WBYJGRhQ6zExamkszQ5VutGIcaQqmbD9ZTVXMQ/edit#gid=1251630045"",""articles_with_PRISMA_reasons!B2:B2113""))&gt;=2),
""Exclude""
)"),"Exclude")</f>
        <v>Exclude</v>
      </c>
      <c r="E845" s="5" t="str">
        <f>IFERROR(__xludf.DUMMYFUNCTION("IFS(
D845=""Exclude"",""Exclude"",
AND(
FILTER(IMPORTRANGE(""https://docs.google.com/spreadsheets/d/1qpEmbGH0JjaJbUdp21-y2cPbobDbMjr09BbtdKROZWc/edit#gid=1444865654"",""articles_with_PRISMA_reasons!W2:W2113""), $A845=IMPORTRANGE(""https://docs.google.com/"&amp;"spreadsheets/d/1qpEmbGH0JjaJbUdp21-y2cPbobDbMjr09BbtdKROZWc/edit#gid=1444865654"",""articles_with_PRISMA_reasons!B2:B2113""))&gt;=2,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$A845=IMPORTRANGE(""https://docs.google.com/spreadsheets/d/1qpEmbGH0JjaJbUdp21-y2cPbobDbMjr09BbtdKROZWc/edit#gid=1444865654"",""articles_with_PRISMA_reasons!B2:B2113""))&lt;2),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$A845=IMPORTRANGE(""https://docs.google.com/spreadsheets/d/1qpEmbGH0JjaJbUdp21-y2cPbobDbMjr09BbtdKRO"&amp;"ZWc/edit#gid=1444865654"",""articles_with_PRISMA_reasons!B2:B2113""))&lt;2,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$A845=IMPOR"&amp;"TRANGE(""https://docs.google.com/spreadsheets/d/1qpEmbGH0JjaJbUdp21-y2cPbobDbMjr09BbtdKROZWc/edit#gid=1444865654"",""articles_with_PRISMA_reasons!B2:B2113""))&gt;=2),
""Exclude""
)"),"Exclude")</f>
        <v>Exclude</v>
      </c>
      <c r="F845" s="5" t="str">
        <f>IFERROR(__xludf.DUMMYFUNCTION("IFS(
E845=""Exclude"",""Exclude"",
AND(
COUNTIF(
IMPORTRANGE(""https://docs.google.com/spreadsheets/d/1kGrh75X1cNR1D7_FcY9zMnHP8iPO4M5RCRjy6nZY0TY/edit#gid=0"",""Table 1: Study characteristics!B4:B171""),A845)&gt;0,
COUNTIF(Studies!$A$2:$A$85,FILTER(IMPORTRA"&amp;"NGE(""https://docs.google.com/spreadsheets/d/1kGrh75X1cNR1D7_FcY9zMnHP8iPO4M5RCRjy6nZY0TY/edit#gid=0"",""Table 1: Study characteristics!A4:A171""), $A845=IMPORTRANGE(""https://docs.google.com/spreadsheets/d/1kGrh75X1cNR1D7_FcY9zMnHP8iPO4M5RCRjy6nZY0TY/edi"&amp;"t#gid=0"",""Table 1: Study characteristics!B4:B171"")))&gt;0
),
""Include""
)"),"Exclude")</f>
        <v>Exclude</v>
      </c>
      <c r="G845" s="5" t="str">
        <f>IFERROR(__xludf.DUMMYFUNCTION("IFS(
D845=""Exclude"",
FILTER(IMPORTRANGE(""https://docs.google.com/spreadsheets/d/1BJSV3WBYJGRhQ6zExamkszQ5VutGIcaQqmbD9ZTVXMQ/edit#gid=1251630045"",""articles_with_PRISMA_reasons!AB2:AB2113""), $A845=IMPORTRANGE(""https://docs.google.com/spreadsheets/d/"&amp;"1BJSV3WBYJGRhQ6zExamkszQ5VutGIcaQqmbD9ZTVXMQ/edit#gid=1251630045"",""articles_with_PRISMA_reasons!B2:B2113"")),
E845=""Exclude"",
FILTER(IMPORTRANGE(""https://docs.google.com/spreadsheets/d/1qpEmbGH0JjaJbUdp21-y2cPbobDbMjr09BbtdKROZWc/edit#gid=1444865654"&amp;""",""articles_with_PRISMA_reasons!Z2:Z2113""), $A845=IMPORTRANGE(""https://docs.google.com/spreadsheets/d/1qpEmbGH0JjaJbUdp21-y2cPbobDbMjr09BbtdKROZWc/edit#gid=1444865654"",""articles_with_PRISMA_reasons!B2:B2113"")),F845
=""Include"",FILTER(IMPORTRANGE("&amp;"""https://docs.google.com/spreadsheets/d/1kGrh75X1cNR1D7_FcY9zMnHP8iPO4M5RCRjy6nZY0TY/edit#gid=0"",""Table 1: Study characteristics!A4:A171""), $A845=IMPORTRANGE(""https://docs.google.com/spreadsheets/d/1kGrh75X1cNR1D7_FcY9zMnHP8iPO4M5RCRjy6nZY0TY/edit#gi"&amp;"d=0"",""Table 1: Study characteristics!B4:B171""))
)"),"wrong study design")</f>
        <v>wrong study design</v>
      </c>
    </row>
    <row r="846">
      <c r="A846" s="4" t="str">
        <f>IFERROR(__xludf.DUMMYFUNCTION("""COMPUTED_VALUE"""),"Focal cerebral mantle disruption in fetal hydrocephalus")</f>
        <v>Focal cerebral mantle disruption in fetal hydrocephalus</v>
      </c>
      <c r="B846" s="5" t="str">
        <f>IFERROR(__xludf.DUMMYFUNCTION("LEFT(FILTER(IMPORTRANGE(""https://docs.google.com/spreadsheets/d/1BJSV3WBYJGRhQ6zExamkszQ5VutGIcaQqmbD9ZTVXMQ/edit#gid=1251630045"",""articles_with_PRISMA_reasons!K2:K2113""), $A846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$A846=IMPORTRANGE(""https://docs.google.com/spreadsheets/d/1BJSV3WBYJGRhQ6zExamkszQ5VutGIcaQqmbD9ZTVXMQ/edit#gid=1251630045"",""articles_with_PRISMA_reasons!B2:B2113"")))-1)"),"Humphreys")</f>
        <v>Humphreys</v>
      </c>
      <c r="C846" s="3">
        <v>2007.0</v>
      </c>
      <c r="D846" s="5" t="str">
        <f>IFERROR(__xludf.DUMMYFUNCTION("IFS(AND(
FILTER(IMPORTRANGE(""https://docs.google.com/spreadsheets/d/1BJSV3WBYJGRhQ6zExamkszQ5VutGIcaQqmbD9ZTVXMQ/edit#gid=1251630045"",""articles_with_PRISMA_reasons!Y2:Y2113""), $A846=IMPORTRANGE(""https://docs.google.com/spreadsheets/d/1BJSV3WBYJGRhQ6z"&amp;"ExamkszQ5VutGIcaQqmbD9ZTVXMQ/edit#gid=1251630045"",""articles_with_PRISMA_reasons!B2:B2113""))&gt;=2,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$A846=IMPORTRANGE(""https://docs.google.com/spreadsheets/d/1BJSV3WBYJGRhQ6zExamkszQ5VutGIcaQqmbD9ZTVXMQ/edit#gid=1251630045"",""articles_with_PRISMA_reasons!B2:B2113""))&lt;2),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$A846=IMPORTRANGE(""https://docs.google.com/spreadsheets/d/1BJSV3WBYJGRhQ6zExamkszQ5VutGIcaQqmbD9ZTVXMQ/edit#gid=1251630045"",""arti"&amp;"cles_with_PRISMA_reasons!B2:B2113""))&lt;2,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$A846=IMPORTRANGE(""https://docs.google.com"&amp;"/spreadsheets/d/1BJSV3WBYJGRhQ6zExamkszQ5VutGIcaQqmbD9ZTVXMQ/edit#gid=1251630045"",""articles_with_PRISMA_reasons!B2:B2113""))&gt;=2),
""Exclude""
)"),"Exclude")</f>
        <v>Exclude</v>
      </c>
      <c r="E846" s="5" t="str">
        <f>IFERROR(__xludf.DUMMYFUNCTION("IFS(
D846=""Exclude"",""Exclude"",
AND(
FILTER(IMPORTRANGE(""https://docs.google.com/spreadsheets/d/1qpEmbGH0JjaJbUdp21-y2cPbobDbMjr09BbtdKROZWc/edit#gid=1444865654"",""articles_with_PRISMA_reasons!W2:W2113""), $A846=IMPORTRANGE(""https://docs.google.com/"&amp;"spreadsheets/d/1qpEmbGH0JjaJbUdp21-y2cPbobDbMjr09BbtdKROZWc/edit#gid=1444865654"",""articles_with_PRISMA_reasons!B2:B2113""))&gt;=2,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$A846=IMPORTRANGE(""https://docs.google.com/spreadsheets/d/1qpEmbGH0JjaJbUdp21-y2cPbobDbMjr09BbtdKROZWc/edit#gid=1444865654"",""articles_with_PRISMA_reasons!B2:B2113""))&lt;2),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$A846=IMPORTRANGE(""https://docs.google.com/spreadsheets/d/1qpEmbGH0JjaJbUdp21-y2cPbobDbMjr09BbtdKRO"&amp;"ZWc/edit#gid=1444865654"",""articles_with_PRISMA_reasons!B2:B2113""))&lt;2,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$A846=IMPOR"&amp;"TRANGE(""https://docs.google.com/spreadsheets/d/1qpEmbGH0JjaJbUdp21-y2cPbobDbMjr09BbtdKROZWc/edit#gid=1444865654"",""articles_with_PRISMA_reasons!B2:B2113""))&gt;=2),
""Exclude""
)"),"Exclude")</f>
        <v>Exclude</v>
      </c>
      <c r="F846" s="5" t="str">
        <f>IFERROR(__xludf.DUMMYFUNCTION("IFS(
E846=""Exclude"",""Exclude"",
AND(
COUNTIF(
IMPORTRANGE(""https://docs.google.com/spreadsheets/d/1kGrh75X1cNR1D7_FcY9zMnHP8iPO4M5RCRjy6nZY0TY/edit#gid=0"",""Table 1: Study characteristics!B4:B171""),A846)&gt;0,
COUNTIF(Studies!$A$2:$A$85,FILTER(IMPORTRA"&amp;"NGE(""https://docs.google.com/spreadsheets/d/1kGrh75X1cNR1D7_FcY9zMnHP8iPO4M5RCRjy6nZY0TY/edit#gid=0"",""Table 1: Study characteristics!A4:A171""), $A846=IMPORTRANGE(""https://docs.google.com/spreadsheets/d/1kGrh75X1cNR1D7_FcY9zMnHP8iPO4M5RCRjy6nZY0TY/edi"&amp;"t#gid=0"",""Table 1: Study characteristics!B4:B171"")))&gt;0
),
""Include""
)"),"Exclude")</f>
        <v>Exclude</v>
      </c>
      <c r="G846" s="2" t="s">
        <v>15</v>
      </c>
    </row>
    <row r="847">
      <c r="A847" s="4" t="str">
        <f>IFERROR(__xludf.DUMMYFUNCTION("""COMPUTED_VALUE"""),"Focal Cerebral Mantle Disruption in Fetal Hydrocephalus")</f>
        <v>Focal Cerebral Mantle Disruption in Fetal Hydrocephalus</v>
      </c>
      <c r="B847" s="5" t="str">
        <f>IFERROR(__xludf.DUMMYFUNCTION("LEFT(FILTER(IMPORTRANGE(""https://docs.google.com/spreadsheets/d/1BJSV3WBYJGRhQ6zExamkszQ5VutGIcaQqmbD9ZTVXMQ/edit#gid=1251630045"",""articles_with_PRISMA_reasons!K2:K2113""), $A847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$A847=IMPORTRANGE(""https://docs.google.com/spreadsheets/d/1BJSV3WBYJGRhQ6zExamkszQ5VutGIcaQqmbD9ZTVXMQ/edit#gid=1251630045"",""articles_with_PRISMA_reasons!B2:B2113"")))-1)"),"Humphreys")</f>
        <v>Humphreys</v>
      </c>
      <c r="C847" s="3">
        <v>2007.0</v>
      </c>
      <c r="D847" s="5" t="str">
        <f>IFERROR(__xludf.DUMMYFUNCTION("IFS(AND(
FILTER(IMPORTRANGE(""https://docs.google.com/spreadsheets/d/1BJSV3WBYJGRhQ6zExamkszQ5VutGIcaQqmbD9ZTVXMQ/edit#gid=1251630045"",""articles_with_PRISMA_reasons!Y2:Y2113""), $A847=IMPORTRANGE(""https://docs.google.com/spreadsheets/d/1BJSV3WBYJGRhQ6z"&amp;"ExamkszQ5VutGIcaQqmbD9ZTVXMQ/edit#gid=1251630045"",""articles_with_PRISMA_reasons!B2:B2113""))&gt;=2,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$A847=IMPORTRANGE(""https://docs.google.com/spreadsheets/d/1BJSV3WBYJGRhQ6zExamkszQ5VutGIcaQqmbD9ZTVXMQ/edit#gid=1251630045"",""articles_with_PRISMA_reasons!B2:B2113""))&lt;2),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$A847=IMPORTRANGE(""https://docs.google.com/spreadsheets/d/1BJSV3WBYJGRhQ6zExamkszQ5VutGIcaQqmbD9ZTVXMQ/edit#gid=1251630045"",""arti"&amp;"cles_with_PRISMA_reasons!B2:B2113""))&lt;2,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$A847=IMPORTRANGE(""https://docs.google.com"&amp;"/spreadsheets/d/1BJSV3WBYJGRhQ6zExamkszQ5VutGIcaQqmbD9ZTVXMQ/edit#gid=1251630045"",""articles_with_PRISMA_reasons!B2:B2113""))&gt;=2),
""Exclude""
)"),"Exclude")</f>
        <v>Exclude</v>
      </c>
      <c r="E847" s="5" t="str">
        <f>IFERROR(__xludf.DUMMYFUNCTION("IFS(
D847=""Exclude"",""Exclude"",
AND(
FILTER(IMPORTRANGE(""https://docs.google.com/spreadsheets/d/1qpEmbGH0JjaJbUdp21-y2cPbobDbMjr09BbtdKROZWc/edit#gid=1444865654"",""articles_with_PRISMA_reasons!W2:W2113""), $A847=IMPORTRANGE(""https://docs.google.com/"&amp;"spreadsheets/d/1qpEmbGH0JjaJbUdp21-y2cPbobDbMjr09BbtdKROZWc/edit#gid=1444865654"",""articles_with_PRISMA_reasons!B2:B2113""))&gt;=2,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$A847=IMPORTRANGE(""https://docs.google.com/spreadsheets/d/1qpEmbGH0JjaJbUdp21-y2cPbobDbMjr09BbtdKROZWc/edit#gid=1444865654"",""articles_with_PRISMA_reasons!B2:B2113""))&lt;2),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$A847=IMPORTRANGE(""https://docs.google.com/spreadsheets/d/1qpEmbGH0JjaJbUdp21-y2cPbobDbMjr09BbtdKRO"&amp;"ZWc/edit#gid=1444865654"",""articles_with_PRISMA_reasons!B2:B2113""))&lt;2,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$A847=IMPOR"&amp;"TRANGE(""https://docs.google.com/spreadsheets/d/1qpEmbGH0JjaJbUdp21-y2cPbobDbMjr09BbtdKROZWc/edit#gid=1444865654"",""articles_with_PRISMA_reasons!B2:B2113""))&gt;=2),
""Exclude""
)"),"Exclude")</f>
        <v>Exclude</v>
      </c>
      <c r="F847" s="5" t="str">
        <f>IFERROR(__xludf.DUMMYFUNCTION("IFS(
E847=""Exclude"",""Exclude"",
AND(
COUNTIF(
IMPORTRANGE(""https://docs.google.com/spreadsheets/d/1kGrh75X1cNR1D7_FcY9zMnHP8iPO4M5RCRjy6nZY0TY/edit#gid=0"",""Table 1: Study characteristics!B4:B171""),A847)&gt;0,
COUNTIF(Studies!$A$2:$A$85,FILTER(IMPORTRA"&amp;"NGE(""https://docs.google.com/spreadsheets/d/1kGrh75X1cNR1D7_FcY9zMnHP8iPO4M5RCRjy6nZY0TY/edit#gid=0"",""Table 1: Study characteristics!A4:A171""), $A847=IMPORTRANGE(""https://docs.google.com/spreadsheets/d/1kGrh75X1cNR1D7_FcY9zMnHP8iPO4M5RCRjy6nZY0TY/edi"&amp;"t#gid=0"",""Table 1: Study characteristics!B4:B171"")))&gt;0
),
""Include""
)"),"Exclude")</f>
        <v>Exclude</v>
      </c>
      <c r="G847" s="2" t="s">
        <v>13</v>
      </c>
    </row>
    <row r="848">
      <c r="A848" s="4" t="str">
        <f>IFERROR(__xludf.DUMMYFUNCTION("""COMPUTED_VALUE"""),"Focal dermal hypoplasia: Report of a case with myelomeningocele, Arnold-Chiari malformation and hydrocephalus with a review of neurologic manifestations of Goltz syndrome")</f>
        <v>Focal dermal hypoplasia: Report of a case with myelomeningocele, Arnold-Chiari malformation and hydrocephalus with a review of neurologic manifestations of Goltz syndrome</v>
      </c>
      <c r="B848" s="5" t="str">
        <f>IFERROR(__xludf.DUMMYFUNCTION("LEFT(FILTER(IMPORTRANGE(""https://docs.google.com/spreadsheets/d/1BJSV3WBYJGRhQ6zExamkszQ5VutGIcaQqmbD9ZTVXMQ/edit#gid=1251630045"",""articles_with_PRISMA_reasons!K2:K2113""), $A848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$A848=IMPORTRANGE(""https://docs.google.com/spreadsheets/d/1BJSV3WBYJGRhQ6zExamkszQ5VutGIcaQqmbD9ZTVXMQ/edit#gid=1251630045"",""articles_with_PRISMA_reasons!B2:B2113"")))-1)"),"Peters")</f>
        <v>Peters</v>
      </c>
      <c r="C848" s="3">
        <v>2014.0</v>
      </c>
      <c r="D848" s="5" t="str">
        <f>IFERROR(__xludf.DUMMYFUNCTION("IFS(AND(
FILTER(IMPORTRANGE(""https://docs.google.com/spreadsheets/d/1BJSV3WBYJGRhQ6zExamkszQ5VutGIcaQqmbD9ZTVXMQ/edit#gid=1251630045"",""articles_with_PRISMA_reasons!Y2:Y2113""), $A848=IMPORTRANGE(""https://docs.google.com/spreadsheets/d/1BJSV3WBYJGRhQ6z"&amp;"ExamkszQ5VutGIcaQqmbD9ZTVXMQ/edit#gid=1251630045"",""articles_with_PRISMA_reasons!B2:B2113""))&gt;=2,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$A848=IMPORTRANGE(""https://docs.google.com/spreadsheets/d/1BJSV3WBYJGRhQ6zExamkszQ5VutGIcaQqmbD9ZTVXMQ/edit#gid=1251630045"",""articles_with_PRISMA_reasons!B2:B2113""))&lt;2),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$A848=IMPORTRANGE(""https://docs.google.com/spreadsheets/d/1BJSV3WBYJGRhQ6zExamkszQ5VutGIcaQqmbD9ZTVXMQ/edit#gid=1251630045"",""arti"&amp;"cles_with_PRISMA_reasons!B2:B2113""))&lt;2,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$A848=IMPORTRANGE(""https://docs.google.com"&amp;"/spreadsheets/d/1BJSV3WBYJGRhQ6zExamkszQ5VutGIcaQqmbD9ZTVXMQ/edit#gid=1251630045"",""articles_with_PRISMA_reasons!B2:B2113""))&gt;=2),
""Exclude""
)"),"Exclude")</f>
        <v>Exclude</v>
      </c>
      <c r="E848" s="5" t="str">
        <f>IFERROR(__xludf.DUMMYFUNCTION("IFS(
D848=""Exclude"",""Exclude"",
AND(
FILTER(IMPORTRANGE(""https://docs.google.com/spreadsheets/d/1qpEmbGH0JjaJbUdp21-y2cPbobDbMjr09BbtdKROZWc/edit#gid=1444865654"",""articles_with_PRISMA_reasons!W2:W2113""), $A848=IMPORTRANGE(""https://docs.google.com/"&amp;"spreadsheets/d/1qpEmbGH0JjaJbUdp21-y2cPbobDbMjr09BbtdKROZWc/edit#gid=1444865654"",""articles_with_PRISMA_reasons!B2:B2113""))&gt;=2,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$A848=IMPORTRANGE(""https://docs.google.com/spreadsheets/d/1qpEmbGH0JjaJbUdp21-y2cPbobDbMjr09BbtdKROZWc/edit#gid=1444865654"",""articles_with_PRISMA_reasons!B2:B2113""))&lt;2),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$A848=IMPORTRANGE(""https://docs.google.com/spreadsheets/d/1qpEmbGH0JjaJbUdp21-y2cPbobDbMjr09BbtdKRO"&amp;"ZWc/edit#gid=1444865654"",""articles_with_PRISMA_reasons!B2:B2113""))&lt;2,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$A848=IMPOR"&amp;"TRANGE(""https://docs.google.com/spreadsheets/d/1qpEmbGH0JjaJbUdp21-y2cPbobDbMjr09BbtdKROZWc/edit#gid=1444865654"",""articles_with_PRISMA_reasons!B2:B2113""))&gt;=2),
""Exclude""
)"),"Exclude")</f>
        <v>Exclude</v>
      </c>
      <c r="F848" s="5" t="str">
        <f>IFERROR(__xludf.DUMMYFUNCTION("IFS(
E848=""Exclude"",""Exclude"",
AND(
COUNTIF(
IMPORTRANGE(""https://docs.google.com/spreadsheets/d/1kGrh75X1cNR1D7_FcY9zMnHP8iPO4M5RCRjy6nZY0TY/edit#gid=0"",""Table 1: Study characteristics!B4:B171""),A848)&gt;0,
COUNTIF(Studies!$A$2:$A$85,FILTER(IMPORTRA"&amp;"NGE(""https://docs.google.com/spreadsheets/d/1kGrh75X1cNR1D7_FcY9zMnHP8iPO4M5RCRjy6nZY0TY/edit#gid=0"",""Table 1: Study characteristics!A4:A171""), $A848=IMPORTRANGE(""https://docs.google.com/spreadsheets/d/1kGrh75X1cNR1D7_FcY9zMnHP8iPO4M5RCRjy6nZY0TY/edi"&amp;"t#gid=0"",""Table 1: Study characteristics!B4:B171"")))&gt;0
),
""Include""
)"),"Exclude")</f>
        <v>Exclude</v>
      </c>
      <c r="G848" s="5" t="s">
        <v>7</v>
      </c>
    </row>
    <row r="849">
      <c r="A849" s="4" t="str">
        <f>IFERROR(__xludf.DUMMYFUNCTION("""COMPUTED_VALUE"""),"Focal dermal hypoplasia: report of a case with myelomeningocele, Arnold-Chiari malformation and hydrocephalus with a review of neurologic manifestations of Goltz syndrome")</f>
        <v>Focal dermal hypoplasia: report of a case with myelomeningocele, Arnold-Chiari malformation and hydrocephalus with a review of neurologic manifestations of Goltz syndrome</v>
      </c>
      <c r="B849" s="5" t="str">
        <f>IFERROR(__xludf.DUMMYFUNCTION("LEFT(FILTER(IMPORTRANGE(""https://docs.google.com/spreadsheets/d/1BJSV3WBYJGRhQ6zExamkszQ5VutGIcaQqmbD9ZTVXMQ/edit#gid=1251630045"",""articles_with_PRISMA_reasons!K2:K2113""), $A849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$A849=IMPORTRANGE(""https://docs.google.com/spreadsheets/d/1BJSV3WBYJGRhQ6zExamkszQ5VutGIcaQqmbD9ZTVXMQ/edit#gid=1251630045"",""articles_with_PRISMA_reasons!B2:B2113"")))-1)"),"Peters")</f>
        <v>Peters</v>
      </c>
      <c r="C849" s="3">
        <v>2014.0</v>
      </c>
      <c r="D849" s="5" t="str">
        <f>IFERROR(__xludf.DUMMYFUNCTION("IFS(AND(
FILTER(IMPORTRANGE(""https://docs.google.com/spreadsheets/d/1BJSV3WBYJGRhQ6zExamkszQ5VutGIcaQqmbD9ZTVXMQ/edit#gid=1251630045"",""articles_with_PRISMA_reasons!Y2:Y2113""), $A849=IMPORTRANGE(""https://docs.google.com/spreadsheets/d/1BJSV3WBYJGRhQ6z"&amp;"ExamkszQ5VutGIcaQqmbD9ZTVXMQ/edit#gid=1251630045"",""articles_with_PRISMA_reasons!B2:B2113""))&gt;=2,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$A849=IMPORTRANGE(""https://docs.google.com/spreadsheets/d/1BJSV3WBYJGRhQ6zExamkszQ5VutGIcaQqmbD9ZTVXMQ/edit#gid=1251630045"",""articles_with_PRISMA_reasons!B2:B2113""))&lt;2),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$A849=IMPORTRANGE(""https://docs.google.com/spreadsheets/d/1BJSV3WBYJGRhQ6zExamkszQ5VutGIcaQqmbD9ZTVXMQ/edit#gid=1251630045"",""arti"&amp;"cles_with_PRISMA_reasons!B2:B2113""))&lt;2,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$A849=IMPORTRANGE(""https://docs.google.com"&amp;"/spreadsheets/d/1BJSV3WBYJGRhQ6zExamkszQ5VutGIcaQqmbD9ZTVXMQ/edit#gid=1251630045"",""articles_with_PRISMA_reasons!B2:B2113""))&gt;=2),
""Exclude""
)"),"Exclude")</f>
        <v>Exclude</v>
      </c>
      <c r="E849" s="5" t="str">
        <f>IFERROR(__xludf.DUMMYFUNCTION("IFS(
D849=""Exclude"",""Exclude"",
AND(
FILTER(IMPORTRANGE(""https://docs.google.com/spreadsheets/d/1qpEmbGH0JjaJbUdp21-y2cPbobDbMjr09BbtdKROZWc/edit#gid=1444865654"",""articles_with_PRISMA_reasons!W2:W2113""), $A849=IMPORTRANGE(""https://docs.google.com/"&amp;"spreadsheets/d/1qpEmbGH0JjaJbUdp21-y2cPbobDbMjr09BbtdKROZWc/edit#gid=1444865654"",""articles_with_PRISMA_reasons!B2:B2113""))&gt;=2,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$A849=IMPORTRANGE(""https://docs.google.com/spreadsheets/d/1qpEmbGH0JjaJbUdp21-y2cPbobDbMjr09BbtdKROZWc/edit#gid=1444865654"",""articles_with_PRISMA_reasons!B2:B2113""))&lt;2),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$A849=IMPORTRANGE(""https://docs.google.com/spreadsheets/d/1qpEmbGH0JjaJbUdp21-y2cPbobDbMjr09BbtdKRO"&amp;"ZWc/edit#gid=1444865654"",""articles_with_PRISMA_reasons!B2:B2113""))&lt;2,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$A849=IMPOR"&amp;"TRANGE(""https://docs.google.com/spreadsheets/d/1qpEmbGH0JjaJbUdp21-y2cPbobDbMjr09BbtdKROZWc/edit#gid=1444865654"",""articles_with_PRISMA_reasons!B2:B2113""))&gt;=2),
""Exclude""
)"),"Exclude")</f>
        <v>Exclude</v>
      </c>
      <c r="F849" s="5" t="str">
        <f>IFERROR(__xludf.DUMMYFUNCTION("IFS(
E849=""Exclude"",""Exclude"",
AND(
COUNTIF(
IMPORTRANGE(""https://docs.google.com/spreadsheets/d/1kGrh75X1cNR1D7_FcY9zMnHP8iPO4M5RCRjy6nZY0TY/edit#gid=0"",""Table 1: Study characteristics!B4:B171""),A849)&gt;0,
COUNTIF(Studies!$A$2:$A$85,FILTER(IMPORTRA"&amp;"NGE(""https://docs.google.com/spreadsheets/d/1kGrh75X1cNR1D7_FcY9zMnHP8iPO4M5RCRjy6nZY0TY/edit#gid=0"",""Table 1: Study characteristics!A4:A171""), $A849=IMPORTRANGE(""https://docs.google.com/spreadsheets/d/1kGrh75X1cNR1D7_FcY9zMnHP8iPO4M5RCRjy6nZY0TY/edi"&amp;"t#gid=0"",""Table 1: Study characteristics!B4:B171"")))&gt;0
),
""Include""
)"),"Exclude")</f>
        <v>Exclude</v>
      </c>
      <c r="G849" s="2" t="s">
        <v>13</v>
      </c>
    </row>
    <row r="850">
      <c r="A850" s="4" t="str">
        <f>IFERROR(__xludf.DUMMYFUNCTION("""COMPUTED_VALUE"""),"Focal spinal nondisjunction in primary neurulation: Limited dorsal myeloschisis and congenital spinal dermal sinus tract")</f>
        <v>Focal spinal nondisjunction in primary neurulation: Limited dorsal myeloschisis and congenital spinal dermal sinus tract</v>
      </c>
      <c r="B850" s="5" t="str">
        <f>IFERROR(__xludf.DUMMYFUNCTION("LEFT(FILTER(IMPORTRANGE(""https://docs.google.com/spreadsheets/d/1BJSV3WBYJGRhQ6zExamkszQ5VutGIcaQqmbD9ZTVXMQ/edit#gid=1251630045"",""articles_with_PRISMA_reasons!K2:K2113""), $A850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$A850=IMPORTRANGE(""https://docs.google.com/spreadsheets/d/1BJSV3WBYJGRhQ6zExamkszQ5VutGIcaQqmbD9ZTVXMQ/edit#gid=1251630045"",""articles_with_PRISMA_reasons!B2:B2113"")))-1)"),"Wong")</f>
        <v>Wong</v>
      </c>
      <c r="C850" s="6">
        <f>IFERROR(__xludf.DUMMYFUNCTION("FILTER(IMPORTRANGE(""https://docs.google.com/spreadsheets/d/1BJSV3WBYJGRhQ6zExamkszQ5VutGIcaQqmbD9ZTVXMQ/edit#gid=1251630045"",""articles_with_PRISMA_reasons!C2:C2113""), $A850=IMPORTRANGE(""https://docs.google.com/spreadsheets/d/1BJSV3WBYJGRhQ6zExamkszQ5"&amp;"VutGIcaQqmbD9ZTVXMQ/edit#gid=1251630045"",""articles_with_PRISMA_reasons!B2:B2113""))"),2021.0)</f>
        <v>2021</v>
      </c>
      <c r="D850" s="5" t="str">
        <f>IFERROR(__xludf.DUMMYFUNCTION("IFS(AND(
FILTER(IMPORTRANGE(""https://docs.google.com/spreadsheets/d/1BJSV3WBYJGRhQ6zExamkszQ5VutGIcaQqmbD9ZTVXMQ/edit#gid=1251630045"",""articles_with_PRISMA_reasons!Y2:Y2113""), $A850=IMPORTRANGE(""https://docs.google.com/spreadsheets/d/1BJSV3WBYJGRhQ6z"&amp;"ExamkszQ5VutGIcaQqmbD9ZTVXMQ/edit#gid=1251630045"",""articles_with_PRISMA_reasons!B2:B2113""))&gt;=2,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$A850=IMPORTRANGE(""https://docs.google.com/spreadsheets/d/1BJSV3WBYJGRhQ6zExamkszQ5VutGIcaQqmbD9ZTVXMQ/edit#gid=1251630045"",""articles_with_PRISMA_reasons!B2:B2113""))&lt;2),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$A850=IMPORTRANGE(""https://docs.google.com/spreadsheets/d/1BJSV3WBYJGRhQ6zExamkszQ5VutGIcaQqmbD9ZTVXMQ/edit#gid=1251630045"",""arti"&amp;"cles_with_PRISMA_reasons!B2:B2113""))&lt;2,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$A850=IMPORTRANGE(""https://docs.google.com"&amp;"/spreadsheets/d/1BJSV3WBYJGRhQ6zExamkszQ5VutGIcaQqmbD9ZTVXMQ/edit#gid=1251630045"",""articles_with_PRISMA_reasons!B2:B2113""))&gt;=2),
""Exclude""
)"),"Exclude")</f>
        <v>Exclude</v>
      </c>
      <c r="E850" s="5" t="str">
        <f>IFERROR(__xludf.DUMMYFUNCTION("IFS(
D850=""Exclude"",""Exclude"",
AND(
FILTER(IMPORTRANGE(""https://docs.google.com/spreadsheets/d/1qpEmbGH0JjaJbUdp21-y2cPbobDbMjr09BbtdKROZWc/edit#gid=1444865654"",""articles_with_PRISMA_reasons!W2:W2113""), $A850=IMPORTRANGE(""https://docs.google.com/"&amp;"spreadsheets/d/1qpEmbGH0JjaJbUdp21-y2cPbobDbMjr09BbtdKROZWc/edit#gid=1444865654"",""articles_with_PRISMA_reasons!B2:B2113""))&gt;=2,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$A850=IMPORTRANGE(""https://docs.google.com/spreadsheets/d/1qpEmbGH0JjaJbUdp21-y2cPbobDbMjr09BbtdKROZWc/edit#gid=1444865654"",""articles_with_PRISMA_reasons!B2:B2113""))&lt;2),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$A850=IMPORTRANGE(""https://docs.google.com/spreadsheets/d/1qpEmbGH0JjaJbUdp21-y2cPbobDbMjr09BbtdKRO"&amp;"ZWc/edit#gid=1444865654"",""articles_with_PRISMA_reasons!B2:B2113""))&lt;2,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$A850=IMPOR"&amp;"TRANGE(""https://docs.google.com/spreadsheets/d/1qpEmbGH0JjaJbUdp21-y2cPbobDbMjr09BbtdKROZWc/edit#gid=1444865654"",""articles_with_PRISMA_reasons!B2:B2113""))&gt;=2),
""Exclude""
)"),"Exclude")</f>
        <v>Exclude</v>
      </c>
      <c r="F850" s="5" t="str">
        <f>IFERROR(__xludf.DUMMYFUNCTION("IFS(
E850=""Exclude"",""Exclude"",
AND(
COUNTIF(
IMPORTRANGE(""https://docs.google.com/spreadsheets/d/1kGrh75X1cNR1D7_FcY9zMnHP8iPO4M5RCRjy6nZY0TY/edit#gid=0"",""Table 1: Study characteristics!B4:B171""),A850)&gt;0,
COUNTIF(Studies!$A$2:$A$85,FILTER(IMPORTRA"&amp;"NGE(""https://docs.google.com/spreadsheets/d/1kGrh75X1cNR1D7_FcY9zMnHP8iPO4M5RCRjy6nZY0TY/edit#gid=0"",""Table 1: Study characteristics!A4:A171""), $A850=IMPORTRANGE(""https://docs.google.com/spreadsheets/d/1kGrh75X1cNR1D7_FcY9zMnHP8iPO4M5RCRjy6nZY0TY/edi"&amp;"t#gid=0"",""Table 1: Study characteristics!B4:B171"")))&gt;0
),
""Include""
)"),"Exclude")</f>
        <v>Exclude</v>
      </c>
      <c r="G850" s="5" t="str">
        <f>IFERROR(__xludf.DUMMYFUNCTION("IFS(
D850=""Exclude"",
FILTER(IMPORTRANGE(""https://docs.google.com/spreadsheets/d/1BJSV3WBYJGRhQ6zExamkszQ5VutGIcaQqmbD9ZTVXMQ/edit#gid=1251630045"",""articles_with_PRISMA_reasons!AB2:AB2113""), $A850=IMPORTRANGE(""https://docs.google.com/spreadsheets/d/"&amp;"1BJSV3WBYJGRhQ6zExamkszQ5VutGIcaQqmbD9ZTVXMQ/edit#gid=1251630045"",""articles_with_PRISMA_reasons!B2:B2113"")),
E850=""Exclude"",
FILTER(IMPORTRANGE(""https://docs.google.com/spreadsheets/d/1qpEmbGH0JjaJbUdp21-y2cPbobDbMjr09BbtdKROZWc/edit#gid=1444865654"&amp;""",""articles_with_PRISMA_reasons!Z2:Z2113""), $A850=IMPORTRANGE(""https://docs.google.com/spreadsheets/d/1qpEmbGH0JjaJbUdp21-y2cPbobDbMjr09BbtdKROZWc/edit#gid=1444865654"",""articles_with_PRISMA_reasons!B2:B2113"")),F850
=""Include"",FILTER(IMPORTRANGE("&amp;"""https://docs.google.com/spreadsheets/d/1kGrh75X1cNR1D7_FcY9zMnHP8iPO4M5RCRjy6nZY0TY/edit#gid=0"",""Table 1: Study characteristics!A4:A171""), $A850=IMPORTRANGE(""https://docs.google.com/spreadsheets/d/1kGrh75X1cNR1D7_FcY9zMnHP8iPO4M5RCRjy6nZY0TY/edit#gi"&amp;"d=0"",""Table 1: Study characteristics!B4:B171""))
)"),"wrong study design")</f>
        <v>wrong study design</v>
      </c>
    </row>
    <row r="851">
      <c r="A851" s="4" t="str">
        <f>IFERROR(__xludf.DUMMYFUNCTION("""COMPUTED_VALUE"""),"Foetal risks related to inflammatory bowel disease treatment during pregnancy")</f>
        <v>Foetal risks related to inflammatory bowel disease treatment during pregnancy</v>
      </c>
      <c r="B851" s="5" t="str">
        <f>IFERROR(__xludf.DUMMYFUNCTION("LEFT(FILTER(IMPORTRANGE(""https://docs.google.com/spreadsheets/d/1BJSV3WBYJGRhQ6zExamkszQ5VutGIcaQqmbD9ZTVXMQ/edit#gid=1251630045"",""articles_with_PRISMA_reasons!K2:K2113""), $A851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$A851=IMPORTRANGE(""https://docs.google.com/spreadsheets/d/1BJSV3WBYJGRhQ6zExamkszQ5VutGIcaQqmbD9ZTVXMQ/edit#gid=1251630045"",""articles_with_PRISMA_reasons!B2:B2113"")))-1)"),"Esposito")</f>
        <v>Esposito</v>
      </c>
      <c r="C851" s="6">
        <f>IFERROR(__xludf.DUMMYFUNCTION("FILTER(IMPORTRANGE(""https://docs.google.com/spreadsheets/d/1BJSV3WBYJGRhQ6zExamkszQ5VutGIcaQqmbD9ZTVXMQ/edit#gid=1251630045"",""articles_with_PRISMA_reasons!C2:C2113""), $A851=IMPORTRANGE(""https://docs.google.com/spreadsheets/d/1BJSV3WBYJGRhQ6zExamkszQ5"&amp;"VutGIcaQqmbD9ZTVXMQ/edit#gid=1251630045"",""articles_with_PRISMA_reasons!B2:B2113""))"),2003.0)</f>
        <v>2003</v>
      </c>
      <c r="D851" s="5" t="str">
        <f>IFERROR(__xludf.DUMMYFUNCTION("IFS(AND(
FILTER(IMPORTRANGE(""https://docs.google.com/spreadsheets/d/1BJSV3WBYJGRhQ6zExamkszQ5VutGIcaQqmbD9ZTVXMQ/edit#gid=1251630045"",""articles_with_PRISMA_reasons!Y2:Y2113""), $A851=IMPORTRANGE(""https://docs.google.com/spreadsheets/d/1BJSV3WBYJGRhQ6z"&amp;"ExamkszQ5VutGIcaQqmbD9ZTVXMQ/edit#gid=1251630045"",""articles_with_PRISMA_reasons!B2:B2113""))&gt;=2,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$A851=IMPORTRANGE(""https://docs.google.com/spreadsheets/d/1BJSV3WBYJGRhQ6zExamkszQ5VutGIcaQqmbD9ZTVXMQ/edit#gid=1251630045"",""articles_with_PRISMA_reasons!B2:B2113""))&lt;2),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$A851=IMPORTRANGE(""https://docs.google.com/spreadsheets/d/1BJSV3WBYJGRhQ6zExamkszQ5VutGIcaQqmbD9ZTVXMQ/edit#gid=1251630045"",""arti"&amp;"cles_with_PRISMA_reasons!B2:B2113""))&lt;2,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$A851=IMPORTRANGE(""https://docs.google.com"&amp;"/spreadsheets/d/1BJSV3WBYJGRhQ6zExamkszQ5VutGIcaQqmbD9ZTVXMQ/edit#gid=1251630045"",""articles_with_PRISMA_reasons!B2:B2113""))&gt;=2),
""Exclude""
)"),"Exclude")</f>
        <v>Exclude</v>
      </c>
      <c r="E851" s="5" t="str">
        <f>IFERROR(__xludf.DUMMYFUNCTION("IFS(
D851=""Exclude"",""Exclude"",
AND(
FILTER(IMPORTRANGE(""https://docs.google.com/spreadsheets/d/1qpEmbGH0JjaJbUdp21-y2cPbobDbMjr09BbtdKROZWc/edit#gid=1444865654"",""articles_with_PRISMA_reasons!W2:W2113""), $A851=IMPORTRANGE(""https://docs.google.com/"&amp;"spreadsheets/d/1qpEmbGH0JjaJbUdp21-y2cPbobDbMjr09BbtdKROZWc/edit#gid=1444865654"",""articles_with_PRISMA_reasons!B2:B2113""))&gt;=2,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$A851=IMPORTRANGE(""https://docs.google.com/spreadsheets/d/1qpEmbGH0JjaJbUdp21-y2cPbobDbMjr09BbtdKROZWc/edit#gid=1444865654"",""articles_with_PRISMA_reasons!B2:B2113""))&lt;2),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$A851=IMPORTRANGE(""https://docs.google.com/spreadsheets/d/1qpEmbGH0JjaJbUdp21-y2cPbobDbMjr09BbtdKRO"&amp;"ZWc/edit#gid=1444865654"",""articles_with_PRISMA_reasons!B2:B2113""))&lt;2,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$A851=IMPOR"&amp;"TRANGE(""https://docs.google.com/spreadsheets/d/1qpEmbGH0JjaJbUdp21-y2cPbobDbMjr09BbtdKROZWc/edit#gid=1444865654"",""articles_with_PRISMA_reasons!B2:B2113""))&gt;=2),
""Exclude""
)"),"Exclude")</f>
        <v>Exclude</v>
      </c>
      <c r="F851" s="5" t="str">
        <f>IFERROR(__xludf.DUMMYFUNCTION("IFS(
E851=""Exclude"",""Exclude"",
AND(
COUNTIF(
IMPORTRANGE(""https://docs.google.com/spreadsheets/d/1kGrh75X1cNR1D7_FcY9zMnHP8iPO4M5RCRjy6nZY0TY/edit#gid=0"",""Table 1: Study characteristics!B4:B171""),A851)&gt;0,
COUNTIF(Studies!$A$2:$A$85,FILTER(IMPORTRA"&amp;"NGE(""https://docs.google.com/spreadsheets/d/1kGrh75X1cNR1D7_FcY9zMnHP8iPO4M5RCRjy6nZY0TY/edit#gid=0"",""Table 1: Study characteristics!A4:A171""), $A851=IMPORTRANGE(""https://docs.google.com/spreadsheets/d/1kGrh75X1cNR1D7_FcY9zMnHP8iPO4M5RCRjy6nZY0TY/edi"&amp;"t#gid=0"",""Table 1: Study characteristics!B4:B171"")))&gt;0
),
""Include""
)"),"Exclude")</f>
        <v>Exclude</v>
      </c>
      <c r="G851" s="5" t="str">
        <f>IFERROR(__xludf.DUMMYFUNCTION("IFS(
D851=""Exclude"",
FILTER(IMPORTRANGE(""https://docs.google.com/spreadsheets/d/1BJSV3WBYJGRhQ6zExamkszQ5VutGIcaQqmbD9ZTVXMQ/edit#gid=1251630045"",""articles_with_PRISMA_reasons!AB2:AB2113""), $A851=IMPORTRANGE(""https://docs.google.com/spreadsheets/d/"&amp;"1BJSV3WBYJGRhQ6zExamkszQ5VutGIcaQqmbD9ZTVXMQ/edit#gid=1251630045"",""articles_with_PRISMA_reasons!B2:B2113"")),
E851=""Exclude"",
FILTER(IMPORTRANGE(""https://docs.google.com/spreadsheets/d/1qpEmbGH0JjaJbUdp21-y2cPbobDbMjr09BbtdKROZWc/edit#gid=1444865654"&amp;""",""articles_with_PRISMA_reasons!Z2:Z2113""), $A851=IMPORTRANGE(""https://docs.google.com/spreadsheets/d/1qpEmbGH0JjaJbUdp21-y2cPbobDbMjr09BbtdKROZWc/edit#gid=1444865654"",""articles_with_PRISMA_reasons!B2:B2113"")),F851
=""Include"",FILTER(IMPORTRANGE("&amp;"""https://docs.google.com/spreadsheets/d/1kGrh75X1cNR1D7_FcY9zMnHP8iPO4M5RCRjy6nZY0TY/edit#gid=0"",""Table 1: Study characteristics!A4:A171""), $A851=IMPORTRANGE(""https://docs.google.com/spreadsheets/d/1kGrh75X1cNR1D7_FcY9zMnHP8iPO4M5RCRjy6nZY0TY/edit#gi"&amp;"d=0"",""Table 1: Study characteristics!B4:B171""))
)"),"wrong study design")</f>
        <v>wrong study design</v>
      </c>
    </row>
    <row r="852">
      <c r="A852" s="4" t="str">
        <f>IFERROR(__xludf.DUMMYFUNCTION("""COMPUTED_VALUE"""),"Foetal surgery for spina bifida")</f>
        <v>Foetal surgery for spina bifida</v>
      </c>
      <c r="B852" s="5" t="str">
        <f>IFERROR(__xludf.DUMMYFUNCTION("LEFT(FILTER(IMPORTRANGE(""https://docs.google.com/spreadsheets/d/1BJSV3WBYJGRhQ6zExamkszQ5VutGIcaQqmbD9ZTVXMQ/edit#gid=1251630045"",""articles_with_PRISMA_reasons!K2:K2113""), $A852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$A852=IMPORTRANGE(""https://docs.google.com/spreadsheets/d/1BJSV3WBYJGRhQ6zExamkszQ5VutGIcaQqmbD9ZTVXMQ/edit#gid=1251630045"",""articles_with_PRISMA_reasons!B2:B2113"")))-1)"),"Walsh")</f>
        <v>Walsh</v>
      </c>
      <c r="C852" s="6">
        <f>IFERROR(__xludf.DUMMYFUNCTION("FILTER(IMPORTRANGE(""https://docs.google.com/spreadsheets/d/1BJSV3WBYJGRhQ6zExamkszQ5VutGIcaQqmbD9ZTVXMQ/edit#gid=1251630045"",""articles_with_PRISMA_reasons!C2:C2113""), $A852=IMPORTRANGE(""https://docs.google.com/spreadsheets/d/1BJSV3WBYJGRhQ6zExamkszQ5"&amp;"VutGIcaQqmbD9ZTVXMQ/edit#gid=1251630045"",""articles_with_PRISMA_reasons!B2:B2113""))"),2003.0)</f>
        <v>2003</v>
      </c>
      <c r="D852" s="5" t="str">
        <f>IFERROR(__xludf.DUMMYFUNCTION("IFS(AND(
FILTER(IMPORTRANGE(""https://docs.google.com/spreadsheets/d/1BJSV3WBYJGRhQ6zExamkszQ5VutGIcaQqmbD9ZTVXMQ/edit#gid=1251630045"",""articles_with_PRISMA_reasons!Y2:Y2113""), $A852=IMPORTRANGE(""https://docs.google.com/spreadsheets/d/1BJSV3WBYJGRhQ6z"&amp;"ExamkszQ5VutGIcaQqmbD9ZTVXMQ/edit#gid=1251630045"",""articles_with_PRISMA_reasons!B2:B2113""))&gt;=2,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$A852=IMPORTRANGE(""https://docs.google.com/spreadsheets/d/1BJSV3WBYJGRhQ6zExamkszQ5VutGIcaQqmbD9ZTVXMQ/edit#gid=1251630045"",""articles_with_PRISMA_reasons!B2:B2113""))&lt;2),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$A852=IMPORTRANGE(""https://docs.google.com/spreadsheets/d/1BJSV3WBYJGRhQ6zExamkszQ5VutGIcaQqmbD9ZTVXMQ/edit#gid=1251630045"",""arti"&amp;"cles_with_PRISMA_reasons!B2:B2113""))&lt;2,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$A852=IMPORTRANGE(""https://docs.google.com"&amp;"/spreadsheets/d/1BJSV3WBYJGRhQ6zExamkszQ5VutGIcaQqmbD9ZTVXMQ/edit#gid=1251630045"",""articles_with_PRISMA_reasons!B2:B2113""))&gt;=2),
""Exclude""
)"),"Exclude")</f>
        <v>Exclude</v>
      </c>
      <c r="E852" s="5" t="str">
        <f>IFERROR(__xludf.DUMMYFUNCTION("IFS(
D852=""Exclude"",""Exclude"",
AND(
FILTER(IMPORTRANGE(""https://docs.google.com/spreadsheets/d/1qpEmbGH0JjaJbUdp21-y2cPbobDbMjr09BbtdKROZWc/edit#gid=1444865654"",""articles_with_PRISMA_reasons!W2:W2113""), $A852=IMPORTRANGE(""https://docs.google.com/"&amp;"spreadsheets/d/1qpEmbGH0JjaJbUdp21-y2cPbobDbMjr09BbtdKROZWc/edit#gid=1444865654"",""articles_with_PRISMA_reasons!B2:B2113""))&gt;=2,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$A852=IMPORTRANGE(""https://docs.google.com/spreadsheets/d/1qpEmbGH0JjaJbUdp21-y2cPbobDbMjr09BbtdKROZWc/edit#gid=1444865654"",""articles_with_PRISMA_reasons!B2:B2113""))&lt;2),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$A852=IMPORTRANGE(""https://docs.google.com/spreadsheets/d/1qpEmbGH0JjaJbUdp21-y2cPbobDbMjr09BbtdKRO"&amp;"ZWc/edit#gid=1444865654"",""articles_with_PRISMA_reasons!B2:B2113""))&lt;2,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$A852=IMPOR"&amp;"TRANGE(""https://docs.google.com/spreadsheets/d/1qpEmbGH0JjaJbUdp21-y2cPbobDbMjr09BbtdKROZWc/edit#gid=1444865654"",""articles_with_PRISMA_reasons!B2:B2113""))&gt;=2),
""Exclude""
)"),"Exclude")</f>
        <v>Exclude</v>
      </c>
      <c r="F852" s="5" t="str">
        <f>IFERROR(__xludf.DUMMYFUNCTION("IFS(
E852=""Exclude"",""Exclude"",
AND(
COUNTIF(
IMPORTRANGE(""https://docs.google.com/spreadsheets/d/1kGrh75X1cNR1D7_FcY9zMnHP8iPO4M5RCRjy6nZY0TY/edit#gid=0"",""Table 1: Study characteristics!B4:B171""),A852)&gt;0,
COUNTIF(Studies!$A$2:$A$85,FILTER(IMPORTRA"&amp;"NGE(""https://docs.google.com/spreadsheets/d/1kGrh75X1cNR1D7_FcY9zMnHP8iPO4M5RCRjy6nZY0TY/edit#gid=0"",""Table 1: Study characteristics!A4:A171""), $A852=IMPORTRANGE(""https://docs.google.com/spreadsheets/d/1kGrh75X1cNR1D7_FcY9zMnHP8iPO4M5RCRjy6nZY0TY/edi"&amp;"t#gid=0"",""Table 1: Study characteristics!B4:B171"")))&gt;0
),
""Include""
)"),"Exclude")</f>
        <v>Exclude</v>
      </c>
      <c r="G852" s="5" t="str">
        <f>IFERROR(__xludf.DUMMYFUNCTION("IFS(
D852=""Exclude"",
FILTER(IMPORTRANGE(""https://docs.google.com/spreadsheets/d/1BJSV3WBYJGRhQ6zExamkszQ5VutGIcaQqmbD9ZTVXMQ/edit#gid=1251630045"",""articles_with_PRISMA_reasons!AB2:AB2113""), $A852=IMPORTRANGE(""https://docs.google.com/spreadsheets/d/"&amp;"1BJSV3WBYJGRhQ6zExamkszQ5VutGIcaQqmbD9ZTVXMQ/edit#gid=1251630045"",""articles_with_PRISMA_reasons!B2:B2113"")),
E852=""Exclude"",
FILTER(IMPORTRANGE(""https://docs.google.com/spreadsheets/d/1qpEmbGH0JjaJbUdp21-y2cPbobDbMjr09BbtdKROZWc/edit#gid=1444865654"&amp;""",""articles_with_PRISMA_reasons!Z2:Z2113""), $A852=IMPORTRANGE(""https://docs.google.com/spreadsheets/d/1qpEmbGH0JjaJbUdp21-y2cPbobDbMjr09BbtdKROZWc/edit#gid=1444865654"",""articles_with_PRISMA_reasons!B2:B2113"")),F852
=""Include"",FILTER(IMPORTRANGE("&amp;"""https://docs.google.com/spreadsheets/d/1kGrh75X1cNR1D7_FcY9zMnHP8iPO4M5RCRjy6nZY0TY/edit#gid=0"",""Table 1: Study characteristics!A4:A171""), $A852=IMPORTRANGE(""https://docs.google.com/spreadsheets/d/1kGrh75X1cNR1D7_FcY9zMnHP8iPO4M5RCRjy6nZY0TY/edit#gi"&amp;"d=0"",""Table 1: Study characteristics!B4:B171""))
)"),"wrong population")</f>
        <v>wrong population</v>
      </c>
    </row>
    <row r="853">
      <c r="A853" s="4" t="str">
        <f>IFERROR(__xludf.DUMMYFUNCTION("""COMPUTED_VALUE"""),"Folic acid use and major congenital malformations in offspring of women with epilepsy: A prospective study from the UK Epilepsy and pregnancy register")</f>
        <v>Folic acid use and major congenital malformations in offspring of women with epilepsy: A prospective study from the UK Epilepsy and pregnancy register</v>
      </c>
      <c r="B853" s="5" t="str">
        <f>IFERROR(__xludf.DUMMYFUNCTION("LEFT(FILTER(IMPORTRANGE(""https://docs.google.com/spreadsheets/d/1BJSV3WBYJGRhQ6zExamkszQ5VutGIcaQqmbD9ZTVXMQ/edit#gid=1251630045"",""articles_with_PRISMA_reasons!K2:K2113""), $A853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$A853=IMPORTRANGE(""https://docs.google.com/spreadsheets/d/1BJSV3WBYJGRhQ6zExamkszQ5VutGIcaQqmbD9ZTVXMQ/edit#gid=1251630045"",""articles_with_PRISMA_reasons!B2:B2113"")))-1)"),"Hunt")</f>
        <v>Hunt</v>
      </c>
      <c r="C853" s="6">
        <f>IFERROR(__xludf.DUMMYFUNCTION("FILTER(IMPORTRANGE(""https://docs.google.com/spreadsheets/d/1BJSV3WBYJGRhQ6zExamkszQ5VutGIcaQqmbD9ZTVXMQ/edit#gid=1251630045"",""articles_with_PRISMA_reasons!C2:C2113""), $A853=IMPORTRANGE(""https://docs.google.com/spreadsheets/d/1BJSV3WBYJGRhQ6zExamkszQ5"&amp;"VutGIcaQqmbD9ZTVXMQ/edit#gid=1251630045"",""articles_with_PRISMA_reasons!B2:B2113""))"),2009.0)</f>
        <v>2009</v>
      </c>
      <c r="D853" s="5" t="str">
        <f>IFERROR(__xludf.DUMMYFUNCTION("IFS(AND(
FILTER(IMPORTRANGE(""https://docs.google.com/spreadsheets/d/1BJSV3WBYJGRhQ6zExamkszQ5VutGIcaQqmbD9ZTVXMQ/edit#gid=1251630045"",""articles_with_PRISMA_reasons!Y2:Y2113""), $A853=IMPORTRANGE(""https://docs.google.com/spreadsheets/d/1BJSV3WBYJGRhQ6z"&amp;"ExamkszQ5VutGIcaQqmbD9ZTVXMQ/edit#gid=1251630045"",""articles_with_PRISMA_reasons!B2:B2113""))&gt;=2,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$A853=IMPORTRANGE(""https://docs.google.com/spreadsheets/d/1BJSV3WBYJGRhQ6zExamkszQ5VutGIcaQqmbD9ZTVXMQ/edit#gid=1251630045"",""articles_with_PRISMA_reasons!B2:B2113""))&lt;2),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$A853=IMPORTRANGE(""https://docs.google.com/spreadsheets/d/1BJSV3WBYJGRhQ6zExamkszQ5VutGIcaQqmbD9ZTVXMQ/edit#gid=1251630045"",""arti"&amp;"cles_with_PRISMA_reasons!B2:B2113""))&lt;2,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$A853=IMPORTRANGE(""https://docs.google.com"&amp;"/spreadsheets/d/1BJSV3WBYJGRhQ6zExamkszQ5VutGIcaQqmbD9ZTVXMQ/edit#gid=1251630045"",""articles_with_PRISMA_reasons!B2:B2113""))&gt;=2),
""Exclude""
)"),"Exclude")</f>
        <v>Exclude</v>
      </c>
      <c r="E853" s="5" t="str">
        <f>IFERROR(__xludf.DUMMYFUNCTION("IFS(
D853=""Exclude"",""Exclude"",
AND(
FILTER(IMPORTRANGE(""https://docs.google.com/spreadsheets/d/1qpEmbGH0JjaJbUdp21-y2cPbobDbMjr09BbtdKROZWc/edit#gid=1444865654"",""articles_with_PRISMA_reasons!W2:W2113""), $A853=IMPORTRANGE(""https://docs.google.com/"&amp;"spreadsheets/d/1qpEmbGH0JjaJbUdp21-y2cPbobDbMjr09BbtdKROZWc/edit#gid=1444865654"",""articles_with_PRISMA_reasons!B2:B2113""))&gt;=2,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$A853=IMPORTRANGE(""https://docs.google.com/spreadsheets/d/1qpEmbGH0JjaJbUdp21-y2cPbobDbMjr09BbtdKROZWc/edit#gid=1444865654"",""articles_with_PRISMA_reasons!B2:B2113""))&lt;2),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$A853=IMPORTRANGE(""https://docs.google.com/spreadsheets/d/1qpEmbGH0JjaJbUdp21-y2cPbobDbMjr09BbtdKRO"&amp;"ZWc/edit#gid=1444865654"",""articles_with_PRISMA_reasons!B2:B2113""))&lt;2,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$A853=IMPOR"&amp;"TRANGE(""https://docs.google.com/spreadsheets/d/1qpEmbGH0JjaJbUdp21-y2cPbobDbMjr09BbtdKROZWc/edit#gid=1444865654"",""articles_with_PRISMA_reasons!B2:B2113""))&gt;=2),
""Exclude""
)"),"Exclude")</f>
        <v>Exclude</v>
      </c>
      <c r="F853" s="5" t="str">
        <f>IFERROR(__xludf.DUMMYFUNCTION("IFS(
E853=""Exclude"",""Exclude"",
AND(
COUNTIF(
IMPORTRANGE(""https://docs.google.com/spreadsheets/d/1kGrh75X1cNR1D7_FcY9zMnHP8iPO4M5RCRjy6nZY0TY/edit#gid=0"",""Table 1: Study characteristics!B4:B171""),A853)&gt;0,
COUNTIF(Studies!$A$2:$A$85,FILTER(IMPORTRA"&amp;"NGE(""https://docs.google.com/spreadsheets/d/1kGrh75X1cNR1D7_FcY9zMnHP8iPO4M5RCRjy6nZY0TY/edit#gid=0"",""Table 1: Study characteristics!A4:A171""), $A853=IMPORTRANGE(""https://docs.google.com/spreadsheets/d/1kGrh75X1cNR1D7_FcY9zMnHP8iPO4M5RCRjy6nZY0TY/edi"&amp;"t#gid=0"",""Table 1: Study characteristics!B4:B171"")))&gt;0
),
""Include""
)"),"Exclude")</f>
        <v>Exclude</v>
      </c>
      <c r="G853" s="5" t="str">
        <f>IFERROR(__xludf.DUMMYFUNCTION("IFS(
D853=""Exclude"",
FILTER(IMPORTRANGE(""https://docs.google.com/spreadsheets/d/1BJSV3WBYJGRhQ6zExamkszQ5VutGIcaQqmbD9ZTVXMQ/edit#gid=1251630045"",""articles_with_PRISMA_reasons!AB2:AB2113""), $A853=IMPORTRANGE(""https://docs.google.com/spreadsheets/d/"&amp;"1BJSV3WBYJGRhQ6zExamkszQ5VutGIcaQqmbD9ZTVXMQ/edit#gid=1251630045"",""articles_with_PRISMA_reasons!B2:B2113"")),
E853=""Exclude"",
FILTER(IMPORTRANGE(""https://docs.google.com/spreadsheets/d/1qpEmbGH0JjaJbUdp21-y2cPbobDbMjr09BbtdKROZWc/edit#gid=1444865654"&amp;""",""articles_with_PRISMA_reasons!Z2:Z2113""), $A853=IMPORTRANGE(""https://docs.google.com/spreadsheets/d/1qpEmbGH0JjaJbUdp21-y2cPbobDbMjr09BbtdKROZWc/edit#gid=1444865654"",""articles_with_PRISMA_reasons!B2:B2113"")),F853
=""Include"",FILTER(IMPORTRANGE("&amp;"""https://docs.google.com/spreadsheets/d/1kGrh75X1cNR1D7_FcY9zMnHP8iPO4M5RCRjy6nZY0TY/edit#gid=0"",""Table 1: Study characteristics!A4:A171""), $A853=IMPORTRANGE(""https://docs.google.com/spreadsheets/d/1kGrh75X1cNR1D7_FcY9zMnHP8iPO4M5RCRjy6nZY0TY/edit#gi"&amp;"d=0"",""Table 1: Study characteristics!B4:B171""))
)"),"background article")</f>
        <v>background article</v>
      </c>
    </row>
    <row r="854">
      <c r="A854" s="4" t="str">
        <f>IFERROR(__xludf.DUMMYFUNCTION("""COMPUTED_VALUE"""),"Follow-up comparison of hydrocephalus with and without myelomeningocele")</f>
        <v>Follow-up comparison of hydrocephalus with and without myelomeningocele</v>
      </c>
      <c r="B854" s="5" t="str">
        <f>IFERROR(__xludf.DUMMYFUNCTION("LEFT(FILTER(IMPORTRANGE(""https://docs.google.com/spreadsheets/d/1BJSV3WBYJGRhQ6zExamkszQ5VutGIcaQqmbD9ZTVXMQ/edit#gid=1251630045"",""articles_with_PRISMA_reasons!K2:K2113""), $A854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$A854=IMPORTRANGE(""https://docs.google.com/spreadsheets/d/1BJSV3WBYJGRhQ6zExamkszQ5VutGIcaQqmbD9ZTVXMQ/edit#gid=1251630045"",""articles_with_PRISMA_reasons!B2:B2113"")))-1)"),"Shurtleff")</f>
        <v>Shurtleff</v>
      </c>
      <c r="C854" s="6">
        <f>IFERROR(__xludf.DUMMYFUNCTION("FILTER(IMPORTRANGE(""https://docs.google.com/spreadsheets/d/1BJSV3WBYJGRhQ6zExamkszQ5VutGIcaQqmbD9ZTVXMQ/edit#gid=1251630045"",""articles_with_PRISMA_reasons!C2:C2113""), $A854=IMPORTRANGE(""https://docs.google.com/spreadsheets/d/1BJSV3WBYJGRhQ6zExamkszQ5"&amp;"VutGIcaQqmbD9ZTVXMQ/edit#gid=1251630045"",""articles_with_PRISMA_reasons!B2:B2113""))"),1975.0)</f>
        <v>1975</v>
      </c>
      <c r="D854" s="5" t="str">
        <f>IFERROR(__xludf.DUMMYFUNCTION("IFS(AND(
FILTER(IMPORTRANGE(""https://docs.google.com/spreadsheets/d/1BJSV3WBYJGRhQ6zExamkszQ5VutGIcaQqmbD9ZTVXMQ/edit#gid=1251630045"",""articles_with_PRISMA_reasons!Y2:Y2113""), $A854=IMPORTRANGE(""https://docs.google.com/spreadsheets/d/1BJSV3WBYJGRhQ6z"&amp;"ExamkszQ5VutGIcaQqmbD9ZTVXMQ/edit#gid=1251630045"",""articles_with_PRISMA_reasons!B2:B2113""))&gt;=2,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$A854=IMPORTRANGE(""https://docs.google.com/spreadsheets/d/1BJSV3WBYJGRhQ6zExamkszQ5VutGIcaQqmbD9ZTVXMQ/edit#gid=1251630045"",""articles_with_PRISMA_reasons!B2:B2113""))&lt;2),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$A854=IMPORTRANGE(""https://docs.google.com/spreadsheets/d/1BJSV3WBYJGRhQ6zExamkszQ5VutGIcaQqmbD9ZTVXMQ/edit#gid=1251630045"",""arti"&amp;"cles_with_PRISMA_reasons!B2:B2113""))&lt;2,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$A854=IMPORTRANGE(""https://docs.google.com"&amp;"/spreadsheets/d/1BJSV3WBYJGRhQ6zExamkszQ5VutGIcaQqmbD9ZTVXMQ/edit#gid=1251630045"",""articles_with_PRISMA_reasons!B2:B2113""))&gt;=2),
""Exclude""
)"),"Exclude")</f>
        <v>Exclude</v>
      </c>
      <c r="E854" s="5" t="str">
        <f>IFERROR(__xludf.DUMMYFUNCTION("IFS(
D854=""Exclude"",""Exclude"",
AND(
FILTER(IMPORTRANGE(""https://docs.google.com/spreadsheets/d/1qpEmbGH0JjaJbUdp21-y2cPbobDbMjr09BbtdKROZWc/edit#gid=1444865654"",""articles_with_PRISMA_reasons!W2:W2113""), $A854=IMPORTRANGE(""https://docs.google.com/"&amp;"spreadsheets/d/1qpEmbGH0JjaJbUdp21-y2cPbobDbMjr09BbtdKROZWc/edit#gid=1444865654"",""articles_with_PRISMA_reasons!B2:B2113""))&gt;=2,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$A854=IMPORTRANGE(""https://docs.google.com/spreadsheets/d/1qpEmbGH0JjaJbUdp21-y2cPbobDbMjr09BbtdKROZWc/edit#gid=1444865654"",""articles_with_PRISMA_reasons!B2:B2113""))&lt;2),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$A854=IMPORTRANGE(""https://docs.google.com/spreadsheets/d/1qpEmbGH0JjaJbUdp21-y2cPbobDbMjr09BbtdKRO"&amp;"ZWc/edit#gid=1444865654"",""articles_with_PRISMA_reasons!B2:B2113""))&lt;2,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$A854=IMPOR"&amp;"TRANGE(""https://docs.google.com/spreadsheets/d/1qpEmbGH0JjaJbUdp21-y2cPbobDbMjr09BbtdKROZWc/edit#gid=1444865654"",""articles_with_PRISMA_reasons!B2:B2113""))&gt;=2),
""Exclude""
)"),"Exclude")</f>
        <v>Exclude</v>
      </c>
      <c r="F854" s="5" t="str">
        <f>IFERROR(__xludf.DUMMYFUNCTION("IFS(
E854=""Exclude"",""Exclude"",
AND(
COUNTIF(
IMPORTRANGE(""https://docs.google.com/spreadsheets/d/1kGrh75X1cNR1D7_FcY9zMnHP8iPO4M5RCRjy6nZY0TY/edit#gid=0"",""Table 1: Study characteristics!B4:B171""),A854)&gt;0,
COUNTIF(Studies!$A$2:$A$85,FILTER(IMPORTRA"&amp;"NGE(""https://docs.google.com/spreadsheets/d/1kGrh75X1cNR1D7_FcY9zMnHP8iPO4M5RCRjy6nZY0TY/edit#gid=0"",""Table 1: Study characteristics!A4:A171""), $A854=IMPORTRANGE(""https://docs.google.com/spreadsheets/d/1kGrh75X1cNR1D7_FcY9zMnHP8iPO4M5RCRjy6nZY0TY/edi"&amp;"t#gid=0"",""Table 1: Study characteristics!B4:B171"")))&gt;0
),
""Include""
)"),"Exclude")</f>
        <v>Exclude</v>
      </c>
      <c r="G854" s="5" t="str">
        <f>IFERROR(__xludf.DUMMYFUNCTION("IFS(
D854=""Exclude"",
FILTER(IMPORTRANGE(""https://docs.google.com/spreadsheets/d/1BJSV3WBYJGRhQ6zExamkszQ5VutGIcaQqmbD9ZTVXMQ/edit#gid=1251630045"",""articles_with_PRISMA_reasons!AB2:AB2113""), $A854=IMPORTRANGE(""https://docs.google.com/spreadsheets/d/"&amp;"1BJSV3WBYJGRhQ6zExamkszQ5VutGIcaQqmbD9ZTVXMQ/edit#gid=1251630045"",""articles_with_PRISMA_reasons!B2:B2113"")),
E854=""Exclude"",
FILTER(IMPORTRANGE(""https://docs.google.com/spreadsheets/d/1qpEmbGH0JjaJbUdp21-y2cPbobDbMjr09BbtdKROZWc/edit#gid=1444865654"&amp;""",""articles_with_PRISMA_reasons!Z2:Z2113""), $A854=IMPORTRANGE(""https://docs.google.com/spreadsheets/d/1qpEmbGH0JjaJbUdp21-y2cPbobDbMjr09BbtdKROZWc/edit#gid=1444865654"",""articles_with_PRISMA_reasons!B2:B2113"")),F854
=""Include"",FILTER(IMPORTRANGE("&amp;"""https://docs.google.com/spreadsheets/d/1kGrh75X1cNR1D7_FcY9zMnHP8iPO4M5RCRjy6nZY0TY/edit#gid=0"",""Table 1: Study characteristics!A4:A171""), $A854=IMPORTRANGE(""https://docs.google.com/spreadsheets/d/1kGrh75X1cNR1D7_FcY9zMnHP8iPO4M5RCRjy6nZY0TY/edit#gi"&amp;"d=0"",""Table 1: Study characteristics!B4:B171""))
)"),"wrong study design")</f>
        <v>wrong study design</v>
      </c>
    </row>
    <row r="855">
      <c r="A855" s="4" t="str">
        <f>IFERROR(__xludf.DUMMYFUNCTION("""COMPUTED_VALUE"""),"Follow-up of adult patients with myelomeningocele")</f>
        <v>Follow-up of adult patients with myelomeningocele</v>
      </c>
      <c r="B855" s="5" t="str">
        <f>IFERROR(__xludf.DUMMYFUNCTION("LEFT(FILTER(IMPORTRANGE(""https://docs.google.com/spreadsheets/d/1BJSV3WBYJGRhQ6zExamkszQ5VutGIcaQqmbD9ZTVXMQ/edit#gid=1251630045"",""articles_with_PRISMA_reasons!K2:K2113""), $A855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$A855=IMPORTRANGE(""https://docs.google.com/spreadsheets/d/1BJSV3WBYJGRhQ6zExamkszQ5VutGIcaQqmbD9ZTVXMQ/edit#gid=1251630045"",""articles_with_PRISMA_reasons!B2:B2113"")))-1)"),"Guarnieri")</f>
        <v>Guarnieri</v>
      </c>
      <c r="C855" s="6">
        <f>IFERROR(__xludf.DUMMYFUNCTION("FILTER(IMPORTRANGE(""https://docs.google.com/spreadsheets/d/1BJSV3WBYJGRhQ6zExamkszQ5VutGIcaQqmbD9ZTVXMQ/edit#gid=1251630045"",""articles_with_PRISMA_reasons!C2:C2113""), $A855=IMPORTRANGE(""https://docs.google.com/spreadsheets/d/1BJSV3WBYJGRhQ6zExamkszQ5"&amp;"VutGIcaQqmbD9ZTVXMQ/edit#gid=1251630045"",""articles_with_PRISMA_reasons!B2:B2113""))"),2008.0)</f>
        <v>2008</v>
      </c>
      <c r="D855" s="5" t="str">
        <f>IFERROR(__xludf.DUMMYFUNCTION("IFS(AND(
FILTER(IMPORTRANGE(""https://docs.google.com/spreadsheets/d/1BJSV3WBYJGRhQ6zExamkszQ5VutGIcaQqmbD9ZTVXMQ/edit#gid=1251630045"",""articles_with_PRISMA_reasons!Y2:Y2113""), $A855=IMPORTRANGE(""https://docs.google.com/spreadsheets/d/1BJSV3WBYJGRhQ6z"&amp;"ExamkszQ5VutGIcaQqmbD9ZTVXMQ/edit#gid=1251630045"",""articles_with_PRISMA_reasons!B2:B2113""))&gt;=2,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$A855=IMPORTRANGE(""https://docs.google.com/spreadsheets/d/1BJSV3WBYJGRhQ6zExamkszQ5VutGIcaQqmbD9ZTVXMQ/edit#gid=1251630045"",""articles_with_PRISMA_reasons!B2:B2113""))&lt;2),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$A855=IMPORTRANGE(""https://docs.google.com/spreadsheets/d/1BJSV3WBYJGRhQ6zExamkszQ5VutGIcaQqmbD9ZTVXMQ/edit#gid=1251630045"",""arti"&amp;"cles_with_PRISMA_reasons!B2:B2113""))&lt;2,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$A855=IMPORTRANGE(""https://docs.google.com"&amp;"/spreadsheets/d/1BJSV3WBYJGRhQ6zExamkszQ5VutGIcaQqmbD9ZTVXMQ/edit#gid=1251630045"",""articles_with_PRISMA_reasons!B2:B2113""))&gt;=2),
""Exclude""
)"),"Exclude")</f>
        <v>Exclude</v>
      </c>
      <c r="E855" s="5" t="str">
        <f>IFERROR(__xludf.DUMMYFUNCTION("IFS(
D855=""Exclude"",""Exclude"",
AND(
FILTER(IMPORTRANGE(""https://docs.google.com/spreadsheets/d/1qpEmbGH0JjaJbUdp21-y2cPbobDbMjr09BbtdKROZWc/edit#gid=1444865654"",""articles_with_PRISMA_reasons!W2:W2113""), $A855=IMPORTRANGE(""https://docs.google.com/"&amp;"spreadsheets/d/1qpEmbGH0JjaJbUdp21-y2cPbobDbMjr09BbtdKROZWc/edit#gid=1444865654"",""articles_with_PRISMA_reasons!B2:B2113""))&gt;=2,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$A855=IMPORTRANGE(""https://docs.google.com/spreadsheets/d/1qpEmbGH0JjaJbUdp21-y2cPbobDbMjr09BbtdKROZWc/edit#gid=1444865654"",""articles_with_PRISMA_reasons!B2:B2113""))&lt;2),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$A855=IMPORTRANGE(""https://docs.google.com/spreadsheets/d/1qpEmbGH0JjaJbUdp21-y2cPbobDbMjr09BbtdKRO"&amp;"ZWc/edit#gid=1444865654"",""articles_with_PRISMA_reasons!B2:B2113""))&lt;2,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$A855=IMPOR"&amp;"TRANGE(""https://docs.google.com/spreadsheets/d/1qpEmbGH0JjaJbUdp21-y2cPbobDbMjr09BbtdKROZWc/edit#gid=1444865654"",""articles_with_PRISMA_reasons!B2:B2113""))&gt;=2),
""Exclude""
)"),"Exclude")</f>
        <v>Exclude</v>
      </c>
      <c r="F855" s="5" t="str">
        <f>IFERROR(__xludf.DUMMYFUNCTION("IFS(
E855=""Exclude"",""Exclude"",
AND(
COUNTIF(
IMPORTRANGE(""https://docs.google.com/spreadsheets/d/1kGrh75X1cNR1D7_FcY9zMnHP8iPO4M5RCRjy6nZY0TY/edit#gid=0"",""Table 1: Study characteristics!B4:B171""),A855)&gt;0,
COUNTIF(Studies!$A$2:$A$85,FILTER(IMPORTRA"&amp;"NGE(""https://docs.google.com/spreadsheets/d/1kGrh75X1cNR1D7_FcY9zMnHP8iPO4M5RCRjy6nZY0TY/edit#gid=0"",""Table 1: Study characteristics!A4:A171""), $A855=IMPORTRANGE(""https://docs.google.com/spreadsheets/d/1kGrh75X1cNR1D7_FcY9zMnHP8iPO4M5RCRjy6nZY0TY/edi"&amp;"t#gid=0"",""Table 1: Study characteristics!B4:B171"")))&gt;0
),
""Include""
)"),"Exclude")</f>
        <v>Exclude</v>
      </c>
      <c r="G855" s="5" t="str">
        <f>IFERROR(__xludf.DUMMYFUNCTION("IFS(
D855=""Exclude"",
FILTER(IMPORTRANGE(""https://docs.google.com/spreadsheets/d/1BJSV3WBYJGRhQ6zExamkszQ5VutGIcaQqmbD9ZTVXMQ/edit#gid=1251630045"",""articles_with_PRISMA_reasons!AB2:AB2113""), $A855=IMPORTRANGE(""https://docs.google.com/spreadsheets/d/"&amp;"1BJSV3WBYJGRhQ6zExamkszQ5VutGIcaQqmbD9ZTVXMQ/edit#gid=1251630045"",""articles_with_PRISMA_reasons!B2:B2113"")),
E855=""Exclude"",
FILTER(IMPORTRANGE(""https://docs.google.com/spreadsheets/d/1qpEmbGH0JjaJbUdp21-y2cPbobDbMjr09BbtdKROZWc/edit#gid=1444865654"&amp;""",""articles_with_PRISMA_reasons!Z2:Z2113""), $A855=IMPORTRANGE(""https://docs.google.com/spreadsheets/d/1qpEmbGH0JjaJbUdp21-y2cPbobDbMjr09BbtdKROZWc/edit#gid=1444865654"",""articles_with_PRISMA_reasons!B2:B2113"")),F855
=""Include"",FILTER(IMPORTRANGE("&amp;"""https://docs.google.com/spreadsheets/d/1kGrh75X1cNR1D7_FcY9zMnHP8iPO4M5RCRjy6nZY0TY/edit#gid=0"",""Table 1: Study characteristics!A4:A171""), $A855=IMPORTRANGE(""https://docs.google.com/spreadsheets/d/1kGrh75X1cNR1D7_FcY9zMnHP8iPO4M5RCRjy6nZY0TY/edit#gi"&amp;"d=0"",""Table 1: Study characteristics!B4:B171""))
)"),"wrong population")</f>
        <v>wrong population</v>
      </c>
    </row>
    <row r="856">
      <c r="A856" s="4" t="str">
        <f>IFERROR(__xludf.DUMMYFUNCTION("""COMPUTED_VALUE"""),"Fontanelle pressure (ICP) in infantile hydrocephalus. Investigation of ICP in 6 cases of hydrocephalus with normal head circumference and without shunting operation")</f>
        <v>Fontanelle pressure (ICP) in infantile hydrocephalus. Investigation of ICP in 6 cases of hydrocephalus with normal head circumference and without shunting operation</v>
      </c>
      <c r="B856" s="5" t="str">
        <f>IFERROR(__xludf.DUMMYFUNCTION("LEFT(FILTER(IMPORTRANGE(""https://docs.google.com/spreadsheets/d/1BJSV3WBYJGRhQ6zExamkszQ5VutGIcaQqmbD9ZTVXMQ/edit#gid=1251630045"",""articles_with_PRISMA_reasons!K2:K2113""), $A856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$A856=IMPORTRANGE(""https://docs.google.com/spreadsheets/d/1BJSV3WBYJGRhQ6zExamkszQ5VutGIcaQqmbD9ZTVXMQ/edit#gid=1251630045"",""articles_with_PRISMA_reasons!B2:B2113"")))-1)"),"Honda")</f>
        <v>Honda</v>
      </c>
      <c r="C856" s="6">
        <f>IFERROR(__xludf.DUMMYFUNCTION("FILTER(IMPORTRANGE(""https://docs.google.com/spreadsheets/d/1BJSV3WBYJGRhQ6zExamkszQ5VutGIcaQqmbD9ZTVXMQ/edit#gid=1251630045"",""articles_with_PRISMA_reasons!C2:C2113""), $A856=IMPORTRANGE(""https://docs.google.com/spreadsheets/d/1BJSV3WBYJGRhQ6zExamkszQ5"&amp;"VutGIcaQqmbD9ZTVXMQ/edit#gid=1251630045"",""articles_with_PRISMA_reasons!B2:B2113""))"),1983.0)</f>
        <v>1983</v>
      </c>
      <c r="D856" s="5" t="str">
        <f>IFERROR(__xludf.DUMMYFUNCTION("IFS(AND(
FILTER(IMPORTRANGE(""https://docs.google.com/spreadsheets/d/1BJSV3WBYJGRhQ6zExamkszQ5VutGIcaQqmbD9ZTVXMQ/edit#gid=1251630045"",""articles_with_PRISMA_reasons!Y2:Y2113""), $A856=IMPORTRANGE(""https://docs.google.com/spreadsheets/d/1BJSV3WBYJGRhQ6z"&amp;"ExamkszQ5VutGIcaQqmbD9ZTVXMQ/edit#gid=1251630045"",""articles_with_PRISMA_reasons!B2:B2113""))&gt;=2,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$A856=IMPORTRANGE(""https://docs.google.com/spreadsheets/d/1BJSV3WBYJGRhQ6zExamkszQ5VutGIcaQqmbD9ZTVXMQ/edit#gid=1251630045"",""articles_with_PRISMA_reasons!B2:B2113""))&lt;2),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$A856=IMPORTRANGE(""https://docs.google.com/spreadsheets/d/1BJSV3WBYJGRhQ6zExamkszQ5VutGIcaQqmbD9ZTVXMQ/edit#gid=1251630045"",""arti"&amp;"cles_with_PRISMA_reasons!B2:B2113""))&lt;2,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$A856=IMPORTRANGE(""https://docs.google.com"&amp;"/spreadsheets/d/1BJSV3WBYJGRhQ6zExamkszQ5VutGIcaQqmbD9ZTVXMQ/edit#gid=1251630045"",""articles_with_PRISMA_reasons!B2:B2113""))&gt;=2),
""Exclude""
)"),"Exclude")</f>
        <v>Exclude</v>
      </c>
      <c r="E856" s="5" t="str">
        <f>IFERROR(__xludf.DUMMYFUNCTION("IFS(
D856=""Exclude"",""Exclude"",
AND(
FILTER(IMPORTRANGE(""https://docs.google.com/spreadsheets/d/1qpEmbGH0JjaJbUdp21-y2cPbobDbMjr09BbtdKROZWc/edit#gid=1444865654"",""articles_with_PRISMA_reasons!W2:W2113""), $A856=IMPORTRANGE(""https://docs.google.com/"&amp;"spreadsheets/d/1qpEmbGH0JjaJbUdp21-y2cPbobDbMjr09BbtdKROZWc/edit#gid=1444865654"",""articles_with_PRISMA_reasons!B2:B2113""))&gt;=2,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$A856=IMPORTRANGE(""https://docs.google.com/spreadsheets/d/1qpEmbGH0JjaJbUdp21-y2cPbobDbMjr09BbtdKROZWc/edit#gid=1444865654"",""articles_with_PRISMA_reasons!B2:B2113""))&lt;2),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$A856=IMPORTRANGE(""https://docs.google.com/spreadsheets/d/1qpEmbGH0JjaJbUdp21-y2cPbobDbMjr09BbtdKRO"&amp;"ZWc/edit#gid=1444865654"",""articles_with_PRISMA_reasons!B2:B2113""))&lt;2,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$A856=IMPOR"&amp;"TRANGE(""https://docs.google.com/spreadsheets/d/1qpEmbGH0JjaJbUdp21-y2cPbobDbMjr09BbtdKROZWc/edit#gid=1444865654"",""articles_with_PRISMA_reasons!B2:B2113""))&gt;=2),
""Exclude""
)"),"Exclude")</f>
        <v>Exclude</v>
      </c>
      <c r="F856" s="5" t="str">
        <f>IFERROR(__xludf.DUMMYFUNCTION("IFS(
E856=""Exclude"",""Exclude"",
AND(
COUNTIF(
IMPORTRANGE(""https://docs.google.com/spreadsheets/d/1kGrh75X1cNR1D7_FcY9zMnHP8iPO4M5RCRjy6nZY0TY/edit#gid=0"",""Table 1: Study characteristics!B4:B171""),A856)&gt;0,
COUNTIF(Studies!$A$2:$A$85,FILTER(IMPORTRA"&amp;"NGE(""https://docs.google.com/spreadsheets/d/1kGrh75X1cNR1D7_FcY9zMnHP8iPO4M5RCRjy6nZY0TY/edit#gid=0"",""Table 1: Study characteristics!A4:A171""), $A856=IMPORTRANGE(""https://docs.google.com/spreadsheets/d/1kGrh75X1cNR1D7_FcY9zMnHP8iPO4M5RCRjy6nZY0TY/edi"&amp;"t#gid=0"",""Table 1: Study characteristics!B4:B171"")))&gt;0
),
""Include""
)"),"Exclude")</f>
        <v>Exclude</v>
      </c>
      <c r="G856" s="5" t="str">
        <f>IFERROR(__xludf.DUMMYFUNCTION("IFS(
D856=""Exclude"",
FILTER(IMPORTRANGE(""https://docs.google.com/spreadsheets/d/1BJSV3WBYJGRhQ6zExamkszQ5VutGIcaQqmbD9ZTVXMQ/edit#gid=1251630045"",""articles_with_PRISMA_reasons!AB2:AB2113""), $A856=IMPORTRANGE(""https://docs.google.com/spreadsheets/d/"&amp;"1BJSV3WBYJGRhQ6zExamkszQ5VutGIcaQqmbD9ZTVXMQ/edit#gid=1251630045"",""articles_with_PRISMA_reasons!B2:B2113"")),
E856=""Exclude"",
FILTER(IMPORTRANGE(""https://docs.google.com/spreadsheets/d/1qpEmbGH0JjaJbUdp21-y2cPbobDbMjr09BbtdKROZWc/edit#gid=1444865654"&amp;""",""articles_with_PRISMA_reasons!Z2:Z2113""), $A856=IMPORTRANGE(""https://docs.google.com/spreadsheets/d/1qpEmbGH0JjaJbUdp21-y2cPbobDbMjr09BbtdKROZWc/edit#gid=1444865654"",""articles_with_PRISMA_reasons!B2:B2113"")),F856
=""Include"",FILTER(IMPORTRANGE("&amp;"""https://docs.google.com/spreadsheets/d/1kGrh75X1cNR1D7_FcY9zMnHP8iPO4M5RCRjy6nZY0TY/edit#gid=0"",""Table 1: Study characteristics!A4:A171""), $A856=IMPORTRANGE(""https://docs.google.com/spreadsheets/d/1kGrh75X1cNR1D7_FcY9zMnHP8iPO4M5RCRjy6nZY0TY/edit#gi"&amp;"d=0"",""Table 1: Study characteristics!B4:B171""))
)"),"wrong population")</f>
        <v>wrong population</v>
      </c>
    </row>
    <row r="857">
      <c r="A857" s="4" t="str">
        <f>IFERROR(__xludf.DUMMYFUNCTION("""COMPUTED_VALUE"""),"Footloose: Spinal myoclonus after myelomeningocele repair")</f>
        <v>Footloose: Spinal myoclonus after myelomeningocele repair</v>
      </c>
      <c r="B857" s="5" t="str">
        <f>IFERROR(__xludf.DUMMYFUNCTION("LEFT(FILTER(IMPORTRANGE(""https://docs.google.com/spreadsheets/d/1BJSV3WBYJGRhQ6zExamkszQ5VutGIcaQqmbD9ZTVXMQ/edit#gid=1251630045"",""articles_with_PRISMA_reasons!K2:K2113""), $A857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$A857=IMPORTRANGE(""https://docs.google.com/spreadsheets/d/1BJSV3WBYJGRhQ6zExamkszQ5VutGIcaQqmbD9ZTVXMQ/edit#gid=1251630045"",""articles_with_PRISMA_reasons!B2:B2113"")))-1)"),"Gorman")</f>
        <v>Gorman</v>
      </c>
      <c r="C857" s="6">
        <f>IFERROR(__xludf.DUMMYFUNCTION("FILTER(IMPORTRANGE(""https://docs.google.com/spreadsheets/d/1BJSV3WBYJGRhQ6zExamkszQ5VutGIcaQqmbD9ZTVXMQ/edit#gid=1251630045"",""articles_with_PRISMA_reasons!C2:C2113""), $A857=IMPORTRANGE(""https://docs.google.com/spreadsheets/d/1BJSV3WBYJGRhQ6zExamkszQ5"&amp;"VutGIcaQqmbD9ZTVXMQ/edit#gid=1251630045"",""articles_with_PRISMA_reasons!B2:B2113""))"),2016.0)</f>
        <v>2016</v>
      </c>
      <c r="D857" s="5" t="str">
        <f>IFERROR(__xludf.DUMMYFUNCTION("IFS(AND(
FILTER(IMPORTRANGE(""https://docs.google.com/spreadsheets/d/1BJSV3WBYJGRhQ6zExamkszQ5VutGIcaQqmbD9ZTVXMQ/edit#gid=1251630045"",""articles_with_PRISMA_reasons!Y2:Y2113""), $A857=IMPORTRANGE(""https://docs.google.com/spreadsheets/d/1BJSV3WBYJGRhQ6z"&amp;"ExamkszQ5VutGIcaQqmbD9ZTVXMQ/edit#gid=1251630045"",""articles_with_PRISMA_reasons!B2:B2113""))&gt;=2,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$A857=IMPORTRANGE(""https://docs.google.com/spreadsheets/d/1BJSV3WBYJGRhQ6zExamkszQ5VutGIcaQqmbD9ZTVXMQ/edit#gid=1251630045"",""articles_with_PRISMA_reasons!B2:B2113""))&lt;2),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$A857=IMPORTRANGE(""https://docs.google.com/spreadsheets/d/1BJSV3WBYJGRhQ6zExamkszQ5VutGIcaQqmbD9ZTVXMQ/edit#gid=1251630045"",""arti"&amp;"cles_with_PRISMA_reasons!B2:B2113""))&lt;2,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$A857=IMPORTRANGE(""https://docs.google.com"&amp;"/spreadsheets/d/1BJSV3WBYJGRhQ6zExamkszQ5VutGIcaQqmbD9ZTVXMQ/edit#gid=1251630045"",""articles_with_PRISMA_reasons!B2:B2113""))&gt;=2),
""Exclude""
)"),"Exclude")</f>
        <v>Exclude</v>
      </c>
      <c r="E857" s="5" t="str">
        <f>IFERROR(__xludf.DUMMYFUNCTION("IFS(
D857=""Exclude"",""Exclude"",
AND(
FILTER(IMPORTRANGE(""https://docs.google.com/spreadsheets/d/1qpEmbGH0JjaJbUdp21-y2cPbobDbMjr09BbtdKROZWc/edit#gid=1444865654"",""articles_with_PRISMA_reasons!W2:W2113""), $A857=IMPORTRANGE(""https://docs.google.com/"&amp;"spreadsheets/d/1qpEmbGH0JjaJbUdp21-y2cPbobDbMjr09BbtdKROZWc/edit#gid=1444865654"",""articles_with_PRISMA_reasons!B2:B2113""))&gt;=2,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$A857=IMPORTRANGE(""https://docs.google.com/spreadsheets/d/1qpEmbGH0JjaJbUdp21-y2cPbobDbMjr09BbtdKROZWc/edit#gid=1444865654"",""articles_with_PRISMA_reasons!B2:B2113""))&lt;2),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$A857=IMPORTRANGE(""https://docs.google.com/spreadsheets/d/1qpEmbGH0JjaJbUdp21-y2cPbobDbMjr09BbtdKRO"&amp;"ZWc/edit#gid=1444865654"",""articles_with_PRISMA_reasons!B2:B2113""))&lt;2,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$A857=IMPOR"&amp;"TRANGE(""https://docs.google.com/spreadsheets/d/1qpEmbGH0JjaJbUdp21-y2cPbobDbMjr09BbtdKROZWc/edit#gid=1444865654"",""articles_with_PRISMA_reasons!B2:B2113""))&gt;=2),
""Exclude""
)"),"Exclude")</f>
        <v>Exclude</v>
      </c>
      <c r="F857" s="5" t="str">
        <f>IFERROR(__xludf.DUMMYFUNCTION("IFS(
E857=""Exclude"",""Exclude"",
AND(
COUNTIF(
IMPORTRANGE(""https://docs.google.com/spreadsheets/d/1kGrh75X1cNR1D7_FcY9zMnHP8iPO4M5RCRjy6nZY0TY/edit#gid=0"",""Table 1: Study characteristics!B4:B171""),A857)&gt;0,
COUNTIF(Studies!$A$2:$A$85,FILTER(IMPORTRA"&amp;"NGE(""https://docs.google.com/spreadsheets/d/1kGrh75X1cNR1D7_FcY9zMnHP8iPO4M5RCRjy6nZY0TY/edit#gid=0"",""Table 1: Study characteristics!A4:A171""), $A857=IMPORTRANGE(""https://docs.google.com/spreadsheets/d/1kGrh75X1cNR1D7_FcY9zMnHP8iPO4M5RCRjy6nZY0TY/edi"&amp;"t#gid=0"",""Table 1: Study characteristics!B4:B171"")))&gt;0
),
""Include""
)"),"Exclude")</f>
        <v>Exclude</v>
      </c>
      <c r="G857" s="5" t="str">
        <f>IFERROR(__xludf.DUMMYFUNCTION("IFS(
D857=""Exclude"",
FILTER(IMPORTRANGE(""https://docs.google.com/spreadsheets/d/1BJSV3WBYJGRhQ6zExamkszQ5VutGIcaQqmbD9ZTVXMQ/edit#gid=1251630045"",""articles_with_PRISMA_reasons!AB2:AB2113""), $A857=IMPORTRANGE(""https://docs.google.com/spreadsheets/d/"&amp;"1BJSV3WBYJGRhQ6zExamkszQ5VutGIcaQqmbD9ZTVXMQ/edit#gid=1251630045"",""articles_with_PRISMA_reasons!B2:B2113"")),
E857=""Exclude"",
FILTER(IMPORTRANGE(""https://docs.google.com/spreadsheets/d/1qpEmbGH0JjaJbUdp21-y2cPbobDbMjr09BbtdKROZWc/edit#gid=1444865654"&amp;""",""articles_with_PRISMA_reasons!Z2:Z2113""), $A857=IMPORTRANGE(""https://docs.google.com/spreadsheets/d/1qpEmbGH0JjaJbUdp21-y2cPbobDbMjr09BbtdKROZWc/edit#gid=1444865654"",""articles_with_PRISMA_reasons!B2:B2113"")),F857
=""Include"",FILTER(IMPORTRANGE("&amp;"""https://docs.google.com/spreadsheets/d/1kGrh75X1cNR1D7_FcY9zMnHP8iPO4M5RCRjy6nZY0TY/edit#gid=0"",""Table 1: Study characteristics!A4:A171""), $A857=IMPORTRANGE(""https://docs.google.com/spreadsheets/d/1kGrh75X1cNR1D7_FcY9zMnHP8iPO4M5RCRjy6nZY0TY/edit#gi"&amp;"d=0"",""Table 1: Study characteristics!B4:B171""))
)"),"wrong study design")</f>
        <v>wrong study design</v>
      </c>
    </row>
    <row r="858">
      <c r="A858" s="4" t="str">
        <f>IFERROR(__xludf.DUMMYFUNCTION("""COMPUTED_VALUE"""),"Foreign body reactions causing spinal cord tethering: A case-based update")</f>
        <v>Foreign body reactions causing spinal cord tethering: A case-based update</v>
      </c>
      <c r="B858" s="5" t="str">
        <f>IFERROR(__xludf.DUMMYFUNCTION("LEFT(FILTER(IMPORTRANGE(""https://docs.google.com/spreadsheets/d/1BJSV3WBYJGRhQ6zExamkszQ5VutGIcaQqmbD9ZTVXMQ/edit#gid=1251630045"",""articles_with_PRISMA_reasons!K2:K2113""), $A858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$A858=IMPORTRANGE(""https://docs.google.com/spreadsheets/d/1BJSV3WBYJGRhQ6zExamkszQ5VutGIcaQqmbD9ZTVXMQ/edit#gid=1251630045"",""articles_with_PRISMA_reasons!B2:B2113"")))-1)"),"Perez-Espejo")</f>
        <v>Perez-Espejo</v>
      </c>
      <c r="C858" s="6">
        <f>IFERROR(__xludf.DUMMYFUNCTION("FILTER(IMPORTRANGE(""https://docs.google.com/spreadsheets/d/1BJSV3WBYJGRhQ6zExamkszQ5VutGIcaQqmbD9ZTVXMQ/edit#gid=1251630045"",""articles_with_PRISMA_reasons!C2:C2113""), $A858=IMPORTRANGE(""https://docs.google.com/spreadsheets/d/1BJSV3WBYJGRhQ6zExamkszQ5"&amp;"VutGIcaQqmbD9ZTVXMQ/edit#gid=1251630045"",""articles_with_PRISMA_reasons!B2:B2113""))"),2010.0)</f>
        <v>2010</v>
      </c>
      <c r="D858" s="5" t="str">
        <f>IFERROR(__xludf.DUMMYFUNCTION("IFS(AND(
FILTER(IMPORTRANGE(""https://docs.google.com/spreadsheets/d/1BJSV3WBYJGRhQ6zExamkszQ5VutGIcaQqmbD9ZTVXMQ/edit#gid=1251630045"",""articles_with_PRISMA_reasons!Y2:Y2113""), $A858=IMPORTRANGE(""https://docs.google.com/spreadsheets/d/1BJSV3WBYJGRhQ6z"&amp;"ExamkszQ5VutGIcaQqmbD9ZTVXMQ/edit#gid=1251630045"",""articles_with_PRISMA_reasons!B2:B2113""))&gt;=2,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$A858=IMPORTRANGE(""https://docs.google.com/spreadsheets/d/1BJSV3WBYJGRhQ6zExamkszQ5VutGIcaQqmbD9ZTVXMQ/edit#gid=1251630045"",""articles_with_PRISMA_reasons!B2:B2113""))&lt;2),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$A858=IMPORTRANGE(""https://docs.google.com/spreadsheets/d/1BJSV3WBYJGRhQ6zExamkszQ5VutGIcaQqmbD9ZTVXMQ/edit#gid=1251630045"",""arti"&amp;"cles_with_PRISMA_reasons!B2:B2113""))&lt;2,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$A858=IMPORTRANGE(""https://docs.google.com"&amp;"/spreadsheets/d/1BJSV3WBYJGRhQ6zExamkszQ5VutGIcaQqmbD9ZTVXMQ/edit#gid=1251630045"",""articles_with_PRISMA_reasons!B2:B2113""))&gt;=2),
""Exclude""
)"),"Exclude")</f>
        <v>Exclude</v>
      </c>
      <c r="E858" s="5" t="str">
        <f>IFERROR(__xludf.DUMMYFUNCTION("IFS(
D858=""Exclude"",""Exclude"",
AND(
FILTER(IMPORTRANGE(""https://docs.google.com/spreadsheets/d/1qpEmbGH0JjaJbUdp21-y2cPbobDbMjr09BbtdKROZWc/edit#gid=1444865654"",""articles_with_PRISMA_reasons!W2:W2113""), $A858=IMPORTRANGE(""https://docs.google.com/"&amp;"spreadsheets/d/1qpEmbGH0JjaJbUdp21-y2cPbobDbMjr09BbtdKROZWc/edit#gid=1444865654"",""articles_with_PRISMA_reasons!B2:B2113""))&gt;=2,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$A858=IMPORTRANGE(""https://docs.google.com/spreadsheets/d/1qpEmbGH0JjaJbUdp21-y2cPbobDbMjr09BbtdKROZWc/edit#gid=1444865654"",""articles_with_PRISMA_reasons!B2:B2113""))&lt;2),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$A858=IMPORTRANGE(""https://docs.google.com/spreadsheets/d/1qpEmbGH0JjaJbUdp21-y2cPbobDbMjr09BbtdKRO"&amp;"ZWc/edit#gid=1444865654"",""articles_with_PRISMA_reasons!B2:B2113""))&lt;2,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$A858=IMPOR"&amp;"TRANGE(""https://docs.google.com/spreadsheets/d/1qpEmbGH0JjaJbUdp21-y2cPbobDbMjr09BbtdKROZWc/edit#gid=1444865654"",""articles_with_PRISMA_reasons!B2:B2113""))&gt;=2),
""Exclude""
)"),"Exclude")</f>
        <v>Exclude</v>
      </c>
      <c r="F858" s="5" t="str">
        <f>IFERROR(__xludf.DUMMYFUNCTION("IFS(
E858=""Exclude"",""Exclude"",
AND(
COUNTIF(
IMPORTRANGE(""https://docs.google.com/spreadsheets/d/1kGrh75X1cNR1D7_FcY9zMnHP8iPO4M5RCRjy6nZY0TY/edit#gid=0"",""Table 1: Study characteristics!B4:B171""),A858)&gt;0,
COUNTIF(Studies!$A$2:$A$85,FILTER(IMPORTRA"&amp;"NGE(""https://docs.google.com/spreadsheets/d/1kGrh75X1cNR1D7_FcY9zMnHP8iPO4M5RCRjy6nZY0TY/edit#gid=0"",""Table 1: Study characteristics!A4:A171""), $A858=IMPORTRANGE(""https://docs.google.com/spreadsheets/d/1kGrh75X1cNR1D7_FcY9zMnHP8iPO4M5RCRjy6nZY0TY/edi"&amp;"t#gid=0"",""Table 1: Study characteristics!B4:B171"")))&gt;0
),
""Include""
)"),"Exclude")</f>
        <v>Exclude</v>
      </c>
      <c r="G858" s="5" t="str">
        <f>IFERROR(__xludf.DUMMYFUNCTION("IFS(
D858=""Exclude"",
FILTER(IMPORTRANGE(""https://docs.google.com/spreadsheets/d/1BJSV3WBYJGRhQ6zExamkszQ5VutGIcaQqmbD9ZTVXMQ/edit#gid=1251630045"",""articles_with_PRISMA_reasons!AB2:AB2113""), $A858=IMPORTRANGE(""https://docs.google.com/spreadsheets/d/"&amp;"1BJSV3WBYJGRhQ6zExamkszQ5VutGIcaQqmbD9ZTVXMQ/edit#gid=1251630045"",""articles_with_PRISMA_reasons!B2:B2113"")),
E858=""Exclude"",
FILTER(IMPORTRANGE(""https://docs.google.com/spreadsheets/d/1qpEmbGH0JjaJbUdp21-y2cPbobDbMjr09BbtdKROZWc/edit#gid=1444865654"&amp;""",""articles_with_PRISMA_reasons!Z2:Z2113""), $A858=IMPORTRANGE(""https://docs.google.com/spreadsheets/d/1qpEmbGH0JjaJbUdp21-y2cPbobDbMjr09BbtdKROZWc/edit#gid=1444865654"",""articles_with_PRISMA_reasons!B2:B2113"")),F858
=""Include"",FILTER(IMPORTRANGE("&amp;"""https://docs.google.com/spreadsheets/d/1kGrh75X1cNR1D7_FcY9zMnHP8iPO4M5RCRjy6nZY0TY/edit#gid=0"",""Table 1: Study characteristics!A4:A171""), $A858=IMPORTRANGE(""https://docs.google.com/spreadsheets/d/1kGrh75X1cNR1D7_FcY9zMnHP8iPO4M5RCRjy6nZY0TY/edit#gi"&amp;"d=0"",""Table 1: Study characteristics!B4:B171""))
)"),"wrong publication type")</f>
        <v>wrong publication type</v>
      </c>
    </row>
    <row r="859">
      <c r="A859" s="4" t="str">
        <f>IFERROR(__xludf.DUMMYFUNCTION("""COMPUTED_VALUE"""),"Forensic approach in term pregnancy with plurimalformat fetus")</f>
        <v>Forensic approach in term pregnancy with plurimalformat fetus</v>
      </c>
      <c r="B859" s="5" t="str">
        <f>IFERROR(__xludf.DUMMYFUNCTION("LEFT(FILTER(IMPORTRANGE(""https://docs.google.com/spreadsheets/d/1BJSV3WBYJGRhQ6zExamkszQ5VutGIcaQqmbD9ZTVXMQ/edit#gid=1251630045"",""articles_with_PRISMA_reasons!K2:K2113""), $A859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$A859=IMPORTRANGE(""https://docs.google.com/spreadsheets/d/1BJSV3WBYJGRhQ6zExamkszQ5VutGIcaQqmbD9ZTVXMQ/edit#gid=1251630045"",""articles_with_PRISMA_reasons!B2:B2113"")))-1)"),"Daina")</f>
        <v>Daina</v>
      </c>
      <c r="C859" s="6">
        <f>IFERROR(__xludf.DUMMYFUNCTION("FILTER(IMPORTRANGE(""https://docs.google.com/spreadsheets/d/1BJSV3WBYJGRhQ6zExamkszQ5VutGIcaQqmbD9ZTVXMQ/edit#gid=1251630045"",""articles_with_PRISMA_reasons!C2:C2113""), $A859=IMPORTRANGE(""https://docs.google.com/spreadsheets/d/1BJSV3WBYJGRhQ6zExamkszQ5"&amp;"VutGIcaQqmbD9ZTVXMQ/edit#gid=1251630045"",""articles_with_PRISMA_reasons!B2:B2113""))"),2017.0)</f>
        <v>2017</v>
      </c>
      <c r="D859" s="5" t="str">
        <f>IFERROR(__xludf.DUMMYFUNCTION("IFS(AND(
FILTER(IMPORTRANGE(""https://docs.google.com/spreadsheets/d/1BJSV3WBYJGRhQ6zExamkszQ5VutGIcaQqmbD9ZTVXMQ/edit#gid=1251630045"",""articles_with_PRISMA_reasons!Y2:Y2113""), $A859=IMPORTRANGE(""https://docs.google.com/spreadsheets/d/1BJSV3WBYJGRhQ6z"&amp;"ExamkszQ5VutGIcaQqmbD9ZTVXMQ/edit#gid=1251630045"",""articles_with_PRISMA_reasons!B2:B2113""))&gt;=2,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$A859=IMPORTRANGE(""https://docs.google.com/spreadsheets/d/1BJSV3WBYJGRhQ6zExamkszQ5VutGIcaQqmbD9ZTVXMQ/edit#gid=1251630045"",""articles_with_PRISMA_reasons!B2:B2113""))&lt;2),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$A859=IMPORTRANGE(""https://docs.google.com/spreadsheets/d/1BJSV3WBYJGRhQ6zExamkszQ5VutGIcaQqmbD9ZTVXMQ/edit#gid=1251630045"",""arti"&amp;"cles_with_PRISMA_reasons!B2:B2113""))&lt;2,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$A859=IMPORTRANGE(""https://docs.google.com"&amp;"/spreadsheets/d/1BJSV3WBYJGRhQ6zExamkszQ5VutGIcaQqmbD9ZTVXMQ/edit#gid=1251630045"",""articles_with_PRISMA_reasons!B2:B2113""))&gt;=2),
""Exclude""
)"),"Exclude")</f>
        <v>Exclude</v>
      </c>
      <c r="E859" s="5" t="str">
        <f>IFERROR(__xludf.DUMMYFUNCTION("IFS(
D859=""Exclude"",""Exclude"",
AND(
FILTER(IMPORTRANGE(""https://docs.google.com/spreadsheets/d/1qpEmbGH0JjaJbUdp21-y2cPbobDbMjr09BbtdKROZWc/edit#gid=1444865654"",""articles_with_PRISMA_reasons!W2:W2113""), $A859=IMPORTRANGE(""https://docs.google.com/"&amp;"spreadsheets/d/1qpEmbGH0JjaJbUdp21-y2cPbobDbMjr09BbtdKROZWc/edit#gid=1444865654"",""articles_with_PRISMA_reasons!B2:B2113""))&gt;=2,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$A859=IMPORTRANGE(""https://docs.google.com/spreadsheets/d/1qpEmbGH0JjaJbUdp21-y2cPbobDbMjr09BbtdKROZWc/edit#gid=1444865654"",""articles_with_PRISMA_reasons!B2:B2113""))&lt;2),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$A859=IMPORTRANGE(""https://docs.google.com/spreadsheets/d/1qpEmbGH0JjaJbUdp21-y2cPbobDbMjr09BbtdKRO"&amp;"ZWc/edit#gid=1444865654"",""articles_with_PRISMA_reasons!B2:B2113""))&lt;2,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$A859=IMPOR"&amp;"TRANGE(""https://docs.google.com/spreadsheets/d/1qpEmbGH0JjaJbUdp21-y2cPbobDbMjr09BbtdKROZWc/edit#gid=1444865654"",""articles_with_PRISMA_reasons!B2:B2113""))&gt;=2),
""Exclude""
)"),"Exclude")</f>
        <v>Exclude</v>
      </c>
      <c r="F859" s="5" t="str">
        <f>IFERROR(__xludf.DUMMYFUNCTION("IFS(
E859=""Exclude"",""Exclude"",
AND(
COUNTIF(
IMPORTRANGE(""https://docs.google.com/spreadsheets/d/1kGrh75X1cNR1D7_FcY9zMnHP8iPO4M5RCRjy6nZY0TY/edit#gid=0"",""Table 1: Study characteristics!B4:B171""),A859)&gt;0,
COUNTIF(Studies!$A$2:$A$85,FILTER(IMPORTRA"&amp;"NGE(""https://docs.google.com/spreadsheets/d/1kGrh75X1cNR1D7_FcY9zMnHP8iPO4M5RCRjy6nZY0TY/edit#gid=0"",""Table 1: Study characteristics!A4:A171""), $A859=IMPORTRANGE(""https://docs.google.com/spreadsheets/d/1kGrh75X1cNR1D7_FcY9zMnHP8iPO4M5RCRjy6nZY0TY/edi"&amp;"t#gid=0"",""Table 1: Study characteristics!B4:B171"")))&gt;0
),
""Include""
)"),"Exclude")</f>
        <v>Exclude</v>
      </c>
      <c r="G859" s="5" t="str">
        <f>IFERROR(__xludf.DUMMYFUNCTION("IFS(
D859=""Exclude"",
FILTER(IMPORTRANGE(""https://docs.google.com/spreadsheets/d/1BJSV3WBYJGRhQ6zExamkszQ5VutGIcaQqmbD9ZTVXMQ/edit#gid=1251630045"",""articles_with_PRISMA_reasons!AB2:AB2113""), $A859=IMPORTRANGE(""https://docs.google.com/spreadsheets/d/"&amp;"1BJSV3WBYJGRhQ6zExamkszQ5VutGIcaQqmbD9ZTVXMQ/edit#gid=1251630045"",""articles_with_PRISMA_reasons!B2:B2113"")),
E859=""Exclude"",
FILTER(IMPORTRANGE(""https://docs.google.com/spreadsheets/d/1qpEmbGH0JjaJbUdp21-y2cPbobDbMjr09BbtdKROZWc/edit#gid=1444865654"&amp;""",""articles_with_PRISMA_reasons!Z2:Z2113""), $A859=IMPORTRANGE(""https://docs.google.com/spreadsheets/d/1qpEmbGH0JjaJbUdp21-y2cPbobDbMjr09BbtdKROZWc/edit#gid=1444865654"",""articles_with_PRISMA_reasons!B2:B2113"")),F859
=""Include"",FILTER(IMPORTRANGE("&amp;"""https://docs.google.com/spreadsheets/d/1kGrh75X1cNR1D7_FcY9zMnHP8iPO4M5RCRjy6nZY0TY/edit#gid=0"",""Table 1: Study characteristics!A4:A171""), $A859=IMPORTRANGE(""https://docs.google.com/spreadsheets/d/1kGrh75X1cNR1D7_FcY9zMnHP8iPO4M5RCRjy6nZY0TY/edit#gi"&amp;"d=0"",""Table 1: Study characteristics!B4:B171""))
)"),"wrong study design")</f>
        <v>wrong study design</v>
      </c>
    </row>
    <row r="860">
      <c r="A860" s="4" t="str">
        <f>IFERROR(__xludf.DUMMYFUNCTION("""COMPUTED_VALUE"""),"Four cases of frontal encephalomeningocele in neonates")</f>
        <v>Four cases of frontal encephalomeningocele in neonates</v>
      </c>
      <c r="B860" s="5" t="str">
        <f>IFERROR(__xludf.DUMMYFUNCTION("LEFT(FILTER(IMPORTRANGE(""https://docs.google.com/spreadsheets/d/1BJSV3WBYJGRhQ6zExamkszQ5VutGIcaQqmbD9ZTVXMQ/edit#gid=1251630045"",""articles_with_PRISMA_reasons!K2:K2113""), $A860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$A860=IMPORTRANGE(""https://docs.google.com/spreadsheets/d/1BJSV3WBYJGRhQ6zExamkszQ5VutGIcaQqmbD9ZTVXMQ/edit#gid=1251630045"",""articles_with_PRISMA_reasons!B2:B2113"")))-1)"),"Hayashi")</f>
        <v>Hayashi</v>
      </c>
      <c r="C860" s="6">
        <f>IFERROR(__xludf.DUMMYFUNCTION("FILTER(IMPORTRANGE(""https://docs.google.com/spreadsheets/d/1BJSV3WBYJGRhQ6zExamkszQ5VutGIcaQqmbD9ZTVXMQ/edit#gid=1251630045"",""articles_with_PRISMA_reasons!C2:C2113""), $A860=IMPORTRANGE(""https://docs.google.com/spreadsheets/d/1BJSV3WBYJGRhQ6zExamkszQ5"&amp;"VutGIcaQqmbD9ZTVXMQ/edit#gid=1251630045"",""articles_with_PRISMA_reasons!B2:B2113""))"),1984.0)</f>
        <v>1984</v>
      </c>
      <c r="D860" s="5" t="str">
        <f>IFERROR(__xludf.DUMMYFUNCTION("IFS(AND(
FILTER(IMPORTRANGE(""https://docs.google.com/spreadsheets/d/1BJSV3WBYJGRhQ6zExamkszQ5VutGIcaQqmbD9ZTVXMQ/edit#gid=1251630045"",""articles_with_PRISMA_reasons!Y2:Y2113""), $A860=IMPORTRANGE(""https://docs.google.com/spreadsheets/d/1BJSV3WBYJGRhQ6z"&amp;"ExamkszQ5VutGIcaQqmbD9ZTVXMQ/edit#gid=1251630045"",""articles_with_PRISMA_reasons!B2:B2113""))&gt;=2,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$A860=IMPORTRANGE(""https://docs.google.com/spreadsheets/d/1BJSV3WBYJGRhQ6zExamkszQ5VutGIcaQqmbD9ZTVXMQ/edit#gid=1251630045"",""articles_with_PRISMA_reasons!B2:B2113""))&lt;2),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$A860=IMPORTRANGE(""https://docs.google.com/spreadsheets/d/1BJSV3WBYJGRhQ6zExamkszQ5VutGIcaQqmbD9ZTVXMQ/edit#gid=1251630045"",""arti"&amp;"cles_with_PRISMA_reasons!B2:B2113""))&lt;2,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$A860=IMPORTRANGE(""https://docs.google.com"&amp;"/spreadsheets/d/1BJSV3WBYJGRhQ6zExamkszQ5VutGIcaQqmbD9ZTVXMQ/edit#gid=1251630045"",""articles_with_PRISMA_reasons!B2:B2113""))&gt;=2),
""Exclude""
)"),"Exclude")</f>
        <v>Exclude</v>
      </c>
      <c r="E860" s="5" t="str">
        <f>IFERROR(__xludf.DUMMYFUNCTION("IFS(
D860=""Exclude"",""Exclude"",
AND(
FILTER(IMPORTRANGE(""https://docs.google.com/spreadsheets/d/1qpEmbGH0JjaJbUdp21-y2cPbobDbMjr09BbtdKROZWc/edit#gid=1444865654"",""articles_with_PRISMA_reasons!W2:W2113""), $A860=IMPORTRANGE(""https://docs.google.com/"&amp;"spreadsheets/d/1qpEmbGH0JjaJbUdp21-y2cPbobDbMjr09BbtdKROZWc/edit#gid=1444865654"",""articles_with_PRISMA_reasons!B2:B2113""))&gt;=2,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$A860=IMPORTRANGE(""https://docs.google.com/spreadsheets/d/1qpEmbGH0JjaJbUdp21-y2cPbobDbMjr09BbtdKROZWc/edit#gid=1444865654"",""articles_with_PRISMA_reasons!B2:B2113""))&lt;2),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$A860=IMPORTRANGE(""https://docs.google.com/spreadsheets/d/1qpEmbGH0JjaJbUdp21-y2cPbobDbMjr09BbtdKRO"&amp;"ZWc/edit#gid=1444865654"",""articles_with_PRISMA_reasons!B2:B2113""))&lt;2,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$A860=IMPOR"&amp;"TRANGE(""https://docs.google.com/spreadsheets/d/1qpEmbGH0JjaJbUdp21-y2cPbobDbMjr09BbtdKROZWc/edit#gid=1444865654"",""articles_with_PRISMA_reasons!B2:B2113""))&gt;=2),
""Exclude""
)"),"Exclude")</f>
        <v>Exclude</v>
      </c>
      <c r="F860" s="5" t="str">
        <f>IFERROR(__xludf.DUMMYFUNCTION("IFS(
E860=""Exclude"",""Exclude"",
AND(
COUNTIF(
IMPORTRANGE(""https://docs.google.com/spreadsheets/d/1kGrh75X1cNR1D7_FcY9zMnHP8iPO4M5RCRjy6nZY0TY/edit#gid=0"",""Table 1: Study characteristics!B4:B171""),A860)&gt;0,
COUNTIF(Studies!$A$2:$A$85,FILTER(IMPORTRA"&amp;"NGE(""https://docs.google.com/spreadsheets/d/1kGrh75X1cNR1D7_FcY9zMnHP8iPO4M5RCRjy6nZY0TY/edit#gid=0"",""Table 1: Study characteristics!A4:A171""), $A860=IMPORTRANGE(""https://docs.google.com/spreadsheets/d/1kGrh75X1cNR1D7_FcY9zMnHP8iPO4M5RCRjy6nZY0TY/edi"&amp;"t#gid=0"",""Table 1: Study characteristics!B4:B171"")))&gt;0
),
""Include""
)"),"Exclude")</f>
        <v>Exclude</v>
      </c>
      <c r="G860" s="5" t="str">
        <f>IFERROR(__xludf.DUMMYFUNCTION("IFS(
D860=""Exclude"",
FILTER(IMPORTRANGE(""https://docs.google.com/spreadsheets/d/1BJSV3WBYJGRhQ6zExamkszQ5VutGIcaQqmbD9ZTVXMQ/edit#gid=1251630045"",""articles_with_PRISMA_reasons!AB2:AB2113""), $A860=IMPORTRANGE(""https://docs.google.com/spreadsheets/d/"&amp;"1BJSV3WBYJGRhQ6zExamkszQ5VutGIcaQqmbD9ZTVXMQ/edit#gid=1251630045"",""articles_with_PRISMA_reasons!B2:B2113"")),
E860=""Exclude"",
FILTER(IMPORTRANGE(""https://docs.google.com/spreadsheets/d/1qpEmbGH0JjaJbUdp21-y2cPbobDbMjr09BbtdKROZWc/edit#gid=1444865654"&amp;""",""articles_with_PRISMA_reasons!Z2:Z2113""), $A860=IMPORTRANGE(""https://docs.google.com/spreadsheets/d/1qpEmbGH0JjaJbUdp21-y2cPbobDbMjr09BbtdKROZWc/edit#gid=1444865654"",""articles_with_PRISMA_reasons!B2:B2113"")),F860
=""Include"",FILTER(IMPORTRANGE("&amp;"""https://docs.google.com/spreadsheets/d/1kGrh75X1cNR1D7_FcY9zMnHP8iPO4M5RCRjy6nZY0TY/edit#gid=0"",""Table 1: Study characteristics!A4:A171""), $A860=IMPORTRANGE(""https://docs.google.com/spreadsheets/d/1kGrh75X1cNR1D7_FcY9zMnHP8iPO4M5RCRjy6nZY0TY/edit#gi"&amp;"d=0"",""Table 1: Study characteristics!B4:B171""))
)"),"wrong population")</f>
        <v>wrong population</v>
      </c>
    </row>
    <row r="861">
      <c r="A861" s="4" t="str">
        <f>IFERROR(__xludf.DUMMYFUNCTION("""COMPUTED_VALUE"""),"Frequency and pattern of distribution of congenital anomalies in the newborn and associated maternal risk factors")</f>
        <v>Frequency and pattern of distribution of congenital anomalies in the newborn and associated maternal risk factors</v>
      </c>
      <c r="B861" s="5" t="str">
        <f>IFERROR(__xludf.DUMMYFUNCTION("LEFT(FILTER(IMPORTRANGE(""https://docs.google.com/spreadsheets/d/1BJSV3WBYJGRhQ6zExamkszQ5VutGIcaQqmbD9ZTVXMQ/edit#gid=1251630045"",""articles_with_PRISMA_reasons!K2:K2113""), $A861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$A861=IMPORTRANGE(""https://docs.google.com/spreadsheets/d/1BJSV3WBYJGRhQ6zExamkszQ5VutGIcaQqmbD9ZTVXMQ/edit#gid=1251630045"",""articles_with_PRISMA_reasons!B2:B2113"")))-1)"),"Tyyab")</f>
        <v>Tyyab</v>
      </c>
      <c r="C861" s="6">
        <f>IFERROR(__xludf.DUMMYFUNCTION("FILTER(IMPORTRANGE(""https://docs.google.com/spreadsheets/d/1BJSV3WBYJGRhQ6zExamkszQ5VutGIcaQqmbD9ZTVXMQ/edit#gid=1251630045"",""articles_with_PRISMA_reasons!C2:C2113""), $A861=IMPORTRANGE(""https://docs.google.com/spreadsheets/d/1BJSV3WBYJGRhQ6zExamkszQ5"&amp;"VutGIcaQqmbD9ZTVXMQ/edit#gid=1251630045"",""articles_with_PRISMA_reasons!B2:B2113""))"),2007.0)</f>
        <v>2007</v>
      </c>
      <c r="D861" s="5" t="str">
        <f>IFERROR(__xludf.DUMMYFUNCTION("IFS(AND(
FILTER(IMPORTRANGE(""https://docs.google.com/spreadsheets/d/1BJSV3WBYJGRhQ6zExamkszQ5VutGIcaQqmbD9ZTVXMQ/edit#gid=1251630045"",""articles_with_PRISMA_reasons!Y2:Y2113""), $A861=IMPORTRANGE(""https://docs.google.com/spreadsheets/d/1BJSV3WBYJGRhQ6z"&amp;"ExamkszQ5VutGIcaQqmbD9ZTVXMQ/edit#gid=1251630045"",""articles_with_PRISMA_reasons!B2:B2113""))&gt;=2,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$A861=IMPORTRANGE(""https://docs.google.com/spreadsheets/d/1BJSV3WBYJGRhQ6zExamkszQ5VutGIcaQqmbD9ZTVXMQ/edit#gid=1251630045"",""articles_with_PRISMA_reasons!B2:B2113""))&lt;2),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$A861=IMPORTRANGE(""https://docs.google.com/spreadsheets/d/1BJSV3WBYJGRhQ6zExamkszQ5VutGIcaQqmbD9ZTVXMQ/edit#gid=1251630045"",""arti"&amp;"cles_with_PRISMA_reasons!B2:B2113""))&lt;2,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$A861=IMPORTRANGE(""https://docs.google.com"&amp;"/spreadsheets/d/1BJSV3WBYJGRhQ6zExamkszQ5VutGIcaQqmbD9ZTVXMQ/edit#gid=1251630045"",""articles_with_PRISMA_reasons!B2:B2113""))&gt;=2),
""Exclude""
)"),"Exclude")</f>
        <v>Exclude</v>
      </c>
      <c r="E861" s="5" t="str">
        <f>IFERROR(__xludf.DUMMYFUNCTION("IFS(
D861=""Exclude"",""Exclude"",
AND(
FILTER(IMPORTRANGE(""https://docs.google.com/spreadsheets/d/1qpEmbGH0JjaJbUdp21-y2cPbobDbMjr09BbtdKROZWc/edit#gid=1444865654"",""articles_with_PRISMA_reasons!W2:W2113""), $A861=IMPORTRANGE(""https://docs.google.com/"&amp;"spreadsheets/d/1qpEmbGH0JjaJbUdp21-y2cPbobDbMjr09BbtdKROZWc/edit#gid=1444865654"",""articles_with_PRISMA_reasons!B2:B2113""))&gt;=2,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$A861=IMPORTRANGE(""https://docs.google.com/spreadsheets/d/1qpEmbGH0JjaJbUdp21-y2cPbobDbMjr09BbtdKROZWc/edit#gid=1444865654"",""articles_with_PRISMA_reasons!B2:B2113""))&lt;2),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$A861=IMPORTRANGE(""https://docs.google.com/spreadsheets/d/1qpEmbGH0JjaJbUdp21-y2cPbobDbMjr09BbtdKRO"&amp;"ZWc/edit#gid=1444865654"",""articles_with_PRISMA_reasons!B2:B2113""))&lt;2,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$A861=IMPOR"&amp;"TRANGE(""https://docs.google.com/spreadsheets/d/1qpEmbGH0JjaJbUdp21-y2cPbobDbMjr09BbtdKROZWc/edit#gid=1444865654"",""articles_with_PRISMA_reasons!B2:B2113""))&gt;=2),
""Exclude""
)"),"Exclude")</f>
        <v>Exclude</v>
      </c>
      <c r="F861" s="5" t="str">
        <f>IFERROR(__xludf.DUMMYFUNCTION("IFS(
E861=""Exclude"",""Exclude"",
AND(
COUNTIF(
IMPORTRANGE(""https://docs.google.com/spreadsheets/d/1kGrh75X1cNR1D7_FcY9zMnHP8iPO4M5RCRjy6nZY0TY/edit#gid=0"",""Table 1: Study characteristics!B4:B171""),A861)&gt;0,
COUNTIF(Studies!$A$2:$A$85,FILTER(IMPORTRA"&amp;"NGE(""https://docs.google.com/spreadsheets/d/1kGrh75X1cNR1D7_FcY9zMnHP8iPO4M5RCRjy6nZY0TY/edit#gid=0"",""Table 1: Study characteristics!A4:A171""), $A861=IMPORTRANGE(""https://docs.google.com/spreadsheets/d/1kGrh75X1cNR1D7_FcY9zMnHP8iPO4M5RCRjy6nZY0TY/edi"&amp;"t#gid=0"",""Table 1: Study characteristics!B4:B171"")))&gt;0
),
""Include""
)"),"Exclude")</f>
        <v>Exclude</v>
      </c>
      <c r="G861" s="5" t="str">
        <f>IFERROR(__xludf.DUMMYFUNCTION("IFS(
D861=""Exclude"",
FILTER(IMPORTRANGE(""https://docs.google.com/spreadsheets/d/1BJSV3WBYJGRhQ6zExamkszQ5VutGIcaQqmbD9ZTVXMQ/edit#gid=1251630045"",""articles_with_PRISMA_reasons!AB2:AB2113""), $A861=IMPORTRANGE(""https://docs.google.com/spreadsheets/d/"&amp;"1BJSV3WBYJGRhQ6zExamkszQ5VutGIcaQqmbD9ZTVXMQ/edit#gid=1251630045"",""articles_with_PRISMA_reasons!B2:B2113"")),
E861=""Exclude"",
FILTER(IMPORTRANGE(""https://docs.google.com/spreadsheets/d/1qpEmbGH0JjaJbUdp21-y2cPbobDbMjr09BbtdKROZWc/edit#gid=1444865654"&amp;""",""articles_with_PRISMA_reasons!Z2:Z2113""), $A861=IMPORTRANGE(""https://docs.google.com/spreadsheets/d/1qpEmbGH0JjaJbUdp21-y2cPbobDbMjr09BbtdKROZWc/edit#gid=1444865654"",""articles_with_PRISMA_reasons!B2:B2113"")),F861
=""Include"",FILTER(IMPORTRANGE("&amp;"""https://docs.google.com/spreadsheets/d/1kGrh75X1cNR1D7_FcY9zMnHP8iPO4M5RCRjy6nZY0TY/edit#gid=0"",""Table 1: Study characteristics!A4:A171""), $A861=IMPORTRANGE(""https://docs.google.com/spreadsheets/d/1kGrh75X1cNR1D7_FcY9zMnHP8iPO4M5RCRjy6nZY0TY/edit#gi"&amp;"d=0"",""Table 1: Study characteristics!B4:B171""))
)"),"wrong population")</f>
        <v>wrong population</v>
      </c>
    </row>
    <row r="862">
      <c r="A862" s="4" t="str">
        <f>IFERROR(__xludf.DUMMYFUNCTION("""COMPUTED_VALUE"""),"Frequency of cerebrospinal fluid leak in patients undergoing myelomeningocele and tethered cord syndrome repair")</f>
        <v>Frequency of cerebrospinal fluid leak in patients undergoing myelomeningocele and tethered cord syndrome repair</v>
      </c>
      <c r="B862" s="5" t="str">
        <f>IFERROR(__xludf.DUMMYFUNCTION("LEFT(FILTER(IMPORTRANGE(""https://docs.google.com/spreadsheets/d/1BJSV3WBYJGRhQ6zExamkszQ5VutGIcaQqmbD9ZTVXMQ/edit#gid=1251630045"",""articles_with_PRISMA_reasons!K2:K2113""), $A862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$A862=IMPORTRANGE(""https://docs.google.com/spreadsheets/d/1BJSV3WBYJGRhQ6zExamkszQ5VutGIcaQqmbD9ZTVXMQ/edit#gid=1251630045"",""articles_with_PRISMA_reasons!B2:B2113"")))-1)"),"Shaikh")</f>
        <v>Shaikh</v>
      </c>
      <c r="C862" s="6">
        <f>IFERROR(__xludf.DUMMYFUNCTION("FILTER(IMPORTRANGE(""https://docs.google.com/spreadsheets/d/1BJSV3WBYJGRhQ6zExamkszQ5VutGIcaQqmbD9ZTVXMQ/edit#gid=1251630045"",""articles_with_PRISMA_reasons!C2:C2113""), $A862=IMPORTRANGE(""https://docs.google.com/spreadsheets/d/1BJSV3WBYJGRhQ6zExamkszQ5"&amp;"VutGIcaQqmbD9ZTVXMQ/edit#gid=1251630045"",""articles_with_PRISMA_reasons!B2:B2113""))"),2021.0)</f>
        <v>2021</v>
      </c>
      <c r="D862" s="5" t="str">
        <f>IFERROR(__xludf.DUMMYFUNCTION("IFS(AND(
FILTER(IMPORTRANGE(""https://docs.google.com/spreadsheets/d/1BJSV3WBYJGRhQ6zExamkszQ5VutGIcaQqmbD9ZTVXMQ/edit#gid=1251630045"",""articles_with_PRISMA_reasons!Y2:Y2113""), $A862=IMPORTRANGE(""https://docs.google.com/spreadsheets/d/1BJSV3WBYJGRhQ6z"&amp;"ExamkszQ5VutGIcaQqmbD9ZTVXMQ/edit#gid=1251630045"",""articles_with_PRISMA_reasons!B2:B2113""))&gt;=2,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$A862=IMPORTRANGE(""https://docs.google.com/spreadsheets/d/1BJSV3WBYJGRhQ6zExamkszQ5VutGIcaQqmbD9ZTVXMQ/edit#gid=1251630045"",""articles_with_PRISMA_reasons!B2:B2113""))&lt;2),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$A862=IMPORTRANGE(""https://docs.google.com/spreadsheets/d/1BJSV3WBYJGRhQ6zExamkszQ5VutGIcaQqmbD9ZTVXMQ/edit#gid=1251630045"",""arti"&amp;"cles_with_PRISMA_reasons!B2:B2113""))&lt;2,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$A862=IMPORTRANGE(""https://docs.google.com"&amp;"/spreadsheets/d/1BJSV3WBYJGRhQ6zExamkszQ5VutGIcaQqmbD9ZTVXMQ/edit#gid=1251630045"",""articles_with_PRISMA_reasons!B2:B2113""))&gt;=2),
""Exclude""
)"),"Exclude")</f>
        <v>Exclude</v>
      </c>
      <c r="E862" s="5" t="str">
        <f>IFERROR(__xludf.DUMMYFUNCTION("IFS(
D862=""Exclude"",""Exclude"",
AND(
FILTER(IMPORTRANGE(""https://docs.google.com/spreadsheets/d/1qpEmbGH0JjaJbUdp21-y2cPbobDbMjr09BbtdKROZWc/edit#gid=1444865654"",""articles_with_PRISMA_reasons!W2:W2113""), $A862=IMPORTRANGE(""https://docs.google.com/"&amp;"spreadsheets/d/1qpEmbGH0JjaJbUdp21-y2cPbobDbMjr09BbtdKROZWc/edit#gid=1444865654"",""articles_with_PRISMA_reasons!B2:B2113""))&gt;=2,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$A862=IMPORTRANGE(""https://docs.google.com/spreadsheets/d/1qpEmbGH0JjaJbUdp21-y2cPbobDbMjr09BbtdKROZWc/edit#gid=1444865654"",""articles_with_PRISMA_reasons!B2:B2113""))&lt;2),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$A862=IMPORTRANGE(""https://docs.google.com/spreadsheets/d/1qpEmbGH0JjaJbUdp21-y2cPbobDbMjr09BbtdKRO"&amp;"ZWc/edit#gid=1444865654"",""articles_with_PRISMA_reasons!B2:B2113""))&lt;2,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$A862=IMPOR"&amp;"TRANGE(""https://docs.google.com/spreadsheets/d/1qpEmbGH0JjaJbUdp21-y2cPbobDbMjr09BbtdKROZWc/edit#gid=1444865654"",""articles_with_PRISMA_reasons!B2:B2113""))&gt;=2),
""Exclude""
)"),"Exclude")</f>
        <v>Exclude</v>
      </c>
      <c r="F862" s="5" t="str">
        <f>IFERROR(__xludf.DUMMYFUNCTION("IFS(
E862=""Exclude"",""Exclude"",
AND(
COUNTIF(
IMPORTRANGE(""https://docs.google.com/spreadsheets/d/1kGrh75X1cNR1D7_FcY9zMnHP8iPO4M5RCRjy6nZY0TY/edit#gid=0"",""Table 1: Study characteristics!B4:B171""),A862)&gt;0,
COUNTIF(Studies!$A$2:$A$85,FILTER(IMPORTRA"&amp;"NGE(""https://docs.google.com/spreadsheets/d/1kGrh75X1cNR1D7_FcY9zMnHP8iPO4M5RCRjy6nZY0TY/edit#gid=0"",""Table 1: Study characteristics!A4:A171""), $A862=IMPORTRANGE(""https://docs.google.com/spreadsheets/d/1kGrh75X1cNR1D7_FcY9zMnHP8iPO4M5RCRjy6nZY0TY/edi"&amp;"t#gid=0"",""Table 1: Study characteristics!B4:B171"")))&gt;0
),
""Include""
)"),"Exclude")</f>
        <v>Exclude</v>
      </c>
      <c r="G862" s="5" t="str">
        <f>IFERROR(__xludf.DUMMYFUNCTION("IFS(
D862=""Exclude"",
FILTER(IMPORTRANGE(""https://docs.google.com/spreadsheets/d/1BJSV3WBYJGRhQ6zExamkszQ5VutGIcaQqmbD9ZTVXMQ/edit#gid=1251630045"",""articles_with_PRISMA_reasons!AB2:AB2113""), $A862=IMPORTRANGE(""https://docs.google.com/spreadsheets/d/"&amp;"1BJSV3WBYJGRhQ6zExamkszQ5VutGIcaQqmbD9ZTVXMQ/edit#gid=1251630045"",""articles_with_PRISMA_reasons!B2:B2113"")),
E862=""Exclude"",
FILTER(IMPORTRANGE(""https://docs.google.com/spreadsheets/d/1qpEmbGH0JjaJbUdp21-y2cPbobDbMjr09BbtdKROZWc/edit#gid=1444865654"&amp;""",""articles_with_PRISMA_reasons!Z2:Z2113""), $A862=IMPORTRANGE(""https://docs.google.com/spreadsheets/d/1qpEmbGH0JjaJbUdp21-y2cPbobDbMjr09BbtdKROZWc/edit#gid=1444865654"",""articles_with_PRISMA_reasons!B2:B2113"")),F862
=""Include"",FILTER(IMPORTRANGE("&amp;"""https://docs.google.com/spreadsheets/d/1kGrh75X1cNR1D7_FcY9zMnHP8iPO4M5RCRjy6nZY0TY/edit#gid=0"",""Table 1: Study characteristics!A4:A171""), $A862=IMPORTRANGE(""https://docs.google.com/spreadsheets/d/1kGrh75X1cNR1D7_FcY9zMnHP8iPO4M5RCRjy6nZY0TY/edit#gi"&amp;"d=0"",""Table 1: Study characteristics!B4:B171""))
)"),"wrong population")</f>
        <v>wrong population</v>
      </c>
    </row>
    <row r="863">
      <c r="A863" s="4" t="str">
        <f>IFERROR(__xludf.DUMMYFUNCTION("""COMPUTED_VALUE"""),"Frequency of congenital anomalies in Southren Punjab")</f>
        <v>Frequency of congenital anomalies in Southren Punjab</v>
      </c>
      <c r="B863" s="5" t="str">
        <f>IFERROR(__xludf.DUMMYFUNCTION("LEFT(FILTER(IMPORTRANGE(""https://docs.google.com/spreadsheets/d/1BJSV3WBYJGRhQ6zExamkszQ5VutGIcaQqmbD9ZTVXMQ/edit#gid=1251630045"",""articles_with_PRISMA_reasons!K2:K2113""), $A863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$A863=IMPORTRANGE(""https://docs.google.com/spreadsheets/d/1BJSV3WBYJGRhQ6zExamkszQ5VutGIcaQqmbD9ZTVXMQ/edit#gid=1251630045"",""articles_with_PRISMA_reasons!B2:B2113"")))-1)"),"Ullah")</f>
        <v>Ullah</v>
      </c>
      <c r="C863" s="6">
        <f>IFERROR(__xludf.DUMMYFUNCTION("FILTER(IMPORTRANGE(""https://docs.google.com/spreadsheets/d/1BJSV3WBYJGRhQ6zExamkszQ5VutGIcaQqmbD9ZTVXMQ/edit#gid=1251630045"",""articles_with_PRISMA_reasons!C2:C2113""), $A863=IMPORTRANGE(""https://docs.google.com/spreadsheets/d/1BJSV3WBYJGRhQ6zExamkszQ5"&amp;"VutGIcaQqmbD9ZTVXMQ/edit#gid=1251630045"",""articles_with_PRISMA_reasons!B2:B2113""))"),2012.0)</f>
        <v>2012</v>
      </c>
      <c r="D863" s="5" t="str">
        <f>IFERROR(__xludf.DUMMYFUNCTION("IFS(AND(
FILTER(IMPORTRANGE(""https://docs.google.com/spreadsheets/d/1BJSV3WBYJGRhQ6zExamkszQ5VutGIcaQqmbD9ZTVXMQ/edit#gid=1251630045"",""articles_with_PRISMA_reasons!Y2:Y2113""), $A863=IMPORTRANGE(""https://docs.google.com/spreadsheets/d/1BJSV3WBYJGRhQ6z"&amp;"ExamkszQ5VutGIcaQqmbD9ZTVXMQ/edit#gid=1251630045"",""articles_with_PRISMA_reasons!B2:B2113""))&gt;=2,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$A863=IMPORTRANGE(""https://docs.google.com/spreadsheets/d/1BJSV3WBYJGRhQ6zExamkszQ5VutGIcaQqmbD9ZTVXMQ/edit#gid=1251630045"",""articles_with_PRISMA_reasons!B2:B2113""))&lt;2),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$A863=IMPORTRANGE(""https://docs.google.com/spreadsheets/d/1BJSV3WBYJGRhQ6zExamkszQ5VutGIcaQqmbD9ZTVXMQ/edit#gid=1251630045"",""arti"&amp;"cles_with_PRISMA_reasons!B2:B2113""))&lt;2,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$A863=IMPORTRANGE(""https://docs.google.com"&amp;"/spreadsheets/d/1BJSV3WBYJGRhQ6zExamkszQ5VutGIcaQqmbD9ZTVXMQ/edit#gid=1251630045"",""articles_with_PRISMA_reasons!B2:B2113""))&gt;=2),
""Exclude""
)"),"Exclude")</f>
        <v>Exclude</v>
      </c>
      <c r="E863" s="5" t="str">
        <f>IFERROR(__xludf.DUMMYFUNCTION("IFS(
D863=""Exclude"",""Exclude"",
AND(
FILTER(IMPORTRANGE(""https://docs.google.com/spreadsheets/d/1qpEmbGH0JjaJbUdp21-y2cPbobDbMjr09BbtdKROZWc/edit#gid=1444865654"",""articles_with_PRISMA_reasons!W2:W2113""), $A863=IMPORTRANGE(""https://docs.google.com/"&amp;"spreadsheets/d/1qpEmbGH0JjaJbUdp21-y2cPbobDbMjr09BbtdKROZWc/edit#gid=1444865654"",""articles_with_PRISMA_reasons!B2:B2113""))&gt;=2,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$A863=IMPORTRANGE(""https://docs.google.com/spreadsheets/d/1qpEmbGH0JjaJbUdp21-y2cPbobDbMjr09BbtdKROZWc/edit#gid=1444865654"",""articles_with_PRISMA_reasons!B2:B2113""))&lt;2),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$A863=IMPORTRANGE(""https://docs.google.com/spreadsheets/d/1qpEmbGH0JjaJbUdp21-y2cPbobDbMjr09BbtdKRO"&amp;"ZWc/edit#gid=1444865654"",""articles_with_PRISMA_reasons!B2:B2113""))&lt;2,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$A863=IMPOR"&amp;"TRANGE(""https://docs.google.com/spreadsheets/d/1qpEmbGH0JjaJbUdp21-y2cPbobDbMjr09BbtdKROZWc/edit#gid=1444865654"",""articles_with_PRISMA_reasons!B2:B2113""))&gt;=2),
""Exclude""
)"),"Exclude")</f>
        <v>Exclude</v>
      </c>
      <c r="F863" s="5" t="str">
        <f>IFERROR(__xludf.DUMMYFUNCTION("IFS(
E863=""Exclude"",""Exclude"",
AND(
COUNTIF(
IMPORTRANGE(""https://docs.google.com/spreadsheets/d/1kGrh75X1cNR1D7_FcY9zMnHP8iPO4M5RCRjy6nZY0TY/edit#gid=0"",""Table 1: Study characteristics!B4:B171""),A863)&gt;0,
COUNTIF(Studies!$A$2:$A$85,FILTER(IMPORTRA"&amp;"NGE(""https://docs.google.com/spreadsheets/d/1kGrh75X1cNR1D7_FcY9zMnHP8iPO4M5RCRjy6nZY0TY/edit#gid=0"",""Table 1: Study characteristics!A4:A171""), $A863=IMPORTRANGE(""https://docs.google.com/spreadsheets/d/1kGrh75X1cNR1D7_FcY9zMnHP8iPO4M5RCRjy6nZY0TY/edi"&amp;"t#gid=0"",""Table 1: Study characteristics!B4:B171"")))&gt;0
),
""Include""
)"),"Exclude")</f>
        <v>Exclude</v>
      </c>
      <c r="G863" s="5" t="str">
        <f>IFERROR(__xludf.DUMMYFUNCTION("IFS(
D863=""Exclude"",
FILTER(IMPORTRANGE(""https://docs.google.com/spreadsheets/d/1BJSV3WBYJGRhQ6zExamkszQ5VutGIcaQqmbD9ZTVXMQ/edit#gid=1251630045"",""articles_with_PRISMA_reasons!AB2:AB2113""), $A863=IMPORTRANGE(""https://docs.google.com/spreadsheets/d/"&amp;"1BJSV3WBYJGRhQ6zExamkszQ5VutGIcaQqmbD9ZTVXMQ/edit#gid=1251630045"",""articles_with_PRISMA_reasons!B2:B2113"")),
E863=""Exclude"",
FILTER(IMPORTRANGE(""https://docs.google.com/spreadsheets/d/1qpEmbGH0JjaJbUdp21-y2cPbobDbMjr09BbtdKROZWc/edit#gid=1444865654"&amp;""",""articles_with_PRISMA_reasons!Z2:Z2113""), $A863=IMPORTRANGE(""https://docs.google.com/spreadsheets/d/1qpEmbGH0JjaJbUdp21-y2cPbobDbMjr09BbtdKROZWc/edit#gid=1444865654"",""articles_with_PRISMA_reasons!B2:B2113"")),F863
=""Include"",FILTER(IMPORTRANGE("&amp;"""https://docs.google.com/spreadsheets/d/1kGrh75X1cNR1D7_FcY9zMnHP8iPO4M5RCRjy6nZY0TY/edit#gid=0"",""Table 1: Study characteristics!A4:A171""), $A863=IMPORTRANGE(""https://docs.google.com/spreadsheets/d/1kGrh75X1cNR1D7_FcY9zMnHP8iPO4M5RCRjy6nZY0TY/edit#gi"&amp;"d=0"",""Table 1: Study characteristics!B4:B171""))
)"),"wrong population")</f>
        <v>wrong population</v>
      </c>
    </row>
    <row r="864">
      <c r="A864" s="4" t="str">
        <f>IFERROR(__xludf.DUMMYFUNCTION("""COMPUTED_VALUE"""),"Frontal bone agenesis in a patient of spinal dysraphism")</f>
        <v>Frontal bone agenesis in a patient of spinal dysraphism</v>
      </c>
      <c r="B864" s="5" t="str">
        <f>IFERROR(__xludf.DUMMYFUNCTION("LEFT(FILTER(IMPORTRANGE(""https://docs.google.com/spreadsheets/d/1BJSV3WBYJGRhQ6zExamkszQ5VutGIcaQqmbD9ZTVXMQ/edit#gid=1251630045"",""articles_with_PRISMA_reasons!K2:K2113""), $A864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$A864=IMPORTRANGE(""https://docs.google.com/spreadsheets/d/1BJSV3WBYJGRhQ6zExamkszQ5VutGIcaQqmbD9ZTVXMQ/edit#gid=1251630045"",""articles_with_PRISMA_reasons!B2:B2113"")))-1)"),"Nayak")</f>
        <v>Nayak</v>
      </c>
      <c r="C864" s="6">
        <f>IFERROR(__xludf.DUMMYFUNCTION("FILTER(IMPORTRANGE(""https://docs.google.com/spreadsheets/d/1BJSV3WBYJGRhQ6zExamkszQ5VutGIcaQqmbD9ZTVXMQ/edit#gid=1251630045"",""articles_with_PRISMA_reasons!C2:C2113""), $A864=IMPORTRANGE(""https://docs.google.com/spreadsheets/d/1BJSV3WBYJGRhQ6zExamkszQ5"&amp;"VutGIcaQqmbD9ZTVXMQ/edit#gid=1251630045"",""articles_with_PRISMA_reasons!B2:B2113""))"),2006.0)</f>
        <v>2006</v>
      </c>
      <c r="D864" s="5" t="str">
        <f>IFERROR(__xludf.DUMMYFUNCTION("IFS(AND(
FILTER(IMPORTRANGE(""https://docs.google.com/spreadsheets/d/1BJSV3WBYJGRhQ6zExamkszQ5VutGIcaQqmbD9ZTVXMQ/edit#gid=1251630045"",""articles_with_PRISMA_reasons!Y2:Y2113""), $A864=IMPORTRANGE(""https://docs.google.com/spreadsheets/d/1BJSV3WBYJGRhQ6z"&amp;"ExamkszQ5VutGIcaQqmbD9ZTVXMQ/edit#gid=1251630045"",""articles_with_PRISMA_reasons!B2:B2113""))&gt;=2,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$A864=IMPORTRANGE(""https://docs.google.com/spreadsheets/d/1BJSV3WBYJGRhQ6zExamkszQ5VutGIcaQqmbD9ZTVXMQ/edit#gid=1251630045"",""articles_with_PRISMA_reasons!B2:B2113""))&lt;2),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$A864=IMPORTRANGE(""https://docs.google.com/spreadsheets/d/1BJSV3WBYJGRhQ6zExamkszQ5VutGIcaQqmbD9ZTVXMQ/edit#gid=1251630045"",""arti"&amp;"cles_with_PRISMA_reasons!B2:B2113""))&lt;2,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$A864=IMPORTRANGE(""https://docs.google.com"&amp;"/spreadsheets/d/1BJSV3WBYJGRhQ6zExamkszQ5VutGIcaQqmbD9ZTVXMQ/edit#gid=1251630045"",""articles_with_PRISMA_reasons!B2:B2113""))&gt;=2),
""Exclude""
)"),"Exclude")</f>
        <v>Exclude</v>
      </c>
      <c r="E864" s="5" t="str">
        <f>IFERROR(__xludf.DUMMYFUNCTION("IFS(
D864=""Exclude"",""Exclude"",
AND(
FILTER(IMPORTRANGE(""https://docs.google.com/spreadsheets/d/1qpEmbGH0JjaJbUdp21-y2cPbobDbMjr09BbtdKROZWc/edit#gid=1444865654"",""articles_with_PRISMA_reasons!W2:W2113""), $A864=IMPORTRANGE(""https://docs.google.com/"&amp;"spreadsheets/d/1qpEmbGH0JjaJbUdp21-y2cPbobDbMjr09BbtdKROZWc/edit#gid=1444865654"",""articles_with_PRISMA_reasons!B2:B2113""))&gt;=2,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$A864=IMPORTRANGE(""https://docs.google.com/spreadsheets/d/1qpEmbGH0JjaJbUdp21-y2cPbobDbMjr09BbtdKROZWc/edit#gid=1444865654"",""articles_with_PRISMA_reasons!B2:B2113""))&lt;2),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$A864=IMPORTRANGE(""https://docs.google.com/spreadsheets/d/1qpEmbGH0JjaJbUdp21-y2cPbobDbMjr09BbtdKRO"&amp;"ZWc/edit#gid=1444865654"",""articles_with_PRISMA_reasons!B2:B2113""))&lt;2,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$A864=IMPOR"&amp;"TRANGE(""https://docs.google.com/spreadsheets/d/1qpEmbGH0JjaJbUdp21-y2cPbobDbMjr09BbtdKROZWc/edit#gid=1444865654"",""articles_with_PRISMA_reasons!B2:B2113""))&gt;=2),
""Exclude""
)"),"Exclude")</f>
        <v>Exclude</v>
      </c>
      <c r="F864" s="5" t="str">
        <f>IFERROR(__xludf.DUMMYFUNCTION("IFS(
E864=""Exclude"",""Exclude"",
AND(
COUNTIF(
IMPORTRANGE(""https://docs.google.com/spreadsheets/d/1kGrh75X1cNR1D7_FcY9zMnHP8iPO4M5RCRjy6nZY0TY/edit#gid=0"",""Table 1: Study characteristics!B4:B171""),A864)&gt;0,
COUNTIF(Studies!$A$2:$A$85,FILTER(IMPORTRA"&amp;"NGE(""https://docs.google.com/spreadsheets/d/1kGrh75X1cNR1D7_FcY9zMnHP8iPO4M5RCRjy6nZY0TY/edit#gid=0"",""Table 1: Study characteristics!A4:A171""), $A864=IMPORTRANGE(""https://docs.google.com/spreadsheets/d/1kGrh75X1cNR1D7_FcY9zMnHP8iPO4M5RCRjy6nZY0TY/edi"&amp;"t#gid=0"",""Table 1: Study characteristics!B4:B171"")))&gt;0
),
""Include""
)"),"Exclude")</f>
        <v>Exclude</v>
      </c>
      <c r="G864" s="5" t="str">
        <f>IFERROR(__xludf.DUMMYFUNCTION("IFS(
D864=""Exclude"",
FILTER(IMPORTRANGE(""https://docs.google.com/spreadsheets/d/1BJSV3WBYJGRhQ6zExamkszQ5VutGIcaQqmbD9ZTVXMQ/edit#gid=1251630045"",""articles_with_PRISMA_reasons!AB2:AB2113""), $A864=IMPORTRANGE(""https://docs.google.com/spreadsheets/d/"&amp;"1BJSV3WBYJGRhQ6zExamkszQ5VutGIcaQqmbD9ZTVXMQ/edit#gid=1251630045"",""articles_with_PRISMA_reasons!B2:B2113"")),
E864=""Exclude"",
FILTER(IMPORTRANGE(""https://docs.google.com/spreadsheets/d/1qpEmbGH0JjaJbUdp21-y2cPbobDbMjr09BbtdKROZWc/edit#gid=1444865654"&amp;""",""articles_with_PRISMA_reasons!Z2:Z2113""), $A864=IMPORTRANGE(""https://docs.google.com/spreadsheets/d/1qpEmbGH0JjaJbUdp21-y2cPbobDbMjr09BbtdKROZWc/edit#gid=1444865654"",""articles_with_PRISMA_reasons!B2:B2113"")),F864
=""Include"",FILTER(IMPORTRANGE("&amp;"""https://docs.google.com/spreadsheets/d/1kGrh75X1cNR1D7_FcY9zMnHP8iPO4M5RCRjy6nZY0TY/edit#gid=0"",""Table 1: Study characteristics!A4:A171""), $A864=IMPORTRANGE(""https://docs.google.com/spreadsheets/d/1kGrh75X1cNR1D7_FcY9zMnHP8iPO4M5RCRjy6nZY0TY/edit#gi"&amp;"d=0"",""Table 1: Study characteristics!B4:B171""))
)"),"wrong study design")</f>
        <v>wrong study design</v>
      </c>
    </row>
    <row r="865">
      <c r="A865" s="4" t="str">
        <f>IFERROR(__xludf.DUMMYFUNCTION("""COMPUTED_VALUE"""),"Frontal foramina in pediatric skull in cases of congenital hydrocephalus")</f>
        <v>Frontal foramina in pediatric skull in cases of congenital hydrocephalus</v>
      </c>
      <c r="B865" s="5" t="str">
        <f>IFERROR(__xludf.DUMMYFUNCTION("LEFT(FILTER(IMPORTRANGE(""https://docs.google.com/spreadsheets/d/1BJSV3WBYJGRhQ6zExamkszQ5VutGIcaQqmbD9ZTVXMQ/edit#gid=1251630045"",""articles_with_PRISMA_reasons!K2:K2113""), $A865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$A865=IMPORTRANGE(""https://docs.google.com/spreadsheets/d/1BJSV3WBYJGRhQ6zExamkszQ5VutGIcaQqmbD9ZTVXMQ/edit#gid=1251630045"",""articles_with_PRISMA_reasons!B2:B2113"")))-1)"),"Sun")</f>
        <v>Sun</v>
      </c>
      <c r="C865" s="6">
        <f>IFERROR(__xludf.DUMMYFUNCTION("FILTER(IMPORTRANGE(""https://docs.google.com/spreadsheets/d/1BJSV3WBYJGRhQ6zExamkszQ5VutGIcaQqmbD9ZTVXMQ/edit#gid=1251630045"",""articles_with_PRISMA_reasons!C2:C2113""), $A865=IMPORTRANGE(""https://docs.google.com/spreadsheets/d/1BJSV3WBYJGRhQ6zExamkszQ5"&amp;"VutGIcaQqmbD9ZTVXMQ/edit#gid=1251630045"",""articles_with_PRISMA_reasons!B2:B2113""))"),1995.0)</f>
        <v>1995</v>
      </c>
      <c r="D865" s="5" t="str">
        <f>IFERROR(__xludf.DUMMYFUNCTION("IFS(AND(
FILTER(IMPORTRANGE(""https://docs.google.com/spreadsheets/d/1BJSV3WBYJGRhQ6zExamkszQ5VutGIcaQqmbD9ZTVXMQ/edit#gid=1251630045"",""articles_with_PRISMA_reasons!Y2:Y2113""), $A865=IMPORTRANGE(""https://docs.google.com/spreadsheets/d/1BJSV3WBYJGRhQ6z"&amp;"ExamkszQ5VutGIcaQqmbD9ZTVXMQ/edit#gid=1251630045"",""articles_with_PRISMA_reasons!B2:B2113""))&gt;=2,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$A865=IMPORTRANGE(""https://docs.google.com/spreadsheets/d/1BJSV3WBYJGRhQ6zExamkszQ5VutGIcaQqmbD9ZTVXMQ/edit#gid=1251630045"",""articles_with_PRISMA_reasons!B2:B2113""))&lt;2),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$A865=IMPORTRANGE(""https://docs.google.com/spreadsheets/d/1BJSV3WBYJGRhQ6zExamkszQ5VutGIcaQqmbD9ZTVXMQ/edit#gid=1251630045"",""arti"&amp;"cles_with_PRISMA_reasons!B2:B2113""))&lt;2,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$A865=IMPORTRANGE(""https://docs.google.com"&amp;"/spreadsheets/d/1BJSV3WBYJGRhQ6zExamkszQ5VutGIcaQqmbD9ZTVXMQ/edit#gid=1251630045"",""articles_with_PRISMA_reasons!B2:B2113""))&gt;=2),
""Exclude""
)"),"Exclude")</f>
        <v>Exclude</v>
      </c>
      <c r="E865" s="5" t="str">
        <f>IFERROR(__xludf.DUMMYFUNCTION("IFS(
D865=""Exclude"",""Exclude"",
AND(
FILTER(IMPORTRANGE(""https://docs.google.com/spreadsheets/d/1qpEmbGH0JjaJbUdp21-y2cPbobDbMjr09BbtdKROZWc/edit#gid=1444865654"",""articles_with_PRISMA_reasons!W2:W2113""), $A865=IMPORTRANGE(""https://docs.google.com/"&amp;"spreadsheets/d/1qpEmbGH0JjaJbUdp21-y2cPbobDbMjr09BbtdKROZWc/edit#gid=1444865654"",""articles_with_PRISMA_reasons!B2:B2113""))&gt;=2,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$A865=IMPORTRANGE(""https://docs.google.com/spreadsheets/d/1qpEmbGH0JjaJbUdp21-y2cPbobDbMjr09BbtdKROZWc/edit#gid=1444865654"",""articles_with_PRISMA_reasons!B2:B2113""))&lt;2),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$A865=IMPORTRANGE(""https://docs.google.com/spreadsheets/d/1qpEmbGH0JjaJbUdp21-y2cPbobDbMjr09BbtdKRO"&amp;"ZWc/edit#gid=1444865654"",""articles_with_PRISMA_reasons!B2:B2113""))&lt;2,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$A865=IMPOR"&amp;"TRANGE(""https://docs.google.com/spreadsheets/d/1qpEmbGH0JjaJbUdp21-y2cPbobDbMjr09BbtdKROZWc/edit#gid=1444865654"",""articles_with_PRISMA_reasons!B2:B2113""))&gt;=2),
""Exclude""
)"),"Exclude")</f>
        <v>Exclude</v>
      </c>
      <c r="F865" s="5" t="str">
        <f>IFERROR(__xludf.DUMMYFUNCTION("IFS(
E865=""Exclude"",""Exclude"",
AND(
COUNTIF(
IMPORTRANGE(""https://docs.google.com/spreadsheets/d/1kGrh75X1cNR1D7_FcY9zMnHP8iPO4M5RCRjy6nZY0TY/edit#gid=0"",""Table 1: Study characteristics!B4:B171""),A865)&gt;0,
COUNTIF(Studies!$A$2:$A$85,FILTER(IMPORTRA"&amp;"NGE(""https://docs.google.com/spreadsheets/d/1kGrh75X1cNR1D7_FcY9zMnHP8iPO4M5RCRjy6nZY0TY/edit#gid=0"",""Table 1: Study characteristics!A4:A171""), $A865=IMPORTRANGE(""https://docs.google.com/spreadsheets/d/1kGrh75X1cNR1D7_FcY9zMnHP8iPO4M5RCRjy6nZY0TY/edi"&amp;"t#gid=0"",""Table 1: Study characteristics!B4:B171"")))&gt;0
),
""Include""
)"),"Exclude")</f>
        <v>Exclude</v>
      </c>
      <c r="G865" s="5" t="str">
        <f>IFERROR(__xludf.DUMMYFUNCTION("IFS(
D865=""Exclude"",
FILTER(IMPORTRANGE(""https://docs.google.com/spreadsheets/d/1BJSV3WBYJGRhQ6zExamkszQ5VutGIcaQqmbD9ZTVXMQ/edit#gid=1251630045"",""articles_with_PRISMA_reasons!AB2:AB2113""), $A865=IMPORTRANGE(""https://docs.google.com/spreadsheets/d/"&amp;"1BJSV3WBYJGRhQ6zExamkszQ5VutGIcaQqmbD9ZTVXMQ/edit#gid=1251630045"",""articles_with_PRISMA_reasons!B2:B2113"")),
E865=""Exclude"",
FILTER(IMPORTRANGE(""https://docs.google.com/spreadsheets/d/1qpEmbGH0JjaJbUdp21-y2cPbobDbMjr09BbtdKROZWc/edit#gid=1444865654"&amp;""",""articles_with_PRISMA_reasons!Z2:Z2113""), $A865=IMPORTRANGE(""https://docs.google.com/spreadsheets/d/1qpEmbGH0JjaJbUdp21-y2cPbobDbMjr09BbtdKROZWc/edit#gid=1444865654"",""articles_with_PRISMA_reasons!B2:B2113"")),F865
=""Include"",FILTER(IMPORTRANGE("&amp;"""https://docs.google.com/spreadsheets/d/1kGrh75X1cNR1D7_FcY9zMnHP8iPO4M5RCRjy6nZY0TY/edit#gid=0"",""Table 1: Study characteristics!A4:A171""), $A865=IMPORTRANGE(""https://docs.google.com/spreadsheets/d/1kGrh75X1cNR1D7_FcY9zMnHP8iPO4M5RCRjy6nZY0TY/edit#gi"&amp;"d=0"",""Table 1: Study characteristics!B4:B171""))
)"),"wrong population")</f>
        <v>wrong population</v>
      </c>
    </row>
    <row r="866">
      <c r="A866" s="4" t="str">
        <f>IFERROR(__xludf.DUMMYFUNCTION("""COMPUTED_VALUE"""),"Frontal foramina, Chiari II malformation, and hydrocephalus in a female")</f>
        <v>Frontal foramina, Chiari II malformation, and hydrocephalus in a female</v>
      </c>
      <c r="B866" s="5" t="str">
        <f>IFERROR(__xludf.DUMMYFUNCTION("LEFT(FILTER(IMPORTRANGE(""https://docs.google.com/spreadsheets/d/1BJSV3WBYJGRhQ6zExamkszQ5VutGIcaQqmbD9ZTVXMQ/edit#gid=1251630045"",""articles_with_PRISMA_reasons!K2:K2113""), $A866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$A866=IMPORTRANGE(""https://docs.google.com/spreadsheets/d/1BJSV3WBYJGRhQ6zExamkszQ5VutGIcaQqmbD9ZTVXMQ/edit#gid=1251630045"",""articles_with_PRISMA_reasons!B2:B2113"")))-1)"),"Reimao")</f>
        <v>Reimao</v>
      </c>
      <c r="C866" s="6">
        <f>IFERROR(__xludf.DUMMYFUNCTION("FILTER(IMPORTRANGE(""https://docs.google.com/spreadsheets/d/1BJSV3WBYJGRhQ6zExamkszQ5VutGIcaQqmbD9ZTVXMQ/edit#gid=1251630045"",""articles_with_PRISMA_reasons!C2:C2113""), $A866=IMPORTRANGE(""https://docs.google.com/spreadsheets/d/1BJSV3WBYJGRhQ6zExamkszQ5"&amp;"VutGIcaQqmbD9ZTVXMQ/edit#gid=1251630045"",""articles_with_PRISMA_reasons!B2:B2113""))"),2003.0)</f>
        <v>2003</v>
      </c>
      <c r="D866" s="5" t="str">
        <f>IFERROR(__xludf.DUMMYFUNCTION("IFS(AND(
FILTER(IMPORTRANGE(""https://docs.google.com/spreadsheets/d/1BJSV3WBYJGRhQ6zExamkszQ5VutGIcaQqmbD9ZTVXMQ/edit#gid=1251630045"",""articles_with_PRISMA_reasons!Y2:Y2113""), $A866=IMPORTRANGE(""https://docs.google.com/spreadsheets/d/1BJSV3WBYJGRhQ6z"&amp;"ExamkszQ5VutGIcaQqmbD9ZTVXMQ/edit#gid=1251630045"",""articles_with_PRISMA_reasons!B2:B2113""))&gt;=2,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$A866=IMPORTRANGE(""https://docs.google.com/spreadsheets/d/1BJSV3WBYJGRhQ6zExamkszQ5VutGIcaQqmbD9ZTVXMQ/edit#gid=1251630045"",""articles_with_PRISMA_reasons!B2:B2113""))&lt;2),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$A866=IMPORTRANGE(""https://docs.google.com/spreadsheets/d/1BJSV3WBYJGRhQ6zExamkszQ5VutGIcaQqmbD9ZTVXMQ/edit#gid=1251630045"",""arti"&amp;"cles_with_PRISMA_reasons!B2:B2113""))&lt;2,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$A866=IMPORTRANGE(""https://docs.google.com"&amp;"/spreadsheets/d/1BJSV3WBYJGRhQ6zExamkszQ5VutGIcaQqmbD9ZTVXMQ/edit#gid=1251630045"",""articles_with_PRISMA_reasons!B2:B2113""))&gt;=2),
""Exclude""
)"),"Exclude")</f>
        <v>Exclude</v>
      </c>
      <c r="E866" s="5" t="str">
        <f>IFERROR(__xludf.DUMMYFUNCTION("IFS(
D866=""Exclude"",""Exclude"",
AND(
FILTER(IMPORTRANGE(""https://docs.google.com/spreadsheets/d/1qpEmbGH0JjaJbUdp21-y2cPbobDbMjr09BbtdKROZWc/edit#gid=1444865654"",""articles_with_PRISMA_reasons!W2:W2113""), $A866=IMPORTRANGE(""https://docs.google.com/"&amp;"spreadsheets/d/1qpEmbGH0JjaJbUdp21-y2cPbobDbMjr09BbtdKROZWc/edit#gid=1444865654"",""articles_with_PRISMA_reasons!B2:B2113""))&gt;=2,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$A866=IMPORTRANGE(""https://docs.google.com/spreadsheets/d/1qpEmbGH0JjaJbUdp21-y2cPbobDbMjr09BbtdKROZWc/edit#gid=1444865654"",""articles_with_PRISMA_reasons!B2:B2113""))&lt;2),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$A866=IMPORTRANGE(""https://docs.google.com/spreadsheets/d/1qpEmbGH0JjaJbUdp21-y2cPbobDbMjr09BbtdKRO"&amp;"ZWc/edit#gid=1444865654"",""articles_with_PRISMA_reasons!B2:B2113""))&lt;2,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$A866=IMPOR"&amp;"TRANGE(""https://docs.google.com/spreadsheets/d/1qpEmbGH0JjaJbUdp21-y2cPbobDbMjr09BbtdKROZWc/edit#gid=1444865654"",""articles_with_PRISMA_reasons!B2:B2113""))&gt;=2),
""Exclude""
)"),"Exclude")</f>
        <v>Exclude</v>
      </c>
      <c r="F866" s="5" t="str">
        <f>IFERROR(__xludf.DUMMYFUNCTION("IFS(
E866=""Exclude"",""Exclude"",
AND(
COUNTIF(
IMPORTRANGE(""https://docs.google.com/spreadsheets/d/1kGrh75X1cNR1D7_FcY9zMnHP8iPO4M5RCRjy6nZY0TY/edit#gid=0"",""Table 1: Study characteristics!B4:B171""),A866)&gt;0,
COUNTIF(Studies!$A$2:$A$85,FILTER(IMPORTRA"&amp;"NGE(""https://docs.google.com/spreadsheets/d/1kGrh75X1cNR1D7_FcY9zMnHP8iPO4M5RCRjy6nZY0TY/edit#gid=0"",""Table 1: Study characteristics!A4:A171""), $A866=IMPORTRANGE(""https://docs.google.com/spreadsheets/d/1kGrh75X1cNR1D7_FcY9zMnHP8iPO4M5RCRjy6nZY0TY/edi"&amp;"t#gid=0"",""Table 1: Study characteristics!B4:B171"")))&gt;0
),
""Include""
)"),"Exclude")</f>
        <v>Exclude</v>
      </c>
      <c r="G866" s="5" t="str">
        <f>IFERROR(__xludf.DUMMYFUNCTION("IFS(
D866=""Exclude"",
FILTER(IMPORTRANGE(""https://docs.google.com/spreadsheets/d/1BJSV3WBYJGRhQ6zExamkszQ5VutGIcaQqmbD9ZTVXMQ/edit#gid=1251630045"",""articles_with_PRISMA_reasons!AB2:AB2113""), $A866=IMPORTRANGE(""https://docs.google.com/spreadsheets/d/"&amp;"1BJSV3WBYJGRhQ6zExamkszQ5VutGIcaQqmbD9ZTVXMQ/edit#gid=1251630045"",""articles_with_PRISMA_reasons!B2:B2113"")),
E866=""Exclude"",
FILTER(IMPORTRANGE(""https://docs.google.com/spreadsheets/d/1qpEmbGH0JjaJbUdp21-y2cPbobDbMjr09BbtdKROZWc/edit#gid=1444865654"&amp;""",""articles_with_PRISMA_reasons!Z2:Z2113""), $A866=IMPORTRANGE(""https://docs.google.com/spreadsheets/d/1qpEmbGH0JjaJbUdp21-y2cPbobDbMjr09BbtdKROZWc/edit#gid=1444865654"",""articles_with_PRISMA_reasons!B2:B2113"")),F866
=""Include"",FILTER(IMPORTRANGE("&amp;"""https://docs.google.com/spreadsheets/d/1kGrh75X1cNR1D7_FcY9zMnHP8iPO4M5RCRjy6nZY0TY/edit#gid=0"",""Table 1: Study characteristics!A4:A171""), $A866=IMPORTRANGE(""https://docs.google.com/spreadsheets/d/1kGrh75X1cNR1D7_FcY9zMnHP8iPO4M5RCRjy6nZY0TY/edit#gi"&amp;"d=0"",""Table 1: Study characteristics!B4:B171""))
)"),"wrong study design")</f>
        <v>wrong study design</v>
      </c>
    </row>
    <row r="867">
      <c r="A867" s="4" t="str">
        <f>IFERROR(__xludf.DUMMYFUNCTION("""COMPUTED_VALUE"""),"Functional ambulation in patients with myelomeningocele")</f>
        <v>Functional ambulation in patients with myelomeningocele</v>
      </c>
      <c r="B867" s="5" t="str">
        <f>IFERROR(__xludf.DUMMYFUNCTION("LEFT(FILTER(IMPORTRANGE(""https://docs.google.com/spreadsheets/d/1BJSV3WBYJGRhQ6zExamkszQ5VutGIcaQqmbD9ZTVXMQ/edit#gid=1251630045"",""articles_with_PRISMA_reasons!K2:K2113""), $A867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$A867=IMPORTRANGE(""https://docs.google.com/spreadsheets/d/1BJSV3WBYJGRhQ6zExamkszQ5VutGIcaQqmbD9ZTVXMQ/edit#gid=1251630045"",""articles_with_PRISMA_reasons!B2:B2113"")))-1)"),"Hoffer")</f>
        <v>Hoffer</v>
      </c>
      <c r="C867" s="6">
        <f>IFERROR(__xludf.DUMMYFUNCTION("FILTER(IMPORTRANGE(""https://docs.google.com/spreadsheets/d/1BJSV3WBYJGRhQ6zExamkszQ5VutGIcaQqmbD9ZTVXMQ/edit#gid=1251630045"",""articles_with_PRISMA_reasons!C2:C2113""), $A867=IMPORTRANGE(""https://docs.google.com/spreadsheets/d/1BJSV3WBYJGRhQ6zExamkszQ5"&amp;"VutGIcaQqmbD9ZTVXMQ/edit#gid=1251630045"",""articles_with_PRISMA_reasons!B2:B2113""))"),1973.0)</f>
        <v>1973</v>
      </c>
      <c r="D867" s="5" t="str">
        <f>IFERROR(__xludf.DUMMYFUNCTION("IFS(AND(
FILTER(IMPORTRANGE(""https://docs.google.com/spreadsheets/d/1BJSV3WBYJGRhQ6zExamkszQ5VutGIcaQqmbD9ZTVXMQ/edit#gid=1251630045"",""articles_with_PRISMA_reasons!Y2:Y2113""), $A867=IMPORTRANGE(""https://docs.google.com/spreadsheets/d/1BJSV3WBYJGRhQ6z"&amp;"ExamkszQ5VutGIcaQqmbD9ZTVXMQ/edit#gid=1251630045"",""articles_with_PRISMA_reasons!B2:B2113""))&gt;=2,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$A867=IMPORTRANGE(""https://docs.google.com/spreadsheets/d/1BJSV3WBYJGRhQ6zExamkszQ5VutGIcaQqmbD9ZTVXMQ/edit#gid=1251630045"",""articles_with_PRISMA_reasons!B2:B2113""))&lt;2),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$A867=IMPORTRANGE(""https://docs.google.com/spreadsheets/d/1BJSV3WBYJGRhQ6zExamkszQ5VutGIcaQqmbD9ZTVXMQ/edit#gid=1251630045"",""arti"&amp;"cles_with_PRISMA_reasons!B2:B2113""))&lt;2,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$A867=IMPORTRANGE(""https://docs.google.com"&amp;"/spreadsheets/d/1BJSV3WBYJGRhQ6zExamkszQ5VutGIcaQqmbD9ZTVXMQ/edit#gid=1251630045"",""articles_with_PRISMA_reasons!B2:B2113""))&gt;=2),
""Exclude""
)"),"Exclude")</f>
        <v>Exclude</v>
      </c>
      <c r="E867" s="5" t="str">
        <f>IFERROR(__xludf.DUMMYFUNCTION("IFS(
D867=""Exclude"",""Exclude"",
AND(
FILTER(IMPORTRANGE(""https://docs.google.com/spreadsheets/d/1qpEmbGH0JjaJbUdp21-y2cPbobDbMjr09BbtdKROZWc/edit#gid=1444865654"",""articles_with_PRISMA_reasons!W2:W2113""), $A867=IMPORTRANGE(""https://docs.google.com/"&amp;"spreadsheets/d/1qpEmbGH0JjaJbUdp21-y2cPbobDbMjr09BbtdKROZWc/edit#gid=1444865654"",""articles_with_PRISMA_reasons!B2:B2113""))&gt;=2,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$A867=IMPORTRANGE(""https://docs.google.com/spreadsheets/d/1qpEmbGH0JjaJbUdp21-y2cPbobDbMjr09BbtdKROZWc/edit#gid=1444865654"",""articles_with_PRISMA_reasons!B2:B2113""))&lt;2),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$A867=IMPORTRANGE(""https://docs.google.com/spreadsheets/d/1qpEmbGH0JjaJbUdp21-y2cPbobDbMjr09BbtdKRO"&amp;"ZWc/edit#gid=1444865654"",""articles_with_PRISMA_reasons!B2:B2113""))&lt;2,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$A867=IMPOR"&amp;"TRANGE(""https://docs.google.com/spreadsheets/d/1qpEmbGH0JjaJbUdp21-y2cPbobDbMjr09BbtdKROZWc/edit#gid=1444865654"",""articles_with_PRISMA_reasons!B2:B2113""))&gt;=2),
""Exclude""
)"),"Exclude")</f>
        <v>Exclude</v>
      </c>
      <c r="F867" s="5" t="str">
        <f>IFERROR(__xludf.DUMMYFUNCTION("IFS(
E867=""Exclude"",""Exclude"",
AND(
COUNTIF(
IMPORTRANGE(""https://docs.google.com/spreadsheets/d/1kGrh75X1cNR1D7_FcY9zMnHP8iPO4M5RCRjy6nZY0TY/edit#gid=0"",""Table 1: Study characteristics!B4:B171""),A867)&gt;0,
COUNTIF(Studies!$A$2:$A$85,FILTER(IMPORTRA"&amp;"NGE(""https://docs.google.com/spreadsheets/d/1kGrh75X1cNR1D7_FcY9zMnHP8iPO4M5RCRjy6nZY0TY/edit#gid=0"",""Table 1: Study characteristics!A4:A171""), $A867=IMPORTRANGE(""https://docs.google.com/spreadsheets/d/1kGrh75X1cNR1D7_FcY9zMnHP8iPO4M5RCRjy6nZY0TY/edi"&amp;"t#gid=0"",""Table 1: Study characteristics!B4:B171"")))&gt;0
),
""Include""
)"),"Exclude")</f>
        <v>Exclude</v>
      </c>
      <c r="G867" s="5" t="str">
        <f>IFERROR(__xludf.DUMMYFUNCTION("IFS(
D867=""Exclude"",
FILTER(IMPORTRANGE(""https://docs.google.com/spreadsheets/d/1BJSV3WBYJGRhQ6zExamkszQ5VutGIcaQqmbD9ZTVXMQ/edit#gid=1251630045"",""articles_with_PRISMA_reasons!AB2:AB2113""), $A867=IMPORTRANGE(""https://docs.google.com/spreadsheets/d/"&amp;"1BJSV3WBYJGRhQ6zExamkszQ5VutGIcaQqmbD9ZTVXMQ/edit#gid=1251630045"",""articles_with_PRISMA_reasons!B2:B2113"")),
E867=""Exclude"",
FILTER(IMPORTRANGE(""https://docs.google.com/spreadsheets/d/1qpEmbGH0JjaJbUdp21-y2cPbobDbMjr09BbtdKROZWc/edit#gid=1444865654"&amp;""",""articles_with_PRISMA_reasons!Z2:Z2113""), $A867=IMPORTRANGE(""https://docs.google.com/spreadsheets/d/1qpEmbGH0JjaJbUdp21-y2cPbobDbMjr09BbtdKROZWc/edit#gid=1444865654"",""articles_with_PRISMA_reasons!B2:B2113"")),F867
=""Include"",FILTER(IMPORTRANGE("&amp;"""https://docs.google.com/spreadsheets/d/1kGrh75X1cNR1D7_FcY9zMnHP8iPO4M5RCRjy6nZY0TY/edit#gid=0"",""Table 1: Study characteristics!A4:A171""), $A867=IMPORTRANGE(""https://docs.google.com/spreadsheets/d/1kGrh75X1cNR1D7_FcY9zMnHP8iPO4M5RCRjy6nZY0TY/edit#gi"&amp;"d=0"",""Table 1: Study characteristics!B4:B171""))
)"),"wrong study design")</f>
        <v>wrong study design</v>
      </c>
    </row>
    <row r="868">
      <c r="A868" s="4" t="str">
        <f>IFERROR(__xludf.DUMMYFUNCTION("""COMPUTED_VALUE"""),"Functional significance of atypical cortical organization in spina bifida myelomeningocele: Relations of cortical thickness and gyrification with IQ and fine motor dexterity")</f>
        <v>Functional significance of atypical cortical organization in spina bifida myelomeningocele: Relations of cortical thickness and gyrification with IQ and fine motor dexterity</v>
      </c>
      <c r="B868" s="5" t="str">
        <f>IFERROR(__xludf.DUMMYFUNCTION("LEFT(FILTER(IMPORTRANGE(""https://docs.google.com/spreadsheets/d/1BJSV3WBYJGRhQ6zExamkszQ5VutGIcaQqmbD9ZTVXMQ/edit#gid=1251630045"",""articles_with_PRISMA_reasons!K2:K2113""), $A868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$A868=IMPORTRANGE(""https://docs.google.com/spreadsheets/d/1BJSV3WBYJGRhQ6zExamkszQ5VutGIcaQqmbD9ZTVXMQ/edit#gid=1251630045"",""articles_with_PRISMA_reasons!B2:B2113"")))-1)"),"Treble")</f>
        <v>Treble</v>
      </c>
      <c r="C868" s="6">
        <f>IFERROR(__xludf.DUMMYFUNCTION("FILTER(IMPORTRANGE(""https://docs.google.com/spreadsheets/d/1BJSV3WBYJGRhQ6zExamkszQ5VutGIcaQqmbD9ZTVXMQ/edit#gid=1251630045"",""articles_with_PRISMA_reasons!C2:C2113""), $A868=IMPORTRANGE(""https://docs.google.com/spreadsheets/d/1BJSV3WBYJGRhQ6zExamkszQ5"&amp;"VutGIcaQqmbD9ZTVXMQ/edit#gid=1251630045"",""articles_with_PRISMA_reasons!B2:B2113""))"),2013.0)</f>
        <v>2013</v>
      </c>
      <c r="D868" s="5" t="str">
        <f>IFERROR(__xludf.DUMMYFUNCTION("IFS(AND(
FILTER(IMPORTRANGE(""https://docs.google.com/spreadsheets/d/1BJSV3WBYJGRhQ6zExamkszQ5VutGIcaQqmbD9ZTVXMQ/edit#gid=1251630045"",""articles_with_PRISMA_reasons!Y2:Y2113""), $A868=IMPORTRANGE(""https://docs.google.com/spreadsheets/d/1BJSV3WBYJGRhQ6z"&amp;"ExamkszQ5VutGIcaQqmbD9ZTVXMQ/edit#gid=1251630045"",""articles_with_PRISMA_reasons!B2:B2113""))&gt;=2,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$A868=IMPORTRANGE(""https://docs.google.com/spreadsheets/d/1BJSV3WBYJGRhQ6zExamkszQ5VutGIcaQqmbD9ZTVXMQ/edit#gid=1251630045"",""articles_with_PRISMA_reasons!B2:B2113""))&lt;2),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$A868=IMPORTRANGE(""https://docs.google.com/spreadsheets/d/1BJSV3WBYJGRhQ6zExamkszQ5VutGIcaQqmbD9ZTVXMQ/edit#gid=1251630045"",""arti"&amp;"cles_with_PRISMA_reasons!B2:B2113""))&lt;2,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$A868=IMPORTRANGE(""https://docs.google.com"&amp;"/spreadsheets/d/1BJSV3WBYJGRhQ6zExamkszQ5VutGIcaQqmbD9ZTVXMQ/edit#gid=1251630045"",""articles_with_PRISMA_reasons!B2:B2113""))&gt;=2),
""Exclude""
)"),"Exclude")</f>
        <v>Exclude</v>
      </c>
      <c r="E868" s="5" t="str">
        <f>IFERROR(__xludf.DUMMYFUNCTION("IFS(
D868=""Exclude"",""Exclude"",
AND(
FILTER(IMPORTRANGE(""https://docs.google.com/spreadsheets/d/1qpEmbGH0JjaJbUdp21-y2cPbobDbMjr09BbtdKROZWc/edit#gid=1444865654"",""articles_with_PRISMA_reasons!W2:W2113""), $A868=IMPORTRANGE(""https://docs.google.com/"&amp;"spreadsheets/d/1qpEmbGH0JjaJbUdp21-y2cPbobDbMjr09BbtdKROZWc/edit#gid=1444865654"",""articles_with_PRISMA_reasons!B2:B2113""))&gt;=2,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$A868=IMPORTRANGE(""https://docs.google.com/spreadsheets/d/1qpEmbGH0JjaJbUdp21-y2cPbobDbMjr09BbtdKROZWc/edit#gid=1444865654"",""articles_with_PRISMA_reasons!B2:B2113""))&lt;2),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$A868=IMPORTRANGE(""https://docs.google.com/spreadsheets/d/1qpEmbGH0JjaJbUdp21-y2cPbobDbMjr09BbtdKRO"&amp;"ZWc/edit#gid=1444865654"",""articles_with_PRISMA_reasons!B2:B2113""))&lt;2,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$A868=IMPOR"&amp;"TRANGE(""https://docs.google.com/spreadsheets/d/1qpEmbGH0JjaJbUdp21-y2cPbobDbMjr09BbtdKROZWc/edit#gid=1444865654"",""articles_with_PRISMA_reasons!B2:B2113""))&gt;=2),
""Exclude""
)"),"Exclude")</f>
        <v>Exclude</v>
      </c>
      <c r="F868" s="5" t="str">
        <f>IFERROR(__xludf.DUMMYFUNCTION("IFS(
E868=""Exclude"",""Exclude"",
AND(
COUNTIF(
IMPORTRANGE(""https://docs.google.com/spreadsheets/d/1kGrh75X1cNR1D7_FcY9zMnHP8iPO4M5RCRjy6nZY0TY/edit#gid=0"",""Table 1: Study characteristics!B4:B171""),A868)&gt;0,
COUNTIF(Studies!$A$2:$A$85,FILTER(IMPORTRA"&amp;"NGE(""https://docs.google.com/spreadsheets/d/1kGrh75X1cNR1D7_FcY9zMnHP8iPO4M5RCRjy6nZY0TY/edit#gid=0"",""Table 1: Study characteristics!A4:A171""), $A868=IMPORTRANGE(""https://docs.google.com/spreadsheets/d/1kGrh75X1cNR1D7_FcY9zMnHP8iPO4M5RCRjy6nZY0TY/edi"&amp;"t#gid=0"",""Table 1: Study characteristics!B4:B171"")))&gt;0
),
""Include""
)"),"Exclude")</f>
        <v>Exclude</v>
      </c>
      <c r="G868" s="5" t="str">
        <f>IFERROR(__xludf.DUMMYFUNCTION("IFS(
D868=""Exclude"",
FILTER(IMPORTRANGE(""https://docs.google.com/spreadsheets/d/1BJSV3WBYJGRhQ6zExamkszQ5VutGIcaQqmbD9ZTVXMQ/edit#gid=1251630045"",""articles_with_PRISMA_reasons!AB2:AB2113""), $A868=IMPORTRANGE(""https://docs.google.com/spreadsheets/d/"&amp;"1BJSV3WBYJGRhQ6zExamkszQ5VutGIcaQqmbD9ZTVXMQ/edit#gid=1251630045"",""articles_with_PRISMA_reasons!B2:B2113"")),
E868=""Exclude"",
FILTER(IMPORTRANGE(""https://docs.google.com/spreadsheets/d/1qpEmbGH0JjaJbUdp21-y2cPbobDbMjr09BbtdKROZWc/edit#gid=1444865654"&amp;""",""articles_with_PRISMA_reasons!Z2:Z2113""), $A868=IMPORTRANGE(""https://docs.google.com/spreadsheets/d/1qpEmbGH0JjaJbUdp21-y2cPbobDbMjr09BbtdKROZWc/edit#gid=1444865654"",""articles_with_PRISMA_reasons!B2:B2113"")),F868
=""Include"",FILTER(IMPORTRANGE("&amp;"""https://docs.google.com/spreadsheets/d/1kGrh75X1cNR1D7_FcY9zMnHP8iPO4M5RCRjy6nZY0TY/edit#gid=0"",""Table 1: Study characteristics!A4:A171""), $A868=IMPORTRANGE(""https://docs.google.com/spreadsheets/d/1kGrh75X1cNR1D7_FcY9zMnHP8iPO4M5RCRjy6nZY0TY/edit#gi"&amp;"d=0"",""Table 1: Study characteristics!B4:B171""))
)"),"wrong population")</f>
        <v>wrong population</v>
      </c>
    </row>
    <row r="869">
      <c r="A869" s="4" t="str">
        <f>IFERROR(__xludf.DUMMYFUNCTION("""COMPUTED_VALUE"""),"Functioning of the children with hydrocephalus")</f>
        <v>Functioning of the children with hydrocephalus</v>
      </c>
      <c r="B869" s="5" t="str">
        <f>IFERROR(__xludf.DUMMYFUNCTION("LEFT(FILTER(IMPORTRANGE(""https://docs.google.com/spreadsheets/d/1BJSV3WBYJGRhQ6zExamkszQ5VutGIcaQqmbD9ZTVXMQ/edit#gid=1251630045"",""articles_with_PRISMA_reasons!K2:K2113""), $A869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$A869=IMPORTRANGE(""https://docs.google.com/spreadsheets/d/1BJSV3WBYJGRhQ6zExamkszQ5VutGIcaQqmbD9ZTVXMQ/edit#gid=1251630045"",""articles_with_PRISMA_reasons!B2:B2113"")))-1)"),"Szefczyk-Polowczyk")</f>
        <v>Szefczyk-Polowczyk</v>
      </c>
      <c r="C869" s="6">
        <f>IFERROR(__xludf.DUMMYFUNCTION("FILTER(IMPORTRANGE(""https://docs.google.com/spreadsheets/d/1BJSV3WBYJGRhQ6zExamkszQ5VutGIcaQqmbD9ZTVXMQ/edit#gid=1251630045"",""articles_with_PRISMA_reasons!C2:C2113""), $A869=IMPORTRANGE(""https://docs.google.com/spreadsheets/d/1BJSV3WBYJGRhQ6zExamkszQ5"&amp;"VutGIcaQqmbD9ZTVXMQ/edit#gid=1251630045"",""articles_with_PRISMA_reasons!B2:B2113""))"),2020.0)</f>
        <v>2020</v>
      </c>
      <c r="D869" s="5" t="str">
        <f>IFERROR(__xludf.DUMMYFUNCTION("IFS(AND(
FILTER(IMPORTRANGE(""https://docs.google.com/spreadsheets/d/1BJSV3WBYJGRhQ6zExamkszQ5VutGIcaQqmbD9ZTVXMQ/edit#gid=1251630045"",""articles_with_PRISMA_reasons!Y2:Y2113""), $A869=IMPORTRANGE(""https://docs.google.com/spreadsheets/d/1BJSV3WBYJGRhQ6z"&amp;"ExamkszQ5VutGIcaQqmbD9ZTVXMQ/edit#gid=1251630045"",""articles_with_PRISMA_reasons!B2:B2113""))&gt;=2,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$A869=IMPORTRANGE(""https://docs.google.com/spreadsheets/d/1BJSV3WBYJGRhQ6zExamkszQ5VutGIcaQqmbD9ZTVXMQ/edit#gid=1251630045"",""articles_with_PRISMA_reasons!B2:B2113""))&lt;2),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$A869=IMPORTRANGE(""https://docs.google.com/spreadsheets/d/1BJSV3WBYJGRhQ6zExamkszQ5VutGIcaQqmbD9ZTVXMQ/edit#gid=1251630045"",""arti"&amp;"cles_with_PRISMA_reasons!B2:B2113""))&lt;2,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$A869=IMPORTRANGE(""https://docs.google.com"&amp;"/spreadsheets/d/1BJSV3WBYJGRhQ6zExamkszQ5VutGIcaQqmbD9ZTVXMQ/edit#gid=1251630045"",""articles_with_PRISMA_reasons!B2:B2113""))&gt;=2),
""Exclude""
)"),"Exclude")</f>
        <v>Exclude</v>
      </c>
      <c r="E869" s="5" t="str">
        <f>IFERROR(__xludf.DUMMYFUNCTION("IFS(
D869=""Exclude"",""Exclude"",
AND(
FILTER(IMPORTRANGE(""https://docs.google.com/spreadsheets/d/1qpEmbGH0JjaJbUdp21-y2cPbobDbMjr09BbtdKROZWc/edit#gid=1444865654"",""articles_with_PRISMA_reasons!W2:W2113""), $A869=IMPORTRANGE(""https://docs.google.com/"&amp;"spreadsheets/d/1qpEmbGH0JjaJbUdp21-y2cPbobDbMjr09BbtdKROZWc/edit#gid=1444865654"",""articles_with_PRISMA_reasons!B2:B2113""))&gt;=2,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$A869=IMPORTRANGE(""https://docs.google.com/spreadsheets/d/1qpEmbGH0JjaJbUdp21-y2cPbobDbMjr09BbtdKROZWc/edit#gid=1444865654"",""articles_with_PRISMA_reasons!B2:B2113""))&lt;2),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$A869=IMPORTRANGE(""https://docs.google.com/spreadsheets/d/1qpEmbGH0JjaJbUdp21-y2cPbobDbMjr09BbtdKRO"&amp;"ZWc/edit#gid=1444865654"",""articles_with_PRISMA_reasons!B2:B2113""))&lt;2,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$A869=IMPOR"&amp;"TRANGE(""https://docs.google.com/spreadsheets/d/1qpEmbGH0JjaJbUdp21-y2cPbobDbMjr09BbtdKROZWc/edit#gid=1444865654"",""articles_with_PRISMA_reasons!B2:B2113""))&gt;=2),
""Exclude""
)"),"Exclude")</f>
        <v>Exclude</v>
      </c>
      <c r="F869" s="5" t="str">
        <f>IFERROR(__xludf.DUMMYFUNCTION("IFS(
E869=""Exclude"",""Exclude"",
AND(
COUNTIF(
IMPORTRANGE(""https://docs.google.com/spreadsheets/d/1kGrh75X1cNR1D7_FcY9zMnHP8iPO4M5RCRjy6nZY0TY/edit#gid=0"",""Table 1: Study characteristics!B4:B171""),A869)&gt;0,
COUNTIF(Studies!$A$2:$A$85,FILTER(IMPORTRA"&amp;"NGE(""https://docs.google.com/spreadsheets/d/1kGrh75X1cNR1D7_FcY9zMnHP8iPO4M5RCRjy6nZY0TY/edit#gid=0"",""Table 1: Study characteristics!A4:A171""), $A869=IMPORTRANGE(""https://docs.google.com/spreadsheets/d/1kGrh75X1cNR1D7_FcY9zMnHP8iPO4M5RCRjy6nZY0TY/edi"&amp;"t#gid=0"",""Table 1: Study characteristics!B4:B171"")))&gt;0
),
""Include""
)"),"Exclude")</f>
        <v>Exclude</v>
      </c>
      <c r="G869" s="5" t="str">
        <f>IFERROR(__xludf.DUMMYFUNCTION("IFS(
D869=""Exclude"",
FILTER(IMPORTRANGE(""https://docs.google.com/spreadsheets/d/1BJSV3WBYJGRhQ6zExamkszQ5VutGIcaQqmbD9ZTVXMQ/edit#gid=1251630045"",""articles_with_PRISMA_reasons!AB2:AB2113""), $A869=IMPORTRANGE(""https://docs.google.com/spreadsheets/d/"&amp;"1BJSV3WBYJGRhQ6zExamkszQ5VutGIcaQqmbD9ZTVXMQ/edit#gid=1251630045"",""articles_with_PRISMA_reasons!B2:B2113"")),
E869=""Exclude"",
FILTER(IMPORTRANGE(""https://docs.google.com/spreadsheets/d/1qpEmbGH0JjaJbUdp21-y2cPbobDbMjr09BbtdKROZWc/edit#gid=1444865654"&amp;""",""articles_with_PRISMA_reasons!Z2:Z2113""), $A869=IMPORTRANGE(""https://docs.google.com/spreadsheets/d/1qpEmbGH0JjaJbUdp21-y2cPbobDbMjr09BbtdKROZWc/edit#gid=1444865654"",""articles_with_PRISMA_reasons!B2:B2113"")),F869
=""Include"",FILTER(IMPORTRANGE("&amp;"""https://docs.google.com/spreadsheets/d/1kGrh75X1cNR1D7_FcY9zMnHP8iPO4M5RCRjy6nZY0TY/edit#gid=0"",""Table 1: Study characteristics!A4:A171""), $A869=IMPORTRANGE(""https://docs.google.com/spreadsheets/d/1kGrh75X1cNR1D7_FcY9zMnHP8iPO4M5RCRjy6nZY0TY/edit#gi"&amp;"d=0"",""Table 1: Study characteristics!B4:B171""))
)"),"wrong population")</f>
        <v>wrong population</v>
      </c>
    </row>
    <row r="870">
      <c r="A870" s="4" t="str">
        <f>IFERROR(__xludf.DUMMYFUNCTION("""COMPUTED_VALUE"""),"Functioning of the corpus callosum in children with early hydrocephalus")</f>
        <v>Functioning of the corpus callosum in children with early hydrocephalus</v>
      </c>
      <c r="B870" s="5" t="str">
        <f>IFERROR(__xludf.DUMMYFUNCTION("LEFT(FILTER(IMPORTRANGE(""https://docs.google.com/spreadsheets/d/1BJSV3WBYJGRhQ6zExamkszQ5VutGIcaQqmbD9ZTVXMQ/edit#gid=1251630045"",""articles_with_PRISMA_reasons!K2:K2113""), $A870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$A870=IMPORTRANGE(""https://docs.google.com/spreadsheets/d/1BJSV3WBYJGRhQ6zExamkszQ5VutGIcaQqmbD9ZTVXMQ/edit#gid=1251630045"",""articles_with_PRISMA_reasons!B2:B2113"")))-1)"),"Hannay")</f>
        <v>Hannay</v>
      </c>
      <c r="C870" s="6">
        <f>IFERROR(__xludf.DUMMYFUNCTION("FILTER(IMPORTRANGE(""https://docs.google.com/spreadsheets/d/1BJSV3WBYJGRhQ6zExamkszQ5VutGIcaQqmbD9ZTVXMQ/edit#gid=1251630045"",""articles_with_PRISMA_reasons!C2:C2113""), $A870=IMPORTRANGE(""https://docs.google.com/spreadsheets/d/1BJSV3WBYJGRhQ6zExamkszQ5"&amp;"VutGIcaQqmbD9ZTVXMQ/edit#gid=1251630045"",""articles_with_PRISMA_reasons!B2:B2113""))"),2000.0)</f>
        <v>2000</v>
      </c>
      <c r="D870" s="5" t="str">
        <f>IFERROR(__xludf.DUMMYFUNCTION("IFS(AND(
FILTER(IMPORTRANGE(""https://docs.google.com/spreadsheets/d/1BJSV3WBYJGRhQ6zExamkszQ5VutGIcaQqmbD9ZTVXMQ/edit#gid=1251630045"",""articles_with_PRISMA_reasons!Y2:Y2113""), $A870=IMPORTRANGE(""https://docs.google.com/spreadsheets/d/1BJSV3WBYJGRhQ6z"&amp;"ExamkszQ5VutGIcaQqmbD9ZTVXMQ/edit#gid=1251630045"",""articles_with_PRISMA_reasons!B2:B2113""))&gt;=2,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$A870=IMPORTRANGE(""https://docs.google.com/spreadsheets/d/1BJSV3WBYJGRhQ6zExamkszQ5VutGIcaQqmbD9ZTVXMQ/edit#gid=1251630045"",""articles_with_PRISMA_reasons!B2:B2113""))&lt;2),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$A870=IMPORTRANGE(""https://docs.google.com/spreadsheets/d/1BJSV3WBYJGRhQ6zExamkszQ5VutGIcaQqmbD9ZTVXMQ/edit#gid=1251630045"",""arti"&amp;"cles_with_PRISMA_reasons!B2:B2113""))&lt;2,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$A870=IMPORTRANGE(""https://docs.google.com"&amp;"/spreadsheets/d/1BJSV3WBYJGRhQ6zExamkszQ5VutGIcaQqmbD9ZTVXMQ/edit#gid=1251630045"",""articles_with_PRISMA_reasons!B2:B2113""))&gt;=2),
""Exclude""
)"),"Exclude")</f>
        <v>Exclude</v>
      </c>
      <c r="E870" s="5" t="str">
        <f>IFERROR(__xludf.DUMMYFUNCTION("IFS(
D870=""Exclude"",""Exclude"",
AND(
FILTER(IMPORTRANGE(""https://docs.google.com/spreadsheets/d/1qpEmbGH0JjaJbUdp21-y2cPbobDbMjr09BbtdKROZWc/edit#gid=1444865654"",""articles_with_PRISMA_reasons!W2:W2113""), $A870=IMPORTRANGE(""https://docs.google.com/"&amp;"spreadsheets/d/1qpEmbGH0JjaJbUdp21-y2cPbobDbMjr09BbtdKROZWc/edit#gid=1444865654"",""articles_with_PRISMA_reasons!B2:B2113""))&gt;=2,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$A870=IMPORTRANGE(""https://docs.google.com/spreadsheets/d/1qpEmbGH0JjaJbUdp21-y2cPbobDbMjr09BbtdKROZWc/edit#gid=1444865654"",""articles_with_PRISMA_reasons!B2:B2113""))&lt;2),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$A870=IMPORTRANGE(""https://docs.google.com/spreadsheets/d/1qpEmbGH0JjaJbUdp21-y2cPbobDbMjr09BbtdKRO"&amp;"ZWc/edit#gid=1444865654"",""articles_with_PRISMA_reasons!B2:B2113""))&lt;2,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$A870=IMPOR"&amp;"TRANGE(""https://docs.google.com/spreadsheets/d/1qpEmbGH0JjaJbUdp21-y2cPbobDbMjr09BbtdKROZWc/edit#gid=1444865654"",""articles_with_PRISMA_reasons!B2:B2113""))&gt;=2),
""Exclude""
)"),"Exclude")</f>
        <v>Exclude</v>
      </c>
      <c r="F870" s="5" t="str">
        <f>IFERROR(__xludf.DUMMYFUNCTION("IFS(
E870=""Exclude"",""Exclude"",
AND(
COUNTIF(
IMPORTRANGE(""https://docs.google.com/spreadsheets/d/1kGrh75X1cNR1D7_FcY9zMnHP8iPO4M5RCRjy6nZY0TY/edit#gid=0"",""Table 1: Study characteristics!B4:B171""),A870)&gt;0,
COUNTIF(Studies!$A$2:$A$85,FILTER(IMPORTRA"&amp;"NGE(""https://docs.google.com/spreadsheets/d/1kGrh75X1cNR1D7_FcY9zMnHP8iPO4M5RCRjy6nZY0TY/edit#gid=0"",""Table 1: Study characteristics!A4:A171""), $A870=IMPORTRANGE(""https://docs.google.com/spreadsheets/d/1kGrh75X1cNR1D7_FcY9zMnHP8iPO4M5RCRjy6nZY0TY/edi"&amp;"t#gid=0"",""Table 1: Study characteristics!B4:B171"")))&gt;0
),
""Include""
)"),"Exclude")</f>
        <v>Exclude</v>
      </c>
      <c r="G870" s="5" t="str">
        <f>IFERROR(__xludf.DUMMYFUNCTION("IFS(
D870=""Exclude"",
FILTER(IMPORTRANGE(""https://docs.google.com/spreadsheets/d/1BJSV3WBYJGRhQ6zExamkszQ5VutGIcaQqmbD9ZTVXMQ/edit#gid=1251630045"",""articles_with_PRISMA_reasons!AB2:AB2113""), $A870=IMPORTRANGE(""https://docs.google.com/spreadsheets/d/"&amp;"1BJSV3WBYJGRhQ6zExamkszQ5VutGIcaQqmbD9ZTVXMQ/edit#gid=1251630045"",""articles_with_PRISMA_reasons!B2:B2113"")),
E870=""Exclude"",
FILTER(IMPORTRANGE(""https://docs.google.com/spreadsheets/d/1qpEmbGH0JjaJbUdp21-y2cPbobDbMjr09BbtdKROZWc/edit#gid=1444865654"&amp;""",""articles_with_PRISMA_reasons!Z2:Z2113""), $A870=IMPORTRANGE(""https://docs.google.com/spreadsheets/d/1qpEmbGH0JjaJbUdp21-y2cPbobDbMjr09BbtdKROZWc/edit#gid=1444865654"",""articles_with_PRISMA_reasons!B2:B2113"")),F870
=""Include"",FILTER(IMPORTRANGE("&amp;"""https://docs.google.com/spreadsheets/d/1kGrh75X1cNR1D7_FcY9zMnHP8iPO4M5RCRjy6nZY0TY/edit#gid=0"",""Table 1: Study characteristics!A4:A171""), $A870=IMPORTRANGE(""https://docs.google.com/spreadsheets/d/1kGrh75X1cNR1D7_FcY9zMnHP8iPO4M5RCRjy6nZY0TY/edit#gi"&amp;"d=0"",""Table 1: Study characteristics!B4:B171""))
)"),"wrong study design")</f>
        <v>wrong study design</v>
      </c>
    </row>
    <row r="871">
      <c r="A871" s="4" t="str">
        <f>IFERROR(__xludf.DUMMYFUNCTION("""COMPUTED_VALUE"""),"Fusion of the cerebellar hemispheres ventral to the brainstem: A rare hindbrain-related malformation")</f>
        <v>Fusion of the cerebellar hemispheres ventral to the brainstem: A rare hindbrain-related malformation</v>
      </c>
      <c r="B871" s="5" t="str">
        <f>IFERROR(__xludf.DUMMYFUNCTION("LEFT(FILTER(IMPORTRANGE(""https://docs.google.com/spreadsheets/d/1BJSV3WBYJGRhQ6zExamkszQ5VutGIcaQqmbD9ZTVXMQ/edit#gid=1251630045"",""articles_with_PRISMA_reasons!K2:K2113""), $A871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$A871=IMPORTRANGE(""https://docs.google.com/spreadsheets/d/1BJSV3WBYJGRhQ6zExamkszQ5VutGIcaQqmbD9ZTVXMQ/edit#gid=1251630045"",""articles_with_PRISMA_reasons!B2:B2113"")))-1)"),"S and alcioglu")</f>
        <v>S and alcioglu</v>
      </c>
      <c r="C871" s="6">
        <f>IFERROR(__xludf.DUMMYFUNCTION("FILTER(IMPORTRANGE(""https://docs.google.com/spreadsheets/d/1BJSV3WBYJGRhQ6zExamkszQ5VutGIcaQqmbD9ZTVXMQ/edit#gid=1251630045"",""articles_with_PRISMA_reasons!C2:C2113""), $A871=IMPORTRANGE(""https://docs.google.com/spreadsheets/d/1BJSV3WBYJGRhQ6zExamkszQ5"&amp;"VutGIcaQqmbD9ZTVXMQ/edit#gid=1251630045"",""articles_with_PRISMA_reasons!B2:B2113""))"),2006.0)</f>
        <v>2006</v>
      </c>
      <c r="D871" s="5" t="str">
        <f>IFERROR(__xludf.DUMMYFUNCTION("IFS(AND(
FILTER(IMPORTRANGE(""https://docs.google.com/spreadsheets/d/1BJSV3WBYJGRhQ6zExamkszQ5VutGIcaQqmbD9ZTVXMQ/edit#gid=1251630045"",""articles_with_PRISMA_reasons!Y2:Y2113""), $A871=IMPORTRANGE(""https://docs.google.com/spreadsheets/d/1BJSV3WBYJGRhQ6z"&amp;"ExamkszQ5VutGIcaQqmbD9ZTVXMQ/edit#gid=1251630045"",""articles_with_PRISMA_reasons!B2:B2113""))&gt;=2,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$A871=IMPORTRANGE(""https://docs.google.com/spreadsheets/d/1BJSV3WBYJGRhQ6zExamkszQ5VutGIcaQqmbD9ZTVXMQ/edit#gid=1251630045"",""articles_with_PRISMA_reasons!B2:B2113""))&lt;2),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$A871=IMPORTRANGE(""https://docs.google.com/spreadsheets/d/1BJSV3WBYJGRhQ6zExamkszQ5VutGIcaQqmbD9ZTVXMQ/edit#gid=1251630045"",""arti"&amp;"cles_with_PRISMA_reasons!B2:B2113""))&lt;2,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$A871=IMPORTRANGE(""https://docs.google.com"&amp;"/spreadsheets/d/1BJSV3WBYJGRhQ6zExamkszQ5VutGIcaQqmbD9ZTVXMQ/edit#gid=1251630045"",""articles_with_PRISMA_reasons!B2:B2113""))&gt;=2),
""Exclude""
)"),"Exclude")</f>
        <v>Exclude</v>
      </c>
      <c r="E871" s="5" t="str">
        <f>IFERROR(__xludf.DUMMYFUNCTION("IFS(
D871=""Exclude"",""Exclude"",
AND(
FILTER(IMPORTRANGE(""https://docs.google.com/spreadsheets/d/1qpEmbGH0JjaJbUdp21-y2cPbobDbMjr09BbtdKROZWc/edit#gid=1444865654"",""articles_with_PRISMA_reasons!W2:W2113""), $A871=IMPORTRANGE(""https://docs.google.com/"&amp;"spreadsheets/d/1qpEmbGH0JjaJbUdp21-y2cPbobDbMjr09BbtdKROZWc/edit#gid=1444865654"",""articles_with_PRISMA_reasons!B2:B2113""))&gt;=2,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$A871=IMPORTRANGE(""https://docs.google.com/spreadsheets/d/1qpEmbGH0JjaJbUdp21-y2cPbobDbMjr09BbtdKROZWc/edit#gid=1444865654"",""articles_with_PRISMA_reasons!B2:B2113""))&lt;2),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$A871=IMPORTRANGE(""https://docs.google.com/spreadsheets/d/1qpEmbGH0JjaJbUdp21-y2cPbobDbMjr09BbtdKRO"&amp;"ZWc/edit#gid=1444865654"",""articles_with_PRISMA_reasons!B2:B2113""))&lt;2,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$A871=IMPOR"&amp;"TRANGE(""https://docs.google.com/spreadsheets/d/1qpEmbGH0JjaJbUdp21-y2cPbobDbMjr09BbtdKROZWc/edit#gid=1444865654"",""articles_with_PRISMA_reasons!B2:B2113""))&gt;=2),
""Exclude""
)"),"Exclude")</f>
        <v>Exclude</v>
      </c>
      <c r="F871" s="5" t="str">
        <f>IFERROR(__xludf.DUMMYFUNCTION("IFS(
E871=""Exclude"",""Exclude"",
AND(
COUNTIF(
IMPORTRANGE(""https://docs.google.com/spreadsheets/d/1kGrh75X1cNR1D7_FcY9zMnHP8iPO4M5RCRjy6nZY0TY/edit#gid=0"",""Table 1: Study characteristics!B4:B171""),A871)&gt;0,
COUNTIF(Studies!$A$2:$A$85,FILTER(IMPORTRA"&amp;"NGE(""https://docs.google.com/spreadsheets/d/1kGrh75X1cNR1D7_FcY9zMnHP8iPO4M5RCRjy6nZY0TY/edit#gid=0"",""Table 1: Study characteristics!A4:A171""), $A871=IMPORTRANGE(""https://docs.google.com/spreadsheets/d/1kGrh75X1cNR1D7_FcY9zMnHP8iPO4M5RCRjy6nZY0TY/edi"&amp;"t#gid=0"",""Table 1: Study characteristics!B4:B171"")))&gt;0
),
""Include""
)"),"Exclude")</f>
        <v>Exclude</v>
      </c>
      <c r="G871" s="5" t="str">
        <f>IFERROR(__xludf.DUMMYFUNCTION("IFS(
D871=""Exclude"",
FILTER(IMPORTRANGE(""https://docs.google.com/spreadsheets/d/1BJSV3WBYJGRhQ6zExamkszQ5VutGIcaQqmbD9ZTVXMQ/edit#gid=1251630045"",""articles_with_PRISMA_reasons!AB2:AB2113""), $A871=IMPORTRANGE(""https://docs.google.com/spreadsheets/d/"&amp;"1BJSV3WBYJGRhQ6zExamkszQ5VutGIcaQqmbD9ZTVXMQ/edit#gid=1251630045"",""articles_with_PRISMA_reasons!B2:B2113"")),
E871=""Exclude"",
FILTER(IMPORTRANGE(""https://docs.google.com/spreadsheets/d/1qpEmbGH0JjaJbUdp21-y2cPbobDbMjr09BbtdKROZWc/edit#gid=1444865654"&amp;""",""articles_with_PRISMA_reasons!Z2:Z2113""), $A871=IMPORTRANGE(""https://docs.google.com/spreadsheets/d/1qpEmbGH0JjaJbUdp21-y2cPbobDbMjr09BbtdKROZWc/edit#gid=1444865654"",""articles_with_PRISMA_reasons!B2:B2113"")),F871
=""Include"",FILTER(IMPORTRANGE("&amp;"""https://docs.google.com/spreadsheets/d/1kGrh75X1cNR1D7_FcY9zMnHP8iPO4M5RCRjy6nZY0TY/edit#gid=0"",""Table 1: Study characteristics!A4:A171""), $A871=IMPORTRANGE(""https://docs.google.com/spreadsheets/d/1kGrh75X1cNR1D7_FcY9zMnHP8iPO4M5RCRjy6nZY0TY/edit#gi"&amp;"d=0"",""Table 1: Study characteristics!B4:B171""))
)"),"wrong publication type")</f>
        <v>wrong publication type</v>
      </c>
    </row>
    <row r="872">
      <c r="A872" s="4" t="str">
        <f>IFERROR(__xludf.DUMMYFUNCTION("""COMPUTED_VALUE"""),"G6PD Deficiency with Arnold-Chiari Malformation")</f>
        <v>G6PD Deficiency with Arnold-Chiari Malformation</v>
      </c>
      <c r="B872" s="5" t="str">
        <f>IFERROR(__xludf.DUMMYFUNCTION("LEFT(FILTER(IMPORTRANGE(""https://docs.google.com/spreadsheets/d/1BJSV3WBYJGRhQ6zExamkszQ5VutGIcaQqmbD9ZTVXMQ/edit#gid=1251630045"",""articles_with_PRISMA_reasons!K2:K2113""), $A872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$A872=IMPORTRANGE(""https://docs.google.com/spreadsheets/d/1BJSV3WBYJGRhQ6zExamkszQ5VutGIcaQqmbD9ZTVXMQ/edit#gid=1251630045"",""articles_with_PRISMA_reasons!B2:B2113"")))-1)"),"Verma")</f>
        <v>Verma</v>
      </c>
      <c r="C872" s="6">
        <f>IFERROR(__xludf.DUMMYFUNCTION("FILTER(IMPORTRANGE(""https://docs.google.com/spreadsheets/d/1BJSV3WBYJGRhQ6zExamkszQ5VutGIcaQqmbD9ZTVXMQ/edit#gid=1251630045"",""articles_with_PRISMA_reasons!C2:C2113""), $A872=IMPORTRANGE(""https://docs.google.com/spreadsheets/d/1BJSV3WBYJGRhQ6zExamkszQ5"&amp;"VutGIcaQqmbD9ZTVXMQ/edit#gid=1251630045"",""articles_with_PRISMA_reasons!B2:B2113""))"),2016.0)</f>
        <v>2016</v>
      </c>
      <c r="D872" s="5" t="str">
        <f>IFERROR(__xludf.DUMMYFUNCTION("IFS(AND(
FILTER(IMPORTRANGE(""https://docs.google.com/spreadsheets/d/1BJSV3WBYJGRhQ6zExamkszQ5VutGIcaQqmbD9ZTVXMQ/edit#gid=1251630045"",""articles_with_PRISMA_reasons!Y2:Y2113""), $A872=IMPORTRANGE(""https://docs.google.com/spreadsheets/d/1BJSV3WBYJGRhQ6z"&amp;"ExamkszQ5VutGIcaQqmbD9ZTVXMQ/edit#gid=1251630045"",""articles_with_PRISMA_reasons!B2:B2113""))&gt;=2,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$A872=IMPORTRANGE(""https://docs.google.com/spreadsheets/d/1BJSV3WBYJGRhQ6zExamkszQ5VutGIcaQqmbD9ZTVXMQ/edit#gid=1251630045"",""articles_with_PRISMA_reasons!B2:B2113""))&lt;2),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$A872=IMPORTRANGE(""https://docs.google.com/spreadsheets/d/1BJSV3WBYJGRhQ6zExamkszQ5VutGIcaQqmbD9ZTVXMQ/edit#gid=1251630045"",""arti"&amp;"cles_with_PRISMA_reasons!B2:B2113""))&lt;2,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$A872=IMPORTRANGE(""https://docs.google.com"&amp;"/spreadsheets/d/1BJSV3WBYJGRhQ6zExamkszQ5VutGIcaQqmbD9ZTVXMQ/edit#gid=1251630045"",""articles_with_PRISMA_reasons!B2:B2113""))&gt;=2),
""Exclude""
)"),"Exclude")</f>
        <v>Exclude</v>
      </c>
      <c r="E872" s="5" t="str">
        <f>IFERROR(__xludf.DUMMYFUNCTION("IFS(
D872=""Exclude"",""Exclude"",
AND(
FILTER(IMPORTRANGE(""https://docs.google.com/spreadsheets/d/1qpEmbGH0JjaJbUdp21-y2cPbobDbMjr09BbtdKROZWc/edit#gid=1444865654"",""articles_with_PRISMA_reasons!W2:W2113""), $A872=IMPORTRANGE(""https://docs.google.com/"&amp;"spreadsheets/d/1qpEmbGH0JjaJbUdp21-y2cPbobDbMjr09BbtdKROZWc/edit#gid=1444865654"",""articles_with_PRISMA_reasons!B2:B2113""))&gt;=2,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$A872=IMPORTRANGE(""https://docs.google.com/spreadsheets/d/1qpEmbGH0JjaJbUdp21-y2cPbobDbMjr09BbtdKROZWc/edit#gid=1444865654"",""articles_with_PRISMA_reasons!B2:B2113""))&lt;2),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$A872=IMPORTRANGE(""https://docs.google.com/spreadsheets/d/1qpEmbGH0JjaJbUdp21-y2cPbobDbMjr09BbtdKRO"&amp;"ZWc/edit#gid=1444865654"",""articles_with_PRISMA_reasons!B2:B2113""))&lt;2,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$A872=IMPOR"&amp;"TRANGE(""https://docs.google.com/spreadsheets/d/1qpEmbGH0JjaJbUdp21-y2cPbobDbMjr09BbtdKROZWc/edit#gid=1444865654"",""articles_with_PRISMA_reasons!B2:B2113""))&gt;=2),
""Exclude""
)"),"Exclude")</f>
        <v>Exclude</v>
      </c>
      <c r="F872" s="5" t="str">
        <f>IFERROR(__xludf.DUMMYFUNCTION("IFS(
E872=""Exclude"",""Exclude"",
AND(
COUNTIF(
IMPORTRANGE(""https://docs.google.com/spreadsheets/d/1kGrh75X1cNR1D7_FcY9zMnHP8iPO4M5RCRjy6nZY0TY/edit#gid=0"",""Table 1: Study characteristics!B4:B171""),A872)&gt;0,
COUNTIF(Studies!$A$2:$A$85,FILTER(IMPORTRA"&amp;"NGE(""https://docs.google.com/spreadsheets/d/1kGrh75X1cNR1D7_FcY9zMnHP8iPO4M5RCRjy6nZY0TY/edit#gid=0"",""Table 1: Study characteristics!A4:A171""), $A872=IMPORTRANGE(""https://docs.google.com/spreadsheets/d/1kGrh75X1cNR1D7_FcY9zMnHP8iPO4M5RCRjy6nZY0TY/edi"&amp;"t#gid=0"",""Table 1: Study characteristics!B4:B171"")))&gt;0
),
""Include""
)"),"Exclude")</f>
        <v>Exclude</v>
      </c>
      <c r="G872" s="5" t="str">
        <f>IFERROR(__xludf.DUMMYFUNCTION("IFS(
D872=""Exclude"",
FILTER(IMPORTRANGE(""https://docs.google.com/spreadsheets/d/1BJSV3WBYJGRhQ6zExamkszQ5VutGIcaQqmbD9ZTVXMQ/edit#gid=1251630045"",""articles_with_PRISMA_reasons!AB2:AB2113""), $A872=IMPORTRANGE(""https://docs.google.com/spreadsheets/d/"&amp;"1BJSV3WBYJGRhQ6zExamkszQ5VutGIcaQqmbD9ZTVXMQ/edit#gid=1251630045"",""articles_with_PRISMA_reasons!B2:B2113"")),
E872=""Exclude"",
FILTER(IMPORTRANGE(""https://docs.google.com/spreadsheets/d/1qpEmbGH0JjaJbUdp21-y2cPbobDbMjr09BbtdKROZWc/edit#gid=1444865654"&amp;""",""articles_with_PRISMA_reasons!Z2:Z2113""), $A872=IMPORTRANGE(""https://docs.google.com/spreadsheets/d/1qpEmbGH0JjaJbUdp21-y2cPbobDbMjr09BbtdKROZWc/edit#gid=1444865654"",""articles_with_PRISMA_reasons!B2:B2113"")),F872
=""Include"",FILTER(IMPORTRANGE("&amp;"""https://docs.google.com/spreadsheets/d/1kGrh75X1cNR1D7_FcY9zMnHP8iPO4M5RCRjy6nZY0TY/edit#gid=0"",""Table 1: Study characteristics!A4:A171""), $A872=IMPORTRANGE(""https://docs.google.com/spreadsheets/d/1kGrh75X1cNR1D7_FcY9zMnHP8iPO4M5RCRjy6nZY0TY/edit#gi"&amp;"d=0"",""Table 1: Study characteristics!B4:B171""))
)"),"wrong study design")</f>
        <v>wrong study design</v>
      </c>
    </row>
    <row r="873">
      <c r="A873" s="4" t="str">
        <f>IFERROR(__xludf.DUMMYFUNCTION("""COMPUTED_VALUE"""),"Gait Function in Adults Aged 50 Years and Older With Spina Bifida")</f>
        <v>Gait Function in Adults Aged 50 Years and Older With Spina Bifida</v>
      </c>
      <c r="B873" s="5" t="str">
        <f>IFERROR(__xludf.DUMMYFUNCTION("LEFT(FILTER(IMPORTRANGE(""https://docs.google.com/spreadsheets/d/1BJSV3WBYJGRhQ6zExamkszQ5VutGIcaQqmbD9ZTVXMQ/edit#gid=1251630045"",""articles_with_PRISMA_reasons!K2:K2113""), $A873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$A873=IMPORTRANGE(""https://docs.google.com/spreadsheets/d/1BJSV3WBYJGRhQ6zExamkszQ5VutGIcaQqmbD9ZTVXMQ/edit#gid=1251630045"",""articles_with_PRISMA_reasons!B2:B2113"")))-1)"),"Lundberg Larsen")</f>
        <v>Lundberg Larsen</v>
      </c>
      <c r="C873" s="6">
        <f>IFERROR(__xludf.DUMMYFUNCTION("FILTER(IMPORTRANGE(""https://docs.google.com/spreadsheets/d/1BJSV3WBYJGRhQ6zExamkszQ5VutGIcaQqmbD9ZTVXMQ/edit#gid=1251630045"",""articles_with_PRISMA_reasons!C2:C2113""), $A873=IMPORTRANGE(""https://docs.google.com/spreadsheets/d/1BJSV3WBYJGRhQ6zExamkszQ5"&amp;"VutGIcaQqmbD9ZTVXMQ/edit#gid=1251630045"",""articles_with_PRISMA_reasons!B2:B2113""))"),2021.0)</f>
        <v>2021</v>
      </c>
      <c r="D873" s="5" t="str">
        <f>IFERROR(__xludf.DUMMYFUNCTION("IFS(AND(
FILTER(IMPORTRANGE(""https://docs.google.com/spreadsheets/d/1BJSV3WBYJGRhQ6zExamkszQ5VutGIcaQqmbD9ZTVXMQ/edit#gid=1251630045"",""articles_with_PRISMA_reasons!Y2:Y2113""), $A873=IMPORTRANGE(""https://docs.google.com/spreadsheets/d/1BJSV3WBYJGRhQ6z"&amp;"ExamkszQ5VutGIcaQqmbD9ZTVXMQ/edit#gid=1251630045"",""articles_with_PRISMA_reasons!B2:B2113""))&gt;=2,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$A873=IMPORTRANGE(""https://docs.google.com/spreadsheets/d/1BJSV3WBYJGRhQ6zExamkszQ5VutGIcaQqmbD9ZTVXMQ/edit#gid=1251630045"",""articles_with_PRISMA_reasons!B2:B2113""))&lt;2),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$A873=IMPORTRANGE(""https://docs.google.com/spreadsheets/d/1BJSV3WBYJGRhQ6zExamkszQ5VutGIcaQqmbD9ZTVXMQ/edit#gid=1251630045"",""arti"&amp;"cles_with_PRISMA_reasons!B2:B2113""))&lt;2,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$A873=IMPORTRANGE(""https://docs.google.com"&amp;"/spreadsheets/d/1BJSV3WBYJGRhQ6zExamkszQ5VutGIcaQqmbD9ZTVXMQ/edit#gid=1251630045"",""articles_with_PRISMA_reasons!B2:B2113""))&gt;=2),
""Exclude""
)"),"Exclude")</f>
        <v>Exclude</v>
      </c>
      <c r="E873" s="5" t="str">
        <f>IFERROR(__xludf.DUMMYFUNCTION("IFS(
D873=""Exclude"",""Exclude"",
AND(
FILTER(IMPORTRANGE(""https://docs.google.com/spreadsheets/d/1qpEmbGH0JjaJbUdp21-y2cPbobDbMjr09BbtdKROZWc/edit#gid=1444865654"",""articles_with_PRISMA_reasons!W2:W2113""), $A873=IMPORTRANGE(""https://docs.google.com/"&amp;"spreadsheets/d/1qpEmbGH0JjaJbUdp21-y2cPbobDbMjr09BbtdKROZWc/edit#gid=1444865654"",""articles_with_PRISMA_reasons!B2:B2113""))&gt;=2,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$A873=IMPORTRANGE(""https://docs.google.com/spreadsheets/d/1qpEmbGH0JjaJbUdp21-y2cPbobDbMjr09BbtdKROZWc/edit#gid=1444865654"",""articles_with_PRISMA_reasons!B2:B2113""))&lt;2),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$A873=IMPORTRANGE(""https://docs.google.com/spreadsheets/d/1qpEmbGH0JjaJbUdp21-y2cPbobDbMjr09BbtdKRO"&amp;"ZWc/edit#gid=1444865654"",""articles_with_PRISMA_reasons!B2:B2113""))&lt;2,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$A873=IMPOR"&amp;"TRANGE(""https://docs.google.com/spreadsheets/d/1qpEmbGH0JjaJbUdp21-y2cPbobDbMjr09BbtdKROZWc/edit#gid=1444865654"",""articles_with_PRISMA_reasons!B2:B2113""))&gt;=2),
""Exclude""
)"),"Exclude")</f>
        <v>Exclude</v>
      </c>
      <c r="F873" s="5" t="str">
        <f>IFERROR(__xludf.DUMMYFUNCTION("IFS(
E873=""Exclude"",""Exclude"",
AND(
COUNTIF(
IMPORTRANGE(""https://docs.google.com/spreadsheets/d/1kGrh75X1cNR1D7_FcY9zMnHP8iPO4M5RCRjy6nZY0TY/edit#gid=0"",""Table 1: Study characteristics!B4:B171""),A873)&gt;0,
COUNTIF(Studies!$A$2:$A$85,FILTER(IMPORTRA"&amp;"NGE(""https://docs.google.com/spreadsheets/d/1kGrh75X1cNR1D7_FcY9zMnHP8iPO4M5RCRjy6nZY0TY/edit#gid=0"",""Table 1: Study characteristics!A4:A171""), $A873=IMPORTRANGE(""https://docs.google.com/spreadsheets/d/1kGrh75X1cNR1D7_FcY9zMnHP8iPO4M5RCRjy6nZY0TY/edi"&amp;"t#gid=0"",""Table 1: Study characteristics!B4:B171"")))&gt;0
),
""Include""
)"),"Exclude")</f>
        <v>Exclude</v>
      </c>
      <c r="G873" s="5" t="str">
        <f>IFERROR(__xludf.DUMMYFUNCTION("IFS(
D873=""Exclude"",
FILTER(IMPORTRANGE(""https://docs.google.com/spreadsheets/d/1BJSV3WBYJGRhQ6zExamkszQ5VutGIcaQqmbD9ZTVXMQ/edit#gid=1251630045"",""articles_with_PRISMA_reasons!AB2:AB2113""), $A873=IMPORTRANGE(""https://docs.google.com/spreadsheets/d/"&amp;"1BJSV3WBYJGRhQ6zExamkszQ5VutGIcaQqmbD9ZTVXMQ/edit#gid=1251630045"",""articles_with_PRISMA_reasons!B2:B2113"")),
E873=""Exclude"",
FILTER(IMPORTRANGE(""https://docs.google.com/spreadsheets/d/1qpEmbGH0JjaJbUdp21-y2cPbobDbMjr09BbtdKROZWc/edit#gid=1444865654"&amp;""",""articles_with_PRISMA_reasons!Z2:Z2113""), $A873=IMPORTRANGE(""https://docs.google.com/spreadsheets/d/1qpEmbGH0JjaJbUdp21-y2cPbobDbMjr09BbtdKROZWc/edit#gid=1444865654"",""articles_with_PRISMA_reasons!B2:B2113"")),F873
=""Include"",FILTER(IMPORTRANGE("&amp;"""https://docs.google.com/spreadsheets/d/1kGrh75X1cNR1D7_FcY9zMnHP8iPO4M5RCRjy6nZY0TY/edit#gid=0"",""Table 1: Study characteristics!A4:A171""), $A873=IMPORTRANGE(""https://docs.google.com/spreadsheets/d/1kGrh75X1cNR1D7_FcY9zMnHP8iPO4M5RCRjy6nZY0TY/edit#gi"&amp;"d=0"",""Table 1: Study characteristics!B4:B171""))
)"),"wrong population")</f>
        <v>wrong population</v>
      </c>
    </row>
    <row r="874">
      <c r="A874" s="4" t="str">
        <f>IFERROR(__xludf.DUMMYFUNCTION("""COMPUTED_VALUE"""),"Geographical variations in the mortality attributed to spina bifida and other congenital malformations")</f>
        <v>Geographical variations in the mortality attributed to spina bifida and other congenital malformations</v>
      </c>
      <c r="B874" s="5" t="str">
        <f>IFERROR(__xludf.DUMMYFUNCTION("LEFT(FILTER(IMPORTRANGE(""https://docs.google.com/spreadsheets/d/1BJSV3WBYJGRhQ6zExamkszQ5VutGIcaQqmbD9ZTVXMQ/edit#gid=1251630045"",""articles_with_PRISMA_reasons!K2:K2113""), $A874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$A874=IMPORTRANGE(""https://docs.google.com/spreadsheets/d/1BJSV3WBYJGRhQ6zExamkszQ5VutGIcaQqmbD9ZTVXMQ/edit#gid=1251630045"",""articles_with_PRISMA_reasons!B2:B2113"")))-1)"),"Hewitt")</f>
        <v>Hewitt</v>
      </c>
      <c r="C874" s="6">
        <f>IFERROR(__xludf.DUMMYFUNCTION("FILTER(IMPORTRANGE(""https://docs.google.com/spreadsheets/d/1BJSV3WBYJGRhQ6zExamkszQ5VutGIcaQqmbD9ZTVXMQ/edit#gid=1251630045"",""articles_with_PRISMA_reasons!C2:C2113""), $A874=IMPORTRANGE(""https://docs.google.com/spreadsheets/d/1BJSV3WBYJGRhQ6zExamkszQ5"&amp;"VutGIcaQqmbD9ZTVXMQ/edit#gid=1251630045"",""articles_with_PRISMA_reasons!B2:B2113""))"),1963.0)</f>
        <v>1963</v>
      </c>
      <c r="D874" s="5" t="str">
        <f>IFERROR(__xludf.DUMMYFUNCTION("IFS(AND(
FILTER(IMPORTRANGE(""https://docs.google.com/spreadsheets/d/1BJSV3WBYJGRhQ6zExamkszQ5VutGIcaQqmbD9ZTVXMQ/edit#gid=1251630045"",""articles_with_PRISMA_reasons!Y2:Y2113""), $A874=IMPORTRANGE(""https://docs.google.com/spreadsheets/d/1BJSV3WBYJGRhQ6z"&amp;"ExamkszQ5VutGIcaQqmbD9ZTVXMQ/edit#gid=1251630045"",""articles_with_PRISMA_reasons!B2:B2113""))&gt;=2,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$A874=IMPORTRANGE(""https://docs.google.com/spreadsheets/d/1BJSV3WBYJGRhQ6zExamkszQ5VutGIcaQqmbD9ZTVXMQ/edit#gid=1251630045"",""articles_with_PRISMA_reasons!B2:B2113""))&lt;2),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$A874=IMPORTRANGE(""https://docs.google.com/spreadsheets/d/1BJSV3WBYJGRhQ6zExamkszQ5VutGIcaQqmbD9ZTVXMQ/edit#gid=1251630045"",""arti"&amp;"cles_with_PRISMA_reasons!B2:B2113""))&lt;2,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$A874=IMPORTRANGE(""https://docs.google.com"&amp;"/spreadsheets/d/1BJSV3WBYJGRhQ6zExamkszQ5VutGIcaQqmbD9ZTVXMQ/edit#gid=1251630045"",""articles_with_PRISMA_reasons!B2:B2113""))&gt;=2),
""Exclude""
)"),"Exclude")</f>
        <v>Exclude</v>
      </c>
      <c r="E874" s="5" t="str">
        <f>IFERROR(__xludf.DUMMYFUNCTION("IFS(
D874=""Exclude"",""Exclude"",
AND(
FILTER(IMPORTRANGE(""https://docs.google.com/spreadsheets/d/1qpEmbGH0JjaJbUdp21-y2cPbobDbMjr09BbtdKROZWc/edit#gid=1444865654"",""articles_with_PRISMA_reasons!W2:W2113""), $A874=IMPORTRANGE(""https://docs.google.com/"&amp;"spreadsheets/d/1qpEmbGH0JjaJbUdp21-y2cPbobDbMjr09BbtdKROZWc/edit#gid=1444865654"",""articles_with_PRISMA_reasons!B2:B2113""))&gt;=2,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$A874=IMPORTRANGE(""https://docs.google.com/spreadsheets/d/1qpEmbGH0JjaJbUdp21-y2cPbobDbMjr09BbtdKROZWc/edit#gid=1444865654"",""articles_with_PRISMA_reasons!B2:B2113""))&lt;2),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$A874=IMPORTRANGE(""https://docs.google.com/spreadsheets/d/1qpEmbGH0JjaJbUdp21-y2cPbobDbMjr09BbtdKRO"&amp;"ZWc/edit#gid=1444865654"",""articles_with_PRISMA_reasons!B2:B2113""))&lt;2,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$A874=IMPOR"&amp;"TRANGE(""https://docs.google.com/spreadsheets/d/1qpEmbGH0JjaJbUdp21-y2cPbobDbMjr09BbtdKROZWc/edit#gid=1444865654"",""articles_with_PRISMA_reasons!B2:B2113""))&gt;=2),
""Exclude""
)"),"Exclude")</f>
        <v>Exclude</v>
      </c>
      <c r="F874" s="5" t="str">
        <f>IFERROR(__xludf.DUMMYFUNCTION("IFS(
E874=""Exclude"",""Exclude"",
AND(
COUNTIF(
IMPORTRANGE(""https://docs.google.com/spreadsheets/d/1kGrh75X1cNR1D7_FcY9zMnHP8iPO4M5RCRjy6nZY0TY/edit#gid=0"",""Table 1: Study characteristics!B4:B171""),A874)&gt;0,
COUNTIF(Studies!$A$2:$A$85,FILTER(IMPORTRA"&amp;"NGE(""https://docs.google.com/spreadsheets/d/1kGrh75X1cNR1D7_FcY9zMnHP8iPO4M5RCRjy6nZY0TY/edit#gid=0"",""Table 1: Study characteristics!A4:A171""), $A874=IMPORTRANGE(""https://docs.google.com/spreadsheets/d/1kGrh75X1cNR1D7_FcY9zMnHP8iPO4M5RCRjy6nZY0TY/edi"&amp;"t#gid=0"",""Table 1: Study characteristics!B4:B171"")))&gt;0
),
""Include""
)"),"Exclude")</f>
        <v>Exclude</v>
      </c>
      <c r="G874" s="5" t="str">
        <f>IFERROR(__xludf.DUMMYFUNCTION("IFS(
D874=""Exclude"",
FILTER(IMPORTRANGE(""https://docs.google.com/spreadsheets/d/1BJSV3WBYJGRhQ6zExamkszQ5VutGIcaQqmbD9ZTVXMQ/edit#gid=1251630045"",""articles_with_PRISMA_reasons!AB2:AB2113""), $A874=IMPORTRANGE(""https://docs.google.com/spreadsheets/d/"&amp;"1BJSV3WBYJGRhQ6zExamkszQ5VutGIcaQqmbD9ZTVXMQ/edit#gid=1251630045"",""articles_with_PRISMA_reasons!B2:B2113"")),
E874=""Exclude"",
FILTER(IMPORTRANGE(""https://docs.google.com/spreadsheets/d/1qpEmbGH0JjaJbUdp21-y2cPbobDbMjr09BbtdKROZWc/edit#gid=1444865654"&amp;""",""articles_with_PRISMA_reasons!Z2:Z2113""), $A874=IMPORTRANGE(""https://docs.google.com/spreadsheets/d/1qpEmbGH0JjaJbUdp21-y2cPbobDbMjr09BbtdKROZWc/edit#gid=1444865654"",""articles_with_PRISMA_reasons!B2:B2113"")),F874
=""Include"",FILTER(IMPORTRANGE("&amp;"""https://docs.google.com/spreadsheets/d/1kGrh75X1cNR1D7_FcY9zMnHP8iPO4M5RCRjy6nZY0TY/edit#gid=0"",""Table 1: Study characteristics!A4:A171""), $A874=IMPORTRANGE(""https://docs.google.com/spreadsheets/d/1kGrh75X1cNR1D7_FcY9zMnHP8iPO4M5RCRjy6nZY0TY/edit#gi"&amp;"d=0"",""Table 1: Study characteristics!B4:B171""))
)"),"wrong study design")</f>
        <v>wrong study design</v>
      </c>
    </row>
    <row r="875">
      <c r="A875" s="4" t="str">
        <f>IFERROR(__xludf.DUMMYFUNCTION("""COMPUTED_VALUE"""),"Getting earlier, smaller and regenerative: The next 10 years of in utero spina bifida repair")</f>
        <v>Getting earlier, smaller and regenerative: The next 10 years of in utero spina bifida repair</v>
      </c>
      <c r="B875" s="5" t="str">
        <f>IFERROR(__xludf.DUMMYFUNCTION("LEFT(FILTER(IMPORTRANGE(""https://docs.google.com/spreadsheets/d/1BJSV3WBYJGRhQ6zExamkszQ5VutGIcaQqmbD9ZTVXMQ/edit#gid=1251630045"",""articles_with_PRISMA_reasons!K2:K2113""), $A875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$A875=IMPORTRANGE(""https://docs.google.com/spreadsheets/d/1BJSV3WBYJGRhQ6zExamkszQ5VutGIcaQqmbD9ZTVXMQ/edit#gid=1251630045"",""articles_with_PRISMA_reasons!B2:B2113"")))-1)"),"Thompson")</f>
        <v>Thompson</v>
      </c>
      <c r="C875" s="6">
        <f>IFERROR(__xludf.DUMMYFUNCTION("FILTER(IMPORTRANGE(""https://docs.google.com/spreadsheets/d/1BJSV3WBYJGRhQ6zExamkszQ5VutGIcaQqmbD9ZTVXMQ/edit#gid=1251630045"",""articles_with_PRISMA_reasons!C2:C2113""), $A875=IMPORTRANGE(""https://docs.google.com/spreadsheets/d/1BJSV3WBYJGRhQ6zExamkszQ5"&amp;"VutGIcaQqmbD9ZTVXMQ/edit#gid=1251630045"",""articles_with_PRISMA_reasons!B2:B2113""))"),2021.0)</f>
        <v>2021</v>
      </c>
      <c r="D875" s="5" t="str">
        <f>IFERROR(__xludf.DUMMYFUNCTION("IFS(AND(
FILTER(IMPORTRANGE(""https://docs.google.com/spreadsheets/d/1BJSV3WBYJGRhQ6zExamkszQ5VutGIcaQqmbD9ZTVXMQ/edit#gid=1251630045"",""articles_with_PRISMA_reasons!Y2:Y2113""), $A875=IMPORTRANGE(""https://docs.google.com/spreadsheets/d/1BJSV3WBYJGRhQ6z"&amp;"ExamkszQ5VutGIcaQqmbD9ZTVXMQ/edit#gid=1251630045"",""articles_with_PRISMA_reasons!B2:B2113""))&gt;=2,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$A875=IMPORTRANGE(""https://docs.google.com/spreadsheets/d/1BJSV3WBYJGRhQ6zExamkszQ5VutGIcaQqmbD9ZTVXMQ/edit#gid=1251630045"",""articles_with_PRISMA_reasons!B2:B2113""))&lt;2),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$A875=IMPORTRANGE(""https://docs.google.com/spreadsheets/d/1BJSV3WBYJGRhQ6zExamkszQ5VutGIcaQqmbD9ZTVXMQ/edit#gid=1251630045"",""arti"&amp;"cles_with_PRISMA_reasons!B2:B2113""))&lt;2,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$A875=IMPORTRANGE(""https://docs.google.com"&amp;"/spreadsheets/d/1BJSV3WBYJGRhQ6zExamkszQ5VutGIcaQqmbD9ZTVXMQ/edit#gid=1251630045"",""articles_with_PRISMA_reasons!B2:B2113""))&gt;=2),
""Exclude""
)"),"Exclude")</f>
        <v>Exclude</v>
      </c>
      <c r="E875" s="5" t="str">
        <f>IFERROR(__xludf.DUMMYFUNCTION("IFS(
D875=""Exclude"",""Exclude"",
AND(
FILTER(IMPORTRANGE(""https://docs.google.com/spreadsheets/d/1qpEmbGH0JjaJbUdp21-y2cPbobDbMjr09BbtdKROZWc/edit#gid=1444865654"",""articles_with_PRISMA_reasons!W2:W2113""), $A875=IMPORTRANGE(""https://docs.google.com/"&amp;"spreadsheets/d/1qpEmbGH0JjaJbUdp21-y2cPbobDbMjr09BbtdKROZWc/edit#gid=1444865654"",""articles_with_PRISMA_reasons!B2:B2113""))&gt;=2,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$A875=IMPORTRANGE(""https://docs.google.com/spreadsheets/d/1qpEmbGH0JjaJbUdp21-y2cPbobDbMjr09BbtdKROZWc/edit#gid=1444865654"",""articles_with_PRISMA_reasons!B2:B2113""))&lt;2),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$A875=IMPORTRANGE(""https://docs.google.com/spreadsheets/d/1qpEmbGH0JjaJbUdp21-y2cPbobDbMjr09BbtdKRO"&amp;"ZWc/edit#gid=1444865654"",""articles_with_PRISMA_reasons!B2:B2113""))&lt;2,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$A875=IMPOR"&amp;"TRANGE(""https://docs.google.com/spreadsheets/d/1qpEmbGH0JjaJbUdp21-y2cPbobDbMjr09BbtdKROZWc/edit#gid=1444865654"",""articles_with_PRISMA_reasons!B2:B2113""))&gt;=2),
""Exclude""
)"),"Exclude")</f>
        <v>Exclude</v>
      </c>
      <c r="F875" s="5" t="str">
        <f>IFERROR(__xludf.DUMMYFUNCTION("IFS(
E875=""Exclude"",""Exclude"",
AND(
COUNTIF(
IMPORTRANGE(""https://docs.google.com/spreadsheets/d/1kGrh75X1cNR1D7_FcY9zMnHP8iPO4M5RCRjy6nZY0TY/edit#gid=0"",""Table 1: Study characteristics!B4:B171""),A875)&gt;0,
COUNTIF(Studies!$A$2:$A$85,FILTER(IMPORTRA"&amp;"NGE(""https://docs.google.com/spreadsheets/d/1kGrh75X1cNR1D7_FcY9zMnHP8iPO4M5RCRjy6nZY0TY/edit#gid=0"",""Table 1: Study characteristics!A4:A171""), $A875=IMPORTRANGE(""https://docs.google.com/spreadsheets/d/1kGrh75X1cNR1D7_FcY9zMnHP8iPO4M5RCRjy6nZY0TY/edi"&amp;"t#gid=0"",""Table 1: Study characteristics!B4:B171"")))&gt;0
),
""Include""
)"),"Exclude")</f>
        <v>Exclude</v>
      </c>
      <c r="G875" s="5" t="str">
        <f>IFERROR(__xludf.DUMMYFUNCTION("IFS(
D875=""Exclude"",
FILTER(IMPORTRANGE(""https://docs.google.com/spreadsheets/d/1BJSV3WBYJGRhQ6zExamkszQ5VutGIcaQqmbD9ZTVXMQ/edit#gid=1251630045"",""articles_with_PRISMA_reasons!AB2:AB2113""), $A875=IMPORTRANGE(""https://docs.google.com/spreadsheets/d/"&amp;"1BJSV3WBYJGRhQ6zExamkszQ5VutGIcaQqmbD9ZTVXMQ/edit#gid=1251630045"",""articles_with_PRISMA_reasons!B2:B2113"")),
E875=""Exclude"",
FILTER(IMPORTRANGE(""https://docs.google.com/spreadsheets/d/1qpEmbGH0JjaJbUdp21-y2cPbobDbMjr09BbtdKROZWc/edit#gid=1444865654"&amp;""",""articles_with_PRISMA_reasons!Z2:Z2113""), $A875=IMPORTRANGE(""https://docs.google.com/spreadsheets/d/1qpEmbGH0JjaJbUdp21-y2cPbobDbMjr09BbtdKROZWc/edit#gid=1444865654"",""articles_with_PRISMA_reasons!B2:B2113"")),F875
=""Include"",FILTER(IMPORTRANGE("&amp;"""https://docs.google.com/spreadsheets/d/1kGrh75X1cNR1D7_FcY9zMnHP8iPO4M5RCRjy6nZY0TY/edit#gid=0"",""Table 1: Study characteristics!A4:A171""), $A875=IMPORTRANGE(""https://docs.google.com/spreadsheets/d/1kGrh75X1cNR1D7_FcY9zMnHP8iPO4M5RCRjy6nZY0TY/edit#gi"&amp;"d=0"",""Table 1: Study characteristics!B4:B171""))
)"),"background article")</f>
        <v>background article</v>
      </c>
    </row>
    <row r="876">
      <c r="A876" s="4" t="str">
        <f>IFERROR(__xludf.DUMMYFUNCTION("""COMPUTED_VALUE"""),"Giant acute epidural hematoma after ventriculoperitoneal shunt: A case report and literature review")</f>
        <v>Giant acute epidural hematoma after ventriculoperitoneal shunt: A case report and literature review</v>
      </c>
      <c r="B876" s="5" t="str">
        <f>IFERROR(__xludf.DUMMYFUNCTION("LEFT(FILTER(IMPORTRANGE(""https://docs.google.com/spreadsheets/d/1BJSV3WBYJGRhQ6zExamkszQ5VutGIcaQqmbD9ZTVXMQ/edit#gid=1251630045"",""articles_with_PRISMA_reasons!K2:K2113""), $A876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$A876=IMPORTRANGE(""https://docs.google.com/spreadsheets/d/1BJSV3WBYJGRhQ6zExamkszQ5VutGIcaQqmbD9ZTVXMQ/edit#gid=1251630045"",""articles_with_PRISMA_reasons!B2:B2113"")))-1)"),"Noleto")</f>
        <v>Noleto</v>
      </c>
      <c r="C876" s="6">
        <f>IFERROR(__xludf.DUMMYFUNCTION("FILTER(IMPORTRANGE(""https://docs.google.com/spreadsheets/d/1BJSV3WBYJGRhQ6zExamkszQ5VutGIcaQqmbD9ZTVXMQ/edit#gid=1251630045"",""articles_with_PRISMA_reasons!C2:C2113""), $A876=IMPORTRANGE(""https://docs.google.com/spreadsheets/d/1BJSV3WBYJGRhQ6zExamkszQ5"&amp;"VutGIcaQqmbD9ZTVXMQ/edit#gid=1251630045"",""articles_with_PRISMA_reasons!B2:B2113""))"),2014.0)</f>
        <v>2014</v>
      </c>
      <c r="D876" s="5" t="str">
        <f>IFERROR(__xludf.DUMMYFUNCTION("IFS(AND(
FILTER(IMPORTRANGE(""https://docs.google.com/spreadsheets/d/1BJSV3WBYJGRhQ6zExamkszQ5VutGIcaQqmbD9ZTVXMQ/edit#gid=1251630045"",""articles_with_PRISMA_reasons!Y2:Y2113""), $A876=IMPORTRANGE(""https://docs.google.com/spreadsheets/d/1BJSV3WBYJGRhQ6z"&amp;"ExamkszQ5VutGIcaQqmbD9ZTVXMQ/edit#gid=1251630045"",""articles_with_PRISMA_reasons!B2:B2113""))&gt;=2,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$A876=IMPORTRANGE(""https://docs.google.com/spreadsheets/d/1BJSV3WBYJGRhQ6zExamkszQ5VutGIcaQqmbD9ZTVXMQ/edit#gid=1251630045"",""articles_with_PRISMA_reasons!B2:B2113""))&lt;2),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$A876=IMPORTRANGE(""https://docs.google.com/spreadsheets/d/1BJSV3WBYJGRhQ6zExamkszQ5VutGIcaQqmbD9ZTVXMQ/edit#gid=1251630045"",""arti"&amp;"cles_with_PRISMA_reasons!B2:B2113""))&lt;2,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$A876=IMPORTRANGE(""https://docs.google.com"&amp;"/spreadsheets/d/1BJSV3WBYJGRhQ6zExamkszQ5VutGIcaQqmbD9ZTVXMQ/edit#gid=1251630045"",""articles_with_PRISMA_reasons!B2:B2113""))&gt;=2),
""Exclude""
)"),"Exclude")</f>
        <v>Exclude</v>
      </c>
      <c r="E876" s="5" t="str">
        <f>IFERROR(__xludf.DUMMYFUNCTION("IFS(
D876=""Exclude"",""Exclude"",
AND(
FILTER(IMPORTRANGE(""https://docs.google.com/spreadsheets/d/1qpEmbGH0JjaJbUdp21-y2cPbobDbMjr09BbtdKROZWc/edit#gid=1444865654"",""articles_with_PRISMA_reasons!W2:W2113""), $A876=IMPORTRANGE(""https://docs.google.com/"&amp;"spreadsheets/d/1qpEmbGH0JjaJbUdp21-y2cPbobDbMjr09BbtdKROZWc/edit#gid=1444865654"",""articles_with_PRISMA_reasons!B2:B2113""))&gt;=2,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$A876=IMPORTRANGE(""https://docs.google.com/spreadsheets/d/1qpEmbGH0JjaJbUdp21-y2cPbobDbMjr09BbtdKROZWc/edit#gid=1444865654"",""articles_with_PRISMA_reasons!B2:B2113""))&lt;2),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$A876=IMPORTRANGE(""https://docs.google.com/spreadsheets/d/1qpEmbGH0JjaJbUdp21-y2cPbobDbMjr09BbtdKRO"&amp;"ZWc/edit#gid=1444865654"",""articles_with_PRISMA_reasons!B2:B2113""))&lt;2,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$A876=IMPOR"&amp;"TRANGE(""https://docs.google.com/spreadsheets/d/1qpEmbGH0JjaJbUdp21-y2cPbobDbMjr09BbtdKROZWc/edit#gid=1444865654"",""articles_with_PRISMA_reasons!B2:B2113""))&gt;=2),
""Exclude""
)"),"Exclude")</f>
        <v>Exclude</v>
      </c>
      <c r="F876" s="5" t="str">
        <f>IFERROR(__xludf.DUMMYFUNCTION("IFS(
E876=""Exclude"",""Exclude"",
AND(
COUNTIF(
IMPORTRANGE(""https://docs.google.com/spreadsheets/d/1kGrh75X1cNR1D7_FcY9zMnHP8iPO4M5RCRjy6nZY0TY/edit#gid=0"",""Table 1: Study characteristics!B4:B171""),A876)&gt;0,
COUNTIF(Studies!$A$2:$A$85,FILTER(IMPORTRA"&amp;"NGE(""https://docs.google.com/spreadsheets/d/1kGrh75X1cNR1D7_FcY9zMnHP8iPO4M5RCRjy6nZY0TY/edit#gid=0"",""Table 1: Study characteristics!A4:A171""), $A876=IMPORTRANGE(""https://docs.google.com/spreadsheets/d/1kGrh75X1cNR1D7_FcY9zMnHP8iPO4M5RCRjy6nZY0TY/edi"&amp;"t#gid=0"",""Table 1: Study characteristics!B4:B171"")))&gt;0
),
""Include""
)"),"Exclude")</f>
        <v>Exclude</v>
      </c>
      <c r="G876" s="5" t="str">
        <f>IFERROR(__xludf.DUMMYFUNCTION("IFS(
D876=""Exclude"",
FILTER(IMPORTRANGE(""https://docs.google.com/spreadsheets/d/1BJSV3WBYJGRhQ6zExamkszQ5VutGIcaQqmbD9ZTVXMQ/edit#gid=1251630045"",""articles_with_PRISMA_reasons!AB2:AB2113""), $A876=IMPORTRANGE(""https://docs.google.com/spreadsheets/d/"&amp;"1BJSV3WBYJGRhQ6zExamkszQ5VutGIcaQqmbD9ZTVXMQ/edit#gid=1251630045"",""articles_with_PRISMA_reasons!B2:B2113"")),
E876=""Exclude"",
FILTER(IMPORTRANGE(""https://docs.google.com/spreadsheets/d/1qpEmbGH0JjaJbUdp21-y2cPbobDbMjr09BbtdKROZWc/edit#gid=1444865654"&amp;""",""articles_with_PRISMA_reasons!Z2:Z2113""), $A876=IMPORTRANGE(""https://docs.google.com/spreadsheets/d/1qpEmbGH0JjaJbUdp21-y2cPbobDbMjr09BbtdKROZWc/edit#gid=1444865654"",""articles_with_PRISMA_reasons!B2:B2113"")),F876
=""Include"",FILTER(IMPORTRANGE("&amp;"""https://docs.google.com/spreadsheets/d/1kGrh75X1cNR1D7_FcY9zMnHP8iPO4M5RCRjy6nZY0TY/edit#gid=0"",""Table 1: Study characteristics!A4:A171""), $A876=IMPORTRANGE(""https://docs.google.com/spreadsheets/d/1kGrh75X1cNR1D7_FcY9zMnHP8iPO4M5RCRjy6nZY0TY/edit#gi"&amp;"d=0"",""Table 1: Study characteristics!B4:B171""))
)"),"wrong study design")</f>
        <v>wrong study design</v>
      </c>
    </row>
    <row r="877">
      <c r="A877" s="4" t="str">
        <f>IFERROR(__xludf.DUMMYFUNCTION("""COMPUTED_VALUE"""),"Giant cyst of the septum pellucidum: case report")</f>
        <v>Giant cyst of the septum pellucidum: case report</v>
      </c>
      <c r="B877" s="5" t="str">
        <f>IFERROR(__xludf.DUMMYFUNCTION("LEFT(FILTER(IMPORTRANGE(""https://docs.google.com/spreadsheets/d/1BJSV3WBYJGRhQ6zExamkszQ5VutGIcaQqmbD9ZTVXMQ/edit#gid=1251630045"",""articles_with_PRISMA_reasons!K2:K2113""), $A877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$A877=IMPORTRANGE(""https://docs.google.com/spreadsheets/d/1BJSV3WBYJGRhQ6zExamkszQ5VutGIcaQqmbD9ZTVXMQ/edit#gid=1251630045"",""articles_with_PRISMA_reasons!B2:B2113"")))-1)"),"Garza-Mercado")</f>
        <v>Garza-Mercado</v>
      </c>
      <c r="C877" s="6">
        <f>IFERROR(__xludf.DUMMYFUNCTION("FILTER(IMPORTRANGE(""https://docs.google.com/spreadsheets/d/1BJSV3WBYJGRhQ6zExamkszQ5VutGIcaQqmbD9ZTVXMQ/edit#gid=1251630045"",""articles_with_PRISMA_reasons!C2:C2113""), $A877=IMPORTRANGE(""https://docs.google.com/spreadsheets/d/1BJSV3WBYJGRhQ6zExamkszQ5"&amp;"VutGIcaQqmbD9ZTVXMQ/edit#gid=1251630045"",""articles_with_PRISMA_reasons!B2:B2113""))"),1981.0)</f>
        <v>1981</v>
      </c>
      <c r="D877" s="5" t="str">
        <f>IFERROR(__xludf.DUMMYFUNCTION("IFS(AND(
FILTER(IMPORTRANGE(""https://docs.google.com/spreadsheets/d/1BJSV3WBYJGRhQ6zExamkszQ5VutGIcaQqmbD9ZTVXMQ/edit#gid=1251630045"",""articles_with_PRISMA_reasons!Y2:Y2113""), $A877=IMPORTRANGE(""https://docs.google.com/spreadsheets/d/1BJSV3WBYJGRhQ6z"&amp;"ExamkszQ5VutGIcaQqmbD9ZTVXMQ/edit#gid=1251630045"",""articles_with_PRISMA_reasons!B2:B2113""))&gt;=2,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$A877=IMPORTRANGE(""https://docs.google.com/spreadsheets/d/1BJSV3WBYJGRhQ6zExamkszQ5VutGIcaQqmbD9ZTVXMQ/edit#gid=1251630045"",""articles_with_PRISMA_reasons!B2:B2113""))&lt;2),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$A877=IMPORTRANGE(""https://docs.google.com/spreadsheets/d/1BJSV3WBYJGRhQ6zExamkszQ5VutGIcaQqmbD9ZTVXMQ/edit#gid=1251630045"",""arti"&amp;"cles_with_PRISMA_reasons!B2:B2113""))&lt;2,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$A877=IMPORTRANGE(""https://docs.google.com"&amp;"/spreadsheets/d/1BJSV3WBYJGRhQ6zExamkszQ5VutGIcaQqmbD9ZTVXMQ/edit#gid=1251630045"",""articles_with_PRISMA_reasons!B2:B2113""))&gt;=2),
""Exclude""
)"),"Exclude")</f>
        <v>Exclude</v>
      </c>
      <c r="E877" s="5" t="str">
        <f>IFERROR(__xludf.DUMMYFUNCTION("IFS(
D877=""Exclude"",""Exclude"",
AND(
FILTER(IMPORTRANGE(""https://docs.google.com/spreadsheets/d/1qpEmbGH0JjaJbUdp21-y2cPbobDbMjr09BbtdKROZWc/edit#gid=1444865654"",""articles_with_PRISMA_reasons!W2:W2113""), $A877=IMPORTRANGE(""https://docs.google.com/"&amp;"spreadsheets/d/1qpEmbGH0JjaJbUdp21-y2cPbobDbMjr09BbtdKROZWc/edit#gid=1444865654"",""articles_with_PRISMA_reasons!B2:B2113""))&gt;=2,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$A877=IMPORTRANGE(""https://docs.google.com/spreadsheets/d/1qpEmbGH0JjaJbUdp21-y2cPbobDbMjr09BbtdKROZWc/edit#gid=1444865654"",""articles_with_PRISMA_reasons!B2:B2113""))&lt;2),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$A877=IMPORTRANGE(""https://docs.google.com/spreadsheets/d/1qpEmbGH0JjaJbUdp21-y2cPbobDbMjr09BbtdKRO"&amp;"ZWc/edit#gid=1444865654"",""articles_with_PRISMA_reasons!B2:B2113""))&lt;2,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$A877=IMPOR"&amp;"TRANGE(""https://docs.google.com/spreadsheets/d/1qpEmbGH0JjaJbUdp21-y2cPbobDbMjr09BbtdKROZWc/edit#gid=1444865654"",""articles_with_PRISMA_reasons!B2:B2113""))&gt;=2),
""Exclude""
)"),"Exclude")</f>
        <v>Exclude</v>
      </c>
      <c r="F877" s="5" t="str">
        <f>IFERROR(__xludf.DUMMYFUNCTION("IFS(
E877=""Exclude"",""Exclude"",
AND(
COUNTIF(
IMPORTRANGE(""https://docs.google.com/spreadsheets/d/1kGrh75X1cNR1D7_FcY9zMnHP8iPO4M5RCRjy6nZY0TY/edit#gid=0"",""Table 1: Study characteristics!B4:B171""),A877)&gt;0,
COUNTIF(Studies!$A$2:$A$85,FILTER(IMPORTRA"&amp;"NGE(""https://docs.google.com/spreadsheets/d/1kGrh75X1cNR1D7_FcY9zMnHP8iPO4M5RCRjy6nZY0TY/edit#gid=0"",""Table 1: Study characteristics!A4:A171""), $A877=IMPORTRANGE(""https://docs.google.com/spreadsheets/d/1kGrh75X1cNR1D7_FcY9zMnHP8iPO4M5RCRjy6nZY0TY/edi"&amp;"t#gid=0"",""Table 1: Study characteristics!B4:B171"")))&gt;0
),
""Include""
)"),"Exclude")</f>
        <v>Exclude</v>
      </c>
      <c r="G877" s="5" t="str">
        <f>IFERROR(__xludf.DUMMYFUNCTION("IFS(
D877=""Exclude"",
FILTER(IMPORTRANGE(""https://docs.google.com/spreadsheets/d/1BJSV3WBYJGRhQ6zExamkszQ5VutGIcaQqmbD9ZTVXMQ/edit#gid=1251630045"",""articles_with_PRISMA_reasons!AB2:AB2113""), $A877=IMPORTRANGE(""https://docs.google.com/spreadsheets/d/"&amp;"1BJSV3WBYJGRhQ6zExamkszQ5VutGIcaQqmbD9ZTVXMQ/edit#gid=1251630045"",""articles_with_PRISMA_reasons!B2:B2113"")),
E877=""Exclude"",
FILTER(IMPORTRANGE(""https://docs.google.com/spreadsheets/d/1qpEmbGH0JjaJbUdp21-y2cPbobDbMjr09BbtdKROZWc/edit#gid=1444865654"&amp;""",""articles_with_PRISMA_reasons!Z2:Z2113""), $A877=IMPORTRANGE(""https://docs.google.com/spreadsheets/d/1qpEmbGH0JjaJbUdp21-y2cPbobDbMjr09BbtdKROZWc/edit#gid=1444865654"",""articles_with_PRISMA_reasons!B2:B2113"")),F877
=""Include"",FILTER(IMPORTRANGE("&amp;"""https://docs.google.com/spreadsheets/d/1kGrh75X1cNR1D7_FcY9zMnHP8iPO4M5RCRjy6nZY0TY/edit#gid=0"",""Table 1: Study characteristics!A4:A171""), $A877=IMPORTRANGE(""https://docs.google.com/spreadsheets/d/1kGrh75X1cNR1D7_FcY9zMnHP8iPO4M5RCRjy6nZY0TY/edit#gi"&amp;"d=0"",""Table 1: Study characteristics!B4:B171""))
)"),"wrong study design")</f>
        <v>wrong study design</v>
      </c>
    </row>
    <row r="878">
      <c r="A878" s="4" t="str">
        <f>IFERROR(__xludf.DUMMYFUNCTION("""COMPUTED_VALUE"""),"Gliomatosis peritonei associated with a ventriculoperitoneal shunt")</f>
        <v>Gliomatosis peritonei associated with a ventriculoperitoneal shunt</v>
      </c>
      <c r="B878" s="5" t="str">
        <f>IFERROR(__xludf.DUMMYFUNCTION("LEFT(FILTER(IMPORTRANGE(""https://docs.google.com/spreadsheets/d/1BJSV3WBYJGRhQ6zExamkszQ5VutGIcaQqmbD9ZTVXMQ/edit#gid=1251630045"",""articles_with_PRISMA_reasons!K2:K2113""), $A878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$A878=IMPORTRANGE(""https://docs.google.com/spreadsheets/d/1BJSV3WBYJGRhQ6zExamkszQ5VutGIcaQqmbD9ZTVXMQ/edit#gid=1251630045"",""articles_with_PRISMA_reasons!B2:B2113"")))-1)"),"Lovell")</f>
        <v>Lovell</v>
      </c>
      <c r="C878" s="6">
        <f>IFERROR(__xludf.DUMMYFUNCTION("FILTER(IMPORTRANGE(""https://docs.google.com/spreadsheets/d/1BJSV3WBYJGRhQ6zExamkszQ5VutGIcaQqmbD9ZTVXMQ/edit#gid=1251630045"",""articles_with_PRISMA_reasons!C2:C2113""), $A878=IMPORTRANGE(""https://docs.google.com/spreadsheets/d/1BJSV3WBYJGRhQ6zExamkszQ5"&amp;"VutGIcaQqmbD9ZTVXMQ/edit#gid=1251630045"",""articles_with_PRISMA_reasons!B2:B2113""))"),1989.0)</f>
        <v>1989</v>
      </c>
      <c r="D878" s="5" t="str">
        <f>IFERROR(__xludf.DUMMYFUNCTION("IFS(AND(
FILTER(IMPORTRANGE(""https://docs.google.com/spreadsheets/d/1BJSV3WBYJGRhQ6zExamkszQ5VutGIcaQqmbD9ZTVXMQ/edit#gid=1251630045"",""articles_with_PRISMA_reasons!Y2:Y2113""), $A878=IMPORTRANGE(""https://docs.google.com/spreadsheets/d/1BJSV3WBYJGRhQ6z"&amp;"ExamkszQ5VutGIcaQqmbD9ZTVXMQ/edit#gid=1251630045"",""articles_with_PRISMA_reasons!B2:B2113""))&gt;=2,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$A878=IMPORTRANGE(""https://docs.google.com/spreadsheets/d/1BJSV3WBYJGRhQ6zExamkszQ5VutGIcaQqmbD9ZTVXMQ/edit#gid=1251630045"",""articles_with_PRISMA_reasons!B2:B2113""))&lt;2),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$A878=IMPORTRANGE(""https://docs.google.com/spreadsheets/d/1BJSV3WBYJGRhQ6zExamkszQ5VutGIcaQqmbD9ZTVXMQ/edit#gid=1251630045"",""arti"&amp;"cles_with_PRISMA_reasons!B2:B2113""))&lt;2,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$A878=IMPORTRANGE(""https://docs.google.com"&amp;"/spreadsheets/d/1BJSV3WBYJGRhQ6zExamkszQ5VutGIcaQqmbD9ZTVXMQ/edit#gid=1251630045"",""articles_with_PRISMA_reasons!B2:B2113""))&gt;=2),
""Exclude""
)"),"Exclude")</f>
        <v>Exclude</v>
      </c>
      <c r="E878" s="5" t="str">
        <f>IFERROR(__xludf.DUMMYFUNCTION("IFS(
D878=""Exclude"",""Exclude"",
AND(
FILTER(IMPORTRANGE(""https://docs.google.com/spreadsheets/d/1qpEmbGH0JjaJbUdp21-y2cPbobDbMjr09BbtdKROZWc/edit#gid=1444865654"",""articles_with_PRISMA_reasons!W2:W2113""), $A878=IMPORTRANGE(""https://docs.google.com/"&amp;"spreadsheets/d/1qpEmbGH0JjaJbUdp21-y2cPbobDbMjr09BbtdKROZWc/edit#gid=1444865654"",""articles_with_PRISMA_reasons!B2:B2113""))&gt;=2,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$A878=IMPORTRANGE(""https://docs.google.com/spreadsheets/d/1qpEmbGH0JjaJbUdp21-y2cPbobDbMjr09BbtdKROZWc/edit#gid=1444865654"",""articles_with_PRISMA_reasons!B2:B2113""))&lt;2),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$A878=IMPORTRANGE(""https://docs.google.com/spreadsheets/d/1qpEmbGH0JjaJbUdp21-y2cPbobDbMjr09BbtdKRO"&amp;"ZWc/edit#gid=1444865654"",""articles_with_PRISMA_reasons!B2:B2113""))&lt;2,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$A878=IMPOR"&amp;"TRANGE(""https://docs.google.com/spreadsheets/d/1qpEmbGH0JjaJbUdp21-y2cPbobDbMjr09BbtdKROZWc/edit#gid=1444865654"",""articles_with_PRISMA_reasons!B2:B2113""))&gt;=2),
""Exclude""
)"),"Exclude")</f>
        <v>Exclude</v>
      </c>
      <c r="F878" s="5" t="str">
        <f>IFERROR(__xludf.DUMMYFUNCTION("IFS(
E878=""Exclude"",""Exclude"",
AND(
COUNTIF(
IMPORTRANGE(""https://docs.google.com/spreadsheets/d/1kGrh75X1cNR1D7_FcY9zMnHP8iPO4M5RCRjy6nZY0TY/edit#gid=0"",""Table 1: Study characteristics!B4:B171""),A878)&gt;0,
COUNTIF(Studies!$A$2:$A$85,FILTER(IMPORTRA"&amp;"NGE(""https://docs.google.com/spreadsheets/d/1kGrh75X1cNR1D7_FcY9zMnHP8iPO4M5RCRjy6nZY0TY/edit#gid=0"",""Table 1: Study characteristics!A4:A171""), $A878=IMPORTRANGE(""https://docs.google.com/spreadsheets/d/1kGrh75X1cNR1D7_FcY9zMnHP8iPO4M5RCRjy6nZY0TY/edi"&amp;"t#gid=0"",""Table 1: Study characteristics!B4:B171"")))&gt;0
),
""Include""
)"),"Exclude")</f>
        <v>Exclude</v>
      </c>
      <c r="G878" s="5" t="str">
        <f>IFERROR(__xludf.DUMMYFUNCTION("IFS(
D878=""Exclude"",
FILTER(IMPORTRANGE(""https://docs.google.com/spreadsheets/d/1BJSV3WBYJGRhQ6zExamkszQ5VutGIcaQqmbD9ZTVXMQ/edit#gid=1251630045"",""articles_with_PRISMA_reasons!AB2:AB2113""), $A878=IMPORTRANGE(""https://docs.google.com/spreadsheets/d/"&amp;"1BJSV3WBYJGRhQ6zExamkszQ5VutGIcaQqmbD9ZTVXMQ/edit#gid=1251630045"",""articles_with_PRISMA_reasons!B2:B2113"")),
E878=""Exclude"",
FILTER(IMPORTRANGE(""https://docs.google.com/spreadsheets/d/1qpEmbGH0JjaJbUdp21-y2cPbobDbMjr09BbtdKROZWc/edit#gid=1444865654"&amp;""",""articles_with_PRISMA_reasons!Z2:Z2113""), $A878=IMPORTRANGE(""https://docs.google.com/spreadsheets/d/1qpEmbGH0JjaJbUdp21-y2cPbobDbMjr09BbtdKROZWc/edit#gid=1444865654"",""articles_with_PRISMA_reasons!B2:B2113"")),F878
=""Include"",FILTER(IMPORTRANGE("&amp;"""https://docs.google.com/spreadsheets/d/1kGrh75X1cNR1D7_FcY9zMnHP8iPO4M5RCRjy6nZY0TY/edit#gid=0"",""Table 1: Study characteristics!A4:A171""), $A878=IMPORTRANGE(""https://docs.google.com/spreadsheets/d/1kGrh75X1cNR1D7_FcY9zMnHP8iPO4M5RCRjy6nZY0TY/edit#gi"&amp;"d=0"",""Table 1: Study characteristics!B4:B171""))
)"),"wrong study design")</f>
        <v>wrong study design</v>
      </c>
    </row>
    <row r="879">
      <c r="A879" s="4" t="str">
        <f>IFERROR(__xludf.DUMMYFUNCTION("""COMPUTED_VALUE"""),"Gliosis and aqueductule formation in the aqueduct of Sylvius")</f>
        <v>Gliosis and aqueductule formation in the aqueduct of Sylvius</v>
      </c>
      <c r="B879" s="5" t="str">
        <f>IFERROR(__xludf.DUMMYFUNCTION("LEFT(FILTER(IMPORTRANGE(""https://docs.google.com/spreadsheets/d/1BJSV3WBYJGRhQ6zExamkszQ5VutGIcaQqmbD9ZTVXMQ/edit#gid=1251630045"",""articles_with_PRISMA_reasons!K2:K2113""), $A879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$A879=IMPORTRANGE(""https://docs.google.com/spreadsheets/d/1BJSV3WBYJGRhQ6zExamkszQ5VutGIcaQqmbD9ZTVXMQ/edit#gid=1251630045"",""articles_with_PRISMA_reasons!B2:B2113"")))-1)"),"Shellshear")</f>
        <v>Shellshear</v>
      </c>
      <c r="C879" s="6">
        <f>IFERROR(__xludf.DUMMYFUNCTION("FILTER(IMPORTRANGE(""https://docs.google.com/spreadsheets/d/1BJSV3WBYJGRhQ6zExamkszQ5VutGIcaQqmbD9ZTVXMQ/edit#gid=1251630045"",""articles_with_PRISMA_reasons!C2:C2113""), $A879=IMPORTRANGE(""https://docs.google.com/spreadsheets/d/1BJSV3WBYJGRhQ6zExamkszQ5"&amp;"VutGIcaQqmbD9ZTVXMQ/edit#gid=1251630045"",""articles_with_PRISMA_reasons!B2:B2113""))"),1976.0)</f>
        <v>1976</v>
      </c>
      <c r="D879" s="5" t="str">
        <f>IFERROR(__xludf.DUMMYFUNCTION("IFS(AND(
FILTER(IMPORTRANGE(""https://docs.google.com/spreadsheets/d/1BJSV3WBYJGRhQ6zExamkszQ5VutGIcaQqmbD9ZTVXMQ/edit#gid=1251630045"",""articles_with_PRISMA_reasons!Y2:Y2113""), $A879=IMPORTRANGE(""https://docs.google.com/spreadsheets/d/1BJSV3WBYJGRhQ6z"&amp;"ExamkszQ5VutGIcaQqmbD9ZTVXMQ/edit#gid=1251630045"",""articles_with_PRISMA_reasons!B2:B2113""))&gt;=2,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$A879=IMPORTRANGE(""https://docs.google.com/spreadsheets/d/1BJSV3WBYJGRhQ6zExamkszQ5VutGIcaQqmbD9ZTVXMQ/edit#gid=1251630045"",""articles_with_PRISMA_reasons!B2:B2113""))&lt;2),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$A879=IMPORTRANGE(""https://docs.google.com/spreadsheets/d/1BJSV3WBYJGRhQ6zExamkszQ5VutGIcaQqmbD9ZTVXMQ/edit#gid=1251630045"",""arti"&amp;"cles_with_PRISMA_reasons!B2:B2113""))&lt;2,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$A879=IMPORTRANGE(""https://docs.google.com"&amp;"/spreadsheets/d/1BJSV3WBYJGRhQ6zExamkszQ5VutGIcaQqmbD9ZTVXMQ/edit#gid=1251630045"",""articles_with_PRISMA_reasons!B2:B2113""))&gt;=2),
""Exclude""
)"),"Exclude")</f>
        <v>Exclude</v>
      </c>
      <c r="E879" s="5" t="str">
        <f>IFERROR(__xludf.DUMMYFUNCTION("IFS(
D879=""Exclude"",""Exclude"",
AND(
FILTER(IMPORTRANGE(""https://docs.google.com/spreadsheets/d/1qpEmbGH0JjaJbUdp21-y2cPbobDbMjr09BbtdKROZWc/edit#gid=1444865654"",""articles_with_PRISMA_reasons!W2:W2113""), $A879=IMPORTRANGE(""https://docs.google.com/"&amp;"spreadsheets/d/1qpEmbGH0JjaJbUdp21-y2cPbobDbMjr09BbtdKROZWc/edit#gid=1444865654"",""articles_with_PRISMA_reasons!B2:B2113""))&gt;=2,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$A879=IMPORTRANGE(""https://docs.google.com/spreadsheets/d/1qpEmbGH0JjaJbUdp21-y2cPbobDbMjr09BbtdKROZWc/edit#gid=1444865654"",""articles_with_PRISMA_reasons!B2:B2113""))&lt;2),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$A879=IMPORTRANGE(""https://docs.google.com/spreadsheets/d/1qpEmbGH0JjaJbUdp21-y2cPbobDbMjr09BbtdKRO"&amp;"ZWc/edit#gid=1444865654"",""articles_with_PRISMA_reasons!B2:B2113""))&lt;2,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$A879=IMPOR"&amp;"TRANGE(""https://docs.google.com/spreadsheets/d/1qpEmbGH0JjaJbUdp21-y2cPbobDbMjr09BbtdKROZWc/edit#gid=1444865654"",""articles_with_PRISMA_reasons!B2:B2113""))&gt;=2),
""Exclude""
)"),"Exclude")</f>
        <v>Exclude</v>
      </c>
      <c r="F879" s="5" t="str">
        <f>IFERROR(__xludf.DUMMYFUNCTION("IFS(
E879=""Exclude"",""Exclude"",
AND(
COUNTIF(
IMPORTRANGE(""https://docs.google.com/spreadsheets/d/1kGrh75X1cNR1D7_FcY9zMnHP8iPO4M5RCRjy6nZY0TY/edit#gid=0"",""Table 1: Study characteristics!B4:B171""),A879)&gt;0,
COUNTIF(Studies!$A$2:$A$85,FILTER(IMPORTRA"&amp;"NGE(""https://docs.google.com/spreadsheets/d/1kGrh75X1cNR1D7_FcY9zMnHP8iPO4M5RCRjy6nZY0TY/edit#gid=0"",""Table 1: Study characteristics!A4:A171""), $A879=IMPORTRANGE(""https://docs.google.com/spreadsheets/d/1kGrh75X1cNR1D7_FcY9zMnHP8iPO4M5RCRjy6nZY0TY/edi"&amp;"t#gid=0"",""Table 1: Study characteristics!B4:B171"")))&gt;0
),
""Include""
)"),"Exclude")</f>
        <v>Exclude</v>
      </c>
      <c r="G879" s="5" t="str">
        <f>IFERROR(__xludf.DUMMYFUNCTION("IFS(
D879=""Exclude"",
FILTER(IMPORTRANGE(""https://docs.google.com/spreadsheets/d/1BJSV3WBYJGRhQ6zExamkszQ5VutGIcaQqmbD9ZTVXMQ/edit#gid=1251630045"",""articles_with_PRISMA_reasons!AB2:AB2113""), $A879=IMPORTRANGE(""https://docs.google.com/spreadsheets/d/"&amp;"1BJSV3WBYJGRhQ6zExamkszQ5VutGIcaQqmbD9ZTVXMQ/edit#gid=1251630045"",""articles_with_PRISMA_reasons!B2:B2113"")),
E879=""Exclude"",
FILTER(IMPORTRANGE(""https://docs.google.com/spreadsheets/d/1qpEmbGH0JjaJbUdp21-y2cPbobDbMjr09BbtdKROZWc/edit#gid=1444865654"&amp;""",""articles_with_PRISMA_reasons!Z2:Z2113""), $A879=IMPORTRANGE(""https://docs.google.com/spreadsheets/d/1qpEmbGH0JjaJbUdp21-y2cPbobDbMjr09BbtdKROZWc/edit#gid=1444865654"",""articles_with_PRISMA_reasons!B2:B2113"")),F879
=""Include"",FILTER(IMPORTRANGE("&amp;"""https://docs.google.com/spreadsheets/d/1kGrh75X1cNR1D7_FcY9zMnHP8iPO4M5RCRjy6nZY0TY/edit#gid=0"",""Table 1: Study characteristics!A4:A171""), $A879=IMPORTRANGE(""https://docs.google.com/spreadsheets/d/1kGrh75X1cNR1D7_FcY9zMnHP8iPO4M5RCRjy6nZY0TY/edit#gi"&amp;"d=0"",""Table 1: Study characteristics!B4:B171""))
)"),"wrong population")</f>
        <v>wrong population</v>
      </c>
    </row>
    <row r="880">
      <c r="A880" s="4" t="str">
        <f>IFERROR(__xludf.DUMMYFUNCTION("""COMPUTED_VALUE"""),"Group B streptococcal infections of the central nervous system in infants with myelomeningocele")</f>
        <v>Group B streptococcal infections of the central nervous system in infants with myelomeningocele</v>
      </c>
      <c r="B880" s="5" t="str">
        <f>IFERROR(__xludf.DUMMYFUNCTION("LEFT(FILTER(IMPORTRANGE(""https://docs.google.com/spreadsheets/d/1BJSV3WBYJGRhQ6zExamkszQ5VutGIcaQqmbD9ZTVXMQ/edit#gid=1251630045"",""articles_with_PRISMA_reasons!K2:K2113""), $A880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$A880=IMPORTRANGE(""https://docs.google.com/spreadsheets/d/1BJSV3WBYJGRhQ6zExamkszQ5VutGIcaQqmbD9ZTVXMQ/edit#gid=1251630045"",""articles_with_PRISMA_reasons!B2:B2113"")))-1)"),"Ellenbogen")</f>
        <v>Ellenbogen</v>
      </c>
      <c r="C880" s="6">
        <f>IFERROR(__xludf.DUMMYFUNCTION("FILTER(IMPORTRANGE(""https://docs.google.com/spreadsheets/d/1BJSV3WBYJGRhQ6zExamkszQ5VutGIcaQqmbD9ZTVXMQ/edit#gid=1251630045"",""articles_with_PRISMA_reasons!C2:C2113""), $A880=IMPORTRANGE(""https://docs.google.com/spreadsheets/d/1BJSV3WBYJGRhQ6zExamkszQ5"&amp;"VutGIcaQqmbD9ZTVXMQ/edit#gid=1251630045"",""articles_with_PRISMA_reasons!B2:B2113""))"),1988.0)</f>
        <v>1988</v>
      </c>
      <c r="D880" s="5" t="str">
        <f>IFERROR(__xludf.DUMMYFUNCTION("IFS(AND(
FILTER(IMPORTRANGE(""https://docs.google.com/spreadsheets/d/1BJSV3WBYJGRhQ6zExamkszQ5VutGIcaQqmbD9ZTVXMQ/edit#gid=1251630045"",""articles_with_PRISMA_reasons!Y2:Y2113""), $A880=IMPORTRANGE(""https://docs.google.com/spreadsheets/d/1BJSV3WBYJGRhQ6z"&amp;"ExamkszQ5VutGIcaQqmbD9ZTVXMQ/edit#gid=1251630045"",""articles_with_PRISMA_reasons!B2:B2113""))&gt;=2,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$A880=IMPORTRANGE(""https://docs.google.com/spreadsheets/d/1BJSV3WBYJGRhQ6zExamkszQ5VutGIcaQqmbD9ZTVXMQ/edit#gid=1251630045"",""articles_with_PRISMA_reasons!B2:B2113""))&lt;2),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$A880=IMPORTRANGE(""https://docs.google.com/spreadsheets/d/1BJSV3WBYJGRhQ6zExamkszQ5VutGIcaQqmbD9ZTVXMQ/edit#gid=1251630045"",""arti"&amp;"cles_with_PRISMA_reasons!B2:B2113""))&lt;2,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$A880=IMPORTRANGE(""https://docs.google.com"&amp;"/spreadsheets/d/1BJSV3WBYJGRhQ6zExamkszQ5VutGIcaQqmbD9ZTVXMQ/edit#gid=1251630045"",""articles_with_PRISMA_reasons!B2:B2113""))&gt;=2),
""Exclude""
)"),"Exclude")</f>
        <v>Exclude</v>
      </c>
      <c r="E880" s="5" t="str">
        <f>IFERROR(__xludf.DUMMYFUNCTION("IFS(
D880=""Exclude"",""Exclude"",
AND(
FILTER(IMPORTRANGE(""https://docs.google.com/spreadsheets/d/1qpEmbGH0JjaJbUdp21-y2cPbobDbMjr09BbtdKROZWc/edit#gid=1444865654"",""articles_with_PRISMA_reasons!W2:W2113""), $A880=IMPORTRANGE(""https://docs.google.com/"&amp;"spreadsheets/d/1qpEmbGH0JjaJbUdp21-y2cPbobDbMjr09BbtdKROZWc/edit#gid=1444865654"",""articles_with_PRISMA_reasons!B2:B2113""))&gt;=2,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$A880=IMPORTRANGE(""https://docs.google.com/spreadsheets/d/1qpEmbGH0JjaJbUdp21-y2cPbobDbMjr09BbtdKROZWc/edit#gid=1444865654"",""articles_with_PRISMA_reasons!B2:B2113""))&lt;2),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$A880=IMPORTRANGE(""https://docs.google.com/spreadsheets/d/1qpEmbGH0JjaJbUdp21-y2cPbobDbMjr09BbtdKRO"&amp;"ZWc/edit#gid=1444865654"",""articles_with_PRISMA_reasons!B2:B2113""))&lt;2,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$A880=IMPOR"&amp;"TRANGE(""https://docs.google.com/spreadsheets/d/1qpEmbGH0JjaJbUdp21-y2cPbobDbMjr09BbtdKROZWc/edit#gid=1444865654"",""articles_with_PRISMA_reasons!B2:B2113""))&gt;=2),
""Exclude""
)"),"Exclude")</f>
        <v>Exclude</v>
      </c>
      <c r="F880" s="5" t="str">
        <f>IFERROR(__xludf.DUMMYFUNCTION("IFS(
E880=""Exclude"",""Exclude"",
AND(
COUNTIF(
IMPORTRANGE(""https://docs.google.com/spreadsheets/d/1kGrh75X1cNR1D7_FcY9zMnHP8iPO4M5RCRjy6nZY0TY/edit#gid=0"",""Table 1: Study characteristics!B4:B171""),A880)&gt;0,
COUNTIF(Studies!$A$2:$A$85,FILTER(IMPORTRA"&amp;"NGE(""https://docs.google.com/spreadsheets/d/1kGrh75X1cNR1D7_FcY9zMnHP8iPO4M5RCRjy6nZY0TY/edit#gid=0"",""Table 1: Study characteristics!A4:A171""), $A880=IMPORTRANGE(""https://docs.google.com/spreadsheets/d/1kGrh75X1cNR1D7_FcY9zMnHP8iPO4M5RCRjy6nZY0TY/edi"&amp;"t#gid=0"",""Table 1: Study characteristics!B4:B171"")))&gt;0
),
""Include""
)"),"Exclude")</f>
        <v>Exclude</v>
      </c>
      <c r="G880" s="5" t="str">
        <f>IFERROR(__xludf.DUMMYFUNCTION("IFS(
D880=""Exclude"",
FILTER(IMPORTRANGE(""https://docs.google.com/spreadsheets/d/1BJSV3WBYJGRhQ6zExamkszQ5VutGIcaQqmbD9ZTVXMQ/edit#gid=1251630045"",""articles_with_PRISMA_reasons!AB2:AB2113""), $A880=IMPORTRANGE(""https://docs.google.com/spreadsheets/d/"&amp;"1BJSV3WBYJGRhQ6zExamkszQ5VutGIcaQqmbD9ZTVXMQ/edit#gid=1251630045"",""articles_with_PRISMA_reasons!B2:B2113"")),
E880=""Exclude"",
FILTER(IMPORTRANGE(""https://docs.google.com/spreadsheets/d/1qpEmbGH0JjaJbUdp21-y2cPbobDbMjr09BbtdKROZWc/edit#gid=1444865654"&amp;""",""articles_with_PRISMA_reasons!Z2:Z2113""), $A880=IMPORTRANGE(""https://docs.google.com/spreadsheets/d/1qpEmbGH0JjaJbUdp21-y2cPbobDbMjr09BbtdKROZWc/edit#gid=1444865654"",""articles_with_PRISMA_reasons!B2:B2113"")),F880
=""Include"",FILTER(IMPORTRANGE("&amp;"""https://docs.google.com/spreadsheets/d/1kGrh75X1cNR1D7_FcY9zMnHP8iPO4M5RCRjy6nZY0TY/edit#gid=0"",""Table 1: Study characteristics!A4:A171""), $A880=IMPORTRANGE(""https://docs.google.com/spreadsheets/d/1kGrh75X1cNR1D7_FcY9zMnHP8iPO4M5RCRjy6nZY0TY/edit#gi"&amp;"d=0"",""Table 1: Study characteristics!B4:B171""))
)"),"wrong study design")</f>
        <v>wrong study design</v>
      </c>
    </row>
    <row r="881">
      <c r="A881" s="4" t="str">
        <f>IFERROR(__xludf.DUMMYFUNCTION("""COMPUTED_VALUE"""),"Growth and sexual development in children with meningomyelocele")</f>
        <v>Growth and sexual development in children with meningomyelocele</v>
      </c>
      <c r="B881" s="5" t="str">
        <f>IFERROR(__xludf.DUMMYFUNCTION("LEFT(FILTER(IMPORTRANGE(""https://docs.google.com/spreadsheets/d/1BJSV3WBYJGRhQ6zExamkszQ5VutGIcaQqmbD9ZTVXMQ/edit#gid=1251630045"",""articles_with_PRISMA_reasons!K2:K2113""), $A881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$A881=IMPORTRANGE(""https://docs.google.com/spreadsheets/d/1BJSV3WBYJGRhQ6zExamkszQ5VutGIcaQqmbD9ZTVXMQ/edit#gid=1251630045"",""articles_with_PRISMA_reasons!B2:B2113"")))-1)"),"Greene")</f>
        <v>Greene</v>
      </c>
      <c r="C881" s="6">
        <f>IFERROR(__xludf.DUMMYFUNCTION("FILTER(IMPORTRANGE(""https://docs.google.com/spreadsheets/d/1BJSV3WBYJGRhQ6zExamkszQ5VutGIcaQqmbD9ZTVXMQ/edit#gid=1251630045"",""articles_with_PRISMA_reasons!C2:C2113""), $A881=IMPORTRANGE(""https://docs.google.com/spreadsheets/d/1BJSV3WBYJGRhQ6zExamkszQ5"&amp;"VutGIcaQqmbD9ZTVXMQ/edit#gid=1251630045"",""articles_with_PRISMA_reasons!B2:B2113""))"),1985.0)</f>
        <v>1985</v>
      </c>
      <c r="D881" s="5" t="str">
        <f>IFERROR(__xludf.DUMMYFUNCTION("IFS(AND(
FILTER(IMPORTRANGE(""https://docs.google.com/spreadsheets/d/1BJSV3WBYJGRhQ6zExamkszQ5VutGIcaQqmbD9ZTVXMQ/edit#gid=1251630045"",""articles_with_PRISMA_reasons!Y2:Y2113""), $A881=IMPORTRANGE(""https://docs.google.com/spreadsheets/d/1BJSV3WBYJGRhQ6z"&amp;"ExamkszQ5VutGIcaQqmbD9ZTVXMQ/edit#gid=1251630045"",""articles_with_PRISMA_reasons!B2:B2113""))&gt;=2,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$A881=IMPORTRANGE(""https://docs.google.com/spreadsheets/d/1BJSV3WBYJGRhQ6zExamkszQ5VutGIcaQqmbD9ZTVXMQ/edit#gid=1251630045"",""articles_with_PRISMA_reasons!B2:B2113""))&lt;2),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$A881=IMPORTRANGE(""https://docs.google.com/spreadsheets/d/1BJSV3WBYJGRhQ6zExamkszQ5VutGIcaQqmbD9ZTVXMQ/edit#gid=1251630045"",""arti"&amp;"cles_with_PRISMA_reasons!B2:B2113""))&lt;2,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$A881=IMPORTRANGE(""https://docs.google.com"&amp;"/spreadsheets/d/1BJSV3WBYJGRhQ6zExamkszQ5VutGIcaQqmbD9ZTVXMQ/edit#gid=1251630045"",""articles_with_PRISMA_reasons!B2:B2113""))&gt;=2),
""Exclude""
)"),"Exclude")</f>
        <v>Exclude</v>
      </c>
      <c r="E881" s="5" t="str">
        <f>IFERROR(__xludf.DUMMYFUNCTION("IFS(
D881=""Exclude"",""Exclude"",
AND(
FILTER(IMPORTRANGE(""https://docs.google.com/spreadsheets/d/1qpEmbGH0JjaJbUdp21-y2cPbobDbMjr09BbtdKROZWc/edit#gid=1444865654"",""articles_with_PRISMA_reasons!W2:W2113""), $A881=IMPORTRANGE(""https://docs.google.com/"&amp;"spreadsheets/d/1qpEmbGH0JjaJbUdp21-y2cPbobDbMjr09BbtdKROZWc/edit#gid=1444865654"",""articles_with_PRISMA_reasons!B2:B2113""))&gt;=2,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$A881=IMPORTRANGE(""https://docs.google.com/spreadsheets/d/1qpEmbGH0JjaJbUdp21-y2cPbobDbMjr09BbtdKROZWc/edit#gid=1444865654"",""articles_with_PRISMA_reasons!B2:B2113""))&lt;2),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$A881=IMPORTRANGE(""https://docs.google.com/spreadsheets/d/1qpEmbGH0JjaJbUdp21-y2cPbobDbMjr09BbtdKRO"&amp;"ZWc/edit#gid=1444865654"",""articles_with_PRISMA_reasons!B2:B2113""))&lt;2,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$A881=IMPOR"&amp;"TRANGE(""https://docs.google.com/spreadsheets/d/1qpEmbGH0JjaJbUdp21-y2cPbobDbMjr09BbtdKROZWc/edit#gid=1444865654"",""articles_with_PRISMA_reasons!B2:B2113""))&gt;=2),
""Exclude""
)"),"Exclude")</f>
        <v>Exclude</v>
      </c>
      <c r="F881" s="5" t="str">
        <f>IFERROR(__xludf.DUMMYFUNCTION("IFS(
E881=""Exclude"",""Exclude"",
AND(
COUNTIF(
IMPORTRANGE(""https://docs.google.com/spreadsheets/d/1kGrh75X1cNR1D7_FcY9zMnHP8iPO4M5RCRjy6nZY0TY/edit#gid=0"",""Table 1: Study characteristics!B4:B171""),A881)&gt;0,
COUNTIF(Studies!$A$2:$A$85,FILTER(IMPORTRA"&amp;"NGE(""https://docs.google.com/spreadsheets/d/1kGrh75X1cNR1D7_FcY9zMnHP8iPO4M5RCRjy6nZY0TY/edit#gid=0"",""Table 1: Study characteristics!A4:A171""), $A881=IMPORTRANGE(""https://docs.google.com/spreadsheets/d/1kGrh75X1cNR1D7_FcY9zMnHP8iPO4M5RCRjy6nZY0TY/edi"&amp;"t#gid=0"",""Table 1: Study characteristics!B4:B171"")))&gt;0
),
""Include""
)"),"Exclude")</f>
        <v>Exclude</v>
      </c>
      <c r="G881" s="5" t="str">
        <f>IFERROR(__xludf.DUMMYFUNCTION("IFS(
D881=""Exclude"",
FILTER(IMPORTRANGE(""https://docs.google.com/spreadsheets/d/1BJSV3WBYJGRhQ6zExamkszQ5VutGIcaQqmbD9ZTVXMQ/edit#gid=1251630045"",""articles_with_PRISMA_reasons!AB2:AB2113""), $A881=IMPORTRANGE(""https://docs.google.com/spreadsheets/d/"&amp;"1BJSV3WBYJGRhQ6zExamkszQ5VutGIcaQqmbD9ZTVXMQ/edit#gid=1251630045"",""articles_with_PRISMA_reasons!B2:B2113"")),
E881=""Exclude"",
FILTER(IMPORTRANGE(""https://docs.google.com/spreadsheets/d/1qpEmbGH0JjaJbUdp21-y2cPbobDbMjr09BbtdKROZWc/edit#gid=1444865654"&amp;""",""articles_with_PRISMA_reasons!Z2:Z2113""), $A881=IMPORTRANGE(""https://docs.google.com/spreadsheets/d/1qpEmbGH0JjaJbUdp21-y2cPbobDbMjr09BbtdKROZWc/edit#gid=1444865654"",""articles_with_PRISMA_reasons!B2:B2113"")),F881
=""Include"",FILTER(IMPORTRANGE("&amp;"""https://docs.google.com/spreadsheets/d/1kGrh75X1cNR1D7_FcY9zMnHP8iPO4M5RCRjy6nZY0TY/edit#gid=0"",""Table 1: Study characteristics!A4:A171""), $A881=IMPORTRANGE(""https://docs.google.com/spreadsheets/d/1kGrh75X1cNR1D7_FcY9zMnHP8iPO4M5RCRjy6nZY0TY/edit#gi"&amp;"d=0"",""Table 1: Study characteristics!B4:B171""))
)"),"wrong study design")</f>
        <v>wrong study design</v>
      </c>
    </row>
    <row r="882">
      <c r="A882" s="4" t="str">
        <f>IFERROR(__xludf.DUMMYFUNCTION("""COMPUTED_VALUE"""),"Growth disorders in children and adolescents affected by syndromes or diseases associated with neurodysfunction")</f>
        <v>Growth disorders in children and adolescents affected by syndromes or diseases associated with neurodysfunction</v>
      </c>
      <c r="B882" s="5" t="str">
        <f>IFERROR(__xludf.DUMMYFUNCTION("LEFT(FILTER(IMPORTRANGE(""https://docs.google.com/spreadsheets/d/1BJSV3WBYJGRhQ6zExamkszQ5VutGIcaQqmbD9ZTVXMQ/edit#gid=1251630045"",""articles_with_PRISMA_reasons!K2:K2113""), $A882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$A882=IMPORTRANGE(""https://docs.google.com/spreadsheets/d/1BJSV3WBYJGRhQ6zExamkszQ5VutGIcaQqmbD9ZTVXMQ/edit#gid=1251630045"",""articles_with_PRISMA_reasons!B2:B2113"")))-1)"),"Perenc")</f>
        <v>Perenc</v>
      </c>
      <c r="C882" s="6">
        <f>IFERROR(__xludf.DUMMYFUNCTION("FILTER(IMPORTRANGE(""https://docs.google.com/spreadsheets/d/1BJSV3WBYJGRhQ6zExamkszQ5VutGIcaQqmbD9ZTVXMQ/edit#gid=1251630045"",""articles_with_PRISMA_reasons!C2:C2113""), $A882=IMPORTRANGE(""https://docs.google.com/spreadsheets/d/1BJSV3WBYJGRhQ6zExamkszQ5"&amp;"VutGIcaQqmbD9ZTVXMQ/edit#gid=1251630045"",""articles_with_PRISMA_reasons!B2:B2113""))"),2019.0)</f>
        <v>2019</v>
      </c>
      <c r="D882" s="5" t="str">
        <f>IFERROR(__xludf.DUMMYFUNCTION("IFS(AND(
FILTER(IMPORTRANGE(""https://docs.google.com/spreadsheets/d/1BJSV3WBYJGRhQ6zExamkszQ5VutGIcaQqmbD9ZTVXMQ/edit#gid=1251630045"",""articles_with_PRISMA_reasons!Y2:Y2113""), $A882=IMPORTRANGE(""https://docs.google.com/spreadsheets/d/1BJSV3WBYJGRhQ6z"&amp;"ExamkszQ5VutGIcaQqmbD9ZTVXMQ/edit#gid=1251630045"",""articles_with_PRISMA_reasons!B2:B2113""))&gt;=2,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$A882=IMPORTRANGE(""https://docs.google.com/spreadsheets/d/1BJSV3WBYJGRhQ6zExamkszQ5VutGIcaQqmbD9ZTVXMQ/edit#gid=1251630045"",""articles_with_PRISMA_reasons!B2:B2113""))&lt;2),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$A882=IMPORTRANGE(""https://docs.google.com/spreadsheets/d/1BJSV3WBYJGRhQ6zExamkszQ5VutGIcaQqmbD9ZTVXMQ/edit#gid=1251630045"",""arti"&amp;"cles_with_PRISMA_reasons!B2:B2113""))&lt;2,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$A882=IMPORTRANGE(""https://docs.google.com"&amp;"/spreadsheets/d/1BJSV3WBYJGRhQ6zExamkszQ5VutGIcaQqmbD9ZTVXMQ/edit#gid=1251630045"",""articles_with_PRISMA_reasons!B2:B2113""))&gt;=2),
""Exclude""
)"),"Exclude")</f>
        <v>Exclude</v>
      </c>
      <c r="E882" s="5" t="str">
        <f>IFERROR(__xludf.DUMMYFUNCTION("IFS(
D882=""Exclude"",""Exclude"",
AND(
FILTER(IMPORTRANGE(""https://docs.google.com/spreadsheets/d/1qpEmbGH0JjaJbUdp21-y2cPbobDbMjr09BbtdKROZWc/edit#gid=1444865654"",""articles_with_PRISMA_reasons!W2:W2113""), $A882=IMPORTRANGE(""https://docs.google.com/"&amp;"spreadsheets/d/1qpEmbGH0JjaJbUdp21-y2cPbobDbMjr09BbtdKROZWc/edit#gid=1444865654"",""articles_with_PRISMA_reasons!B2:B2113""))&gt;=2,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$A882=IMPORTRANGE(""https://docs.google.com/spreadsheets/d/1qpEmbGH0JjaJbUdp21-y2cPbobDbMjr09BbtdKROZWc/edit#gid=1444865654"",""articles_with_PRISMA_reasons!B2:B2113""))&lt;2),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$A882=IMPORTRANGE(""https://docs.google.com/spreadsheets/d/1qpEmbGH0JjaJbUdp21-y2cPbobDbMjr09BbtdKRO"&amp;"ZWc/edit#gid=1444865654"",""articles_with_PRISMA_reasons!B2:B2113""))&lt;2,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$A882=IMPOR"&amp;"TRANGE(""https://docs.google.com/spreadsheets/d/1qpEmbGH0JjaJbUdp21-y2cPbobDbMjr09BbtdKROZWc/edit#gid=1444865654"",""articles_with_PRISMA_reasons!B2:B2113""))&gt;=2),
""Exclude""
)"),"Exclude")</f>
        <v>Exclude</v>
      </c>
      <c r="F882" s="5" t="str">
        <f>IFERROR(__xludf.DUMMYFUNCTION("IFS(
E882=""Exclude"",""Exclude"",
AND(
COUNTIF(
IMPORTRANGE(""https://docs.google.com/spreadsheets/d/1kGrh75X1cNR1D7_FcY9zMnHP8iPO4M5RCRjy6nZY0TY/edit#gid=0"",""Table 1: Study characteristics!B4:B171""),A882)&gt;0,
COUNTIF(Studies!$A$2:$A$85,FILTER(IMPORTRA"&amp;"NGE(""https://docs.google.com/spreadsheets/d/1kGrh75X1cNR1D7_FcY9zMnHP8iPO4M5RCRjy6nZY0TY/edit#gid=0"",""Table 1: Study characteristics!A4:A171""), $A882=IMPORTRANGE(""https://docs.google.com/spreadsheets/d/1kGrh75X1cNR1D7_FcY9zMnHP8iPO4M5RCRjy6nZY0TY/edi"&amp;"t#gid=0"",""Table 1: Study characteristics!B4:B171"")))&gt;0
),
""Include""
)"),"Exclude")</f>
        <v>Exclude</v>
      </c>
      <c r="G882" s="5" t="str">
        <f>IFERROR(__xludf.DUMMYFUNCTION("IFS(
D882=""Exclude"",
FILTER(IMPORTRANGE(""https://docs.google.com/spreadsheets/d/1BJSV3WBYJGRhQ6zExamkszQ5VutGIcaQqmbD9ZTVXMQ/edit#gid=1251630045"",""articles_with_PRISMA_reasons!AB2:AB2113""), $A882=IMPORTRANGE(""https://docs.google.com/spreadsheets/d/"&amp;"1BJSV3WBYJGRhQ6zExamkszQ5VutGIcaQqmbD9ZTVXMQ/edit#gid=1251630045"",""articles_with_PRISMA_reasons!B2:B2113"")),
E882=""Exclude"",
FILTER(IMPORTRANGE(""https://docs.google.com/spreadsheets/d/1qpEmbGH0JjaJbUdp21-y2cPbobDbMjr09BbtdKROZWc/edit#gid=1444865654"&amp;""",""articles_with_PRISMA_reasons!Z2:Z2113""), $A882=IMPORTRANGE(""https://docs.google.com/spreadsheets/d/1qpEmbGH0JjaJbUdp21-y2cPbobDbMjr09BbtdKROZWc/edit#gid=1444865654"",""articles_with_PRISMA_reasons!B2:B2113"")),F882
=""Include"",FILTER(IMPORTRANGE("&amp;"""https://docs.google.com/spreadsheets/d/1kGrh75X1cNR1D7_FcY9zMnHP8iPO4M5RCRjy6nZY0TY/edit#gid=0"",""Table 1: Study characteristics!A4:A171""), $A882=IMPORTRANGE(""https://docs.google.com/spreadsheets/d/1kGrh75X1cNR1D7_FcY9zMnHP8iPO4M5RCRjy6nZY0TY/edit#gi"&amp;"d=0"",""Table 1: Study characteristics!B4:B171""))
)"),"wrong population")</f>
        <v>wrong population</v>
      </c>
    </row>
    <row r="883">
      <c r="A883" s="4" t="str">
        <f>IFERROR(__xludf.DUMMYFUNCTION("""COMPUTED_VALUE"""),"Growth hormone deficiency in children with myelomeningocele (MMC)--effects of growth hormone treatment")</f>
        <v>Growth hormone deficiency in children with myelomeningocele (MMC)--effects of growth hormone treatment</v>
      </c>
      <c r="B883" s="5" t="str">
        <f>IFERROR(__xludf.DUMMYFUNCTION("LEFT(FILTER(IMPORTRANGE(""https://docs.google.com/spreadsheets/d/1BJSV3WBYJGRhQ6zExamkszQ5VutGIcaQqmbD9ZTVXMQ/edit#gid=1251630045"",""articles_with_PRISMA_reasons!K2:K2113""), $A883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$A883=IMPORTRANGE(""https://docs.google.com/spreadsheets/d/1BJSV3WBYJGRhQ6zExamkszQ5VutGIcaQqmbD9ZTVXMQ/edit#gid=1251630045"",""articles_with_PRISMA_reasons!B2:B2113"")))-1)"),"Trollmann")</f>
        <v>Trollmann</v>
      </c>
      <c r="C883" s="6">
        <f>IFERROR(__xludf.DUMMYFUNCTION("FILTER(IMPORTRANGE(""https://docs.google.com/spreadsheets/d/1BJSV3WBYJGRhQ6zExamkszQ5VutGIcaQqmbD9ZTVXMQ/edit#gid=1251630045"",""articles_with_PRISMA_reasons!C2:C2113""), $A883=IMPORTRANGE(""https://docs.google.com/spreadsheets/d/1BJSV3WBYJGRhQ6zExamkszQ5"&amp;"VutGIcaQqmbD9ZTVXMQ/edit#gid=1251630045"",""articles_with_PRISMA_reasons!B2:B2113""))"),1997.0)</f>
        <v>1997</v>
      </c>
      <c r="D883" s="5" t="str">
        <f>IFERROR(__xludf.DUMMYFUNCTION("IFS(AND(
FILTER(IMPORTRANGE(""https://docs.google.com/spreadsheets/d/1BJSV3WBYJGRhQ6zExamkszQ5VutGIcaQqmbD9ZTVXMQ/edit#gid=1251630045"",""articles_with_PRISMA_reasons!Y2:Y2113""), $A883=IMPORTRANGE(""https://docs.google.com/spreadsheets/d/1BJSV3WBYJGRhQ6z"&amp;"ExamkszQ5VutGIcaQqmbD9ZTVXMQ/edit#gid=1251630045"",""articles_with_PRISMA_reasons!B2:B2113""))&gt;=2,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$A883=IMPORTRANGE(""https://docs.google.com/spreadsheets/d/1BJSV3WBYJGRhQ6zExamkszQ5VutGIcaQqmbD9ZTVXMQ/edit#gid=1251630045"",""articles_with_PRISMA_reasons!B2:B2113""))&lt;2),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$A883=IMPORTRANGE(""https://docs.google.com/spreadsheets/d/1BJSV3WBYJGRhQ6zExamkszQ5VutGIcaQqmbD9ZTVXMQ/edit#gid=1251630045"",""arti"&amp;"cles_with_PRISMA_reasons!B2:B2113""))&lt;2,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$A883=IMPORTRANGE(""https://docs.google.com"&amp;"/spreadsheets/d/1BJSV3WBYJGRhQ6zExamkszQ5VutGIcaQqmbD9ZTVXMQ/edit#gid=1251630045"",""articles_with_PRISMA_reasons!B2:B2113""))&gt;=2),
""Exclude""
)"),"Exclude")</f>
        <v>Exclude</v>
      </c>
      <c r="E883" s="5" t="str">
        <f>IFERROR(__xludf.DUMMYFUNCTION("IFS(
D883=""Exclude"",""Exclude"",
AND(
FILTER(IMPORTRANGE(""https://docs.google.com/spreadsheets/d/1qpEmbGH0JjaJbUdp21-y2cPbobDbMjr09BbtdKROZWc/edit#gid=1444865654"",""articles_with_PRISMA_reasons!W2:W2113""), $A883=IMPORTRANGE(""https://docs.google.com/"&amp;"spreadsheets/d/1qpEmbGH0JjaJbUdp21-y2cPbobDbMjr09BbtdKROZWc/edit#gid=1444865654"",""articles_with_PRISMA_reasons!B2:B2113""))&gt;=2,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$A883=IMPORTRANGE(""https://docs.google.com/spreadsheets/d/1qpEmbGH0JjaJbUdp21-y2cPbobDbMjr09BbtdKROZWc/edit#gid=1444865654"",""articles_with_PRISMA_reasons!B2:B2113""))&lt;2),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$A883=IMPORTRANGE(""https://docs.google.com/spreadsheets/d/1qpEmbGH0JjaJbUdp21-y2cPbobDbMjr09BbtdKRO"&amp;"ZWc/edit#gid=1444865654"",""articles_with_PRISMA_reasons!B2:B2113""))&lt;2,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$A883=IMPOR"&amp;"TRANGE(""https://docs.google.com/spreadsheets/d/1qpEmbGH0JjaJbUdp21-y2cPbobDbMjr09BbtdKROZWc/edit#gid=1444865654"",""articles_with_PRISMA_reasons!B2:B2113""))&gt;=2),
""Exclude""
)"),"Exclude")</f>
        <v>Exclude</v>
      </c>
      <c r="F883" s="5" t="str">
        <f>IFERROR(__xludf.DUMMYFUNCTION("IFS(
E883=""Exclude"",""Exclude"",
AND(
COUNTIF(
IMPORTRANGE(""https://docs.google.com/spreadsheets/d/1kGrh75X1cNR1D7_FcY9zMnHP8iPO4M5RCRjy6nZY0TY/edit#gid=0"",""Table 1: Study characteristics!B4:B171""),A883)&gt;0,
COUNTIF(Studies!$A$2:$A$85,FILTER(IMPORTRA"&amp;"NGE(""https://docs.google.com/spreadsheets/d/1kGrh75X1cNR1D7_FcY9zMnHP8iPO4M5RCRjy6nZY0TY/edit#gid=0"",""Table 1: Study characteristics!A4:A171""), $A883=IMPORTRANGE(""https://docs.google.com/spreadsheets/d/1kGrh75X1cNR1D7_FcY9zMnHP8iPO4M5RCRjy6nZY0TY/edi"&amp;"t#gid=0"",""Table 1: Study characteristics!B4:B171"")))&gt;0
),
""Include""
)"),"Exclude")</f>
        <v>Exclude</v>
      </c>
      <c r="G883" s="5" t="str">
        <f>IFERROR(__xludf.DUMMYFUNCTION("IFS(
D883=""Exclude"",
FILTER(IMPORTRANGE(""https://docs.google.com/spreadsheets/d/1BJSV3WBYJGRhQ6zExamkszQ5VutGIcaQqmbD9ZTVXMQ/edit#gid=1251630045"",""articles_with_PRISMA_reasons!AB2:AB2113""), $A883=IMPORTRANGE(""https://docs.google.com/spreadsheets/d/"&amp;"1BJSV3WBYJGRhQ6zExamkszQ5VutGIcaQqmbD9ZTVXMQ/edit#gid=1251630045"",""articles_with_PRISMA_reasons!B2:B2113"")),
E883=""Exclude"",
FILTER(IMPORTRANGE(""https://docs.google.com/spreadsheets/d/1qpEmbGH0JjaJbUdp21-y2cPbobDbMjr09BbtdKROZWc/edit#gid=1444865654"&amp;""",""articles_with_PRISMA_reasons!Z2:Z2113""), $A883=IMPORTRANGE(""https://docs.google.com/spreadsheets/d/1qpEmbGH0JjaJbUdp21-y2cPbobDbMjr09BbtdKROZWc/edit#gid=1444865654"",""articles_with_PRISMA_reasons!B2:B2113"")),F883
=""Include"",FILTER(IMPORTRANGE("&amp;"""https://docs.google.com/spreadsheets/d/1kGrh75X1cNR1D7_FcY9zMnHP8iPO4M5RCRjy6nZY0TY/edit#gid=0"",""Table 1: Study characteristics!A4:A171""), $A883=IMPORTRANGE(""https://docs.google.com/spreadsheets/d/1kGrh75X1cNR1D7_FcY9zMnHP8iPO4M5RCRjy6nZY0TY/edit#gi"&amp;"d=0"",""Table 1: Study characteristics!B4:B171""))
)"),"wrong study design")</f>
        <v>wrong study design</v>
      </c>
    </row>
    <row r="884">
      <c r="A884" s="4" t="str">
        <f>IFERROR(__xludf.DUMMYFUNCTION("""COMPUTED_VALUE"""),"Growth hormone therapy in patients with myelomenginocele")</f>
        <v>Growth hormone therapy in patients with myelomenginocele</v>
      </c>
      <c r="B884" s="5" t="str">
        <f>IFERROR(__xludf.DUMMYFUNCTION("LEFT(FILTER(IMPORTRANGE(""https://docs.google.com/spreadsheets/d/1BJSV3WBYJGRhQ6zExamkszQ5VutGIcaQqmbD9ZTVXMQ/edit#gid=1251630045"",""articles_with_PRISMA_reasons!K2:K2113""), $A884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$A884=IMPORTRANGE(""https://docs.google.com/spreadsheets/d/1BJSV3WBYJGRhQ6zExamkszQ5VutGIcaQqmbD9ZTVXMQ/edit#gid=1251630045"",""articles_with_PRISMA_reasons!B2:B2113"")))-1)"),"Hirschfelder")</f>
        <v>Hirschfelder</v>
      </c>
      <c r="C884" s="6">
        <f>IFERROR(__xludf.DUMMYFUNCTION("FILTER(IMPORTRANGE(""https://docs.google.com/spreadsheets/d/1BJSV3WBYJGRhQ6zExamkszQ5VutGIcaQqmbD9ZTVXMQ/edit#gid=1251630045"",""articles_with_PRISMA_reasons!C2:C2113""), $A884=IMPORTRANGE(""https://docs.google.com/spreadsheets/d/1BJSV3WBYJGRhQ6zExamkszQ5"&amp;"VutGIcaQqmbD9ZTVXMQ/edit#gid=1251630045"",""articles_with_PRISMA_reasons!B2:B2113""))"),1999.0)</f>
        <v>1999</v>
      </c>
      <c r="D884" s="5" t="str">
        <f>IFERROR(__xludf.DUMMYFUNCTION("IFS(AND(
FILTER(IMPORTRANGE(""https://docs.google.com/spreadsheets/d/1BJSV3WBYJGRhQ6zExamkszQ5VutGIcaQqmbD9ZTVXMQ/edit#gid=1251630045"",""articles_with_PRISMA_reasons!Y2:Y2113""), $A884=IMPORTRANGE(""https://docs.google.com/spreadsheets/d/1BJSV3WBYJGRhQ6z"&amp;"ExamkszQ5VutGIcaQqmbD9ZTVXMQ/edit#gid=1251630045"",""articles_with_PRISMA_reasons!B2:B2113""))&gt;=2,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$A884=IMPORTRANGE(""https://docs.google.com/spreadsheets/d/1BJSV3WBYJGRhQ6zExamkszQ5VutGIcaQqmbD9ZTVXMQ/edit#gid=1251630045"",""articles_with_PRISMA_reasons!B2:B2113""))&lt;2),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$A884=IMPORTRANGE(""https://docs.google.com/spreadsheets/d/1BJSV3WBYJGRhQ6zExamkszQ5VutGIcaQqmbD9ZTVXMQ/edit#gid=1251630045"",""arti"&amp;"cles_with_PRISMA_reasons!B2:B2113""))&lt;2,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$A884=IMPORTRANGE(""https://docs.google.com"&amp;"/spreadsheets/d/1BJSV3WBYJGRhQ6zExamkszQ5VutGIcaQqmbD9ZTVXMQ/edit#gid=1251630045"",""articles_with_PRISMA_reasons!B2:B2113""))&gt;=2),
""Exclude""
)"),"Include")</f>
        <v>Include</v>
      </c>
      <c r="E884" s="5" t="str">
        <f>IFERROR(__xludf.DUMMYFUNCTION("IFS(
D884=""Exclude"",""Exclude"",
AND(
FILTER(IMPORTRANGE(""https://docs.google.com/spreadsheets/d/1qpEmbGH0JjaJbUdp21-y2cPbobDbMjr09BbtdKROZWc/edit#gid=1444865654"",""articles_with_PRISMA_reasons!W2:W2113""), $A884=IMPORTRANGE(""https://docs.google.com/"&amp;"spreadsheets/d/1qpEmbGH0JjaJbUdp21-y2cPbobDbMjr09BbtdKROZWc/edit#gid=1444865654"",""articles_with_PRISMA_reasons!B2:B2113""))&gt;=2,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$A884=IMPORTRANGE(""https://docs.google.com/spreadsheets/d/1qpEmbGH0JjaJbUdp21-y2cPbobDbMjr09BbtdKROZWc/edit#gid=1444865654"",""articles_with_PRISMA_reasons!B2:B2113""))&lt;2),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$A884=IMPORTRANGE(""https://docs.google.com/spreadsheets/d/1qpEmbGH0JjaJbUdp21-y2cPbobDbMjr09BbtdKRO"&amp;"ZWc/edit#gid=1444865654"",""articles_with_PRISMA_reasons!B2:B2113""))&lt;2,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$A884=IMPOR"&amp;"TRANGE(""https://docs.google.com/spreadsheets/d/1qpEmbGH0JjaJbUdp21-y2cPbobDbMjr09BbtdKROZWc/edit#gid=1444865654"",""articles_with_PRISMA_reasons!B2:B2113""))&gt;=2),
""Exclude""
)"),"Exclude")</f>
        <v>Exclude</v>
      </c>
      <c r="F884" s="5" t="str">
        <f>IFERROR(__xludf.DUMMYFUNCTION("IFS(
E884=""Exclude"",""Exclude"",
AND(
COUNTIF(
IMPORTRANGE(""https://docs.google.com/spreadsheets/d/1kGrh75X1cNR1D7_FcY9zMnHP8iPO4M5RCRjy6nZY0TY/edit#gid=0"",""Table 1: Study characteristics!B4:B171""),A884)&gt;0,
COUNTIF(Studies!$A$2:$A$85,FILTER(IMPORTRA"&amp;"NGE(""https://docs.google.com/spreadsheets/d/1kGrh75X1cNR1D7_FcY9zMnHP8iPO4M5RCRjy6nZY0TY/edit#gid=0"",""Table 1: Study characteristics!A4:A171""), $A884=IMPORTRANGE(""https://docs.google.com/spreadsheets/d/1kGrh75X1cNR1D7_FcY9zMnHP8iPO4M5RCRjy6nZY0TY/edi"&amp;"t#gid=0"",""Table 1: Study characteristics!B4:B171"")))&gt;0
),
""Include""
)"),"Exclude")</f>
        <v>Exclude</v>
      </c>
      <c r="G884" s="5" t="str">
        <f>IFERROR(__xludf.DUMMYFUNCTION("IFS(
D884=""Exclude"",
FILTER(IMPORTRANGE(""https://docs.google.com/spreadsheets/d/1BJSV3WBYJGRhQ6zExamkszQ5VutGIcaQqmbD9ZTVXMQ/edit#gid=1251630045"",""articles_with_PRISMA_reasons!AB2:AB2113""), $A884=IMPORTRANGE(""https://docs.google.com/spreadsheets/d/"&amp;"1BJSV3WBYJGRhQ6zExamkszQ5VutGIcaQqmbD9ZTVXMQ/edit#gid=1251630045"",""articles_with_PRISMA_reasons!B2:B2113"")),
E884=""Exclude"",
FILTER(IMPORTRANGE(""https://docs.google.com/spreadsheets/d/1qpEmbGH0JjaJbUdp21-y2cPbobDbMjr09BbtdKROZWc/edit#gid=1444865654"&amp;""",""articles_with_PRISMA_reasons!Z2:Z2113""), $A884=IMPORTRANGE(""https://docs.google.com/spreadsheets/d/1qpEmbGH0JjaJbUdp21-y2cPbobDbMjr09BbtdKROZWc/edit#gid=1444865654"",""articles_with_PRISMA_reasons!B2:B2113"")),F884
=""Include"",FILTER(IMPORTRANGE("&amp;"""https://docs.google.com/spreadsheets/d/1kGrh75X1cNR1D7_FcY9zMnHP8iPO4M5RCRjy6nZY0TY/edit#gid=0"",""Table 1: Study characteristics!A4:A171""), $A884=IMPORTRANGE(""https://docs.google.com/spreadsheets/d/1kGrh75X1cNR1D7_FcY9zMnHP8iPO4M5RCRjy6nZY0TY/edit#gi"&amp;"d=0"",""Table 1: Study characteristics!B4:B171""))
)"),"wrong population")</f>
        <v>wrong population</v>
      </c>
    </row>
    <row r="885">
      <c r="A885" s="4" t="str">
        <f>IFERROR(__xludf.DUMMYFUNCTION("""COMPUTED_VALUE"""),"Hand function and tactile perception in a sample of children with myelomeningocele")</f>
        <v>Hand function and tactile perception in a sample of children with myelomeningocele</v>
      </c>
      <c r="B885" s="5" t="str">
        <f>IFERROR(__xludf.DUMMYFUNCTION("LEFT(FILTER(IMPORTRANGE(""https://docs.google.com/spreadsheets/d/1BJSV3WBYJGRhQ6zExamkszQ5VutGIcaQqmbD9ZTVXMQ/edit#gid=1251630045"",""articles_with_PRISMA_reasons!K2:K2113""), $A885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$A885=IMPORTRANGE(""https://docs.google.com/spreadsheets/d/1BJSV3WBYJGRhQ6zExamkszQ5VutGIcaQqmbD9ZTVXMQ/edit#gid=1251630045"",""articles_with_PRISMA_reasons!B2:B2113"")))-1)"),"Grimm")</f>
        <v>Grimm</v>
      </c>
      <c r="C885" s="6">
        <f>IFERROR(__xludf.DUMMYFUNCTION("FILTER(IMPORTRANGE(""https://docs.google.com/spreadsheets/d/1BJSV3WBYJGRhQ6zExamkszQ5VutGIcaQqmbD9ZTVXMQ/edit#gid=1251630045"",""articles_with_PRISMA_reasons!C2:C2113""), $A885=IMPORTRANGE(""https://docs.google.com/spreadsheets/d/1BJSV3WBYJGRhQ6zExamkszQ5"&amp;"VutGIcaQqmbD9ZTVXMQ/edit#gid=1251630045"",""articles_with_PRISMA_reasons!B2:B2113""))"),1976.0)</f>
        <v>1976</v>
      </c>
      <c r="D885" s="5" t="str">
        <f>IFERROR(__xludf.DUMMYFUNCTION("IFS(AND(
FILTER(IMPORTRANGE(""https://docs.google.com/spreadsheets/d/1BJSV3WBYJGRhQ6zExamkszQ5VutGIcaQqmbD9ZTVXMQ/edit#gid=1251630045"",""articles_with_PRISMA_reasons!Y2:Y2113""), $A885=IMPORTRANGE(""https://docs.google.com/spreadsheets/d/1BJSV3WBYJGRhQ6z"&amp;"ExamkszQ5VutGIcaQqmbD9ZTVXMQ/edit#gid=1251630045"",""articles_with_PRISMA_reasons!B2:B2113""))&gt;=2,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$A885=IMPORTRANGE(""https://docs.google.com/spreadsheets/d/1BJSV3WBYJGRhQ6zExamkszQ5VutGIcaQqmbD9ZTVXMQ/edit#gid=1251630045"",""articles_with_PRISMA_reasons!B2:B2113""))&lt;2),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$A885=IMPORTRANGE(""https://docs.google.com/spreadsheets/d/1BJSV3WBYJGRhQ6zExamkszQ5VutGIcaQqmbD9ZTVXMQ/edit#gid=1251630045"",""arti"&amp;"cles_with_PRISMA_reasons!B2:B2113""))&lt;2,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$A885=IMPORTRANGE(""https://docs.google.com"&amp;"/spreadsheets/d/1BJSV3WBYJGRhQ6zExamkszQ5VutGIcaQqmbD9ZTVXMQ/edit#gid=1251630045"",""articles_with_PRISMA_reasons!B2:B2113""))&gt;=2),
""Exclude""
)"),"Exclude")</f>
        <v>Exclude</v>
      </c>
      <c r="E885" s="5" t="str">
        <f>IFERROR(__xludf.DUMMYFUNCTION("IFS(
D885=""Exclude"",""Exclude"",
AND(
FILTER(IMPORTRANGE(""https://docs.google.com/spreadsheets/d/1qpEmbGH0JjaJbUdp21-y2cPbobDbMjr09BbtdKROZWc/edit#gid=1444865654"",""articles_with_PRISMA_reasons!W2:W2113""), $A885=IMPORTRANGE(""https://docs.google.com/"&amp;"spreadsheets/d/1qpEmbGH0JjaJbUdp21-y2cPbobDbMjr09BbtdKROZWc/edit#gid=1444865654"",""articles_with_PRISMA_reasons!B2:B2113""))&gt;=2,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$A885=IMPORTRANGE(""https://docs.google.com/spreadsheets/d/1qpEmbGH0JjaJbUdp21-y2cPbobDbMjr09BbtdKROZWc/edit#gid=1444865654"",""articles_with_PRISMA_reasons!B2:B2113""))&lt;2),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$A885=IMPORTRANGE(""https://docs.google.com/spreadsheets/d/1qpEmbGH0JjaJbUdp21-y2cPbobDbMjr09BbtdKRO"&amp;"ZWc/edit#gid=1444865654"",""articles_with_PRISMA_reasons!B2:B2113""))&lt;2,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$A885=IMPOR"&amp;"TRANGE(""https://docs.google.com/spreadsheets/d/1qpEmbGH0JjaJbUdp21-y2cPbobDbMjr09BbtdKROZWc/edit#gid=1444865654"",""articles_with_PRISMA_reasons!B2:B2113""))&gt;=2),
""Exclude""
)"),"Exclude")</f>
        <v>Exclude</v>
      </c>
      <c r="F885" s="5" t="str">
        <f>IFERROR(__xludf.DUMMYFUNCTION("IFS(
E885=""Exclude"",""Exclude"",
AND(
COUNTIF(
IMPORTRANGE(""https://docs.google.com/spreadsheets/d/1kGrh75X1cNR1D7_FcY9zMnHP8iPO4M5RCRjy6nZY0TY/edit#gid=0"",""Table 1: Study characteristics!B4:B171""),A885)&gt;0,
COUNTIF(Studies!$A$2:$A$85,FILTER(IMPORTRA"&amp;"NGE(""https://docs.google.com/spreadsheets/d/1kGrh75X1cNR1D7_FcY9zMnHP8iPO4M5RCRjy6nZY0TY/edit#gid=0"",""Table 1: Study characteristics!A4:A171""), $A885=IMPORTRANGE(""https://docs.google.com/spreadsheets/d/1kGrh75X1cNR1D7_FcY9zMnHP8iPO4M5RCRjy6nZY0TY/edi"&amp;"t#gid=0"",""Table 1: Study characteristics!B4:B171"")))&gt;0
),
""Include""
)"),"Exclude")</f>
        <v>Exclude</v>
      </c>
      <c r="G885" s="5" t="str">
        <f>IFERROR(__xludf.DUMMYFUNCTION("IFS(
D885=""Exclude"",
FILTER(IMPORTRANGE(""https://docs.google.com/spreadsheets/d/1BJSV3WBYJGRhQ6zExamkszQ5VutGIcaQqmbD9ZTVXMQ/edit#gid=1251630045"",""articles_with_PRISMA_reasons!AB2:AB2113""), $A885=IMPORTRANGE(""https://docs.google.com/spreadsheets/d/"&amp;"1BJSV3WBYJGRhQ6zExamkszQ5VutGIcaQqmbD9ZTVXMQ/edit#gid=1251630045"",""articles_with_PRISMA_reasons!B2:B2113"")),
E885=""Exclude"",
FILTER(IMPORTRANGE(""https://docs.google.com/spreadsheets/d/1qpEmbGH0JjaJbUdp21-y2cPbobDbMjr09BbtdKROZWc/edit#gid=1444865654"&amp;""",""articles_with_PRISMA_reasons!Z2:Z2113""), $A885=IMPORTRANGE(""https://docs.google.com/spreadsheets/d/1qpEmbGH0JjaJbUdp21-y2cPbobDbMjr09BbtdKROZWc/edit#gid=1444865654"",""articles_with_PRISMA_reasons!B2:B2113"")),F885
=""Include"",FILTER(IMPORTRANGE("&amp;"""https://docs.google.com/spreadsheets/d/1kGrh75X1cNR1D7_FcY9zMnHP8iPO4M5RCRjy6nZY0TY/edit#gid=0"",""Table 1: Study characteristics!A4:A171""), $A885=IMPORTRANGE(""https://docs.google.com/spreadsheets/d/1kGrh75X1cNR1D7_FcY9zMnHP8iPO4M5RCRjy6nZY0TY/edit#gi"&amp;"d=0"",""Table 1: Study characteristics!B4:B171""))
)"),"wrong population")</f>
        <v>wrong population</v>
      </c>
    </row>
    <row r="886">
      <c r="A886" s="4" t="str">
        <f>IFERROR(__xludf.DUMMYFUNCTION("""COMPUTED_VALUE"""),"Hand function in children with myelomeningocele")</f>
        <v>Hand function in children with myelomeningocele</v>
      </c>
      <c r="B886" s="5" t="str">
        <f>IFERROR(__xludf.DUMMYFUNCTION("LEFT(FILTER(IMPORTRANGE(""https://docs.google.com/spreadsheets/d/1BJSV3WBYJGRhQ6zExamkszQ5VutGIcaQqmbD9ZTVXMQ/edit#gid=1251630045"",""articles_with_PRISMA_reasons!K2:K2113""), $A886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$A886=IMPORTRANGE(""https://docs.google.com/spreadsheets/d/1BJSV3WBYJGRhQ6zExamkszQ5VutGIcaQqmbD9ZTVXMQ/edit#gid=1251630045"",""articles_with_PRISMA_reasons!B2:B2113"")))-1)"),"Turner")</f>
        <v>Turner</v>
      </c>
      <c r="C886" s="6">
        <f>IFERROR(__xludf.DUMMYFUNCTION("FILTER(IMPORTRANGE(""https://docs.google.com/spreadsheets/d/1BJSV3WBYJGRhQ6zExamkszQ5VutGIcaQqmbD9ZTVXMQ/edit#gid=1251630045"",""articles_with_PRISMA_reasons!C2:C2113""), $A886=IMPORTRANGE(""https://docs.google.com/spreadsheets/d/1BJSV3WBYJGRhQ6zExamkszQ5"&amp;"VutGIcaQqmbD9ZTVXMQ/edit#gid=1251630045"",""articles_with_PRISMA_reasons!B2:B2113""))"),1985.0)</f>
        <v>1985</v>
      </c>
      <c r="D886" s="5" t="str">
        <f>IFERROR(__xludf.DUMMYFUNCTION("IFS(AND(
FILTER(IMPORTRANGE(""https://docs.google.com/spreadsheets/d/1BJSV3WBYJGRhQ6zExamkszQ5VutGIcaQqmbD9ZTVXMQ/edit#gid=1251630045"",""articles_with_PRISMA_reasons!Y2:Y2113""), $A886=IMPORTRANGE(""https://docs.google.com/spreadsheets/d/1BJSV3WBYJGRhQ6z"&amp;"ExamkszQ5VutGIcaQqmbD9ZTVXMQ/edit#gid=1251630045"",""articles_with_PRISMA_reasons!B2:B2113""))&gt;=2,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$A886=IMPORTRANGE(""https://docs.google.com/spreadsheets/d/1BJSV3WBYJGRhQ6zExamkszQ5VutGIcaQqmbD9ZTVXMQ/edit#gid=1251630045"",""articles_with_PRISMA_reasons!B2:B2113""))&lt;2),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$A886=IMPORTRANGE(""https://docs.google.com/spreadsheets/d/1BJSV3WBYJGRhQ6zExamkszQ5VutGIcaQqmbD9ZTVXMQ/edit#gid=1251630045"",""arti"&amp;"cles_with_PRISMA_reasons!B2:B2113""))&lt;2,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$A886=IMPORTRANGE(""https://docs.google.com"&amp;"/spreadsheets/d/1BJSV3WBYJGRhQ6zExamkszQ5VutGIcaQqmbD9ZTVXMQ/edit#gid=1251630045"",""articles_with_PRISMA_reasons!B2:B2113""))&gt;=2),
""Exclude""
)"),"Exclude")</f>
        <v>Exclude</v>
      </c>
      <c r="E886" s="5" t="str">
        <f>IFERROR(__xludf.DUMMYFUNCTION("IFS(
D886=""Exclude"",""Exclude"",
AND(
FILTER(IMPORTRANGE(""https://docs.google.com/spreadsheets/d/1qpEmbGH0JjaJbUdp21-y2cPbobDbMjr09BbtdKROZWc/edit#gid=1444865654"",""articles_with_PRISMA_reasons!W2:W2113""), $A886=IMPORTRANGE(""https://docs.google.com/"&amp;"spreadsheets/d/1qpEmbGH0JjaJbUdp21-y2cPbobDbMjr09BbtdKROZWc/edit#gid=1444865654"",""articles_with_PRISMA_reasons!B2:B2113""))&gt;=2,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$A886=IMPORTRANGE(""https://docs.google.com/spreadsheets/d/1qpEmbGH0JjaJbUdp21-y2cPbobDbMjr09BbtdKROZWc/edit#gid=1444865654"",""articles_with_PRISMA_reasons!B2:B2113""))&lt;2),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$A886=IMPORTRANGE(""https://docs.google.com/spreadsheets/d/1qpEmbGH0JjaJbUdp21-y2cPbobDbMjr09BbtdKRO"&amp;"ZWc/edit#gid=1444865654"",""articles_with_PRISMA_reasons!B2:B2113""))&lt;2,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$A886=IMPOR"&amp;"TRANGE(""https://docs.google.com/spreadsheets/d/1qpEmbGH0JjaJbUdp21-y2cPbobDbMjr09BbtdKROZWc/edit#gid=1444865654"",""articles_with_PRISMA_reasons!B2:B2113""))&gt;=2),
""Exclude""
)"),"Exclude")</f>
        <v>Exclude</v>
      </c>
      <c r="F886" s="5" t="str">
        <f>IFERROR(__xludf.DUMMYFUNCTION("IFS(
E886=""Exclude"",""Exclude"",
AND(
COUNTIF(
IMPORTRANGE(""https://docs.google.com/spreadsheets/d/1kGrh75X1cNR1D7_FcY9zMnHP8iPO4M5RCRjy6nZY0TY/edit#gid=0"",""Table 1: Study characteristics!B4:B171""),A886)&gt;0,
COUNTIF(Studies!$A$2:$A$85,FILTER(IMPORTRA"&amp;"NGE(""https://docs.google.com/spreadsheets/d/1kGrh75X1cNR1D7_FcY9zMnHP8iPO4M5RCRjy6nZY0TY/edit#gid=0"",""Table 1: Study characteristics!A4:A171""), $A886=IMPORTRANGE(""https://docs.google.com/spreadsheets/d/1kGrh75X1cNR1D7_FcY9zMnHP8iPO4M5RCRjy6nZY0TY/edi"&amp;"t#gid=0"",""Table 1: Study characteristics!B4:B171"")))&gt;0
),
""Include""
)"),"Exclude")</f>
        <v>Exclude</v>
      </c>
      <c r="G886" s="5" t="str">
        <f>IFERROR(__xludf.DUMMYFUNCTION("IFS(
D886=""Exclude"",
FILTER(IMPORTRANGE(""https://docs.google.com/spreadsheets/d/1BJSV3WBYJGRhQ6zExamkszQ5VutGIcaQqmbD9ZTVXMQ/edit#gid=1251630045"",""articles_with_PRISMA_reasons!AB2:AB2113""), $A886=IMPORTRANGE(""https://docs.google.com/spreadsheets/d/"&amp;"1BJSV3WBYJGRhQ6zExamkszQ5VutGIcaQqmbD9ZTVXMQ/edit#gid=1251630045"",""articles_with_PRISMA_reasons!B2:B2113"")),
E886=""Exclude"",
FILTER(IMPORTRANGE(""https://docs.google.com/spreadsheets/d/1qpEmbGH0JjaJbUdp21-y2cPbobDbMjr09BbtdKROZWc/edit#gid=1444865654"&amp;""",""articles_with_PRISMA_reasons!Z2:Z2113""), $A886=IMPORTRANGE(""https://docs.google.com/spreadsheets/d/1qpEmbGH0JjaJbUdp21-y2cPbobDbMjr09BbtdKROZWc/edit#gid=1444865654"",""articles_with_PRISMA_reasons!B2:B2113"")),F886
=""Include"",FILTER(IMPORTRANGE("&amp;"""https://docs.google.com/spreadsheets/d/1kGrh75X1cNR1D7_FcY9zMnHP8iPO4M5RCRjy6nZY0TY/edit#gid=0"",""Table 1: Study characteristics!A4:A171""), $A886=IMPORTRANGE(""https://docs.google.com/spreadsheets/d/1kGrh75X1cNR1D7_FcY9zMnHP8iPO4M5RCRjy6nZY0TY/edit#gi"&amp;"d=0"",""Table 1: Study characteristics!B4:B171""))
)"),"wrong population")</f>
        <v>wrong population</v>
      </c>
    </row>
    <row r="887">
      <c r="A887" s="4" t="str">
        <f>IFERROR(__xludf.DUMMYFUNCTION("""COMPUTED_VALUE"""),"Hand function in patients with spina bifida cystica")</f>
        <v>Hand function in patients with spina bifida cystica</v>
      </c>
      <c r="B887" s="5" t="str">
        <f>IFERROR(__xludf.DUMMYFUNCTION("LEFT(FILTER(IMPORTRANGE(""https://docs.google.com/spreadsheets/d/1BJSV3WBYJGRhQ6zExamkszQ5VutGIcaQqmbD9ZTVXMQ/edit#gid=1251630045"",""articles_with_PRISMA_reasons!K2:K2113""), $A887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$A887=IMPORTRANGE(""https://docs.google.com/spreadsheets/d/1BJSV3WBYJGRhQ6zExamkszQ5VutGIcaQqmbD9ZTVXMQ/edit#gid=1251630045"",""articles_with_PRISMA_reasons!B2:B2113"")))-1)"),"Mazur")</f>
        <v>Mazur</v>
      </c>
      <c r="C887" s="6">
        <f>IFERROR(__xludf.DUMMYFUNCTION("FILTER(IMPORTRANGE(""https://docs.google.com/spreadsheets/d/1BJSV3WBYJGRhQ6zExamkszQ5VutGIcaQqmbD9ZTVXMQ/edit#gid=1251630045"",""articles_with_PRISMA_reasons!C2:C2113""), $A887=IMPORTRANGE(""https://docs.google.com/spreadsheets/d/1BJSV3WBYJGRhQ6zExamkszQ5"&amp;"VutGIcaQqmbD9ZTVXMQ/edit#gid=1251630045"",""articles_with_PRISMA_reasons!B2:B2113""))"),1986.0)</f>
        <v>1986</v>
      </c>
      <c r="D887" s="5" t="str">
        <f>IFERROR(__xludf.DUMMYFUNCTION("IFS(AND(
FILTER(IMPORTRANGE(""https://docs.google.com/spreadsheets/d/1BJSV3WBYJGRhQ6zExamkszQ5VutGIcaQqmbD9ZTVXMQ/edit#gid=1251630045"",""articles_with_PRISMA_reasons!Y2:Y2113""), $A887=IMPORTRANGE(""https://docs.google.com/spreadsheets/d/1BJSV3WBYJGRhQ6z"&amp;"ExamkszQ5VutGIcaQqmbD9ZTVXMQ/edit#gid=1251630045"",""articles_with_PRISMA_reasons!B2:B2113""))&gt;=2,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$A887=IMPORTRANGE(""https://docs.google.com/spreadsheets/d/1BJSV3WBYJGRhQ6zExamkszQ5VutGIcaQqmbD9ZTVXMQ/edit#gid=1251630045"",""articles_with_PRISMA_reasons!B2:B2113""))&lt;2),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$A887=IMPORTRANGE(""https://docs.google.com/spreadsheets/d/1BJSV3WBYJGRhQ6zExamkszQ5VutGIcaQqmbD9ZTVXMQ/edit#gid=1251630045"",""arti"&amp;"cles_with_PRISMA_reasons!B2:B2113""))&lt;2,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$A887=IMPORTRANGE(""https://docs.google.com"&amp;"/spreadsheets/d/1BJSV3WBYJGRhQ6zExamkszQ5VutGIcaQqmbD9ZTVXMQ/edit#gid=1251630045"",""articles_with_PRISMA_reasons!B2:B2113""))&gt;=2),
""Exclude""
)"),"Exclude")</f>
        <v>Exclude</v>
      </c>
      <c r="E887" s="5" t="str">
        <f>IFERROR(__xludf.DUMMYFUNCTION("IFS(
D887=""Exclude"",""Exclude"",
AND(
FILTER(IMPORTRANGE(""https://docs.google.com/spreadsheets/d/1qpEmbGH0JjaJbUdp21-y2cPbobDbMjr09BbtdKROZWc/edit#gid=1444865654"",""articles_with_PRISMA_reasons!W2:W2113""), $A887=IMPORTRANGE(""https://docs.google.com/"&amp;"spreadsheets/d/1qpEmbGH0JjaJbUdp21-y2cPbobDbMjr09BbtdKROZWc/edit#gid=1444865654"",""articles_with_PRISMA_reasons!B2:B2113""))&gt;=2,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$A887=IMPORTRANGE(""https://docs.google.com/spreadsheets/d/1qpEmbGH0JjaJbUdp21-y2cPbobDbMjr09BbtdKROZWc/edit#gid=1444865654"",""articles_with_PRISMA_reasons!B2:B2113""))&lt;2),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$A887=IMPORTRANGE(""https://docs.google.com/spreadsheets/d/1qpEmbGH0JjaJbUdp21-y2cPbobDbMjr09BbtdKRO"&amp;"ZWc/edit#gid=1444865654"",""articles_with_PRISMA_reasons!B2:B2113""))&lt;2,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$A887=IMPOR"&amp;"TRANGE(""https://docs.google.com/spreadsheets/d/1qpEmbGH0JjaJbUdp21-y2cPbobDbMjr09BbtdKROZWc/edit#gid=1444865654"",""articles_with_PRISMA_reasons!B2:B2113""))&gt;=2),
""Exclude""
)"),"Exclude")</f>
        <v>Exclude</v>
      </c>
      <c r="F887" s="5" t="str">
        <f>IFERROR(__xludf.DUMMYFUNCTION("IFS(
E887=""Exclude"",""Exclude"",
AND(
COUNTIF(
IMPORTRANGE(""https://docs.google.com/spreadsheets/d/1kGrh75X1cNR1D7_FcY9zMnHP8iPO4M5RCRjy6nZY0TY/edit#gid=0"",""Table 1: Study characteristics!B4:B171""),A887)&gt;0,
COUNTIF(Studies!$A$2:$A$85,FILTER(IMPORTRA"&amp;"NGE(""https://docs.google.com/spreadsheets/d/1kGrh75X1cNR1D7_FcY9zMnHP8iPO4M5RCRjy6nZY0TY/edit#gid=0"",""Table 1: Study characteristics!A4:A171""), $A887=IMPORTRANGE(""https://docs.google.com/spreadsheets/d/1kGrh75X1cNR1D7_FcY9zMnHP8iPO4M5RCRjy6nZY0TY/edi"&amp;"t#gid=0"",""Table 1: Study characteristics!B4:B171"")))&gt;0
),
""Include""
)"),"Exclude")</f>
        <v>Exclude</v>
      </c>
      <c r="G887" s="5" t="str">
        <f>IFERROR(__xludf.DUMMYFUNCTION("IFS(
D887=""Exclude"",
FILTER(IMPORTRANGE(""https://docs.google.com/spreadsheets/d/1BJSV3WBYJGRhQ6zExamkszQ5VutGIcaQqmbD9ZTVXMQ/edit#gid=1251630045"",""articles_with_PRISMA_reasons!AB2:AB2113""), $A887=IMPORTRANGE(""https://docs.google.com/spreadsheets/d/"&amp;"1BJSV3WBYJGRhQ6zExamkszQ5VutGIcaQqmbD9ZTVXMQ/edit#gid=1251630045"",""articles_with_PRISMA_reasons!B2:B2113"")),
E887=""Exclude"",
FILTER(IMPORTRANGE(""https://docs.google.com/spreadsheets/d/1qpEmbGH0JjaJbUdp21-y2cPbobDbMjr09BbtdKROZWc/edit#gid=1444865654"&amp;""",""articles_with_PRISMA_reasons!Z2:Z2113""), $A887=IMPORTRANGE(""https://docs.google.com/spreadsheets/d/1qpEmbGH0JjaJbUdp21-y2cPbobDbMjr09BbtdKROZWc/edit#gid=1444865654"",""articles_with_PRISMA_reasons!B2:B2113"")),F887
=""Include"",FILTER(IMPORTRANGE("&amp;"""https://docs.google.com/spreadsheets/d/1kGrh75X1cNR1D7_FcY9zMnHP8iPO4M5RCRjy6nZY0TY/edit#gid=0"",""Table 1: Study characteristics!A4:A171""), $A887=IMPORTRANGE(""https://docs.google.com/spreadsheets/d/1kGrh75X1cNR1D7_FcY9zMnHP8iPO4M5RCRjy6nZY0TY/edit#gi"&amp;"d=0"",""Table 1: Study characteristics!B4:B171""))
)"),"wrong population")</f>
        <v>wrong population</v>
      </c>
    </row>
    <row r="888">
      <c r="A888" s="4" t="str">
        <f>IFERROR(__xludf.DUMMYFUNCTION("""COMPUTED_VALUE"""),"Hand function in subjects with spina bifida")</f>
        <v>Hand function in subjects with spina bifida</v>
      </c>
      <c r="B888" s="5" t="str">
        <f>IFERROR(__xludf.DUMMYFUNCTION("LEFT(FILTER(IMPORTRANGE(""https://docs.google.com/spreadsheets/d/1BJSV3WBYJGRhQ6zExamkszQ5VutGIcaQqmbD9ZTVXMQ/edit#gid=1251630045"",""articles_with_PRISMA_reasons!K2:K2113""), $A888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$A888=IMPORTRANGE(""https://docs.google.com/spreadsheets/d/1BJSV3WBYJGRhQ6zExamkszQ5VutGIcaQqmbD9ZTVXMQ/edit#gid=1251630045"",""articles_with_PRISMA_reasons!B2:B2113"")))-1)"),"Muen")</f>
        <v>Muen</v>
      </c>
      <c r="C888" s="6">
        <f>IFERROR(__xludf.DUMMYFUNCTION("FILTER(IMPORTRANGE(""https://docs.google.com/spreadsheets/d/1BJSV3WBYJGRhQ6zExamkszQ5VutGIcaQqmbD9ZTVXMQ/edit#gid=1251630045"",""articles_with_PRISMA_reasons!C2:C2113""), $A888=IMPORTRANGE(""https://docs.google.com/spreadsheets/d/1BJSV3WBYJGRhQ6zExamkszQ5"&amp;"VutGIcaQqmbD9ZTVXMQ/edit#gid=1251630045"",""articles_with_PRISMA_reasons!B2:B2113""))"),1997.0)</f>
        <v>1997</v>
      </c>
      <c r="D888" s="5" t="str">
        <f>IFERROR(__xludf.DUMMYFUNCTION("IFS(AND(
FILTER(IMPORTRANGE(""https://docs.google.com/spreadsheets/d/1BJSV3WBYJGRhQ6zExamkszQ5VutGIcaQqmbD9ZTVXMQ/edit#gid=1251630045"",""articles_with_PRISMA_reasons!Y2:Y2113""), $A888=IMPORTRANGE(""https://docs.google.com/spreadsheets/d/1BJSV3WBYJGRhQ6z"&amp;"ExamkszQ5VutGIcaQqmbD9ZTVXMQ/edit#gid=1251630045"",""articles_with_PRISMA_reasons!B2:B2113""))&gt;=2,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$A888=IMPORTRANGE(""https://docs.google.com/spreadsheets/d/1BJSV3WBYJGRhQ6zExamkszQ5VutGIcaQqmbD9ZTVXMQ/edit#gid=1251630045"",""articles_with_PRISMA_reasons!B2:B2113""))&lt;2),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$A888=IMPORTRANGE(""https://docs.google.com/spreadsheets/d/1BJSV3WBYJGRhQ6zExamkszQ5VutGIcaQqmbD9ZTVXMQ/edit#gid=1251630045"",""arti"&amp;"cles_with_PRISMA_reasons!B2:B2113""))&lt;2,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$A888=IMPORTRANGE(""https://docs.google.com"&amp;"/spreadsheets/d/1BJSV3WBYJGRhQ6zExamkszQ5VutGIcaQqmbD9ZTVXMQ/edit#gid=1251630045"",""articles_with_PRISMA_reasons!B2:B2113""))&gt;=2),
""Exclude""
)"),"Exclude")</f>
        <v>Exclude</v>
      </c>
      <c r="E888" s="5" t="str">
        <f>IFERROR(__xludf.DUMMYFUNCTION("IFS(
D888=""Exclude"",""Exclude"",
AND(
FILTER(IMPORTRANGE(""https://docs.google.com/spreadsheets/d/1qpEmbGH0JjaJbUdp21-y2cPbobDbMjr09BbtdKROZWc/edit#gid=1444865654"",""articles_with_PRISMA_reasons!W2:W2113""), $A888=IMPORTRANGE(""https://docs.google.com/"&amp;"spreadsheets/d/1qpEmbGH0JjaJbUdp21-y2cPbobDbMjr09BbtdKROZWc/edit#gid=1444865654"",""articles_with_PRISMA_reasons!B2:B2113""))&gt;=2,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$A888=IMPORTRANGE(""https://docs.google.com/spreadsheets/d/1qpEmbGH0JjaJbUdp21-y2cPbobDbMjr09BbtdKROZWc/edit#gid=1444865654"",""articles_with_PRISMA_reasons!B2:B2113""))&lt;2),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$A888=IMPORTRANGE(""https://docs.google.com/spreadsheets/d/1qpEmbGH0JjaJbUdp21-y2cPbobDbMjr09BbtdKRO"&amp;"ZWc/edit#gid=1444865654"",""articles_with_PRISMA_reasons!B2:B2113""))&lt;2,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$A888=IMPOR"&amp;"TRANGE(""https://docs.google.com/spreadsheets/d/1qpEmbGH0JjaJbUdp21-y2cPbobDbMjr09BbtdKROZWc/edit#gid=1444865654"",""articles_with_PRISMA_reasons!B2:B2113""))&gt;=2),
""Exclude""
)"),"Exclude")</f>
        <v>Exclude</v>
      </c>
      <c r="F888" s="5" t="str">
        <f>IFERROR(__xludf.DUMMYFUNCTION("IFS(
E888=""Exclude"",""Exclude"",
AND(
COUNTIF(
IMPORTRANGE(""https://docs.google.com/spreadsheets/d/1kGrh75X1cNR1D7_FcY9zMnHP8iPO4M5RCRjy6nZY0TY/edit#gid=0"",""Table 1: Study characteristics!B4:B171""),A888)&gt;0,
COUNTIF(Studies!$A$2:$A$85,FILTER(IMPORTRA"&amp;"NGE(""https://docs.google.com/spreadsheets/d/1kGrh75X1cNR1D7_FcY9zMnHP8iPO4M5RCRjy6nZY0TY/edit#gid=0"",""Table 1: Study characteristics!A4:A171""), $A888=IMPORTRANGE(""https://docs.google.com/spreadsheets/d/1kGrh75X1cNR1D7_FcY9zMnHP8iPO4M5RCRjy6nZY0TY/edi"&amp;"t#gid=0"",""Table 1: Study characteristics!B4:B171"")))&gt;0
),
""Include""
)"),"Exclude")</f>
        <v>Exclude</v>
      </c>
      <c r="G888" s="5" t="str">
        <f>IFERROR(__xludf.DUMMYFUNCTION("IFS(
D888=""Exclude"",
FILTER(IMPORTRANGE(""https://docs.google.com/spreadsheets/d/1BJSV3WBYJGRhQ6zExamkszQ5VutGIcaQqmbD9ZTVXMQ/edit#gid=1251630045"",""articles_with_PRISMA_reasons!AB2:AB2113""), $A888=IMPORTRANGE(""https://docs.google.com/spreadsheets/d/"&amp;"1BJSV3WBYJGRhQ6zExamkszQ5VutGIcaQqmbD9ZTVXMQ/edit#gid=1251630045"",""articles_with_PRISMA_reasons!B2:B2113"")),
E888=""Exclude"",
FILTER(IMPORTRANGE(""https://docs.google.com/spreadsheets/d/1qpEmbGH0JjaJbUdp21-y2cPbobDbMjr09BbtdKROZWc/edit#gid=1444865654"&amp;""",""articles_with_PRISMA_reasons!Z2:Z2113""), $A888=IMPORTRANGE(""https://docs.google.com/spreadsheets/d/1qpEmbGH0JjaJbUdp21-y2cPbobDbMjr09BbtdKROZWc/edit#gid=1444865654"",""articles_with_PRISMA_reasons!B2:B2113"")),F888
=""Include"",FILTER(IMPORTRANGE("&amp;"""https://docs.google.com/spreadsheets/d/1kGrh75X1cNR1D7_FcY9zMnHP8iPO4M5RCRjy6nZY0TY/edit#gid=0"",""Table 1: Study characteristics!A4:A171""), $A888=IMPORTRANGE(""https://docs.google.com/spreadsheets/d/1kGrh75X1cNR1D7_FcY9zMnHP8iPO4M5RCRjy6nZY0TY/edit#gi"&amp;"d=0"",""Table 1: Study characteristics!B4:B171""))
)"),"wrong study design")</f>
        <v>wrong study design</v>
      </c>
    </row>
    <row r="889">
      <c r="A889" s="4" t="str">
        <f>IFERROR(__xludf.DUMMYFUNCTION("""COMPUTED_VALUE"""),"Hand preference in children with myelomeningocele and hydrocephalus")</f>
        <v>Hand preference in children with myelomeningocele and hydrocephalus</v>
      </c>
      <c r="B889" s="5" t="str">
        <f>IFERROR(__xludf.DUMMYFUNCTION("LEFT(FILTER(IMPORTRANGE(""https://docs.google.com/spreadsheets/d/1BJSV3WBYJGRhQ6zExamkszQ5VutGIcaQqmbD9ZTVXMQ/edit#gid=1251630045"",""articles_with_PRISMA_reasons!K2:K2113""), $A889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$A889=IMPORTRANGE(""https://docs.google.com/spreadsheets/d/1BJSV3WBYJGRhQ6zExamkszQ5VutGIcaQqmbD9ZTVXMQ/edit#gid=1251630045"",""articles_with_PRISMA_reasons!B2:B2113"")))-1)"),"Lonton")</f>
        <v>Lonton</v>
      </c>
      <c r="C889" s="6">
        <f>IFERROR(__xludf.DUMMYFUNCTION("FILTER(IMPORTRANGE(""https://docs.google.com/spreadsheets/d/1BJSV3WBYJGRhQ6zExamkszQ5VutGIcaQqmbD9ZTVXMQ/edit#gid=1251630045"",""articles_with_PRISMA_reasons!C2:C2113""), $A889=IMPORTRANGE(""https://docs.google.com/spreadsheets/d/1BJSV3WBYJGRhQ6zExamkszQ5"&amp;"VutGIcaQqmbD9ZTVXMQ/edit#gid=1251630045"",""articles_with_PRISMA_reasons!B2:B2113""))"),1976.0)</f>
        <v>1976</v>
      </c>
      <c r="D889" s="5" t="str">
        <f>IFERROR(__xludf.DUMMYFUNCTION("IFS(AND(
FILTER(IMPORTRANGE(""https://docs.google.com/spreadsheets/d/1BJSV3WBYJGRhQ6zExamkszQ5VutGIcaQqmbD9ZTVXMQ/edit#gid=1251630045"",""articles_with_PRISMA_reasons!Y2:Y2113""), $A889=IMPORTRANGE(""https://docs.google.com/spreadsheets/d/1BJSV3WBYJGRhQ6z"&amp;"ExamkszQ5VutGIcaQqmbD9ZTVXMQ/edit#gid=1251630045"",""articles_with_PRISMA_reasons!B2:B2113""))&gt;=2,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$A889=IMPORTRANGE(""https://docs.google.com/spreadsheets/d/1BJSV3WBYJGRhQ6zExamkszQ5VutGIcaQqmbD9ZTVXMQ/edit#gid=1251630045"",""articles_with_PRISMA_reasons!B2:B2113""))&lt;2),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$A889=IMPORTRANGE(""https://docs.google.com/spreadsheets/d/1BJSV3WBYJGRhQ6zExamkszQ5VutGIcaQqmbD9ZTVXMQ/edit#gid=1251630045"",""arti"&amp;"cles_with_PRISMA_reasons!B2:B2113""))&lt;2,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$A889=IMPORTRANGE(""https://docs.google.com"&amp;"/spreadsheets/d/1BJSV3WBYJGRhQ6zExamkszQ5VutGIcaQqmbD9ZTVXMQ/edit#gid=1251630045"",""articles_with_PRISMA_reasons!B2:B2113""))&gt;=2),
""Exclude""
)"),"Exclude")</f>
        <v>Exclude</v>
      </c>
      <c r="E889" s="5" t="str">
        <f>IFERROR(__xludf.DUMMYFUNCTION("IFS(
D889=""Exclude"",""Exclude"",
AND(
FILTER(IMPORTRANGE(""https://docs.google.com/spreadsheets/d/1qpEmbGH0JjaJbUdp21-y2cPbobDbMjr09BbtdKROZWc/edit#gid=1444865654"",""articles_with_PRISMA_reasons!W2:W2113""), $A889=IMPORTRANGE(""https://docs.google.com/"&amp;"spreadsheets/d/1qpEmbGH0JjaJbUdp21-y2cPbobDbMjr09BbtdKROZWc/edit#gid=1444865654"",""articles_with_PRISMA_reasons!B2:B2113""))&gt;=2,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$A889=IMPORTRANGE(""https://docs.google.com/spreadsheets/d/1qpEmbGH0JjaJbUdp21-y2cPbobDbMjr09BbtdKROZWc/edit#gid=1444865654"",""articles_with_PRISMA_reasons!B2:B2113""))&lt;2),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$A889=IMPORTRANGE(""https://docs.google.com/spreadsheets/d/1qpEmbGH0JjaJbUdp21-y2cPbobDbMjr09BbtdKRO"&amp;"ZWc/edit#gid=1444865654"",""articles_with_PRISMA_reasons!B2:B2113""))&lt;2,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$A889=IMPOR"&amp;"TRANGE(""https://docs.google.com/spreadsheets/d/1qpEmbGH0JjaJbUdp21-y2cPbobDbMjr09BbtdKROZWc/edit#gid=1444865654"",""articles_with_PRISMA_reasons!B2:B2113""))&gt;=2),
""Exclude""
)"),"Exclude")</f>
        <v>Exclude</v>
      </c>
      <c r="F889" s="5" t="str">
        <f>IFERROR(__xludf.DUMMYFUNCTION("IFS(
E889=""Exclude"",""Exclude"",
AND(
COUNTIF(
IMPORTRANGE(""https://docs.google.com/spreadsheets/d/1kGrh75X1cNR1D7_FcY9zMnHP8iPO4M5RCRjy6nZY0TY/edit#gid=0"",""Table 1: Study characteristics!B4:B171""),A889)&gt;0,
COUNTIF(Studies!$A$2:$A$85,FILTER(IMPORTRA"&amp;"NGE(""https://docs.google.com/spreadsheets/d/1kGrh75X1cNR1D7_FcY9zMnHP8iPO4M5RCRjy6nZY0TY/edit#gid=0"",""Table 1: Study characteristics!A4:A171""), $A889=IMPORTRANGE(""https://docs.google.com/spreadsheets/d/1kGrh75X1cNR1D7_FcY9zMnHP8iPO4M5RCRjy6nZY0TY/edi"&amp;"t#gid=0"",""Table 1: Study characteristics!B4:B171"")))&gt;0
),
""Include""
)"),"Exclude")</f>
        <v>Exclude</v>
      </c>
      <c r="G889" s="5" t="str">
        <f>IFERROR(__xludf.DUMMYFUNCTION("IFS(
D889=""Exclude"",
FILTER(IMPORTRANGE(""https://docs.google.com/spreadsheets/d/1BJSV3WBYJGRhQ6zExamkszQ5VutGIcaQqmbD9ZTVXMQ/edit#gid=1251630045"",""articles_with_PRISMA_reasons!AB2:AB2113""), $A889=IMPORTRANGE(""https://docs.google.com/spreadsheets/d/"&amp;"1BJSV3WBYJGRhQ6zExamkszQ5VutGIcaQqmbD9ZTVXMQ/edit#gid=1251630045"",""articles_with_PRISMA_reasons!B2:B2113"")),
E889=""Exclude"",
FILTER(IMPORTRANGE(""https://docs.google.com/spreadsheets/d/1qpEmbGH0JjaJbUdp21-y2cPbobDbMjr09BbtdKROZWc/edit#gid=1444865654"&amp;""",""articles_with_PRISMA_reasons!Z2:Z2113""), $A889=IMPORTRANGE(""https://docs.google.com/spreadsheets/d/1qpEmbGH0JjaJbUdp21-y2cPbobDbMjr09BbtdKROZWc/edit#gid=1444865654"",""articles_with_PRISMA_reasons!B2:B2113"")),F889
=""Include"",FILTER(IMPORTRANGE("&amp;"""https://docs.google.com/spreadsheets/d/1kGrh75X1cNR1D7_FcY9zMnHP8iPO4M5RCRjy6nZY0TY/edit#gid=0"",""Table 1: Study characteristics!A4:A171""), $A889=IMPORTRANGE(""https://docs.google.com/spreadsheets/d/1kGrh75X1cNR1D7_FcY9zMnHP8iPO4M5RCRjy6nZY0TY/edit#gi"&amp;"d=0"",""Table 1: Study characteristics!B4:B171""))
)"),"wrong study design")</f>
        <v>wrong study design</v>
      </c>
    </row>
    <row r="890">
      <c r="A890" s="4" t="str">
        <f>IFERROR(__xludf.DUMMYFUNCTION("""COMPUTED_VALUE"""),"Harvey Cushing and early spinal dysraphism repair at Johns Hopkins Hospital: Historical vignette")</f>
        <v>Harvey Cushing and early spinal dysraphism repair at Johns Hopkins Hospital: Historical vignette</v>
      </c>
      <c r="B890" s="5" t="str">
        <f>IFERROR(__xludf.DUMMYFUNCTION("LEFT(FILTER(IMPORTRANGE(""https://docs.google.com/spreadsheets/d/1BJSV3WBYJGRhQ6zExamkszQ5VutGIcaQqmbD9ZTVXMQ/edit#gid=1251630045"",""articles_with_PRISMA_reasons!K2:K2113""), $A890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$A890=IMPORTRANGE(""https://docs.google.com/spreadsheets/d/1BJSV3WBYJGRhQ6zExamkszQ5VutGIcaQqmbD9ZTVXMQ/edit#gid=1251630045"",""articles_with_PRISMA_reasons!B2:B2113"")))-1)"),"Pendleton")</f>
        <v>Pendleton</v>
      </c>
      <c r="C890" s="6">
        <f>IFERROR(__xludf.DUMMYFUNCTION("FILTER(IMPORTRANGE(""https://docs.google.com/spreadsheets/d/1BJSV3WBYJGRhQ6zExamkszQ5VutGIcaQqmbD9ZTVXMQ/edit#gid=1251630045"",""articles_with_PRISMA_reasons!C2:C2113""), $A890=IMPORTRANGE(""https://docs.google.com/spreadsheets/d/1BJSV3WBYJGRhQ6zExamkszQ5"&amp;"VutGIcaQqmbD9ZTVXMQ/edit#gid=1251630045"",""articles_with_PRISMA_reasons!B2:B2113""))"),2011.0)</f>
        <v>2011</v>
      </c>
      <c r="D890" s="5" t="str">
        <f>IFERROR(__xludf.DUMMYFUNCTION("IFS(AND(
FILTER(IMPORTRANGE(""https://docs.google.com/spreadsheets/d/1BJSV3WBYJGRhQ6zExamkszQ5VutGIcaQqmbD9ZTVXMQ/edit#gid=1251630045"",""articles_with_PRISMA_reasons!Y2:Y2113""), $A890=IMPORTRANGE(""https://docs.google.com/spreadsheets/d/1BJSV3WBYJGRhQ6z"&amp;"ExamkszQ5VutGIcaQqmbD9ZTVXMQ/edit#gid=1251630045"",""articles_with_PRISMA_reasons!B2:B2113""))&gt;=2,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$A890=IMPORTRANGE(""https://docs.google.com/spreadsheets/d/1BJSV3WBYJGRhQ6zExamkszQ5VutGIcaQqmbD9ZTVXMQ/edit#gid=1251630045"",""articles_with_PRISMA_reasons!B2:B2113""))&lt;2),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$A890=IMPORTRANGE(""https://docs.google.com/spreadsheets/d/1BJSV3WBYJGRhQ6zExamkszQ5VutGIcaQqmbD9ZTVXMQ/edit#gid=1251630045"",""arti"&amp;"cles_with_PRISMA_reasons!B2:B2113""))&lt;2,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$A890=IMPORTRANGE(""https://docs.google.com"&amp;"/spreadsheets/d/1BJSV3WBYJGRhQ6zExamkszQ5VutGIcaQqmbD9ZTVXMQ/edit#gid=1251630045"",""articles_with_PRISMA_reasons!B2:B2113""))&gt;=2),
""Exclude""
)"),"Exclude")</f>
        <v>Exclude</v>
      </c>
      <c r="E890" s="5" t="str">
        <f>IFERROR(__xludf.DUMMYFUNCTION("IFS(
D890=""Exclude"",""Exclude"",
AND(
FILTER(IMPORTRANGE(""https://docs.google.com/spreadsheets/d/1qpEmbGH0JjaJbUdp21-y2cPbobDbMjr09BbtdKROZWc/edit#gid=1444865654"",""articles_with_PRISMA_reasons!W2:W2113""), $A890=IMPORTRANGE(""https://docs.google.com/"&amp;"spreadsheets/d/1qpEmbGH0JjaJbUdp21-y2cPbobDbMjr09BbtdKROZWc/edit#gid=1444865654"",""articles_with_PRISMA_reasons!B2:B2113""))&gt;=2,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$A890=IMPORTRANGE(""https://docs.google.com/spreadsheets/d/1qpEmbGH0JjaJbUdp21-y2cPbobDbMjr09BbtdKROZWc/edit#gid=1444865654"",""articles_with_PRISMA_reasons!B2:B2113""))&lt;2),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$A890=IMPORTRANGE(""https://docs.google.com/spreadsheets/d/1qpEmbGH0JjaJbUdp21-y2cPbobDbMjr09BbtdKRO"&amp;"ZWc/edit#gid=1444865654"",""articles_with_PRISMA_reasons!B2:B2113""))&lt;2,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$A890=IMPOR"&amp;"TRANGE(""https://docs.google.com/spreadsheets/d/1qpEmbGH0JjaJbUdp21-y2cPbobDbMjr09BbtdKROZWc/edit#gid=1444865654"",""articles_with_PRISMA_reasons!B2:B2113""))&gt;=2),
""Exclude""
)"),"Exclude")</f>
        <v>Exclude</v>
      </c>
      <c r="F890" s="5" t="str">
        <f>IFERROR(__xludf.DUMMYFUNCTION("IFS(
E890=""Exclude"",""Exclude"",
AND(
COUNTIF(
IMPORTRANGE(""https://docs.google.com/spreadsheets/d/1kGrh75X1cNR1D7_FcY9zMnHP8iPO4M5RCRjy6nZY0TY/edit#gid=0"",""Table 1: Study characteristics!B4:B171""),A890)&gt;0,
COUNTIF(Studies!$A$2:$A$85,FILTER(IMPORTRA"&amp;"NGE(""https://docs.google.com/spreadsheets/d/1kGrh75X1cNR1D7_FcY9zMnHP8iPO4M5RCRjy6nZY0TY/edit#gid=0"",""Table 1: Study characteristics!A4:A171""), $A890=IMPORTRANGE(""https://docs.google.com/spreadsheets/d/1kGrh75X1cNR1D7_FcY9zMnHP8iPO4M5RCRjy6nZY0TY/edi"&amp;"t#gid=0"",""Table 1: Study characteristics!B4:B171"")))&gt;0
),
""Include""
)"),"Exclude")</f>
        <v>Exclude</v>
      </c>
      <c r="G890" s="5" t="str">
        <f>IFERROR(__xludf.DUMMYFUNCTION("IFS(
D890=""Exclude"",
FILTER(IMPORTRANGE(""https://docs.google.com/spreadsheets/d/1BJSV3WBYJGRhQ6zExamkszQ5VutGIcaQqmbD9ZTVXMQ/edit#gid=1251630045"",""articles_with_PRISMA_reasons!AB2:AB2113""), $A890=IMPORTRANGE(""https://docs.google.com/spreadsheets/d/"&amp;"1BJSV3WBYJGRhQ6zExamkszQ5VutGIcaQqmbD9ZTVXMQ/edit#gid=1251630045"",""articles_with_PRISMA_reasons!B2:B2113"")),
E890=""Exclude"",
FILTER(IMPORTRANGE(""https://docs.google.com/spreadsheets/d/1qpEmbGH0JjaJbUdp21-y2cPbobDbMjr09BbtdKROZWc/edit#gid=1444865654"&amp;""",""articles_with_PRISMA_reasons!Z2:Z2113""), $A890=IMPORTRANGE(""https://docs.google.com/spreadsheets/d/1qpEmbGH0JjaJbUdp21-y2cPbobDbMjr09BbtdKROZWc/edit#gid=1444865654"",""articles_with_PRISMA_reasons!B2:B2113"")),F890
=""Include"",FILTER(IMPORTRANGE("&amp;"""https://docs.google.com/spreadsheets/d/1kGrh75X1cNR1D7_FcY9zMnHP8iPO4M5RCRjy6nZY0TY/edit#gid=0"",""Table 1: Study characteristics!A4:A171""), $A890=IMPORTRANGE(""https://docs.google.com/spreadsheets/d/1kGrh75X1cNR1D7_FcY9zMnHP8iPO4M5RCRjy6nZY0TY/edit#gi"&amp;"d=0"",""Table 1: Study characteristics!B4:B171""))
)"),"wrong population")</f>
        <v>wrong population</v>
      </c>
    </row>
    <row r="891">
      <c r="A891" s="4" t="str">
        <f>IFERROR(__xludf.DUMMYFUNCTION("""COMPUTED_VALUE"""),"Harvey Cushing's early management of hydrocephalus: An historical picture of the conundrum of hydrocephalus until modern shunts after WWII")</f>
        <v>Harvey Cushing's early management of hydrocephalus: An historical picture of the conundrum of hydrocephalus until modern shunts after WWII</v>
      </c>
      <c r="B891" s="5" t="str">
        <f>IFERROR(__xludf.DUMMYFUNCTION("LEFT(FILTER(IMPORTRANGE(""https://docs.google.com/spreadsheets/d/1BJSV3WBYJGRhQ6zExamkszQ5VutGIcaQqmbD9ZTVXMQ/edit#gid=1251630045"",""articles_with_PRISMA_reasons!K2:K2113""), $A891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$A891=IMPORTRANGE(""https://docs.google.com/spreadsheets/d/1BJSV3WBYJGRhQ6zExamkszQ5VutGIcaQqmbD9ZTVXMQ/edit#gid=1251630045"",""articles_with_PRISMA_reasons!B2:B2113"")))-1)"),"Pendleton")</f>
        <v>Pendleton</v>
      </c>
      <c r="C891" s="6">
        <f>IFERROR(__xludf.DUMMYFUNCTION("FILTER(IMPORTRANGE(""https://docs.google.com/spreadsheets/d/1BJSV3WBYJGRhQ6zExamkszQ5VutGIcaQqmbD9ZTVXMQ/edit#gid=1251630045"",""articles_with_PRISMA_reasons!C2:C2113""), $A891=IMPORTRANGE(""https://docs.google.com/spreadsheets/d/1BJSV3WBYJGRhQ6zExamkszQ5"&amp;"VutGIcaQqmbD9ZTVXMQ/edit#gid=1251630045"",""articles_with_PRISMA_reasons!B2:B2113""))"),2013.0)</f>
        <v>2013</v>
      </c>
      <c r="D891" s="5" t="str">
        <f>IFERROR(__xludf.DUMMYFUNCTION("IFS(AND(
FILTER(IMPORTRANGE(""https://docs.google.com/spreadsheets/d/1BJSV3WBYJGRhQ6zExamkszQ5VutGIcaQqmbD9ZTVXMQ/edit#gid=1251630045"",""articles_with_PRISMA_reasons!Y2:Y2113""), $A891=IMPORTRANGE(""https://docs.google.com/spreadsheets/d/1BJSV3WBYJGRhQ6z"&amp;"ExamkszQ5VutGIcaQqmbD9ZTVXMQ/edit#gid=1251630045"",""articles_with_PRISMA_reasons!B2:B2113""))&gt;=2,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$A891=IMPORTRANGE(""https://docs.google.com/spreadsheets/d/1BJSV3WBYJGRhQ6zExamkszQ5VutGIcaQqmbD9ZTVXMQ/edit#gid=1251630045"",""articles_with_PRISMA_reasons!B2:B2113""))&lt;2),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$A891=IMPORTRANGE(""https://docs.google.com/spreadsheets/d/1BJSV3WBYJGRhQ6zExamkszQ5VutGIcaQqmbD9ZTVXMQ/edit#gid=1251630045"",""arti"&amp;"cles_with_PRISMA_reasons!B2:B2113""))&lt;2,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$A891=IMPORTRANGE(""https://docs.google.com"&amp;"/spreadsheets/d/1BJSV3WBYJGRhQ6zExamkszQ5VutGIcaQqmbD9ZTVXMQ/edit#gid=1251630045"",""articles_with_PRISMA_reasons!B2:B2113""))&gt;=2),
""Exclude""
)"),"Exclude")</f>
        <v>Exclude</v>
      </c>
      <c r="E891" s="5" t="str">
        <f>IFERROR(__xludf.DUMMYFUNCTION("IFS(
D891=""Exclude"",""Exclude"",
AND(
FILTER(IMPORTRANGE(""https://docs.google.com/spreadsheets/d/1qpEmbGH0JjaJbUdp21-y2cPbobDbMjr09BbtdKROZWc/edit#gid=1444865654"",""articles_with_PRISMA_reasons!W2:W2113""), $A891=IMPORTRANGE(""https://docs.google.com/"&amp;"spreadsheets/d/1qpEmbGH0JjaJbUdp21-y2cPbobDbMjr09BbtdKROZWc/edit#gid=1444865654"",""articles_with_PRISMA_reasons!B2:B2113""))&gt;=2,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$A891=IMPORTRANGE(""https://docs.google.com/spreadsheets/d/1qpEmbGH0JjaJbUdp21-y2cPbobDbMjr09BbtdKROZWc/edit#gid=1444865654"",""articles_with_PRISMA_reasons!B2:B2113""))&lt;2),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$A891=IMPORTRANGE(""https://docs.google.com/spreadsheets/d/1qpEmbGH0JjaJbUdp21-y2cPbobDbMjr09BbtdKRO"&amp;"ZWc/edit#gid=1444865654"",""articles_with_PRISMA_reasons!B2:B2113""))&lt;2,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$A891=IMPOR"&amp;"TRANGE(""https://docs.google.com/spreadsheets/d/1qpEmbGH0JjaJbUdp21-y2cPbobDbMjr09BbtdKROZWc/edit#gid=1444865654"",""articles_with_PRISMA_reasons!B2:B2113""))&gt;=2),
""Exclude""
)"),"Exclude")</f>
        <v>Exclude</v>
      </c>
      <c r="F891" s="5" t="str">
        <f>IFERROR(__xludf.DUMMYFUNCTION("IFS(
E891=""Exclude"",""Exclude"",
AND(
COUNTIF(
IMPORTRANGE(""https://docs.google.com/spreadsheets/d/1kGrh75X1cNR1D7_FcY9zMnHP8iPO4M5RCRjy6nZY0TY/edit#gid=0"",""Table 1: Study characteristics!B4:B171""),A891)&gt;0,
COUNTIF(Studies!$A$2:$A$85,FILTER(IMPORTRA"&amp;"NGE(""https://docs.google.com/spreadsheets/d/1kGrh75X1cNR1D7_FcY9zMnHP8iPO4M5RCRjy6nZY0TY/edit#gid=0"",""Table 1: Study characteristics!A4:A171""), $A891=IMPORTRANGE(""https://docs.google.com/spreadsheets/d/1kGrh75X1cNR1D7_FcY9zMnHP8iPO4M5RCRjy6nZY0TY/edi"&amp;"t#gid=0"",""Table 1: Study characteristics!B4:B171"")))&gt;0
),
""Include""
)"),"Exclude")</f>
        <v>Exclude</v>
      </c>
      <c r="G891" s="5" t="str">
        <f>IFERROR(__xludf.DUMMYFUNCTION("IFS(
D891=""Exclude"",
FILTER(IMPORTRANGE(""https://docs.google.com/spreadsheets/d/1BJSV3WBYJGRhQ6zExamkszQ5VutGIcaQqmbD9ZTVXMQ/edit#gid=1251630045"",""articles_with_PRISMA_reasons!AB2:AB2113""), $A891=IMPORTRANGE(""https://docs.google.com/spreadsheets/d/"&amp;"1BJSV3WBYJGRhQ6zExamkszQ5VutGIcaQqmbD9ZTVXMQ/edit#gid=1251630045"",""articles_with_PRISMA_reasons!B2:B2113"")),
E891=""Exclude"",
FILTER(IMPORTRANGE(""https://docs.google.com/spreadsheets/d/1qpEmbGH0JjaJbUdp21-y2cPbobDbMjr09BbtdKROZWc/edit#gid=1444865654"&amp;""",""articles_with_PRISMA_reasons!Z2:Z2113""), $A891=IMPORTRANGE(""https://docs.google.com/spreadsheets/d/1qpEmbGH0JjaJbUdp21-y2cPbobDbMjr09BbtdKROZWc/edit#gid=1444865654"",""articles_with_PRISMA_reasons!B2:B2113"")),F891
=""Include"",FILTER(IMPORTRANGE("&amp;"""https://docs.google.com/spreadsheets/d/1kGrh75X1cNR1D7_FcY9zMnHP8iPO4M5RCRjy6nZY0TY/edit#gid=0"",""Table 1: Study characteristics!A4:A171""), $A891=IMPORTRANGE(""https://docs.google.com/spreadsheets/d/1kGrh75X1cNR1D7_FcY9zMnHP8iPO4M5RCRjy6nZY0TY/edit#gi"&amp;"d=0"",""Table 1: Study characteristics!B4:B171""))
)"),"wrong study design")</f>
        <v>wrong study design</v>
      </c>
    </row>
    <row r="892">
      <c r="A892" s="4" t="str">
        <f>IFERROR(__xludf.DUMMYFUNCTION("""COMPUTED_VALUE"""),"HDlive in the assessment of fetal intracranial, intrathoracic and intra-abdominal anomalies")</f>
        <v>HDlive in the assessment of fetal intracranial, intrathoracic and intra-abdominal anomalies</v>
      </c>
      <c r="B892" s="5" t="str">
        <f>IFERROR(__xludf.DUMMYFUNCTION("LEFT(FILTER(IMPORTRANGE(""https://docs.google.com/spreadsheets/d/1BJSV3WBYJGRhQ6zExamkszQ5VutGIcaQqmbD9ZTVXMQ/edit#gid=1251630045"",""articles_with_PRISMA_reasons!K2:K2113""), $A892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$A892=IMPORTRANGE(""https://docs.google.com/spreadsheets/d/1BJSV3WBYJGRhQ6zExamkszQ5VutGIcaQqmbD9ZTVXMQ/edit#gid=1251630045"",""articles_with_PRISMA_reasons!B2:B2113"")))-1)"),"Cajusay-Velasco")</f>
        <v>Cajusay-Velasco</v>
      </c>
      <c r="C892" s="6">
        <f>IFERROR(__xludf.DUMMYFUNCTION("FILTER(IMPORTRANGE(""https://docs.google.com/spreadsheets/d/1BJSV3WBYJGRhQ6zExamkszQ5VutGIcaQqmbD9ZTVXMQ/edit#gid=1251630045"",""articles_with_PRISMA_reasons!C2:C2113""), $A892=IMPORTRANGE(""https://docs.google.com/spreadsheets/d/1BJSV3WBYJGRhQ6zExamkszQ5"&amp;"VutGIcaQqmbD9ZTVXMQ/edit#gid=1251630045"",""articles_with_PRISMA_reasons!B2:B2113""))"),2014.0)</f>
        <v>2014</v>
      </c>
      <c r="D892" s="5" t="str">
        <f>IFERROR(__xludf.DUMMYFUNCTION("IFS(AND(
FILTER(IMPORTRANGE(""https://docs.google.com/spreadsheets/d/1BJSV3WBYJGRhQ6zExamkszQ5VutGIcaQqmbD9ZTVXMQ/edit#gid=1251630045"",""articles_with_PRISMA_reasons!Y2:Y2113""), $A892=IMPORTRANGE(""https://docs.google.com/spreadsheets/d/1BJSV3WBYJGRhQ6z"&amp;"ExamkszQ5VutGIcaQqmbD9ZTVXMQ/edit#gid=1251630045"",""articles_with_PRISMA_reasons!B2:B2113""))&gt;=2,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$A892=IMPORTRANGE(""https://docs.google.com/spreadsheets/d/1BJSV3WBYJGRhQ6zExamkszQ5VutGIcaQqmbD9ZTVXMQ/edit#gid=1251630045"",""articles_with_PRISMA_reasons!B2:B2113""))&lt;2),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$A892=IMPORTRANGE(""https://docs.google.com/spreadsheets/d/1BJSV3WBYJGRhQ6zExamkszQ5VutGIcaQqmbD9ZTVXMQ/edit#gid=1251630045"",""arti"&amp;"cles_with_PRISMA_reasons!B2:B2113""))&lt;2,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$A892=IMPORTRANGE(""https://docs.google.com"&amp;"/spreadsheets/d/1BJSV3WBYJGRhQ6zExamkszQ5VutGIcaQqmbD9ZTVXMQ/edit#gid=1251630045"",""articles_with_PRISMA_reasons!B2:B2113""))&gt;=2),
""Exclude""
)"),"Exclude")</f>
        <v>Exclude</v>
      </c>
      <c r="E892" s="5" t="str">
        <f>IFERROR(__xludf.DUMMYFUNCTION("IFS(
D892=""Exclude"",""Exclude"",
AND(
FILTER(IMPORTRANGE(""https://docs.google.com/spreadsheets/d/1qpEmbGH0JjaJbUdp21-y2cPbobDbMjr09BbtdKROZWc/edit#gid=1444865654"",""articles_with_PRISMA_reasons!W2:W2113""), $A892=IMPORTRANGE(""https://docs.google.com/"&amp;"spreadsheets/d/1qpEmbGH0JjaJbUdp21-y2cPbobDbMjr09BbtdKROZWc/edit#gid=1444865654"",""articles_with_PRISMA_reasons!B2:B2113""))&gt;=2,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$A892=IMPORTRANGE(""https://docs.google.com/spreadsheets/d/1qpEmbGH0JjaJbUdp21-y2cPbobDbMjr09BbtdKROZWc/edit#gid=1444865654"",""articles_with_PRISMA_reasons!B2:B2113""))&lt;2),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$A892=IMPORTRANGE(""https://docs.google.com/spreadsheets/d/1qpEmbGH0JjaJbUdp21-y2cPbobDbMjr09BbtdKRO"&amp;"ZWc/edit#gid=1444865654"",""articles_with_PRISMA_reasons!B2:B2113""))&lt;2,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$A892=IMPOR"&amp;"TRANGE(""https://docs.google.com/spreadsheets/d/1qpEmbGH0JjaJbUdp21-y2cPbobDbMjr09BbtdKROZWc/edit#gid=1444865654"",""articles_with_PRISMA_reasons!B2:B2113""))&gt;=2),
""Exclude""
)"),"Exclude")</f>
        <v>Exclude</v>
      </c>
      <c r="F892" s="5" t="str">
        <f>IFERROR(__xludf.DUMMYFUNCTION("IFS(
E892=""Exclude"",""Exclude"",
AND(
COUNTIF(
IMPORTRANGE(""https://docs.google.com/spreadsheets/d/1kGrh75X1cNR1D7_FcY9zMnHP8iPO4M5RCRjy6nZY0TY/edit#gid=0"",""Table 1: Study characteristics!B4:B171""),A892)&gt;0,
COUNTIF(Studies!$A$2:$A$85,FILTER(IMPORTRA"&amp;"NGE(""https://docs.google.com/spreadsheets/d/1kGrh75X1cNR1D7_FcY9zMnHP8iPO4M5RCRjy6nZY0TY/edit#gid=0"",""Table 1: Study characteristics!A4:A171""), $A892=IMPORTRANGE(""https://docs.google.com/spreadsheets/d/1kGrh75X1cNR1D7_FcY9zMnHP8iPO4M5RCRjy6nZY0TY/edi"&amp;"t#gid=0"",""Table 1: Study characteristics!B4:B171"")))&gt;0
),
""Include""
)"),"Exclude")</f>
        <v>Exclude</v>
      </c>
      <c r="G892" s="5" t="str">
        <f>IFERROR(__xludf.DUMMYFUNCTION("IFS(
D892=""Exclude"",
FILTER(IMPORTRANGE(""https://docs.google.com/spreadsheets/d/1BJSV3WBYJGRhQ6zExamkszQ5VutGIcaQqmbD9ZTVXMQ/edit#gid=1251630045"",""articles_with_PRISMA_reasons!AB2:AB2113""), $A892=IMPORTRANGE(""https://docs.google.com/spreadsheets/d/"&amp;"1BJSV3WBYJGRhQ6zExamkszQ5VutGIcaQqmbD9ZTVXMQ/edit#gid=1251630045"",""articles_with_PRISMA_reasons!B2:B2113"")),
E892=""Exclude"",
FILTER(IMPORTRANGE(""https://docs.google.com/spreadsheets/d/1qpEmbGH0JjaJbUdp21-y2cPbobDbMjr09BbtdKROZWc/edit#gid=1444865654"&amp;""",""articles_with_PRISMA_reasons!Z2:Z2113""), $A892=IMPORTRANGE(""https://docs.google.com/spreadsheets/d/1qpEmbGH0JjaJbUdp21-y2cPbobDbMjr09BbtdKROZWc/edit#gid=1444865654"",""articles_with_PRISMA_reasons!B2:B2113"")),F892
=""Include"",FILTER(IMPORTRANGE("&amp;"""https://docs.google.com/spreadsheets/d/1kGrh75X1cNR1D7_FcY9zMnHP8iPO4M5RCRjy6nZY0TY/edit#gid=0"",""Table 1: Study characteristics!A4:A171""), $A892=IMPORTRANGE(""https://docs.google.com/spreadsheets/d/1kGrh75X1cNR1D7_FcY9zMnHP8iPO4M5RCRjy6nZY0TY/edit#gi"&amp;"d=0"",""Table 1: Study characteristics!B4:B171""))
)"),"wrong study design")</f>
        <v>wrong study design</v>
      </c>
    </row>
    <row r="893">
      <c r="A893" s="4" t="str">
        <f>IFERROR(__xludf.DUMMYFUNCTION("""COMPUTED_VALUE"""),"Health-related quality of life and ambulation in children with myelomeningocele in a Swedish population")</f>
        <v>Health-related quality of life and ambulation in children with myelomeningocele in a Swedish population</v>
      </c>
      <c r="B893" s="5" t="str">
        <f>IFERROR(__xludf.DUMMYFUNCTION("LEFT(FILTER(IMPORTRANGE(""https://docs.google.com/spreadsheets/d/1BJSV3WBYJGRhQ6zExamkszQ5VutGIcaQqmbD9ZTVXMQ/edit#gid=1251630045"",""articles_with_PRISMA_reasons!K2:K2113""), $A893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$A893=IMPORTRANGE(""https://docs.google.com/spreadsheets/d/1BJSV3WBYJGRhQ6zExamkszQ5VutGIcaQqmbD9ZTVXMQ/edit#gid=1251630045"",""articles_with_PRISMA_reasons!B2:B2113"")))-1)"),"Bartonek")</f>
        <v>Bartonek</v>
      </c>
      <c r="C893" s="6">
        <f>IFERROR(__xludf.DUMMYFUNCTION("FILTER(IMPORTRANGE(""https://docs.google.com/spreadsheets/d/1BJSV3WBYJGRhQ6zExamkszQ5VutGIcaQqmbD9ZTVXMQ/edit#gid=1251630045"",""articles_with_PRISMA_reasons!C2:C2113""), $A893=IMPORTRANGE(""https://docs.google.com/spreadsheets/d/1BJSV3WBYJGRhQ6zExamkszQ5"&amp;"VutGIcaQqmbD9ZTVXMQ/edit#gid=1251630045"",""articles_with_PRISMA_reasons!B2:B2113""))"),2012.0)</f>
        <v>2012</v>
      </c>
      <c r="D893" s="5" t="str">
        <f>IFERROR(__xludf.DUMMYFUNCTION("IFS(AND(
FILTER(IMPORTRANGE(""https://docs.google.com/spreadsheets/d/1BJSV3WBYJGRhQ6zExamkszQ5VutGIcaQqmbD9ZTVXMQ/edit#gid=1251630045"",""articles_with_PRISMA_reasons!Y2:Y2113""), $A893=IMPORTRANGE(""https://docs.google.com/spreadsheets/d/1BJSV3WBYJGRhQ6z"&amp;"ExamkszQ5VutGIcaQqmbD9ZTVXMQ/edit#gid=1251630045"",""articles_with_PRISMA_reasons!B2:B2113""))&gt;=2,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$A893=IMPORTRANGE(""https://docs.google.com/spreadsheets/d/1BJSV3WBYJGRhQ6zExamkszQ5VutGIcaQqmbD9ZTVXMQ/edit#gid=1251630045"",""articles_with_PRISMA_reasons!B2:B2113""))&lt;2),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$A893=IMPORTRANGE(""https://docs.google.com/spreadsheets/d/1BJSV3WBYJGRhQ6zExamkszQ5VutGIcaQqmbD9ZTVXMQ/edit#gid=1251630045"",""arti"&amp;"cles_with_PRISMA_reasons!B2:B2113""))&lt;2,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$A893=IMPORTRANGE(""https://docs.google.com"&amp;"/spreadsheets/d/1BJSV3WBYJGRhQ6zExamkszQ5VutGIcaQqmbD9ZTVXMQ/edit#gid=1251630045"",""articles_with_PRISMA_reasons!B2:B2113""))&gt;=2),
""Exclude""
)"),"Exclude")</f>
        <v>Exclude</v>
      </c>
      <c r="E893" s="5" t="str">
        <f>IFERROR(__xludf.DUMMYFUNCTION("IFS(
D893=""Exclude"",""Exclude"",
AND(
FILTER(IMPORTRANGE(""https://docs.google.com/spreadsheets/d/1qpEmbGH0JjaJbUdp21-y2cPbobDbMjr09BbtdKROZWc/edit#gid=1444865654"",""articles_with_PRISMA_reasons!W2:W2113""), $A893=IMPORTRANGE(""https://docs.google.com/"&amp;"spreadsheets/d/1qpEmbGH0JjaJbUdp21-y2cPbobDbMjr09BbtdKROZWc/edit#gid=1444865654"",""articles_with_PRISMA_reasons!B2:B2113""))&gt;=2,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$A893=IMPORTRANGE(""https://docs.google.com/spreadsheets/d/1qpEmbGH0JjaJbUdp21-y2cPbobDbMjr09BbtdKROZWc/edit#gid=1444865654"",""articles_with_PRISMA_reasons!B2:B2113""))&lt;2),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$A893=IMPORTRANGE(""https://docs.google.com/spreadsheets/d/1qpEmbGH0JjaJbUdp21-y2cPbobDbMjr09BbtdKRO"&amp;"ZWc/edit#gid=1444865654"",""articles_with_PRISMA_reasons!B2:B2113""))&lt;2,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$A893=IMPOR"&amp;"TRANGE(""https://docs.google.com/spreadsheets/d/1qpEmbGH0JjaJbUdp21-y2cPbobDbMjr09BbtdKROZWc/edit#gid=1444865654"",""articles_with_PRISMA_reasons!B2:B2113""))&gt;=2),
""Exclude""
)"),"Exclude")</f>
        <v>Exclude</v>
      </c>
      <c r="F893" s="5" t="str">
        <f>IFERROR(__xludf.DUMMYFUNCTION("IFS(
E893=""Exclude"",""Exclude"",
AND(
COUNTIF(
IMPORTRANGE(""https://docs.google.com/spreadsheets/d/1kGrh75X1cNR1D7_FcY9zMnHP8iPO4M5RCRjy6nZY0TY/edit#gid=0"",""Table 1: Study characteristics!B4:B171""),A893)&gt;0,
COUNTIF(Studies!$A$2:$A$85,FILTER(IMPORTRA"&amp;"NGE(""https://docs.google.com/spreadsheets/d/1kGrh75X1cNR1D7_FcY9zMnHP8iPO4M5RCRjy6nZY0TY/edit#gid=0"",""Table 1: Study characteristics!A4:A171""), $A893=IMPORTRANGE(""https://docs.google.com/spreadsheets/d/1kGrh75X1cNR1D7_FcY9zMnHP8iPO4M5RCRjy6nZY0TY/edi"&amp;"t#gid=0"",""Table 1: Study characteristics!B4:B171"")))&gt;0
),
""Include""
)"),"Exclude")</f>
        <v>Exclude</v>
      </c>
      <c r="G893" s="5" t="str">
        <f>IFERROR(__xludf.DUMMYFUNCTION("IFS(
D893=""Exclude"",
FILTER(IMPORTRANGE(""https://docs.google.com/spreadsheets/d/1BJSV3WBYJGRhQ6zExamkszQ5VutGIcaQqmbD9ZTVXMQ/edit#gid=1251630045"",""articles_with_PRISMA_reasons!AB2:AB2113""), $A893=IMPORTRANGE(""https://docs.google.com/spreadsheets/d/"&amp;"1BJSV3WBYJGRhQ6zExamkszQ5VutGIcaQqmbD9ZTVXMQ/edit#gid=1251630045"",""articles_with_PRISMA_reasons!B2:B2113"")),
E893=""Exclude"",
FILTER(IMPORTRANGE(""https://docs.google.com/spreadsheets/d/1qpEmbGH0JjaJbUdp21-y2cPbobDbMjr09BbtdKROZWc/edit#gid=1444865654"&amp;""",""articles_with_PRISMA_reasons!Z2:Z2113""), $A893=IMPORTRANGE(""https://docs.google.com/spreadsheets/d/1qpEmbGH0JjaJbUdp21-y2cPbobDbMjr09BbtdKROZWc/edit#gid=1444865654"",""articles_with_PRISMA_reasons!B2:B2113"")),F893
=""Include"",FILTER(IMPORTRANGE("&amp;"""https://docs.google.com/spreadsheets/d/1kGrh75X1cNR1D7_FcY9zMnHP8iPO4M5RCRjy6nZY0TY/edit#gid=0"",""Table 1: Study characteristics!A4:A171""), $A893=IMPORTRANGE(""https://docs.google.com/spreadsheets/d/1kGrh75X1cNR1D7_FcY9zMnHP8iPO4M5RCRjy6nZY0TY/edit#gi"&amp;"d=0"",""Table 1: Study characteristics!B4:B171""))
)"),"wrong study design")</f>
        <v>wrong study design</v>
      </c>
    </row>
    <row r="894">
      <c r="A894" s="4" t="str">
        <f>IFERROR(__xludf.DUMMYFUNCTION("""COMPUTED_VALUE"""),"Hearing loss in patients with myelomeningocele - Cases discussion about hearing loss in patients with spina bifida")</f>
        <v>Hearing loss in patients with myelomeningocele - Cases discussion about hearing loss in patients with spina bifida</v>
      </c>
      <c r="B894" s="5" t="str">
        <f>IFERROR(__xludf.DUMMYFUNCTION("LEFT(FILTER(IMPORTRANGE(""https://docs.google.com/spreadsheets/d/1BJSV3WBYJGRhQ6zExamkszQ5VutGIcaQqmbD9ZTVXMQ/edit#gid=1251630045"",""articles_with_PRISMA_reasons!K2:K2113""), $A894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$A894=IMPORTRANGE(""https://docs.google.com/spreadsheets/d/1BJSV3WBYJGRhQ6zExamkszQ5VutGIcaQqmbD9ZTVXMQ/edit#gid=1251630045"",""articles_with_PRISMA_reasons!B2:B2113"")))-1)"),"Rikitake")</f>
        <v>Rikitake</v>
      </c>
      <c r="C894" s="6">
        <f>IFERROR(__xludf.DUMMYFUNCTION("FILTER(IMPORTRANGE(""https://docs.google.com/spreadsheets/d/1BJSV3WBYJGRhQ6zExamkszQ5VutGIcaQqmbD9ZTVXMQ/edit#gid=1251630045"",""articles_with_PRISMA_reasons!C2:C2113""), $A894=IMPORTRANGE(""https://docs.google.com/spreadsheets/d/1BJSV3WBYJGRhQ6zExamkszQ5"&amp;"VutGIcaQqmbD9ZTVXMQ/edit#gid=1251630045"",""articles_with_PRISMA_reasons!B2:B2113""))"),2012.0)</f>
        <v>2012</v>
      </c>
      <c r="D894" s="5" t="str">
        <f>IFERROR(__xludf.DUMMYFUNCTION("IFS(AND(
FILTER(IMPORTRANGE(""https://docs.google.com/spreadsheets/d/1BJSV3WBYJGRhQ6zExamkszQ5VutGIcaQqmbD9ZTVXMQ/edit#gid=1251630045"",""articles_with_PRISMA_reasons!Y2:Y2113""), $A894=IMPORTRANGE(""https://docs.google.com/spreadsheets/d/1BJSV3WBYJGRhQ6z"&amp;"ExamkszQ5VutGIcaQqmbD9ZTVXMQ/edit#gid=1251630045"",""articles_with_PRISMA_reasons!B2:B2113""))&gt;=2,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$A894=IMPORTRANGE(""https://docs.google.com/spreadsheets/d/1BJSV3WBYJGRhQ6zExamkszQ5VutGIcaQqmbD9ZTVXMQ/edit#gid=1251630045"",""articles_with_PRISMA_reasons!B2:B2113""))&lt;2),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$A894=IMPORTRANGE(""https://docs.google.com/spreadsheets/d/1BJSV3WBYJGRhQ6zExamkszQ5VutGIcaQqmbD9ZTVXMQ/edit#gid=1251630045"",""arti"&amp;"cles_with_PRISMA_reasons!B2:B2113""))&lt;2,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$A894=IMPORTRANGE(""https://docs.google.com"&amp;"/spreadsheets/d/1BJSV3WBYJGRhQ6zExamkszQ5VutGIcaQqmbD9ZTVXMQ/edit#gid=1251630045"",""articles_with_PRISMA_reasons!B2:B2113""))&gt;=2),
""Exclude""
)"),"Exclude")</f>
        <v>Exclude</v>
      </c>
      <c r="E894" s="5" t="str">
        <f>IFERROR(__xludf.DUMMYFUNCTION("IFS(
D894=""Exclude"",""Exclude"",
AND(
FILTER(IMPORTRANGE(""https://docs.google.com/spreadsheets/d/1qpEmbGH0JjaJbUdp21-y2cPbobDbMjr09BbtdKROZWc/edit#gid=1444865654"",""articles_with_PRISMA_reasons!W2:W2113""), $A894=IMPORTRANGE(""https://docs.google.com/"&amp;"spreadsheets/d/1qpEmbGH0JjaJbUdp21-y2cPbobDbMjr09BbtdKROZWc/edit#gid=1444865654"",""articles_with_PRISMA_reasons!B2:B2113""))&gt;=2,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$A894=IMPORTRANGE(""https://docs.google.com/spreadsheets/d/1qpEmbGH0JjaJbUdp21-y2cPbobDbMjr09BbtdKROZWc/edit#gid=1444865654"",""articles_with_PRISMA_reasons!B2:B2113""))&lt;2),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$A894=IMPORTRANGE(""https://docs.google.com/spreadsheets/d/1qpEmbGH0JjaJbUdp21-y2cPbobDbMjr09BbtdKRO"&amp;"ZWc/edit#gid=1444865654"",""articles_with_PRISMA_reasons!B2:B2113""))&lt;2,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$A894=IMPOR"&amp;"TRANGE(""https://docs.google.com/spreadsheets/d/1qpEmbGH0JjaJbUdp21-y2cPbobDbMjr09BbtdKROZWc/edit#gid=1444865654"",""articles_with_PRISMA_reasons!B2:B2113""))&gt;=2),
""Exclude""
)"),"Exclude")</f>
        <v>Exclude</v>
      </c>
      <c r="F894" s="5" t="str">
        <f>IFERROR(__xludf.DUMMYFUNCTION("IFS(
E894=""Exclude"",""Exclude"",
AND(
COUNTIF(
IMPORTRANGE(""https://docs.google.com/spreadsheets/d/1kGrh75X1cNR1D7_FcY9zMnHP8iPO4M5RCRjy6nZY0TY/edit#gid=0"",""Table 1: Study characteristics!B4:B171""),A894)&gt;0,
COUNTIF(Studies!$A$2:$A$85,FILTER(IMPORTRA"&amp;"NGE(""https://docs.google.com/spreadsheets/d/1kGrh75X1cNR1D7_FcY9zMnHP8iPO4M5RCRjy6nZY0TY/edit#gid=0"",""Table 1: Study characteristics!A4:A171""), $A894=IMPORTRANGE(""https://docs.google.com/spreadsheets/d/1kGrh75X1cNR1D7_FcY9zMnHP8iPO4M5RCRjy6nZY0TY/edi"&amp;"t#gid=0"",""Table 1: Study characteristics!B4:B171"")))&gt;0
),
""Include""
)"),"Exclude")</f>
        <v>Exclude</v>
      </c>
      <c r="G894" s="5" t="str">
        <f>IFERROR(__xludf.DUMMYFUNCTION("IFS(
D894=""Exclude"",
FILTER(IMPORTRANGE(""https://docs.google.com/spreadsheets/d/1BJSV3WBYJGRhQ6zExamkszQ5VutGIcaQqmbD9ZTVXMQ/edit#gid=1251630045"",""articles_with_PRISMA_reasons!AB2:AB2113""), $A894=IMPORTRANGE(""https://docs.google.com/spreadsheets/d/"&amp;"1BJSV3WBYJGRhQ6zExamkszQ5VutGIcaQqmbD9ZTVXMQ/edit#gid=1251630045"",""articles_with_PRISMA_reasons!B2:B2113"")),
E894=""Exclude"",
FILTER(IMPORTRANGE(""https://docs.google.com/spreadsheets/d/1qpEmbGH0JjaJbUdp21-y2cPbobDbMjr09BbtdKROZWc/edit#gid=1444865654"&amp;""",""articles_with_PRISMA_reasons!Z2:Z2113""), $A894=IMPORTRANGE(""https://docs.google.com/spreadsheets/d/1qpEmbGH0JjaJbUdp21-y2cPbobDbMjr09BbtdKROZWc/edit#gid=1444865654"",""articles_with_PRISMA_reasons!B2:B2113"")),F894
=""Include"",FILTER(IMPORTRANGE("&amp;"""https://docs.google.com/spreadsheets/d/1kGrh75X1cNR1D7_FcY9zMnHP8iPO4M5RCRjy6nZY0TY/edit#gid=0"",""Table 1: Study characteristics!A4:A171""), $A894=IMPORTRANGE(""https://docs.google.com/spreadsheets/d/1kGrh75X1cNR1D7_FcY9zMnHP8iPO4M5RCRjy6nZY0TY/edit#gi"&amp;"d=0"",""Table 1: Study characteristics!B4:B171""))
)"),"wrong population")</f>
        <v>wrong population</v>
      </c>
    </row>
    <row r="895">
      <c r="A895" s="4" t="str">
        <f>IFERROR(__xludf.DUMMYFUNCTION("""COMPUTED_VALUE"""),"Hemimetameric shift in spina bifida: three case reports")</f>
        <v>Hemimetameric shift in spina bifida: three case reports</v>
      </c>
      <c r="B895" s="5" t="str">
        <f>IFERROR(__xludf.DUMMYFUNCTION("LEFT(FILTER(IMPORTRANGE(""https://docs.google.com/spreadsheets/d/1BJSV3WBYJGRhQ6zExamkszQ5VutGIcaQqmbD9ZTVXMQ/edit#gid=1251630045"",""articles_with_PRISMA_reasons!K2:K2113""), $A895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$A895=IMPORTRANGE(""https://docs.google.com/spreadsheets/d/1BJSV3WBYJGRhQ6zExamkszQ5VutGIcaQqmbD9ZTVXMQ/edit#gid=1251630045"",""articles_with_PRISMA_reasons!B2:B2113"")))-1)"),"Canaz")</f>
        <v>Canaz</v>
      </c>
      <c r="C895" s="6">
        <f>IFERROR(__xludf.DUMMYFUNCTION("FILTER(IMPORTRANGE(""https://docs.google.com/spreadsheets/d/1BJSV3WBYJGRhQ6zExamkszQ5VutGIcaQqmbD9ZTVXMQ/edit#gid=1251630045"",""articles_with_PRISMA_reasons!C2:C2113""), $A895=IMPORTRANGE(""https://docs.google.com/spreadsheets/d/1BJSV3WBYJGRhQ6zExamkszQ5"&amp;"VutGIcaQqmbD9ZTVXMQ/edit#gid=1251630045"",""articles_with_PRISMA_reasons!B2:B2113""))"),2017.0)</f>
        <v>2017</v>
      </c>
      <c r="D895" s="5" t="str">
        <f>IFERROR(__xludf.DUMMYFUNCTION("IFS(AND(
FILTER(IMPORTRANGE(""https://docs.google.com/spreadsheets/d/1BJSV3WBYJGRhQ6zExamkszQ5VutGIcaQqmbD9ZTVXMQ/edit#gid=1251630045"",""articles_with_PRISMA_reasons!Y2:Y2113""), $A895=IMPORTRANGE(""https://docs.google.com/spreadsheets/d/1BJSV3WBYJGRhQ6z"&amp;"ExamkszQ5VutGIcaQqmbD9ZTVXMQ/edit#gid=1251630045"",""articles_with_PRISMA_reasons!B2:B2113""))&gt;=2,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$A895=IMPORTRANGE(""https://docs.google.com/spreadsheets/d/1BJSV3WBYJGRhQ6zExamkszQ5VutGIcaQqmbD9ZTVXMQ/edit#gid=1251630045"",""articles_with_PRISMA_reasons!B2:B2113""))&lt;2),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$A895=IMPORTRANGE(""https://docs.google.com/spreadsheets/d/1BJSV3WBYJGRhQ6zExamkszQ5VutGIcaQqmbD9ZTVXMQ/edit#gid=1251630045"",""arti"&amp;"cles_with_PRISMA_reasons!B2:B2113""))&lt;2,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$A895=IMPORTRANGE(""https://docs.google.com"&amp;"/spreadsheets/d/1BJSV3WBYJGRhQ6zExamkszQ5VutGIcaQqmbD9ZTVXMQ/edit#gid=1251630045"",""articles_with_PRISMA_reasons!B2:B2113""))&gt;=2),
""Exclude""
)"),"Exclude")</f>
        <v>Exclude</v>
      </c>
      <c r="E895" s="5" t="str">
        <f>IFERROR(__xludf.DUMMYFUNCTION("IFS(
D895=""Exclude"",""Exclude"",
AND(
FILTER(IMPORTRANGE(""https://docs.google.com/spreadsheets/d/1qpEmbGH0JjaJbUdp21-y2cPbobDbMjr09BbtdKROZWc/edit#gid=1444865654"",""articles_with_PRISMA_reasons!W2:W2113""), $A895=IMPORTRANGE(""https://docs.google.com/"&amp;"spreadsheets/d/1qpEmbGH0JjaJbUdp21-y2cPbobDbMjr09BbtdKROZWc/edit#gid=1444865654"",""articles_with_PRISMA_reasons!B2:B2113""))&gt;=2,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$A895=IMPORTRANGE(""https://docs.google.com/spreadsheets/d/1qpEmbGH0JjaJbUdp21-y2cPbobDbMjr09BbtdKROZWc/edit#gid=1444865654"",""articles_with_PRISMA_reasons!B2:B2113""))&lt;2),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$A895=IMPORTRANGE(""https://docs.google.com/spreadsheets/d/1qpEmbGH0JjaJbUdp21-y2cPbobDbMjr09BbtdKRO"&amp;"ZWc/edit#gid=1444865654"",""articles_with_PRISMA_reasons!B2:B2113""))&lt;2,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$A895=IMPOR"&amp;"TRANGE(""https://docs.google.com/spreadsheets/d/1qpEmbGH0JjaJbUdp21-y2cPbobDbMjr09BbtdKROZWc/edit#gid=1444865654"",""articles_with_PRISMA_reasons!B2:B2113""))&gt;=2),
""Exclude""
)"),"Exclude")</f>
        <v>Exclude</v>
      </c>
      <c r="F895" s="5" t="str">
        <f>IFERROR(__xludf.DUMMYFUNCTION("IFS(
E895=""Exclude"",""Exclude"",
AND(
COUNTIF(
IMPORTRANGE(""https://docs.google.com/spreadsheets/d/1kGrh75X1cNR1D7_FcY9zMnHP8iPO4M5RCRjy6nZY0TY/edit#gid=0"",""Table 1: Study characteristics!B4:B171""),A895)&gt;0,
COUNTIF(Studies!$A$2:$A$85,FILTER(IMPORTRA"&amp;"NGE(""https://docs.google.com/spreadsheets/d/1kGrh75X1cNR1D7_FcY9zMnHP8iPO4M5RCRjy6nZY0TY/edit#gid=0"",""Table 1: Study characteristics!A4:A171""), $A895=IMPORTRANGE(""https://docs.google.com/spreadsheets/d/1kGrh75X1cNR1D7_FcY9zMnHP8iPO4M5RCRjy6nZY0TY/edi"&amp;"t#gid=0"",""Table 1: Study characteristics!B4:B171"")))&gt;0
),
""Include""
)"),"Exclude")</f>
        <v>Exclude</v>
      </c>
      <c r="G895" s="5" t="str">
        <f>IFERROR(__xludf.DUMMYFUNCTION("IFS(
D895=""Exclude"",
FILTER(IMPORTRANGE(""https://docs.google.com/spreadsheets/d/1BJSV3WBYJGRhQ6zExamkszQ5VutGIcaQqmbD9ZTVXMQ/edit#gid=1251630045"",""articles_with_PRISMA_reasons!AB2:AB2113""), $A895=IMPORTRANGE(""https://docs.google.com/spreadsheets/d/"&amp;"1BJSV3WBYJGRhQ6zExamkszQ5VutGIcaQqmbD9ZTVXMQ/edit#gid=1251630045"",""articles_with_PRISMA_reasons!B2:B2113"")),
E895=""Exclude"",
FILTER(IMPORTRANGE(""https://docs.google.com/spreadsheets/d/1qpEmbGH0JjaJbUdp21-y2cPbobDbMjr09BbtdKROZWc/edit#gid=1444865654"&amp;""",""articles_with_PRISMA_reasons!Z2:Z2113""), $A895=IMPORTRANGE(""https://docs.google.com/spreadsheets/d/1qpEmbGH0JjaJbUdp21-y2cPbobDbMjr09BbtdKROZWc/edit#gid=1444865654"",""articles_with_PRISMA_reasons!B2:B2113"")),F895
=""Include"",FILTER(IMPORTRANGE("&amp;"""https://docs.google.com/spreadsheets/d/1kGrh75X1cNR1D7_FcY9zMnHP8iPO4M5RCRjy6nZY0TY/edit#gid=0"",""Table 1: Study characteristics!A4:A171""), $A895=IMPORTRANGE(""https://docs.google.com/spreadsheets/d/1kGrh75X1cNR1D7_FcY9zMnHP8iPO4M5RCRjy6nZY0TY/edit#gi"&amp;"d=0"",""Table 1: Study characteristics!B4:B171""))
)"),"wrong study design")</f>
        <v>wrong study design</v>
      </c>
    </row>
    <row r="896">
      <c r="A896" s="4" t="str">
        <f>IFERROR(__xludf.DUMMYFUNCTION("""COMPUTED_VALUE"""),"Heparin treatment of atrial thrombus in ventriculo-atrial shunts")</f>
        <v>Heparin treatment of atrial thrombus in ventriculo-atrial shunts</v>
      </c>
      <c r="B896" s="5" t="str">
        <f>IFERROR(__xludf.DUMMYFUNCTION("LEFT(FILTER(IMPORTRANGE(""https://docs.google.com/spreadsheets/d/1BJSV3WBYJGRhQ6zExamkszQ5VutGIcaQqmbD9ZTVXMQ/edit#gid=1251630045"",""articles_with_PRISMA_reasons!K2:K2113""), $A896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$A896=IMPORTRANGE(""https://docs.google.com/spreadsheets/d/1BJSV3WBYJGRhQ6zExamkszQ5VutGIcaQqmbD9ZTVXMQ/edit#gid=1251630045"",""articles_with_PRISMA_reasons!B2:B2113"")))-1)"),"Buxton")</f>
        <v>Buxton</v>
      </c>
      <c r="C896" s="6">
        <f>IFERROR(__xludf.DUMMYFUNCTION("FILTER(IMPORTRANGE(""https://docs.google.com/spreadsheets/d/1BJSV3WBYJGRhQ6zExamkszQ5VutGIcaQqmbD9ZTVXMQ/edit#gid=1251630045"",""articles_with_PRISMA_reasons!C2:C2113""), $A896=IMPORTRANGE(""https://docs.google.com/spreadsheets/d/1BJSV3WBYJGRhQ6zExamkszQ5"&amp;"VutGIcaQqmbD9ZTVXMQ/edit#gid=1251630045"",""articles_with_PRISMA_reasons!B2:B2113""))"),2002.0)</f>
        <v>2002</v>
      </c>
      <c r="D896" s="5" t="str">
        <f>IFERROR(__xludf.DUMMYFUNCTION("IFS(AND(
FILTER(IMPORTRANGE(""https://docs.google.com/spreadsheets/d/1BJSV3WBYJGRhQ6zExamkszQ5VutGIcaQqmbD9ZTVXMQ/edit#gid=1251630045"",""articles_with_PRISMA_reasons!Y2:Y2113""), $A896=IMPORTRANGE(""https://docs.google.com/spreadsheets/d/1BJSV3WBYJGRhQ6z"&amp;"ExamkszQ5VutGIcaQqmbD9ZTVXMQ/edit#gid=1251630045"",""articles_with_PRISMA_reasons!B2:B2113""))&gt;=2,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$A896=IMPORTRANGE(""https://docs.google.com/spreadsheets/d/1BJSV3WBYJGRhQ6zExamkszQ5VutGIcaQqmbD9ZTVXMQ/edit#gid=1251630045"",""articles_with_PRISMA_reasons!B2:B2113""))&lt;2),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$A896=IMPORTRANGE(""https://docs.google.com/spreadsheets/d/1BJSV3WBYJGRhQ6zExamkszQ5VutGIcaQqmbD9ZTVXMQ/edit#gid=1251630045"",""arti"&amp;"cles_with_PRISMA_reasons!B2:B2113""))&lt;2,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$A896=IMPORTRANGE(""https://docs.google.com"&amp;"/spreadsheets/d/1BJSV3WBYJGRhQ6zExamkszQ5VutGIcaQqmbD9ZTVXMQ/edit#gid=1251630045"",""articles_with_PRISMA_reasons!B2:B2113""))&gt;=2),
""Exclude""
)"),"Exclude")</f>
        <v>Exclude</v>
      </c>
      <c r="E896" s="5" t="str">
        <f>IFERROR(__xludf.DUMMYFUNCTION("IFS(
D896=""Exclude"",""Exclude"",
AND(
FILTER(IMPORTRANGE(""https://docs.google.com/spreadsheets/d/1qpEmbGH0JjaJbUdp21-y2cPbobDbMjr09BbtdKROZWc/edit#gid=1444865654"",""articles_with_PRISMA_reasons!W2:W2113""), $A896=IMPORTRANGE(""https://docs.google.com/"&amp;"spreadsheets/d/1qpEmbGH0JjaJbUdp21-y2cPbobDbMjr09BbtdKROZWc/edit#gid=1444865654"",""articles_with_PRISMA_reasons!B2:B2113""))&gt;=2,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$A896=IMPORTRANGE(""https://docs.google.com/spreadsheets/d/1qpEmbGH0JjaJbUdp21-y2cPbobDbMjr09BbtdKROZWc/edit#gid=1444865654"",""articles_with_PRISMA_reasons!B2:B2113""))&lt;2),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$A896=IMPORTRANGE(""https://docs.google.com/spreadsheets/d/1qpEmbGH0JjaJbUdp21-y2cPbobDbMjr09BbtdKRO"&amp;"ZWc/edit#gid=1444865654"",""articles_with_PRISMA_reasons!B2:B2113""))&lt;2,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$A896=IMPOR"&amp;"TRANGE(""https://docs.google.com/spreadsheets/d/1qpEmbGH0JjaJbUdp21-y2cPbobDbMjr09BbtdKROZWc/edit#gid=1444865654"",""articles_with_PRISMA_reasons!B2:B2113""))&gt;=2),
""Exclude""
)"),"Exclude")</f>
        <v>Exclude</v>
      </c>
      <c r="F896" s="5" t="str">
        <f>IFERROR(__xludf.DUMMYFUNCTION("IFS(
E896=""Exclude"",""Exclude"",
AND(
COUNTIF(
IMPORTRANGE(""https://docs.google.com/spreadsheets/d/1kGrh75X1cNR1D7_FcY9zMnHP8iPO4M5RCRjy6nZY0TY/edit#gid=0"",""Table 1: Study characteristics!B4:B171""),A896)&gt;0,
COUNTIF(Studies!$A$2:$A$85,FILTER(IMPORTRA"&amp;"NGE(""https://docs.google.com/spreadsheets/d/1kGrh75X1cNR1D7_FcY9zMnHP8iPO4M5RCRjy6nZY0TY/edit#gid=0"",""Table 1: Study characteristics!A4:A171""), $A896=IMPORTRANGE(""https://docs.google.com/spreadsheets/d/1kGrh75X1cNR1D7_FcY9zMnHP8iPO4M5RCRjy6nZY0TY/edi"&amp;"t#gid=0"",""Table 1: Study characteristics!B4:B171"")))&gt;0
),
""Include""
)"),"Exclude")</f>
        <v>Exclude</v>
      </c>
      <c r="G896" s="5" t="str">
        <f>IFERROR(__xludf.DUMMYFUNCTION("IFS(
D896=""Exclude"",
FILTER(IMPORTRANGE(""https://docs.google.com/spreadsheets/d/1BJSV3WBYJGRhQ6zExamkszQ5VutGIcaQqmbD9ZTVXMQ/edit#gid=1251630045"",""articles_with_PRISMA_reasons!AB2:AB2113""), $A896=IMPORTRANGE(""https://docs.google.com/spreadsheets/d/"&amp;"1BJSV3WBYJGRhQ6zExamkszQ5VutGIcaQqmbD9ZTVXMQ/edit#gid=1251630045"",""articles_with_PRISMA_reasons!B2:B2113"")),
E896=""Exclude"",
FILTER(IMPORTRANGE(""https://docs.google.com/spreadsheets/d/1qpEmbGH0JjaJbUdp21-y2cPbobDbMjr09BbtdKROZWc/edit#gid=1444865654"&amp;""",""articles_with_PRISMA_reasons!Z2:Z2113""), $A896=IMPORTRANGE(""https://docs.google.com/spreadsheets/d/1qpEmbGH0JjaJbUdp21-y2cPbobDbMjr09BbtdKROZWc/edit#gid=1444865654"",""articles_with_PRISMA_reasons!B2:B2113"")),F896
=""Include"",FILTER(IMPORTRANGE("&amp;"""https://docs.google.com/spreadsheets/d/1kGrh75X1cNR1D7_FcY9zMnHP8iPO4M5RCRjy6nZY0TY/edit#gid=0"",""Table 1: Study characteristics!A4:A171""), $A896=IMPORTRANGE(""https://docs.google.com/spreadsheets/d/1kGrh75X1cNR1D7_FcY9zMnHP8iPO4M5RCRjy6nZY0TY/edit#gi"&amp;"d=0"",""Table 1: Study characteristics!B4:B171""))
)"),"wrong study design")</f>
        <v>wrong study design</v>
      </c>
    </row>
    <row r="897">
      <c r="A897" s="4" t="str">
        <f>IFERROR(__xludf.DUMMYFUNCTION("""COMPUTED_VALUE"""),"Hidrocefalia multiloculada: tratamento neuroendoscópico")</f>
        <v>Hidrocefalia multiloculada: tratamento neuroendoscópico</v>
      </c>
      <c r="B897" s="5" t="str">
        <f>IFERROR(__xludf.DUMMYFUNCTION("LEFT(FILTER(IMPORTRANGE(""https://docs.google.com/spreadsheets/d/1BJSV3WBYJGRhQ6zExamkszQ5VutGIcaQqmbD9ZTVXMQ/edit#gid=1251630045"",""articles_with_PRISMA_reasons!K2:K2113""), $A897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$A897=IMPORTRANGE(""https://docs.google.com/spreadsheets/d/1BJSV3WBYJGRhQ6zExamkszQ5VutGIcaQqmbD9ZTVXMQ/edit#gid=1251630045"",""articles_with_PRISMA_reasons!B2:B2113"")))-1)"),"Pires")</f>
        <v>Pires</v>
      </c>
      <c r="C897" s="6">
        <f>IFERROR(__xludf.DUMMYFUNCTION("FILTER(IMPORTRANGE(""https://docs.google.com/spreadsheets/d/1BJSV3WBYJGRhQ6zExamkszQ5VutGIcaQqmbD9ZTVXMQ/edit#gid=1251630045"",""articles_with_PRISMA_reasons!C2:C2113""), $A897=IMPORTRANGE(""https://docs.google.com/spreadsheets/d/1BJSV3WBYJGRhQ6zExamkszQ5"&amp;"VutGIcaQqmbD9ZTVXMQ/edit#gid=1251630045"",""articles_with_PRISMA_reasons!B2:B2113""))"),2000.0)</f>
        <v>2000</v>
      </c>
      <c r="D897" s="5" t="str">
        <f>IFERROR(__xludf.DUMMYFUNCTION("IFS(AND(
FILTER(IMPORTRANGE(""https://docs.google.com/spreadsheets/d/1BJSV3WBYJGRhQ6zExamkszQ5VutGIcaQqmbD9ZTVXMQ/edit#gid=1251630045"",""articles_with_PRISMA_reasons!Y2:Y2113""), $A897=IMPORTRANGE(""https://docs.google.com/spreadsheets/d/1BJSV3WBYJGRhQ6z"&amp;"ExamkszQ5VutGIcaQqmbD9ZTVXMQ/edit#gid=1251630045"",""articles_with_PRISMA_reasons!B2:B2113""))&gt;=2,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$A897=IMPORTRANGE(""https://docs.google.com/spreadsheets/d/1BJSV3WBYJGRhQ6zExamkszQ5VutGIcaQqmbD9ZTVXMQ/edit#gid=1251630045"",""articles_with_PRISMA_reasons!B2:B2113""))&lt;2),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$A897=IMPORTRANGE(""https://docs.google.com/spreadsheets/d/1BJSV3WBYJGRhQ6zExamkszQ5VutGIcaQqmbD9ZTVXMQ/edit#gid=1251630045"",""arti"&amp;"cles_with_PRISMA_reasons!B2:B2113""))&lt;2,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$A897=IMPORTRANGE(""https://docs.google.com"&amp;"/spreadsheets/d/1BJSV3WBYJGRhQ6zExamkszQ5VutGIcaQqmbD9ZTVXMQ/edit#gid=1251630045"",""articles_with_PRISMA_reasons!B2:B2113""))&gt;=2),
""Exclude""
)"),"Exclude")</f>
        <v>Exclude</v>
      </c>
      <c r="E897" s="5" t="str">
        <f>IFERROR(__xludf.DUMMYFUNCTION("IFS(
D897=""Exclude"",""Exclude"",
AND(
FILTER(IMPORTRANGE(""https://docs.google.com/spreadsheets/d/1qpEmbGH0JjaJbUdp21-y2cPbobDbMjr09BbtdKROZWc/edit#gid=1444865654"",""articles_with_PRISMA_reasons!W2:W2113""), $A897=IMPORTRANGE(""https://docs.google.com/"&amp;"spreadsheets/d/1qpEmbGH0JjaJbUdp21-y2cPbobDbMjr09BbtdKROZWc/edit#gid=1444865654"",""articles_with_PRISMA_reasons!B2:B2113""))&gt;=2,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$A897=IMPORTRANGE(""https://docs.google.com/spreadsheets/d/1qpEmbGH0JjaJbUdp21-y2cPbobDbMjr09BbtdKROZWc/edit#gid=1444865654"",""articles_with_PRISMA_reasons!B2:B2113""))&lt;2),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$A897=IMPORTRANGE(""https://docs.google.com/spreadsheets/d/1qpEmbGH0JjaJbUdp21-y2cPbobDbMjr09BbtdKRO"&amp;"ZWc/edit#gid=1444865654"",""articles_with_PRISMA_reasons!B2:B2113""))&lt;2,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$A897=IMPOR"&amp;"TRANGE(""https://docs.google.com/spreadsheets/d/1qpEmbGH0JjaJbUdp21-y2cPbobDbMjr09BbtdKROZWc/edit#gid=1444865654"",""articles_with_PRISMA_reasons!B2:B2113""))&gt;=2),
""Exclude""
)"),"Exclude")</f>
        <v>Exclude</v>
      </c>
      <c r="F897" s="5" t="str">
        <f>IFERROR(__xludf.DUMMYFUNCTION("IFS(
E897=""Exclude"",""Exclude"",
AND(
COUNTIF(
IMPORTRANGE(""https://docs.google.com/spreadsheets/d/1kGrh75X1cNR1D7_FcY9zMnHP8iPO4M5RCRjy6nZY0TY/edit#gid=0"",""Table 1: Study characteristics!B4:B171""),A897)&gt;0,
COUNTIF(Studies!$A$2:$A$85,FILTER(IMPORTRA"&amp;"NGE(""https://docs.google.com/spreadsheets/d/1kGrh75X1cNR1D7_FcY9zMnHP8iPO4M5RCRjy6nZY0TY/edit#gid=0"",""Table 1: Study characteristics!A4:A171""), $A897=IMPORTRANGE(""https://docs.google.com/spreadsheets/d/1kGrh75X1cNR1D7_FcY9zMnHP8iPO4M5RCRjy6nZY0TY/edi"&amp;"t#gid=0"",""Table 1: Study characteristics!B4:B171"")))&gt;0
),
""Include""
)"),"Exclude")</f>
        <v>Exclude</v>
      </c>
      <c r="G897" s="5" t="str">
        <f>IFERROR(__xludf.DUMMYFUNCTION("IFS(
D897=""Exclude"",
FILTER(IMPORTRANGE(""https://docs.google.com/spreadsheets/d/1BJSV3WBYJGRhQ6zExamkszQ5VutGIcaQqmbD9ZTVXMQ/edit#gid=1251630045"",""articles_with_PRISMA_reasons!AB2:AB2113""), $A897=IMPORTRANGE(""https://docs.google.com/spreadsheets/d/"&amp;"1BJSV3WBYJGRhQ6zExamkszQ5VutGIcaQqmbD9ZTVXMQ/edit#gid=1251630045"",""articles_with_PRISMA_reasons!B2:B2113"")),
E897=""Exclude"",
FILTER(IMPORTRANGE(""https://docs.google.com/spreadsheets/d/1qpEmbGH0JjaJbUdp21-y2cPbobDbMjr09BbtdKROZWc/edit#gid=1444865654"&amp;""",""articles_with_PRISMA_reasons!Z2:Z2113""), $A897=IMPORTRANGE(""https://docs.google.com/spreadsheets/d/1qpEmbGH0JjaJbUdp21-y2cPbobDbMjr09BbtdKROZWc/edit#gid=1444865654"",""articles_with_PRISMA_reasons!B2:B2113"")),F897
=""Include"",FILTER(IMPORTRANGE("&amp;"""https://docs.google.com/spreadsheets/d/1kGrh75X1cNR1D7_FcY9zMnHP8iPO4M5RCRjy6nZY0TY/edit#gid=0"",""Table 1: Study characteristics!A4:A171""), $A897=IMPORTRANGE(""https://docs.google.com/spreadsheets/d/1kGrh75X1cNR1D7_FcY9zMnHP8iPO4M5RCRjy6nZY0TY/edit#gi"&amp;"d=0"",""Table 1: Study characteristics!B4:B171""))
)"),"wrong population")</f>
        <v>wrong population</v>
      </c>
    </row>
    <row r="898">
      <c r="A898" s="4" t="str">
        <f>IFERROR(__xludf.DUMMYFUNCTION("""COMPUTED_VALUE"""),"High dose zolpidem induced fetal neural tube defects")</f>
        <v>High dose zolpidem induced fetal neural tube defects</v>
      </c>
      <c r="B898" s="5" t="str">
        <f>IFERROR(__xludf.DUMMYFUNCTION("LEFT(FILTER(IMPORTRANGE(""https://docs.google.com/spreadsheets/d/1BJSV3WBYJGRhQ6zExamkszQ5VutGIcaQqmbD9ZTVXMQ/edit#gid=1251630045"",""articles_with_PRISMA_reasons!K2:K2113""), $A898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$A898=IMPORTRANGE(""https://docs.google.com/spreadsheets/d/1BJSV3WBYJGRhQ6zExamkszQ5VutGIcaQqmbD9ZTVXMQ/edit#gid=1251630045"",""articles_with_PRISMA_reasons!B2:B2113"")))-1)"),"Sharma")</f>
        <v>Sharma</v>
      </c>
      <c r="C898" s="6">
        <f>IFERROR(__xludf.DUMMYFUNCTION("FILTER(IMPORTRANGE(""https://docs.google.com/spreadsheets/d/1BJSV3WBYJGRhQ6zExamkszQ5VutGIcaQqmbD9ZTVXMQ/edit#gid=1251630045"",""articles_with_PRISMA_reasons!C2:C2113""), $A898=IMPORTRANGE(""https://docs.google.com/spreadsheets/d/1BJSV3WBYJGRhQ6zExamkszQ5"&amp;"VutGIcaQqmbD9ZTVXMQ/edit#gid=1251630045"",""articles_with_PRISMA_reasons!B2:B2113""))"),2011.0)</f>
        <v>2011</v>
      </c>
      <c r="D898" s="5" t="str">
        <f>IFERROR(__xludf.DUMMYFUNCTION("IFS(AND(
FILTER(IMPORTRANGE(""https://docs.google.com/spreadsheets/d/1BJSV3WBYJGRhQ6zExamkszQ5VutGIcaQqmbD9ZTVXMQ/edit#gid=1251630045"",""articles_with_PRISMA_reasons!Y2:Y2113""), $A898=IMPORTRANGE(""https://docs.google.com/spreadsheets/d/1BJSV3WBYJGRhQ6z"&amp;"ExamkszQ5VutGIcaQqmbD9ZTVXMQ/edit#gid=1251630045"",""articles_with_PRISMA_reasons!B2:B2113""))&gt;=2,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$A898=IMPORTRANGE(""https://docs.google.com/spreadsheets/d/1BJSV3WBYJGRhQ6zExamkszQ5VutGIcaQqmbD9ZTVXMQ/edit#gid=1251630045"",""articles_with_PRISMA_reasons!B2:B2113""))&lt;2),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$A898=IMPORTRANGE(""https://docs.google.com/spreadsheets/d/1BJSV3WBYJGRhQ6zExamkszQ5VutGIcaQqmbD9ZTVXMQ/edit#gid=1251630045"",""arti"&amp;"cles_with_PRISMA_reasons!B2:B2113""))&lt;2,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$A898=IMPORTRANGE(""https://docs.google.com"&amp;"/spreadsheets/d/1BJSV3WBYJGRhQ6zExamkszQ5VutGIcaQqmbD9ZTVXMQ/edit#gid=1251630045"",""articles_with_PRISMA_reasons!B2:B2113""))&gt;=2),
""Exclude""
)"),"Exclude")</f>
        <v>Exclude</v>
      </c>
      <c r="E898" s="5" t="str">
        <f>IFERROR(__xludf.DUMMYFUNCTION("IFS(
D898=""Exclude"",""Exclude"",
AND(
FILTER(IMPORTRANGE(""https://docs.google.com/spreadsheets/d/1qpEmbGH0JjaJbUdp21-y2cPbobDbMjr09BbtdKROZWc/edit#gid=1444865654"",""articles_with_PRISMA_reasons!W2:W2113""), $A898=IMPORTRANGE(""https://docs.google.com/"&amp;"spreadsheets/d/1qpEmbGH0JjaJbUdp21-y2cPbobDbMjr09BbtdKROZWc/edit#gid=1444865654"",""articles_with_PRISMA_reasons!B2:B2113""))&gt;=2,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$A898=IMPORTRANGE(""https://docs.google.com/spreadsheets/d/1qpEmbGH0JjaJbUdp21-y2cPbobDbMjr09BbtdKROZWc/edit#gid=1444865654"",""articles_with_PRISMA_reasons!B2:B2113""))&lt;2),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$A898=IMPORTRANGE(""https://docs.google.com/spreadsheets/d/1qpEmbGH0JjaJbUdp21-y2cPbobDbMjr09BbtdKRO"&amp;"ZWc/edit#gid=1444865654"",""articles_with_PRISMA_reasons!B2:B2113""))&lt;2,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$A898=IMPOR"&amp;"TRANGE(""https://docs.google.com/spreadsheets/d/1qpEmbGH0JjaJbUdp21-y2cPbobDbMjr09BbtdKROZWc/edit#gid=1444865654"",""articles_with_PRISMA_reasons!B2:B2113""))&gt;=2),
""Exclude""
)"),"Exclude")</f>
        <v>Exclude</v>
      </c>
      <c r="F898" s="5" t="str">
        <f>IFERROR(__xludf.DUMMYFUNCTION("IFS(
E898=""Exclude"",""Exclude"",
AND(
COUNTIF(
IMPORTRANGE(""https://docs.google.com/spreadsheets/d/1kGrh75X1cNR1D7_FcY9zMnHP8iPO4M5RCRjy6nZY0TY/edit#gid=0"",""Table 1: Study characteristics!B4:B171""),A898)&gt;0,
COUNTIF(Studies!$A$2:$A$85,FILTER(IMPORTRA"&amp;"NGE(""https://docs.google.com/spreadsheets/d/1kGrh75X1cNR1D7_FcY9zMnHP8iPO4M5RCRjy6nZY0TY/edit#gid=0"",""Table 1: Study characteristics!A4:A171""), $A898=IMPORTRANGE(""https://docs.google.com/spreadsheets/d/1kGrh75X1cNR1D7_FcY9zMnHP8iPO4M5RCRjy6nZY0TY/edi"&amp;"t#gid=0"",""Table 1: Study characteristics!B4:B171"")))&gt;0
),
""Include""
)"),"Exclude")</f>
        <v>Exclude</v>
      </c>
      <c r="G898" s="5" t="str">
        <f>IFERROR(__xludf.DUMMYFUNCTION("IFS(
D898=""Exclude"",
FILTER(IMPORTRANGE(""https://docs.google.com/spreadsheets/d/1BJSV3WBYJGRhQ6zExamkszQ5VutGIcaQqmbD9ZTVXMQ/edit#gid=1251630045"",""articles_with_PRISMA_reasons!AB2:AB2113""), $A898=IMPORTRANGE(""https://docs.google.com/spreadsheets/d/"&amp;"1BJSV3WBYJGRhQ6zExamkszQ5VutGIcaQqmbD9ZTVXMQ/edit#gid=1251630045"",""articles_with_PRISMA_reasons!B2:B2113"")),
E898=""Exclude"",
FILTER(IMPORTRANGE(""https://docs.google.com/spreadsheets/d/1qpEmbGH0JjaJbUdp21-y2cPbobDbMjr09BbtdKROZWc/edit#gid=1444865654"&amp;""",""articles_with_PRISMA_reasons!Z2:Z2113""), $A898=IMPORTRANGE(""https://docs.google.com/spreadsheets/d/1qpEmbGH0JjaJbUdp21-y2cPbobDbMjr09BbtdKROZWc/edit#gid=1444865654"",""articles_with_PRISMA_reasons!B2:B2113"")),F898
=""Include"",FILTER(IMPORTRANGE("&amp;"""https://docs.google.com/spreadsheets/d/1kGrh75X1cNR1D7_FcY9zMnHP8iPO4M5RCRjy6nZY0TY/edit#gid=0"",""Table 1: Study characteristics!A4:A171""), $A898=IMPORTRANGE(""https://docs.google.com/spreadsheets/d/1kGrh75X1cNR1D7_FcY9zMnHP8iPO4M5RCRjy6nZY0TY/edit#gi"&amp;"d=0"",""Table 1: Study characteristics!B4:B171""))
)"),"wrong study design")</f>
        <v>wrong study design</v>
      </c>
    </row>
    <row r="899">
      <c r="A899" s="4" t="str">
        <f>IFERROR(__xludf.DUMMYFUNCTION("""COMPUTED_VALUE"""),"High Intra-Abdominal Pressure Secondary to Obesity as a Determining Factor for Ventriculoperitoneal Shunt Malfunction")</f>
        <v>High Intra-Abdominal Pressure Secondary to Obesity as a Determining Factor for Ventriculoperitoneal Shunt Malfunction</v>
      </c>
      <c r="B899" s="5" t="str">
        <f>IFERROR(__xludf.DUMMYFUNCTION("LEFT(FILTER(IMPORTRANGE(""https://docs.google.com/spreadsheets/d/1BJSV3WBYJGRhQ6zExamkszQ5VutGIcaQqmbD9ZTVXMQ/edit#gid=1251630045"",""articles_with_PRISMA_reasons!K2:K2113""), $A899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$A899=IMPORTRANGE(""https://docs.google.com/spreadsheets/d/1BJSV3WBYJGRhQ6zExamkszQ5VutGIcaQqmbD9ZTVXMQ/edit#gid=1251630045"",""articles_with_PRISMA_reasons!B2:B2113"")))-1)"),"Morais")</f>
        <v>Morais</v>
      </c>
      <c r="C899" s="6">
        <f>IFERROR(__xludf.DUMMYFUNCTION("FILTER(IMPORTRANGE(""https://docs.google.com/spreadsheets/d/1BJSV3WBYJGRhQ6zExamkszQ5VutGIcaQqmbD9ZTVXMQ/edit#gid=1251630045"",""articles_with_PRISMA_reasons!C2:C2113""), $A899=IMPORTRANGE(""https://docs.google.com/spreadsheets/d/1BJSV3WBYJGRhQ6zExamkszQ5"&amp;"VutGIcaQqmbD9ZTVXMQ/edit#gid=1251630045"",""articles_with_PRISMA_reasons!B2:B2113""))"),2018.0)</f>
        <v>2018</v>
      </c>
      <c r="D899" s="5" t="str">
        <f>IFERROR(__xludf.DUMMYFUNCTION("IFS(AND(
FILTER(IMPORTRANGE(""https://docs.google.com/spreadsheets/d/1BJSV3WBYJGRhQ6zExamkszQ5VutGIcaQqmbD9ZTVXMQ/edit#gid=1251630045"",""articles_with_PRISMA_reasons!Y2:Y2113""), $A899=IMPORTRANGE(""https://docs.google.com/spreadsheets/d/1BJSV3WBYJGRhQ6z"&amp;"ExamkszQ5VutGIcaQqmbD9ZTVXMQ/edit#gid=1251630045"",""articles_with_PRISMA_reasons!B2:B2113""))&gt;=2,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$A899=IMPORTRANGE(""https://docs.google.com/spreadsheets/d/1BJSV3WBYJGRhQ6zExamkszQ5VutGIcaQqmbD9ZTVXMQ/edit#gid=1251630045"",""articles_with_PRISMA_reasons!B2:B2113""))&lt;2),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$A899=IMPORTRANGE(""https://docs.google.com/spreadsheets/d/1BJSV3WBYJGRhQ6zExamkszQ5VutGIcaQqmbD9ZTVXMQ/edit#gid=1251630045"",""arti"&amp;"cles_with_PRISMA_reasons!B2:B2113""))&lt;2,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$A899=IMPORTRANGE(""https://docs.google.com"&amp;"/spreadsheets/d/1BJSV3WBYJGRhQ6zExamkszQ5VutGIcaQqmbD9ZTVXMQ/edit#gid=1251630045"",""articles_with_PRISMA_reasons!B2:B2113""))&gt;=2),
""Exclude""
)"),"Exclude")</f>
        <v>Exclude</v>
      </c>
      <c r="E899" s="5" t="str">
        <f>IFERROR(__xludf.DUMMYFUNCTION("IFS(
D899=""Exclude"",""Exclude"",
AND(
FILTER(IMPORTRANGE(""https://docs.google.com/spreadsheets/d/1qpEmbGH0JjaJbUdp21-y2cPbobDbMjr09BbtdKROZWc/edit#gid=1444865654"",""articles_with_PRISMA_reasons!W2:W2113""), $A899=IMPORTRANGE(""https://docs.google.com/"&amp;"spreadsheets/d/1qpEmbGH0JjaJbUdp21-y2cPbobDbMjr09BbtdKROZWc/edit#gid=1444865654"",""articles_with_PRISMA_reasons!B2:B2113""))&gt;=2,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$A899=IMPORTRANGE(""https://docs.google.com/spreadsheets/d/1qpEmbGH0JjaJbUdp21-y2cPbobDbMjr09BbtdKROZWc/edit#gid=1444865654"",""articles_with_PRISMA_reasons!B2:B2113""))&lt;2),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$A899=IMPORTRANGE(""https://docs.google.com/spreadsheets/d/1qpEmbGH0JjaJbUdp21-y2cPbobDbMjr09BbtdKRO"&amp;"ZWc/edit#gid=1444865654"",""articles_with_PRISMA_reasons!B2:B2113""))&lt;2,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$A899=IMPOR"&amp;"TRANGE(""https://docs.google.com/spreadsheets/d/1qpEmbGH0JjaJbUdp21-y2cPbobDbMjr09BbtdKROZWc/edit#gid=1444865654"",""articles_with_PRISMA_reasons!B2:B2113""))&gt;=2),
""Exclude""
)"),"Exclude")</f>
        <v>Exclude</v>
      </c>
      <c r="F899" s="5" t="str">
        <f>IFERROR(__xludf.DUMMYFUNCTION("IFS(
E899=""Exclude"",""Exclude"",
AND(
COUNTIF(
IMPORTRANGE(""https://docs.google.com/spreadsheets/d/1kGrh75X1cNR1D7_FcY9zMnHP8iPO4M5RCRjy6nZY0TY/edit#gid=0"",""Table 1: Study characteristics!B4:B171""),A899)&gt;0,
COUNTIF(Studies!$A$2:$A$85,FILTER(IMPORTRA"&amp;"NGE(""https://docs.google.com/spreadsheets/d/1kGrh75X1cNR1D7_FcY9zMnHP8iPO4M5RCRjy6nZY0TY/edit#gid=0"",""Table 1: Study characteristics!A4:A171""), $A899=IMPORTRANGE(""https://docs.google.com/spreadsheets/d/1kGrh75X1cNR1D7_FcY9zMnHP8iPO4M5RCRjy6nZY0TY/edi"&amp;"t#gid=0"",""Table 1: Study characteristics!B4:B171"")))&gt;0
),
""Include""
)"),"Exclude")</f>
        <v>Exclude</v>
      </c>
      <c r="G899" s="5" t="str">
        <f>IFERROR(__xludf.DUMMYFUNCTION("IFS(
D899=""Exclude"",
FILTER(IMPORTRANGE(""https://docs.google.com/spreadsheets/d/1BJSV3WBYJGRhQ6zExamkszQ5VutGIcaQqmbD9ZTVXMQ/edit#gid=1251630045"",""articles_with_PRISMA_reasons!AB2:AB2113""), $A899=IMPORTRANGE(""https://docs.google.com/spreadsheets/d/"&amp;"1BJSV3WBYJGRhQ6zExamkszQ5VutGIcaQqmbD9ZTVXMQ/edit#gid=1251630045"",""articles_with_PRISMA_reasons!B2:B2113"")),
E899=""Exclude"",
FILTER(IMPORTRANGE(""https://docs.google.com/spreadsheets/d/1qpEmbGH0JjaJbUdp21-y2cPbobDbMjr09BbtdKROZWc/edit#gid=1444865654"&amp;""",""articles_with_PRISMA_reasons!Z2:Z2113""), $A899=IMPORTRANGE(""https://docs.google.com/spreadsheets/d/1qpEmbGH0JjaJbUdp21-y2cPbobDbMjr09BbtdKROZWc/edit#gid=1444865654"",""articles_with_PRISMA_reasons!B2:B2113"")),F899
=""Include"",FILTER(IMPORTRANGE("&amp;"""https://docs.google.com/spreadsheets/d/1kGrh75X1cNR1D7_FcY9zMnHP8iPO4M5RCRjy6nZY0TY/edit#gid=0"",""Table 1: Study characteristics!A4:A171""), $A899=IMPORTRANGE(""https://docs.google.com/spreadsheets/d/1kGrh75X1cNR1D7_FcY9zMnHP8iPO4M5RCRjy6nZY0TY/edit#gi"&amp;"d=0"",""Table 1: Study characteristics!B4:B171""))
)"),"wrong study design")</f>
        <v>wrong study design</v>
      </c>
    </row>
    <row r="900">
      <c r="A900" s="4" t="str">
        <f>IFERROR(__xludf.DUMMYFUNCTION("""COMPUTED_VALUE"""),"Hindbrain Herniation in Chiari II Malformation on Fetal and Postnatal MRI")</f>
        <v>Hindbrain Herniation in Chiari II Malformation on Fetal and Postnatal MRI</v>
      </c>
      <c r="B900" s="5" t="str">
        <f>IFERROR(__xludf.DUMMYFUNCTION("LEFT(FILTER(IMPORTRANGE(""https://docs.google.com/spreadsheets/d/1BJSV3WBYJGRhQ6zExamkszQ5VutGIcaQqmbD9ZTVXMQ/edit#gid=1251630045"",""articles_with_PRISMA_reasons!K2:K2113""), $A900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$A900=IMPORTRANGE(""https://docs.google.com/spreadsheets/d/1BJSV3WBYJGRhQ6zExamkszQ5VutGIcaQqmbD9ZTVXMQ/edit#gid=1251630045"",""articles_with_PRISMA_reasons!B2:B2113"")))-1)"),"Nagaraj")</f>
        <v>Nagaraj</v>
      </c>
      <c r="C900" s="6" t="str">
        <f>IFERROR(__xludf.DUMMYFUNCTION("FILTER(IMPORTRANGE(""https://docs.google.com/spreadsheets/d/1BJSV3WBYJGRhQ6zExamkszQ5VutGIcaQqmbD9ZTVXMQ/edit#gid=1251630045"",""articles_with_PRISMA_reasons!C2:C2113""), $A900=IMPORTRANGE(""https://docs.google.com/spreadsheets/d/1BJSV3WBYJGRhQ6zExamkszQ5"&amp;"VutGIcaQqmbD9ZTVXMQ/edit#gid=1251630045"",""articles_with_PRISMA_reasons!B2:B2113""))"),"May")</f>
        <v>May</v>
      </c>
      <c r="D900" s="5" t="str">
        <f>IFERROR(__xludf.DUMMYFUNCTION("IFS(AND(
FILTER(IMPORTRANGE(""https://docs.google.com/spreadsheets/d/1BJSV3WBYJGRhQ6zExamkszQ5VutGIcaQqmbD9ZTVXMQ/edit#gid=1251630045"",""articles_with_PRISMA_reasons!Y2:Y2113""), $A900=IMPORTRANGE(""https://docs.google.com/spreadsheets/d/1BJSV3WBYJGRhQ6z"&amp;"ExamkszQ5VutGIcaQqmbD9ZTVXMQ/edit#gid=1251630045"",""articles_with_PRISMA_reasons!B2:B2113""))&gt;=2,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$A900=IMPORTRANGE(""https://docs.google.com/spreadsheets/d/1BJSV3WBYJGRhQ6zExamkszQ5VutGIcaQqmbD9ZTVXMQ/edit#gid=1251630045"",""articles_with_PRISMA_reasons!B2:B2113""))&lt;2),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$A900=IMPORTRANGE(""https://docs.google.com/spreadsheets/d/1BJSV3WBYJGRhQ6zExamkszQ5VutGIcaQqmbD9ZTVXMQ/edit#gid=1251630045"",""arti"&amp;"cles_with_PRISMA_reasons!B2:B2113""))&lt;2,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$A900=IMPORTRANGE(""https://docs.google.com"&amp;"/spreadsheets/d/1BJSV3WBYJGRhQ6zExamkszQ5VutGIcaQqmbD9ZTVXMQ/edit#gid=1251630045"",""articles_with_PRISMA_reasons!B2:B2113""))&gt;=2),
""Exclude""
)"),"Exclude")</f>
        <v>Exclude</v>
      </c>
      <c r="E900" s="5" t="str">
        <f>IFERROR(__xludf.DUMMYFUNCTION("IFS(
D900=""Exclude"",""Exclude"",
AND(
FILTER(IMPORTRANGE(""https://docs.google.com/spreadsheets/d/1qpEmbGH0JjaJbUdp21-y2cPbobDbMjr09BbtdKROZWc/edit#gid=1444865654"",""articles_with_PRISMA_reasons!W2:W2113""), $A900=IMPORTRANGE(""https://docs.google.com/"&amp;"spreadsheets/d/1qpEmbGH0JjaJbUdp21-y2cPbobDbMjr09BbtdKROZWc/edit#gid=1444865654"",""articles_with_PRISMA_reasons!B2:B2113""))&gt;=2,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$A900=IMPORTRANGE(""https://docs.google.com/spreadsheets/d/1qpEmbGH0JjaJbUdp21-y2cPbobDbMjr09BbtdKROZWc/edit#gid=1444865654"",""articles_with_PRISMA_reasons!B2:B2113""))&lt;2),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$A900=IMPORTRANGE(""https://docs.google.com/spreadsheets/d/1qpEmbGH0JjaJbUdp21-y2cPbobDbMjr09BbtdKRO"&amp;"ZWc/edit#gid=1444865654"",""articles_with_PRISMA_reasons!B2:B2113""))&lt;2,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$A900=IMPOR"&amp;"TRANGE(""https://docs.google.com/spreadsheets/d/1qpEmbGH0JjaJbUdp21-y2cPbobDbMjr09BbtdKROZWc/edit#gid=1444865654"",""articles_with_PRISMA_reasons!B2:B2113""))&gt;=2),
""Exclude""
)"),"Exclude")</f>
        <v>Exclude</v>
      </c>
      <c r="F900" s="5" t="str">
        <f>IFERROR(__xludf.DUMMYFUNCTION("IFS(
E900=""Exclude"",""Exclude"",
AND(
COUNTIF(
IMPORTRANGE(""https://docs.google.com/spreadsheets/d/1kGrh75X1cNR1D7_FcY9zMnHP8iPO4M5RCRjy6nZY0TY/edit#gid=0"",""Table 1: Study characteristics!B4:B171""),A900)&gt;0,
COUNTIF(Studies!$A$2:$A$85,FILTER(IMPORTRA"&amp;"NGE(""https://docs.google.com/spreadsheets/d/1kGrh75X1cNR1D7_FcY9zMnHP8iPO4M5RCRjy6nZY0TY/edit#gid=0"",""Table 1: Study characteristics!A4:A171""), $A900=IMPORTRANGE(""https://docs.google.com/spreadsheets/d/1kGrh75X1cNR1D7_FcY9zMnHP8iPO4M5RCRjy6nZY0TY/edi"&amp;"t#gid=0"",""Table 1: Study characteristics!B4:B171"")))&gt;0
),
""Include""
)"),"Exclude")</f>
        <v>Exclude</v>
      </c>
      <c r="G900" s="5" t="str">
        <f>IFERROR(__xludf.DUMMYFUNCTION("IFS(
D900=""Exclude"",
FILTER(IMPORTRANGE(""https://docs.google.com/spreadsheets/d/1BJSV3WBYJGRhQ6zExamkszQ5VutGIcaQqmbD9ZTVXMQ/edit#gid=1251630045"",""articles_with_PRISMA_reasons!AB2:AB2113""), $A900=IMPORTRANGE(""https://docs.google.com/spreadsheets/d/"&amp;"1BJSV3WBYJGRhQ6zExamkszQ5VutGIcaQqmbD9ZTVXMQ/edit#gid=1251630045"",""articles_with_PRISMA_reasons!B2:B2113"")),
E900=""Exclude"",
FILTER(IMPORTRANGE(""https://docs.google.com/spreadsheets/d/1qpEmbGH0JjaJbUdp21-y2cPbobDbMjr09BbtdKROZWc/edit#gid=1444865654"&amp;""",""articles_with_PRISMA_reasons!Z2:Z2113""), $A900=IMPORTRANGE(""https://docs.google.com/spreadsheets/d/1qpEmbGH0JjaJbUdp21-y2cPbobDbMjr09BbtdKROZWc/edit#gid=1444865654"",""articles_with_PRISMA_reasons!B2:B2113"")),F900
=""Include"",FILTER(IMPORTRANGE("&amp;"""https://docs.google.com/spreadsheets/d/1kGrh75X1cNR1D7_FcY9zMnHP8iPO4M5RCRjy6nZY0TY/edit#gid=0"",""Table 1: Study characteristics!A4:A171""), $A900=IMPORTRANGE(""https://docs.google.com/spreadsheets/d/1kGrh75X1cNR1D7_FcY9zMnHP8iPO4M5RCRjy6nZY0TY/edit#gi"&amp;"d=0"",""Table 1: Study characteristics!B4:B171""))
)"),"wrong population")</f>
        <v>wrong population</v>
      </c>
    </row>
    <row r="901">
      <c r="A901" s="4" t="str">
        <f>IFERROR(__xludf.DUMMYFUNCTION("""COMPUTED_VALUE"""),"Hippotherapy as a therapeutic resource in myelomeningocele: A case study")</f>
        <v>Hippotherapy as a therapeutic resource in myelomeningocele: A case study</v>
      </c>
      <c r="B901" s="5" t="str">
        <f>IFERROR(__xludf.DUMMYFUNCTION("LEFT(FILTER(IMPORTRANGE(""https://docs.google.com/spreadsheets/d/1BJSV3WBYJGRhQ6zExamkszQ5VutGIcaQqmbD9ZTVXMQ/edit#gid=1251630045"",""articles_with_PRISMA_reasons!K2:K2113""), $A901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$A901=IMPORTRANGE(""https://docs.google.com/spreadsheets/d/1BJSV3WBYJGRhQ6zExamkszQ5VutGIcaQqmbD9ZTVXMQ/edit#gid=1251630045"",""articles_with_PRISMA_reasons!B2:B2113"")))-1)"),"Gomes")</f>
        <v>Gomes</v>
      </c>
      <c r="C901" s="6">
        <f>IFERROR(__xludf.DUMMYFUNCTION("FILTER(IMPORTRANGE(""https://docs.google.com/spreadsheets/d/1BJSV3WBYJGRhQ6zExamkszQ5VutGIcaQqmbD9ZTVXMQ/edit#gid=1251630045"",""articles_with_PRISMA_reasons!C2:C2113""), $A901=IMPORTRANGE(""https://docs.google.com/spreadsheets/d/1BJSV3WBYJGRhQ6zExamkszQ5"&amp;"VutGIcaQqmbD9ZTVXMQ/edit#gid=1251630045"",""articles_with_PRISMA_reasons!B2:B2113""))"),2014.0)</f>
        <v>2014</v>
      </c>
      <c r="D901" s="5" t="str">
        <f>IFERROR(__xludf.DUMMYFUNCTION("IFS(AND(
FILTER(IMPORTRANGE(""https://docs.google.com/spreadsheets/d/1BJSV3WBYJGRhQ6zExamkszQ5VutGIcaQqmbD9ZTVXMQ/edit#gid=1251630045"",""articles_with_PRISMA_reasons!Y2:Y2113""), $A901=IMPORTRANGE(""https://docs.google.com/spreadsheets/d/1BJSV3WBYJGRhQ6z"&amp;"ExamkszQ5VutGIcaQqmbD9ZTVXMQ/edit#gid=1251630045"",""articles_with_PRISMA_reasons!B2:B2113""))&gt;=2,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$A901=IMPORTRANGE(""https://docs.google.com/spreadsheets/d/1BJSV3WBYJGRhQ6zExamkszQ5VutGIcaQqmbD9ZTVXMQ/edit#gid=1251630045"",""articles_with_PRISMA_reasons!B2:B2113""))&lt;2),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$A901=IMPORTRANGE(""https://docs.google.com/spreadsheets/d/1BJSV3WBYJGRhQ6zExamkszQ5VutGIcaQqmbD9ZTVXMQ/edit#gid=1251630045"",""arti"&amp;"cles_with_PRISMA_reasons!B2:B2113""))&lt;2,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$A901=IMPORTRANGE(""https://docs.google.com"&amp;"/spreadsheets/d/1BJSV3WBYJGRhQ6zExamkszQ5VutGIcaQqmbD9ZTVXMQ/edit#gid=1251630045"",""articles_with_PRISMA_reasons!B2:B2113""))&gt;=2),
""Exclude""
)"),"Exclude")</f>
        <v>Exclude</v>
      </c>
      <c r="E901" s="5" t="str">
        <f>IFERROR(__xludf.DUMMYFUNCTION("IFS(
D901=""Exclude"",""Exclude"",
AND(
FILTER(IMPORTRANGE(""https://docs.google.com/spreadsheets/d/1qpEmbGH0JjaJbUdp21-y2cPbobDbMjr09BbtdKROZWc/edit#gid=1444865654"",""articles_with_PRISMA_reasons!W2:W2113""), $A901=IMPORTRANGE(""https://docs.google.com/"&amp;"spreadsheets/d/1qpEmbGH0JjaJbUdp21-y2cPbobDbMjr09BbtdKROZWc/edit#gid=1444865654"",""articles_with_PRISMA_reasons!B2:B2113""))&gt;=2,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$A901=IMPORTRANGE(""https://docs.google.com/spreadsheets/d/1qpEmbGH0JjaJbUdp21-y2cPbobDbMjr09BbtdKROZWc/edit#gid=1444865654"",""articles_with_PRISMA_reasons!B2:B2113""))&lt;2),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$A901=IMPORTRANGE(""https://docs.google.com/spreadsheets/d/1qpEmbGH0JjaJbUdp21-y2cPbobDbMjr09BbtdKRO"&amp;"ZWc/edit#gid=1444865654"",""articles_with_PRISMA_reasons!B2:B2113""))&lt;2,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$A901=IMPOR"&amp;"TRANGE(""https://docs.google.com/spreadsheets/d/1qpEmbGH0JjaJbUdp21-y2cPbobDbMjr09BbtdKROZWc/edit#gid=1444865654"",""articles_with_PRISMA_reasons!B2:B2113""))&gt;=2),
""Exclude""
)"),"Exclude")</f>
        <v>Exclude</v>
      </c>
      <c r="F901" s="5" t="str">
        <f>IFERROR(__xludf.DUMMYFUNCTION("IFS(
E901=""Exclude"",""Exclude"",
AND(
COUNTIF(
IMPORTRANGE(""https://docs.google.com/spreadsheets/d/1kGrh75X1cNR1D7_FcY9zMnHP8iPO4M5RCRjy6nZY0TY/edit#gid=0"",""Table 1: Study characteristics!B4:B171""),A901)&gt;0,
COUNTIF(Studies!$A$2:$A$85,FILTER(IMPORTRA"&amp;"NGE(""https://docs.google.com/spreadsheets/d/1kGrh75X1cNR1D7_FcY9zMnHP8iPO4M5RCRjy6nZY0TY/edit#gid=0"",""Table 1: Study characteristics!A4:A171""), $A901=IMPORTRANGE(""https://docs.google.com/spreadsheets/d/1kGrh75X1cNR1D7_FcY9zMnHP8iPO4M5RCRjy6nZY0TY/edi"&amp;"t#gid=0"",""Table 1: Study characteristics!B4:B171"")))&gt;0
),
""Include""
)"),"Exclude")</f>
        <v>Exclude</v>
      </c>
      <c r="G901" s="5" t="str">
        <f>IFERROR(__xludf.DUMMYFUNCTION("IFS(
D901=""Exclude"",
FILTER(IMPORTRANGE(""https://docs.google.com/spreadsheets/d/1BJSV3WBYJGRhQ6zExamkszQ5VutGIcaQqmbD9ZTVXMQ/edit#gid=1251630045"",""articles_with_PRISMA_reasons!AB2:AB2113""), $A901=IMPORTRANGE(""https://docs.google.com/spreadsheets/d/"&amp;"1BJSV3WBYJGRhQ6zExamkszQ5VutGIcaQqmbD9ZTVXMQ/edit#gid=1251630045"",""articles_with_PRISMA_reasons!B2:B2113"")),
E901=""Exclude"",
FILTER(IMPORTRANGE(""https://docs.google.com/spreadsheets/d/1qpEmbGH0JjaJbUdp21-y2cPbobDbMjr09BbtdKROZWc/edit#gid=1444865654"&amp;""",""articles_with_PRISMA_reasons!Z2:Z2113""), $A901=IMPORTRANGE(""https://docs.google.com/spreadsheets/d/1qpEmbGH0JjaJbUdp21-y2cPbobDbMjr09BbtdKROZWc/edit#gid=1444865654"",""articles_with_PRISMA_reasons!B2:B2113"")),F901
=""Include"",FILTER(IMPORTRANGE("&amp;"""https://docs.google.com/spreadsheets/d/1kGrh75X1cNR1D7_FcY9zMnHP8iPO4M5RCRjy6nZY0TY/edit#gid=0"",""Table 1: Study characteristics!A4:A171""), $A901=IMPORTRANGE(""https://docs.google.com/spreadsheets/d/1kGrh75X1cNR1D7_FcY9zMnHP8iPO4M5RCRjy6nZY0TY/edit#gi"&amp;"d=0"",""Table 1: Study characteristics!B4:B171""))
)"),"wrong study design")</f>
        <v>wrong study design</v>
      </c>
    </row>
    <row r="902">
      <c r="A902" s="4" t="str">
        <f>IFERROR(__xludf.DUMMYFUNCTION("""COMPUTED_VALUE"""),"Historical vignette: Cushing's experience with the surgical treatment of spinal dysraphism")</f>
        <v>Historical vignette: Cushing's experience with the surgical treatment of spinal dysraphism</v>
      </c>
      <c r="B902" s="5" t="str">
        <f>IFERROR(__xludf.DUMMYFUNCTION("LEFT(FILTER(IMPORTRANGE(""https://docs.google.com/spreadsheets/d/1BJSV3WBYJGRhQ6zExamkszQ5VutGIcaQqmbD9ZTVXMQ/edit#gid=1251630045"",""articles_with_PRISMA_reasons!K2:K2113""), $A902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$A902=IMPORTRANGE(""https://docs.google.com/spreadsheets/d/1BJSV3WBYJGRhQ6zExamkszQ5VutGIcaQqmbD9ZTVXMQ/edit#gid=1251630045"",""articles_with_PRISMA_reasons!B2:B2113"")))-1)"),"Cohen-Gadol")</f>
        <v>Cohen-Gadol</v>
      </c>
      <c r="C902" s="6">
        <f>IFERROR(__xludf.DUMMYFUNCTION("FILTER(IMPORTRANGE(""https://docs.google.com/spreadsheets/d/1BJSV3WBYJGRhQ6zExamkszQ5VutGIcaQqmbD9ZTVXMQ/edit#gid=1251630045"",""articles_with_PRISMA_reasons!C2:C2113""), $A902=IMPORTRANGE(""https://docs.google.com/spreadsheets/d/1BJSV3WBYJGRhQ6zExamkszQ5"&amp;"VutGIcaQqmbD9ZTVXMQ/edit#gid=1251630045"",""articles_with_PRISMA_reasons!B2:B2113""))"),2005.0)</f>
        <v>2005</v>
      </c>
      <c r="D902" s="5" t="str">
        <f>IFERROR(__xludf.DUMMYFUNCTION("IFS(AND(
FILTER(IMPORTRANGE(""https://docs.google.com/spreadsheets/d/1BJSV3WBYJGRhQ6zExamkszQ5VutGIcaQqmbD9ZTVXMQ/edit#gid=1251630045"",""articles_with_PRISMA_reasons!Y2:Y2113""), $A902=IMPORTRANGE(""https://docs.google.com/spreadsheets/d/1BJSV3WBYJGRhQ6z"&amp;"ExamkszQ5VutGIcaQqmbD9ZTVXMQ/edit#gid=1251630045"",""articles_with_PRISMA_reasons!B2:B2113""))&gt;=2,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$A902=IMPORTRANGE(""https://docs.google.com/spreadsheets/d/1BJSV3WBYJGRhQ6zExamkszQ5VutGIcaQqmbD9ZTVXMQ/edit#gid=1251630045"",""articles_with_PRISMA_reasons!B2:B2113""))&lt;2),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$A902=IMPORTRANGE(""https://docs.google.com/spreadsheets/d/1BJSV3WBYJGRhQ6zExamkszQ5VutGIcaQqmbD9ZTVXMQ/edit#gid=1251630045"",""arti"&amp;"cles_with_PRISMA_reasons!B2:B2113""))&lt;2,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$A902=IMPORTRANGE(""https://docs.google.com"&amp;"/spreadsheets/d/1BJSV3WBYJGRhQ6zExamkszQ5VutGIcaQqmbD9ZTVXMQ/edit#gid=1251630045"",""articles_with_PRISMA_reasons!B2:B2113""))&gt;=2),
""Exclude""
)"),"Exclude")</f>
        <v>Exclude</v>
      </c>
      <c r="E902" s="5" t="str">
        <f>IFERROR(__xludf.DUMMYFUNCTION("IFS(
D902=""Exclude"",""Exclude"",
AND(
FILTER(IMPORTRANGE(""https://docs.google.com/spreadsheets/d/1qpEmbGH0JjaJbUdp21-y2cPbobDbMjr09BbtdKROZWc/edit#gid=1444865654"",""articles_with_PRISMA_reasons!W2:W2113""), $A902=IMPORTRANGE(""https://docs.google.com/"&amp;"spreadsheets/d/1qpEmbGH0JjaJbUdp21-y2cPbobDbMjr09BbtdKROZWc/edit#gid=1444865654"",""articles_with_PRISMA_reasons!B2:B2113""))&gt;=2,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$A902=IMPORTRANGE(""https://docs.google.com/spreadsheets/d/1qpEmbGH0JjaJbUdp21-y2cPbobDbMjr09BbtdKROZWc/edit#gid=1444865654"",""articles_with_PRISMA_reasons!B2:B2113""))&lt;2),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$A902=IMPORTRANGE(""https://docs.google.com/spreadsheets/d/1qpEmbGH0JjaJbUdp21-y2cPbobDbMjr09BbtdKRO"&amp;"ZWc/edit#gid=1444865654"",""articles_with_PRISMA_reasons!B2:B2113""))&lt;2,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$A902=IMPOR"&amp;"TRANGE(""https://docs.google.com/spreadsheets/d/1qpEmbGH0JjaJbUdp21-y2cPbobDbMjr09BbtdKROZWc/edit#gid=1444865654"",""articles_with_PRISMA_reasons!B2:B2113""))&gt;=2),
""Exclude""
)"),"Exclude")</f>
        <v>Exclude</v>
      </c>
      <c r="F902" s="5" t="str">
        <f>IFERROR(__xludf.DUMMYFUNCTION("IFS(
E902=""Exclude"",""Exclude"",
AND(
COUNTIF(
IMPORTRANGE(""https://docs.google.com/spreadsheets/d/1kGrh75X1cNR1D7_FcY9zMnHP8iPO4M5RCRjy6nZY0TY/edit#gid=0"",""Table 1: Study characteristics!B4:B171""),A902)&gt;0,
COUNTIF(Studies!$A$2:$A$85,FILTER(IMPORTRA"&amp;"NGE(""https://docs.google.com/spreadsheets/d/1kGrh75X1cNR1D7_FcY9zMnHP8iPO4M5RCRjy6nZY0TY/edit#gid=0"",""Table 1: Study characteristics!A4:A171""), $A902=IMPORTRANGE(""https://docs.google.com/spreadsheets/d/1kGrh75X1cNR1D7_FcY9zMnHP8iPO4M5RCRjy6nZY0TY/edi"&amp;"t#gid=0"",""Table 1: Study characteristics!B4:B171"")))&gt;0
),
""Include""
)"),"Exclude")</f>
        <v>Exclude</v>
      </c>
      <c r="G902" s="5" t="str">
        <f>IFERROR(__xludf.DUMMYFUNCTION("IFS(
D902=""Exclude"",
FILTER(IMPORTRANGE(""https://docs.google.com/spreadsheets/d/1BJSV3WBYJGRhQ6zExamkszQ5VutGIcaQqmbD9ZTVXMQ/edit#gid=1251630045"",""articles_with_PRISMA_reasons!AB2:AB2113""), $A902=IMPORTRANGE(""https://docs.google.com/spreadsheets/d/"&amp;"1BJSV3WBYJGRhQ6zExamkszQ5VutGIcaQqmbD9ZTVXMQ/edit#gid=1251630045"",""articles_with_PRISMA_reasons!B2:B2113"")),
E902=""Exclude"",
FILTER(IMPORTRANGE(""https://docs.google.com/spreadsheets/d/1qpEmbGH0JjaJbUdp21-y2cPbobDbMjr09BbtdKROZWc/edit#gid=1444865654"&amp;""",""articles_with_PRISMA_reasons!Z2:Z2113""), $A902=IMPORTRANGE(""https://docs.google.com/spreadsheets/d/1qpEmbGH0JjaJbUdp21-y2cPbobDbMjr09BbtdKROZWc/edit#gid=1444865654"",""articles_with_PRISMA_reasons!B2:B2113"")),F902
=""Include"",FILTER(IMPORTRANGE("&amp;"""https://docs.google.com/spreadsheets/d/1kGrh75X1cNR1D7_FcY9zMnHP8iPO4M5RCRjy6nZY0TY/edit#gid=0"",""Table 1: Study characteristics!A4:A171""), $A902=IMPORTRANGE(""https://docs.google.com/spreadsheets/d/1kGrh75X1cNR1D7_FcY9zMnHP8iPO4M5RCRjy6nZY0TY/edit#gi"&amp;"d=0"",""Table 1: Study characteristics!B4:B171""))
)"),"wrong study design")</f>
        <v>wrong study design</v>
      </c>
    </row>
    <row r="903">
      <c r="A903" s="4" t="str">
        <f>IFERROR(__xludf.DUMMYFUNCTION("""COMPUTED_VALUE"""),"Holoprosencephaly (lobar form) associated with bilateral vocal cord palsy")</f>
        <v>Holoprosencephaly (lobar form) associated with bilateral vocal cord palsy</v>
      </c>
      <c r="B903" s="5" t="str">
        <f>IFERROR(__xludf.DUMMYFUNCTION("LEFT(FILTER(IMPORTRANGE(""https://docs.google.com/spreadsheets/d/1BJSV3WBYJGRhQ6zExamkszQ5VutGIcaQqmbD9ZTVXMQ/edit#gid=1251630045"",""articles_with_PRISMA_reasons!K2:K2113""), $A903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$A903=IMPORTRANGE(""https://docs.google.com/spreadsheets/d/1BJSV3WBYJGRhQ6zExamkszQ5VutGIcaQqmbD9ZTVXMQ/edit#gid=1251630045"",""articles_with_PRISMA_reasons!B2:B2113"")))-1)"),"Smilari")</f>
        <v>Smilari</v>
      </c>
      <c r="C903" s="6" t="str">
        <f>IFERROR(__xludf.DUMMYFUNCTION("FILTER(IMPORTRANGE(""https://docs.google.com/spreadsheets/d/1BJSV3WBYJGRhQ6zExamkszQ5VutGIcaQqmbD9ZTVXMQ/edit#gid=1251630045"",""articles_with_PRISMA_reasons!C2:C2113""), $A903=IMPORTRANGE(""https://docs.google.com/spreadsheets/d/1BJSV3WBYJGRhQ6zExamkszQ5"&amp;"VutGIcaQqmbD9ZTVXMQ/edit#gid=1251630045"",""articles_with_PRISMA_reasons!B2:B2113""))"),"Dec")</f>
        <v>Dec</v>
      </c>
      <c r="D903" s="5" t="str">
        <f>IFERROR(__xludf.DUMMYFUNCTION("IFS(AND(
FILTER(IMPORTRANGE(""https://docs.google.com/spreadsheets/d/1BJSV3WBYJGRhQ6zExamkszQ5VutGIcaQqmbD9ZTVXMQ/edit#gid=1251630045"",""articles_with_PRISMA_reasons!Y2:Y2113""), $A903=IMPORTRANGE(""https://docs.google.com/spreadsheets/d/1BJSV3WBYJGRhQ6z"&amp;"ExamkszQ5VutGIcaQqmbD9ZTVXMQ/edit#gid=1251630045"",""articles_with_PRISMA_reasons!B2:B2113""))&gt;=2,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$A903=IMPORTRANGE(""https://docs.google.com/spreadsheets/d/1BJSV3WBYJGRhQ6zExamkszQ5VutGIcaQqmbD9ZTVXMQ/edit#gid=1251630045"",""articles_with_PRISMA_reasons!B2:B2113""))&lt;2),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$A903=IMPORTRANGE(""https://docs.google.com/spreadsheets/d/1BJSV3WBYJGRhQ6zExamkszQ5VutGIcaQqmbD9ZTVXMQ/edit#gid=1251630045"",""arti"&amp;"cles_with_PRISMA_reasons!B2:B2113""))&lt;2,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$A903=IMPORTRANGE(""https://docs.google.com"&amp;"/spreadsheets/d/1BJSV3WBYJGRhQ6zExamkszQ5VutGIcaQqmbD9ZTVXMQ/edit#gid=1251630045"",""articles_with_PRISMA_reasons!B2:B2113""))&gt;=2),
""Exclude""
)"),"Exclude")</f>
        <v>Exclude</v>
      </c>
      <c r="E903" s="5" t="str">
        <f>IFERROR(__xludf.DUMMYFUNCTION("IFS(
D903=""Exclude"",""Exclude"",
AND(
FILTER(IMPORTRANGE(""https://docs.google.com/spreadsheets/d/1qpEmbGH0JjaJbUdp21-y2cPbobDbMjr09BbtdKROZWc/edit#gid=1444865654"",""articles_with_PRISMA_reasons!W2:W2113""), $A903=IMPORTRANGE(""https://docs.google.com/"&amp;"spreadsheets/d/1qpEmbGH0JjaJbUdp21-y2cPbobDbMjr09BbtdKROZWc/edit#gid=1444865654"",""articles_with_PRISMA_reasons!B2:B2113""))&gt;=2,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$A903=IMPORTRANGE(""https://docs.google.com/spreadsheets/d/1qpEmbGH0JjaJbUdp21-y2cPbobDbMjr09BbtdKROZWc/edit#gid=1444865654"",""articles_with_PRISMA_reasons!B2:B2113""))&lt;2),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$A903=IMPORTRANGE(""https://docs.google.com/spreadsheets/d/1qpEmbGH0JjaJbUdp21-y2cPbobDbMjr09BbtdKRO"&amp;"ZWc/edit#gid=1444865654"",""articles_with_PRISMA_reasons!B2:B2113""))&lt;2,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$A903=IMPOR"&amp;"TRANGE(""https://docs.google.com/spreadsheets/d/1qpEmbGH0JjaJbUdp21-y2cPbobDbMjr09BbtdKROZWc/edit#gid=1444865654"",""articles_with_PRISMA_reasons!B2:B2113""))&gt;=2),
""Exclude""
)"),"Exclude")</f>
        <v>Exclude</v>
      </c>
      <c r="F903" s="5" t="str">
        <f>IFERROR(__xludf.DUMMYFUNCTION("IFS(
E903=""Exclude"",""Exclude"",
AND(
COUNTIF(
IMPORTRANGE(""https://docs.google.com/spreadsheets/d/1kGrh75X1cNR1D7_FcY9zMnHP8iPO4M5RCRjy6nZY0TY/edit#gid=0"",""Table 1: Study characteristics!B4:B171""),A903)&gt;0,
COUNTIF(Studies!$A$2:$A$85,FILTER(IMPORTRA"&amp;"NGE(""https://docs.google.com/spreadsheets/d/1kGrh75X1cNR1D7_FcY9zMnHP8iPO4M5RCRjy6nZY0TY/edit#gid=0"",""Table 1: Study characteristics!A4:A171""), $A903=IMPORTRANGE(""https://docs.google.com/spreadsheets/d/1kGrh75X1cNR1D7_FcY9zMnHP8iPO4M5RCRjy6nZY0TY/edi"&amp;"t#gid=0"",""Table 1: Study characteristics!B4:B171"")))&gt;0
),
""Include""
)"),"Exclude")</f>
        <v>Exclude</v>
      </c>
      <c r="G903" s="5" t="str">
        <f>IFERROR(__xludf.DUMMYFUNCTION("IFS(
D903=""Exclude"",
FILTER(IMPORTRANGE(""https://docs.google.com/spreadsheets/d/1BJSV3WBYJGRhQ6zExamkszQ5VutGIcaQqmbD9ZTVXMQ/edit#gid=1251630045"",""articles_with_PRISMA_reasons!AB2:AB2113""), $A903=IMPORTRANGE(""https://docs.google.com/spreadsheets/d/"&amp;"1BJSV3WBYJGRhQ6zExamkszQ5VutGIcaQqmbD9ZTVXMQ/edit#gid=1251630045"",""articles_with_PRISMA_reasons!B2:B2113"")),
E903=""Exclude"",
FILTER(IMPORTRANGE(""https://docs.google.com/spreadsheets/d/1qpEmbGH0JjaJbUdp21-y2cPbobDbMjr09BbtdKROZWc/edit#gid=1444865654"&amp;""",""articles_with_PRISMA_reasons!Z2:Z2113""), $A903=IMPORTRANGE(""https://docs.google.com/spreadsheets/d/1qpEmbGH0JjaJbUdp21-y2cPbobDbMjr09BbtdKROZWc/edit#gid=1444865654"",""articles_with_PRISMA_reasons!B2:B2113"")),F903
=""Include"",FILTER(IMPORTRANGE("&amp;"""https://docs.google.com/spreadsheets/d/1kGrh75X1cNR1D7_FcY9zMnHP8iPO4M5RCRjy6nZY0TY/edit#gid=0"",""Table 1: Study characteristics!A4:A171""), $A903=IMPORTRANGE(""https://docs.google.com/spreadsheets/d/1kGrh75X1cNR1D7_FcY9zMnHP8iPO4M5RCRjy6nZY0TY/edit#gi"&amp;"d=0"",""Table 1: Study characteristics!B4:B171""))
)"),"wrong study design")</f>
        <v>wrong study design</v>
      </c>
    </row>
    <row r="904">
      <c r="A904" s="4" t="str">
        <f>IFERROR(__xludf.DUMMYFUNCTION("""COMPUTED_VALUE"""),"Home-based palliative care for children--Part 1: The institution of a program")</f>
        <v>Home-based palliative care for children--Part 1: The institution of a program</v>
      </c>
      <c r="B904" s="5" t="str">
        <f>IFERROR(__xludf.DUMMYFUNCTION("LEFT(FILTER(IMPORTRANGE(""https://docs.google.com/spreadsheets/d/1BJSV3WBYJGRhQ6zExamkszQ5VutGIcaQqmbD9ZTVXMQ/edit#gid=1251630045"",""articles_with_PRISMA_reasons!K2:K2113""), $A904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$A904=IMPORTRANGE(""https://docs.google.com/spreadsheets/d/1BJSV3WBYJGRhQ6zExamkszQ5VutGIcaQqmbD9ZTVXMQ/edit#gid=1251630045"",""articles_with_PRISMA_reasons!B2:B2113"")))-1)"),"Levy")</f>
        <v>Levy</v>
      </c>
      <c r="C904" s="6" t="str">
        <f>IFERROR(__xludf.DUMMYFUNCTION("FILTER(IMPORTRANGE(""https://docs.google.com/spreadsheets/d/1BJSV3WBYJGRhQ6zExamkszQ5VutGIcaQqmbD9ZTVXMQ/edit#gid=1251630045"",""articles_with_PRISMA_reasons!C2:C2113""), $A904=IMPORTRANGE(""https://docs.google.com/spreadsheets/d/1BJSV3WBYJGRhQ6zExamkszQ5"&amp;"VutGIcaQqmbD9ZTVXMQ/edit#gid=1251630045"",""articles_with_PRISMA_reasons!B2:B2113""))"),"Spring")</f>
        <v>Spring</v>
      </c>
      <c r="D904" s="5" t="str">
        <f>IFERROR(__xludf.DUMMYFUNCTION("IFS(AND(
FILTER(IMPORTRANGE(""https://docs.google.com/spreadsheets/d/1BJSV3WBYJGRhQ6zExamkszQ5VutGIcaQqmbD9ZTVXMQ/edit#gid=1251630045"",""articles_with_PRISMA_reasons!Y2:Y2113""), $A904=IMPORTRANGE(""https://docs.google.com/spreadsheets/d/1BJSV3WBYJGRhQ6z"&amp;"ExamkszQ5VutGIcaQqmbD9ZTVXMQ/edit#gid=1251630045"",""articles_with_PRISMA_reasons!B2:B2113""))&gt;=2,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$A904=IMPORTRANGE(""https://docs.google.com/spreadsheets/d/1BJSV3WBYJGRhQ6zExamkszQ5VutGIcaQqmbD9ZTVXMQ/edit#gid=1251630045"",""articles_with_PRISMA_reasons!B2:B2113""))&lt;2),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$A904=IMPORTRANGE(""https://docs.google.com/spreadsheets/d/1BJSV3WBYJGRhQ6zExamkszQ5VutGIcaQqmbD9ZTVXMQ/edit#gid=1251630045"",""arti"&amp;"cles_with_PRISMA_reasons!B2:B2113""))&lt;2,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$A904=IMPORTRANGE(""https://docs.google.com"&amp;"/spreadsheets/d/1BJSV3WBYJGRhQ6zExamkszQ5VutGIcaQqmbD9ZTVXMQ/edit#gid=1251630045"",""articles_with_PRISMA_reasons!B2:B2113""))&gt;=2),
""Exclude""
)"),"Exclude")</f>
        <v>Exclude</v>
      </c>
      <c r="E904" s="5" t="str">
        <f>IFERROR(__xludf.DUMMYFUNCTION("IFS(
D904=""Exclude"",""Exclude"",
AND(
FILTER(IMPORTRANGE(""https://docs.google.com/spreadsheets/d/1qpEmbGH0JjaJbUdp21-y2cPbobDbMjr09BbtdKROZWc/edit#gid=1444865654"",""articles_with_PRISMA_reasons!W2:W2113""), $A904=IMPORTRANGE(""https://docs.google.com/"&amp;"spreadsheets/d/1qpEmbGH0JjaJbUdp21-y2cPbobDbMjr09BbtdKROZWc/edit#gid=1444865654"",""articles_with_PRISMA_reasons!B2:B2113""))&gt;=2,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$A904=IMPORTRANGE(""https://docs.google.com/spreadsheets/d/1qpEmbGH0JjaJbUdp21-y2cPbobDbMjr09BbtdKROZWc/edit#gid=1444865654"",""articles_with_PRISMA_reasons!B2:B2113""))&lt;2),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$A904=IMPORTRANGE(""https://docs.google.com/spreadsheets/d/1qpEmbGH0JjaJbUdp21-y2cPbobDbMjr09BbtdKRO"&amp;"ZWc/edit#gid=1444865654"",""articles_with_PRISMA_reasons!B2:B2113""))&lt;2,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$A904=IMPOR"&amp;"TRANGE(""https://docs.google.com/spreadsheets/d/1qpEmbGH0JjaJbUdp21-y2cPbobDbMjr09BbtdKROZWc/edit#gid=1444865654"",""articles_with_PRISMA_reasons!B2:B2113""))&gt;=2),
""Exclude""
)"),"Exclude")</f>
        <v>Exclude</v>
      </c>
      <c r="F904" s="5" t="str">
        <f>IFERROR(__xludf.DUMMYFUNCTION("IFS(
E904=""Exclude"",""Exclude"",
AND(
COUNTIF(
IMPORTRANGE(""https://docs.google.com/spreadsheets/d/1kGrh75X1cNR1D7_FcY9zMnHP8iPO4M5RCRjy6nZY0TY/edit#gid=0"",""Table 1: Study characteristics!B4:B171""),A904)&gt;0,
COUNTIF(Studies!$A$2:$A$85,FILTER(IMPORTRA"&amp;"NGE(""https://docs.google.com/spreadsheets/d/1kGrh75X1cNR1D7_FcY9zMnHP8iPO4M5RCRjy6nZY0TY/edit#gid=0"",""Table 1: Study characteristics!A4:A171""), $A904=IMPORTRANGE(""https://docs.google.com/spreadsheets/d/1kGrh75X1cNR1D7_FcY9zMnHP8iPO4M5RCRjy6nZY0TY/edi"&amp;"t#gid=0"",""Table 1: Study characteristics!B4:B171"")))&gt;0
),
""Include""
)"),"Exclude")</f>
        <v>Exclude</v>
      </c>
      <c r="G904" s="5" t="str">
        <f>IFERROR(__xludf.DUMMYFUNCTION("IFS(
D904=""Exclude"",
FILTER(IMPORTRANGE(""https://docs.google.com/spreadsheets/d/1BJSV3WBYJGRhQ6zExamkszQ5VutGIcaQqmbD9ZTVXMQ/edit#gid=1251630045"",""articles_with_PRISMA_reasons!AB2:AB2113""), $A904=IMPORTRANGE(""https://docs.google.com/spreadsheets/d/"&amp;"1BJSV3WBYJGRhQ6zExamkszQ5VutGIcaQqmbD9ZTVXMQ/edit#gid=1251630045"",""articles_with_PRISMA_reasons!B2:B2113"")),
E904=""Exclude"",
FILTER(IMPORTRANGE(""https://docs.google.com/spreadsheets/d/1qpEmbGH0JjaJbUdp21-y2cPbobDbMjr09BbtdKROZWc/edit#gid=1444865654"&amp;""",""articles_with_PRISMA_reasons!Z2:Z2113""), $A904=IMPORTRANGE(""https://docs.google.com/spreadsheets/d/1qpEmbGH0JjaJbUdp21-y2cPbobDbMjr09BbtdKROZWc/edit#gid=1444865654"",""articles_with_PRISMA_reasons!B2:B2113"")),F904
=""Include"",FILTER(IMPORTRANGE("&amp;"""https://docs.google.com/spreadsheets/d/1kGrh75X1cNR1D7_FcY9zMnHP8iPO4M5RCRjy6nZY0TY/edit#gid=0"",""Table 1: Study characteristics!A4:A171""), $A904=IMPORTRANGE(""https://docs.google.com/spreadsheets/d/1kGrh75X1cNR1D7_FcY9zMnHP8iPO4M5RCRjy6nZY0TY/edit#gi"&amp;"d=0"",""Table 1: Study characteristics!B4:B171""))
)"),"wrong population")</f>
        <v>wrong population</v>
      </c>
    </row>
    <row r="905">
      <c r="A905" s="4" t="str">
        <f>IFERROR(__xludf.DUMMYFUNCTION("""COMPUTED_VALUE"""),"How Does a Physician Avoid Prescribing Drugs and Medical Procedures That Have Reproductive and Developmental Risks?")</f>
        <v>How Does a Physician Avoid Prescribing Drugs and Medical Procedures That Have Reproductive and Developmental Risks?</v>
      </c>
      <c r="B905" s="5" t="str">
        <f>IFERROR(__xludf.DUMMYFUNCTION("LEFT(FILTER(IMPORTRANGE(""https://docs.google.com/spreadsheets/d/1BJSV3WBYJGRhQ6zExamkszQ5VutGIcaQqmbD9ZTVXMQ/edit#gid=1251630045"",""articles_with_PRISMA_reasons!K2:K2113""), $A905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$A905=IMPORTRANGE(""https://docs.google.com/spreadsheets/d/1BJSV3WBYJGRhQ6zExamkszQ5VutGIcaQqmbD9ZTVXMQ/edit#gid=1251630045"",""articles_with_PRISMA_reasons!B2:B2113"")))-1)"),"Brent")</f>
        <v>Brent</v>
      </c>
      <c r="C905" s="6">
        <f>IFERROR(__xludf.DUMMYFUNCTION("FILTER(IMPORTRANGE(""https://docs.google.com/spreadsheets/d/1BJSV3WBYJGRhQ6zExamkszQ5VutGIcaQqmbD9ZTVXMQ/edit#gid=1251630045"",""articles_with_PRISMA_reasons!C2:C2113""), $A905=IMPORTRANGE(""https://docs.google.com/spreadsheets/d/1BJSV3WBYJGRhQ6zExamkszQ5"&amp;"VutGIcaQqmbD9ZTVXMQ/edit#gid=1251630045"",""articles_with_PRISMA_reasons!B2:B2113""))"),2007.0)</f>
        <v>2007</v>
      </c>
      <c r="D905" s="5" t="str">
        <f>IFERROR(__xludf.DUMMYFUNCTION("IFS(AND(
FILTER(IMPORTRANGE(""https://docs.google.com/spreadsheets/d/1BJSV3WBYJGRhQ6zExamkszQ5VutGIcaQqmbD9ZTVXMQ/edit#gid=1251630045"",""articles_with_PRISMA_reasons!Y2:Y2113""), $A905=IMPORTRANGE(""https://docs.google.com/spreadsheets/d/1BJSV3WBYJGRhQ6z"&amp;"ExamkszQ5VutGIcaQqmbD9ZTVXMQ/edit#gid=1251630045"",""articles_with_PRISMA_reasons!B2:B2113""))&gt;=2,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$A905=IMPORTRANGE(""https://docs.google.com/spreadsheets/d/1BJSV3WBYJGRhQ6zExamkszQ5VutGIcaQqmbD9ZTVXMQ/edit#gid=1251630045"",""articles_with_PRISMA_reasons!B2:B2113""))&lt;2),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$A905=IMPORTRANGE(""https://docs.google.com/spreadsheets/d/1BJSV3WBYJGRhQ6zExamkszQ5VutGIcaQqmbD9ZTVXMQ/edit#gid=1251630045"",""arti"&amp;"cles_with_PRISMA_reasons!B2:B2113""))&lt;2,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$A905=IMPORTRANGE(""https://docs.google.com"&amp;"/spreadsheets/d/1BJSV3WBYJGRhQ6zExamkszQ5VutGIcaQqmbD9ZTVXMQ/edit#gid=1251630045"",""articles_with_PRISMA_reasons!B2:B2113""))&gt;=2),
""Exclude""
)"),"Exclude")</f>
        <v>Exclude</v>
      </c>
      <c r="E905" s="5" t="str">
        <f>IFERROR(__xludf.DUMMYFUNCTION("IFS(
D905=""Exclude"",""Exclude"",
AND(
FILTER(IMPORTRANGE(""https://docs.google.com/spreadsheets/d/1qpEmbGH0JjaJbUdp21-y2cPbobDbMjr09BbtdKROZWc/edit#gid=1444865654"",""articles_with_PRISMA_reasons!W2:W2113""), $A905=IMPORTRANGE(""https://docs.google.com/"&amp;"spreadsheets/d/1qpEmbGH0JjaJbUdp21-y2cPbobDbMjr09BbtdKROZWc/edit#gid=1444865654"",""articles_with_PRISMA_reasons!B2:B2113""))&gt;=2,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$A905=IMPORTRANGE(""https://docs.google.com/spreadsheets/d/1qpEmbGH0JjaJbUdp21-y2cPbobDbMjr09BbtdKROZWc/edit#gid=1444865654"",""articles_with_PRISMA_reasons!B2:B2113""))&lt;2),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$A905=IMPORTRANGE(""https://docs.google.com/spreadsheets/d/1qpEmbGH0JjaJbUdp21-y2cPbobDbMjr09BbtdKRO"&amp;"ZWc/edit#gid=1444865654"",""articles_with_PRISMA_reasons!B2:B2113""))&lt;2,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$A905=IMPOR"&amp;"TRANGE(""https://docs.google.com/spreadsheets/d/1qpEmbGH0JjaJbUdp21-y2cPbobDbMjr09BbtdKROZWc/edit#gid=1444865654"",""articles_with_PRISMA_reasons!B2:B2113""))&gt;=2),
""Exclude""
)"),"Exclude")</f>
        <v>Exclude</v>
      </c>
      <c r="F905" s="5" t="str">
        <f>IFERROR(__xludf.DUMMYFUNCTION("IFS(
E905=""Exclude"",""Exclude"",
AND(
COUNTIF(
IMPORTRANGE(""https://docs.google.com/spreadsheets/d/1kGrh75X1cNR1D7_FcY9zMnHP8iPO4M5RCRjy6nZY0TY/edit#gid=0"",""Table 1: Study characteristics!B4:B171""),A905)&gt;0,
COUNTIF(Studies!$A$2:$A$85,FILTER(IMPORTRA"&amp;"NGE(""https://docs.google.com/spreadsheets/d/1kGrh75X1cNR1D7_FcY9zMnHP8iPO4M5RCRjy6nZY0TY/edit#gid=0"",""Table 1: Study characteristics!A4:A171""), $A905=IMPORTRANGE(""https://docs.google.com/spreadsheets/d/1kGrh75X1cNR1D7_FcY9zMnHP8iPO4M5RCRjy6nZY0TY/edi"&amp;"t#gid=0"",""Table 1: Study characteristics!B4:B171"")))&gt;0
),
""Include""
)"),"Exclude")</f>
        <v>Exclude</v>
      </c>
      <c r="G905" s="5" t="str">
        <f>IFERROR(__xludf.DUMMYFUNCTION("IFS(
D905=""Exclude"",
FILTER(IMPORTRANGE(""https://docs.google.com/spreadsheets/d/1BJSV3WBYJGRhQ6zExamkszQ5VutGIcaQqmbD9ZTVXMQ/edit#gid=1251630045"",""articles_with_PRISMA_reasons!AB2:AB2113""), $A905=IMPORTRANGE(""https://docs.google.com/spreadsheets/d/"&amp;"1BJSV3WBYJGRhQ6zExamkszQ5VutGIcaQqmbD9ZTVXMQ/edit#gid=1251630045"",""articles_with_PRISMA_reasons!B2:B2113"")),
E905=""Exclude"",
FILTER(IMPORTRANGE(""https://docs.google.com/spreadsheets/d/1qpEmbGH0JjaJbUdp21-y2cPbobDbMjr09BbtdKROZWc/edit#gid=1444865654"&amp;""",""articles_with_PRISMA_reasons!Z2:Z2113""), $A905=IMPORTRANGE(""https://docs.google.com/spreadsheets/d/1qpEmbGH0JjaJbUdp21-y2cPbobDbMjr09BbtdKROZWc/edit#gid=1444865654"",""articles_with_PRISMA_reasons!B2:B2113"")),F905
=""Include"",FILTER(IMPORTRANGE("&amp;"""https://docs.google.com/spreadsheets/d/1kGrh75X1cNR1D7_FcY9zMnHP8iPO4M5RCRjy6nZY0TY/edit#gid=0"",""Table 1: Study characteristics!A4:A171""), $A905=IMPORTRANGE(""https://docs.google.com/spreadsheets/d/1kGrh75X1cNR1D7_FcY9zMnHP8iPO4M5RCRjy6nZY0TY/edit#gi"&amp;"d=0"",""Table 1: Study characteristics!B4:B171""))
)"),"wrong study design")</f>
        <v>wrong study design</v>
      </c>
    </row>
    <row r="906">
      <c r="A906" s="4" t="str">
        <f>IFERROR(__xludf.DUMMYFUNCTION("""COMPUTED_VALUE"""),"How i do it: Myelomeningocele in Bolivia")</f>
        <v>How i do it: Myelomeningocele in Bolivia</v>
      </c>
      <c r="B906" s="2" t="s">
        <v>29</v>
      </c>
      <c r="C906" s="6">
        <f>IFERROR(__xludf.DUMMYFUNCTION("FILTER(IMPORTRANGE(""https://docs.google.com/spreadsheets/d/1BJSV3WBYJGRhQ6zExamkszQ5VutGIcaQqmbD9ZTVXMQ/edit#gid=1251630045"",""articles_with_PRISMA_reasons!C2:C2113""), $A906=IMPORTRANGE(""https://docs.google.com/spreadsheets/d/1BJSV3WBYJGRhQ6zExamkszQ5"&amp;"VutGIcaQqmbD9ZTVXMQ/edit#gid=1251630045"",""articles_with_PRISMA_reasons!B2:B2113""))"),2014.0)</f>
        <v>2014</v>
      </c>
      <c r="D906" s="5" t="str">
        <f>IFERROR(__xludf.DUMMYFUNCTION("IFS(AND(
FILTER(IMPORTRANGE(""https://docs.google.com/spreadsheets/d/1BJSV3WBYJGRhQ6zExamkszQ5VutGIcaQqmbD9ZTVXMQ/edit#gid=1251630045"",""articles_with_PRISMA_reasons!Y2:Y2113""), $A906=IMPORTRANGE(""https://docs.google.com/spreadsheets/d/1BJSV3WBYJGRhQ6z"&amp;"ExamkszQ5VutGIcaQqmbD9ZTVXMQ/edit#gid=1251630045"",""articles_with_PRISMA_reasons!B2:B2113""))&gt;=2,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$A906=IMPORTRANGE(""https://docs.google.com/spreadsheets/d/1BJSV3WBYJGRhQ6zExamkszQ5VutGIcaQqmbD9ZTVXMQ/edit#gid=1251630045"",""articles_with_PRISMA_reasons!B2:B2113""))&lt;2),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$A906=IMPORTRANGE(""https://docs.google.com/spreadsheets/d/1BJSV3WBYJGRhQ6zExamkszQ5VutGIcaQqmbD9ZTVXMQ/edit#gid=1251630045"",""arti"&amp;"cles_with_PRISMA_reasons!B2:B2113""))&lt;2,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$A906=IMPORTRANGE(""https://docs.google.com"&amp;"/spreadsheets/d/1BJSV3WBYJGRhQ6zExamkszQ5VutGIcaQqmbD9ZTVXMQ/edit#gid=1251630045"",""articles_with_PRISMA_reasons!B2:B2113""))&gt;=2),
""Exclude""
)"),"Include")</f>
        <v>Include</v>
      </c>
      <c r="E906" s="5" t="str">
        <f>IFERROR(__xludf.DUMMYFUNCTION("IFS(
D906=""Exclude"",""Exclude"",
AND(
FILTER(IMPORTRANGE(""https://docs.google.com/spreadsheets/d/1qpEmbGH0JjaJbUdp21-y2cPbobDbMjr09BbtdKROZWc/edit#gid=1444865654"",""articles_with_PRISMA_reasons!W2:W2113""), $A906=IMPORTRANGE(""https://docs.google.com/"&amp;"spreadsheets/d/1qpEmbGH0JjaJbUdp21-y2cPbobDbMjr09BbtdKROZWc/edit#gid=1444865654"",""articles_with_PRISMA_reasons!B2:B2113""))&gt;=2,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$A906=IMPORTRANGE(""https://docs.google.com/spreadsheets/d/1qpEmbGH0JjaJbUdp21-y2cPbobDbMjr09BbtdKROZWc/edit#gid=1444865654"",""articles_with_PRISMA_reasons!B2:B2113""))&lt;2),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$A906=IMPORTRANGE(""https://docs.google.com/spreadsheets/d/1qpEmbGH0JjaJbUdp21-y2cPbobDbMjr09BbtdKRO"&amp;"ZWc/edit#gid=1444865654"",""articles_with_PRISMA_reasons!B2:B2113""))&lt;2,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$A906=IMPOR"&amp;"TRANGE(""https://docs.google.com/spreadsheets/d/1qpEmbGH0JjaJbUdp21-y2cPbobDbMjr09BbtdKROZWc/edit#gid=1444865654"",""articles_with_PRISMA_reasons!B2:B2113""))&gt;=2),
""Exclude""
)"),"Exclude")</f>
        <v>Exclude</v>
      </c>
      <c r="F906" s="5" t="str">
        <f>IFERROR(__xludf.DUMMYFUNCTION("IFS(
E906=""Exclude"",""Exclude"",
AND(
COUNTIF(
IMPORTRANGE(""https://docs.google.com/spreadsheets/d/1kGrh75X1cNR1D7_FcY9zMnHP8iPO4M5RCRjy6nZY0TY/edit#gid=0"",""Table 1: Study characteristics!B4:B171""),A906)&gt;0,
COUNTIF(Studies!$A$2:$A$85,FILTER(IMPORTRA"&amp;"NGE(""https://docs.google.com/spreadsheets/d/1kGrh75X1cNR1D7_FcY9zMnHP8iPO4M5RCRjy6nZY0TY/edit#gid=0"",""Table 1: Study characteristics!A4:A171""), $A906=IMPORTRANGE(""https://docs.google.com/spreadsheets/d/1kGrh75X1cNR1D7_FcY9zMnHP8iPO4M5RCRjy6nZY0TY/edi"&amp;"t#gid=0"",""Table 1: Study characteristics!B4:B171"")))&gt;0
),
""Include""
)"),"Exclude")</f>
        <v>Exclude</v>
      </c>
      <c r="G906" s="5" t="str">
        <f>IFERROR(__xludf.DUMMYFUNCTION("IFS(
D906=""Exclude"",
FILTER(IMPORTRANGE(""https://docs.google.com/spreadsheets/d/1BJSV3WBYJGRhQ6zExamkszQ5VutGIcaQqmbD9ZTVXMQ/edit#gid=1251630045"",""articles_with_PRISMA_reasons!AB2:AB2113""), $A906=IMPORTRANGE(""https://docs.google.com/spreadsheets/d/"&amp;"1BJSV3WBYJGRhQ6zExamkszQ5VutGIcaQqmbD9ZTVXMQ/edit#gid=1251630045"",""articles_with_PRISMA_reasons!B2:B2113"")),
E906=""Exclude"",
FILTER(IMPORTRANGE(""https://docs.google.com/spreadsheets/d/1qpEmbGH0JjaJbUdp21-y2cPbobDbMjr09BbtdKROZWc/edit#gid=1444865654"&amp;""",""articles_with_PRISMA_reasons!Z2:Z2113""), $A906=IMPORTRANGE(""https://docs.google.com/spreadsheets/d/1qpEmbGH0JjaJbUdp21-y2cPbobDbMjr09BbtdKROZWc/edit#gid=1444865654"",""articles_with_PRISMA_reasons!B2:B2113"")),F906
=""Include"",FILTER(IMPORTRANGE("&amp;"""https://docs.google.com/spreadsheets/d/1kGrh75X1cNR1D7_FcY9zMnHP8iPO4M5RCRjy6nZY0TY/edit#gid=0"",""Table 1: Study characteristics!A4:A171""), $A906=IMPORTRANGE(""https://docs.google.com/spreadsheets/d/1kGrh75X1cNR1D7_FcY9zMnHP8iPO4M5RCRjy6nZY0TY/edit#gi"&amp;"d=0"",""Table 1: Study characteristics!B4:B171""))
)"),"wrong population")</f>
        <v>wrong population</v>
      </c>
    </row>
    <row r="907">
      <c r="A907" s="4" t="str">
        <f>IFERROR(__xludf.DUMMYFUNCTION("""COMPUTED_VALUE"""),"How i do it: Neural tube defects in guatemala-myelomeningocele spina bifida unit")</f>
        <v>How i do it: Neural tube defects in guatemala-myelomeningocele spina bifida unit</v>
      </c>
      <c r="B907" s="11" t="s">
        <v>29</v>
      </c>
      <c r="C907" s="6">
        <f>IFERROR(__xludf.DUMMYFUNCTION("FILTER(IMPORTRANGE(""https://docs.google.com/spreadsheets/d/1BJSV3WBYJGRhQ6zExamkszQ5VutGIcaQqmbD9ZTVXMQ/edit#gid=1251630045"",""articles_with_PRISMA_reasons!C2:C2113""), $A907=IMPORTRANGE(""https://docs.google.com/spreadsheets/d/1BJSV3WBYJGRhQ6zExamkszQ5"&amp;"VutGIcaQqmbD9ZTVXMQ/edit#gid=1251630045"",""articles_with_PRISMA_reasons!B2:B2113""))"),2014.0)</f>
        <v>2014</v>
      </c>
      <c r="D907" s="5" t="str">
        <f>IFERROR(__xludf.DUMMYFUNCTION("IFS(AND(
FILTER(IMPORTRANGE(""https://docs.google.com/spreadsheets/d/1BJSV3WBYJGRhQ6zExamkszQ5VutGIcaQqmbD9ZTVXMQ/edit#gid=1251630045"",""articles_with_PRISMA_reasons!Y2:Y2113""), $A907=IMPORTRANGE(""https://docs.google.com/spreadsheets/d/1BJSV3WBYJGRhQ6z"&amp;"ExamkszQ5VutGIcaQqmbD9ZTVXMQ/edit#gid=1251630045"",""articles_with_PRISMA_reasons!B2:B2113""))&gt;=2,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$A907=IMPORTRANGE(""https://docs.google.com/spreadsheets/d/1BJSV3WBYJGRhQ6zExamkszQ5VutGIcaQqmbD9ZTVXMQ/edit#gid=1251630045"",""articles_with_PRISMA_reasons!B2:B2113""))&lt;2),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$A907=IMPORTRANGE(""https://docs.google.com/spreadsheets/d/1BJSV3WBYJGRhQ6zExamkszQ5VutGIcaQqmbD9ZTVXMQ/edit#gid=1251630045"",""arti"&amp;"cles_with_PRISMA_reasons!B2:B2113""))&lt;2,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$A907=IMPORTRANGE(""https://docs.google.com"&amp;"/spreadsheets/d/1BJSV3WBYJGRhQ6zExamkszQ5VutGIcaQqmbD9ZTVXMQ/edit#gid=1251630045"",""articles_with_PRISMA_reasons!B2:B2113""))&gt;=2),
""Exclude""
)"),"Include")</f>
        <v>Include</v>
      </c>
      <c r="E907" s="5" t="str">
        <f>IFERROR(__xludf.DUMMYFUNCTION("IFS(
D907=""Exclude"",""Exclude"",
AND(
FILTER(IMPORTRANGE(""https://docs.google.com/spreadsheets/d/1qpEmbGH0JjaJbUdp21-y2cPbobDbMjr09BbtdKROZWc/edit#gid=1444865654"",""articles_with_PRISMA_reasons!W2:W2113""), $A907=IMPORTRANGE(""https://docs.google.com/"&amp;"spreadsheets/d/1qpEmbGH0JjaJbUdp21-y2cPbobDbMjr09BbtdKROZWc/edit#gid=1444865654"",""articles_with_PRISMA_reasons!B2:B2113""))&gt;=2,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$A907=IMPORTRANGE(""https://docs.google.com/spreadsheets/d/1qpEmbGH0JjaJbUdp21-y2cPbobDbMjr09BbtdKROZWc/edit#gid=1444865654"",""articles_with_PRISMA_reasons!B2:B2113""))&lt;2),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$A907=IMPORTRANGE(""https://docs.google.com/spreadsheets/d/1qpEmbGH0JjaJbUdp21-y2cPbobDbMjr09BbtdKRO"&amp;"ZWc/edit#gid=1444865654"",""articles_with_PRISMA_reasons!B2:B2113""))&lt;2,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$A907=IMPOR"&amp;"TRANGE(""https://docs.google.com/spreadsheets/d/1qpEmbGH0JjaJbUdp21-y2cPbobDbMjr09BbtdKROZWc/edit#gid=1444865654"",""articles_with_PRISMA_reasons!B2:B2113""))&gt;=2),
""Exclude""
)"),"Exclude")</f>
        <v>Exclude</v>
      </c>
      <c r="F907" s="5" t="str">
        <f>IFERROR(__xludf.DUMMYFUNCTION("IFS(
E907=""Exclude"",""Exclude"",
AND(
COUNTIF(
IMPORTRANGE(""https://docs.google.com/spreadsheets/d/1kGrh75X1cNR1D7_FcY9zMnHP8iPO4M5RCRjy6nZY0TY/edit#gid=0"",""Table 1: Study characteristics!B4:B171""),A907)&gt;0,
COUNTIF(Studies!$A$2:$A$85,FILTER(IMPORTRA"&amp;"NGE(""https://docs.google.com/spreadsheets/d/1kGrh75X1cNR1D7_FcY9zMnHP8iPO4M5RCRjy6nZY0TY/edit#gid=0"",""Table 1: Study characteristics!A4:A171""), $A907=IMPORTRANGE(""https://docs.google.com/spreadsheets/d/1kGrh75X1cNR1D7_FcY9zMnHP8iPO4M5RCRjy6nZY0TY/edi"&amp;"t#gid=0"",""Table 1: Study characteristics!B4:B171"")))&gt;0
),
""Include""
)"),"Exclude")</f>
        <v>Exclude</v>
      </c>
      <c r="G907" s="5" t="str">
        <f>IFERROR(__xludf.DUMMYFUNCTION("IFS(
D907=""Exclude"",
FILTER(IMPORTRANGE(""https://docs.google.com/spreadsheets/d/1BJSV3WBYJGRhQ6zExamkszQ5VutGIcaQqmbD9ZTVXMQ/edit#gid=1251630045"",""articles_with_PRISMA_reasons!AB2:AB2113""), $A907=IMPORTRANGE(""https://docs.google.com/spreadsheets/d/"&amp;"1BJSV3WBYJGRhQ6zExamkszQ5VutGIcaQqmbD9ZTVXMQ/edit#gid=1251630045"",""articles_with_PRISMA_reasons!B2:B2113"")),
E907=""Exclude"",
FILTER(IMPORTRANGE(""https://docs.google.com/spreadsheets/d/1qpEmbGH0JjaJbUdp21-y2cPbobDbMjr09BbtdKROZWc/edit#gid=1444865654"&amp;""",""articles_with_PRISMA_reasons!Z2:Z2113""), $A907=IMPORTRANGE(""https://docs.google.com/spreadsheets/d/1qpEmbGH0JjaJbUdp21-y2cPbobDbMjr09BbtdKROZWc/edit#gid=1444865654"",""articles_with_PRISMA_reasons!B2:B2113"")),F907
=""Include"",FILTER(IMPORTRANGE("&amp;"""https://docs.google.com/spreadsheets/d/1kGrh75X1cNR1D7_FcY9zMnHP8iPO4M5RCRjy6nZY0TY/edit#gid=0"",""Table 1: Study characteristics!A4:A171""), $A907=IMPORTRANGE(""https://docs.google.com/spreadsheets/d/1kGrh75X1cNR1D7_FcY9zMnHP8iPO4M5RCRjy6nZY0TY/edit#gi"&amp;"d=0"",""Table 1: Study characteristics!B4:B171""))
)"),"wrong study design")</f>
        <v>wrong study design</v>
      </c>
    </row>
    <row r="908">
      <c r="A908" s="4" t="str">
        <f>IFERROR(__xludf.DUMMYFUNCTION("""COMPUTED_VALUE"""),"How i do it: Surgical treatment of myelomeningocele")</f>
        <v>How i do it: Surgical treatment of myelomeningocele</v>
      </c>
      <c r="B908" s="2" t="s">
        <v>30</v>
      </c>
      <c r="C908" s="6">
        <f>IFERROR(__xludf.DUMMYFUNCTION("FILTER(IMPORTRANGE(""https://docs.google.com/spreadsheets/d/1BJSV3WBYJGRhQ6zExamkszQ5VutGIcaQqmbD9ZTVXMQ/edit#gid=1251630045"",""articles_with_PRISMA_reasons!C2:C2113""), $A908=IMPORTRANGE(""https://docs.google.com/spreadsheets/d/1BJSV3WBYJGRhQ6zExamkszQ5"&amp;"VutGIcaQqmbD9ZTVXMQ/edit#gid=1251630045"",""articles_with_PRISMA_reasons!B2:B2113""))"),2014.0)</f>
        <v>2014</v>
      </c>
      <c r="D908" s="5" t="str">
        <f>IFERROR(__xludf.DUMMYFUNCTION("IFS(AND(
FILTER(IMPORTRANGE(""https://docs.google.com/spreadsheets/d/1BJSV3WBYJGRhQ6zExamkszQ5VutGIcaQqmbD9ZTVXMQ/edit#gid=1251630045"",""articles_with_PRISMA_reasons!Y2:Y2113""), $A908=IMPORTRANGE(""https://docs.google.com/spreadsheets/d/1BJSV3WBYJGRhQ6z"&amp;"ExamkszQ5VutGIcaQqmbD9ZTVXMQ/edit#gid=1251630045"",""articles_with_PRISMA_reasons!B2:B2113""))&gt;=2,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$A908=IMPORTRANGE(""https://docs.google.com/spreadsheets/d/1BJSV3WBYJGRhQ6zExamkszQ5VutGIcaQqmbD9ZTVXMQ/edit#gid=1251630045"",""articles_with_PRISMA_reasons!B2:B2113""))&lt;2),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$A908=IMPORTRANGE(""https://docs.google.com/spreadsheets/d/1BJSV3WBYJGRhQ6zExamkszQ5VutGIcaQqmbD9ZTVXMQ/edit#gid=1251630045"",""arti"&amp;"cles_with_PRISMA_reasons!B2:B2113""))&lt;2,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$A908=IMPORTRANGE(""https://docs.google.com"&amp;"/spreadsheets/d/1BJSV3WBYJGRhQ6zExamkszQ5VutGIcaQqmbD9ZTVXMQ/edit#gid=1251630045"",""articles_with_PRISMA_reasons!B2:B2113""))&gt;=2),
""Exclude""
)"),"Exclude")</f>
        <v>Exclude</v>
      </c>
      <c r="E908" s="5" t="str">
        <f>IFERROR(__xludf.DUMMYFUNCTION("IFS(
D908=""Exclude"",""Exclude"",
AND(
FILTER(IMPORTRANGE(""https://docs.google.com/spreadsheets/d/1qpEmbGH0JjaJbUdp21-y2cPbobDbMjr09BbtdKROZWc/edit#gid=1444865654"",""articles_with_PRISMA_reasons!W2:W2113""), $A908=IMPORTRANGE(""https://docs.google.com/"&amp;"spreadsheets/d/1qpEmbGH0JjaJbUdp21-y2cPbobDbMjr09BbtdKROZWc/edit#gid=1444865654"",""articles_with_PRISMA_reasons!B2:B2113""))&gt;=2,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$A908=IMPORTRANGE(""https://docs.google.com/spreadsheets/d/1qpEmbGH0JjaJbUdp21-y2cPbobDbMjr09BbtdKROZWc/edit#gid=1444865654"",""articles_with_PRISMA_reasons!B2:B2113""))&lt;2),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$A908=IMPORTRANGE(""https://docs.google.com/spreadsheets/d/1qpEmbGH0JjaJbUdp21-y2cPbobDbMjr09BbtdKRO"&amp;"ZWc/edit#gid=1444865654"",""articles_with_PRISMA_reasons!B2:B2113""))&lt;2,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$A908=IMPOR"&amp;"TRANGE(""https://docs.google.com/spreadsheets/d/1qpEmbGH0JjaJbUdp21-y2cPbobDbMjr09BbtdKROZWc/edit#gid=1444865654"",""articles_with_PRISMA_reasons!B2:B2113""))&gt;=2),
""Exclude""
)"),"Exclude")</f>
        <v>Exclude</v>
      </c>
      <c r="F908" s="5" t="str">
        <f>IFERROR(__xludf.DUMMYFUNCTION("IFS(
E908=""Exclude"",""Exclude"",
AND(
COUNTIF(
IMPORTRANGE(""https://docs.google.com/spreadsheets/d/1kGrh75X1cNR1D7_FcY9zMnHP8iPO4M5RCRjy6nZY0TY/edit#gid=0"",""Table 1: Study characteristics!B4:B171""),A908)&gt;0,
COUNTIF(Studies!$A$2:$A$85,FILTER(IMPORTRA"&amp;"NGE(""https://docs.google.com/spreadsheets/d/1kGrh75X1cNR1D7_FcY9zMnHP8iPO4M5RCRjy6nZY0TY/edit#gid=0"",""Table 1: Study characteristics!A4:A171""), $A908=IMPORTRANGE(""https://docs.google.com/spreadsheets/d/1kGrh75X1cNR1D7_FcY9zMnHP8iPO4M5RCRjy6nZY0TY/edi"&amp;"t#gid=0"",""Table 1: Study characteristics!B4:B171"")))&gt;0
),
""Include""
)"),"Exclude")</f>
        <v>Exclude</v>
      </c>
      <c r="G908" s="5" t="str">
        <f>IFERROR(__xludf.DUMMYFUNCTION("IFS(
D908=""Exclude"",
FILTER(IMPORTRANGE(""https://docs.google.com/spreadsheets/d/1BJSV3WBYJGRhQ6zExamkszQ5VutGIcaQqmbD9ZTVXMQ/edit#gid=1251630045"",""articles_with_PRISMA_reasons!AB2:AB2113""), $A908=IMPORTRANGE(""https://docs.google.com/spreadsheets/d/"&amp;"1BJSV3WBYJGRhQ6zExamkszQ5VutGIcaQqmbD9ZTVXMQ/edit#gid=1251630045"",""articles_with_PRISMA_reasons!B2:B2113"")),
E908=""Exclude"",
FILTER(IMPORTRANGE(""https://docs.google.com/spreadsheets/d/1qpEmbGH0JjaJbUdp21-y2cPbobDbMjr09BbtdKROZWc/edit#gid=1444865654"&amp;""",""articles_with_PRISMA_reasons!Z2:Z2113""), $A908=IMPORTRANGE(""https://docs.google.com/spreadsheets/d/1qpEmbGH0JjaJbUdp21-y2cPbobDbMjr09BbtdKROZWc/edit#gid=1444865654"",""articles_with_PRISMA_reasons!B2:B2113"")),F908
=""Include"",FILTER(IMPORTRANGE("&amp;"""https://docs.google.com/spreadsheets/d/1kGrh75X1cNR1D7_FcY9zMnHP8iPO4M5RCRjy6nZY0TY/edit#gid=0"",""Table 1: Study characteristics!A4:A171""), $A908=IMPORTRANGE(""https://docs.google.com/spreadsheets/d/1kGrh75X1cNR1D7_FcY9zMnHP8iPO4M5RCRjy6nZY0TY/edit#gi"&amp;"d=0"",""Table 1: Study characteristics!B4:B171""))
)"),"wrong study design")</f>
        <v>wrong study design</v>
      </c>
    </row>
    <row r="909">
      <c r="A909" s="4" t="str">
        <f>IFERROR(__xludf.DUMMYFUNCTION("""COMPUTED_VALUE"""),"Huge abdominal cerebrospinal fluid pseudocyst following ventriculoperitoneal shunt: A case report")</f>
        <v>Huge abdominal cerebrospinal fluid pseudocyst following ventriculoperitoneal shunt: A case report</v>
      </c>
      <c r="B909" s="5" t="str">
        <f>IFERROR(__xludf.DUMMYFUNCTION("LEFT(FILTER(IMPORTRANGE(""https://docs.google.com/spreadsheets/d/1BJSV3WBYJGRhQ6zExamkszQ5VutGIcaQqmbD9ZTVXMQ/edit#gid=1251630045"",""articles_with_PRISMA_reasons!K2:K2113""), $A909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$A909=IMPORTRANGE(""https://docs.google.com/spreadsheets/d/1BJSV3WBYJGRhQ6zExamkszQ5VutGIcaQqmbD9ZTVXMQ/edit#gid=1251630045"",""articles_with_PRISMA_reasons!B2:B2113"")))-1)"),"Osako")</f>
        <v>Osako</v>
      </c>
      <c r="C909" s="6">
        <f>IFERROR(__xludf.DUMMYFUNCTION("FILTER(IMPORTRANGE(""https://docs.google.com/spreadsheets/d/1BJSV3WBYJGRhQ6zExamkszQ5VutGIcaQqmbD9ZTVXMQ/edit#gid=1251630045"",""articles_with_PRISMA_reasons!C2:C2113""), $A909=IMPORTRANGE(""https://docs.google.com/spreadsheets/d/1BJSV3WBYJGRhQ6zExamkszQ5"&amp;"VutGIcaQqmbD9ZTVXMQ/edit#gid=1251630045"",""articles_with_PRISMA_reasons!B2:B2113""))"),2019.0)</f>
        <v>2019</v>
      </c>
      <c r="D909" s="5" t="str">
        <f>IFERROR(__xludf.DUMMYFUNCTION("IFS(AND(
FILTER(IMPORTRANGE(""https://docs.google.com/spreadsheets/d/1BJSV3WBYJGRhQ6zExamkszQ5VutGIcaQqmbD9ZTVXMQ/edit#gid=1251630045"",""articles_with_PRISMA_reasons!Y2:Y2113""), $A909=IMPORTRANGE(""https://docs.google.com/spreadsheets/d/1BJSV3WBYJGRhQ6z"&amp;"ExamkszQ5VutGIcaQqmbD9ZTVXMQ/edit#gid=1251630045"",""articles_with_PRISMA_reasons!B2:B2113""))&gt;=2,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$A909=IMPORTRANGE(""https://docs.google.com/spreadsheets/d/1BJSV3WBYJGRhQ6zExamkszQ5VutGIcaQqmbD9ZTVXMQ/edit#gid=1251630045"",""articles_with_PRISMA_reasons!B2:B2113""))&lt;2),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$A909=IMPORTRANGE(""https://docs.google.com/spreadsheets/d/1BJSV3WBYJGRhQ6zExamkszQ5VutGIcaQqmbD9ZTVXMQ/edit#gid=1251630045"",""arti"&amp;"cles_with_PRISMA_reasons!B2:B2113""))&lt;2,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$A909=IMPORTRANGE(""https://docs.google.com"&amp;"/spreadsheets/d/1BJSV3WBYJGRhQ6zExamkszQ5VutGIcaQqmbD9ZTVXMQ/edit#gid=1251630045"",""articles_with_PRISMA_reasons!B2:B2113""))&gt;=2),
""Exclude""
)"),"Exclude")</f>
        <v>Exclude</v>
      </c>
      <c r="E909" s="5" t="str">
        <f>IFERROR(__xludf.DUMMYFUNCTION("IFS(
D909=""Exclude"",""Exclude"",
AND(
FILTER(IMPORTRANGE(""https://docs.google.com/spreadsheets/d/1qpEmbGH0JjaJbUdp21-y2cPbobDbMjr09BbtdKROZWc/edit#gid=1444865654"",""articles_with_PRISMA_reasons!W2:W2113""), $A909=IMPORTRANGE(""https://docs.google.com/"&amp;"spreadsheets/d/1qpEmbGH0JjaJbUdp21-y2cPbobDbMjr09BbtdKROZWc/edit#gid=1444865654"",""articles_with_PRISMA_reasons!B2:B2113""))&gt;=2,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$A909=IMPORTRANGE(""https://docs.google.com/spreadsheets/d/1qpEmbGH0JjaJbUdp21-y2cPbobDbMjr09BbtdKROZWc/edit#gid=1444865654"",""articles_with_PRISMA_reasons!B2:B2113""))&lt;2),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$A909=IMPORTRANGE(""https://docs.google.com/spreadsheets/d/1qpEmbGH0JjaJbUdp21-y2cPbobDbMjr09BbtdKRO"&amp;"ZWc/edit#gid=1444865654"",""articles_with_PRISMA_reasons!B2:B2113""))&lt;2,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$A909=IMPOR"&amp;"TRANGE(""https://docs.google.com/spreadsheets/d/1qpEmbGH0JjaJbUdp21-y2cPbobDbMjr09BbtdKROZWc/edit#gid=1444865654"",""articles_with_PRISMA_reasons!B2:B2113""))&gt;=2),
""Exclude""
)"),"Exclude")</f>
        <v>Exclude</v>
      </c>
      <c r="F909" s="5" t="str">
        <f>IFERROR(__xludf.DUMMYFUNCTION("IFS(
E909=""Exclude"",""Exclude"",
AND(
COUNTIF(
IMPORTRANGE(""https://docs.google.com/spreadsheets/d/1kGrh75X1cNR1D7_FcY9zMnHP8iPO4M5RCRjy6nZY0TY/edit#gid=0"",""Table 1: Study characteristics!B4:B171""),A909)&gt;0,
COUNTIF(Studies!$A$2:$A$85,FILTER(IMPORTRA"&amp;"NGE(""https://docs.google.com/spreadsheets/d/1kGrh75X1cNR1D7_FcY9zMnHP8iPO4M5RCRjy6nZY0TY/edit#gid=0"",""Table 1: Study characteristics!A4:A171""), $A909=IMPORTRANGE(""https://docs.google.com/spreadsheets/d/1kGrh75X1cNR1D7_FcY9zMnHP8iPO4M5RCRjy6nZY0TY/edi"&amp;"t#gid=0"",""Table 1: Study characteristics!B4:B171"")))&gt;0
),
""Include""
)"),"Exclude")</f>
        <v>Exclude</v>
      </c>
      <c r="G909" s="5" t="str">
        <f>IFERROR(__xludf.DUMMYFUNCTION("IFS(
D909=""Exclude"",
FILTER(IMPORTRANGE(""https://docs.google.com/spreadsheets/d/1BJSV3WBYJGRhQ6zExamkszQ5VutGIcaQqmbD9ZTVXMQ/edit#gid=1251630045"",""articles_with_PRISMA_reasons!AB2:AB2113""), $A909=IMPORTRANGE(""https://docs.google.com/spreadsheets/d/"&amp;"1BJSV3WBYJGRhQ6zExamkszQ5VutGIcaQqmbD9ZTVXMQ/edit#gid=1251630045"",""articles_with_PRISMA_reasons!B2:B2113"")),
E909=""Exclude"",
FILTER(IMPORTRANGE(""https://docs.google.com/spreadsheets/d/1qpEmbGH0JjaJbUdp21-y2cPbobDbMjr09BbtdKROZWc/edit#gid=1444865654"&amp;""",""articles_with_PRISMA_reasons!Z2:Z2113""), $A909=IMPORTRANGE(""https://docs.google.com/spreadsheets/d/1qpEmbGH0JjaJbUdp21-y2cPbobDbMjr09BbtdKROZWc/edit#gid=1444865654"",""articles_with_PRISMA_reasons!B2:B2113"")),F909
=""Include"",FILTER(IMPORTRANGE("&amp;"""https://docs.google.com/spreadsheets/d/1kGrh75X1cNR1D7_FcY9zMnHP8iPO4M5RCRjy6nZY0TY/edit#gid=0"",""Table 1: Study characteristics!A4:A171""), $A909=IMPORTRANGE(""https://docs.google.com/spreadsheets/d/1kGrh75X1cNR1D7_FcY9zMnHP8iPO4M5RCRjy6nZY0TY/edit#gi"&amp;"d=0"",""Table 1: Study characteristics!B4:B171""))
)"),"wrong publication type")</f>
        <v>wrong publication type</v>
      </c>
    </row>
    <row r="910">
      <c r="A910" s="4" t="str">
        <f>IFERROR(__xludf.DUMMYFUNCTION("""COMPUTED_VALUE"""),"Human Amniotic Membrane for the Prevention of Intradural Spinal Cord Adhesions: Retrospective Review of its Novel Use in a Case Series of 14 Patients")</f>
        <v>Human Amniotic Membrane for the Prevention of Intradural Spinal Cord Adhesions: Retrospective Review of its Novel Use in a Case Series of 14 Patients</v>
      </c>
      <c r="B910" s="5" t="str">
        <f>IFERROR(__xludf.DUMMYFUNCTION("LEFT(FILTER(IMPORTRANGE(""https://docs.google.com/spreadsheets/d/1BJSV3WBYJGRhQ6zExamkszQ5VutGIcaQqmbD9ZTVXMQ/edit#gid=1251630045"",""articles_with_PRISMA_reasons!K2:K2113""), $A910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$A910=IMPORTRANGE(""https://docs.google.com/spreadsheets/d/1BJSV3WBYJGRhQ6zExamkszQ5VutGIcaQqmbD9ZTVXMQ/edit#gid=1251630045"",""articles_with_PRISMA_reasons!B2:B2113"")))-1)"),"Walker")</f>
        <v>Walker</v>
      </c>
      <c r="C910" s="6">
        <f>IFERROR(__xludf.DUMMYFUNCTION("FILTER(IMPORTRANGE(""https://docs.google.com/spreadsheets/d/1BJSV3WBYJGRhQ6zExamkszQ5VutGIcaQqmbD9ZTVXMQ/edit#gid=1251630045"",""articles_with_PRISMA_reasons!C2:C2113""), $A910=IMPORTRANGE(""https://docs.google.com/spreadsheets/d/1BJSV3WBYJGRhQ6zExamkszQ5"&amp;"VutGIcaQqmbD9ZTVXMQ/edit#gid=1251630045"",""articles_with_PRISMA_reasons!B2:B2113""))"),2018.0)</f>
        <v>2018</v>
      </c>
      <c r="D910" s="5" t="str">
        <f>IFERROR(__xludf.DUMMYFUNCTION("IFS(AND(
FILTER(IMPORTRANGE(""https://docs.google.com/spreadsheets/d/1BJSV3WBYJGRhQ6zExamkszQ5VutGIcaQqmbD9ZTVXMQ/edit#gid=1251630045"",""articles_with_PRISMA_reasons!Y2:Y2113""), $A910=IMPORTRANGE(""https://docs.google.com/spreadsheets/d/1BJSV3WBYJGRhQ6z"&amp;"ExamkszQ5VutGIcaQqmbD9ZTVXMQ/edit#gid=1251630045"",""articles_with_PRISMA_reasons!B2:B2113""))&gt;=2,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$A910=IMPORTRANGE(""https://docs.google.com/spreadsheets/d/1BJSV3WBYJGRhQ6zExamkszQ5VutGIcaQqmbD9ZTVXMQ/edit#gid=1251630045"",""articles_with_PRISMA_reasons!B2:B2113""))&lt;2),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$A910=IMPORTRANGE(""https://docs.google.com/spreadsheets/d/1BJSV3WBYJGRhQ6zExamkszQ5VutGIcaQqmbD9ZTVXMQ/edit#gid=1251630045"",""arti"&amp;"cles_with_PRISMA_reasons!B2:B2113""))&lt;2,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$A910=IMPORTRANGE(""https://docs.google.com"&amp;"/spreadsheets/d/1BJSV3WBYJGRhQ6zExamkszQ5VutGIcaQqmbD9ZTVXMQ/edit#gid=1251630045"",""articles_with_PRISMA_reasons!B2:B2113""))&gt;=2),
""Exclude""
)"),"Exclude")</f>
        <v>Exclude</v>
      </c>
      <c r="E910" s="5" t="str">
        <f>IFERROR(__xludf.DUMMYFUNCTION("IFS(
D910=""Exclude"",""Exclude"",
AND(
FILTER(IMPORTRANGE(""https://docs.google.com/spreadsheets/d/1qpEmbGH0JjaJbUdp21-y2cPbobDbMjr09BbtdKROZWc/edit#gid=1444865654"",""articles_with_PRISMA_reasons!W2:W2113""), $A910=IMPORTRANGE(""https://docs.google.com/"&amp;"spreadsheets/d/1qpEmbGH0JjaJbUdp21-y2cPbobDbMjr09BbtdKROZWc/edit#gid=1444865654"",""articles_with_PRISMA_reasons!B2:B2113""))&gt;=2,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$A910=IMPORTRANGE(""https://docs.google.com/spreadsheets/d/1qpEmbGH0JjaJbUdp21-y2cPbobDbMjr09BbtdKROZWc/edit#gid=1444865654"",""articles_with_PRISMA_reasons!B2:B2113""))&lt;2),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$A910=IMPORTRANGE(""https://docs.google.com/spreadsheets/d/1qpEmbGH0JjaJbUdp21-y2cPbobDbMjr09BbtdKRO"&amp;"ZWc/edit#gid=1444865654"",""articles_with_PRISMA_reasons!B2:B2113""))&lt;2,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$A910=IMPOR"&amp;"TRANGE(""https://docs.google.com/spreadsheets/d/1qpEmbGH0JjaJbUdp21-y2cPbobDbMjr09BbtdKROZWc/edit#gid=1444865654"",""articles_with_PRISMA_reasons!B2:B2113""))&gt;=2),
""Exclude""
)"),"Exclude")</f>
        <v>Exclude</v>
      </c>
      <c r="F910" s="5" t="str">
        <f>IFERROR(__xludf.DUMMYFUNCTION("IFS(
E910=""Exclude"",""Exclude"",
AND(
COUNTIF(
IMPORTRANGE(""https://docs.google.com/spreadsheets/d/1kGrh75X1cNR1D7_FcY9zMnHP8iPO4M5RCRjy6nZY0TY/edit#gid=0"",""Table 1: Study characteristics!B4:B171""),A910)&gt;0,
COUNTIF(Studies!$A$2:$A$85,FILTER(IMPORTRA"&amp;"NGE(""https://docs.google.com/spreadsheets/d/1kGrh75X1cNR1D7_FcY9zMnHP8iPO4M5RCRjy6nZY0TY/edit#gid=0"",""Table 1: Study characteristics!A4:A171""), $A910=IMPORTRANGE(""https://docs.google.com/spreadsheets/d/1kGrh75X1cNR1D7_FcY9zMnHP8iPO4M5RCRjy6nZY0TY/edi"&amp;"t#gid=0"",""Table 1: Study characteristics!B4:B171"")))&gt;0
),
""Include""
)"),"Exclude")</f>
        <v>Exclude</v>
      </c>
      <c r="G910" s="5" t="str">
        <f>IFERROR(__xludf.DUMMYFUNCTION("IFS(
D910=""Exclude"",
FILTER(IMPORTRANGE(""https://docs.google.com/spreadsheets/d/1BJSV3WBYJGRhQ6zExamkszQ5VutGIcaQqmbD9ZTVXMQ/edit#gid=1251630045"",""articles_with_PRISMA_reasons!AB2:AB2113""), $A910=IMPORTRANGE(""https://docs.google.com/spreadsheets/d/"&amp;"1BJSV3WBYJGRhQ6zExamkszQ5VutGIcaQqmbD9ZTVXMQ/edit#gid=1251630045"",""articles_with_PRISMA_reasons!B2:B2113"")),
E910=""Exclude"",
FILTER(IMPORTRANGE(""https://docs.google.com/spreadsheets/d/1qpEmbGH0JjaJbUdp21-y2cPbobDbMjr09BbtdKROZWc/edit#gid=1444865654"&amp;""",""articles_with_PRISMA_reasons!Z2:Z2113""), $A910=IMPORTRANGE(""https://docs.google.com/spreadsheets/d/1qpEmbGH0JjaJbUdp21-y2cPbobDbMjr09BbtdKROZWc/edit#gid=1444865654"",""articles_with_PRISMA_reasons!B2:B2113"")),F910
=""Include"",FILTER(IMPORTRANGE("&amp;"""https://docs.google.com/spreadsheets/d/1kGrh75X1cNR1D7_FcY9zMnHP8iPO4M5RCRjy6nZY0TY/edit#gid=0"",""Table 1: Study characteristics!A4:A171""), $A910=IMPORTRANGE(""https://docs.google.com/spreadsheets/d/1kGrh75X1cNR1D7_FcY9zMnHP8iPO4M5RCRjy6nZY0TY/edit#gi"&amp;"d=0"",""Table 1: Study characteristics!B4:B171""))
)"),"wrong study design")</f>
        <v>wrong study design</v>
      </c>
    </row>
    <row r="911">
      <c r="A911" s="4" t="str">
        <f>IFERROR(__xludf.DUMMYFUNCTION("""COMPUTED_VALUE"""),"HYDROCEPHALUS")</f>
        <v>HYDROCEPHALUS</v>
      </c>
      <c r="B911" s="5" t="str">
        <f>IFERROR(__xludf.DUMMYFUNCTION("LEFT(FILTER(IMPORTRANGE(""https://docs.google.com/spreadsheets/d/1BJSV3WBYJGRhQ6zExamkszQ5VutGIcaQqmbD9ZTVXMQ/edit#gid=1251630045"",""articles_with_PRISMA_reasons!K2:K2113""), $A911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$A911=IMPORTRANGE(""https://docs.google.com/spreadsheets/d/1BJSV3WBYJGRhQ6zExamkszQ5VutGIcaQqmbD9ZTVXMQ/edit#gid=1251630045"",""articles_with_PRISMA_reasons!B2:B2113"")))-1)"),"Macnab")</f>
        <v>Macnab</v>
      </c>
      <c r="C911" s="6">
        <f>IFERROR(__xludf.DUMMYFUNCTION("FILTER(IMPORTRANGE(""https://docs.google.com/spreadsheets/d/1BJSV3WBYJGRhQ6zExamkszQ5VutGIcaQqmbD9ZTVXMQ/edit#gid=1251630045"",""articles_with_PRISMA_reasons!C2:C2113""), $A911=IMPORTRANGE(""https://docs.google.com/spreadsheets/d/1BJSV3WBYJGRhQ6zExamkszQ5"&amp;"VutGIcaQqmbD9ZTVXMQ/edit#gid=1251630045"",""articles_with_PRISMA_reasons!B2:B2113""))"),1964.0)</f>
        <v>1964</v>
      </c>
      <c r="D911" s="5" t="str">
        <f>IFERROR(__xludf.DUMMYFUNCTION("IFS(AND(
FILTER(IMPORTRANGE(""https://docs.google.com/spreadsheets/d/1BJSV3WBYJGRhQ6zExamkszQ5VutGIcaQqmbD9ZTVXMQ/edit#gid=1251630045"",""articles_with_PRISMA_reasons!Y2:Y2113""), $A911=IMPORTRANGE(""https://docs.google.com/spreadsheets/d/1BJSV3WBYJGRhQ6z"&amp;"ExamkszQ5VutGIcaQqmbD9ZTVXMQ/edit#gid=1251630045"",""articles_with_PRISMA_reasons!B2:B2113""))&gt;=2,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$A911=IMPORTRANGE(""https://docs.google.com/spreadsheets/d/1BJSV3WBYJGRhQ6zExamkszQ5VutGIcaQqmbD9ZTVXMQ/edit#gid=1251630045"",""articles_with_PRISMA_reasons!B2:B2113""))&lt;2),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$A911=IMPORTRANGE(""https://docs.google.com/spreadsheets/d/1BJSV3WBYJGRhQ6zExamkszQ5VutGIcaQqmbD9ZTVXMQ/edit#gid=1251630045"",""arti"&amp;"cles_with_PRISMA_reasons!B2:B2113""))&lt;2,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$A911=IMPORTRANGE(""https://docs.google.com"&amp;"/spreadsheets/d/1BJSV3WBYJGRhQ6zExamkszQ5VutGIcaQqmbD9ZTVXMQ/edit#gid=1251630045"",""articles_with_PRISMA_reasons!B2:B2113""))&gt;=2),
""Exclude""
)"),"Exclude")</f>
        <v>Exclude</v>
      </c>
      <c r="E911" s="5" t="str">
        <f>IFERROR(__xludf.DUMMYFUNCTION("IFS(
D911=""Exclude"",""Exclude"",
AND(
FILTER(IMPORTRANGE(""https://docs.google.com/spreadsheets/d/1qpEmbGH0JjaJbUdp21-y2cPbobDbMjr09BbtdKROZWc/edit#gid=1444865654"",""articles_with_PRISMA_reasons!W2:W2113""), $A911=IMPORTRANGE(""https://docs.google.com/"&amp;"spreadsheets/d/1qpEmbGH0JjaJbUdp21-y2cPbobDbMjr09BbtdKROZWc/edit#gid=1444865654"",""articles_with_PRISMA_reasons!B2:B2113""))&gt;=2,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$A911=IMPORTRANGE(""https://docs.google.com/spreadsheets/d/1qpEmbGH0JjaJbUdp21-y2cPbobDbMjr09BbtdKROZWc/edit#gid=1444865654"",""articles_with_PRISMA_reasons!B2:B2113""))&lt;2),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$A911=IMPORTRANGE(""https://docs.google.com/spreadsheets/d/1qpEmbGH0JjaJbUdp21-y2cPbobDbMjr09BbtdKRO"&amp;"ZWc/edit#gid=1444865654"",""articles_with_PRISMA_reasons!B2:B2113""))&lt;2,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$A911=IMPOR"&amp;"TRANGE(""https://docs.google.com/spreadsheets/d/1qpEmbGH0JjaJbUdp21-y2cPbobDbMjr09BbtdKROZWc/edit#gid=1444865654"",""articles_with_PRISMA_reasons!B2:B2113""))&gt;=2),
""Exclude""
)"),"Exclude")</f>
        <v>Exclude</v>
      </c>
      <c r="F911" s="5" t="str">
        <f>IFERROR(__xludf.DUMMYFUNCTION("IFS(
E911=""Exclude"",""Exclude"",
AND(
COUNTIF(
IMPORTRANGE(""https://docs.google.com/spreadsheets/d/1kGrh75X1cNR1D7_FcY9zMnHP8iPO4M5RCRjy6nZY0TY/edit#gid=0"",""Table 1: Study characteristics!B4:B171""),A911)&gt;0,
COUNTIF(Studies!$A$2:$A$85,FILTER(IMPORTRA"&amp;"NGE(""https://docs.google.com/spreadsheets/d/1kGrh75X1cNR1D7_FcY9zMnHP8iPO4M5RCRjy6nZY0TY/edit#gid=0"",""Table 1: Study characteristics!A4:A171""), $A911=IMPORTRANGE(""https://docs.google.com/spreadsheets/d/1kGrh75X1cNR1D7_FcY9zMnHP8iPO4M5RCRjy6nZY0TY/edi"&amp;"t#gid=0"",""Table 1: Study characteristics!B4:B171"")))&gt;0
),
""Include""
)"),"Exclude")</f>
        <v>Exclude</v>
      </c>
      <c r="G911" s="5" t="str">
        <f>IFERROR(__xludf.DUMMYFUNCTION("IFS(
D911=""Exclude"",
FILTER(IMPORTRANGE(""https://docs.google.com/spreadsheets/d/1BJSV3WBYJGRhQ6zExamkszQ5VutGIcaQqmbD9ZTVXMQ/edit#gid=1251630045"",""articles_with_PRISMA_reasons!AB2:AB2113""), $A911=IMPORTRANGE(""https://docs.google.com/spreadsheets/d/"&amp;"1BJSV3WBYJGRhQ6zExamkszQ5VutGIcaQqmbD9ZTVXMQ/edit#gid=1251630045"",""articles_with_PRISMA_reasons!B2:B2113"")),
E911=""Exclude"",
FILTER(IMPORTRANGE(""https://docs.google.com/spreadsheets/d/1qpEmbGH0JjaJbUdp21-y2cPbobDbMjr09BbtdKROZWc/edit#gid=1444865654"&amp;""",""articles_with_PRISMA_reasons!Z2:Z2113""), $A911=IMPORTRANGE(""https://docs.google.com/spreadsheets/d/1qpEmbGH0JjaJbUdp21-y2cPbobDbMjr09BbtdKROZWc/edit#gid=1444865654"",""articles_with_PRISMA_reasons!B2:B2113"")),F911
=""Include"",FILTER(IMPORTRANGE("&amp;"""https://docs.google.com/spreadsheets/d/1kGrh75X1cNR1D7_FcY9zMnHP8iPO4M5RCRjy6nZY0TY/edit#gid=0"",""Table 1: Study characteristics!A4:A171""), $A911=IMPORTRANGE(""https://docs.google.com/spreadsheets/d/1kGrh75X1cNR1D7_FcY9zMnHP8iPO4M5RCRjy6nZY0TY/edit#gi"&amp;"d=0"",""Table 1: Study characteristics!B4:B171""))
)"),"wrong study design")</f>
        <v>wrong study design</v>
      </c>
    </row>
    <row r="912">
      <c r="A912" s="4" t="str">
        <f>IFERROR(__xludf.DUMMYFUNCTION("""COMPUTED_VALUE"""),"Hydrocephalus and epilepsy: An actuarial analysis")</f>
        <v>Hydrocephalus and epilepsy: An actuarial analysis</v>
      </c>
      <c r="B912" s="5" t="str">
        <f>IFERROR(__xludf.DUMMYFUNCTION("LEFT(FILTER(IMPORTRANGE(""https://docs.google.com/spreadsheets/d/1BJSV3WBYJGRhQ6zExamkszQ5VutGIcaQqmbD9ZTVXMQ/edit#gid=1251630045"",""articles_with_PRISMA_reasons!K2:K2113""), $A912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$A912=IMPORTRANGE(""https://docs.google.com/spreadsheets/d/1BJSV3WBYJGRhQ6zExamkszQ5VutGIcaQqmbD9ZTVXMQ/edit#gid=1251630045"",""articles_with_PRISMA_reasons!B2:B2113"")))-1)"),"Piatt Jr")</f>
        <v>Piatt Jr</v>
      </c>
      <c r="C912" s="6">
        <f>IFERROR(__xludf.DUMMYFUNCTION("FILTER(IMPORTRANGE(""https://docs.google.com/spreadsheets/d/1BJSV3WBYJGRhQ6zExamkszQ5VutGIcaQqmbD9ZTVXMQ/edit#gid=1251630045"",""articles_with_PRISMA_reasons!C2:C2113""), $A912=IMPORTRANGE(""https://docs.google.com/spreadsheets/d/1BJSV3WBYJGRhQ6zExamkszQ5"&amp;"VutGIcaQqmbD9ZTVXMQ/edit#gid=1251630045"",""articles_with_PRISMA_reasons!B2:B2113""))"),1996.0)</f>
        <v>1996</v>
      </c>
      <c r="D912" s="5" t="str">
        <f>IFERROR(__xludf.DUMMYFUNCTION("IFS(AND(
FILTER(IMPORTRANGE(""https://docs.google.com/spreadsheets/d/1BJSV3WBYJGRhQ6zExamkszQ5VutGIcaQqmbD9ZTVXMQ/edit#gid=1251630045"",""articles_with_PRISMA_reasons!Y2:Y2113""), $A912=IMPORTRANGE(""https://docs.google.com/spreadsheets/d/1BJSV3WBYJGRhQ6z"&amp;"ExamkszQ5VutGIcaQqmbD9ZTVXMQ/edit#gid=1251630045"",""articles_with_PRISMA_reasons!B2:B2113""))&gt;=2,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$A912=IMPORTRANGE(""https://docs.google.com/spreadsheets/d/1BJSV3WBYJGRhQ6zExamkszQ5VutGIcaQqmbD9ZTVXMQ/edit#gid=1251630045"",""articles_with_PRISMA_reasons!B2:B2113""))&lt;2),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$A912=IMPORTRANGE(""https://docs.google.com/spreadsheets/d/1BJSV3WBYJGRhQ6zExamkszQ5VutGIcaQqmbD9ZTVXMQ/edit#gid=1251630045"",""arti"&amp;"cles_with_PRISMA_reasons!B2:B2113""))&lt;2,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$A912=IMPORTRANGE(""https://docs.google.com"&amp;"/spreadsheets/d/1BJSV3WBYJGRhQ6zExamkszQ5VutGIcaQqmbD9ZTVXMQ/edit#gid=1251630045"",""articles_with_PRISMA_reasons!B2:B2113""))&gt;=2),
""Exclude""
)"),"Exclude")</f>
        <v>Exclude</v>
      </c>
      <c r="E912" s="5" t="str">
        <f>IFERROR(__xludf.DUMMYFUNCTION("IFS(
D912=""Exclude"",""Exclude"",
AND(
FILTER(IMPORTRANGE(""https://docs.google.com/spreadsheets/d/1qpEmbGH0JjaJbUdp21-y2cPbobDbMjr09BbtdKROZWc/edit#gid=1444865654"",""articles_with_PRISMA_reasons!W2:W2113""), $A912=IMPORTRANGE(""https://docs.google.com/"&amp;"spreadsheets/d/1qpEmbGH0JjaJbUdp21-y2cPbobDbMjr09BbtdKROZWc/edit#gid=1444865654"",""articles_with_PRISMA_reasons!B2:B2113""))&gt;=2,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$A912=IMPORTRANGE(""https://docs.google.com/spreadsheets/d/1qpEmbGH0JjaJbUdp21-y2cPbobDbMjr09BbtdKROZWc/edit#gid=1444865654"",""articles_with_PRISMA_reasons!B2:B2113""))&lt;2),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$A912=IMPORTRANGE(""https://docs.google.com/spreadsheets/d/1qpEmbGH0JjaJbUdp21-y2cPbobDbMjr09BbtdKRO"&amp;"ZWc/edit#gid=1444865654"",""articles_with_PRISMA_reasons!B2:B2113""))&lt;2,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$A912=IMPOR"&amp;"TRANGE(""https://docs.google.com/spreadsheets/d/1qpEmbGH0JjaJbUdp21-y2cPbobDbMjr09BbtdKROZWc/edit#gid=1444865654"",""articles_with_PRISMA_reasons!B2:B2113""))&gt;=2),
""Exclude""
)"),"Exclude")</f>
        <v>Exclude</v>
      </c>
      <c r="F912" s="5" t="str">
        <f>IFERROR(__xludf.DUMMYFUNCTION("IFS(
E912=""Exclude"",""Exclude"",
AND(
COUNTIF(
IMPORTRANGE(""https://docs.google.com/spreadsheets/d/1kGrh75X1cNR1D7_FcY9zMnHP8iPO4M5RCRjy6nZY0TY/edit#gid=0"",""Table 1: Study characteristics!B4:B171""),A912)&gt;0,
COUNTIF(Studies!$A$2:$A$85,FILTER(IMPORTRA"&amp;"NGE(""https://docs.google.com/spreadsheets/d/1kGrh75X1cNR1D7_FcY9zMnHP8iPO4M5RCRjy6nZY0TY/edit#gid=0"",""Table 1: Study characteristics!A4:A171""), $A912=IMPORTRANGE(""https://docs.google.com/spreadsheets/d/1kGrh75X1cNR1D7_FcY9zMnHP8iPO4M5RCRjy6nZY0TY/edi"&amp;"t#gid=0"",""Table 1: Study characteristics!B4:B171"")))&gt;0
),
""Include""
)"),"Exclude")</f>
        <v>Exclude</v>
      </c>
      <c r="G912" s="5" t="str">
        <f>IFERROR(__xludf.DUMMYFUNCTION("IFS(
D912=""Exclude"",
FILTER(IMPORTRANGE(""https://docs.google.com/spreadsheets/d/1BJSV3WBYJGRhQ6zExamkszQ5VutGIcaQqmbD9ZTVXMQ/edit#gid=1251630045"",""articles_with_PRISMA_reasons!AB2:AB2113""), $A912=IMPORTRANGE(""https://docs.google.com/spreadsheets/d/"&amp;"1BJSV3WBYJGRhQ6zExamkszQ5VutGIcaQqmbD9ZTVXMQ/edit#gid=1251630045"",""articles_with_PRISMA_reasons!B2:B2113"")),
E912=""Exclude"",
FILTER(IMPORTRANGE(""https://docs.google.com/spreadsheets/d/1qpEmbGH0JjaJbUdp21-y2cPbobDbMjr09BbtdKROZWc/edit#gid=1444865654"&amp;""",""articles_with_PRISMA_reasons!Z2:Z2113""), $A912=IMPORTRANGE(""https://docs.google.com/spreadsheets/d/1qpEmbGH0JjaJbUdp21-y2cPbobDbMjr09BbtdKROZWc/edit#gid=1444865654"",""articles_with_PRISMA_reasons!B2:B2113"")),F912
=""Include"",FILTER(IMPORTRANGE("&amp;"""https://docs.google.com/spreadsheets/d/1kGrh75X1cNR1D7_FcY9zMnHP8iPO4M5RCRjy6nZY0TY/edit#gid=0"",""Table 1: Study characteristics!A4:A171""), $A912=IMPORTRANGE(""https://docs.google.com/spreadsheets/d/1kGrh75X1cNR1D7_FcY9zMnHP8iPO4M5RCRjy6nZY0TY/edit#gi"&amp;"d=0"",""Table 1: Study characteristics!B4:B171""))
)"),"wrong population")</f>
        <v>wrong population</v>
      </c>
    </row>
    <row r="913">
      <c r="A913" s="4" t="str">
        <f>IFERROR(__xludf.DUMMYFUNCTION("""COMPUTED_VALUE"""),"HYDROCEPHALUS AND MENINGOMYELOCELE: PRACTICAL CONSIDERATIONS")</f>
        <v>HYDROCEPHALUS AND MENINGOMYELOCELE: PRACTICAL CONSIDERATIONS</v>
      </c>
      <c r="B913" s="5" t="str">
        <f>IFERROR(__xludf.DUMMYFUNCTION("LEFT(FILTER(IMPORTRANGE(""https://docs.google.com/spreadsheets/d/1BJSV3WBYJGRhQ6zExamkszQ5VutGIcaQqmbD9ZTVXMQ/edit#gid=1251630045"",""articles_with_PRISMA_reasons!K2:K2113""), $A913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$A913=IMPORTRANGE(""https://docs.google.com/spreadsheets/d/1BJSV3WBYJGRhQ6zExamkszQ5VutGIcaQqmbD9ZTVXMQ/edit#gid=1251630045"",""articles_with_PRISMA_reasons!B2:B2113"")))-1)"),"Shurtleff")</f>
        <v>Shurtleff</v>
      </c>
      <c r="C913" s="6">
        <f>IFERROR(__xludf.DUMMYFUNCTION("FILTER(IMPORTRANGE(""https://docs.google.com/spreadsheets/d/1BJSV3WBYJGRhQ6zExamkszQ5VutGIcaQqmbD9ZTVXMQ/edit#gid=1251630045"",""articles_with_PRISMA_reasons!C2:C2113""), $A913=IMPORTRANGE(""https://docs.google.com/spreadsheets/d/1BJSV3WBYJGRhQ6zExamkszQ5"&amp;"VutGIcaQqmbD9ZTVXMQ/edit#gid=1251630045"",""articles_with_PRISMA_reasons!B2:B2113""))"),1965.0)</f>
        <v>1965</v>
      </c>
      <c r="D913" s="5" t="str">
        <f>IFERROR(__xludf.DUMMYFUNCTION("IFS(AND(
FILTER(IMPORTRANGE(""https://docs.google.com/spreadsheets/d/1BJSV3WBYJGRhQ6zExamkszQ5VutGIcaQqmbD9ZTVXMQ/edit#gid=1251630045"",""articles_with_PRISMA_reasons!Y2:Y2113""), $A913=IMPORTRANGE(""https://docs.google.com/spreadsheets/d/1BJSV3WBYJGRhQ6z"&amp;"ExamkszQ5VutGIcaQqmbD9ZTVXMQ/edit#gid=1251630045"",""articles_with_PRISMA_reasons!B2:B2113""))&gt;=2,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$A913=IMPORTRANGE(""https://docs.google.com/spreadsheets/d/1BJSV3WBYJGRhQ6zExamkszQ5VutGIcaQqmbD9ZTVXMQ/edit#gid=1251630045"",""articles_with_PRISMA_reasons!B2:B2113""))&lt;2),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$A913=IMPORTRANGE(""https://docs.google.com/spreadsheets/d/1BJSV3WBYJGRhQ6zExamkszQ5VutGIcaQqmbD9ZTVXMQ/edit#gid=1251630045"",""arti"&amp;"cles_with_PRISMA_reasons!B2:B2113""))&lt;2,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$A913=IMPORTRANGE(""https://docs.google.com"&amp;"/spreadsheets/d/1BJSV3WBYJGRhQ6zExamkszQ5VutGIcaQqmbD9ZTVXMQ/edit#gid=1251630045"",""articles_with_PRISMA_reasons!B2:B2113""))&gt;=2),
""Exclude""
)"),"Exclude")</f>
        <v>Exclude</v>
      </c>
      <c r="E913" s="5" t="str">
        <f>IFERROR(__xludf.DUMMYFUNCTION("IFS(
D913=""Exclude"",""Exclude"",
AND(
FILTER(IMPORTRANGE(""https://docs.google.com/spreadsheets/d/1qpEmbGH0JjaJbUdp21-y2cPbobDbMjr09BbtdKROZWc/edit#gid=1444865654"",""articles_with_PRISMA_reasons!W2:W2113""), $A913=IMPORTRANGE(""https://docs.google.com/"&amp;"spreadsheets/d/1qpEmbGH0JjaJbUdp21-y2cPbobDbMjr09BbtdKROZWc/edit#gid=1444865654"",""articles_with_PRISMA_reasons!B2:B2113""))&gt;=2,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$A913=IMPORTRANGE(""https://docs.google.com/spreadsheets/d/1qpEmbGH0JjaJbUdp21-y2cPbobDbMjr09BbtdKROZWc/edit#gid=1444865654"",""articles_with_PRISMA_reasons!B2:B2113""))&lt;2),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$A913=IMPORTRANGE(""https://docs.google.com/spreadsheets/d/1qpEmbGH0JjaJbUdp21-y2cPbobDbMjr09BbtdKRO"&amp;"ZWc/edit#gid=1444865654"",""articles_with_PRISMA_reasons!B2:B2113""))&lt;2,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$A913=IMPOR"&amp;"TRANGE(""https://docs.google.com/spreadsheets/d/1qpEmbGH0JjaJbUdp21-y2cPbobDbMjr09BbtdKROZWc/edit#gid=1444865654"",""articles_with_PRISMA_reasons!B2:B2113""))&gt;=2),
""Exclude""
)"),"Exclude")</f>
        <v>Exclude</v>
      </c>
      <c r="F913" s="5" t="str">
        <f>IFERROR(__xludf.DUMMYFUNCTION("IFS(
E913=""Exclude"",""Exclude"",
AND(
COUNTIF(
IMPORTRANGE(""https://docs.google.com/spreadsheets/d/1kGrh75X1cNR1D7_FcY9zMnHP8iPO4M5RCRjy6nZY0TY/edit#gid=0"",""Table 1: Study characteristics!B4:B171""),A913)&gt;0,
COUNTIF(Studies!$A$2:$A$85,FILTER(IMPORTRA"&amp;"NGE(""https://docs.google.com/spreadsheets/d/1kGrh75X1cNR1D7_FcY9zMnHP8iPO4M5RCRjy6nZY0TY/edit#gid=0"",""Table 1: Study characteristics!A4:A171""), $A913=IMPORTRANGE(""https://docs.google.com/spreadsheets/d/1kGrh75X1cNR1D7_FcY9zMnHP8iPO4M5RCRjy6nZY0TY/edi"&amp;"t#gid=0"",""Table 1: Study characteristics!B4:B171"")))&gt;0
),
""Include""
)"),"Exclude")</f>
        <v>Exclude</v>
      </c>
      <c r="G913" s="5" t="str">
        <f>IFERROR(__xludf.DUMMYFUNCTION("IFS(
D913=""Exclude"",
FILTER(IMPORTRANGE(""https://docs.google.com/spreadsheets/d/1BJSV3WBYJGRhQ6zExamkszQ5VutGIcaQqmbD9ZTVXMQ/edit#gid=1251630045"",""articles_with_PRISMA_reasons!AB2:AB2113""), $A913=IMPORTRANGE(""https://docs.google.com/spreadsheets/d/"&amp;"1BJSV3WBYJGRhQ6zExamkszQ5VutGIcaQqmbD9ZTVXMQ/edit#gid=1251630045"",""articles_with_PRISMA_reasons!B2:B2113"")),
E913=""Exclude"",
FILTER(IMPORTRANGE(""https://docs.google.com/spreadsheets/d/1qpEmbGH0JjaJbUdp21-y2cPbobDbMjr09BbtdKROZWc/edit#gid=1444865654"&amp;""",""articles_with_PRISMA_reasons!Z2:Z2113""), $A913=IMPORTRANGE(""https://docs.google.com/spreadsheets/d/1qpEmbGH0JjaJbUdp21-y2cPbobDbMjr09BbtdKROZWc/edit#gid=1444865654"",""articles_with_PRISMA_reasons!B2:B2113"")),F913
=""Include"",FILTER(IMPORTRANGE("&amp;"""https://docs.google.com/spreadsheets/d/1kGrh75X1cNR1D7_FcY9zMnHP8iPO4M5RCRjy6nZY0TY/edit#gid=0"",""Table 1: Study characteristics!A4:A171""), $A913=IMPORTRANGE(""https://docs.google.com/spreadsheets/d/1kGrh75X1cNR1D7_FcY9zMnHP8iPO4M5RCRjy6nZY0TY/edit#gi"&amp;"d=0"",""Table 1: Study characteristics!B4:B171""))
)"),"wrong study design")</f>
        <v>wrong study design</v>
      </c>
    </row>
    <row r="914">
      <c r="A914" s="4" t="str">
        <f>IFERROR(__xludf.DUMMYFUNCTION("""COMPUTED_VALUE"""),"Hydrocephalus and myelomeningocele. Central nervous system infection")</f>
        <v>Hydrocephalus and myelomeningocele. Central nervous system infection</v>
      </c>
      <c r="B914" s="5" t="str">
        <f>IFERROR(__xludf.DUMMYFUNCTION("LEFT(FILTER(IMPORTRANGE(""https://docs.google.com/spreadsheets/d/1BJSV3WBYJGRhQ6zExamkszQ5VutGIcaQqmbD9ZTVXMQ/edit#gid=1251630045"",""articles_with_PRISMA_reasons!K2:K2113""), $A914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$A914=IMPORTRANGE(""https://docs.google.com/spreadsheets/d/1BJSV3WBYJGRhQ6zExamkszQ5VutGIcaQqmbD9ZTVXMQ/edit#gid=1251630045"",""articles_with_PRISMA_reasons!B2:B2113"")))-1)"),"Jasper")</f>
        <v>Jasper</v>
      </c>
      <c r="C914" s="6">
        <f>IFERROR(__xludf.DUMMYFUNCTION("FILTER(IMPORTRANGE(""https://docs.google.com/spreadsheets/d/1BJSV3WBYJGRhQ6zExamkszQ5VutGIcaQqmbD9ZTVXMQ/edit#gid=1251630045"",""articles_with_PRISMA_reasons!C2:C2113""), $A914=IMPORTRANGE(""https://docs.google.com/spreadsheets/d/1BJSV3WBYJGRhQ6zExamkszQ5"&amp;"VutGIcaQqmbD9ZTVXMQ/edit#gid=1251630045"",""articles_with_PRISMA_reasons!B2:B2113""))"),1965.0)</f>
        <v>1965</v>
      </c>
      <c r="D914" s="5" t="str">
        <f>IFERROR(__xludf.DUMMYFUNCTION("IFS(AND(
FILTER(IMPORTRANGE(""https://docs.google.com/spreadsheets/d/1BJSV3WBYJGRhQ6zExamkszQ5VutGIcaQqmbD9ZTVXMQ/edit#gid=1251630045"",""articles_with_PRISMA_reasons!Y2:Y2113""), $A914=IMPORTRANGE(""https://docs.google.com/spreadsheets/d/1BJSV3WBYJGRhQ6z"&amp;"ExamkszQ5VutGIcaQqmbD9ZTVXMQ/edit#gid=1251630045"",""articles_with_PRISMA_reasons!B2:B2113""))&gt;=2,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$A914=IMPORTRANGE(""https://docs.google.com/spreadsheets/d/1BJSV3WBYJGRhQ6zExamkszQ5VutGIcaQqmbD9ZTVXMQ/edit#gid=1251630045"",""articles_with_PRISMA_reasons!B2:B2113""))&lt;2),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$A914=IMPORTRANGE(""https://docs.google.com/spreadsheets/d/1BJSV3WBYJGRhQ6zExamkszQ5VutGIcaQqmbD9ZTVXMQ/edit#gid=1251630045"",""arti"&amp;"cles_with_PRISMA_reasons!B2:B2113""))&lt;2,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$A914=IMPORTRANGE(""https://docs.google.com"&amp;"/spreadsheets/d/1BJSV3WBYJGRhQ6zExamkszQ5VutGIcaQqmbD9ZTVXMQ/edit#gid=1251630045"",""articles_with_PRISMA_reasons!B2:B2113""))&gt;=2),
""Exclude""
)"),"Exclude")</f>
        <v>Exclude</v>
      </c>
      <c r="E914" s="5" t="str">
        <f>IFERROR(__xludf.DUMMYFUNCTION("IFS(
D914=""Exclude"",""Exclude"",
AND(
FILTER(IMPORTRANGE(""https://docs.google.com/spreadsheets/d/1qpEmbGH0JjaJbUdp21-y2cPbobDbMjr09BbtdKROZWc/edit#gid=1444865654"",""articles_with_PRISMA_reasons!W2:W2113""), $A914=IMPORTRANGE(""https://docs.google.com/"&amp;"spreadsheets/d/1qpEmbGH0JjaJbUdp21-y2cPbobDbMjr09BbtdKROZWc/edit#gid=1444865654"",""articles_with_PRISMA_reasons!B2:B2113""))&gt;=2,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$A914=IMPORTRANGE(""https://docs.google.com/spreadsheets/d/1qpEmbGH0JjaJbUdp21-y2cPbobDbMjr09BbtdKROZWc/edit#gid=1444865654"",""articles_with_PRISMA_reasons!B2:B2113""))&lt;2),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$A914=IMPORTRANGE(""https://docs.google.com/spreadsheets/d/1qpEmbGH0JjaJbUdp21-y2cPbobDbMjr09BbtdKRO"&amp;"ZWc/edit#gid=1444865654"",""articles_with_PRISMA_reasons!B2:B2113""))&lt;2,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$A914=IMPOR"&amp;"TRANGE(""https://docs.google.com/spreadsheets/d/1qpEmbGH0JjaJbUdp21-y2cPbobDbMjr09BbtdKROZWc/edit#gid=1444865654"",""articles_with_PRISMA_reasons!B2:B2113""))&gt;=2),
""Exclude""
)"),"Exclude")</f>
        <v>Exclude</v>
      </c>
      <c r="F914" s="5" t="str">
        <f>IFERROR(__xludf.DUMMYFUNCTION("IFS(
E914=""Exclude"",""Exclude"",
AND(
COUNTIF(
IMPORTRANGE(""https://docs.google.com/spreadsheets/d/1kGrh75X1cNR1D7_FcY9zMnHP8iPO4M5RCRjy6nZY0TY/edit#gid=0"",""Table 1: Study characteristics!B4:B171""),A914)&gt;0,
COUNTIF(Studies!$A$2:$A$85,FILTER(IMPORTRA"&amp;"NGE(""https://docs.google.com/spreadsheets/d/1kGrh75X1cNR1D7_FcY9zMnHP8iPO4M5RCRjy6nZY0TY/edit#gid=0"",""Table 1: Study characteristics!A4:A171""), $A914=IMPORTRANGE(""https://docs.google.com/spreadsheets/d/1kGrh75X1cNR1D7_FcY9zMnHP8iPO4M5RCRjy6nZY0TY/edi"&amp;"t#gid=0"",""Table 1: Study characteristics!B4:B171"")))&gt;0
),
""Include""
)"),"Exclude")</f>
        <v>Exclude</v>
      </c>
      <c r="G914" s="5" t="str">
        <f>IFERROR(__xludf.DUMMYFUNCTION("IFS(
D914=""Exclude"",
FILTER(IMPORTRANGE(""https://docs.google.com/spreadsheets/d/1BJSV3WBYJGRhQ6zExamkszQ5VutGIcaQqmbD9ZTVXMQ/edit#gid=1251630045"",""articles_with_PRISMA_reasons!AB2:AB2113""), $A914=IMPORTRANGE(""https://docs.google.com/spreadsheets/d/"&amp;"1BJSV3WBYJGRhQ6zExamkszQ5VutGIcaQqmbD9ZTVXMQ/edit#gid=1251630045"",""articles_with_PRISMA_reasons!B2:B2113"")),
E914=""Exclude"",
FILTER(IMPORTRANGE(""https://docs.google.com/spreadsheets/d/1qpEmbGH0JjaJbUdp21-y2cPbobDbMjr09BbtdKROZWc/edit#gid=1444865654"&amp;""",""articles_with_PRISMA_reasons!Z2:Z2113""), $A914=IMPORTRANGE(""https://docs.google.com/spreadsheets/d/1qpEmbGH0JjaJbUdp21-y2cPbobDbMjr09BbtdKROZWc/edit#gid=1444865654"",""articles_with_PRISMA_reasons!B2:B2113"")),F914
=""Include"",FILTER(IMPORTRANGE("&amp;"""https://docs.google.com/spreadsheets/d/1kGrh75X1cNR1D7_FcY9zMnHP8iPO4M5RCRjy6nZY0TY/edit#gid=0"",""Table 1: Study characteristics!A4:A171""), $A914=IMPORTRANGE(""https://docs.google.com/spreadsheets/d/1kGrh75X1cNR1D7_FcY9zMnHP8iPO4M5RCRjy6nZY0TY/edit#gi"&amp;"d=0"",""Table 1: Study characteristics!B4:B171""))
)"),"wrong study design")</f>
        <v>wrong study design</v>
      </c>
    </row>
    <row r="915">
      <c r="A915" s="4" t="str">
        <f>IFERROR(__xludf.DUMMYFUNCTION("""COMPUTED_VALUE"""),"Hydrocephalus associated with neural tube defects: characteristics, management, and outcome in sub-Saharan Africa")</f>
        <v>Hydrocephalus associated with neural tube defects: characteristics, management, and outcome in sub-Saharan Africa</v>
      </c>
      <c r="B915" s="5" t="str">
        <f>IFERROR(__xludf.DUMMYFUNCTION("LEFT(FILTER(IMPORTRANGE(""https://docs.google.com/spreadsheets/d/1BJSV3WBYJGRhQ6zExamkszQ5VutGIcaQqmbD9ZTVXMQ/edit#gid=1251630045"",""articles_with_PRISMA_reasons!K2:K2113""), $A915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$A915=IMPORTRANGE(""https://docs.google.com/spreadsheets/d/1BJSV3WBYJGRhQ6zExamkszQ5VutGIcaQqmbD9ZTVXMQ/edit#gid=1251630045"",""articles_with_PRISMA_reasons!B2:B2113"")))-1)"),"Warf")</f>
        <v>Warf</v>
      </c>
      <c r="C915" s="6">
        <f>IFERROR(__xludf.DUMMYFUNCTION("FILTER(IMPORTRANGE(""https://docs.google.com/spreadsheets/d/1BJSV3WBYJGRhQ6zExamkszQ5VutGIcaQqmbD9ZTVXMQ/edit#gid=1251630045"",""articles_with_PRISMA_reasons!C2:C2113""), $A915=IMPORTRANGE(""https://docs.google.com/spreadsheets/d/1BJSV3WBYJGRhQ6zExamkszQ5"&amp;"VutGIcaQqmbD9ZTVXMQ/edit#gid=1251630045"",""articles_with_PRISMA_reasons!B2:B2113""))"),2011.0)</f>
        <v>2011</v>
      </c>
      <c r="D915" s="5" t="str">
        <f>IFERROR(__xludf.DUMMYFUNCTION("IFS(AND(
FILTER(IMPORTRANGE(""https://docs.google.com/spreadsheets/d/1BJSV3WBYJGRhQ6zExamkszQ5VutGIcaQqmbD9ZTVXMQ/edit#gid=1251630045"",""articles_with_PRISMA_reasons!Y2:Y2113""), $A915=IMPORTRANGE(""https://docs.google.com/spreadsheets/d/1BJSV3WBYJGRhQ6z"&amp;"ExamkszQ5VutGIcaQqmbD9ZTVXMQ/edit#gid=1251630045"",""articles_with_PRISMA_reasons!B2:B2113""))&gt;=2,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$A915=IMPORTRANGE(""https://docs.google.com/spreadsheets/d/1BJSV3WBYJGRhQ6zExamkszQ5VutGIcaQqmbD9ZTVXMQ/edit#gid=1251630045"",""articles_with_PRISMA_reasons!B2:B2113""))&lt;2),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$A915=IMPORTRANGE(""https://docs.google.com/spreadsheets/d/1BJSV3WBYJGRhQ6zExamkszQ5VutGIcaQqmbD9ZTVXMQ/edit#gid=1251630045"",""arti"&amp;"cles_with_PRISMA_reasons!B2:B2113""))&lt;2,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$A915=IMPORTRANGE(""https://docs.google.com"&amp;"/spreadsheets/d/1BJSV3WBYJGRhQ6zExamkszQ5VutGIcaQqmbD9ZTVXMQ/edit#gid=1251630045"",""articles_with_PRISMA_reasons!B2:B2113""))&gt;=2),
""Exclude""
)"),"Include")</f>
        <v>Include</v>
      </c>
      <c r="E915" s="5" t="str">
        <f>IFERROR(__xludf.DUMMYFUNCTION("IFS(
D915=""Exclude"",""Exclude"",
AND(
FILTER(IMPORTRANGE(""https://docs.google.com/spreadsheets/d/1qpEmbGH0JjaJbUdp21-y2cPbobDbMjr09BbtdKROZWc/edit#gid=1444865654"",""articles_with_PRISMA_reasons!W2:W2113""), $A915=IMPORTRANGE(""https://docs.google.com/"&amp;"spreadsheets/d/1qpEmbGH0JjaJbUdp21-y2cPbobDbMjr09BbtdKROZWc/edit#gid=1444865654"",""articles_with_PRISMA_reasons!B2:B2113""))&gt;=2,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$A915=IMPORTRANGE(""https://docs.google.com/spreadsheets/d/1qpEmbGH0JjaJbUdp21-y2cPbobDbMjr09BbtdKROZWc/edit#gid=1444865654"",""articles_with_PRISMA_reasons!B2:B2113""))&lt;2),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$A915=IMPORTRANGE(""https://docs.google.com/spreadsheets/d/1qpEmbGH0JjaJbUdp21-y2cPbobDbMjr09BbtdKRO"&amp;"ZWc/edit#gid=1444865654"",""articles_with_PRISMA_reasons!B2:B2113""))&lt;2,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$A915=IMPOR"&amp;"TRANGE(""https://docs.google.com/spreadsheets/d/1qpEmbGH0JjaJbUdp21-y2cPbobDbMjr09BbtdKROZWc/edit#gid=1444865654"",""articles_with_PRISMA_reasons!B2:B2113""))&gt;=2),
""Exclude""
)"),"Include")</f>
        <v>Include</v>
      </c>
      <c r="F915" s="2" t="s">
        <v>8</v>
      </c>
      <c r="G915" s="2" t="s">
        <v>10</v>
      </c>
    </row>
    <row r="916">
      <c r="A916" s="4" t="str">
        <f>IFERROR(__xludf.DUMMYFUNCTION("""COMPUTED_VALUE"""),"Hydrocephalus in children")</f>
        <v>Hydrocephalus in children</v>
      </c>
      <c r="B916" s="5" t="str">
        <f>IFERROR(__xludf.DUMMYFUNCTION("LEFT(FILTER(IMPORTRANGE(""https://docs.google.com/spreadsheets/d/1BJSV3WBYJGRhQ6zExamkszQ5VutGIcaQqmbD9ZTVXMQ/edit#gid=1251630045"",""articles_with_PRISMA_reasons!K2:K2113""), $A916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$A916=IMPORTRANGE(""https://docs.google.com/spreadsheets/d/1BJSV3WBYJGRhQ6zExamkszQ5VutGIcaQqmbD9ZTVXMQ/edit#gid=1251630045"",""articles_with_PRISMA_reasons!B2:B2113"")))-1)"),"Vaessen")</f>
        <v>Vaessen</v>
      </c>
      <c r="C916" s="6">
        <f>IFERROR(__xludf.DUMMYFUNCTION("FILTER(IMPORTRANGE(""https://docs.google.com/spreadsheets/d/1BJSV3WBYJGRhQ6zExamkszQ5VutGIcaQqmbD9ZTVXMQ/edit#gid=1251630045"",""articles_with_PRISMA_reasons!C2:C2113""), $A916=IMPORTRANGE(""https://docs.google.com/spreadsheets/d/1BJSV3WBYJGRhQ6zExamkszQ5"&amp;"VutGIcaQqmbD9ZTVXMQ/edit#gid=1251630045"",""articles_with_PRISMA_reasons!B2:B2113""))"),2006.0)</f>
        <v>2006</v>
      </c>
      <c r="D916" s="5" t="str">
        <f>IFERROR(__xludf.DUMMYFUNCTION("IFS(AND(
FILTER(IMPORTRANGE(""https://docs.google.com/spreadsheets/d/1BJSV3WBYJGRhQ6zExamkszQ5VutGIcaQqmbD9ZTVXMQ/edit#gid=1251630045"",""articles_with_PRISMA_reasons!Y2:Y2113""), $A916=IMPORTRANGE(""https://docs.google.com/spreadsheets/d/1BJSV3WBYJGRhQ6z"&amp;"ExamkszQ5VutGIcaQqmbD9ZTVXMQ/edit#gid=1251630045"",""articles_with_PRISMA_reasons!B2:B2113""))&gt;=2,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$A916=IMPORTRANGE(""https://docs.google.com/spreadsheets/d/1BJSV3WBYJGRhQ6zExamkszQ5VutGIcaQqmbD9ZTVXMQ/edit#gid=1251630045"",""articles_with_PRISMA_reasons!B2:B2113""))&lt;2),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$A916=IMPORTRANGE(""https://docs.google.com/spreadsheets/d/1BJSV3WBYJGRhQ6zExamkszQ5VutGIcaQqmbD9ZTVXMQ/edit#gid=1251630045"",""arti"&amp;"cles_with_PRISMA_reasons!B2:B2113""))&lt;2,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$A916=IMPORTRANGE(""https://docs.google.com"&amp;"/spreadsheets/d/1BJSV3WBYJGRhQ6zExamkszQ5VutGIcaQqmbD9ZTVXMQ/edit#gid=1251630045"",""articles_with_PRISMA_reasons!B2:B2113""))&gt;=2),
""Exclude""
)"),"Exclude")</f>
        <v>Exclude</v>
      </c>
      <c r="E916" s="5" t="str">
        <f>IFERROR(__xludf.DUMMYFUNCTION("IFS(
D916=""Exclude"",""Exclude"",
AND(
FILTER(IMPORTRANGE(""https://docs.google.com/spreadsheets/d/1qpEmbGH0JjaJbUdp21-y2cPbobDbMjr09BbtdKROZWc/edit#gid=1444865654"",""articles_with_PRISMA_reasons!W2:W2113""), $A916=IMPORTRANGE(""https://docs.google.com/"&amp;"spreadsheets/d/1qpEmbGH0JjaJbUdp21-y2cPbobDbMjr09BbtdKROZWc/edit#gid=1444865654"",""articles_with_PRISMA_reasons!B2:B2113""))&gt;=2,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$A916=IMPORTRANGE(""https://docs.google.com/spreadsheets/d/1qpEmbGH0JjaJbUdp21-y2cPbobDbMjr09BbtdKROZWc/edit#gid=1444865654"",""articles_with_PRISMA_reasons!B2:B2113""))&lt;2),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$A916=IMPORTRANGE(""https://docs.google.com/spreadsheets/d/1qpEmbGH0JjaJbUdp21-y2cPbobDbMjr09BbtdKRO"&amp;"ZWc/edit#gid=1444865654"",""articles_with_PRISMA_reasons!B2:B2113""))&lt;2,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$A916=IMPOR"&amp;"TRANGE(""https://docs.google.com/spreadsheets/d/1qpEmbGH0JjaJbUdp21-y2cPbobDbMjr09BbtdKROZWc/edit#gid=1444865654"",""articles_with_PRISMA_reasons!B2:B2113""))&gt;=2),
""Exclude""
)"),"Exclude")</f>
        <v>Exclude</v>
      </c>
      <c r="F916" s="5" t="str">
        <f>IFERROR(__xludf.DUMMYFUNCTION("IFS(
E916=""Exclude"",""Exclude"",
AND(
COUNTIF(
IMPORTRANGE(""https://docs.google.com/spreadsheets/d/1kGrh75X1cNR1D7_FcY9zMnHP8iPO4M5RCRjy6nZY0TY/edit#gid=0"",""Table 1: Study characteristics!B4:B171""),A916)&gt;0,
COUNTIF(Studies!$A$2:$A$85,FILTER(IMPORTRA"&amp;"NGE(""https://docs.google.com/spreadsheets/d/1kGrh75X1cNR1D7_FcY9zMnHP8iPO4M5RCRjy6nZY0TY/edit#gid=0"",""Table 1: Study characteristics!A4:A171""), $A916=IMPORTRANGE(""https://docs.google.com/spreadsheets/d/1kGrh75X1cNR1D7_FcY9zMnHP8iPO4M5RCRjy6nZY0TY/edi"&amp;"t#gid=0"",""Table 1: Study characteristics!B4:B171"")))&gt;0
),
""Include""
)"),"Exclude")</f>
        <v>Exclude</v>
      </c>
      <c r="G916" s="5" t="str">
        <f>IFERROR(__xludf.DUMMYFUNCTION("IFS(
D916=""Exclude"",
FILTER(IMPORTRANGE(""https://docs.google.com/spreadsheets/d/1BJSV3WBYJGRhQ6zExamkszQ5VutGIcaQqmbD9ZTVXMQ/edit#gid=1251630045"",""articles_with_PRISMA_reasons!AB2:AB2113""), $A916=IMPORTRANGE(""https://docs.google.com/spreadsheets/d/"&amp;"1BJSV3WBYJGRhQ6zExamkszQ5VutGIcaQqmbD9ZTVXMQ/edit#gid=1251630045"",""articles_with_PRISMA_reasons!B2:B2113"")),
E916=""Exclude"",
FILTER(IMPORTRANGE(""https://docs.google.com/spreadsheets/d/1qpEmbGH0JjaJbUdp21-y2cPbobDbMjr09BbtdKROZWc/edit#gid=1444865654"&amp;""",""articles_with_PRISMA_reasons!Z2:Z2113""), $A916=IMPORTRANGE(""https://docs.google.com/spreadsheets/d/1qpEmbGH0JjaJbUdp21-y2cPbobDbMjr09BbtdKROZWc/edit#gid=1444865654"",""articles_with_PRISMA_reasons!B2:B2113"")),F916
=""Include"",FILTER(IMPORTRANGE("&amp;"""https://docs.google.com/spreadsheets/d/1kGrh75X1cNR1D7_FcY9zMnHP8iPO4M5RCRjy6nZY0TY/edit#gid=0"",""Table 1: Study characteristics!A4:A171""), $A916=IMPORTRANGE(""https://docs.google.com/spreadsheets/d/1kGrh75X1cNR1D7_FcY9zMnHP8iPO4M5RCRjy6nZY0TY/edit#gi"&amp;"d=0"",""Table 1: Study characteristics!B4:B171""))
)"),"wrong population")</f>
        <v>wrong population</v>
      </c>
    </row>
    <row r="917">
      <c r="A917" s="4" t="str">
        <f>IFERROR(__xludf.DUMMYFUNCTION("""COMPUTED_VALUE"""),"Hydrocephalus in children born in 1999-2002: epidemiology, outcome and ophthalmological findings")</f>
        <v>Hydrocephalus in children born in 1999-2002: epidemiology, outcome and ophthalmological findings</v>
      </c>
      <c r="B917" s="5" t="str">
        <f>IFERROR(__xludf.DUMMYFUNCTION("LEFT(FILTER(IMPORTRANGE(""https://docs.google.com/spreadsheets/d/1BJSV3WBYJGRhQ6zExamkszQ5VutGIcaQqmbD9ZTVXMQ/edit#gid=1251630045"",""articles_with_PRISMA_reasons!K2:K2113""), $A917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$A917=IMPORTRANGE(""https://docs.google.com/spreadsheets/d/1BJSV3WBYJGRhQ6zExamkszQ5VutGIcaQqmbD9ZTVXMQ/edit#gid=1251630045"",""articles_with_PRISMA_reasons!B2:B2113"")))-1)"),"Persson")</f>
        <v>Persson</v>
      </c>
      <c r="C917" s="6">
        <f>IFERROR(__xludf.DUMMYFUNCTION("FILTER(IMPORTRANGE(""https://docs.google.com/spreadsheets/d/1BJSV3WBYJGRhQ6zExamkszQ5VutGIcaQqmbD9ZTVXMQ/edit#gid=1251630045"",""articles_with_PRISMA_reasons!C2:C2113""), $A917=IMPORTRANGE(""https://docs.google.com/spreadsheets/d/1BJSV3WBYJGRhQ6zExamkszQ5"&amp;"VutGIcaQqmbD9ZTVXMQ/edit#gid=1251630045"",""articles_with_PRISMA_reasons!B2:B2113""))"),2007.0)</f>
        <v>2007</v>
      </c>
      <c r="D917" s="5" t="str">
        <f>IFERROR(__xludf.DUMMYFUNCTION("IFS(AND(
FILTER(IMPORTRANGE(""https://docs.google.com/spreadsheets/d/1BJSV3WBYJGRhQ6zExamkszQ5VutGIcaQqmbD9ZTVXMQ/edit#gid=1251630045"",""articles_with_PRISMA_reasons!Y2:Y2113""), $A917=IMPORTRANGE(""https://docs.google.com/spreadsheets/d/1BJSV3WBYJGRhQ6z"&amp;"ExamkszQ5VutGIcaQqmbD9ZTVXMQ/edit#gid=1251630045"",""articles_with_PRISMA_reasons!B2:B2113""))&gt;=2,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$A917=IMPORTRANGE(""https://docs.google.com/spreadsheets/d/1BJSV3WBYJGRhQ6zExamkszQ5VutGIcaQqmbD9ZTVXMQ/edit#gid=1251630045"",""articles_with_PRISMA_reasons!B2:B2113""))&lt;2),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$A917=IMPORTRANGE(""https://docs.google.com/spreadsheets/d/1BJSV3WBYJGRhQ6zExamkszQ5VutGIcaQqmbD9ZTVXMQ/edit#gid=1251630045"",""arti"&amp;"cles_with_PRISMA_reasons!B2:B2113""))&lt;2,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$A917=IMPORTRANGE(""https://docs.google.com"&amp;"/spreadsheets/d/1BJSV3WBYJGRhQ6zExamkszQ5VutGIcaQqmbD9ZTVXMQ/edit#gid=1251630045"",""articles_with_PRISMA_reasons!B2:B2113""))&gt;=2),
""Exclude""
)"),"Exclude")</f>
        <v>Exclude</v>
      </c>
      <c r="E917" s="5" t="str">
        <f>IFERROR(__xludf.DUMMYFUNCTION("IFS(
D917=""Exclude"",""Exclude"",
AND(
FILTER(IMPORTRANGE(""https://docs.google.com/spreadsheets/d/1qpEmbGH0JjaJbUdp21-y2cPbobDbMjr09BbtdKROZWc/edit#gid=1444865654"",""articles_with_PRISMA_reasons!W2:W2113""), $A917=IMPORTRANGE(""https://docs.google.com/"&amp;"spreadsheets/d/1qpEmbGH0JjaJbUdp21-y2cPbobDbMjr09BbtdKROZWc/edit#gid=1444865654"",""articles_with_PRISMA_reasons!B2:B2113""))&gt;=2,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$A917=IMPORTRANGE(""https://docs.google.com/spreadsheets/d/1qpEmbGH0JjaJbUdp21-y2cPbobDbMjr09BbtdKROZWc/edit#gid=1444865654"",""articles_with_PRISMA_reasons!B2:B2113""))&lt;2),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$A917=IMPORTRANGE(""https://docs.google.com/spreadsheets/d/1qpEmbGH0JjaJbUdp21-y2cPbobDbMjr09BbtdKRO"&amp;"ZWc/edit#gid=1444865654"",""articles_with_PRISMA_reasons!B2:B2113""))&lt;2,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$A917=IMPOR"&amp;"TRANGE(""https://docs.google.com/spreadsheets/d/1qpEmbGH0JjaJbUdp21-y2cPbobDbMjr09BbtdKROZWc/edit#gid=1444865654"",""articles_with_PRISMA_reasons!B2:B2113""))&gt;=2),
""Exclude""
)"),"Exclude")</f>
        <v>Exclude</v>
      </c>
      <c r="F917" s="5" t="str">
        <f>IFERROR(__xludf.DUMMYFUNCTION("IFS(
E917=""Exclude"",""Exclude"",
AND(
COUNTIF(
IMPORTRANGE(""https://docs.google.com/spreadsheets/d/1kGrh75X1cNR1D7_FcY9zMnHP8iPO4M5RCRjy6nZY0TY/edit#gid=0"",""Table 1: Study characteristics!B4:B171""),A917)&gt;0,
COUNTIF(Studies!$A$2:$A$85,FILTER(IMPORTRA"&amp;"NGE(""https://docs.google.com/spreadsheets/d/1kGrh75X1cNR1D7_FcY9zMnHP8iPO4M5RCRjy6nZY0TY/edit#gid=0"",""Table 1: Study characteristics!A4:A171""), $A917=IMPORTRANGE(""https://docs.google.com/spreadsheets/d/1kGrh75X1cNR1D7_FcY9zMnHP8iPO4M5RCRjy6nZY0TY/edi"&amp;"t#gid=0"",""Table 1: Study characteristics!B4:B171"")))&gt;0
),
""Include""
)"),"Exclude")</f>
        <v>Exclude</v>
      </c>
      <c r="G917" s="5" t="str">
        <f>IFERROR(__xludf.DUMMYFUNCTION("IFS(
D917=""Exclude"",
FILTER(IMPORTRANGE(""https://docs.google.com/spreadsheets/d/1BJSV3WBYJGRhQ6zExamkszQ5VutGIcaQqmbD9ZTVXMQ/edit#gid=1251630045"",""articles_with_PRISMA_reasons!AB2:AB2113""), $A917=IMPORTRANGE(""https://docs.google.com/spreadsheets/d/"&amp;"1BJSV3WBYJGRhQ6zExamkszQ5VutGIcaQqmbD9ZTVXMQ/edit#gid=1251630045"",""articles_with_PRISMA_reasons!B2:B2113"")),
E917=""Exclude"",
FILTER(IMPORTRANGE(""https://docs.google.com/spreadsheets/d/1qpEmbGH0JjaJbUdp21-y2cPbobDbMjr09BbtdKROZWc/edit#gid=1444865654"&amp;""",""articles_with_PRISMA_reasons!Z2:Z2113""), $A917=IMPORTRANGE(""https://docs.google.com/spreadsheets/d/1qpEmbGH0JjaJbUdp21-y2cPbobDbMjr09BbtdKROZWc/edit#gid=1444865654"",""articles_with_PRISMA_reasons!B2:B2113"")),F917
=""Include"",FILTER(IMPORTRANGE("&amp;"""https://docs.google.com/spreadsheets/d/1kGrh75X1cNR1D7_FcY9zMnHP8iPO4M5RCRjy6nZY0TY/edit#gid=0"",""Table 1: Study characteristics!A4:A171""), $A917=IMPORTRANGE(""https://docs.google.com/spreadsheets/d/1kGrh75X1cNR1D7_FcY9zMnHP8iPO4M5RCRjy6nZY0TY/edit#gi"&amp;"d=0"",""Table 1: Study characteristics!B4:B171""))
)"),"wrong population")</f>
        <v>wrong population</v>
      </c>
    </row>
    <row r="918">
      <c r="A918" s="4" t="str">
        <f>IFERROR(__xludf.DUMMYFUNCTION("""COMPUTED_VALUE"""),"Hydrocephalus in infants less than six months of age: effectiveness of endoscopic third ventriculostomy")</f>
        <v>Hydrocephalus in infants less than six months of age: effectiveness of endoscopic third ventriculostomy</v>
      </c>
      <c r="B918" s="5" t="str">
        <f>IFERROR(__xludf.DUMMYFUNCTION("LEFT(FILTER(IMPORTRANGE(""https://docs.google.com/spreadsheets/d/1BJSV3WBYJGRhQ6zExamkszQ5VutGIcaQqmbD9ZTVXMQ/edit#gid=1251630045"",""articles_with_PRISMA_reasons!K2:K2113""), $A918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$A918=IMPORTRANGE(""https://docs.google.com/spreadsheets/d/1BJSV3WBYJGRhQ6zExamkszQ5VutGIcaQqmbD9ZTVXMQ/edit#gid=1251630045"",""articles_with_PRISMA_reasons!B2:B2113"")))-1)"),"Faggin")</f>
        <v>Faggin</v>
      </c>
      <c r="C918" s="6">
        <f>IFERROR(__xludf.DUMMYFUNCTION("FILTER(IMPORTRANGE(""https://docs.google.com/spreadsheets/d/1BJSV3WBYJGRhQ6zExamkszQ5VutGIcaQqmbD9ZTVXMQ/edit#gid=1251630045"",""articles_with_PRISMA_reasons!C2:C2113""), $A918=IMPORTRANGE(""https://docs.google.com/spreadsheets/d/1BJSV3WBYJGRhQ6zExamkszQ5"&amp;"VutGIcaQqmbD9ZTVXMQ/edit#gid=1251630045"",""articles_with_PRISMA_reasons!B2:B2113""))"),2009.0)</f>
        <v>2009</v>
      </c>
      <c r="D918" s="5" t="str">
        <f>IFERROR(__xludf.DUMMYFUNCTION("IFS(AND(
FILTER(IMPORTRANGE(""https://docs.google.com/spreadsheets/d/1BJSV3WBYJGRhQ6zExamkszQ5VutGIcaQqmbD9ZTVXMQ/edit#gid=1251630045"",""articles_with_PRISMA_reasons!Y2:Y2113""), $A918=IMPORTRANGE(""https://docs.google.com/spreadsheets/d/1BJSV3WBYJGRhQ6z"&amp;"ExamkszQ5VutGIcaQqmbD9ZTVXMQ/edit#gid=1251630045"",""articles_with_PRISMA_reasons!B2:B2113""))&gt;=2,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$A918=IMPORTRANGE(""https://docs.google.com/spreadsheets/d/1BJSV3WBYJGRhQ6zExamkszQ5VutGIcaQqmbD9ZTVXMQ/edit#gid=1251630045"",""articles_with_PRISMA_reasons!B2:B2113""))&lt;2),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$A918=IMPORTRANGE(""https://docs.google.com/spreadsheets/d/1BJSV3WBYJGRhQ6zExamkszQ5VutGIcaQqmbD9ZTVXMQ/edit#gid=1251630045"",""arti"&amp;"cles_with_PRISMA_reasons!B2:B2113""))&lt;2,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$A918=IMPORTRANGE(""https://docs.google.com"&amp;"/spreadsheets/d/1BJSV3WBYJGRhQ6zExamkszQ5VutGIcaQqmbD9ZTVXMQ/edit#gid=1251630045"",""articles_with_PRISMA_reasons!B2:B2113""))&gt;=2),
""Exclude""
)"),"Include")</f>
        <v>Include</v>
      </c>
      <c r="E918" s="5" t="str">
        <f>IFERROR(__xludf.DUMMYFUNCTION("IFS(
D918=""Exclude"",""Exclude"",
AND(
FILTER(IMPORTRANGE(""https://docs.google.com/spreadsheets/d/1qpEmbGH0JjaJbUdp21-y2cPbobDbMjr09BbtdKROZWc/edit#gid=1444865654"",""articles_with_PRISMA_reasons!W2:W2113""), $A918=IMPORTRANGE(""https://docs.google.com/"&amp;"spreadsheets/d/1qpEmbGH0JjaJbUdp21-y2cPbobDbMjr09BbtdKROZWc/edit#gid=1444865654"",""articles_with_PRISMA_reasons!B2:B2113""))&gt;=2,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$A918=IMPORTRANGE(""https://docs.google.com/spreadsheets/d/1qpEmbGH0JjaJbUdp21-y2cPbobDbMjr09BbtdKROZWc/edit#gid=1444865654"",""articles_with_PRISMA_reasons!B2:B2113""))&lt;2),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$A918=IMPORTRANGE(""https://docs.google.com/spreadsheets/d/1qpEmbGH0JjaJbUdp21-y2cPbobDbMjr09BbtdKRO"&amp;"ZWc/edit#gid=1444865654"",""articles_with_PRISMA_reasons!B2:B2113""))&lt;2,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$A918=IMPOR"&amp;"TRANGE(""https://docs.google.com/spreadsheets/d/1qpEmbGH0JjaJbUdp21-y2cPbobDbMjr09BbtdKROZWc/edit#gid=1444865654"",""articles_with_PRISMA_reasons!B2:B2113""))&gt;=2),
""Exclude""
)"),"Include")</f>
        <v>Include</v>
      </c>
      <c r="F918" s="5" t="str">
        <f>IFERROR(__xludf.DUMMYFUNCTION("IFS(
E918=""Exclude"",""Exclude"",
AND(
COUNTIF(
IMPORTRANGE(""https://docs.google.com/spreadsheets/d/1kGrh75X1cNR1D7_FcY9zMnHP8iPO4M5RCRjy6nZY0TY/edit#gid=0"",""Table 1: Study characteristics!B4:B171""),A918)&gt;0,
COUNTIF(Studies!$A$2:$A$85,FILTER(IMPORTRA"&amp;"NGE(""https://docs.google.com/spreadsheets/d/1kGrh75X1cNR1D7_FcY9zMnHP8iPO4M5RCRjy6nZY0TY/edit#gid=0"",""Table 1: Study characteristics!A4:A171""), $A918=IMPORTRANGE(""https://docs.google.com/spreadsheets/d/1kGrh75X1cNR1D7_FcY9zMnHP8iPO4M5RCRjy6nZY0TY/edi"&amp;"t#gid=0"",""Table 1: Study characteristics!B4:B171"")))&gt;0
),
""Include""
)"),"Include")</f>
        <v>Include</v>
      </c>
      <c r="G918" s="5" t="str">
        <f>IFERROR(__xludf.DUMMYFUNCTION("IFS(
D918=""Exclude"",
FILTER(IMPORTRANGE(""https://docs.google.com/spreadsheets/d/1BJSV3WBYJGRhQ6zExamkszQ5VutGIcaQqmbD9ZTVXMQ/edit#gid=1251630045"",""articles_with_PRISMA_reasons!AB2:AB2113""), $A918=IMPORTRANGE(""https://docs.google.com/spreadsheets/d/"&amp;"1BJSV3WBYJGRhQ6zExamkszQ5VutGIcaQqmbD9ZTVXMQ/edit#gid=1251630045"",""articles_with_PRISMA_reasons!B2:B2113"")),
E918=""Exclude"",
FILTER(IMPORTRANGE(""https://docs.google.com/spreadsheets/d/1qpEmbGH0JjaJbUdp21-y2cPbobDbMjr09BbtdKROZWc/edit#gid=1444865654"&amp;""",""articles_with_PRISMA_reasons!Z2:Z2113""), $A918=IMPORTRANGE(""https://docs.google.com/spreadsheets/d/1qpEmbGH0JjaJbUdp21-y2cPbobDbMjr09BbtdKROZWc/edit#gid=1444865654"",""articles_with_PRISMA_reasons!B2:B2113"")),F918
=""Include"",FILTER(IMPORTRANGE("&amp;"""https://docs.google.com/spreadsheets/d/1kGrh75X1cNR1D7_FcY9zMnHP8iPO4M5RCRjy6nZY0TY/edit#gid=0"",""Table 1: Study characteristics!A4:A171""), $A918=IMPORTRANGE(""https://docs.google.com/spreadsheets/d/1kGrh75X1cNR1D7_FcY9zMnHP8iPO4M5RCRjy6nZY0TY/edit#gi"&amp;"d=0"",""Table 1: Study characteristics!B4:B171""))
)"),"ID 77")</f>
        <v>ID 77</v>
      </c>
    </row>
    <row r="919">
      <c r="A919" s="4" t="str">
        <f>IFERROR(__xludf.DUMMYFUNCTION("""COMPUTED_VALUE"""),"Hydrocephalus in Mexican children with Coccidioidal Meningitis: Clinical, serological, and neuroimaging findings")</f>
        <v>Hydrocephalus in Mexican children with Coccidioidal Meningitis: Clinical, serological, and neuroimaging findings</v>
      </c>
      <c r="B919" s="5" t="str">
        <f>IFERROR(__xludf.DUMMYFUNCTION("LEFT(FILTER(IMPORTRANGE(""https://docs.google.com/spreadsheets/d/1BJSV3WBYJGRhQ6zExamkszQ5VutGIcaQqmbD9ZTVXMQ/edit#gid=1251630045"",""articles_with_PRISMA_reasons!K2:K2113""), $A919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$A919=IMPORTRANGE(""https://docs.google.com/spreadsheets/d/1BJSV3WBYJGRhQ6zExamkszQ5VutGIcaQqmbD9ZTVXMQ/edit#gid=1251630045"",""articles_with_PRISMA_reasons!B2:B2113"")))-1)"),"De la Cerda-Vargas")</f>
        <v>De la Cerda-Vargas</v>
      </c>
      <c r="C919" s="6">
        <f>IFERROR(__xludf.DUMMYFUNCTION("FILTER(IMPORTRANGE(""https://docs.google.com/spreadsheets/d/1BJSV3WBYJGRhQ6zExamkszQ5VutGIcaQqmbD9ZTVXMQ/edit#gid=1251630045"",""articles_with_PRISMA_reasons!C2:C2113""), $A919=IMPORTRANGE(""https://docs.google.com/spreadsheets/d/1BJSV3WBYJGRhQ6zExamkszQ5"&amp;"VutGIcaQqmbD9ZTVXMQ/edit#gid=1251630045"",""articles_with_PRISMA_reasons!B2:B2113""))"),2021.0)</f>
        <v>2021</v>
      </c>
      <c r="D919" s="5" t="str">
        <f>IFERROR(__xludf.DUMMYFUNCTION("IFS(AND(
FILTER(IMPORTRANGE(""https://docs.google.com/spreadsheets/d/1BJSV3WBYJGRhQ6zExamkszQ5VutGIcaQqmbD9ZTVXMQ/edit#gid=1251630045"",""articles_with_PRISMA_reasons!Y2:Y2113""), $A919=IMPORTRANGE(""https://docs.google.com/spreadsheets/d/1BJSV3WBYJGRhQ6z"&amp;"ExamkszQ5VutGIcaQqmbD9ZTVXMQ/edit#gid=1251630045"",""articles_with_PRISMA_reasons!B2:B2113""))&gt;=2,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$A919=IMPORTRANGE(""https://docs.google.com/spreadsheets/d/1BJSV3WBYJGRhQ6zExamkszQ5VutGIcaQqmbD9ZTVXMQ/edit#gid=1251630045"",""articles_with_PRISMA_reasons!B2:B2113""))&lt;2),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$A919=IMPORTRANGE(""https://docs.google.com/spreadsheets/d/1BJSV3WBYJGRhQ6zExamkszQ5VutGIcaQqmbD9ZTVXMQ/edit#gid=1251630045"",""arti"&amp;"cles_with_PRISMA_reasons!B2:B2113""))&lt;2,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$A919=IMPORTRANGE(""https://docs.google.com"&amp;"/spreadsheets/d/1BJSV3WBYJGRhQ6zExamkszQ5VutGIcaQqmbD9ZTVXMQ/edit#gid=1251630045"",""articles_with_PRISMA_reasons!B2:B2113""))&gt;=2),
""Exclude""
)"),"Exclude")</f>
        <v>Exclude</v>
      </c>
      <c r="E919" s="5" t="str">
        <f>IFERROR(__xludf.DUMMYFUNCTION("IFS(
D919=""Exclude"",""Exclude"",
AND(
FILTER(IMPORTRANGE(""https://docs.google.com/spreadsheets/d/1qpEmbGH0JjaJbUdp21-y2cPbobDbMjr09BbtdKROZWc/edit#gid=1444865654"",""articles_with_PRISMA_reasons!W2:W2113""), $A919=IMPORTRANGE(""https://docs.google.com/"&amp;"spreadsheets/d/1qpEmbGH0JjaJbUdp21-y2cPbobDbMjr09BbtdKROZWc/edit#gid=1444865654"",""articles_with_PRISMA_reasons!B2:B2113""))&gt;=2,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$A919=IMPORTRANGE(""https://docs.google.com/spreadsheets/d/1qpEmbGH0JjaJbUdp21-y2cPbobDbMjr09BbtdKROZWc/edit#gid=1444865654"",""articles_with_PRISMA_reasons!B2:B2113""))&lt;2),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$A919=IMPORTRANGE(""https://docs.google.com/spreadsheets/d/1qpEmbGH0JjaJbUdp21-y2cPbobDbMjr09BbtdKRO"&amp;"ZWc/edit#gid=1444865654"",""articles_with_PRISMA_reasons!B2:B2113""))&lt;2,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$A919=IMPOR"&amp;"TRANGE(""https://docs.google.com/spreadsheets/d/1qpEmbGH0JjaJbUdp21-y2cPbobDbMjr09BbtdKROZWc/edit#gid=1444865654"",""articles_with_PRISMA_reasons!B2:B2113""))&gt;=2),
""Exclude""
)"),"Exclude")</f>
        <v>Exclude</v>
      </c>
      <c r="F919" s="5" t="str">
        <f>IFERROR(__xludf.DUMMYFUNCTION("IFS(
E919=""Exclude"",""Exclude"",
AND(
COUNTIF(
IMPORTRANGE(""https://docs.google.com/spreadsheets/d/1kGrh75X1cNR1D7_FcY9zMnHP8iPO4M5RCRjy6nZY0TY/edit#gid=0"",""Table 1: Study characteristics!B4:B171""),A919)&gt;0,
COUNTIF(Studies!$A$2:$A$85,FILTER(IMPORTRA"&amp;"NGE(""https://docs.google.com/spreadsheets/d/1kGrh75X1cNR1D7_FcY9zMnHP8iPO4M5RCRjy6nZY0TY/edit#gid=0"",""Table 1: Study characteristics!A4:A171""), $A919=IMPORTRANGE(""https://docs.google.com/spreadsheets/d/1kGrh75X1cNR1D7_FcY9zMnHP8iPO4M5RCRjy6nZY0TY/edi"&amp;"t#gid=0"",""Table 1: Study characteristics!B4:B171"")))&gt;0
),
""Include""
)"),"Exclude")</f>
        <v>Exclude</v>
      </c>
      <c r="G919" s="5" t="str">
        <f>IFERROR(__xludf.DUMMYFUNCTION("IFS(
D919=""Exclude"",
FILTER(IMPORTRANGE(""https://docs.google.com/spreadsheets/d/1BJSV3WBYJGRhQ6zExamkszQ5VutGIcaQqmbD9ZTVXMQ/edit#gid=1251630045"",""articles_with_PRISMA_reasons!AB2:AB2113""), $A919=IMPORTRANGE(""https://docs.google.com/spreadsheets/d/"&amp;"1BJSV3WBYJGRhQ6zExamkszQ5VutGIcaQqmbD9ZTVXMQ/edit#gid=1251630045"",""articles_with_PRISMA_reasons!B2:B2113"")),
E919=""Exclude"",
FILTER(IMPORTRANGE(""https://docs.google.com/spreadsheets/d/1qpEmbGH0JjaJbUdp21-y2cPbobDbMjr09BbtdKROZWc/edit#gid=1444865654"&amp;""",""articles_with_PRISMA_reasons!Z2:Z2113""), $A919=IMPORTRANGE(""https://docs.google.com/spreadsheets/d/1qpEmbGH0JjaJbUdp21-y2cPbobDbMjr09BbtdKROZWc/edit#gid=1444865654"",""articles_with_PRISMA_reasons!B2:B2113"")),F919
=""Include"",FILTER(IMPORTRANGE("&amp;"""https://docs.google.com/spreadsheets/d/1kGrh75X1cNR1D7_FcY9zMnHP8iPO4M5RCRjy6nZY0TY/edit#gid=0"",""Table 1: Study characteristics!A4:A171""), $A919=IMPORTRANGE(""https://docs.google.com/spreadsheets/d/1kGrh75X1cNR1D7_FcY9zMnHP8iPO4M5RCRjy6nZY0TY/edit#gi"&amp;"d=0"",""Table 1: Study characteristics!B4:B171""))
)"),"wrong population")</f>
        <v>wrong population</v>
      </c>
    </row>
    <row r="920">
      <c r="A920" s="4" t="str">
        <f>IFERROR(__xludf.DUMMYFUNCTION("""COMPUTED_VALUE"""),"Hydrocephalus in myelomeningocele")</f>
        <v>Hydrocephalus in myelomeningocele</v>
      </c>
      <c r="B920" s="5" t="str">
        <f>IFERROR(__xludf.DUMMYFUNCTION("LEFT(FILTER(IMPORTRANGE(""https://docs.google.com/spreadsheets/d/1BJSV3WBYJGRhQ6zExamkszQ5VutGIcaQqmbD9ZTVXMQ/edit#gid=1251630045"",""articles_with_PRISMA_reasons!K2:K2113""), $A920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$A920=IMPORTRANGE(""https://docs.google.com/spreadsheets/d/1BJSV3WBYJGRhQ6zExamkszQ5VutGIcaQqmbD9ZTVXMQ/edit#gid=1251630045"",""articles_with_PRISMA_reasons!B2:B2113"")))-1)"),"Moron")</f>
        <v>Moron</v>
      </c>
      <c r="C920" s="3">
        <v>1979.0</v>
      </c>
      <c r="D920" s="5" t="str">
        <f>IFERROR(__xludf.DUMMYFUNCTION("IFS(AND(
FILTER(IMPORTRANGE(""https://docs.google.com/spreadsheets/d/1BJSV3WBYJGRhQ6zExamkszQ5VutGIcaQqmbD9ZTVXMQ/edit#gid=1251630045"",""articles_with_PRISMA_reasons!Y2:Y2113""), $A920=IMPORTRANGE(""https://docs.google.com/spreadsheets/d/1BJSV3WBYJGRhQ6z"&amp;"ExamkszQ5VutGIcaQqmbD9ZTVXMQ/edit#gid=1251630045"",""articles_with_PRISMA_reasons!B2:B2113""))&gt;=2,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$A920=IMPORTRANGE(""https://docs.google.com/spreadsheets/d/1BJSV3WBYJGRhQ6zExamkszQ5VutGIcaQqmbD9ZTVXMQ/edit#gid=1251630045"",""articles_with_PRISMA_reasons!B2:B2113""))&lt;2),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$A920=IMPORTRANGE(""https://docs.google.com/spreadsheets/d/1BJSV3WBYJGRhQ6zExamkszQ5VutGIcaQqmbD9ZTVXMQ/edit#gid=1251630045"",""arti"&amp;"cles_with_PRISMA_reasons!B2:B2113""))&lt;2,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$A920=IMPORTRANGE(""https://docs.google.com"&amp;"/spreadsheets/d/1BJSV3WBYJGRhQ6zExamkszQ5VutGIcaQqmbD9ZTVXMQ/edit#gid=1251630045"",""articles_with_PRISMA_reasons!B2:B2113""))&gt;=2),
""Exclude""
)"),"Include")</f>
        <v>Include</v>
      </c>
      <c r="E920" s="5" t="str">
        <f>IFERROR(__xludf.DUMMYFUNCTION("IFS(
D920=""Exclude"",""Exclude"",
AND(
FILTER(IMPORTRANGE(""https://docs.google.com/spreadsheets/d/1qpEmbGH0JjaJbUdp21-y2cPbobDbMjr09BbtdKROZWc/edit#gid=1444865654"",""articles_with_PRISMA_reasons!W2:W2113""), $A920=IMPORTRANGE(""https://docs.google.com/"&amp;"spreadsheets/d/1qpEmbGH0JjaJbUdp21-y2cPbobDbMjr09BbtdKROZWc/edit#gid=1444865654"",""articles_with_PRISMA_reasons!B2:B2113""))&gt;=2,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$A920=IMPORTRANGE(""https://docs.google.com/spreadsheets/d/1qpEmbGH0JjaJbUdp21-y2cPbobDbMjr09BbtdKROZWc/edit#gid=1444865654"",""articles_with_PRISMA_reasons!B2:B2113""))&lt;2),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$A920=IMPORTRANGE(""https://docs.google.com/spreadsheets/d/1qpEmbGH0JjaJbUdp21-y2cPbobDbMjr09BbtdKRO"&amp;"ZWc/edit#gid=1444865654"",""articles_with_PRISMA_reasons!B2:B2113""))&lt;2,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$A920=IMPOR"&amp;"TRANGE(""https://docs.google.com/spreadsheets/d/1qpEmbGH0JjaJbUdp21-y2cPbobDbMjr09BbtdKROZWc/edit#gid=1444865654"",""articles_with_PRISMA_reasons!B2:B2113""))&gt;=2),
""Exclude""
)"),"Include")</f>
        <v>Include</v>
      </c>
      <c r="F920" s="2" t="s">
        <v>8</v>
      </c>
      <c r="G920" s="2" t="s">
        <v>17</v>
      </c>
    </row>
    <row r="921">
      <c r="A921" s="4" t="str">
        <f>IFERROR(__xludf.DUMMYFUNCTION("""COMPUTED_VALUE"""),"Hydrocephalus in myelomeningocele")</f>
        <v>Hydrocephalus in myelomeningocele</v>
      </c>
      <c r="B921" s="5" t="str">
        <f>IFERROR(__xludf.DUMMYFUNCTION("LEFT(FILTER(IMPORTRANGE(""https://docs.google.com/spreadsheets/d/1BJSV3WBYJGRhQ6zExamkszQ5VutGIcaQqmbD9ZTVXMQ/edit#gid=1251630045"",""articles_with_PRISMA_reasons!K2:K2113""), $A921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$A921=IMPORTRANGE(""https://docs.google.com/spreadsheets/d/1BJSV3WBYJGRhQ6zExamkszQ5VutGIcaQqmbD9ZTVXMQ/edit#gid=1251630045"",""articles_with_PRISMA_reasons!B2:B2113"")))-1)"),"Moron")</f>
        <v>Moron</v>
      </c>
      <c r="C921" s="3">
        <v>1979.0</v>
      </c>
      <c r="D921" s="5" t="str">
        <f>IFERROR(__xludf.DUMMYFUNCTION("IFS(AND(
FILTER(IMPORTRANGE(""https://docs.google.com/spreadsheets/d/1BJSV3WBYJGRhQ6zExamkszQ5VutGIcaQqmbD9ZTVXMQ/edit#gid=1251630045"",""articles_with_PRISMA_reasons!Y2:Y2113""), $A921=IMPORTRANGE(""https://docs.google.com/spreadsheets/d/1BJSV3WBYJGRhQ6z"&amp;"ExamkszQ5VutGIcaQqmbD9ZTVXMQ/edit#gid=1251630045"",""articles_with_PRISMA_reasons!B2:B2113""))&gt;=2,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$A921=IMPORTRANGE(""https://docs.google.com/spreadsheets/d/1BJSV3WBYJGRhQ6zExamkszQ5VutGIcaQqmbD9ZTVXMQ/edit#gid=1251630045"",""articles_with_PRISMA_reasons!B2:B2113""))&lt;2),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$A921=IMPORTRANGE(""https://docs.google.com/spreadsheets/d/1BJSV3WBYJGRhQ6zExamkszQ5VutGIcaQqmbD9ZTVXMQ/edit#gid=1251630045"",""arti"&amp;"cles_with_PRISMA_reasons!B2:B2113""))&lt;2,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$A921=IMPORTRANGE(""https://docs.google.com"&amp;"/spreadsheets/d/1BJSV3WBYJGRhQ6zExamkszQ5VutGIcaQqmbD9ZTVXMQ/edit#gid=1251630045"",""articles_with_PRISMA_reasons!B2:B2113""))&gt;=2),
""Exclude""
)"),"Include")</f>
        <v>Include</v>
      </c>
      <c r="E921" s="5" t="str">
        <f>IFERROR(__xludf.DUMMYFUNCTION("IFS(
D921=""Exclude"",""Exclude"",
AND(
FILTER(IMPORTRANGE(""https://docs.google.com/spreadsheets/d/1qpEmbGH0JjaJbUdp21-y2cPbobDbMjr09BbtdKROZWc/edit#gid=1444865654"",""articles_with_PRISMA_reasons!W2:W2113""), $A921=IMPORTRANGE(""https://docs.google.com/"&amp;"spreadsheets/d/1qpEmbGH0JjaJbUdp21-y2cPbobDbMjr09BbtdKROZWc/edit#gid=1444865654"",""articles_with_PRISMA_reasons!B2:B2113""))&gt;=2,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$A921=IMPORTRANGE(""https://docs.google.com/spreadsheets/d/1qpEmbGH0JjaJbUdp21-y2cPbobDbMjr09BbtdKROZWc/edit#gid=1444865654"",""articles_with_PRISMA_reasons!B2:B2113""))&lt;2),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$A921=IMPORTRANGE(""https://docs.google.com/spreadsheets/d/1qpEmbGH0JjaJbUdp21-y2cPbobDbMjr09BbtdKRO"&amp;"ZWc/edit#gid=1444865654"",""articles_with_PRISMA_reasons!B2:B2113""))&lt;2,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$A921=IMPOR"&amp;"TRANGE(""https://docs.google.com/spreadsheets/d/1qpEmbGH0JjaJbUdp21-y2cPbobDbMjr09BbtdKROZWc/edit#gid=1444865654"",""articles_with_PRISMA_reasons!B2:B2113""))&gt;=2),
""Exclude""
)"),"Include")</f>
        <v>Include</v>
      </c>
      <c r="F921" s="2" t="s">
        <v>8</v>
      </c>
      <c r="G921" s="2" t="s">
        <v>13</v>
      </c>
    </row>
    <row r="922">
      <c r="A922" s="4" t="str">
        <f>IFERROR(__xludf.DUMMYFUNCTION("""COMPUTED_VALUE"""),"Hydrocephalus in newborns and infants at the nouakchott national hospital")</f>
        <v>Hydrocephalus in newborns and infants at the nouakchott national hospital</v>
      </c>
      <c r="B922" s="5" t="str">
        <f>IFERROR(__xludf.DUMMYFUNCTION("LEFT(FILTER(IMPORTRANGE(""https://docs.google.com/spreadsheets/d/1BJSV3WBYJGRhQ6zExamkszQ5VutGIcaQqmbD9ZTVXMQ/edit#gid=1251630045"",""articles_with_PRISMA_reasons!K2:K2113""), $A922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$A922=IMPORTRANGE(""https://docs.google.com/spreadsheets/d/1BJSV3WBYJGRhQ6zExamkszQ5VutGIcaQqmbD9ZTVXMQ/edit#gid=1251630045"",""articles_with_PRISMA_reasons!B2:B2113"")))-1)"),"Salem-Memou")</f>
        <v>Salem-Memou</v>
      </c>
      <c r="C922" s="6">
        <f>IFERROR(__xludf.DUMMYFUNCTION("FILTER(IMPORTRANGE(""https://docs.google.com/spreadsheets/d/1BJSV3WBYJGRhQ6zExamkszQ5VutGIcaQqmbD9ZTVXMQ/edit#gid=1251630045"",""articles_with_PRISMA_reasons!C2:C2113""), $A922=IMPORTRANGE(""https://docs.google.com/spreadsheets/d/1BJSV3WBYJGRhQ6zExamkszQ5"&amp;"VutGIcaQqmbD9ZTVXMQ/edit#gid=1251630045"",""articles_with_PRISMA_reasons!B2:B2113""))"),2020.0)</f>
        <v>2020</v>
      </c>
      <c r="D922" s="5" t="str">
        <f>IFERROR(__xludf.DUMMYFUNCTION("IFS(AND(
FILTER(IMPORTRANGE(""https://docs.google.com/spreadsheets/d/1BJSV3WBYJGRhQ6zExamkszQ5VutGIcaQqmbD9ZTVXMQ/edit#gid=1251630045"",""articles_with_PRISMA_reasons!Y2:Y2113""), $A922=IMPORTRANGE(""https://docs.google.com/spreadsheets/d/1BJSV3WBYJGRhQ6z"&amp;"ExamkszQ5VutGIcaQqmbD9ZTVXMQ/edit#gid=1251630045"",""articles_with_PRISMA_reasons!B2:B2113""))&gt;=2,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$A922=IMPORTRANGE(""https://docs.google.com/spreadsheets/d/1BJSV3WBYJGRhQ6zExamkszQ5VutGIcaQqmbD9ZTVXMQ/edit#gid=1251630045"",""articles_with_PRISMA_reasons!B2:B2113""))&lt;2),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$A922=IMPORTRANGE(""https://docs.google.com/spreadsheets/d/1BJSV3WBYJGRhQ6zExamkszQ5VutGIcaQqmbD9ZTVXMQ/edit#gid=1251630045"",""arti"&amp;"cles_with_PRISMA_reasons!B2:B2113""))&lt;2,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$A922=IMPORTRANGE(""https://docs.google.com"&amp;"/spreadsheets/d/1BJSV3WBYJGRhQ6zExamkszQ5VutGIcaQqmbD9ZTVXMQ/edit#gid=1251630045"",""articles_with_PRISMA_reasons!B2:B2113""))&gt;=2),
""Exclude""
)"),"Include")</f>
        <v>Include</v>
      </c>
      <c r="E922" s="5" t="str">
        <f>IFERROR(__xludf.DUMMYFUNCTION("IFS(
D922=""Exclude"",""Exclude"",
AND(
FILTER(IMPORTRANGE(""https://docs.google.com/spreadsheets/d/1qpEmbGH0JjaJbUdp21-y2cPbobDbMjr09BbtdKROZWc/edit#gid=1444865654"",""articles_with_PRISMA_reasons!W2:W2113""), $A922=IMPORTRANGE(""https://docs.google.com/"&amp;"spreadsheets/d/1qpEmbGH0JjaJbUdp21-y2cPbobDbMjr09BbtdKROZWc/edit#gid=1444865654"",""articles_with_PRISMA_reasons!B2:B2113""))&gt;=2,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$A922=IMPORTRANGE(""https://docs.google.com/spreadsheets/d/1qpEmbGH0JjaJbUdp21-y2cPbobDbMjr09BbtdKROZWc/edit#gid=1444865654"",""articles_with_PRISMA_reasons!B2:B2113""))&lt;2),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$A922=IMPORTRANGE(""https://docs.google.com/spreadsheets/d/1qpEmbGH0JjaJbUdp21-y2cPbobDbMjr09BbtdKRO"&amp;"ZWc/edit#gid=1444865654"",""articles_with_PRISMA_reasons!B2:B2113""))&lt;2,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$A922=IMPOR"&amp;"TRANGE(""https://docs.google.com/spreadsheets/d/1qpEmbGH0JjaJbUdp21-y2cPbobDbMjr09BbtdKROZWc/edit#gid=1444865654"",""articles_with_PRISMA_reasons!B2:B2113""))&gt;=2),
""Exclude""
)"),"Include")</f>
        <v>Include</v>
      </c>
      <c r="F922" s="2" t="s">
        <v>8</v>
      </c>
      <c r="G922" s="2" t="s">
        <v>23</v>
      </c>
    </row>
    <row r="923">
      <c r="A923" s="4" t="str">
        <f>IFERROR(__xludf.DUMMYFUNCTION("""COMPUTED_VALUE"""),"Hydrocephalus in patients with closed neural tube defects")</f>
        <v>Hydrocephalus in patients with closed neural tube defects</v>
      </c>
      <c r="B923" s="5" t="str">
        <f>IFERROR(__xludf.DUMMYFUNCTION("LEFT(FILTER(IMPORTRANGE(""https://docs.google.com/spreadsheets/d/1BJSV3WBYJGRhQ6zExamkszQ5VutGIcaQqmbD9ZTVXMQ/edit#gid=1251630045"",""articles_with_PRISMA_reasons!K2:K2113""), $A923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$A923=IMPORTRANGE(""https://docs.google.com/spreadsheets/d/1BJSV3WBYJGRhQ6zExamkszQ5VutGIcaQqmbD9ZTVXMQ/edit#gid=1251630045"",""articles_with_PRISMA_reasons!B2:B2113"")))-1)"),"Chance")</f>
        <v>Chance</v>
      </c>
      <c r="C923" s="6">
        <f>IFERROR(__xludf.DUMMYFUNCTION("FILTER(IMPORTRANGE(""https://docs.google.com/spreadsheets/d/1BJSV3WBYJGRhQ6zExamkszQ5VutGIcaQqmbD9ZTVXMQ/edit#gid=1251630045"",""articles_with_PRISMA_reasons!C2:C2113""), $A923=IMPORTRANGE(""https://docs.google.com/spreadsheets/d/1BJSV3WBYJGRhQ6zExamkszQ5"&amp;"VutGIcaQqmbD9ZTVXMQ/edit#gid=1251630045"",""articles_with_PRISMA_reasons!B2:B2113""))"),2015.0)</f>
        <v>2015</v>
      </c>
      <c r="D923" s="5" t="str">
        <f>IFERROR(__xludf.DUMMYFUNCTION("IFS(AND(
FILTER(IMPORTRANGE(""https://docs.google.com/spreadsheets/d/1BJSV3WBYJGRhQ6zExamkszQ5VutGIcaQqmbD9ZTVXMQ/edit#gid=1251630045"",""articles_with_PRISMA_reasons!Y2:Y2113""), $A923=IMPORTRANGE(""https://docs.google.com/spreadsheets/d/1BJSV3WBYJGRhQ6z"&amp;"ExamkszQ5VutGIcaQqmbD9ZTVXMQ/edit#gid=1251630045"",""articles_with_PRISMA_reasons!B2:B2113""))&gt;=2,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$A923=IMPORTRANGE(""https://docs.google.com/spreadsheets/d/1BJSV3WBYJGRhQ6zExamkszQ5VutGIcaQqmbD9ZTVXMQ/edit#gid=1251630045"",""articles_with_PRISMA_reasons!B2:B2113""))&lt;2),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$A923=IMPORTRANGE(""https://docs.google.com/spreadsheets/d/1BJSV3WBYJGRhQ6zExamkszQ5VutGIcaQqmbD9ZTVXMQ/edit#gid=1251630045"",""arti"&amp;"cles_with_PRISMA_reasons!B2:B2113""))&lt;2,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$A923=IMPORTRANGE(""https://docs.google.com"&amp;"/spreadsheets/d/1BJSV3WBYJGRhQ6zExamkszQ5VutGIcaQqmbD9ZTVXMQ/edit#gid=1251630045"",""articles_with_PRISMA_reasons!B2:B2113""))&gt;=2),
""Exclude""
)"),"Exclude")</f>
        <v>Exclude</v>
      </c>
      <c r="E923" s="5" t="str">
        <f>IFERROR(__xludf.DUMMYFUNCTION("IFS(
D923=""Exclude"",""Exclude"",
AND(
FILTER(IMPORTRANGE(""https://docs.google.com/spreadsheets/d/1qpEmbGH0JjaJbUdp21-y2cPbobDbMjr09BbtdKROZWc/edit#gid=1444865654"",""articles_with_PRISMA_reasons!W2:W2113""), $A923=IMPORTRANGE(""https://docs.google.com/"&amp;"spreadsheets/d/1qpEmbGH0JjaJbUdp21-y2cPbobDbMjr09BbtdKROZWc/edit#gid=1444865654"",""articles_with_PRISMA_reasons!B2:B2113""))&gt;=2,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$A923=IMPORTRANGE(""https://docs.google.com/spreadsheets/d/1qpEmbGH0JjaJbUdp21-y2cPbobDbMjr09BbtdKROZWc/edit#gid=1444865654"",""articles_with_PRISMA_reasons!B2:B2113""))&lt;2),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$A923=IMPORTRANGE(""https://docs.google.com/spreadsheets/d/1qpEmbGH0JjaJbUdp21-y2cPbobDbMjr09BbtdKRO"&amp;"ZWc/edit#gid=1444865654"",""articles_with_PRISMA_reasons!B2:B2113""))&lt;2,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$A923=IMPOR"&amp;"TRANGE(""https://docs.google.com/spreadsheets/d/1qpEmbGH0JjaJbUdp21-y2cPbobDbMjr09BbtdKROZWc/edit#gid=1444865654"",""articles_with_PRISMA_reasons!B2:B2113""))&gt;=2),
""Exclude""
)"),"Exclude")</f>
        <v>Exclude</v>
      </c>
      <c r="F923" s="5" t="str">
        <f>IFERROR(__xludf.DUMMYFUNCTION("IFS(
E923=""Exclude"",""Exclude"",
AND(
COUNTIF(
IMPORTRANGE(""https://docs.google.com/spreadsheets/d/1kGrh75X1cNR1D7_FcY9zMnHP8iPO4M5RCRjy6nZY0TY/edit#gid=0"",""Table 1: Study characteristics!B4:B171""),A923)&gt;0,
COUNTIF(Studies!$A$2:$A$85,FILTER(IMPORTRA"&amp;"NGE(""https://docs.google.com/spreadsheets/d/1kGrh75X1cNR1D7_FcY9zMnHP8iPO4M5RCRjy6nZY0TY/edit#gid=0"",""Table 1: Study characteristics!A4:A171""), $A923=IMPORTRANGE(""https://docs.google.com/spreadsheets/d/1kGrh75X1cNR1D7_FcY9zMnHP8iPO4M5RCRjy6nZY0TY/edi"&amp;"t#gid=0"",""Table 1: Study characteristics!B4:B171"")))&gt;0
),
""Include""
)"),"Exclude")</f>
        <v>Exclude</v>
      </c>
      <c r="G923" s="5" t="str">
        <f>IFERROR(__xludf.DUMMYFUNCTION("IFS(
D923=""Exclude"",
FILTER(IMPORTRANGE(""https://docs.google.com/spreadsheets/d/1BJSV3WBYJGRhQ6zExamkszQ5VutGIcaQqmbD9ZTVXMQ/edit#gid=1251630045"",""articles_with_PRISMA_reasons!AB2:AB2113""), $A923=IMPORTRANGE(""https://docs.google.com/spreadsheets/d/"&amp;"1BJSV3WBYJGRhQ6zExamkszQ5VutGIcaQqmbD9ZTVXMQ/edit#gid=1251630045"",""articles_with_PRISMA_reasons!B2:B2113"")),
E923=""Exclude"",
FILTER(IMPORTRANGE(""https://docs.google.com/spreadsheets/d/1qpEmbGH0JjaJbUdp21-y2cPbobDbMjr09BbtdKROZWc/edit#gid=1444865654"&amp;""",""articles_with_PRISMA_reasons!Z2:Z2113""), $A923=IMPORTRANGE(""https://docs.google.com/spreadsheets/d/1qpEmbGH0JjaJbUdp21-y2cPbobDbMjr09BbtdKROZWc/edit#gid=1444865654"",""articles_with_PRISMA_reasons!B2:B2113"")),F923
=""Include"",FILTER(IMPORTRANGE("&amp;"""https://docs.google.com/spreadsheets/d/1kGrh75X1cNR1D7_FcY9zMnHP8iPO4M5RCRjy6nZY0TY/edit#gid=0"",""Table 1: Study characteristics!A4:A171""), $A923=IMPORTRANGE(""https://docs.google.com/spreadsheets/d/1kGrh75X1cNR1D7_FcY9zMnHP8iPO4M5RCRjy6nZY0TY/edit#gi"&amp;"d=0"",""Table 1: Study characteristics!B4:B171""))
)"),"wrong study design")</f>
        <v>wrong study design</v>
      </c>
    </row>
    <row r="924">
      <c r="A924" s="4" t="str">
        <f>IFERROR(__xludf.DUMMYFUNCTION("""COMPUTED_VALUE"""),"Hydrocephalus in spina bifida")</f>
        <v>Hydrocephalus in spina bifida</v>
      </c>
      <c r="B924" s="5" t="str">
        <f>IFERROR(__xludf.DUMMYFUNCTION("LEFT(FILTER(IMPORTRANGE(""https://docs.google.com/spreadsheets/d/1BJSV3WBYJGRhQ6zExamkszQ5VutGIcaQqmbD9ZTVXMQ/edit#gid=1251630045"",""articles_with_PRISMA_reasons!K2:K2113""), $A924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$A924=IMPORTRANGE(""https://docs.google.com/spreadsheets/d/1BJSV3WBYJGRhQ6zExamkszQ5VutGIcaQqmbD9ZTVXMQ/edit#gid=1251630045"",""articles_with_PRISMA_reasons!B2:B2113"")))-1)"),"Morgado")</f>
        <v>Morgado</v>
      </c>
      <c r="C924" s="6">
        <f>IFERROR(__xludf.DUMMYFUNCTION("FILTER(IMPORTRANGE(""https://docs.google.com/spreadsheets/d/1BJSV3WBYJGRhQ6zExamkszQ5VutGIcaQqmbD9ZTVXMQ/edit#gid=1251630045"",""articles_with_PRISMA_reasons!C2:C2113""), $A924=IMPORTRANGE(""https://docs.google.com/spreadsheets/d/1BJSV3WBYJGRhQ6zExamkszQ5"&amp;"VutGIcaQqmbD9ZTVXMQ/edit#gid=1251630045"",""articles_with_PRISMA_reasons!B2:B2113""))"),2014.0)</f>
        <v>2014</v>
      </c>
      <c r="D924" s="5" t="str">
        <f>IFERROR(__xludf.DUMMYFUNCTION("IFS(AND(
FILTER(IMPORTRANGE(""https://docs.google.com/spreadsheets/d/1BJSV3WBYJGRhQ6zExamkszQ5VutGIcaQqmbD9ZTVXMQ/edit#gid=1251630045"",""articles_with_PRISMA_reasons!Y2:Y2113""), $A924=IMPORTRANGE(""https://docs.google.com/spreadsheets/d/1BJSV3WBYJGRhQ6z"&amp;"ExamkszQ5VutGIcaQqmbD9ZTVXMQ/edit#gid=1251630045"",""articles_with_PRISMA_reasons!B2:B2113""))&gt;=2,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$A924=IMPORTRANGE(""https://docs.google.com/spreadsheets/d/1BJSV3WBYJGRhQ6zExamkszQ5VutGIcaQqmbD9ZTVXMQ/edit#gid=1251630045"",""articles_with_PRISMA_reasons!B2:B2113""))&lt;2),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$A924=IMPORTRANGE(""https://docs.google.com/spreadsheets/d/1BJSV3WBYJGRhQ6zExamkszQ5VutGIcaQqmbD9ZTVXMQ/edit#gid=1251630045"",""arti"&amp;"cles_with_PRISMA_reasons!B2:B2113""))&lt;2,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$A924=IMPORTRANGE(""https://docs.google.com"&amp;"/spreadsheets/d/1BJSV3WBYJGRhQ6zExamkszQ5VutGIcaQqmbD9ZTVXMQ/edit#gid=1251630045"",""articles_with_PRISMA_reasons!B2:B2113""))&gt;=2),
""Exclude""
)"),"Exclude")</f>
        <v>Exclude</v>
      </c>
      <c r="E924" s="5" t="str">
        <f>IFERROR(__xludf.DUMMYFUNCTION("IFS(
D924=""Exclude"",""Exclude"",
AND(
FILTER(IMPORTRANGE(""https://docs.google.com/spreadsheets/d/1qpEmbGH0JjaJbUdp21-y2cPbobDbMjr09BbtdKROZWc/edit#gid=1444865654"",""articles_with_PRISMA_reasons!W2:W2113""), $A924=IMPORTRANGE(""https://docs.google.com/"&amp;"spreadsheets/d/1qpEmbGH0JjaJbUdp21-y2cPbobDbMjr09BbtdKROZWc/edit#gid=1444865654"",""articles_with_PRISMA_reasons!B2:B2113""))&gt;=2,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$A924=IMPORTRANGE(""https://docs.google.com/spreadsheets/d/1qpEmbGH0JjaJbUdp21-y2cPbobDbMjr09BbtdKROZWc/edit#gid=1444865654"",""articles_with_PRISMA_reasons!B2:B2113""))&lt;2),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$A924=IMPORTRANGE(""https://docs.google.com/spreadsheets/d/1qpEmbGH0JjaJbUdp21-y2cPbobDbMjr09BbtdKRO"&amp;"ZWc/edit#gid=1444865654"",""articles_with_PRISMA_reasons!B2:B2113""))&lt;2,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$A924=IMPOR"&amp;"TRANGE(""https://docs.google.com/spreadsheets/d/1qpEmbGH0JjaJbUdp21-y2cPbobDbMjr09BbtdKROZWc/edit#gid=1444865654"",""articles_with_PRISMA_reasons!B2:B2113""))&gt;=2),
""Exclude""
)"),"Exclude")</f>
        <v>Exclude</v>
      </c>
      <c r="F924" s="5" t="str">
        <f>IFERROR(__xludf.DUMMYFUNCTION("IFS(
E924=""Exclude"",""Exclude"",
AND(
COUNTIF(
IMPORTRANGE(""https://docs.google.com/spreadsheets/d/1kGrh75X1cNR1D7_FcY9zMnHP8iPO4M5RCRjy6nZY0TY/edit#gid=0"",""Table 1: Study characteristics!B4:B171""),A924)&gt;0,
COUNTIF(Studies!$A$2:$A$85,FILTER(IMPORTRA"&amp;"NGE(""https://docs.google.com/spreadsheets/d/1kGrh75X1cNR1D7_FcY9zMnHP8iPO4M5RCRjy6nZY0TY/edit#gid=0"",""Table 1: Study characteristics!A4:A171""), $A924=IMPORTRANGE(""https://docs.google.com/spreadsheets/d/1kGrh75X1cNR1D7_FcY9zMnHP8iPO4M5RCRjy6nZY0TY/edi"&amp;"t#gid=0"",""Table 1: Study characteristics!B4:B171"")))&gt;0
),
""Include""
)"),"Exclude")</f>
        <v>Exclude</v>
      </c>
      <c r="G924" s="5" t="str">
        <f>IFERROR(__xludf.DUMMYFUNCTION("IFS(
D924=""Exclude"",
FILTER(IMPORTRANGE(""https://docs.google.com/spreadsheets/d/1BJSV3WBYJGRhQ6zExamkszQ5VutGIcaQqmbD9ZTVXMQ/edit#gid=1251630045"",""articles_with_PRISMA_reasons!AB2:AB2113""), $A924=IMPORTRANGE(""https://docs.google.com/spreadsheets/d/"&amp;"1BJSV3WBYJGRhQ6zExamkszQ5VutGIcaQqmbD9ZTVXMQ/edit#gid=1251630045"",""articles_with_PRISMA_reasons!B2:B2113"")),
E924=""Exclude"",
FILTER(IMPORTRANGE(""https://docs.google.com/spreadsheets/d/1qpEmbGH0JjaJbUdp21-y2cPbobDbMjr09BbtdKROZWc/edit#gid=1444865654"&amp;""",""articles_with_PRISMA_reasons!Z2:Z2113""), $A924=IMPORTRANGE(""https://docs.google.com/spreadsheets/d/1qpEmbGH0JjaJbUdp21-y2cPbobDbMjr09BbtdKROZWc/edit#gid=1444865654"",""articles_with_PRISMA_reasons!B2:B2113"")),F924
=""Include"",FILTER(IMPORTRANGE("&amp;"""https://docs.google.com/spreadsheets/d/1kGrh75X1cNR1D7_FcY9zMnHP8iPO4M5RCRjy6nZY0TY/edit#gid=0"",""Table 1: Study characteristics!A4:A171""), $A924=IMPORTRANGE(""https://docs.google.com/spreadsheets/d/1kGrh75X1cNR1D7_FcY9zMnHP8iPO4M5RCRjy6nZY0TY/edit#gi"&amp;"d=0"",""Table 1: Study characteristics!B4:B171""))
)"),"Duplicate")</f>
        <v>Duplicate</v>
      </c>
    </row>
    <row r="925">
      <c r="A925" s="4" t="str">
        <f>IFERROR(__xludf.DUMMYFUNCTION("""COMPUTED_VALUE"""),"Hydrocephalus in the child with dysraphism")</f>
        <v>Hydrocephalus in the child with dysraphism</v>
      </c>
      <c r="B925" s="5" t="str">
        <f>IFERROR(__xludf.DUMMYFUNCTION("LEFT(FILTER(IMPORTRANGE(""https://docs.google.com/spreadsheets/d/1BJSV3WBYJGRhQ6zExamkszQ5VutGIcaQqmbD9ZTVXMQ/edit#gid=1251630045"",""articles_with_PRISMA_reasons!K2:K2113""), $A925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$A925=IMPORTRANGE(""https://docs.google.com/spreadsheets/d/1BJSV3WBYJGRhQ6zExamkszQ5VutGIcaQqmbD9ZTVXMQ/edit#gid=1251630045"",""articles_with_PRISMA_reasons!B2:B2113"")))-1)"),"Dias")</f>
        <v>Dias</v>
      </c>
      <c r="C925" s="6">
        <f>IFERROR(__xludf.DUMMYFUNCTION("FILTER(IMPORTRANGE(""https://docs.google.com/spreadsheets/d/1BJSV3WBYJGRhQ6zExamkszQ5VutGIcaQqmbD9ZTVXMQ/edit#gid=1251630045"",""articles_with_PRISMA_reasons!C2:C2113""), $A925=IMPORTRANGE(""https://docs.google.com/spreadsheets/d/1BJSV3WBYJGRhQ6zExamkszQ5"&amp;"VutGIcaQqmbD9ZTVXMQ/edit#gid=1251630045"",""articles_with_PRISMA_reasons!B2:B2113""))"),1993.0)</f>
        <v>1993</v>
      </c>
      <c r="D925" s="5" t="str">
        <f>IFERROR(__xludf.DUMMYFUNCTION("IFS(AND(
FILTER(IMPORTRANGE(""https://docs.google.com/spreadsheets/d/1BJSV3WBYJGRhQ6zExamkszQ5VutGIcaQqmbD9ZTVXMQ/edit#gid=1251630045"",""articles_with_PRISMA_reasons!Y2:Y2113""), $A925=IMPORTRANGE(""https://docs.google.com/spreadsheets/d/1BJSV3WBYJGRhQ6z"&amp;"ExamkszQ5VutGIcaQqmbD9ZTVXMQ/edit#gid=1251630045"",""articles_with_PRISMA_reasons!B2:B2113""))&gt;=2,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$A925=IMPORTRANGE(""https://docs.google.com/spreadsheets/d/1BJSV3WBYJGRhQ6zExamkszQ5VutGIcaQqmbD9ZTVXMQ/edit#gid=1251630045"",""articles_with_PRISMA_reasons!B2:B2113""))&lt;2),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$A925=IMPORTRANGE(""https://docs.google.com/spreadsheets/d/1BJSV3WBYJGRhQ6zExamkszQ5VutGIcaQqmbD9ZTVXMQ/edit#gid=1251630045"",""arti"&amp;"cles_with_PRISMA_reasons!B2:B2113""))&lt;2,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$A925=IMPORTRANGE(""https://docs.google.com"&amp;"/spreadsheets/d/1BJSV3WBYJGRhQ6zExamkszQ5VutGIcaQqmbD9ZTVXMQ/edit#gid=1251630045"",""articles_with_PRISMA_reasons!B2:B2113""))&gt;=2),
""Exclude""
)"),"Exclude")</f>
        <v>Exclude</v>
      </c>
      <c r="E925" s="5" t="str">
        <f>IFERROR(__xludf.DUMMYFUNCTION("IFS(
D925=""Exclude"",""Exclude"",
AND(
FILTER(IMPORTRANGE(""https://docs.google.com/spreadsheets/d/1qpEmbGH0JjaJbUdp21-y2cPbobDbMjr09BbtdKROZWc/edit#gid=1444865654"",""articles_with_PRISMA_reasons!W2:W2113""), $A925=IMPORTRANGE(""https://docs.google.com/"&amp;"spreadsheets/d/1qpEmbGH0JjaJbUdp21-y2cPbobDbMjr09BbtdKROZWc/edit#gid=1444865654"",""articles_with_PRISMA_reasons!B2:B2113""))&gt;=2,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$A925=IMPORTRANGE(""https://docs.google.com/spreadsheets/d/1qpEmbGH0JjaJbUdp21-y2cPbobDbMjr09BbtdKROZWc/edit#gid=1444865654"",""articles_with_PRISMA_reasons!B2:B2113""))&lt;2),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$A925=IMPORTRANGE(""https://docs.google.com/spreadsheets/d/1qpEmbGH0JjaJbUdp21-y2cPbobDbMjr09BbtdKRO"&amp;"ZWc/edit#gid=1444865654"",""articles_with_PRISMA_reasons!B2:B2113""))&lt;2,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$A925=IMPOR"&amp;"TRANGE(""https://docs.google.com/spreadsheets/d/1qpEmbGH0JjaJbUdp21-y2cPbobDbMjr09BbtdKROZWc/edit#gid=1444865654"",""articles_with_PRISMA_reasons!B2:B2113""))&gt;=2),
""Exclude""
)"),"Exclude")</f>
        <v>Exclude</v>
      </c>
      <c r="F925" s="5" t="str">
        <f>IFERROR(__xludf.DUMMYFUNCTION("IFS(
E925=""Exclude"",""Exclude"",
AND(
COUNTIF(
IMPORTRANGE(""https://docs.google.com/spreadsheets/d/1kGrh75X1cNR1D7_FcY9zMnHP8iPO4M5RCRjy6nZY0TY/edit#gid=0"",""Table 1: Study characteristics!B4:B171""),A925)&gt;0,
COUNTIF(Studies!$A$2:$A$85,FILTER(IMPORTRA"&amp;"NGE(""https://docs.google.com/spreadsheets/d/1kGrh75X1cNR1D7_FcY9zMnHP8iPO4M5RCRjy6nZY0TY/edit#gid=0"",""Table 1: Study characteristics!A4:A171""), $A925=IMPORTRANGE(""https://docs.google.com/spreadsheets/d/1kGrh75X1cNR1D7_FcY9zMnHP8iPO4M5RCRjy6nZY0TY/edi"&amp;"t#gid=0"",""Table 1: Study characteristics!B4:B171"")))&gt;0
),
""Include""
)"),"Exclude")</f>
        <v>Exclude</v>
      </c>
      <c r="G925" s="5" t="str">
        <f>IFERROR(__xludf.DUMMYFUNCTION("IFS(
D925=""Exclude"",
FILTER(IMPORTRANGE(""https://docs.google.com/spreadsheets/d/1BJSV3WBYJGRhQ6zExamkszQ5VutGIcaQqmbD9ZTVXMQ/edit#gid=1251630045"",""articles_with_PRISMA_reasons!AB2:AB2113""), $A925=IMPORTRANGE(""https://docs.google.com/spreadsheets/d/"&amp;"1BJSV3WBYJGRhQ6zExamkszQ5VutGIcaQqmbD9ZTVXMQ/edit#gid=1251630045"",""articles_with_PRISMA_reasons!B2:B2113"")),
E925=""Exclude"",
FILTER(IMPORTRANGE(""https://docs.google.com/spreadsheets/d/1qpEmbGH0JjaJbUdp21-y2cPbobDbMjr09BbtdKROZWc/edit#gid=1444865654"&amp;""",""articles_with_PRISMA_reasons!Z2:Z2113""), $A925=IMPORTRANGE(""https://docs.google.com/spreadsheets/d/1qpEmbGH0JjaJbUdp21-y2cPbobDbMjr09BbtdKROZWc/edit#gid=1444865654"",""articles_with_PRISMA_reasons!B2:B2113"")),F925
=""Include"",FILTER(IMPORTRANGE("&amp;"""https://docs.google.com/spreadsheets/d/1kGrh75X1cNR1D7_FcY9zMnHP8iPO4M5RCRjy6nZY0TY/edit#gid=0"",""Table 1: Study characteristics!A4:A171""), $A925=IMPORTRANGE(""https://docs.google.com/spreadsheets/d/1kGrh75X1cNR1D7_FcY9zMnHP8iPO4M5RCRjy6nZY0TY/edit#gi"&amp;"d=0"",""Table 1: Study characteristics!B4:B171""))
)"),"wrong population")</f>
        <v>wrong population</v>
      </c>
    </row>
    <row r="926">
      <c r="A926" s="4" t="str">
        <f>IFERROR(__xludf.DUMMYFUNCTION("""COMPUTED_VALUE"""),"Hydrocephalus in toddlers: the place of shunts in sub-Sahara African countries")</f>
        <v>Hydrocephalus in toddlers: the place of shunts in sub-Sahara African countries</v>
      </c>
      <c r="B926" s="5" t="str">
        <f>IFERROR(__xludf.DUMMYFUNCTION("LEFT(FILTER(IMPORTRANGE(""https://docs.google.com/spreadsheets/d/1BJSV3WBYJGRhQ6zExamkszQ5VutGIcaQqmbD9ZTVXMQ/edit#gid=1251630045"",""articles_with_PRISMA_reasons!K2:K2113""), $A926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$A926=IMPORTRANGE(""https://docs.google.com/spreadsheets/d/1BJSV3WBYJGRhQ6zExamkszQ5VutGIcaQqmbD9ZTVXMQ/edit#gid=1251630045"",""articles_with_PRISMA_reasons!B2:B2113"")))-1)"),"Djientcheu Vde")</f>
        <v>Djientcheu Vde</v>
      </c>
      <c r="C926" s="6" t="str">
        <f>IFERROR(__xludf.DUMMYFUNCTION("FILTER(IMPORTRANGE(""https://docs.google.com/spreadsheets/d/1BJSV3WBYJGRhQ6zExamkszQ5VutGIcaQqmbD9ZTVXMQ/edit#gid=1251630045"",""articles_with_PRISMA_reasons!C2:C2113""), $A926=IMPORTRANGE(""https://docs.google.com/spreadsheets/d/1BJSV3WBYJGRhQ6zExamkszQ5"&amp;"VutGIcaQqmbD9ZTVXMQ/edit#gid=1251630045"",""articles_with_PRISMA_reasons!B2:B2113""))"),"Dec")</f>
        <v>Dec</v>
      </c>
      <c r="D926" s="5" t="str">
        <f>IFERROR(__xludf.DUMMYFUNCTION("IFS(AND(
FILTER(IMPORTRANGE(""https://docs.google.com/spreadsheets/d/1BJSV3WBYJGRhQ6zExamkszQ5VutGIcaQqmbD9ZTVXMQ/edit#gid=1251630045"",""articles_with_PRISMA_reasons!Y2:Y2113""), $A926=IMPORTRANGE(""https://docs.google.com/spreadsheets/d/1BJSV3WBYJGRhQ6z"&amp;"ExamkszQ5VutGIcaQqmbD9ZTVXMQ/edit#gid=1251630045"",""articles_with_PRISMA_reasons!B2:B2113""))&gt;=2,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$A926=IMPORTRANGE(""https://docs.google.com/spreadsheets/d/1BJSV3WBYJGRhQ6zExamkszQ5VutGIcaQqmbD9ZTVXMQ/edit#gid=1251630045"",""articles_with_PRISMA_reasons!B2:B2113""))&lt;2),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$A926=IMPORTRANGE(""https://docs.google.com/spreadsheets/d/1BJSV3WBYJGRhQ6zExamkszQ5VutGIcaQqmbD9ZTVXMQ/edit#gid=1251630045"",""arti"&amp;"cles_with_PRISMA_reasons!B2:B2113""))&lt;2,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$A926=IMPORTRANGE(""https://docs.google.com"&amp;"/spreadsheets/d/1BJSV3WBYJGRhQ6zExamkszQ5VutGIcaQqmbD9ZTVXMQ/edit#gid=1251630045"",""articles_with_PRISMA_reasons!B2:B2113""))&gt;=2),
""Exclude""
)"),"Include")</f>
        <v>Include</v>
      </c>
      <c r="E926" s="5" t="str">
        <f>IFERROR(__xludf.DUMMYFUNCTION("IFS(
D926=""Exclude"",""Exclude"",
AND(
FILTER(IMPORTRANGE(""https://docs.google.com/spreadsheets/d/1qpEmbGH0JjaJbUdp21-y2cPbobDbMjr09BbtdKROZWc/edit#gid=1444865654"",""articles_with_PRISMA_reasons!W2:W2113""), $A926=IMPORTRANGE(""https://docs.google.com/"&amp;"spreadsheets/d/1qpEmbGH0JjaJbUdp21-y2cPbobDbMjr09BbtdKROZWc/edit#gid=1444865654"",""articles_with_PRISMA_reasons!B2:B2113""))&gt;=2,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$A926=IMPORTRANGE(""https://docs.google.com/spreadsheets/d/1qpEmbGH0JjaJbUdp21-y2cPbobDbMjr09BbtdKROZWc/edit#gid=1444865654"",""articles_with_PRISMA_reasons!B2:B2113""))&lt;2),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$A926=IMPORTRANGE(""https://docs.google.com/spreadsheets/d/1qpEmbGH0JjaJbUdp21-y2cPbobDbMjr09BbtdKRO"&amp;"ZWc/edit#gid=1444865654"",""articles_with_PRISMA_reasons!B2:B2113""))&lt;2,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$A926=IMPOR"&amp;"TRANGE(""https://docs.google.com/spreadsheets/d/1qpEmbGH0JjaJbUdp21-y2cPbobDbMjr09BbtdKROZWc/edit#gid=1444865654"",""articles_with_PRISMA_reasons!B2:B2113""))&gt;=2),
""Exclude""
)"),"Exclude")</f>
        <v>Exclude</v>
      </c>
      <c r="F926" s="5" t="str">
        <f>IFERROR(__xludf.DUMMYFUNCTION("IFS(
E926=""Exclude"",""Exclude"",
AND(
COUNTIF(
IMPORTRANGE(""https://docs.google.com/spreadsheets/d/1kGrh75X1cNR1D7_FcY9zMnHP8iPO4M5RCRjy6nZY0TY/edit#gid=0"",""Table 1: Study characteristics!B4:B171""),A926)&gt;0,
COUNTIF(Studies!$A$2:$A$85,FILTER(IMPORTRA"&amp;"NGE(""https://docs.google.com/spreadsheets/d/1kGrh75X1cNR1D7_FcY9zMnHP8iPO4M5RCRjy6nZY0TY/edit#gid=0"",""Table 1: Study characteristics!A4:A171""), $A926=IMPORTRANGE(""https://docs.google.com/spreadsheets/d/1kGrh75X1cNR1D7_FcY9zMnHP8iPO4M5RCRjy6nZY0TY/edi"&amp;"t#gid=0"",""Table 1: Study characteristics!B4:B171"")))&gt;0
),
""Include""
)"),"Exclude")</f>
        <v>Exclude</v>
      </c>
      <c r="G926" s="5" t="str">
        <f>IFERROR(__xludf.DUMMYFUNCTION("IFS(
D926=""Exclude"",
FILTER(IMPORTRANGE(""https://docs.google.com/spreadsheets/d/1BJSV3WBYJGRhQ6zExamkszQ5VutGIcaQqmbD9ZTVXMQ/edit#gid=1251630045"",""articles_with_PRISMA_reasons!AB2:AB2113""), $A926=IMPORTRANGE(""https://docs.google.com/spreadsheets/d/"&amp;"1BJSV3WBYJGRhQ6zExamkszQ5VutGIcaQqmbD9ZTVXMQ/edit#gid=1251630045"",""articles_with_PRISMA_reasons!B2:B2113"")),
E926=""Exclude"",
FILTER(IMPORTRANGE(""https://docs.google.com/spreadsheets/d/1qpEmbGH0JjaJbUdp21-y2cPbobDbMjr09BbtdKROZWc/edit#gid=1444865654"&amp;""",""articles_with_PRISMA_reasons!Z2:Z2113""), $A926=IMPORTRANGE(""https://docs.google.com/spreadsheets/d/1qpEmbGH0JjaJbUdp21-y2cPbobDbMjr09BbtdKROZWc/edit#gid=1444865654"",""articles_with_PRISMA_reasons!B2:B2113"")),F926
=""Include"",FILTER(IMPORTRANGE("&amp;"""https://docs.google.com/spreadsheets/d/1kGrh75X1cNR1D7_FcY9zMnHP8iPO4M5RCRjy6nZY0TY/edit#gid=0"",""Table 1: Study characteristics!A4:A171""), $A926=IMPORTRANGE(""https://docs.google.com/spreadsheets/d/1kGrh75X1cNR1D7_FcY9zMnHP8iPO4M5RCRjy6nZY0TY/edit#gi"&amp;"d=0"",""Table 1: Study characteristics!B4:B171""))
)"),"wrong population")</f>
        <v>wrong population</v>
      </c>
    </row>
    <row r="927">
      <c r="A927" s="7" t="str">
        <f>IFERROR(__xludf.DUMMYFUNCTION("""COMPUTED_VALUE"""),"Hydrocephalus in Uganda: The predominance of infectious origin and primary management with endoscopic third ventriculostomy")</f>
        <v>Hydrocephalus in Uganda: The predominance of infectious origin and primary management with endoscopic third ventriculostomy</v>
      </c>
      <c r="B927" s="8" t="str">
        <f>IFERROR(__xludf.DUMMYFUNCTION("LEFT(FILTER(IMPORTRANGE(""https://docs.google.com/spreadsheets/d/1BJSV3WBYJGRhQ6zExamkszQ5VutGIcaQqmbD9ZTVXMQ/edit#gid=1251630045"",""articles_with_PRISMA_reasons!K2:K2113""), $A927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$A927=IMPORTRANGE(""https://docs.google.com/spreadsheets/d/1BJSV3WBYJGRhQ6zExamkszQ5VutGIcaQqmbD9ZTVXMQ/edit#gid=1251630045"",""articles_with_PRISMA_reasons!B2:B2113"")))-1)"),"Warf")</f>
        <v>Warf</v>
      </c>
      <c r="C927" s="9">
        <f>IFERROR(__xludf.DUMMYFUNCTION("FILTER(IMPORTRANGE(""https://docs.google.com/spreadsheets/d/1BJSV3WBYJGRhQ6zExamkszQ5VutGIcaQqmbD9ZTVXMQ/edit#gid=1251630045"",""articles_with_PRISMA_reasons!C2:C2113""), $A927=IMPORTRANGE(""https://docs.google.com/spreadsheets/d/1BJSV3WBYJGRhQ6zExamkszQ5"&amp;"VutGIcaQqmbD9ZTVXMQ/edit#gid=1251630045"",""articles_with_PRISMA_reasons!B2:B2113""))"),2005.0)</f>
        <v>2005</v>
      </c>
      <c r="D927" s="8" t="str">
        <f>IFERROR(__xludf.DUMMYFUNCTION("IFS(AND(
FILTER(IMPORTRANGE(""https://docs.google.com/spreadsheets/d/1BJSV3WBYJGRhQ6zExamkszQ5VutGIcaQqmbD9ZTVXMQ/edit#gid=1251630045"",""articles_with_PRISMA_reasons!Y2:Y2113""), $A927=IMPORTRANGE(""https://docs.google.com/spreadsheets/d/1BJSV3WBYJGRhQ6z"&amp;"ExamkszQ5VutGIcaQqmbD9ZTVXMQ/edit#gid=1251630045"",""articles_with_PRISMA_reasons!B2:B2113""))&gt;=2,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$A927=IMPORTRANGE(""https://docs.google.com/spreadsheets/d/1BJSV3WBYJGRhQ6zExamkszQ5VutGIcaQqmbD9ZTVXMQ/edit#gid=1251630045"",""articles_with_PRISMA_reasons!B2:B2113""))&lt;2),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$A927=IMPORTRANGE(""https://docs.google.com/spreadsheets/d/1BJSV3WBYJGRhQ6zExamkszQ5VutGIcaQqmbD9ZTVXMQ/edit#gid=1251630045"",""arti"&amp;"cles_with_PRISMA_reasons!B2:B2113""))&lt;2,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$A927=IMPORTRANGE(""https://docs.google.com"&amp;"/spreadsheets/d/1BJSV3WBYJGRhQ6zExamkszQ5VutGIcaQqmbD9ZTVXMQ/edit#gid=1251630045"",""articles_with_PRISMA_reasons!B2:B2113""))&gt;=2),
""Exclude""
)"),"Include")</f>
        <v>Include</v>
      </c>
      <c r="E927" s="8" t="str">
        <f>IFERROR(__xludf.DUMMYFUNCTION("IFS(
D927=""Exclude"",""Exclude"",
AND(
FILTER(IMPORTRANGE(""https://docs.google.com/spreadsheets/d/1qpEmbGH0JjaJbUdp21-y2cPbobDbMjr09BbtdKROZWc/edit#gid=1444865654"",""articles_with_PRISMA_reasons!W2:W2113""), $A927=IMPORTRANGE(""https://docs.google.com/"&amp;"spreadsheets/d/1qpEmbGH0JjaJbUdp21-y2cPbobDbMjr09BbtdKROZWc/edit#gid=1444865654"",""articles_with_PRISMA_reasons!B2:B2113""))&gt;=2,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$A927=IMPORTRANGE(""https://docs.google.com/spreadsheets/d/1qpEmbGH0JjaJbUdp21-y2cPbobDbMjr09BbtdKROZWc/edit#gid=1444865654"",""articles_with_PRISMA_reasons!B2:B2113""))&lt;2),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$A927=IMPORTRANGE(""https://docs.google.com/spreadsheets/d/1qpEmbGH0JjaJbUdp21-y2cPbobDbMjr09BbtdKRO"&amp;"ZWc/edit#gid=1444865654"",""articles_with_PRISMA_reasons!B2:B2113""))&lt;2,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$A927=IMPOR"&amp;"TRANGE(""https://docs.google.com/spreadsheets/d/1qpEmbGH0JjaJbUdp21-y2cPbobDbMjr09BbtdKROZWc/edit#gid=1444865654"",""articles_with_PRISMA_reasons!B2:B2113""))&gt;=2),
""Exclude""
)"),"Include")</f>
        <v>Include</v>
      </c>
      <c r="F927" s="10" t="s">
        <v>8</v>
      </c>
      <c r="G927" s="10" t="s">
        <v>17</v>
      </c>
    </row>
    <row r="928">
      <c r="A928" s="4" t="str">
        <f>IFERROR(__xludf.DUMMYFUNCTION("""COMPUTED_VALUE"""),"Hydrocephalus Indian scenario A review")</f>
        <v>Hydrocephalus Indian scenario A review</v>
      </c>
      <c r="B928" s="5" t="str">
        <f>IFERROR(__xludf.DUMMYFUNCTION("LEFT(FILTER(IMPORTRANGE(""https://docs.google.com/spreadsheets/d/1BJSV3WBYJGRhQ6zExamkszQ5VutGIcaQqmbD9ZTVXMQ/edit#gid=1251630045"",""articles_with_PRISMA_reasons!K2:K2113""), $A928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$A928=IMPORTRANGE(""https://docs.google.com/spreadsheets/d/1BJSV3WBYJGRhQ6zExamkszQ5VutGIcaQqmbD9ZTVXMQ/edit#gid=1251630045"",""articles_with_PRISMA_reasons!B2:B2113"")))-1)"),"Venkataramana")</f>
        <v>Venkataramana</v>
      </c>
      <c r="C928" s="6">
        <f>IFERROR(__xludf.DUMMYFUNCTION("FILTER(IMPORTRANGE(""https://docs.google.com/spreadsheets/d/1BJSV3WBYJGRhQ6zExamkszQ5VutGIcaQqmbD9ZTVXMQ/edit#gid=1251630045"",""articles_with_PRISMA_reasons!C2:C2113""), $A928=IMPORTRANGE(""https://docs.google.com/spreadsheets/d/1BJSV3WBYJGRhQ6zExamkszQ5"&amp;"VutGIcaQqmbD9ZTVXMQ/edit#gid=1251630045"",""articles_with_PRISMA_reasons!B2:B2113""))"),2011.0)</f>
        <v>2011</v>
      </c>
      <c r="D928" s="5" t="str">
        <f>IFERROR(__xludf.DUMMYFUNCTION("IFS(AND(
FILTER(IMPORTRANGE(""https://docs.google.com/spreadsheets/d/1BJSV3WBYJGRhQ6zExamkszQ5VutGIcaQqmbD9ZTVXMQ/edit#gid=1251630045"",""articles_with_PRISMA_reasons!Y2:Y2113""), $A928=IMPORTRANGE(""https://docs.google.com/spreadsheets/d/1BJSV3WBYJGRhQ6z"&amp;"ExamkszQ5VutGIcaQqmbD9ZTVXMQ/edit#gid=1251630045"",""articles_with_PRISMA_reasons!B2:B2113""))&gt;=2,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$A928=IMPORTRANGE(""https://docs.google.com/spreadsheets/d/1BJSV3WBYJGRhQ6zExamkszQ5VutGIcaQqmbD9ZTVXMQ/edit#gid=1251630045"",""articles_with_PRISMA_reasons!B2:B2113""))&lt;2),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$A928=IMPORTRANGE(""https://docs.google.com/spreadsheets/d/1BJSV3WBYJGRhQ6zExamkszQ5VutGIcaQqmbD9ZTVXMQ/edit#gid=1251630045"",""arti"&amp;"cles_with_PRISMA_reasons!B2:B2113""))&lt;2,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$A928=IMPORTRANGE(""https://docs.google.com"&amp;"/spreadsheets/d/1BJSV3WBYJGRhQ6zExamkszQ5VutGIcaQqmbD9ZTVXMQ/edit#gid=1251630045"",""articles_with_PRISMA_reasons!B2:B2113""))&gt;=2),
""Exclude""
)"),"Exclude")</f>
        <v>Exclude</v>
      </c>
      <c r="E928" s="5" t="str">
        <f>IFERROR(__xludf.DUMMYFUNCTION("IFS(
D928=""Exclude"",""Exclude"",
AND(
FILTER(IMPORTRANGE(""https://docs.google.com/spreadsheets/d/1qpEmbGH0JjaJbUdp21-y2cPbobDbMjr09BbtdKROZWc/edit#gid=1444865654"",""articles_with_PRISMA_reasons!W2:W2113""), $A928=IMPORTRANGE(""https://docs.google.com/"&amp;"spreadsheets/d/1qpEmbGH0JjaJbUdp21-y2cPbobDbMjr09BbtdKROZWc/edit#gid=1444865654"",""articles_with_PRISMA_reasons!B2:B2113""))&gt;=2,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$A928=IMPORTRANGE(""https://docs.google.com/spreadsheets/d/1qpEmbGH0JjaJbUdp21-y2cPbobDbMjr09BbtdKROZWc/edit#gid=1444865654"",""articles_with_PRISMA_reasons!B2:B2113""))&lt;2),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$A928=IMPORTRANGE(""https://docs.google.com/spreadsheets/d/1qpEmbGH0JjaJbUdp21-y2cPbobDbMjr09BbtdKRO"&amp;"ZWc/edit#gid=1444865654"",""articles_with_PRISMA_reasons!B2:B2113""))&lt;2,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$A928=IMPOR"&amp;"TRANGE(""https://docs.google.com/spreadsheets/d/1qpEmbGH0JjaJbUdp21-y2cPbobDbMjr09BbtdKROZWc/edit#gid=1444865654"",""articles_with_PRISMA_reasons!B2:B2113""))&gt;=2),
""Exclude""
)"),"Exclude")</f>
        <v>Exclude</v>
      </c>
      <c r="F928" s="5" t="str">
        <f>IFERROR(__xludf.DUMMYFUNCTION("IFS(
E928=""Exclude"",""Exclude"",
AND(
COUNTIF(
IMPORTRANGE(""https://docs.google.com/spreadsheets/d/1kGrh75X1cNR1D7_FcY9zMnHP8iPO4M5RCRjy6nZY0TY/edit#gid=0"",""Table 1: Study characteristics!B4:B171""),A928)&gt;0,
COUNTIF(Studies!$A$2:$A$85,FILTER(IMPORTRA"&amp;"NGE(""https://docs.google.com/spreadsheets/d/1kGrh75X1cNR1D7_FcY9zMnHP8iPO4M5RCRjy6nZY0TY/edit#gid=0"",""Table 1: Study characteristics!A4:A171""), $A928=IMPORTRANGE(""https://docs.google.com/spreadsheets/d/1kGrh75X1cNR1D7_FcY9zMnHP8iPO4M5RCRjy6nZY0TY/edi"&amp;"t#gid=0"",""Table 1: Study characteristics!B4:B171"")))&gt;0
),
""Include""
)"),"Exclude")</f>
        <v>Exclude</v>
      </c>
      <c r="G928" s="5" t="str">
        <f>IFERROR(__xludf.DUMMYFUNCTION("IFS(
D928=""Exclude"",
FILTER(IMPORTRANGE(""https://docs.google.com/spreadsheets/d/1BJSV3WBYJGRhQ6zExamkszQ5VutGIcaQqmbD9ZTVXMQ/edit#gid=1251630045"",""articles_with_PRISMA_reasons!AB2:AB2113""), $A928=IMPORTRANGE(""https://docs.google.com/spreadsheets/d/"&amp;"1BJSV3WBYJGRhQ6zExamkszQ5VutGIcaQqmbD9ZTVXMQ/edit#gid=1251630045"",""articles_with_PRISMA_reasons!B2:B2113"")),
E928=""Exclude"",
FILTER(IMPORTRANGE(""https://docs.google.com/spreadsheets/d/1qpEmbGH0JjaJbUdp21-y2cPbobDbMjr09BbtdKROZWc/edit#gid=1444865654"&amp;""",""articles_with_PRISMA_reasons!Z2:Z2113""), $A928=IMPORTRANGE(""https://docs.google.com/spreadsheets/d/1qpEmbGH0JjaJbUdp21-y2cPbobDbMjr09BbtdKROZWc/edit#gid=1444865654"",""articles_with_PRISMA_reasons!B2:B2113"")),F928
=""Include"",FILTER(IMPORTRANGE("&amp;"""https://docs.google.com/spreadsheets/d/1kGrh75X1cNR1D7_FcY9zMnHP8iPO4M5RCRjy6nZY0TY/edit#gid=0"",""Table 1: Study characteristics!A4:A171""), $A928=IMPORTRANGE(""https://docs.google.com/spreadsheets/d/1kGrh75X1cNR1D7_FcY9zMnHP8iPO4M5RCRjy6nZY0TY/edit#gi"&amp;"d=0"",""Table 1: Study characteristics!B4:B171""))
)"),"wrong study design")</f>
        <v>wrong study design</v>
      </c>
    </row>
    <row r="929">
      <c r="A929" s="4" t="str">
        <f>IFERROR(__xludf.DUMMYFUNCTION("""COMPUTED_VALUE"""),"Hydrocephalus internus with shunt system in melingomyocele, generalised epilepsy, statomotoric and mental retardation as well as hemiparesis and relapsing urinary tract infections in neurogenic bladder disorder - BCG vaccination possible?")</f>
        <v>Hydrocephalus internus with shunt system in melingomyocele, generalised epilepsy, statomotoric and mental retardation as well as hemiparesis and relapsing urinary tract infections in neurogenic bladder disorder - BCG vaccination possible?</v>
      </c>
      <c r="B929" s="5" t="str">
        <f>IFERROR(__xludf.DUMMYFUNCTION("LEFT(FILTER(IMPORTRANGE(""https://docs.google.com/spreadsheets/d/1BJSV3WBYJGRhQ6zExamkszQ5VutGIcaQqmbD9ZTVXMQ/edit#gid=1251630045"",""articles_with_PRISMA_reasons!K2:K2113""), $A929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$A929=IMPORTRANGE(""https://docs.google.com/spreadsheets/d/1BJSV3WBYJGRhQ6zExamkszQ5VutGIcaQqmbD9ZTVXMQ/edit#gid=1251630045"",""articles_with_PRISMA_reasons!B2:B2113"")))-1)"),"Wiersbitzky")</f>
        <v>Wiersbitzky</v>
      </c>
      <c r="C929" s="6">
        <f>IFERROR(__xludf.DUMMYFUNCTION("FILTER(IMPORTRANGE(""https://docs.google.com/spreadsheets/d/1BJSV3WBYJGRhQ6zExamkszQ5VutGIcaQqmbD9ZTVXMQ/edit#gid=1251630045"",""articles_with_PRISMA_reasons!C2:C2113""), $A929=IMPORTRANGE(""https://docs.google.com/spreadsheets/d/1BJSV3WBYJGRhQ6zExamkszQ5"&amp;"VutGIcaQqmbD9ZTVXMQ/edit#gid=1251630045"",""articles_with_PRISMA_reasons!B2:B2113""))"),1993.0)</f>
        <v>1993</v>
      </c>
      <c r="D929" s="5" t="str">
        <f>IFERROR(__xludf.DUMMYFUNCTION("IFS(AND(
FILTER(IMPORTRANGE(""https://docs.google.com/spreadsheets/d/1BJSV3WBYJGRhQ6zExamkszQ5VutGIcaQqmbD9ZTVXMQ/edit#gid=1251630045"",""articles_with_PRISMA_reasons!Y2:Y2113""), $A929=IMPORTRANGE(""https://docs.google.com/spreadsheets/d/1BJSV3WBYJGRhQ6z"&amp;"ExamkszQ5VutGIcaQqmbD9ZTVXMQ/edit#gid=1251630045"",""articles_with_PRISMA_reasons!B2:B2113""))&gt;=2,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$A929=IMPORTRANGE(""https://docs.google.com/spreadsheets/d/1BJSV3WBYJGRhQ6zExamkszQ5VutGIcaQqmbD9ZTVXMQ/edit#gid=1251630045"",""articles_with_PRISMA_reasons!B2:B2113""))&lt;2),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$A929=IMPORTRANGE(""https://docs.google.com/spreadsheets/d/1BJSV3WBYJGRhQ6zExamkszQ5VutGIcaQqmbD9ZTVXMQ/edit#gid=1251630045"",""arti"&amp;"cles_with_PRISMA_reasons!B2:B2113""))&lt;2,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$A929=IMPORTRANGE(""https://docs.google.com"&amp;"/spreadsheets/d/1BJSV3WBYJGRhQ6zExamkszQ5VutGIcaQqmbD9ZTVXMQ/edit#gid=1251630045"",""articles_with_PRISMA_reasons!B2:B2113""))&gt;=2),
""Exclude""
)"),"Exclude")</f>
        <v>Exclude</v>
      </c>
      <c r="E929" s="5" t="str">
        <f>IFERROR(__xludf.DUMMYFUNCTION("IFS(
D929=""Exclude"",""Exclude"",
AND(
FILTER(IMPORTRANGE(""https://docs.google.com/spreadsheets/d/1qpEmbGH0JjaJbUdp21-y2cPbobDbMjr09BbtdKROZWc/edit#gid=1444865654"",""articles_with_PRISMA_reasons!W2:W2113""), $A929=IMPORTRANGE(""https://docs.google.com/"&amp;"spreadsheets/d/1qpEmbGH0JjaJbUdp21-y2cPbobDbMjr09BbtdKROZWc/edit#gid=1444865654"",""articles_with_PRISMA_reasons!B2:B2113""))&gt;=2,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$A929=IMPORTRANGE(""https://docs.google.com/spreadsheets/d/1qpEmbGH0JjaJbUdp21-y2cPbobDbMjr09BbtdKROZWc/edit#gid=1444865654"",""articles_with_PRISMA_reasons!B2:B2113""))&lt;2),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$A929=IMPORTRANGE(""https://docs.google.com/spreadsheets/d/1qpEmbGH0JjaJbUdp21-y2cPbobDbMjr09BbtdKRO"&amp;"ZWc/edit#gid=1444865654"",""articles_with_PRISMA_reasons!B2:B2113""))&lt;2,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$A929=IMPOR"&amp;"TRANGE(""https://docs.google.com/spreadsheets/d/1qpEmbGH0JjaJbUdp21-y2cPbobDbMjr09BbtdKROZWc/edit#gid=1444865654"",""articles_with_PRISMA_reasons!B2:B2113""))&gt;=2),
""Exclude""
)"),"Exclude")</f>
        <v>Exclude</v>
      </c>
      <c r="F929" s="5" t="str">
        <f>IFERROR(__xludf.DUMMYFUNCTION("IFS(
E929=""Exclude"",""Exclude"",
AND(
COUNTIF(
IMPORTRANGE(""https://docs.google.com/spreadsheets/d/1kGrh75X1cNR1D7_FcY9zMnHP8iPO4M5RCRjy6nZY0TY/edit#gid=0"",""Table 1: Study characteristics!B4:B171""),A929)&gt;0,
COUNTIF(Studies!$A$2:$A$85,FILTER(IMPORTRA"&amp;"NGE(""https://docs.google.com/spreadsheets/d/1kGrh75X1cNR1D7_FcY9zMnHP8iPO4M5RCRjy6nZY0TY/edit#gid=0"",""Table 1: Study characteristics!A4:A171""), $A929=IMPORTRANGE(""https://docs.google.com/spreadsheets/d/1kGrh75X1cNR1D7_FcY9zMnHP8iPO4M5RCRjy6nZY0TY/edi"&amp;"t#gid=0"",""Table 1: Study characteristics!B4:B171"")))&gt;0
),
""Include""
)"),"Exclude")</f>
        <v>Exclude</v>
      </c>
      <c r="G929" s="5" t="str">
        <f>IFERROR(__xludf.DUMMYFUNCTION("IFS(
D929=""Exclude"",
FILTER(IMPORTRANGE(""https://docs.google.com/spreadsheets/d/1BJSV3WBYJGRhQ6zExamkszQ5VutGIcaQqmbD9ZTVXMQ/edit#gid=1251630045"",""articles_with_PRISMA_reasons!AB2:AB2113""), $A929=IMPORTRANGE(""https://docs.google.com/spreadsheets/d/"&amp;"1BJSV3WBYJGRhQ6zExamkszQ5VutGIcaQqmbD9ZTVXMQ/edit#gid=1251630045"",""articles_with_PRISMA_reasons!B2:B2113"")),
E929=""Exclude"",
FILTER(IMPORTRANGE(""https://docs.google.com/spreadsheets/d/1qpEmbGH0JjaJbUdp21-y2cPbobDbMjr09BbtdKROZWc/edit#gid=1444865654"&amp;""",""articles_with_PRISMA_reasons!Z2:Z2113""), $A929=IMPORTRANGE(""https://docs.google.com/spreadsheets/d/1qpEmbGH0JjaJbUdp21-y2cPbobDbMjr09BbtdKROZWc/edit#gid=1444865654"",""articles_with_PRISMA_reasons!B2:B2113"")),F929
=""Include"",FILTER(IMPORTRANGE("&amp;"""https://docs.google.com/spreadsheets/d/1kGrh75X1cNR1D7_FcY9zMnHP8iPO4M5RCRjy6nZY0TY/edit#gid=0"",""Table 1: Study characteristics!A4:A171""), $A929=IMPORTRANGE(""https://docs.google.com/spreadsheets/d/1kGrh75X1cNR1D7_FcY9zMnHP8iPO4M5RCRjy6nZY0TY/edit#gi"&amp;"d=0"",""Table 1: Study characteristics!B4:B171""))
)"),"wrong study design")</f>
        <v>wrong study design</v>
      </c>
    </row>
    <row r="930">
      <c r="A930" s="4" t="str">
        <f>IFERROR(__xludf.DUMMYFUNCTION("""COMPUTED_VALUE"""),"Hydrocephalus prevalence and outcome in a population-based cohort of children born in 1989-1998")</f>
        <v>Hydrocephalus prevalence and outcome in a population-based cohort of children born in 1989-1998</v>
      </c>
      <c r="B930" s="5" t="str">
        <f>IFERROR(__xludf.DUMMYFUNCTION("LEFT(FILTER(IMPORTRANGE(""https://docs.google.com/spreadsheets/d/1BJSV3WBYJGRhQ6zExamkszQ5VutGIcaQqmbD9ZTVXMQ/edit#gid=1251630045"",""articles_with_PRISMA_reasons!K2:K2113""), $A930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$A930=IMPORTRANGE(""https://docs.google.com/spreadsheets/d/1BJSV3WBYJGRhQ6zExamkszQ5VutGIcaQqmbD9ZTVXMQ/edit#gid=1251630045"",""articles_with_PRISMA_reasons!B2:B2113"")))-1)"),"Persson")</f>
        <v>Persson</v>
      </c>
      <c r="C930" s="6">
        <f>IFERROR(__xludf.DUMMYFUNCTION("FILTER(IMPORTRANGE(""https://docs.google.com/spreadsheets/d/1BJSV3WBYJGRhQ6zExamkszQ5VutGIcaQqmbD9ZTVXMQ/edit#gid=1251630045"",""articles_with_PRISMA_reasons!C2:C2113""), $A930=IMPORTRANGE(""https://docs.google.com/spreadsheets/d/1BJSV3WBYJGRhQ6zExamkszQ5"&amp;"VutGIcaQqmbD9ZTVXMQ/edit#gid=1251630045"",""articles_with_PRISMA_reasons!B2:B2113""))"),2005.0)</f>
        <v>2005</v>
      </c>
      <c r="D930" s="5" t="str">
        <f>IFERROR(__xludf.DUMMYFUNCTION("IFS(AND(
FILTER(IMPORTRANGE(""https://docs.google.com/spreadsheets/d/1BJSV3WBYJGRhQ6zExamkszQ5VutGIcaQqmbD9ZTVXMQ/edit#gid=1251630045"",""articles_with_PRISMA_reasons!Y2:Y2113""), $A930=IMPORTRANGE(""https://docs.google.com/spreadsheets/d/1BJSV3WBYJGRhQ6z"&amp;"ExamkszQ5VutGIcaQqmbD9ZTVXMQ/edit#gid=1251630045"",""articles_with_PRISMA_reasons!B2:B2113""))&gt;=2,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$A930=IMPORTRANGE(""https://docs.google.com/spreadsheets/d/1BJSV3WBYJGRhQ6zExamkszQ5VutGIcaQqmbD9ZTVXMQ/edit#gid=1251630045"",""articles_with_PRISMA_reasons!B2:B2113""))&lt;2),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$A930=IMPORTRANGE(""https://docs.google.com/spreadsheets/d/1BJSV3WBYJGRhQ6zExamkszQ5VutGIcaQqmbD9ZTVXMQ/edit#gid=1251630045"",""arti"&amp;"cles_with_PRISMA_reasons!B2:B2113""))&lt;2,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$A930=IMPORTRANGE(""https://docs.google.com"&amp;"/spreadsheets/d/1BJSV3WBYJGRhQ6zExamkszQ5VutGIcaQqmbD9ZTVXMQ/edit#gid=1251630045"",""articles_with_PRISMA_reasons!B2:B2113""))&gt;=2),
""Exclude""
)"),"Exclude")</f>
        <v>Exclude</v>
      </c>
      <c r="E930" s="5" t="str">
        <f>IFERROR(__xludf.DUMMYFUNCTION("IFS(
D930=""Exclude"",""Exclude"",
AND(
FILTER(IMPORTRANGE(""https://docs.google.com/spreadsheets/d/1qpEmbGH0JjaJbUdp21-y2cPbobDbMjr09BbtdKROZWc/edit#gid=1444865654"",""articles_with_PRISMA_reasons!W2:W2113""), $A930=IMPORTRANGE(""https://docs.google.com/"&amp;"spreadsheets/d/1qpEmbGH0JjaJbUdp21-y2cPbobDbMjr09BbtdKROZWc/edit#gid=1444865654"",""articles_with_PRISMA_reasons!B2:B2113""))&gt;=2,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$A930=IMPORTRANGE(""https://docs.google.com/spreadsheets/d/1qpEmbGH0JjaJbUdp21-y2cPbobDbMjr09BbtdKROZWc/edit#gid=1444865654"",""articles_with_PRISMA_reasons!B2:B2113""))&lt;2),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$A930=IMPORTRANGE(""https://docs.google.com/spreadsheets/d/1qpEmbGH0JjaJbUdp21-y2cPbobDbMjr09BbtdKRO"&amp;"ZWc/edit#gid=1444865654"",""articles_with_PRISMA_reasons!B2:B2113""))&lt;2,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$A930=IMPOR"&amp;"TRANGE(""https://docs.google.com/spreadsheets/d/1qpEmbGH0JjaJbUdp21-y2cPbobDbMjr09BbtdKROZWc/edit#gid=1444865654"",""articles_with_PRISMA_reasons!B2:B2113""))&gt;=2),
""Exclude""
)"),"Exclude")</f>
        <v>Exclude</v>
      </c>
      <c r="F930" s="5" t="str">
        <f>IFERROR(__xludf.DUMMYFUNCTION("IFS(
E930=""Exclude"",""Exclude"",
AND(
COUNTIF(
IMPORTRANGE(""https://docs.google.com/spreadsheets/d/1kGrh75X1cNR1D7_FcY9zMnHP8iPO4M5RCRjy6nZY0TY/edit#gid=0"",""Table 1: Study characteristics!B4:B171""),A930)&gt;0,
COUNTIF(Studies!$A$2:$A$85,FILTER(IMPORTRA"&amp;"NGE(""https://docs.google.com/spreadsheets/d/1kGrh75X1cNR1D7_FcY9zMnHP8iPO4M5RCRjy6nZY0TY/edit#gid=0"",""Table 1: Study characteristics!A4:A171""), $A930=IMPORTRANGE(""https://docs.google.com/spreadsheets/d/1kGrh75X1cNR1D7_FcY9zMnHP8iPO4M5RCRjy6nZY0TY/edi"&amp;"t#gid=0"",""Table 1: Study characteristics!B4:B171"")))&gt;0
),
""Include""
)"),"Exclude")</f>
        <v>Exclude</v>
      </c>
      <c r="G930" s="5" t="str">
        <f>IFERROR(__xludf.DUMMYFUNCTION("IFS(
D930=""Exclude"",
FILTER(IMPORTRANGE(""https://docs.google.com/spreadsheets/d/1BJSV3WBYJGRhQ6zExamkszQ5VutGIcaQqmbD9ZTVXMQ/edit#gid=1251630045"",""articles_with_PRISMA_reasons!AB2:AB2113""), $A930=IMPORTRANGE(""https://docs.google.com/spreadsheets/d/"&amp;"1BJSV3WBYJGRhQ6zExamkszQ5VutGIcaQqmbD9ZTVXMQ/edit#gid=1251630045"",""articles_with_PRISMA_reasons!B2:B2113"")),
E930=""Exclude"",
FILTER(IMPORTRANGE(""https://docs.google.com/spreadsheets/d/1qpEmbGH0JjaJbUdp21-y2cPbobDbMjr09BbtdKROZWc/edit#gid=1444865654"&amp;""",""articles_with_PRISMA_reasons!Z2:Z2113""), $A930=IMPORTRANGE(""https://docs.google.com/spreadsheets/d/1qpEmbGH0JjaJbUdp21-y2cPbobDbMjr09BbtdKROZWc/edit#gid=1444865654"",""articles_with_PRISMA_reasons!B2:B2113"")),F930
=""Include"",FILTER(IMPORTRANGE("&amp;"""https://docs.google.com/spreadsheets/d/1kGrh75X1cNR1D7_FcY9zMnHP8iPO4M5RCRjy6nZY0TY/edit#gid=0"",""Table 1: Study characteristics!A4:A171""), $A930=IMPORTRANGE(""https://docs.google.com/spreadsheets/d/1kGrh75X1cNR1D7_FcY9zMnHP8iPO4M5RCRjy6nZY0TY/edit#gi"&amp;"d=0"",""Table 1: Study characteristics!B4:B171""))
)"),"wrong study design")</f>
        <v>wrong study design</v>
      </c>
    </row>
    <row r="931">
      <c r="A931" s="4" t="str">
        <f>IFERROR(__xludf.DUMMYFUNCTION("""COMPUTED_VALUE"""),"Hydrocephalus status in spina bifida: An evaluation of variations in neuropsychological outcomes - Clinical article")</f>
        <v>Hydrocephalus status in spina bifida: An evaluation of variations in neuropsychological outcomes - Clinical article</v>
      </c>
      <c r="B931" s="5" t="str">
        <f>IFERROR(__xludf.DUMMYFUNCTION("LEFT(FILTER(IMPORTRANGE(""https://docs.google.com/spreadsheets/d/1BJSV3WBYJGRhQ6zExamkszQ5VutGIcaQqmbD9ZTVXMQ/edit#gid=1251630045"",""articles_with_PRISMA_reasons!K2:K2113""), $A931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$A931=IMPORTRANGE(""https://docs.google.com/spreadsheets/d/1BJSV3WBYJGRhQ6zExamkszQ5VutGIcaQqmbD9ZTVXMQ/edit#gid=1251630045"",""articles_with_PRISMA_reasons!B2:B2113"")))-1)"),"Hampton")</f>
        <v>Hampton</v>
      </c>
      <c r="C931" s="6">
        <f>IFERROR(__xludf.DUMMYFUNCTION("FILTER(IMPORTRANGE(""https://docs.google.com/spreadsheets/d/1BJSV3WBYJGRhQ6zExamkszQ5VutGIcaQqmbD9ZTVXMQ/edit#gid=1251630045"",""articles_with_PRISMA_reasons!C2:C2113""), $A931=IMPORTRANGE(""https://docs.google.com/spreadsheets/d/1BJSV3WBYJGRhQ6zExamkszQ5"&amp;"VutGIcaQqmbD9ZTVXMQ/edit#gid=1251630045"",""articles_with_PRISMA_reasons!B2:B2113""))"),2011.0)</f>
        <v>2011</v>
      </c>
      <c r="D931" s="5" t="str">
        <f>IFERROR(__xludf.DUMMYFUNCTION("IFS(AND(
FILTER(IMPORTRANGE(""https://docs.google.com/spreadsheets/d/1BJSV3WBYJGRhQ6zExamkszQ5VutGIcaQqmbD9ZTVXMQ/edit#gid=1251630045"",""articles_with_PRISMA_reasons!Y2:Y2113""), $A931=IMPORTRANGE(""https://docs.google.com/spreadsheets/d/1BJSV3WBYJGRhQ6z"&amp;"ExamkszQ5VutGIcaQqmbD9ZTVXMQ/edit#gid=1251630045"",""articles_with_PRISMA_reasons!B2:B2113""))&gt;=2,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$A931=IMPORTRANGE(""https://docs.google.com/spreadsheets/d/1BJSV3WBYJGRhQ6zExamkszQ5VutGIcaQqmbD9ZTVXMQ/edit#gid=1251630045"",""articles_with_PRISMA_reasons!B2:B2113""))&lt;2),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$A931=IMPORTRANGE(""https://docs.google.com/spreadsheets/d/1BJSV3WBYJGRhQ6zExamkszQ5VutGIcaQqmbD9ZTVXMQ/edit#gid=1251630045"",""arti"&amp;"cles_with_PRISMA_reasons!B2:B2113""))&lt;2,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$A931=IMPORTRANGE(""https://docs.google.com"&amp;"/spreadsheets/d/1BJSV3WBYJGRhQ6zExamkszQ5VutGIcaQqmbD9ZTVXMQ/edit#gid=1251630045"",""articles_with_PRISMA_reasons!B2:B2113""))&gt;=2),
""Exclude""
)"),"Exclude")</f>
        <v>Exclude</v>
      </c>
      <c r="E931" s="5" t="str">
        <f>IFERROR(__xludf.DUMMYFUNCTION("IFS(
D931=""Exclude"",""Exclude"",
AND(
FILTER(IMPORTRANGE(""https://docs.google.com/spreadsheets/d/1qpEmbGH0JjaJbUdp21-y2cPbobDbMjr09BbtdKROZWc/edit#gid=1444865654"",""articles_with_PRISMA_reasons!W2:W2113""), $A931=IMPORTRANGE(""https://docs.google.com/"&amp;"spreadsheets/d/1qpEmbGH0JjaJbUdp21-y2cPbobDbMjr09BbtdKROZWc/edit#gid=1444865654"",""articles_with_PRISMA_reasons!B2:B2113""))&gt;=2,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$A931=IMPORTRANGE(""https://docs.google.com/spreadsheets/d/1qpEmbGH0JjaJbUdp21-y2cPbobDbMjr09BbtdKROZWc/edit#gid=1444865654"",""articles_with_PRISMA_reasons!B2:B2113""))&lt;2),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$A931=IMPORTRANGE(""https://docs.google.com/spreadsheets/d/1qpEmbGH0JjaJbUdp21-y2cPbobDbMjr09BbtdKRO"&amp;"ZWc/edit#gid=1444865654"",""articles_with_PRISMA_reasons!B2:B2113""))&lt;2,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$A931=IMPOR"&amp;"TRANGE(""https://docs.google.com/spreadsheets/d/1qpEmbGH0JjaJbUdp21-y2cPbobDbMjr09BbtdKROZWc/edit#gid=1444865654"",""articles_with_PRISMA_reasons!B2:B2113""))&gt;=2),
""Exclude""
)"),"Exclude")</f>
        <v>Exclude</v>
      </c>
      <c r="F931" s="5" t="str">
        <f>IFERROR(__xludf.DUMMYFUNCTION("IFS(
E931=""Exclude"",""Exclude"",
AND(
COUNTIF(
IMPORTRANGE(""https://docs.google.com/spreadsheets/d/1kGrh75X1cNR1D7_FcY9zMnHP8iPO4M5RCRjy6nZY0TY/edit#gid=0"",""Table 1: Study characteristics!B4:B171""),A931)&gt;0,
COUNTIF(Studies!$A$2:$A$85,FILTER(IMPORTRA"&amp;"NGE(""https://docs.google.com/spreadsheets/d/1kGrh75X1cNR1D7_FcY9zMnHP8iPO4M5RCRjy6nZY0TY/edit#gid=0"",""Table 1: Study characteristics!A4:A171""), $A931=IMPORTRANGE(""https://docs.google.com/spreadsheets/d/1kGrh75X1cNR1D7_FcY9zMnHP8iPO4M5RCRjy6nZY0TY/edi"&amp;"t#gid=0"",""Table 1: Study characteristics!B4:B171"")))&gt;0
),
""Include""
)"),"Exclude")</f>
        <v>Exclude</v>
      </c>
      <c r="G931" s="5" t="str">
        <f>IFERROR(__xludf.DUMMYFUNCTION("IFS(
D931=""Exclude"",
FILTER(IMPORTRANGE(""https://docs.google.com/spreadsheets/d/1BJSV3WBYJGRhQ6zExamkszQ5VutGIcaQqmbD9ZTVXMQ/edit#gid=1251630045"",""articles_with_PRISMA_reasons!AB2:AB2113""), $A931=IMPORTRANGE(""https://docs.google.com/spreadsheets/d/"&amp;"1BJSV3WBYJGRhQ6zExamkszQ5VutGIcaQqmbD9ZTVXMQ/edit#gid=1251630045"",""articles_with_PRISMA_reasons!B2:B2113"")),
E931=""Exclude"",
FILTER(IMPORTRANGE(""https://docs.google.com/spreadsheets/d/1qpEmbGH0JjaJbUdp21-y2cPbobDbMjr09BbtdKROZWc/edit#gid=1444865654"&amp;""",""articles_with_PRISMA_reasons!Z2:Z2113""), $A931=IMPORTRANGE(""https://docs.google.com/spreadsheets/d/1qpEmbGH0JjaJbUdp21-y2cPbobDbMjr09BbtdKROZWc/edit#gid=1444865654"",""articles_with_PRISMA_reasons!B2:B2113"")),F931
=""Include"",FILTER(IMPORTRANGE("&amp;"""https://docs.google.com/spreadsheets/d/1kGrh75X1cNR1D7_FcY9zMnHP8iPO4M5RCRjy6nZY0TY/edit#gid=0"",""Table 1: Study characteristics!A4:A171""), $A931=IMPORTRANGE(""https://docs.google.com/spreadsheets/d/1kGrh75X1cNR1D7_FcY9zMnHP8iPO4M5RCRjy6nZY0TY/edit#gi"&amp;"d=0"",""Table 1: Study characteristics!B4:B171""))
)"),"wrong population")</f>
        <v>wrong population</v>
      </c>
    </row>
    <row r="932">
      <c r="A932" s="4" t="str">
        <f>IFERROR(__xludf.DUMMYFUNCTION("""COMPUTED_VALUE"""),"HYDRODYNAMIC MECHANISM OF SYRINGOMYELIA: ITS RELATIONSHIP TO MYELOCELE")</f>
        <v>HYDRODYNAMIC MECHANISM OF SYRINGOMYELIA: ITS RELATIONSHIP TO MYELOCELE</v>
      </c>
      <c r="B932" s="5" t="str">
        <f>IFERROR(__xludf.DUMMYFUNCTION("LEFT(FILTER(IMPORTRANGE(""https://docs.google.com/spreadsheets/d/1BJSV3WBYJGRhQ6zExamkszQ5VutGIcaQqmbD9ZTVXMQ/edit#gid=1251630045"",""articles_with_PRISMA_reasons!K2:K2113""), $A932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$A932=IMPORTRANGE(""https://docs.google.com/spreadsheets/d/1BJSV3WBYJGRhQ6zExamkszQ5VutGIcaQqmbD9ZTVXMQ/edit#gid=1251630045"",""articles_with_PRISMA_reasons!B2:B2113"")))-1)"),"Gardner")</f>
        <v>Gardner</v>
      </c>
      <c r="C932" s="6">
        <f>IFERROR(__xludf.DUMMYFUNCTION("FILTER(IMPORTRANGE(""https://docs.google.com/spreadsheets/d/1BJSV3WBYJGRhQ6zExamkszQ5VutGIcaQqmbD9ZTVXMQ/edit#gid=1251630045"",""articles_with_PRISMA_reasons!C2:C2113""), $A932=IMPORTRANGE(""https://docs.google.com/spreadsheets/d/1BJSV3WBYJGRhQ6zExamkszQ5"&amp;"VutGIcaQqmbD9ZTVXMQ/edit#gid=1251630045"",""articles_with_PRISMA_reasons!B2:B2113""))"),1965.0)</f>
        <v>1965</v>
      </c>
      <c r="D932" s="5" t="str">
        <f>IFERROR(__xludf.DUMMYFUNCTION("IFS(AND(
FILTER(IMPORTRANGE(""https://docs.google.com/spreadsheets/d/1BJSV3WBYJGRhQ6zExamkszQ5VutGIcaQqmbD9ZTVXMQ/edit#gid=1251630045"",""articles_with_PRISMA_reasons!Y2:Y2113""), $A932=IMPORTRANGE(""https://docs.google.com/spreadsheets/d/1BJSV3WBYJGRhQ6z"&amp;"ExamkszQ5VutGIcaQqmbD9ZTVXMQ/edit#gid=1251630045"",""articles_with_PRISMA_reasons!B2:B2113""))&gt;=2,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$A932=IMPORTRANGE(""https://docs.google.com/spreadsheets/d/1BJSV3WBYJGRhQ6zExamkszQ5VutGIcaQqmbD9ZTVXMQ/edit#gid=1251630045"",""articles_with_PRISMA_reasons!B2:B2113""))&lt;2),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$A932=IMPORTRANGE(""https://docs.google.com/spreadsheets/d/1BJSV3WBYJGRhQ6zExamkszQ5VutGIcaQqmbD9ZTVXMQ/edit#gid=1251630045"",""arti"&amp;"cles_with_PRISMA_reasons!B2:B2113""))&lt;2,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$A932=IMPORTRANGE(""https://docs.google.com"&amp;"/spreadsheets/d/1BJSV3WBYJGRhQ6zExamkszQ5VutGIcaQqmbD9ZTVXMQ/edit#gid=1251630045"",""articles_with_PRISMA_reasons!B2:B2113""))&gt;=2),
""Exclude""
)"),"Exclude")</f>
        <v>Exclude</v>
      </c>
      <c r="E932" s="5" t="str">
        <f>IFERROR(__xludf.DUMMYFUNCTION("IFS(
D932=""Exclude"",""Exclude"",
AND(
FILTER(IMPORTRANGE(""https://docs.google.com/spreadsheets/d/1qpEmbGH0JjaJbUdp21-y2cPbobDbMjr09BbtdKROZWc/edit#gid=1444865654"",""articles_with_PRISMA_reasons!W2:W2113""), $A932=IMPORTRANGE(""https://docs.google.com/"&amp;"spreadsheets/d/1qpEmbGH0JjaJbUdp21-y2cPbobDbMjr09BbtdKROZWc/edit#gid=1444865654"",""articles_with_PRISMA_reasons!B2:B2113""))&gt;=2,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$A932=IMPORTRANGE(""https://docs.google.com/spreadsheets/d/1qpEmbGH0JjaJbUdp21-y2cPbobDbMjr09BbtdKROZWc/edit#gid=1444865654"",""articles_with_PRISMA_reasons!B2:B2113""))&lt;2),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$A932=IMPORTRANGE(""https://docs.google.com/spreadsheets/d/1qpEmbGH0JjaJbUdp21-y2cPbobDbMjr09BbtdKRO"&amp;"ZWc/edit#gid=1444865654"",""articles_with_PRISMA_reasons!B2:B2113""))&lt;2,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$A932=IMPOR"&amp;"TRANGE(""https://docs.google.com/spreadsheets/d/1qpEmbGH0JjaJbUdp21-y2cPbobDbMjr09BbtdKROZWc/edit#gid=1444865654"",""articles_with_PRISMA_reasons!B2:B2113""))&gt;=2),
""Exclude""
)"),"Exclude")</f>
        <v>Exclude</v>
      </c>
      <c r="F932" s="5" t="str">
        <f>IFERROR(__xludf.DUMMYFUNCTION("IFS(
E932=""Exclude"",""Exclude"",
AND(
COUNTIF(
IMPORTRANGE(""https://docs.google.com/spreadsheets/d/1kGrh75X1cNR1D7_FcY9zMnHP8iPO4M5RCRjy6nZY0TY/edit#gid=0"",""Table 1: Study characteristics!B4:B171""),A932)&gt;0,
COUNTIF(Studies!$A$2:$A$85,FILTER(IMPORTRA"&amp;"NGE(""https://docs.google.com/spreadsheets/d/1kGrh75X1cNR1D7_FcY9zMnHP8iPO4M5RCRjy6nZY0TY/edit#gid=0"",""Table 1: Study characteristics!A4:A171""), $A932=IMPORTRANGE(""https://docs.google.com/spreadsheets/d/1kGrh75X1cNR1D7_FcY9zMnHP8iPO4M5RCRjy6nZY0TY/edi"&amp;"t#gid=0"",""Table 1: Study characteristics!B4:B171"")))&gt;0
),
""Include""
)"),"Exclude")</f>
        <v>Exclude</v>
      </c>
      <c r="G932" s="5" t="str">
        <f>IFERROR(__xludf.DUMMYFUNCTION("IFS(
D932=""Exclude"",
FILTER(IMPORTRANGE(""https://docs.google.com/spreadsheets/d/1BJSV3WBYJGRhQ6zExamkszQ5VutGIcaQqmbD9ZTVXMQ/edit#gid=1251630045"",""articles_with_PRISMA_reasons!AB2:AB2113""), $A932=IMPORTRANGE(""https://docs.google.com/spreadsheets/d/"&amp;"1BJSV3WBYJGRhQ6zExamkszQ5VutGIcaQqmbD9ZTVXMQ/edit#gid=1251630045"",""articles_with_PRISMA_reasons!B2:B2113"")),
E932=""Exclude"",
FILTER(IMPORTRANGE(""https://docs.google.com/spreadsheets/d/1qpEmbGH0JjaJbUdp21-y2cPbobDbMjr09BbtdKROZWc/edit#gid=1444865654"&amp;""",""articles_with_PRISMA_reasons!Z2:Z2113""), $A932=IMPORTRANGE(""https://docs.google.com/spreadsheets/d/1qpEmbGH0JjaJbUdp21-y2cPbobDbMjr09BbtdKROZWc/edit#gid=1444865654"",""articles_with_PRISMA_reasons!B2:B2113"")),F932
=""Include"",FILTER(IMPORTRANGE("&amp;"""https://docs.google.com/spreadsheets/d/1kGrh75X1cNR1D7_FcY9zMnHP8iPO4M5RCRjy6nZY0TY/edit#gid=0"",""Table 1: Study characteristics!A4:A171""), $A932=IMPORTRANGE(""https://docs.google.com/spreadsheets/d/1kGrh75X1cNR1D7_FcY9zMnHP8iPO4M5RCRjy6nZY0TY/edit#gi"&amp;"d=0"",""Table 1: Study characteristics!B4:B171""))
)"),"wrong study design")</f>
        <v>wrong study design</v>
      </c>
    </row>
    <row r="933">
      <c r="A933" s="4" t="str">
        <f>IFERROR(__xludf.DUMMYFUNCTION("""COMPUTED_VALUE"""),"Idiom comprehension deficits in relation to corpus callosum agenesis and hypoplasia in children with spina bifida meningomyelocele")</f>
        <v>Idiom comprehension deficits in relation to corpus callosum agenesis and hypoplasia in children with spina bifida meningomyelocele</v>
      </c>
      <c r="B933" s="5" t="str">
        <f>IFERROR(__xludf.DUMMYFUNCTION("LEFT(FILTER(IMPORTRANGE(""https://docs.google.com/spreadsheets/d/1BJSV3WBYJGRhQ6zExamkszQ5VutGIcaQqmbD9ZTVXMQ/edit#gid=1251630045"",""articles_with_PRISMA_reasons!K2:K2113""), $A933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$A933=IMPORTRANGE(""https://docs.google.com/spreadsheets/d/1BJSV3WBYJGRhQ6zExamkszQ5VutGIcaQqmbD9ZTVXMQ/edit#gid=1251630045"",""articles_with_PRISMA_reasons!B2:B2113"")))-1)"),"Blaser")</f>
        <v>Blaser</v>
      </c>
      <c r="C933" s="6">
        <f>IFERROR(__xludf.DUMMYFUNCTION("FILTER(IMPORTRANGE(""https://docs.google.com/spreadsheets/d/1BJSV3WBYJGRhQ6zExamkszQ5VutGIcaQqmbD9ZTVXMQ/edit#gid=1251630045"",""articles_with_PRISMA_reasons!C2:C2113""), $A933=IMPORTRANGE(""https://docs.google.com/spreadsheets/d/1BJSV3WBYJGRhQ6zExamkszQ5"&amp;"VutGIcaQqmbD9ZTVXMQ/edit#gid=1251630045"",""articles_with_PRISMA_reasons!B2:B2113""))"),2005.0)</f>
        <v>2005</v>
      </c>
      <c r="D933" s="5" t="str">
        <f>IFERROR(__xludf.DUMMYFUNCTION("IFS(AND(
FILTER(IMPORTRANGE(""https://docs.google.com/spreadsheets/d/1BJSV3WBYJGRhQ6zExamkszQ5VutGIcaQqmbD9ZTVXMQ/edit#gid=1251630045"",""articles_with_PRISMA_reasons!Y2:Y2113""), $A933=IMPORTRANGE(""https://docs.google.com/spreadsheets/d/1BJSV3WBYJGRhQ6z"&amp;"ExamkszQ5VutGIcaQqmbD9ZTVXMQ/edit#gid=1251630045"",""articles_with_PRISMA_reasons!B2:B2113""))&gt;=2,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$A933=IMPORTRANGE(""https://docs.google.com/spreadsheets/d/1BJSV3WBYJGRhQ6zExamkszQ5VutGIcaQqmbD9ZTVXMQ/edit#gid=1251630045"",""articles_with_PRISMA_reasons!B2:B2113""))&lt;2),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$A933=IMPORTRANGE(""https://docs.google.com/spreadsheets/d/1BJSV3WBYJGRhQ6zExamkszQ5VutGIcaQqmbD9ZTVXMQ/edit#gid=1251630045"",""arti"&amp;"cles_with_PRISMA_reasons!B2:B2113""))&lt;2,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$A933=IMPORTRANGE(""https://docs.google.com"&amp;"/spreadsheets/d/1BJSV3WBYJGRhQ6zExamkszQ5VutGIcaQqmbD9ZTVXMQ/edit#gid=1251630045"",""articles_with_PRISMA_reasons!B2:B2113""))&gt;=2),
""Exclude""
)"),"Exclude")</f>
        <v>Exclude</v>
      </c>
      <c r="E933" s="5" t="str">
        <f>IFERROR(__xludf.DUMMYFUNCTION("IFS(
D933=""Exclude"",""Exclude"",
AND(
FILTER(IMPORTRANGE(""https://docs.google.com/spreadsheets/d/1qpEmbGH0JjaJbUdp21-y2cPbobDbMjr09BbtdKROZWc/edit#gid=1444865654"",""articles_with_PRISMA_reasons!W2:W2113""), $A933=IMPORTRANGE(""https://docs.google.com/"&amp;"spreadsheets/d/1qpEmbGH0JjaJbUdp21-y2cPbobDbMjr09BbtdKROZWc/edit#gid=1444865654"",""articles_with_PRISMA_reasons!B2:B2113""))&gt;=2,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$A933=IMPORTRANGE(""https://docs.google.com/spreadsheets/d/1qpEmbGH0JjaJbUdp21-y2cPbobDbMjr09BbtdKROZWc/edit#gid=1444865654"",""articles_with_PRISMA_reasons!B2:B2113""))&lt;2),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$A933=IMPORTRANGE(""https://docs.google.com/spreadsheets/d/1qpEmbGH0JjaJbUdp21-y2cPbobDbMjr09BbtdKRO"&amp;"ZWc/edit#gid=1444865654"",""articles_with_PRISMA_reasons!B2:B2113""))&lt;2,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$A933=IMPOR"&amp;"TRANGE(""https://docs.google.com/spreadsheets/d/1qpEmbGH0JjaJbUdp21-y2cPbobDbMjr09BbtdKROZWc/edit#gid=1444865654"",""articles_with_PRISMA_reasons!B2:B2113""))&gt;=2),
""Exclude""
)"),"Exclude")</f>
        <v>Exclude</v>
      </c>
      <c r="F933" s="5" t="str">
        <f>IFERROR(__xludf.DUMMYFUNCTION("IFS(
E933=""Exclude"",""Exclude"",
AND(
COUNTIF(
IMPORTRANGE(""https://docs.google.com/spreadsheets/d/1kGrh75X1cNR1D7_FcY9zMnHP8iPO4M5RCRjy6nZY0TY/edit#gid=0"",""Table 1: Study characteristics!B4:B171""),A933)&gt;0,
COUNTIF(Studies!$A$2:$A$85,FILTER(IMPORTRA"&amp;"NGE(""https://docs.google.com/spreadsheets/d/1kGrh75X1cNR1D7_FcY9zMnHP8iPO4M5RCRjy6nZY0TY/edit#gid=0"",""Table 1: Study characteristics!A4:A171""), $A933=IMPORTRANGE(""https://docs.google.com/spreadsheets/d/1kGrh75X1cNR1D7_FcY9zMnHP8iPO4M5RCRjy6nZY0TY/edi"&amp;"t#gid=0"",""Table 1: Study characteristics!B4:B171"")))&gt;0
),
""Include""
)"),"Exclude")</f>
        <v>Exclude</v>
      </c>
      <c r="G933" s="5" t="str">
        <f>IFERROR(__xludf.DUMMYFUNCTION("IFS(
D933=""Exclude"",
FILTER(IMPORTRANGE(""https://docs.google.com/spreadsheets/d/1BJSV3WBYJGRhQ6zExamkszQ5VutGIcaQqmbD9ZTVXMQ/edit#gid=1251630045"",""articles_with_PRISMA_reasons!AB2:AB2113""), $A933=IMPORTRANGE(""https://docs.google.com/spreadsheets/d/"&amp;"1BJSV3WBYJGRhQ6zExamkszQ5VutGIcaQqmbD9ZTVXMQ/edit#gid=1251630045"",""articles_with_PRISMA_reasons!B2:B2113"")),
E933=""Exclude"",
FILTER(IMPORTRANGE(""https://docs.google.com/spreadsheets/d/1qpEmbGH0JjaJbUdp21-y2cPbobDbMjr09BbtdKROZWc/edit#gid=1444865654"&amp;""",""articles_with_PRISMA_reasons!Z2:Z2113""), $A933=IMPORTRANGE(""https://docs.google.com/spreadsheets/d/1qpEmbGH0JjaJbUdp21-y2cPbobDbMjr09BbtdKROZWc/edit#gid=1444865654"",""articles_with_PRISMA_reasons!B2:B2113"")),F933
=""Include"",FILTER(IMPORTRANGE("&amp;"""https://docs.google.com/spreadsheets/d/1kGrh75X1cNR1D7_FcY9zMnHP8iPO4M5RCRjy6nZY0TY/edit#gid=0"",""Table 1: Study characteristics!A4:A171""), $A933=IMPORTRANGE(""https://docs.google.com/spreadsheets/d/1kGrh75X1cNR1D7_FcY9zMnHP8iPO4M5RCRjy6nZY0TY/edit#gi"&amp;"d=0"",""Table 1: Study characteristics!B4:B171""))
)"),"wrong study design")</f>
        <v>wrong study design</v>
      </c>
    </row>
    <row r="934">
      <c r="A934" s="4" t="str">
        <f>IFERROR(__xludf.DUMMYFUNCTION("""COMPUTED_VALUE"""),"Images of caring. Him")</f>
        <v>Images of caring. Him</v>
      </c>
      <c r="B934" s="5" t="str">
        <f>IFERROR(__xludf.DUMMYFUNCTION("LEFT(FILTER(IMPORTRANGE(""https://docs.google.com/spreadsheets/d/1BJSV3WBYJGRhQ6zExamkszQ5VutGIcaQqmbD9ZTVXMQ/edit#gid=1251630045"",""articles_with_PRISMA_reasons!K2:K2113""), $A934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$A934=IMPORTRANGE(""https://docs.google.com/spreadsheets/d/1BJSV3WBYJGRhQ6zExamkszQ5VutGIcaQqmbD9ZTVXMQ/edit#gid=1251630045"",""articles_with_PRISMA_reasons!B2:B2113"")))-1)"),"Hiemier")</f>
        <v>Hiemier</v>
      </c>
      <c r="C934" s="6">
        <f>IFERROR(__xludf.DUMMYFUNCTION("FILTER(IMPORTRANGE(""https://docs.google.com/spreadsheets/d/1BJSV3WBYJGRhQ6zExamkszQ5VutGIcaQqmbD9ZTVXMQ/edit#gid=1251630045"",""articles_with_PRISMA_reasons!C2:C2113""), $A934=IMPORTRANGE(""https://docs.google.com/spreadsheets/d/1BJSV3WBYJGRhQ6zExamkszQ5"&amp;"VutGIcaQqmbD9ZTVXMQ/edit#gid=1251630045"",""articles_with_PRISMA_reasons!B2:B2113""))"),1990.0)</f>
        <v>1990</v>
      </c>
      <c r="D934" s="5" t="str">
        <f>IFERROR(__xludf.DUMMYFUNCTION("IFS(AND(
FILTER(IMPORTRANGE(""https://docs.google.com/spreadsheets/d/1BJSV3WBYJGRhQ6zExamkszQ5VutGIcaQqmbD9ZTVXMQ/edit#gid=1251630045"",""articles_with_PRISMA_reasons!Y2:Y2113""), $A934=IMPORTRANGE(""https://docs.google.com/spreadsheets/d/1BJSV3WBYJGRhQ6z"&amp;"ExamkszQ5VutGIcaQqmbD9ZTVXMQ/edit#gid=1251630045"",""articles_with_PRISMA_reasons!B2:B2113""))&gt;=2,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$A934=IMPORTRANGE(""https://docs.google.com/spreadsheets/d/1BJSV3WBYJGRhQ6zExamkszQ5VutGIcaQqmbD9ZTVXMQ/edit#gid=1251630045"",""articles_with_PRISMA_reasons!B2:B2113""))&lt;2),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$A934=IMPORTRANGE(""https://docs.google.com/spreadsheets/d/1BJSV3WBYJGRhQ6zExamkszQ5VutGIcaQqmbD9ZTVXMQ/edit#gid=1251630045"",""arti"&amp;"cles_with_PRISMA_reasons!B2:B2113""))&lt;2,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$A934=IMPORTRANGE(""https://docs.google.com"&amp;"/spreadsheets/d/1BJSV3WBYJGRhQ6zExamkszQ5VutGIcaQqmbD9ZTVXMQ/edit#gid=1251630045"",""articles_with_PRISMA_reasons!B2:B2113""))&gt;=2),
""Exclude""
)"),"Exclude")</f>
        <v>Exclude</v>
      </c>
      <c r="E934" s="5" t="str">
        <f>IFERROR(__xludf.DUMMYFUNCTION("IFS(
D934=""Exclude"",""Exclude"",
AND(
FILTER(IMPORTRANGE(""https://docs.google.com/spreadsheets/d/1qpEmbGH0JjaJbUdp21-y2cPbobDbMjr09BbtdKROZWc/edit#gid=1444865654"",""articles_with_PRISMA_reasons!W2:W2113""), $A934=IMPORTRANGE(""https://docs.google.com/"&amp;"spreadsheets/d/1qpEmbGH0JjaJbUdp21-y2cPbobDbMjr09BbtdKROZWc/edit#gid=1444865654"",""articles_with_PRISMA_reasons!B2:B2113""))&gt;=2,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$A934=IMPORTRANGE(""https://docs.google.com/spreadsheets/d/1qpEmbGH0JjaJbUdp21-y2cPbobDbMjr09BbtdKROZWc/edit#gid=1444865654"",""articles_with_PRISMA_reasons!B2:B2113""))&lt;2),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$A934=IMPORTRANGE(""https://docs.google.com/spreadsheets/d/1qpEmbGH0JjaJbUdp21-y2cPbobDbMjr09BbtdKRO"&amp;"ZWc/edit#gid=1444865654"",""articles_with_PRISMA_reasons!B2:B2113""))&lt;2,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$A934=IMPOR"&amp;"TRANGE(""https://docs.google.com/spreadsheets/d/1qpEmbGH0JjaJbUdp21-y2cPbobDbMjr09BbtdKROZWc/edit#gid=1444865654"",""articles_with_PRISMA_reasons!B2:B2113""))&gt;=2),
""Exclude""
)"),"Exclude")</f>
        <v>Exclude</v>
      </c>
      <c r="F934" s="5" t="str">
        <f>IFERROR(__xludf.DUMMYFUNCTION("IFS(
E934=""Exclude"",""Exclude"",
AND(
COUNTIF(
IMPORTRANGE(""https://docs.google.com/spreadsheets/d/1kGrh75X1cNR1D7_FcY9zMnHP8iPO4M5RCRjy6nZY0TY/edit#gid=0"",""Table 1: Study characteristics!B4:B171""),A934)&gt;0,
COUNTIF(Studies!$A$2:$A$85,FILTER(IMPORTRA"&amp;"NGE(""https://docs.google.com/spreadsheets/d/1kGrh75X1cNR1D7_FcY9zMnHP8iPO4M5RCRjy6nZY0TY/edit#gid=0"",""Table 1: Study characteristics!A4:A171""), $A934=IMPORTRANGE(""https://docs.google.com/spreadsheets/d/1kGrh75X1cNR1D7_FcY9zMnHP8iPO4M5RCRjy6nZY0TY/edi"&amp;"t#gid=0"",""Table 1: Study characteristics!B4:B171"")))&gt;0
),
""Include""
)"),"Exclude")</f>
        <v>Exclude</v>
      </c>
      <c r="G934" s="5" t="str">
        <f>IFERROR(__xludf.DUMMYFUNCTION("IFS(
D934=""Exclude"",
FILTER(IMPORTRANGE(""https://docs.google.com/spreadsheets/d/1BJSV3WBYJGRhQ6zExamkszQ5VutGIcaQqmbD9ZTVXMQ/edit#gid=1251630045"",""articles_with_PRISMA_reasons!AB2:AB2113""), $A934=IMPORTRANGE(""https://docs.google.com/spreadsheets/d/"&amp;"1BJSV3WBYJGRhQ6zExamkszQ5VutGIcaQqmbD9ZTVXMQ/edit#gid=1251630045"",""articles_with_PRISMA_reasons!B2:B2113"")),
E934=""Exclude"",
FILTER(IMPORTRANGE(""https://docs.google.com/spreadsheets/d/1qpEmbGH0JjaJbUdp21-y2cPbobDbMjr09BbtdKROZWc/edit#gid=1444865654"&amp;""",""articles_with_PRISMA_reasons!Z2:Z2113""), $A934=IMPORTRANGE(""https://docs.google.com/spreadsheets/d/1qpEmbGH0JjaJbUdp21-y2cPbobDbMjr09BbtdKROZWc/edit#gid=1444865654"",""articles_with_PRISMA_reasons!B2:B2113"")),F934
=""Include"",FILTER(IMPORTRANGE("&amp;"""https://docs.google.com/spreadsheets/d/1kGrh75X1cNR1D7_FcY9zMnHP8iPO4M5RCRjy6nZY0TY/edit#gid=0"",""Table 1: Study characteristics!A4:A171""), $A934=IMPORTRANGE(""https://docs.google.com/spreadsheets/d/1kGrh75X1cNR1D7_FcY9zMnHP8iPO4M5RCRjy6nZY0TY/edit#gi"&amp;"d=0"",""Table 1: Study characteristics!B4:B171""))
)"),"wrong study design")</f>
        <v>wrong study design</v>
      </c>
    </row>
    <row r="935">
      <c r="A935" s="4" t="str">
        <f>IFERROR(__xludf.DUMMYFUNCTION("""COMPUTED_VALUE"""),"Imaging of Chiari Type I malformation and syringohydromyelia")</f>
        <v>Imaging of Chiari Type I malformation and syringohydromyelia</v>
      </c>
      <c r="B935" s="5" t="str">
        <f>IFERROR(__xludf.DUMMYFUNCTION("LEFT(FILTER(IMPORTRANGE(""https://docs.google.com/spreadsheets/d/1BJSV3WBYJGRhQ6zExamkszQ5VutGIcaQqmbD9ZTVXMQ/edit#gid=1251630045"",""articles_with_PRISMA_reasons!K2:K2113""), $A935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$A935=IMPORTRANGE(""https://docs.google.com/spreadsheets/d/1BJSV3WBYJGRhQ6zExamkszQ5VutGIcaQqmbD9ZTVXMQ/edit#gid=1251630045"",""articles_with_PRISMA_reasons!B2:B2113"")))-1)"),"McVige")</f>
        <v>McVige</v>
      </c>
      <c r="C935" s="6">
        <f>IFERROR(__xludf.DUMMYFUNCTION("FILTER(IMPORTRANGE(""https://docs.google.com/spreadsheets/d/1BJSV3WBYJGRhQ6zExamkszQ5VutGIcaQqmbD9ZTVXMQ/edit#gid=1251630045"",""articles_with_PRISMA_reasons!C2:C2113""), $A935=IMPORTRANGE(""https://docs.google.com/spreadsheets/d/1BJSV3WBYJGRhQ6zExamkszQ5"&amp;"VutGIcaQqmbD9ZTVXMQ/edit#gid=1251630045"",""articles_with_PRISMA_reasons!B2:B2113""))"),2014.0)</f>
        <v>2014</v>
      </c>
      <c r="D935" s="5" t="str">
        <f>IFERROR(__xludf.DUMMYFUNCTION("IFS(AND(
FILTER(IMPORTRANGE(""https://docs.google.com/spreadsheets/d/1BJSV3WBYJGRhQ6zExamkszQ5VutGIcaQqmbD9ZTVXMQ/edit#gid=1251630045"",""articles_with_PRISMA_reasons!Y2:Y2113""), $A935=IMPORTRANGE(""https://docs.google.com/spreadsheets/d/1BJSV3WBYJGRhQ6z"&amp;"ExamkszQ5VutGIcaQqmbD9ZTVXMQ/edit#gid=1251630045"",""articles_with_PRISMA_reasons!B2:B2113""))&gt;=2,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$A935=IMPORTRANGE(""https://docs.google.com/spreadsheets/d/1BJSV3WBYJGRhQ6zExamkszQ5VutGIcaQqmbD9ZTVXMQ/edit#gid=1251630045"",""articles_with_PRISMA_reasons!B2:B2113""))&lt;2),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$A935=IMPORTRANGE(""https://docs.google.com/spreadsheets/d/1BJSV3WBYJGRhQ6zExamkszQ5VutGIcaQqmbD9ZTVXMQ/edit#gid=1251630045"",""arti"&amp;"cles_with_PRISMA_reasons!B2:B2113""))&lt;2,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$A935=IMPORTRANGE(""https://docs.google.com"&amp;"/spreadsheets/d/1BJSV3WBYJGRhQ6zExamkszQ5VutGIcaQqmbD9ZTVXMQ/edit#gid=1251630045"",""articles_with_PRISMA_reasons!B2:B2113""))&gt;=2),
""Exclude""
)"),"Exclude")</f>
        <v>Exclude</v>
      </c>
      <c r="E935" s="5" t="str">
        <f>IFERROR(__xludf.DUMMYFUNCTION("IFS(
D935=""Exclude"",""Exclude"",
AND(
FILTER(IMPORTRANGE(""https://docs.google.com/spreadsheets/d/1qpEmbGH0JjaJbUdp21-y2cPbobDbMjr09BbtdKROZWc/edit#gid=1444865654"",""articles_with_PRISMA_reasons!W2:W2113""), $A935=IMPORTRANGE(""https://docs.google.com/"&amp;"spreadsheets/d/1qpEmbGH0JjaJbUdp21-y2cPbobDbMjr09BbtdKROZWc/edit#gid=1444865654"",""articles_with_PRISMA_reasons!B2:B2113""))&gt;=2,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$A935=IMPORTRANGE(""https://docs.google.com/spreadsheets/d/1qpEmbGH0JjaJbUdp21-y2cPbobDbMjr09BbtdKROZWc/edit#gid=1444865654"",""articles_with_PRISMA_reasons!B2:B2113""))&lt;2),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$A935=IMPORTRANGE(""https://docs.google.com/spreadsheets/d/1qpEmbGH0JjaJbUdp21-y2cPbobDbMjr09BbtdKRO"&amp;"ZWc/edit#gid=1444865654"",""articles_with_PRISMA_reasons!B2:B2113""))&lt;2,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$A935=IMPOR"&amp;"TRANGE(""https://docs.google.com/spreadsheets/d/1qpEmbGH0JjaJbUdp21-y2cPbobDbMjr09BbtdKROZWc/edit#gid=1444865654"",""articles_with_PRISMA_reasons!B2:B2113""))&gt;=2),
""Exclude""
)"),"Exclude")</f>
        <v>Exclude</v>
      </c>
      <c r="F935" s="5" t="str">
        <f>IFERROR(__xludf.DUMMYFUNCTION("IFS(
E935=""Exclude"",""Exclude"",
AND(
COUNTIF(
IMPORTRANGE(""https://docs.google.com/spreadsheets/d/1kGrh75X1cNR1D7_FcY9zMnHP8iPO4M5RCRjy6nZY0TY/edit#gid=0"",""Table 1: Study characteristics!B4:B171""),A935)&gt;0,
COUNTIF(Studies!$A$2:$A$85,FILTER(IMPORTRA"&amp;"NGE(""https://docs.google.com/spreadsheets/d/1kGrh75X1cNR1D7_FcY9zMnHP8iPO4M5RCRjy6nZY0TY/edit#gid=0"",""Table 1: Study characteristics!A4:A171""), $A935=IMPORTRANGE(""https://docs.google.com/spreadsheets/d/1kGrh75X1cNR1D7_FcY9zMnHP8iPO4M5RCRjy6nZY0TY/edi"&amp;"t#gid=0"",""Table 1: Study characteristics!B4:B171"")))&gt;0
),
""Include""
)"),"Exclude")</f>
        <v>Exclude</v>
      </c>
      <c r="G935" s="5" t="str">
        <f>IFERROR(__xludf.DUMMYFUNCTION("IFS(
D935=""Exclude"",
FILTER(IMPORTRANGE(""https://docs.google.com/spreadsheets/d/1BJSV3WBYJGRhQ6zExamkszQ5VutGIcaQqmbD9ZTVXMQ/edit#gid=1251630045"",""articles_with_PRISMA_reasons!AB2:AB2113""), $A935=IMPORTRANGE(""https://docs.google.com/spreadsheets/d/"&amp;"1BJSV3WBYJGRhQ6zExamkszQ5VutGIcaQqmbD9ZTVXMQ/edit#gid=1251630045"",""articles_with_PRISMA_reasons!B2:B2113"")),
E935=""Exclude"",
FILTER(IMPORTRANGE(""https://docs.google.com/spreadsheets/d/1qpEmbGH0JjaJbUdp21-y2cPbobDbMjr09BbtdKROZWc/edit#gid=1444865654"&amp;""",""articles_with_PRISMA_reasons!Z2:Z2113""), $A935=IMPORTRANGE(""https://docs.google.com/spreadsheets/d/1qpEmbGH0JjaJbUdp21-y2cPbobDbMjr09BbtdKROZWc/edit#gid=1444865654"",""articles_with_PRISMA_reasons!B2:B2113"")),F935
=""Include"",FILTER(IMPORTRANGE("&amp;"""https://docs.google.com/spreadsheets/d/1kGrh75X1cNR1D7_FcY9zMnHP8iPO4M5RCRjy6nZY0TY/edit#gid=0"",""Table 1: Study characteristics!A4:A171""), $A935=IMPORTRANGE(""https://docs.google.com/spreadsheets/d/1kGrh75X1cNR1D7_FcY9zMnHP8iPO4M5RCRjy6nZY0TY/edit#gi"&amp;"d=0"",""Table 1: Study characteristics!B4:B171""))
)"),"wrong study design")</f>
        <v>wrong study design</v>
      </c>
    </row>
    <row r="936">
      <c r="A936" s="4" t="str">
        <f>IFERROR(__xludf.DUMMYFUNCTION("""COMPUTED_VALUE"""),"Imaging of diastematomyelia and associated lesions: 27 pediatric cases")</f>
        <v>Imaging of diastematomyelia and associated lesions: 27 pediatric cases</v>
      </c>
      <c r="B936" s="5" t="str">
        <f>IFERROR(__xludf.DUMMYFUNCTION("LEFT(FILTER(IMPORTRANGE(""https://docs.google.com/spreadsheets/d/1BJSV3WBYJGRhQ6zExamkszQ5VutGIcaQqmbD9ZTVXMQ/edit#gid=1251630045"",""articles_with_PRISMA_reasons!K2:K2113""), $A936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$A936=IMPORTRANGE(""https://docs.google.com/spreadsheets/d/1BJSV3WBYJGRhQ6zExamkszQ5VutGIcaQqmbD9ZTVXMQ/edit#gid=1251630045"",""articles_with_PRISMA_reasons!B2:B2113"")))-1)"),"El Ounani")</f>
        <v>El Ounani</v>
      </c>
      <c r="C936" s="6">
        <f>IFERROR(__xludf.DUMMYFUNCTION("FILTER(IMPORTRANGE(""https://docs.google.com/spreadsheets/d/1BJSV3WBYJGRhQ6zExamkszQ5VutGIcaQqmbD9ZTVXMQ/edit#gid=1251630045"",""articles_with_PRISMA_reasons!C2:C2113""), $A936=IMPORTRANGE(""https://docs.google.com/spreadsheets/d/1BJSV3WBYJGRhQ6zExamkszQ5"&amp;"VutGIcaQqmbD9ZTVXMQ/edit#gid=1251630045"",""articles_with_PRISMA_reasons!B2:B2113""))"),2010.0)</f>
        <v>2010</v>
      </c>
      <c r="D936" s="5" t="str">
        <f>IFERROR(__xludf.DUMMYFUNCTION("IFS(AND(
FILTER(IMPORTRANGE(""https://docs.google.com/spreadsheets/d/1BJSV3WBYJGRhQ6zExamkszQ5VutGIcaQqmbD9ZTVXMQ/edit#gid=1251630045"",""articles_with_PRISMA_reasons!Y2:Y2113""), $A936=IMPORTRANGE(""https://docs.google.com/spreadsheets/d/1BJSV3WBYJGRhQ6z"&amp;"ExamkszQ5VutGIcaQqmbD9ZTVXMQ/edit#gid=1251630045"",""articles_with_PRISMA_reasons!B2:B2113""))&gt;=2,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$A936=IMPORTRANGE(""https://docs.google.com/spreadsheets/d/1BJSV3WBYJGRhQ6zExamkszQ5VutGIcaQqmbD9ZTVXMQ/edit#gid=1251630045"",""articles_with_PRISMA_reasons!B2:B2113""))&lt;2),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$A936=IMPORTRANGE(""https://docs.google.com/spreadsheets/d/1BJSV3WBYJGRhQ6zExamkszQ5VutGIcaQqmbD9ZTVXMQ/edit#gid=1251630045"",""arti"&amp;"cles_with_PRISMA_reasons!B2:B2113""))&lt;2,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$A936=IMPORTRANGE(""https://docs.google.com"&amp;"/spreadsheets/d/1BJSV3WBYJGRhQ6zExamkszQ5VutGIcaQqmbD9ZTVXMQ/edit#gid=1251630045"",""articles_with_PRISMA_reasons!B2:B2113""))&gt;=2),
""Exclude""
)"),"Exclude")</f>
        <v>Exclude</v>
      </c>
      <c r="E936" s="5" t="str">
        <f>IFERROR(__xludf.DUMMYFUNCTION("IFS(
D936=""Exclude"",""Exclude"",
AND(
FILTER(IMPORTRANGE(""https://docs.google.com/spreadsheets/d/1qpEmbGH0JjaJbUdp21-y2cPbobDbMjr09BbtdKROZWc/edit#gid=1444865654"",""articles_with_PRISMA_reasons!W2:W2113""), $A936=IMPORTRANGE(""https://docs.google.com/"&amp;"spreadsheets/d/1qpEmbGH0JjaJbUdp21-y2cPbobDbMjr09BbtdKROZWc/edit#gid=1444865654"",""articles_with_PRISMA_reasons!B2:B2113""))&gt;=2,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$A936=IMPORTRANGE(""https://docs.google.com/spreadsheets/d/1qpEmbGH0JjaJbUdp21-y2cPbobDbMjr09BbtdKROZWc/edit#gid=1444865654"",""articles_with_PRISMA_reasons!B2:B2113""))&lt;2),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$A936=IMPORTRANGE(""https://docs.google.com/spreadsheets/d/1qpEmbGH0JjaJbUdp21-y2cPbobDbMjr09BbtdKRO"&amp;"ZWc/edit#gid=1444865654"",""articles_with_PRISMA_reasons!B2:B2113""))&lt;2,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$A936=IMPOR"&amp;"TRANGE(""https://docs.google.com/spreadsheets/d/1qpEmbGH0JjaJbUdp21-y2cPbobDbMjr09BbtdKROZWc/edit#gid=1444865654"",""articles_with_PRISMA_reasons!B2:B2113""))&gt;=2),
""Exclude""
)"),"Exclude")</f>
        <v>Exclude</v>
      </c>
      <c r="F936" s="5" t="str">
        <f>IFERROR(__xludf.DUMMYFUNCTION("IFS(
E936=""Exclude"",""Exclude"",
AND(
COUNTIF(
IMPORTRANGE(""https://docs.google.com/spreadsheets/d/1kGrh75X1cNR1D7_FcY9zMnHP8iPO4M5RCRjy6nZY0TY/edit#gid=0"",""Table 1: Study characteristics!B4:B171""),A936)&gt;0,
COUNTIF(Studies!$A$2:$A$85,FILTER(IMPORTRA"&amp;"NGE(""https://docs.google.com/spreadsheets/d/1kGrh75X1cNR1D7_FcY9zMnHP8iPO4M5RCRjy6nZY0TY/edit#gid=0"",""Table 1: Study characteristics!A4:A171""), $A936=IMPORTRANGE(""https://docs.google.com/spreadsheets/d/1kGrh75X1cNR1D7_FcY9zMnHP8iPO4M5RCRjy6nZY0TY/edi"&amp;"t#gid=0"",""Table 1: Study characteristics!B4:B171"")))&gt;0
),
""Include""
)"),"Exclude")</f>
        <v>Exclude</v>
      </c>
      <c r="G936" s="5" t="str">
        <f>IFERROR(__xludf.DUMMYFUNCTION("IFS(
D936=""Exclude"",
FILTER(IMPORTRANGE(""https://docs.google.com/spreadsheets/d/1BJSV3WBYJGRhQ6zExamkszQ5VutGIcaQqmbD9ZTVXMQ/edit#gid=1251630045"",""articles_with_PRISMA_reasons!AB2:AB2113""), $A936=IMPORTRANGE(""https://docs.google.com/spreadsheets/d/"&amp;"1BJSV3WBYJGRhQ6zExamkszQ5VutGIcaQqmbD9ZTVXMQ/edit#gid=1251630045"",""articles_with_PRISMA_reasons!B2:B2113"")),
E936=""Exclude"",
FILTER(IMPORTRANGE(""https://docs.google.com/spreadsheets/d/1qpEmbGH0JjaJbUdp21-y2cPbobDbMjr09BbtdKROZWc/edit#gid=1444865654"&amp;""",""articles_with_PRISMA_reasons!Z2:Z2113""), $A936=IMPORTRANGE(""https://docs.google.com/spreadsheets/d/1qpEmbGH0JjaJbUdp21-y2cPbobDbMjr09BbtdKROZWc/edit#gid=1444865654"",""articles_with_PRISMA_reasons!B2:B2113"")),F936
=""Include"",FILTER(IMPORTRANGE("&amp;"""https://docs.google.com/spreadsheets/d/1kGrh75X1cNR1D7_FcY9zMnHP8iPO4M5RCRjy6nZY0TY/edit#gid=0"",""Table 1: Study characteristics!A4:A171""), $A936=IMPORTRANGE(""https://docs.google.com/spreadsheets/d/1kGrh75X1cNR1D7_FcY9zMnHP8iPO4M5RCRjy6nZY0TY/edit#gi"&amp;"d=0"",""Table 1: Study characteristics!B4:B171""))
)"),"wrong population")</f>
        <v>wrong population</v>
      </c>
    </row>
    <row r="937">
      <c r="A937" s="4" t="str">
        <f>IFERROR(__xludf.DUMMYFUNCTION("""COMPUTED_VALUE"""),"Imaging of terminal myelocystoceles")</f>
        <v>Imaging of terminal myelocystoceles</v>
      </c>
      <c r="B937" s="5" t="str">
        <f>IFERROR(__xludf.DUMMYFUNCTION("LEFT(FILTER(IMPORTRANGE(""https://docs.google.com/spreadsheets/d/1BJSV3WBYJGRhQ6zExamkszQ5VutGIcaQqmbD9ZTVXMQ/edit#gid=1251630045"",""articles_with_PRISMA_reasons!K2:K2113""), $A937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$A937=IMPORTRANGE(""https://docs.google.com/spreadsheets/d/1BJSV3WBYJGRhQ6zExamkszQ5VutGIcaQqmbD9ZTVXMQ/edit#gid=1251630045"",""articles_with_PRISMA_reasons!B2:B2113"")))-1)"),"Byrd")</f>
        <v>Byrd</v>
      </c>
      <c r="C937" s="3">
        <v>1996.0</v>
      </c>
      <c r="D937" s="5" t="str">
        <f>IFERROR(__xludf.DUMMYFUNCTION("IFS(AND(
FILTER(IMPORTRANGE(""https://docs.google.com/spreadsheets/d/1BJSV3WBYJGRhQ6zExamkszQ5VutGIcaQqmbD9ZTVXMQ/edit#gid=1251630045"",""articles_with_PRISMA_reasons!Y2:Y2113""), $A937=IMPORTRANGE(""https://docs.google.com/spreadsheets/d/1BJSV3WBYJGRhQ6z"&amp;"ExamkszQ5VutGIcaQqmbD9ZTVXMQ/edit#gid=1251630045"",""articles_with_PRISMA_reasons!B2:B2113""))&gt;=2,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$A937=IMPORTRANGE(""https://docs.google.com/spreadsheets/d/1BJSV3WBYJGRhQ6zExamkszQ5VutGIcaQqmbD9ZTVXMQ/edit#gid=1251630045"",""articles_with_PRISMA_reasons!B2:B2113""))&lt;2),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$A937=IMPORTRANGE(""https://docs.google.com/spreadsheets/d/1BJSV3WBYJGRhQ6zExamkszQ5VutGIcaQqmbD9ZTVXMQ/edit#gid=1251630045"",""arti"&amp;"cles_with_PRISMA_reasons!B2:B2113""))&lt;2,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$A937=IMPORTRANGE(""https://docs.google.com"&amp;"/spreadsheets/d/1BJSV3WBYJGRhQ6zExamkszQ5VutGIcaQqmbD9ZTVXMQ/edit#gid=1251630045"",""articles_with_PRISMA_reasons!B2:B2113""))&gt;=2),
""Exclude""
)"),"Exclude")</f>
        <v>Exclude</v>
      </c>
      <c r="E937" s="5" t="str">
        <f>IFERROR(__xludf.DUMMYFUNCTION("IFS(
D937=""Exclude"",""Exclude"",
AND(
FILTER(IMPORTRANGE(""https://docs.google.com/spreadsheets/d/1qpEmbGH0JjaJbUdp21-y2cPbobDbMjr09BbtdKROZWc/edit#gid=1444865654"",""articles_with_PRISMA_reasons!W2:W2113""), $A937=IMPORTRANGE(""https://docs.google.com/"&amp;"spreadsheets/d/1qpEmbGH0JjaJbUdp21-y2cPbobDbMjr09BbtdKROZWc/edit#gid=1444865654"",""articles_with_PRISMA_reasons!B2:B2113""))&gt;=2,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$A937=IMPORTRANGE(""https://docs.google.com/spreadsheets/d/1qpEmbGH0JjaJbUdp21-y2cPbobDbMjr09BbtdKROZWc/edit#gid=1444865654"",""articles_with_PRISMA_reasons!B2:B2113""))&lt;2),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$A937=IMPORTRANGE(""https://docs.google.com/spreadsheets/d/1qpEmbGH0JjaJbUdp21-y2cPbobDbMjr09BbtdKRO"&amp;"ZWc/edit#gid=1444865654"",""articles_with_PRISMA_reasons!B2:B2113""))&lt;2,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$A937=IMPOR"&amp;"TRANGE(""https://docs.google.com/spreadsheets/d/1qpEmbGH0JjaJbUdp21-y2cPbobDbMjr09BbtdKROZWc/edit#gid=1444865654"",""articles_with_PRISMA_reasons!B2:B2113""))&gt;=2),
""Exclude""
)"),"Exclude")</f>
        <v>Exclude</v>
      </c>
      <c r="F937" s="5" t="str">
        <f>IFERROR(__xludf.DUMMYFUNCTION("IFS(
E937=""Exclude"",""Exclude"",
AND(
COUNTIF(
IMPORTRANGE(""https://docs.google.com/spreadsheets/d/1kGrh75X1cNR1D7_FcY9zMnHP8iPO4M5RCRjy6nZY0TY/edit#gid=0"",""Table 1: Study characteristics!B4:B171""),A937)&gt;0,
COUNTIF(Studies!$A$2:$A$85,FILTER(IMPORTRA"&amp;"NGE(""https://docs.google.com/spreadsheets/d/1kGrh75X1cNR1D7_FcY9zMnHP8iPO4M5RCRjy6nZY0TY/edit#gid=0"",""Table 1: Study characteristics!A4:A171""), $A937=IMPORTRANGE(""https://docs.google.com/spreadsheets/d/1kGrh75X1cNR1D7_FcY9zMnHP8iPO4M5RCRjy6nZY0TY/edi"&amp;"t#gid=0"",""Table 1: Study characteristics!B4:B171"")))&gt;0
),
""Include""
)"),"Exclude")</f>
        <v>Exclude</v>
      </c>
      <c r="G937" s="5" t="s">
        <v>7</v>
      </c>
    </row>
    <row r="938">
      <c r="A938" s="4" t="str">
        <f>IFERROR(__xludf.DUMMYFUNCTION("""COMPUTED_VALUE"""),"Imaging of terminal myelocystoceles")</f>
        <v>Imaging of terminal myelocystoceles</v>
      </c>
      <c r="B938" s="5" t="str">
        <f>IFERROR(__xludf.DUMMYFUNCTION("LEFT(FILTER(IMPORTRANGE(""https://docs.google.com/spreadsheets/d/1BJSV3WBYJGRhQ6zExamkszQ5VutGIcaQqmbD9ZTVXMQ/edit#gid=1251630045"",""articles_with_PRISMA_reasons!K2:K2113""), $A938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$A938=IMPORTRANGE(""https://docs.google.com/spreadsheets/d/1BJSV3WBYJGRhQ6zExamkszQ5VutGIcaQqmbD9ZTVXMQ/edit#gid=1251630045"",""articles_with_PRISMA_reasons!B2:B2113"")))-1)"),"Byrd")</f>
        <v>Byrd</v>
      </c>
      <c r="C938" s="3">
        <v>1996.0</v>
      </c>
      <c r="D938" s="5" t="str">
        <f>IFERROR(__xludf.DUMMYFUNCTION("IFS(AND(
FILTER(IMPORTRANGE(""https://docs.google.com/spreadsheets/d/1BJSV3WBYJGRhQ6zExamkszQ5VutGIcaQqmbD9ZTVXMQ/edit#gid=1251630045"",""articles_with_PRISMA_reasons!Y2:Y2113""), $A938=IMPORTRANGE(""https://docs.google.com/spreadsheets/d/1BJSV3WBYJGRhQ6z"&amp;"ExamkszQ5VutGIcaQqmbD9ZTVXMQ/edit#gid=1251630045"",""articles_with_PRISMA_reasons!B2:B2113""))&gt;=2,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$A938=IMPORTRANGE(""https://docs.google.com/spreadsheets/d/1BJSV3WBYJGRhQ6zExamkszQ5VutGIcaQqmbD9ZTVXMQ/edit#gid=1251630045"",""articles_with_PRISMA_reasons!B2:B2113""))&lt;2),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$A938=IMPORTRANGE(""https://docs.google.com/spreadsheets/d/1BJSV3WBYJGRhQ6zExamkszQ5VutGIcaQqmbD9ZTVXMQ/edit#gid=1251630045"",""arti"&amp;"cles_with_PRISMA_reasons!B2:B2113""))&lt;2,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$A938=IMPORTRANGE(""https://docs.google.com"&amp;"/spreadsheets/d/1BJSV3WBYJGRhQ6zExamkszQ5VutGIcaQqmbD9ZTVXMQ/edit#gid=1251630045"",""articles_with_PRISMA_reasons!B2:B2113""))&gt;=2),
""Exclude""
)"),"Exclude")</f>
        <v>Exclude</v>
      </c>
      <c r="E938" s="5" t="str">
        <f>IFERROR(__xludf.DUMMYFUNCTION("IFS(
D938=""Exclude"",""Exclude"",
AND(
FILTER(IMPORTRANGE(""https://docs.google.com/spreadsheets/d/1qpEmbGH0JjaJbUdp21-y2cPbobDbMjr09BbtdKROZWc/edit#gid=1444865654"",""articles_with_PRISMA_reasons!W2:W2113""), $A938=IMPORTRANGE(""https://docs.google.com/"&amp;"spreadsheets/d/1qpEmbGH0JjaJbUdp21-y2cPbobDbMjr09BbtdKROZWc/edit#gid=1444865654"",""articles_with_PRISMA_reasons!B2:B2113""))&gt;=2,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$A938=IMPORTRANGE(""https://docs.google.com/spreadsheets/d/1qpEmbGH0JjaJbUdp21-y2cPbobDbMjr09BbtdKROZWc/edit#gid=1444865654"",""articles_with_PRISMA_reasons!B2:B2113""))&lt;2),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$A938=IMPORTRANGE(""https://docs.google.com/spreadsheets/d/1qpEmbGH0JjaJbUdp21-y2cPbobDbMjr09BbtdKRO"&amp;"ZWc/edit#gid=1444865654"",""articles_with_PRISMA_reasons!B2:B2113""))&lt;2,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$A938=IMPOR"&amp;"TRANGE(""https://docs.google.com/spreadsheets/d/1qpEmbGH0JjaJbUdp21-y2cPbobDbMjr09BbtdKROZWc/edit#gid=1444865654"",""articles_with_PRISMA_reasons!B2:B2113""))&gt;=2),
""Exclude""
)"),"Exclude")</f>
        <v>Exclude</v>
      </c>
      <c r="F938" s="5" t="str">
        <f>IFERROR(__xludf.DUMMYFUNCTION("IFS(
E938=""Exclude"",""Exclude"",
AND(
COUNTIF(
IMPORTRANGE(""https://docs.google.com/spreadsheets/d/1kGrh75X1cNR1D7_FcY9zMnHP8iPO4M5RCRjy6nZY0TY/edit#gid=0"",""Table 1: Study characteristics!B4:B171""),A938)&gt;0,
COUNTIF(Studies!$A$2:$A$85,FILTER(IMPORTRA"&amp;"NGE(""https://docs.google.com/spreadsheets/d/1kGrh75X1cNR1D7_FcY9zMnHP8iPO4M5RCRjy6nZY0TY/edit#gid=0"",""Table 1: Study characteristics!A4:A171""), $A938=IMPORTRANGE(""https://docs.google.com/spreadsheets/d/1kGrh75X1cNR1D7_FcY9zMnHP8iPO4M5RCRjy6nZY0TY/edi"&amp;"t#gid=0"",""Table 1: Study characteristics!B4:B171"")))&gt;0
),
""Include""
)"),"Exclude")</f>
        <v>Exclude</v>
      </c>
      <c r="G938" s="2" t="s">
        <v>13</v>
      </c>
    </row>
    <row r="939">
      <c r="A939" s="4" t="str">
        <f>IFERROR(__xludf.DUMMYFUNCTION("""COMPUTED_VALUE"""),"Imaging the course of a hypoplastic cerebellum in a spina bifida newborn")</f>
        <v>Imaging the course of a hypoplastic cerebellum in a spina bifida newborn</v>
      </c>
      <c r="B939" s="5" t="str">
        <f>IFERROR(__xludf.DUMMYFUNCTION("LEFT(FILTER(IMPORTRANGE(""https://docs.google.com/spreadsheets/d/1BJSV3WBYJGRhQ6zExamkszQ5VutGIcaQqmbD9ZTVXMQ/edit#gid=1251630045"",""articles_with_PRISMA_reasons!K2:K2113""), $A939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$A939=IMPORTRANGE(""https://docs.google.com/spreadsheets/d/1BJSV3WBYJGRhQ6zExamkszQ5VutGIcaQqmbD9ZTVXMQ/edit#gid=1251630045"",""articles_with_PRISMA_reasons!B2:B2113"")))-1)"),"Kronenburg")</f>
        <v>Kronenburg</v>
      </c>
      <c r="C939" s="6">
        <f>IFERROR(__xludf.DUMMYFUNCTION("FILTER(IMPORTRANGE(""https://docs.google.com/spreadsheets/d/1BJSV3WBYJGRhQ6zExamkszQ5VutGIcaQqmbD9ZTVXMQ/edit#gid=1251630045"",""articles_with_PRISMA_reasons!C2:C2113""), $A939=IMPORTRANGE(""https://docs.google.com/spreadsheets/d/1BJSV3WBYJGRhQ6zExamkszQ5"&amp;"VutGIcaQqmbD9ZTVXMQ/edit#gid=1251630045"",""articles_with_PRISMA_reasons!B2:B2113""))"),2013.0)</f>
        <v>2013</v>
      </c>
      <c r="D939" s="5" t="str">
        <f>IFERROR(__xludf.DUMMYFUNCTION("IFS(AND(
FILTER(IMPORTRANGE(""https://docs.google.com/spreadsheets/d/1BJSV3WBYJGRhQ6zExamkszQ5VutGIcaQqmbD9ZTVXMQ/edit#gid=1251630045"",""articles_with_PRISMA_reasons!Y2:Y2113""), $A939=IMPORTRANGE(""https://docs.google.com/spreadsheets/d/1BJSV3WBYJGRhQ6z"&amp;"ExamkszQ5VutGIcaQqmbD9ZTVXMQ/edit#gid=1251630045"",""articles_with_PRISMA_reasons!B2:B2113""))&gt;=2,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$A939=IMPORTRANGE(""https://docs.google.com/spreadsheets/d/1BJSV3WBYJGRhQ6zExamkszQ5VutGIcaQqmbD9ZTVXMQ/edit#gid=1251630045"",""articles_with_PRISMA_reasons!B2:B2113""))&lt;2),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$A939=IMPORTRANGE(""https://docs.google.com/spreadsheets/d/1BJSV3WBYJGRhQ6zExamkszQ5VutGIcaQqmbD9ZTVXMQ/edit#gid=1251630045"",""arti"&amp;"cles_with_PRISMA_reasons!B2:B2113""))&lt;2,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$A939=IMPORTRANGE(""https://docs.google.com"&amp;"/spreadsheets/d/1BJSV3WBYJGRhQ6zExamkszQ5VutGIcaQqmbD9ZTVXMQ/edit#gid=1251630045"",""articles_with_PRISMA_reasons!B2:B2113""))&gt;=2),
""Exclude""
)"),"Exclude")</f>
        <v>Exclude</v>
      </c>
      <c r="E939" s="5" t="str">
        <f>IFERROR(__xludf.DUMMYFUNCTION("IFS(
D939=""Exclude"",""Exclude"",
AND(
FILTER(IMPORTRANGE(""https://docs.google.com/spreadsheets/d/1qpEmbGH0JjaJbUdp21-y2cPbobDbMjr09BbtdKROZWc/edit#gid=1444865654"",""articles_with_PRISMA_reasons!W2:W2113""), $A939=IMPORTRANGE(""https://docs.google.com/"&amp;"spreadsheets/d/1qpEmbGH0JjaJbUdp21-y2cPbobDbMjr09BbtdKROZWc/edit#gid=1444865654"",""articles_with_PRISMA_reasons!B2:B2113""))&gt;=2,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$A939=IMPORTRANGE(""https://docs.google.com/spreadsheets/d/1qpEmbGH0JjaJbUdp21-y2cPbobDbMjr09BbtdKROZWc/edit#gid=1444865654"",""articles_with_PRISMA_reasons!B2:B2113""))&lt;2),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$A939=IMPORTRANGE(""https://docs.google.com/spreadsheets/d/1qpEmbGH0JjaJbUdp21-y2cPbobDbMjr09BbtdKRO"&amp;"ZWc/edit#gid=1444865654"",""articles_with_PRISMA_reasons!B2:B2113""))&lt;2,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$A939=IMPOR"&amp;"TRANGE(""https://docs.google.com/spreadsheets/d/1qpEmbGH0JjaJbUdp21-y2cPbobDbMjr09BbtdKROZWc/edit#gid=1444865654"",""articles_with_PRISMA_reasons!B2:B2113""))&gt;=2),
""Exclude""
)"),"Exclude")</f>
        <v>Exclude</v>
      </c>
      <c r="F939" s="5" t="str">
        <f>IFERROR(__xludf.DUMMYFUNCTION("IFS(
E939=""Exclude"",""Exclude"",
AND(
COUNTIF(
IMPORTRANGE(""https://docs.google.com/spreadsheets/d/1kGrh75X1cNR1D7_FcY9zMnHP8iPO4M5RCRjy6nZY0TY/edit#gid=0"",""Table 1: Study characteristics!B4:B171""),A939)&gt;0,
COUNTIF(Studies!$A$2:$A$85,FILTER(IMPORTRA"&amp;"NGE(""https://docs.google.com/spreadsheets/d/1kGrh75X1cNR1D7_FcY9zMnHP8iPO4M5RCRjy6nZY0TY/edit#gid=0"",""Table 1: Study characteristics!A4:A171""), $A939=IMPORTRANGE(""https://docs.google.com/spreadsheets/d/1kGrh75X1cNR1D7_FcY9zMnHP8iPO4M5RCRjy6nZY0TY/edi"&amp;"t#gid=0"",""Table 1: Study characteristics!B4:B171"")))&gt;0
),
""Include""
)"),"Exclude")</f>
        <v>Exclude</v>
      </c>
      <c r="G939" s="5" t="str">
        <f>IFERROR(__xludf.DUMMYFUNCTION("IFS(
D939=""Exclude"",
FILTER(IMPORTRANGE(""https://docs.google.com/spreadsheets/d/1BJSV3WBYJGRhQ6zExamkszQ5VutGIcaQqmbD9ZTVXMQ/edit#gid=1251630045"",""articles_with_PRISMA_reasons!AB2:AB2113""), $A939=IMPORTRANGE(""https://docs.google.com/spreadsheets/d/"&amp;"1BJSV3WBYJGRhQ6zExamkszQ5VutGIcaQqmbD9ZTVXMQ/edit#gid=1251630045"",""articles_with_PRISMA_reasons!B2:B2113"")),
E939=""Exclude"",
FILTER(IMPORTRANGE(""https://docs.google.com/spreadsheets/d/1qpEmbGH0JjaJbUdp21-y2cPbobDbMjr09BbtdKROZWc/edit#gid=1444865654"&amp;""",""articles_with_PRISMA_reasons!Z2:Z2113""), $A939=IMPORTRANGE(""https://docs.google.com/spreadsheets/d/1qpEmbGH0JjaJbUdp21-y2cPbobDbMjr09BbtdKROZWc/edit#gid=1444865654"",""articles_with_PRISMA_reasons!B2:B2113"")),F939
=""Include"",FILTER(IMPORTRANGE("&amp;"""https://docs.google.com/spreadsheets/d/1kGrh75X1cNR1D7_FcY9zMnHP8iPO4M5RCRjy6nZY0TY/edit#gid=0"",""Table 1: Study characteristics!A4:A171""), $A939=IMPORTRANGE(""https://docs.google.com/spreadsheets/d/1kGrh75X1cNR1D7_FcY9zMnHP8iPO4M5RCRjy6nZY0TY/edit#gi"&amp;"d=0"",""Table 1: Study characteristics!B4:B171""))
)"),"wrong study design")</f>
        <v>wrong study design</v>
      </c>
    </row>
    <row r="940">
      <c r="A940" s="4" t="str">
        <f>IFERROR(__xludf.DUMMYFUNCTION("""COMPUTED_VALUE"""),"Impact of elective termination on the occurrence of severe birth defects identified in a hospital-based active malformations surveillance program (1999 to 2002)")</f>
        <v>Impact of elective termination on the occurrence of severe birth defects identified in a hospital-based active malformations surveillance program (1999 to 2002)</v>
      </c>
      <c r="B940" s="5" t="str">
        <f>IFERROR(__xludf.DUMMYFUNCTION("LEFT(FILTER(IMPORTRANGE(""https://docs.google.com/spreadsheets/d/1BJSV3WBYJGRhQ6zExamkszQ5VutGIcaQqmbD9ZTVXMQ/edit#gid=1251630045"",""articles_with_PRISMA_reasons!K2:K2113""), $A940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$A940=IMPORTRANGE(""https://docs.google.com/spreadsheets/d/1BJSV3WBYJGRhQ6zExamkszQ5VutGIcaQqmbD9ZTVXMQ/edit#gid=1251630045"",""articles_with_PRISMA_reasons!B2:B2113"")))-1)"),"Thomas")</f>
        <v>Thomas</v>
      </c>
      <c r="C940" s="6">
        <f>IFERROR(__xludf.DUMMYFUNCTION("FILTER(IMPORTRANGE(""https://docs.google.com/spreadsheets/d/1BJSV3WBYJGRhQ6zExamkszQ5VutGIcaQqmbD9ZTVXMQ/edit#gid=1251630045"",""articles_with_PRISMA_reasons!C2:C2113""), $A940=IMPORTRANGE(""https://docs.google.com/spreadsheets/d/1BJSV3WBYJGRhQ6zExamkszQ5"&amp;"VutGIcaQqmbD9ZTVXMQ/edit#gid=1251630045"",""articles_with_PRISMA_reasons!B2:B2113""))"),2016.0)</f>
        <v>2016</v>
      </c>
      <c r="D940" s="5" t="str">
        <f>IFERROR(__xludf.DUMMYFUNCTION("IFS(AND(
FILTER(IMPORTRANGE(""https://docs.google.com/spreadsheets/d/1BJSV3WBYJGRhQ6zExamkszQ5VutGIcaQqmbD9ZTVXMQ/edit#gid=1251630045"",""articles_with_PRISMA_reasons!Y2:Y2113""), $A940=IMPORTRANGE(""https://docs.google.com/spreadsheets/d/1BJSV3WBYJGRhQ6z"&amp;"ExamkszQ5VutGIcaQqmbD9ZTVXMQ/edit#gid=1251630045"",""articles_with_PRISMA_reasons!B2:B2113""))&gt;=2,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$A940=IMPORTRANGE(""https://docs.google.com/spreadsheets/d/1BJSV3WBYJGRhQ6zExamkszQ5VutGIcaQqmbD9ZTVXMQ/edit#gid=1251630045"",""articles_with_PRISMA_reasons!B2:B2113""))&lt;2),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$A940=IMPORTRANGE(""https://docs.google.com/spreadsheets/d/1BJSV3WBYJGRhQ6zExamkszQ5VutGIcaQqmbD9ZTVXMQ/edit#gid=1251630045"",""arti"&amp;"cles_with_PRISMA_reasons!B2:B2113""))&lt;2,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$A940=IMPORTRANGE(""https://docs.google.com"&amp;"/spreadsheets/d/1BJSV3WBYJGRhQ6zExamkszQ5VutGIcaQqmbD9ZTVXMQ/edit#gid=1251630045"",""articles_with_PRISMA_reasons!B2:B2113""))&gt;=2),
""Exclude""
)"),"Exclude")</f>
        <v>Exclude</v>
      </c>
      <c r="E940" s="5" t="str">
        <f>IFERROR(__xludf.DUMMYFUNCTION("IFS(
D940=""Exclude"",""Exclude"",
AND(
FILTER(IMPORTRANGE(""https://docs.google.com/spreadsheets/d/1qpEmbGH0JjaJbUdp21-y2cPbobDbMjr09BbtdKROZWc/edit#gid=1444865654"",""articles_with_PRISMA_reasons!W2:W2113""), $A940=IMPORTRANGE(""https://docs.google.com/"&amp;"spreadsheets/d/1qpEmbGH0JjaJbUdp21-y2cPbobDbMjr09BbtdKROZWc/edit#gid=1444865654"",""articles_with_PRISMA_reasons!B2:B2113""))&gt;=2,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$A940=IMPORTRANGE(""https://docs.google.com/spreadsheets/d/1qpEmbGH0JjaJbUdp21-y2cPbobDbMjr09BbtdKROZWc/edit#gid=1444865654"",""articles_with_PRISMA_reasons!B2:B2113""))&lt;2),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$A940=IMPORTRANGE(""https://docs.google.com/spreadsheets/d/1qpEmbGH0JjaJbUdp21-y2cPbobDbMjr09BbtdKRO"&amp;"ZWc/edit#gid=1444865654"",""articles_with_PRISMA_reasons!B2:B2113""))&lt;2,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$A940=IMPOR"&amp;"TRANGE(""https://docs.google.com/spreadsheets/d/1qpEmbGH0JjaJbUdp21-y2cPbobDbMjr09BbtdKROZWc/edit#gid=1444865654"",""articles_with_PRISMA_reasons!B2:B2113""))&gt;=2),
""Exclude""
)"),"Exclude")</f>
        <v>Exclude</v>
      </c>
      <c r="F940" s="5" t="str">
        <f>IFERROR(__xludf.DUMMYFUNCTION("IFS(
E940=""Exclude"",""Exclude"",
AND(
COUNTIF(
IMPORTRANGE(""https://docs.google.com/spreadsheets/d/1kGrh75X1cNR1D7_FcY9zMnHP8iPO4M5RCRjy6nZY0TY/edit#gid=0"",""Table 1: Study characteristics!B4:B171""),A940)&gt;0,
COUNTIF(Studies!$A$2:$A$85,FILTER(IMPORTRA"&amp;"NGE(""https://docs.google.com/spreadsheets/d/1kGrh75X1cNR1D7_FcY9zMnHP8iPO4M5RCRjy6nZY0TY/edit#gid=0"",""Table 1: Study characteristics!A4:A171""), $A940=IMPORTRANGE(""https://docs.google.com/spreadsheets/d/1kGrh75X1cNR1D7_FcY9zMnHP8iPO4M5RCRjy6nZY0TY/edi"&amp;"t#gid=0"",""Table 1: Study characteristics!B4:B171"")))&gt;0
),
""Include""
)"),"Exclude")</f>
        <v>Exclude</v>
      </c>
      <c r="G940" s="5" t="str">
        <f>IFERROR(__xludf.DUMMYFUNCTION("IFS(
D940=""Exclude"",
FILTER(IMPORTRANGE(""https://docs.google.com/spreadsheets/d/1BJSV3WBYJGRhQ6zExamkszQ5VutGIcaQqmbD9ZTVXMQ/edit#gid=1251630045"",""articles_with_PRISMA_reasons!AB2:AB2113""), $A940=IMPORTRANGE(""https://docs.google.com/spreadsheets/d/"&amp;"1BJSV3WBYJGRhQ6zExamkszQ5VutGIcaQqmbD9ZTVXMQ/edit#gid=1251630045"",""articles_with_PRISMA_reasons!B2:B2113"")),
E940=""Exclude"",
FILTER(IMPORTRANGE(""https://docs.google.com/spreadsheets/d/1qpEmbGH0JjaJbUdp21-y2cPbobDbMjr09BbtdKROZWc/edit#gid=1444865654"&amp;""",""articles_with_PRISMA_reasons!Z2:Z2113""), $A940=IMPORTRANGE(""https://docs.google.com/spreadsheets/d/1qpEmbGH0JjaJbUdp21-y2cPbobDbMjr09BbtdKROZWc/edit#gid=1444865654"",""articles_with_PRISMA_reasons!B2:B2113"")),F940
=""Include"",FILTER(IMPORTRANGE("&amp;"""https://docs.google.com/spreadsheets/d/1kGrh75X1cNR1D7_FcY9zMnHP8iPO4M5RCRjy6nZY0TY/edit#gid=0"",""Table 1: Study characteristics!A4:A171""), $A940=IMPORTRANGE(""https://docs.google.com/spreadsheets/d/1kGrh75X1cNR1D7_FcY9zMnHP8iPO4M5RCRjy6nZY0TY/edit#gi"&amp;"d=0"",""Table 1: Study characteristics!B4:B171""))
)"),"wrong population")</f>
        <v>wrong population</v>
      </c>
    </row>
    <row r="941">
      <c r="A941" s="4" t="str">
        <f>IFERROR(__xludf.DUMMYFUNCTION("""COMPUTED_VALUE"""),"Impact of maternal-fetal surgery for myelomeningocele on the progression of ventriculomegaly in utero")</f>
        <v>Impact of maternal-fetal surgery for myelomeningocele on the progression of ventriculomegaly in utero</v>
      </c>
      <c r="B941" s="5" t="str">
        <f>IFERROR(__xludf.DUMMYFUNCTION("LEFT(FILTER(IMPORTRANGE(""https://docs.google.com/spreadsheets/d/1BJSV3WBYJGRhQ6zExamkszQ5VutGIcaQqmbD9ZTVXMQ/edit#gid=1251630045"",""articles_with_PRISMA_reasons!K2:K2113""), $A941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$A941=IMPORTRANGE(""https://docs.google.com/spreadsheets/d/1BJSV3WBYJGRhQ6zExamkszQ5VutGIcaQqmbD9ZTVXMQ/edit#gid=1251630045"",""articles_with_PRISMA_reasons!B2:B2113"")))-1)"),"Moise")</f>
        <v>Moise</v>
      </c>
      <c r="C941" s="6">
        <f>IFERROR(__xludf.DUMMYFUNCTION("FILTER(IMPORTRANGE(""https://docs.google.com/spreadsheets/d/1BJSV3WBYJGRhQ6zExamkszQ5VutGIcaQqmbD9ZTVXMQ/edit#gid=1251630045"",""articles_with_PRISMA_reasons!C2:C2113""), $A941=IMPORTRANGE(""https://docs.google.com/spreadsheets/d/1BJSV3WBYJGRhQ6zExamkszQ5"&amp;"VutGIcaQqmbD9ZTVXMQ/edit#gid=1251630045"",""articles_with_PRISMA_reasons!B2:B2113""))"),2005.0)</f>
        <v>2005</v>
      </c>
      <c r="D941" s="5" t="str">
        <f>IFERROR(__xludf.DUMMYFUNCTION("IFS(AND(
FILTER(IMPORTRANGE(""https://docs.google.com/spreadsheets/d/1BJSV3WBYJGRhQ6zExamkszQ5VutGIcaQqmbD9ZTVXMQ/edit#gid=1251630045"",""articles_with_PRISMA_reasons!Y2:Y2113""), $A941=IMPORTRANGE(""https://docs.google.com/spreadsheets/d/1BJSV3WBYJGRhQ6z"&amp;"ExamkszQ5VutGIcaQqmbD9ZTVXMQ/edit#gid=1251630045"",""articles_with_PRISMA_reasons!B2:B2113""))&gt;=2,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$A941=IMPORTRANGE(""https://docs.google.com/spreadsheets/d/1BJSV3WBYJGRhQ6zExamkszQ5VutGIcaQqmbD9ZTVXMQ/edit#gid=1251630045"",""articles_with_PRISMA_reasons!B2:B2113""))&lt;2),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$A941=IMPORTRANGE(""https://docs.google.com/spreadsheets/d/1BJSV3WBYJGRhQ6zExamkszQ5VutGIcaQqmbD9ZTVXMQ/edit#gid=1251630045"",""arti"&amp;"cles_with_PRISMA_reasons!B2:B2113""))&lt;2,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$A941=IMPORTRANGE(""https://docs.google.com"&amp;"/spreadsheets/d/1BJSV3WBYJGRhQ6zExamkszQ5VutGIcaQqmbD9ZTVXMQ/edit#gid=1251630045"",""articles_with_PRISMA_reasons!B2:B2113""))&gt;=2),
""Exclude""
)"),"Exclude")</f>
        <v>Exclude</v>
      </c>
      <c r="E941" s="5" t="str">
        <f>IFERROR(__xludf.DUMMYFUNCTION("IFS(
D941=""Exclude"",""Exclude"",
AND(
FILTER(IMPORTRANGE(""https://docs.google.com/spreadsheets/d/1qpEmbGH0JjaJbUdp21-y2cPbobDbMjr09BbtdKROZWc/edit#gid=1444865654"",""articles_with_PRISMA_reasons!W2:W2113""), $A941=IMPORTRANGE(""https://docs.google.com/"&amp;"spreadsheets/d/1qpEmbGH0JjaJbUdp21-y2cPbobDbMjr09BbtdKROZWc/edit#gid=1444865654"",""articles_with_PRISMA_reasons!B2:B2113""))&gt;=2,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$A941=IMPORTRANGE(""https://docs.google.com/spreadsheets/d/1qpEmbGH0JjaJbUdp21-y2cPbobDbMjr09BbtdKROZWc/edit#gid=1444865654"",""articles_with_PRISMA_reasons!B2:B2113""))&lt;2),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$A941=IMPORTRANGE(""https://docs.google.com/spreadsheets/d/1qpEmbGH0JjaJbUdp21-y2cPbobDbMjr09BbtdKRO"&amp;"ZWc/edit#gid=1444865654"",""articles_with_PRISMA_reasons!B2:B2113""))&lt;2,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$A941=IMPOR"&amp;"TRANGE(""https://docs.google.com/spreadsheets/d/1qpEmbGH0JjaJbUdp21-y2cPbobDbMjr09BbtdKROZWc/edit#gid=1444865654"",""articles_with_PRISMA_reasons!B2:B2113""))&gt;=2),
""Exclude""
)"),"Exclude")</f>
        <v>Exclude</v>
      </c>
      <c r="F941" s="5" t="str">
        <f>IFERROR(__xludf.DUMMYFUNCTION("IFS(
E941=""Exclude"",""Exclude"",
AND(
COUNTIF(
IMPORTRANGE(""https://docs.google.com/spreadsheets/d/1kGrh75X1cNR1D7_FcY9zMnHP8iPO4M5RCRjy6nZY0TY/edit#gid=0"",""Table 1: Study characteristics!B4:B171""),A941)&gt;0,
COUNTIF(Studies!$A$2:$A$85,FILTER(IMPORTRA"&amp;"NGE(""https://docs.google.com/spreadsheets/d/1kGrh75X1cNR1D7_FcY9zMnHP8iPO4M5RCRjy6nZY0TY/edit#gid=0"",""Table 1: Study characteristics!A4:A171""), $A941=IMPORTRANGE(""https://docs.google.com/spreadsheets/d/1kGrh75X1cNR1D7_FcY9zMnHP8iPO4M5RCRjy6nZY0TY/edi"&amp;"t#gid=0"",""Table 1: Study characteristics!B4:B171"")))&gt;0
),
""Include""
)"),"Exclude")</f>
        <v>Exclude</v>
      </c>
      <c r="G941" s="5" t="str">
        <f>IFERROR(__xludf.DUMMYFUNCTION("IFS(
D941=""Exclude"",
FILTER(IMPORTRANGE(""https://docs.google.com/spreadsheets/d/1BJSV3WBYJGRhQ6zExamkszQ5VutGIcaQqmbD9ZTVXMQ/edit#gid=1251630045"",""articles_with_PRISMA_reasons!AB2:AB2113""), $A941=IMPORTRANGE(""https://docs.google.com/spreadsheets/d/"&amp;"1BJSV3WBYJGRhQ6zExamkszQ5VutGIcaQqmbD9ZTVXMQ/edit#gid=1251630045"",""articles_with_PRISMA_reasons!B2:B2113"")),
E941=""Exclude"",
FILTER(IMPORTRANGE(""https://docs.google.com/spreadsheets/d/1qpEmbGH0JjaJbUdp21-y2cPbobDbMjr09BbtdKROZWc/edit#gid=1444865654"&amp;""",""articles_with_PRISMA_reasons!Z2:Z2113""), $A941=IMPORTRANGE(""https://docs.google.com/spreadsheets/d/1qpEmbGH0JjaJbUdp21-y2cPbobDbMjr09BbtdKROZWc/edit#gid=1444865654"",""articles_with_PRISMA_reasons!B2:B2113"")),F941
=""Include"",FILTER(IMPORTRANGE("&amp;"""https://docs.google.com/spreadsheets/d/1kGrh75X1cNR1D7_FcY9zMnHP8iPO4M5RCRjy6nZY0TY/edit#gid=0"",""Table 1: Study characteristics!A4:A171""), $A941=IMPORTRANGE(""https://docs.google.com/spreadsheets/d/1kGrh75X1cNR1D7_FcY9zMnHP8iPO4M5RCRjy6nZY0TY/edit#gi"&amp;"d=0"",""Table 1: Study characteristics!B4:B171""))
)"),"wrong population")</f>
        <v>wrong population</v>
      </c>
    </row>
    <row r="942">
      <c r="A942" s="4" t="str">
        <f>IFERROR(__xludf.DUMMYFUNCTION("""COMPUTED_VALUE"""),"Impact of the size of the lesion in prenatal neural tube defect repair on imaging, neurosurgical and motor outcomes: a retrospective cohort study")</f>
        <v>Impact of the size of the lesion in prenatal neural tube defect repair on imaging, neurosurgical and motor outcomes: a retrospective cohort study</v>
      </c>
      <c r="B942" s="5" t="str">
        <f>IFERROR(__xludf.DUMMYFUNCTION("LEFT(FILTER(IMPORTRANGE(""https://docs.google.com/spreadsheets/d/1BJSV3WBYJGRhQ6zExamkszQ5VutGIcaQqmbD9ZTVXMQ/edit#gid=1251630045"",""articles_with_PRISMA_reasons!K2:K2113""), $A942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$A942=IMPORTRANGE(""https://docs.google.com/spreadsheets/d/1BJSV3WBYJGRhQ6zExamkszQ5VutGIcaQqmbD9ZTVXMQ/edit#gid=1251630045"",""articles_with_PRISMA_reasons!B2:B2113"")))-1)"),"Corroenne")</f>
        <v>Corroenne</v>
      </c>
      <c r="C942" s="6">
        <f>IFERROR(__xludf.DUMMYFUNCTION("FILTER(IMPORTRANGE(""https://docs.google.com/spreadsheets/d/1BJSV3WBYJGRhQ6zExamkszQ5VutGIcaQqmbD9ZTVXMQ/edit#gid=1251630045"",""articles_with_PRISMA_reasons!C2:C2113""), $A942=IMPORTRANGE(""https://docs.google.com/spreadsheets/d/1BJSV3WBYJGRhQ6zExamkszQ5"&amp;"VutGIcaQqmbD9ZTVXMQ/edit#gid=1251630045"",""articles_with_PRISMA_reasons!B2:B2113""))"),2021.0)</f>
        <v>2021</v>
      </c>
      <c r="D942" s="5" t="str">
        <f>IFERROR(__xludf.DUMMYFUNCTION("IFS(AND(
FILTER(IMPORTRANGE(""https://docs.google.com/spreadsheets/d/1BJSV3WBYJGRhQ6zExamkszQ5VutGIcaQqmbD9ZTVXMQ/edit#gid=1251630045"",""articles_with_PRISMA_reasons!Y2:Y2113""), $A942=IMPORTRANGE(""https://docs.google.com/spreadsheets/d/1BJSV3WBYJGRhQ6z"&amp;"ExamkszQ5VutGIcaQqmbD9ZTVXMQ/edit#gid=1251630045"",""articles_with_PRISMA_reasons!B2:B2113""))&gt;=2,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$A942=IMPORTRANGE(""https://docs.google.com/spreadsheets/d/1BJSV3WBYJGRhQ6zExamkszQ5VutGIcaQqmbD9ZTVXMQ/edit#gid=1251630045"",""articles_with_PRISMA_reasons!B2:B2113""))&lt;2),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$A942=IMPORTRANGE(""https://docs.google.com/spreadsheets/d/1BJSV3WBYJGRhQ6zExamkszQ5VutGIcaQqmbD9ZTVXMQ/edit#gid=1251630045"",""arti"&amp;"cles_with_PRISMA_reasons!B2:B2113""))&lt;2,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$A942=IMPORTRANGE(""https://docs.google.com"&amp;"/spreadsheets/d/1BJSV3WBYJGRhQ6zExamkszQ5VutGIcaQqmbD9ZTVXMQ/edit#gid=1251630045"",""articles_with_PRISMA_reasons!B2:B2113""))&gt;=2),
""Exclude""
)"),"Exclude")</f>
        <v>Exclude</v>
      </c>
      <c r="E942" s="5" t="str">
        <f>IFERROR(__xludf.DUMMYFUNCTION("IFS(
D942=""Exclude"",""Exclude"",
AND(
FILTER(IMPORTRANGE(""https://docs.google.com/spreadsheets/d/1qpEmbGH0JjaJbUdp21-y2cPbobDbMjr09BbtdKROZWc/edit#gid=1444865654"",""articles_with_PRISMA_reasons!W2:W2113""), $A942=IMPORTRANGE(""https://docs.google.com/"&amp;"spreadsheets/d/1qpEmbGH0JjaJbUdp21-y2cPbobDbMjr09BbtdKROZWc/edit#gid=1444865654"",""articles_with_PRISMA_reasons!B2:B2113""))&gt;=2,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$A942=IMPORTRANGE(""https://docs.google.com/spreadsheets/d/1qpEmbGH0JjaJbUdp21-y2cPbobDbMjr09BbtdKROZWc/edit#gid=1444865654"",""articles_with_PRISMA_reasons!B2:B2113""))&lt;2),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$A942=IMPORTRANGE(""https://docs.google.com/spreadsheets/d/1qpEmbGH0JjaJbUdp21-y2cPbobDbMjr09BbtdKRO"&amp;"ZWc/edit#gid=1444865654"",""articles_with_PRISMA_reasons!B2:B2113""))&lt;2,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$A942=IMPOR"&amp;"TRANGE(""https://docs.google.com/spreadsheets/d/1qpEmbGH0JjaJbUdp21-y2cPbobDbMjr09BbtdKROZWc/edit#gid=1444865654"",""articles_with_PRISMA_reasons!B2:B2113""))&gt;=2),
""Exclude""
)"),"Exclude")</f>
        <v>Exclude</v>
      </c>
      <c r="F942" s="5" t="str">
        <f>IFERROR(__xludf.DUMMYFUNCTION("IFS(
E942=""Exclude"",""Exclude"",
AND(
COUNTIF(
IMPORTRANGE(""https://docs.google.com/spreadsheets/d/1kGrh75X1cNR1D7_FcY9zMnHP8iPO4M5RCRjy6nZY0TY/edit#gid=0"",""Table 1: Study characteristics!B4:B171""),A942)&gt;0,
COUNTIF(Studies!$A$2:$A$85,FILTER(IMPORTRA"&amp;"NGE(""https://docs.google.com/spreadsheets/d/1kGrh75X1cNR1D7_FcY9zMnHP8iPO4M5RCRjy6nZY0TY/edit#gid=0"",""Table 1: Study characteristics!A4:A171""), $A942=IMPORTRANGE(""https://docs.google.com/spreadsheets/d/1kGrh75X1cNR1D7_FcY9zMnHP8iPO4M5RCRjy6nZY0TY/edi"&amp;"t#gid=0"",""Table 1: Study characteristics!B4:B171"")))&gt;0
),
""Include""
)"),"Exclude")</f>
        <v>Exclude</v>
      </c>
      <c r="G942" s="5" t="str">
        <f>IFERROR(__xludf.DUMMYFUNCTION("IFS(
D942=""Exclude"",
FILTER(IMPORTRANGE(""https://docs.google.com/spreadsheets/d/1BJSV3WBYJGRhQ6zExamkszQ5VutGIcaQqmbD9ZTVXMQ/edit#gid=1251630045"",""articles_with_PRISMA_reasons!AB2:AB2113""), $A942=IMPORTRANGE(""https://docs.google.com/spreadsheets/d/"&amp;"1BJSV3WBYJGRhQ6zExamkszQ5VutGIcaQqmbD9ZTVXMQ/edit#gid=1251630045"",""articles_with_PRISMA_reasons!B2:B2113"")),
E942=""Exclude"",
FILTER(IMPORTRANGE(""https://docs.google.com/spreadsheets/d/1qpEmbGH0JjaJbUdp21-y2cPbobDbMjr09BbtdKROZWc/edit#gid=1444865654"&amp;""",""articles_with_PRISMA_reasons!Z2:Z2113""), $A942=IMPORTRANGE(""https://docs.google.com/spreadsheets/d/1qpEmbGH0JjaJbUdp21-y2cPbobDbMjr09BbtdKROZWc/edit#gid=1444865654"",""articles_with_PRISMA_reasons!B2:B2113"")),F942
=""Include"",FILTER(IMPORTRANGE("&amp;"""https://docs.google.com/spreadsheets/d/1kGrh75X1cNR1D7_FcY9zMnHP8iPO4M5RCRjy6nZY0TY/edit#gid=0"",""Table 1: Study characteristics!A4:A171""), $A942=IMPORTRANGE(""https://docs.google.com/spreadsheets/d/1kGrh75X1cNR1D7_FcY9zMnHP8iPO4M5RCRjy6nZY0TY/edit#gi"&amp;"d=0"",""Table 1: Study characteristics!B4:B171""))
)"),"wrong population")</f>
        <v>wrong population</v>
      </c>
    </row>
    <row r="943">
      <c r="A943" s="4" t="str">
        <f>IFERROR(__xludf.DUMMYFUNCTION("""COMPUTED_VALUE"""),"Impaired mental capabilities and hand function in meylomeningocele patients")</f>
        <v>Impaired mental capabilities and hand function in meylomeningocele patients</v>
      </c>
      <c r="B943" s="5" t="str">
        <f>IFERROR(__xludf.DUMMYFUNCTION("LEFT(FILTER(IMPORTRANGE(""https://docs.google.com/spreadsheets/d/1BJSV3WBYJGRhQ6zExamkszQ5VutGIcaQqmbD9ZTVXMQ/edit#gid=1251630045"",""articles_with_PRISMA_reasons!K2:K2113""), $A943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$A943=IMPORTRANGE(""https://docs.google.com/spreadsheets/d/1BJSV3WBYJGRhQ6zExamkszQ5VutGIcaQqmbD9ZTVXMQ/edit#gid=1251630045"",""articles_with_PRISMA_reasons!B2:B2113"")))-1)"),"Mazur")</f>
        <v>Mazur</v>
      </c>
      <c r="C943" s="6">
        <f>IFERROR(__xludf.DUMMYFUNCTION("FILTER(IMPORTRANGE(""https://docs.google.com/spreadsheets/d/1BJSV3WBYJGRhQ6zExamkszQ5VutGIcaQqmbD9ZTVXMQ/edit#gid=1251630045"",""articles_with_PRISMA_reasons!C2:C2113""), $A943=IMPORTRANGE(""https://docs.google.com/spreadsheets/d/1BJSV3WBYJGRhQ6zExamkszQ5"&amp;"VutGIcaQqmbD9ZTVXMQ/edit#gid=1251630045"",""articles_with_PRISMA_reasons!B2:B2113""))"),1988.0)</f>
        <v>1988</v>
      </c>
      <c r="D943" s="5" t="str">
        <f>IFERROR(__xludf.DUMMYFUNCTION("IFS(AND(
FILTER(IMPORTRANGE(""https://docs.google.com/spreadsheets/d/1BJSV3WBYJGRhQ6zExamkszQ5VutGIcaQqmbD9ZTVXMQ/edit#gid=1251630045"",""articles_with_PRISMA_reasons!Y2:Y2113""), $A943=IMPORTRANGE(""https://docs.google.com/spreadsheets/d/1BJSV3WBYJGRhQ6z"&amp;"ExamkszQ5VutGIcaQqmbD9ZTVXMQ/edit#gid=1251630045"",""articles_with_PRISMA_reasons!B2:B2113""))&gt;=2,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$A943=IMPORTRANGE(""https://docs.google.com/spreadsheets/d/1BJSV3WBYJGRhQ6zExamkszQ5VutGIcaQqmbD9ZTVXMQ/edit#gid=1251630045"",""articles_with_PRISMA_reasons!B2:B2113""))&lt;2),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$A943=IMPORTRANGE(""https://docs.google.com/spreadsheets/d/1BJSV3WBYJGRhQ6zExamkszQ5VutGIcaQqmbD9ZTVXMQ/edit#gid=1251630045"",""arti"&amp;"cles_with_PRISMA_reasons!B2:B2113""))&lt;2,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$A943=IMPORTRANGE(""https://docs.google.com"&amp;"/spreadsheets/d/1BJSV3WBYJGRhQ6zExamkszQ5VutGIcaQqmbD9ZTVXMQ/edit#gid=1251630045"",""articles_with_PRISMA_reasons!B2:B2113""))&gt;=2),
""Exclude""
)"),"Exclude")</f>
        <v>Exclude</v>
      </c>
      <c r="E943" s="5" t="str">
        <f>IFERROR(__xludf.DUMMYFUNCTION("IFS(
D943=""Exclude"",""Exclude"",
AND(
FILTER(IMPORTRANGE(""https://docs.google.com/spreadsheets/d/1qpEmbGH0JjaJbUdp21-y2cPbobDbMjr09BbtdKROZWc/edit#gid=1444865654"",""articles_with_PRISMA_reasons!W2:W2113""), $A943=IMPORTRANGE(""https://docs.google.com/"&amp;"spreadsheets/d/1qpEmbGH0JjaJbUdp21-y2cPbobDbMjr09BbtdKROZWc/edit#gid=1444865654"",""articles_with_PRISMA_reasons!B2:B2113""))&gt;=2,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$A943=IMPORTRANGE(""https://docs.google.com/spreadsheets/d/1qpEmbGH0JjaJbUdp21-y2cPbobDbMjr09BbtdKROZWc/edit#gid=1444865654"",""articles_with_PRISMA_reasons!B2:B2113""))&lt;2),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$A943=IMPORTRANGE(""https://docs.google.com/spreadsheets/d/1qpEmbGH0JjaJbUdp21-y2cPbobDbMjr09BbtdKRO"&amp;"ZWc/edit#gid=1444865654"",""articles_with_PRISMA_reasons!B2:B2113""))&lt;2,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$A943=IMPOR"&amp;"TRANGE(""https://docs.google.com/spreadsheets/d/1qpEmbGH0JjaJbUdp21-y2cPbobDbMjr09BbtdKROZWc/edit#gid=1444865654"",""articles_with_PRISMA_reasons!B2:B2113""))&gt;=2),
""Exclude""
)"),"Exclude")</f>
        <v>Exclude</v>
      </c>
      <c r="F943" s="5" t="str">
        <f>IFERROR(__xludf.DUMMYFUNCTION("IFS(
E943=""Exclude"",""Exclude"",
AND(
COUNTIF(
IMPORTRANGE(""https://docs.google.com/spreadsheets/d/1kGrh75X1cNR1D7_FcY9zMnHP8iPO4M5RCRjy6nZY0TY/edit#gid=0"",""Table 1: Study characteristics!B4:B171""),A943)&gt;0,
COUNTIF(Studies!$A$2:$A$85,FILTER(IMPORTRA"&amp;"NGE(""https://docs.google.com/spreadsheets/d/1kGrh75X1cNR1D7_FcY9zMnHP8iPO4M5RCRjy6nZY0TY/edit#gid=0"",""Table 1: Study characteristics!A4:A171""), $A943=IMPORTRANGE(""https://docs.google.com/spreadsheets/d/1kGrh75X1cNR1D7_FcY9zMnHP8iPO4M5RCRjy6nZY0TY/edi"&amp;"t#gid=0"",""Table 1: Study characteristics!B4:B171"")))&gt;0
),
""Include""
)"),"Exclude")</f>
        <v>Exclude</v>
      </c>
      <c r="G943" s="5" t="str">
        <f>IFERROR(__xludf.DUMMYFUNCTION("IFS(
D943=""Exclude"",
FILTER(IMPORTRANGE(""https://docs.google.com/spreadsheets/d/1BJSV3WBYJGRhQ6zExamkszQ5VutGIcaQqmbD9ZTVXMQ/edit#gid=1251630045"",""articles_with_PRISMA_reasons!AB2:AB2113""), $A943=IMPORTRANGE(""https://docs.google.com/spreadsheets/d/"&amp;"1BJSV3WBYJGRhQ6zExamkszQ5VutGIcaQqmbD9ZTVXMQ/edit#gid=1251630045"",""articles_with_PRISMA_reasons!B2:B2113"")),
E943=""Exclude"",
FILTER(IMPORTRANGE(""https://docs.google.com/spreadsheets/d/1qpEmbGH0JjaJbUdp21-y2cPbobDbMjr09BbtdKROZWc/edit#gid=1444865654"&amp;""",""articles_with_PRISMA_reasons!Z2:Z2113""), $A943=IMPORTRANGE(""https://docs.google.com/spreadsheets/d/1qpEmbGH0JjaJbUdp21-y2cPbobDbMjr09BbtdKROZWc/edit#gid=1444865654"",""articles_with_PRISMA_reasons!B2:B2113"")),F943
=""Include"",FILTER(IMPORTRANGE("&amp;"""https://docs.google.com/spreadsheets/d/1kGrh75X1cNR1D7_FcY9zMnHP8iPO4M5RCRjy6nZY0TY/edit#gid=0"",""Table 1: Study characteristics!A4:A171""), $A943=IMPORTRANGE(""https://docs.google.com/spreadsheets/d/1kGrh75X1cNR1D7_FcY9zMnHP8iPO4M5RCRjy6nZY0TY/edit#gi"&amp;"d=0"",""Table 1: Study characteristics!B4:B171""))
)"),"wrong study design")</f>
        <v>wrong study design</v>
      </c>
    </row>
    <row r="944">
      <c r="A944" s="4" t="str">
        <f>IFERROR(__xludf.DUMMYFUNCTION("""COMPUTED_VALUE"""),"Implementing transitions for youth with complex chronic conditions using the medical home model")</f>
        <v>Implementing transitions for youth with complex chronic conditions using the medical home model</v>
      </c>
      <c r="B944" s="5" t="str">
        <f>IFERROR(__xludf.DUMMYFUNCTION("LEFT(FILTER(IMPORTRANGE(""https://docs.google.com/spreadsheets/d/1BJSV3WBYJGRhQ6zExamkszQ5VutGIcaQqmbD9ZTVXMQ/edit#gid=1251630045"",""articles_with_PRISMA_reasons!K2:K2113""), $A944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$A944=IMPORTRANGE(""https://docs.google.com/spreadsheets/d/1BJSV3WBYJGRhQ6zExamkszQ5VutGIcaQqmbD9ZTVXMQ/edit#gid=1251630045"",""articles_with_PRISMA_reasons!B2:B2113"")))-1)"),"Kelly")</f>
        <v>Kelly</v>
      </c>
      <c r="C944" s="6">
        <f>IFERROR(__xludf.DUMMYFUNCTION("FILTER(IMPORTRANGE(""https://docs.google.com/spreadsheets/d/1BJSV3WBYJGRhQ6zExamkszQ5VutGIcaQqmbD9ZTVXMQ/edit#gid=1251630045"",""articles_with_PRISMA_reasons!C2:C2113""), $A944=IMPORTRANGE(""https://docs.google.com/spreadsheets/d/1BJSV3WBYJGRhQ6zExamkszQ5"&amp;"VutGIcaQqmbD9ZTVXMQ/edit#gid=1251630045"",""articles_with_PRISMA_reasons!B2:B2113""))"),2002.0)</f>
        <v>2002</v>
      </c>
      <c r="D944" s="5" t="str">
        <f>IFERROR(__xludf.DUMMYFUNCTION("IFS(AND(
FILTER(IMPORTRANGE(""https://docs.google.com/spreadsheets/d/1BJSV3WBYJGRhQ6zExamkszQ5VutGIcaQqmbD9ZTVXMQ/edit#gid=1251630045"",""articles_with_PRISMA_reasons!Y2:Y2113""), $A944=IMPORTRANGE(""https://docs.google.com/spreadsheets/d/1BJSV3WBYJGRhQ6z"&amp;"ExamkszQ5VutGIcaQqmbD9ZTVXMQ/edit#gid=1251630045"",""articles_with_PRISMA_reasons!B2:B2113""))&gt;=2,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$A944=IMPORTRANGE(""https://docs.google.com/spreadsheets/d/1BJSV3WBYJGRhQ6zExamkszQ5VutGIcaQqmbD9ZTVXMQ/edit#gid=1251630045"",""articles_with_PRISMA_reasons!B2:B2113""))&lt;2),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$A944=IMPORTRANGE(""https://docs.google.com/spreadsheets/d/1BJSV3WBYJGRhQ6zExamkszQ5VutGIcaQqmbD9ZTVXMQ/edit#gid=1251630045"",""arti"&amp;"cles_with_PRISMA_reasons!B2:B2113""))&lt;2,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$A944=IMPORTRANGE(""https://docs.google.com"&amp;"/spreadsheets/d/1BJSV3WBYJGRhQ6zExamkszQ5VutGIcaQqmbD9ZTVXMQ/edit#gid=1251630045"",""articles_with_PRISMA_reasons!B2:B2113""))&gt;=2),
""Exclude""
)"),"Exclude")</f>
        <v>Exclude</v>
      </c>
      <c r="E944" s="5" t="str">
        <f>IFERROR(__xludf.DUMMYFUNCTION("IFS(
D944=""Exclude"",""Exclude"",
AND(
FILTER(IMPORTRANGE(""https://docs.google.com/spreadsheets/d/1qpEmbGH0JjaJbUdp21-y2cPbobDbMjr09BbtdKROZWc/edit#gid=1444865654"",""articles_with_PRISMA_reasons!W2:W2113""), $A944=IMPORTRANGE(""https://docs.google.com/"&amp;"spreadsheets/d/1qpEmbGH0JjaJbUdp21-y2cPbobDbMjr09BbtdKROZWc/edit#gid=1444865654"",""articles_with_PRISMA_reasons!B2:B2113""))&gt;=2,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$A944=IMPORTRANGE(""https://docs.google.com/spreadsheets/d/1qpEmbGH0JjaJbUdp21-y2cPbobDbMjr09BbtdKROZWc/edit#gid=1444865654"",""articles_with_PRISMA_reasons!B2:B2113""))&lt;2),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$A944=IMPORTRANGE(""https://docs.google.com/spreadsheets/d/1qpEmbGH0JjaJbUdp21-y2cPbobDbMjr09BbtdKRO"&amp;"ZWc/edit#gid=1444865654"",""articles_with_PRISMA_reasons!B2:B2113""))&lt;2,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$A944=IMPOR"&amp;"TRANGE(""https://docs.google.com/spreadsheets/d/1qpEmbGH0JjaJbUdp21-y2cPbobDbMjr09BbtdKROZWc/edit#gid=1444865654"",""articles_with_PRISMA_reasons!B2:B2113""))&gt;=2),
""Exclude""
)"),"Exclude")</f>
        <v>Exclude</v>
      </c>
      <c r="F944" s="5" t="str">
        <f>IFERROR(__xludf.DUMMYFUNCTION("IFS(
E944=""Exclude"",""Exclude"",
AND(
COUNTIF(
IMPORTRANGE(""https://docs.google.com/spreadsheets/d/1kGrh75X1cNR1D7_FcY9zMnHP8iPO4M5RCRjy6nZY0TY/edit#gid=0"",""Table 1: Study characteristics!B4:B171""),A944)&gt;0,
COUNTIF(Studies!$A$2:$A$85,FILTER(IMPORTRA"&amp;"NGE(""https://docs.google.com/spreadsheets/d/1kGrh75X1cNR1D7_FcY9zMnHP8iPO4M5RCRjy6nZY0TY/edit#gid=0"",""Table 1: Study characteristics!A4:A171""), $A944=IMPORTRANGE(""https://docs.google.com/spreadsheets/d/1kGrh75X1cNR1D7_FcY9zMnHP8iPO4M5RCRjy6nZY0TY/edi"&amp;"t#gid=0"",""Table 1: Study characteristics!B4:B171"")))&gt;0
),
""Include""
)"),"Exclude")</f>
        <v>Exclude</v>
      </c>
      <c r="G944" s="5" t="str">
        <f>IFERROR(__xludf.DUMMYFUNCTION("IFS(
D944=""Exclude"",
FILTER(IMPORTRANGE(""https://docs.google.com/spreadsheets/d/1BJSV3WBYJGRhQ6zExamkszQ5VutGIcaQqmbD9ZTVXMQ/edit#gid=1251630045"",""articles_with_PRISMA_reasons!AB2:AB2113""), $A944=IMPORTRANGE(""https://docs.google.com/spreadsheets/d/"&amp;"1BJSV3WBYJGRhQ6zExamkszQ5VutGIcaQqmbD9ZTVXMQ/edit#gid=1251630045"",""articles_with_PRISMA_reasons!B2:B2113"")),
E944=""Exclude"",
FILTER(IMPORTRANGE(""https://docs.google.com/spreadsheets/d/1qpEmbGH0JjaJbUdp21-y2cPbobDbMjr09BbtdKROZWc/edit#gid=1444865654"&amp;""",""articles_with_PRISMA_reasons!Z2:Z2113""), $A944=IMPORTRANGE(""https://docs.google.com/spreadsheets/d/1qpEmbGH0JjaJbUdp21-y2cPbobDbMjr09BbtdKROZWc/edit#gid=1444865654"",""articles_with_PRISMA_reasons!B2:B2113"")),F944
=""Include"",FILTER(IMPORTRANGE("&amp;"""https://docs.google.com/spreadsheets/d/1kGrh75X1cNR1D7_FcY9zMnHP8iPO4M5RCRjy6nZY0TY/edit#gid=0"",""Table 1: Study characteristics!A4:A171""), $A944=IMPORTRANGE(""https://docs.google.com/spreadsheets/d/1kGrh75X1cNR1D7_FcY9zMnHP8iPO4M5RCRjy6nZY0TY/edit#gi"&amp;"d=0"",""Table 1: Study characteristics!B4:B171""))
)"),"wrong publication type")</f>
        <v>wrong publication type</v>
      </c>
    </row>
    <row r="945">
      <c r="A945" s="4" t="str">
        <f>IFERROR(__xludf.DUMMYFUNCTION("""COMPUTED_VALUE"""),"Implications of family environment and language development: Comparing typically developing children to those with spina bifida")</f>
        <v>Implications of family environment and language development: Comparing typically developing children to those with spina bifida</v>
      </c>
      <c r="B945" s="5" t="str">
        <f>IFERROR(__xludf.DUMMYFUNCTION("LEFT(FILTER(IMPORTRANGE(""https://docs.google.com/spreadsheets/d/1BJSV3WBYJGRhQ6zExamkszQ5VutGIcaQqmbD9ZTVXMQ/edit#gid=1251630045"",""articles_with_PRISMA_reasons!K2:K2113""), $A945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$A945=IMPORTRANGE(""https://docs.google.com/spreadsheets/d/1BJSV3WBYJGRhQ6zExamkszQ5VutGIcaQqmbD9ZTVXMQ/edit#gid=1251630045"",""articles_with_PRISMA_reasons!B2:B2113"")))-1)"),"Adams")</f>
        <v>Adams</v>
      </c>
      <c r="C945" s="6">
        <f>IFERROR(__xludf.DUMMYFUNCTION("FILTER(IMPORTRANGE(""https://docs.google.com/spreadsheets/d/1BJSV3WBYJGRhQ6zExamkszQ5VutGIcaQqmbD9ZTVXMQ/edit#gid=1251630045"",""articles_with_PRISMA_reasons!C2:C2113""), $A945=IMPORTRANGE(""https://docs.google.com/spreadsheets/d/1BJSV3WBYJGRhQ6zExamkszQ5"&amp;"VutGIcaQqmbD9ZTVXMQ/edit#gid=1251630045"",""articles_with_PRISMA_reasons!B2:B2113""))"),2009.0)</f>
        <v>2009</v>
      </c>
      <c r="D945" s="5" t="str">
        <f>IFERROR(__xludf.DUMMYFUNCTION("IFS(AND(
FILTER(IMPORTRANGE(""https://docs.google.com/spreadsheets/d/1BJSV3WBYJGRhQ6zExamkszQ5VutGIcaQqmbD9ZTVXMQ/edit#gid=1251630045"",""articles_with_PRISMA_reasons!Y2:Y2113""), $A945=IMPORTRANGE(""https://docs.google.com/spreadsheets/d/1BJSV3WBYJGRhQ6z"&amp;"ExamkszQ5VutGIcaQqmbD9ZTVXMQ/edit#gid=1251630045"",""articles_with_PRISMA_reasons!B2:B2113""))&gt;=2,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$A945=IMPORTRANGE(""https://docs.google.com/spreadsheets/d/1BJSV3WBYJGRhQ6zExamkszQ5VutGIcaQqmbD9ZTVXMQ/edit#gid=1251630045"",""articles_with_PRISMA_reasons!B2:B2113""))&lt;2),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$A945=IMPORTRANGE(""https://docs.google.com/spreadsheets/d/1BJSV3WBYJGRhQ6zExamkszQ5VutGIcaQqmbD9ZTVXMQ/edit#gid=1251630045"",""arti"&amp;"cles_with_PRISMA_reasons!B2:B2113""))&lt;2,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$A945=IMPORTRANGE(""https://docs.google.com"&amp;"/spreadsheets/d/1BJSV3WBYJGRhQ6zExamkszQ5VutGIcaQqmbD9ZTVXMQ/edit#gid=1251630045"",""articles_with_PRISMA_reasons!B2:B2113""))&gt;=2),
""Exclude""
)"),"Exclude")</f>
        <v>Exclude</v>
      </c>
      <c r="E945" s="5" t="str">
        <f>IFERROR(__xludf.DUMMYFUNCTION("IFS(
D945=""Exclude"",""Exclude"",
AND(
FILTER(IMPORTRANGE(""https://docs.google.com/spreadsheets/d/1qpEmbGH0JjaJbUdp21-y2cPbobDbMjr09BbtdKROZWc/edit#gid=1444865654"",""articles_with_PRISMA_reasons!W2:W2113""), $A945=IMPORTRANGE(""https://docs.google.com/"&amp;"spreadsheets/d/1qpEmbGH0JjaJbUdp21-y2cPbobDbMjr09BbtdKROZWc/edit#gid=1444865654"",""articles_with_PRISMA_reasons!B2:B2113""))&gt;=2,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$A945=IMPORTRANGE(""https://docs.google.com/spreadsheets/d/1qpEmbGH0JjaJbUdp21-y2cPbobDbMjr09BbtdKROZWc/edit#gid=1444865654"",""articles_with_PRISMA_reasons!B2:B2113""))&lt;2),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$A945=IMPORTRANGE(""https://docs.google.com/spreadsheets/d/1qpEmbGH0JjaJbUdp21-y2cPbobDbMjr09BbtdKRO"&amp;"ZWc/edit#gid=1444865654"",""articles_with_PRISMA_reasons!B2:B2113""))&lt;2,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$A945=IMPOR"&amp;"TRANGE(""https://docs.google.com/spreadsheets/d/1qpEmbGH0JjaJbUdp21-y2cPbobDbMjr09BbtdKROZWc/edit#gid=1444865654"",""articles_with_PRISMA_reasons!B2:B2113""))&gt;=2),
""Exclude""
)"),"Exclude")</f>
        <v>Exclude</v>
      </c>
      <c r="F945" s="5" t="str">
        <f>IFERROR(__xludf.DUMMYFUNCTION("IFS(
E945=""Exclude"",""Exclude"",
AND(
COUNTIF(
IMPORTRANGE(""https://docs.google.com/spreadsheets/d/1kGrh75X1cNR1D7_FcY9zMnHP8iPO4M5RCRjy6nZY0TY/edit#gid=0"",""Table 1: Study characteristics!B4:B171""),A945)&gt;0,
COUNTIF(Studies!$A$2:$A$85,FILTER(IMPORTRA"&amp;"NGE(""https://docs.google.com/spreadsheets/d/1kGrh75X1cNR1D7_FcY9zMnHP8iPO4M5RCRjy6nZY0TY/edit#gid=0"",""Table 1: Study characteristics!A4:A171""), $A945=IMPORTRANGE(""https://docs.google.com/spreadsheets/d/1kGrh75X1cNR1D7_FcY9zMnHP8iPO4M5RCRjy6nZY0TY/edi"&amp;"t#gid=0"",""Table 1: Study characteristics!B4:B171"")))&gt;0
),
""Include""
)"),"Exclude")</f>
        <v>Exclude</v>
      </c>
      <c r="G945" s="5" t="str">
        <f>IFERROR(__xludf.DUMMYFUNCTION("IFS(
D945=""Exclude"",
FILTER(IMPORTRANGE(""https://docs.google.com/spreadsheets/d/1BJSV3WBYJGRhQ6zExamkszQ5VutGIcaQqmbD9ZTVXMQ/edit#gid=1251630045"",""articles_with_PRISMA_reasons!AB2:AB2113""), $A945=IMPORTRANGE(""https://docs.google.com/spreadsheets/d/"&amp;"1BJSV3WBYJGRhQ6zExamkszQ5VutGIcaQqmbD9ZTVXMQ/edit#gid=1251630045"",""articles_with_PRISMA_reasons!B2:B2113"")),
E945=""Exclude"",
FILTER(IMPORTRANGE(""https://docs.google.com/spreadsheets/d/1qpEmbGH0JjaJbUdp21-y2cPbobDbMjr09BbtdKROZWc/edit#gid=1444865654"&amp;""",""articles_with_PRISMA_reasons!Z2:Z2113""), $A945=IMPORTRANGE(""https://docs.google.com/spreadsheets/d/1qpEmbGH0JjaJbUdp21-y2cPbobDbMjr09BbtdKROZWc/edit#gid=1444865654"",""articles_with_PRISMA_reasons!B2:B2113"")),F945
=""Include"",FILTER(IMPORTRANGE("&amp;"""https://docs.google.com/spreadsheets/d/1kGrh75X1cNR1D7_FcY9zMnHP8iPO4M5RCRjy6nZY0TY/edit#gid=0"",""Table 1: Study characteristics!A4:A171""), $A945=IMPORTRANGE(""https://docs.google.com/spreadsheets/d/1kGrh75X1cNR1D7_FcY9zMnHP8iPO4M5RCRjy6nZY0TY/edit#gi"&amp;"d=0"",""Table 1: Study characteristics!B4:B171""))
)"),"wrong study design")</f>
        <v>wrong study design</v>
      </c>
    </row>
    <row r="946">
      <c r="A946" s="4" t="str">
        <f>IFERROR(__xludf.DUMMYFUNCTION("""COMPUTED_VALUE"""),"Implicit and explicit memory in children with congenital and acquired brain disorder")</f>
        <v>Implicit and explicit memory in children with congenital and acquired brain disorder</v>
      </c>
      <c r="B946" s="5" t="str">
        <f>IFERROR(__xludf.DUMMYFUNCTION("LEFT(FILTER(IMPORTRANGE(""https://docs.google.com/spreadsheets/d/1BJSV3WBYJGRhQ6zExamkszQ5VutGIcaQqmbD9ZTVXMQ/edit#gid=1251630045"",""articles_with_PRISMA_reasons!K2:K2113""), $A946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$A946=IMPORTRANGE(""https://docs.google.com/spreadsheets/d/1BJSV3WBYJGRhQ6zExamkszQ5VutGIcaQqmbD9ZTVXMQ/edit#gid=1251630045"",""articles_with_PRISMA_reasons!B2:B2113"")))-1)"),"Enrile")</f>
        <v>Enrile</v>
      </c>
      <c r="C946" s="3">
        <v>2005.0</v>
      </c>
      <c r="D946" s="5" t="str">
        <f>IFERROR(__xludf.DUMMYFUNCTION("IFS(AND(
FILTER(IMPORTRANGE(""https://docs.google.com/spreadsheets/d/1BJSV3WBYJGRhQ6zExamkszQ5VutGIcaQqmbD9ZTVXMQ/edit#gid=1251630045"",""articles_with_PRISMA_reasons!Y2:Y2113""), $A946=IMPORTRANGE(""https://docs.google.com/spreadsheets/d/1BJSV3WBYJGRhQ6z"&amp;"ExamkszQ5VutGIcaQqmbD9ZTVXMQ/edit#gid=1251630045"",""articles_with_PRISMA_reasons!B2:B2113""))&gt;=2,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$A946=IMPORTRANGE(""https://docs.google.com/spreadsheets/d/1BJSV3WBYJGRhQ6zExamkszQ5VutGIcaQqmbD9ZTVXMQ/edit#gid=1251630045"",""articles_with_PRISMA_reasons!B2:B2113""))&lt;2),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$A946=IMPORTRANGE(""https://docs.google.com/spreadsheets/d/1BJSV3WBYJGRhQ6zExamkszQ5VutGIcaQqmbD9ZTVXMQ/edit#gid=1251630045"",""arti"&amp;"cles_with_PRISMA_reasons!B2:B2113""))&lt;2,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$A946=IMPORTRANGE(""https://docs.google.com"&amp;"/spreadsheets/d/1BJSV3WBYJGRhQ6zExamkszQ5VutGIcaQqmbD9ZTVXMQ/edit#gid=1251630045"",""articles_with_PRISMA_reasons!B2:B2113""))&gt;=2),
""Exclude""
)"),"Exclude")</f>
        <v>Exclude</v>
      </c>
      <c r="E946" s="5" t="str">
        <f>IFERROR(__xludf.DUMMYFUNCTION("IFS(
D946=""Exclude"",""Exclude"",
AND(
FILTER(IMPORTRANGE(""https://docs.google.com/spreadsheets/d/1qpEmbGH0JjaJbUdp21-y2cPbobDbMjr09BbtdKROZWc/edit#gid=1444865654"",""articles_with_PRISMA_reasons!W2:W2113""), $A946=IMPORTRANGE(""https://docs.google.com/"&amp;"spreadsheets/d/1qpEmbGH0JjaJbUdp21-y2cPbobDbMjr09BbtdKROZWc/edit#gid=1444865654"",""articles_with_PRISMA_reasons!B2:B2113""))&gt;=2,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$A946=IMPORTRANGE(""https://docs.google.com/spreadsheets/d/1qpEmbGH0JjaJbUdp21-y2cPbobDbMjr09BbtdKROZWc/edit#gid=1444865654"",""articles_with_PRISMA_reasons!B2:B2113""))&lt;2),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$A946=IMPORTRANGE(""https://docs.google.com/spreadsheets/d/1qpEmbGH0JjaJbUdp21-y2cPbobDbMjr09BbtdKRO"&amp;"ZWc/edit#gid=1444865654"",""articles_with_PRISMA_reasons!B2:B2113""))&lt;2,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$A946=IMPOR"&amp;"TRANGE(""https://docs.google.com/spreadsheets/d/1qpEmbGH0JjaJbUdp21-y2cPbobDbMjr09BbtdKROZWc/edit#gid=1444865654"",""articles_with_PRISMA_reasons!B2:B2113""))&gt;=2),
""Exclude""
)"),"Exclude")</f>
        <v>Exclude</v>
      </c>
      <c r="F946" s="5" t="str">
        <f>IFERROR(__xludf.DUMMYFUNCTION("IFS(
E946=""Exclude"",""Exclude"",
AND(
COUNTIF(
IMPORTRANGE(""https://docs.google.com/spreadsheets/d/1kGrh75X1cNR1D7_FcY9zMnHP8iPO4M5RCRjy6nZY0TY/edit#gid=0"",""Table 1: Study characteristics!B4:B171""),A946)&gt;0,
COUNTIF(Studies!$A$2:$A$85,FILTER(IMPORTRA"&amp;"NGE(""https://docs.google.com/spreadsheets/d/1kGrh75X1cNR1D7_FcY9zMnHP8iPO4M5RCRjy6nZY0TY/edit#gid=0"",""Table 1: Study characteristics!A4:A171""), $A946=IMPORTRANGE(""https://docs.google.com/spreadsheets/d/1kGrh75X1cNR1D7_FcY9zMnHP8iPO4M5RCRjy6nZY0TY/edi"&amp;"t#gid=0"",""Table 1: Study characteristics!B4:B171"")))&gt;0
),
""Include""
)"),"Exclude")</f>
        <v>Exclude</v>
      </c>
      <c r="G946" s="2" t="s">
        <v>15</v>
      </c>
    </row>
    <row r="947">
      <c r="A947" s="4" t="str">
        <f>IFERROR(__xludf.DUMMYFUNCTION("""COMPUTED_VALUE"""),"Implicit and explicit memory in children with congenital and acquired brain disorder")</f>
        <v>Implicit and explicit memory in children with congenital and acquired brain disorder</v>
      </c>
      <c r="B947" s="5" t="str">
        <f>IFERROR(__xludf.DUMMYFUNCTION("LEFT(FILTER(IMPORTRANGE(""https://docs.google.com/spreadsheets/d/1BJSV3WBYJGRhQ6zExamkszQ5VutGIcaQqmbD9ZTVXMQ/edit#gid=1251630045"",""articles_with_PRISMA_reasons!K2:K2113""), $A947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$A947=IMPORTRANGE(""https://docs.google.com/spreadsheets/d/1BJSV3WBYJGRhQ6zExamkszQ5VutGIcaQqmbD9ZTVXMQ/edit#gid=1251630045"",""articles_with_PRISMA_reasons!B2:B2113"")))-1)"),"Enrile")</f>
        <v>Enrile</v>
      </c>
      <c r="C947" s="3">
        <v>2005.0</v>
      </c>
      <c r="D947" s="5" t="str">
        <f>IFERROR(__xludf.DUMMYFUNCTION("IFS(AND(
FILTER(IMPORTRANGE(""https://docs.google.com/spreadsheets/d/1BJSV3WBYJGRhQ6zExamkszQ5VutGIcaQqmbD9ZTVXMQ/edit#gid=1251630045"",""articles_with_PRISMA_reasons!Y2:Y2113""), $A947=IMPORTRANGE(""https://docs.google.com/spreadsheets/d/1BJSV3WBYJGRhQ6z"&amp;"ExamkszQ5VutGIcaQqmbD9ZTVXMQ/edit#gid=1251630045"",""articles_with_PRISMA_reasons!B2:B2113""))&gt;=2,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$A947=IMPORTRANGE(""https://docs.google.com/spreadsheets/d/1BJSV3WBYJGRhQ6zExamkszQ5VutGIcaQqmbD9ZTVXMQ/edit#gid=1251630045"",""articles_with_PRISMA_reasons!B2:B2113""))&lt;2),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$A947=IMPORTRANGE(""https://docs.google.com/spreadsheets/d/1BJSV3WBYJGRhQ6zExamkszQ5VutGIcaQqmbD9ZTVXMQ/edit#gid=1251630045"",""arti"&amp;"cles_with_PRISMA_reasons!B2:B2113""))&lt;2,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$A947=IMPORTRANGE(""https://docs.google.com"&amp;"/spreadsheets/d/1BJSV3WBYJGRhQ6zExamkszQ5VutGIcaQqmbD9ZTVXMQ/edit#gid=1251630045"",""articles_with_PRISMA_reasons!B2:B2113""))&gt;=2),
""Exclude""
)"),"Exclude")</f>
        <v>Exclude</v>
      </c>
      <c r="E947" s="5" t="str">
        <f>IFERROR(__xludf.DUMMYFUNCTION("IFS(
D947=""Exclude"",""Exclude"",
AND(
FILTER(IMPORTRANGE(""https://docs.google.com/spreadsheets/d/1qpEmbGH0JjaJbUdp21-y2cPbobDbMjr09BbtdKROZWc/edit#gid=1444865654"",""articles_with_PRISMA_reasons!W2:W2113""), $A947=IMPORTRANGE(""https://docs.google.com/"&amp;"spreadsheets/d/1qpEmbGH0JjaJbUdp21-y2cPbobDbMjr09BbtdKROZWc/edit#gid=1444865654"",""articles_with_PRISMA_reasons!B2:B2113""))&gt;=2,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$A947=IMPORTRANGE(""https://docs.google.com/spreadsheets/d/1qpEmbGH0JjaJbUdp21-y2cPbobDbMjr09BbtdKROZWc/edit#gid=1444865654"",""articles_with_PRISMA_reasons!B2:B2113""))&lt;2),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$A947=IMPORTRANGE(""https://docs.google.com/spreadsheets/d/1qpEmbGH0JjaJbUdp21-y2cPbobDbMjr09BbtdKRO"&amp;"ZWc/edit#gid=1444865654"",""articles_with_PRISMA_reasons!B2:B2113""))&lt;2,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$A947=IMPOR"&amp;"TRANGE(""https://docs.google.com/spreadsheets/d/1qpEmbGH0JjaJbUdp21-y2cPbobDbMjr09BbtdKROZWc/edit#gid=1444865654"",""articles_with_PRISMA_reasons!B2:B2113""))&gt;=2),
""Exclude""
)"),"Exclude")</f>
        <v>Exclude</v>
      </c>
      <c r="F947" s="5" t="str">
        <f>IFERROR(__xludf.DUMMYFUNCTION("IFS(
E947=""Exclude"",""Exclude"",
AND(
COUNTIF(
IMPORTRANGE(""https://docs.google.com/spreadsheets/d/1kGrh75X1cNR1D7_FcY9zMnHP8iPO4M5RCRjy6nZY0TY/edit#gid=0"",""Table 1: Study characteristics!B4:B171""),A947)&gt;0,
COUNTIF(Studies!$A$2:$A$85,FILTER(IMPORTRA"&amp;"NGE(""https://docs.google.com/spreadsheets/d/1kGrh75X1cNR1D7_FcY9zMnHP8iPO4M5RCRjy6nZY0TY/edit#gid=0"",""Table 1: Study characteristics!A4:A171""), $A947=IMPORTRANGE(""https://docs.google.com/spreadsheets/d/1kGrh75X1cNR1D7_FcY9zMnHP8iPO4M5RCRjy6nZY0TY/edi"&amp;"t#gid=0"",""Table 1: Study characteristics!B4:B171"")))&gt;0
),
""Include""
)"),"Exclude")</f>
        <v>Exclude</v>
      </c>
      <c r="G947" s="2" t="s">
        <v>13</v>
      </c>
    </row>
    <row r="948">
      <c r="A948" s="4" t="str">
        <f>IFERROR(__xludf.DUMMYFUNCTION("""COMPUTED_VALUE"""),"Importance of parental attitude for the psychomotor development of children with myelomeningocele and coexistent hydrocephalus")</f>
        <v>Importance of parental attitude for the psychomotor development of children with myelomeningocele and coexistent hydrocephalus</v>
      </c>
      <c r="B948" s="5" t="str">
        <f>IFERROR(__xludf.DUMMYFUNCTION("LEFT(FILTER(IMPORTRANGE(""https://docs.google.com/spreadsheets/d/1BJSV3WBYJGRhQ6zExamkszQ5VutGIcaQqmbD9ZTVXMQ/edit#gid=1251630045"",""articles_with_PRISMA_reasons!K2:K2113""), $A948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$A948=IMPORTRANGE(""https://docs.google.com/spreadsheets/d/1BJSV3WBYJGRhQ6zExamkszQ5VutGIcaQqmbD9ZTVXMQ/edit#gid=1251630045"",""articles_with_PRISMA_reasons!B2:B2113"")))-1)"),"Slenzak")</f>
        <v>Slenzak</v>
      </c>
      <c r="C948" s="6">
        <f>IFERROR(__xludf.DUMMYFUNCTION("FILTER(IMPORTRANGE(""https://docs.google.com/spreadsheets/d/1BJSV3WBYJGRhQ6zExamkszQ5VutGIcaQqmbD9ZTVXMQ/edit#gid=1251630045"",""articles_with_PRISMA_reasons!C2:C2113""), $A948=IMPORTRANGE(""https://docs.google.com/spreadsheets/d/1BJSV3WBYJGRhQ6zExamkszQ5"&amp;"VutGIcaQqmbD9ZTVXMQ/edit#gid=1251630045"",""articles_with_PRISMA_reasons!B2:B2113""))"),1975.0)</f>
        <v>1975</v>
      </c>
      <c r="D948" s="5" t="str">
        <f>IFERROR(__xludf.DUMMYFUNCTION("IFS(AND(
FILTER(IMPORTRANGE(""https://docs.google.com/spreadsheets/d/1BJSV3WBYJGRhQ6zExamkszQ5VutGIcaQqmbD9ZTVXMQ/edit#gid=1251630045"",""articles_with_PRISMA_reasons!Y2:Y2113""), $A948=IMPORTRANGE(""https://docs.google.com/spreadsheets/d/1BJSV3WBYJGRhQ6z"&amp;"ExamkszQ5VutGIcaQqmbD9ZTVXMQ/edit#gid=1251630045"",""articles_with_PRISMA_reasons!B2:B2113""))&gt;=2,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$A948=IMPORTRANGE(""https://docs.google.com/spreadsheets/d/1BJSV3WBYJGRhQ6zExamkszQ5VutGIcaQqmbD9ZTVXMQ/edit#gid=1251630045"",""articles_with_PRISMA_reasons!B2:B2113""))&lt;2),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$A948=IMPORTRANGE(""https://docs.google.com/spreadsheets/d/1BJSV3WBYJGRhQ6zExamkszQ5VutGIcaQqmbD9ZTVXMQ/edit#gid=1251630045"",""arti"&amp;"cles_with_PRISMA_reasons!B2:B2113""))&lt;2,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$A948=IMPORTRANGE(""https://docs.google.com"&amp;"/spreadsheets/d/1BJSV3WBYJGRhQ6zExamkszQ5VutGIcaQqmbD9ZTVXMQ/edit#gid=1251630045"",""articles_with_PRISMA_reasons!B2:B2113""))&gt;=2),
""Exclude""
)"),"Exclude")</f>
        <v>Exclude</v>
      </c>
      <c r="E948" s="5" t="str">
        <f>IFERROR(__xludf.DUMMYFUNCTION("IFS(
D948=""Exclude"",""Exclude"",
AND(
FILTER(IMPORTRANGE(""https://docs.google.com/spreadsheets/d/1qpEmbGH0JjaJbUdp21-y2cPbobDbMjr09BbtdKROZWc/edit#gid=1444865654"",""articles_with_PRISMA_reasons!W2:W2113""), $A948=IMPORTRANGE(""https://docs.google.com/"&amp;"spreadsheets/d/1qpEmbGH0JjaJbUdp21-y2cPbobDbMjr09BbtdKROZWc/edit#gid=1444865654"",""articles_with_PRISMA_reasons!B2:B2113""))&gt;=2,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$A948=IMPORTRANGE(""https://docs.google.com/spreadsheets/d/1qpEmbGH0JjaJbUdp21-y2cPbobDbMjr09BbtdKROZWc/edit#gid=1444865654"",""articles_with_PRISMA_reasons!B2:B2113""))&lt;2),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$A948=IMPORTRANGE(""https://docs.google.com/spreadsheets/d/1qpEmbGH0JjaJbUdp21-y2cPbobDbMjr09BbtdKRO"&amp;"ZWc/edit#gid=1444865654"",""articles_with_PRISMA_reasons!B2:B2113""))&lt;2,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$A948=IMPOR"&amp;"TRANGE(""https://docs.google.com/spreadsheets/d/1qpEmbGH0JjaJbUdp21-y2cPbobDbMjr09BbtdKROZWc/edit#gid=1444865654"",""articles_with_PRISMA_reasons!B2:B2113""))&gt;=2),
""Exclude""
)"),"Exclude")</f>
        <v>Exclude</v>
      </c>
      <c r="F948" s="5" t="str">
        <f>IFERROR(__xludf.DUMMYFUNCTION("IFS(
E948=""Exclude"",""Exclude"",
AND(
COUNTIF(
IMPORTRANGE(""https://docs.google.com/spreadsheets/d/1kGrh75X1cNR1D7_FcY9zMnHP8iPO4M5RCRjy6nZY0TY/edit#gid=0"",""Table 1: Study characteristics!B4:B171""),A948)&gt;0,
COUNTIF(Studies!$A$2:$A$85,FILTER(IMPORTRA"&amp;"NGE(""https://docs.google.com/spreadsheets/d/1kGrh75X1cNR1D7_FcY9zMnHP8iPO4M5RCRjy6nZY0TY/edit#gid=0"",""Table 1: Study characteristics!A4:A171""), $A948=IMPORTRANGE(""https://docs.google.com/spreadsheets/d/1kGrh75X1cNR1D7_FcY9zMnHP8iPO4M5RCRjy6nZY0TY/edi"&amp;"t#gid=0"",""Table 1: Study characteristics!B4:B171"")))&gt;0
),
""Include""
)"),"Exclude")</f>
        <v>Exclude</v>
      </c>
      <c r="G948" s="5" t="str">
        <f>IFERROR(__xludf.DUMMYFUNCTION("IFS(
D948=""Exclude"",
FILTER(IMPORTRANGE(""https://docs.google.com/spreadsheets/d/1BJSV3WBYJGRhQ6zExamkszQ5VutGIcaQqmbD9ZTVXMQ/edit#gid=1251630045"",""articles_with_PRISMA_reasons!AB2:AB2113""), $A948=IMPORTRANGE(""https://docs.google.com/spreadsheets/d/"&amp;"1BJSV3WBYJGRhQ6zExamkszQ5VutGIcaQqmbD9ZTVXMQ/edit#gid=1251630045"",""articles_with_PRISMA_reasons!B2:B2113"")),
E948=""Exclude"",
FILTER(IMPORTRANGE(""https://docs.google.com/spreadsheets/d/1qpEmbGH0JjaJbUdp21-y2cPbobDbMjr09BbtdKROZWc/edit#gid=1444865654"&amp;""",""articles_with_PRISMA_reasons!Z2:Z2113""), $A948=IMPORTRANGE(""https://docs.google.com/spreadsheets/d/1qpEmbGH0JjaJbUdp21-y2cPbobDbMjr09BbtdKROZWc/edit#gid=1444865654"",""articles_with_PRISMA_reasons!B2:B2113"")),F948
=""Include"",FILTER(IMPORTRANGE("&amp;"""https://docs.google.com/spreadsheets/d/1kGrh75X1cNR1D7_FcY9zMnHP8iPO4M5RCRjy6nZY0TY/edit#gid=0"",""Table 1: Study characteristics!A4:A171""), $A948=IMPORTRANGE(""https://docs.google.com/spreadsheets/d/1kGrh75X1cNR1D7_FcY9zMnHP8iPO4M5RCRjy6nZY0TY/edit#gi"&amp;"d=0"",""Table 1: Study characteristics!B4:B171""))
)"),"wrong study design")</f>
        <v>wrong study design</v>
      </c>
    </row>
    <row r="949">
      <c r="A949" s="4" t="str">
        <f>IFERROR(__xludf.DUMMYFUNCTION("""COMPUTED_VALUE"""),"Improved diagnosis obtained by ultrasonic sound investigation of the cranium of newborns and infants")</f>
        <v>Improved diagnosis obtained by ultrasonic sound investigation of the cranium of newborns and infants</v>
      </c>
      <c r="B949" s="5" t="str">
        <f>IFERROR(__xludf.DUMMYFUNCTION("LEFT(FILTER(IMPORTRANGE(""https://docs.google.com/spreadsheets/d/1BJSV3WBYJGRhQ6zExamkszQ5VutGIcaQqmbD9ZTVXMQ/edit#gid=1251630045"",""articles_with_PRISMA_reasons!K2:K2113""), $A949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$A949=IMPORTRANGE(""https://docs.google.com/spreadsheets/d/1BJSV3WBYJGRhQ6zExamkszQ5VutGIcaQqmbD9ZTVXMQ/edit#gid=1251630045"",""articles_with_PRISMA_reasons!B2:B2113"")))-1)"),"Rudic")</f>
        <v>Rudic</v>
      </c>
      <c r="C949" s="6">
        <f>IFERROR(__xludf.DUMMYFUNCTION("FILTER(IMPORTRANGE(""https://docs.google.com/spreadsheets/d/1BJSV3WBYJGRhQ6zExamkszQ5VutGIcaQqmbD9ZTVXMQ/edit#gid=1251630045"",""articles_with_PRISMA_reasons!C2:C2113""), $A949=IMPORTRANGE(""https://docs.google.com/spreadsheets/d/1BJSV3WBYJGRhQ6zExamkszQ5"&amp;"VutGIcaQqmbD9ZTVXMQ/edit#gid=1251630045"",""articles_with_PRISMA_reasons!B2:B2113""))"),1983.0)</f>
        <v>1983</v>
      </c>
      <c r="D949" s="5" t="str">
        <f>IFERROR(__xludf.DUMMYFUNCTION("IFS(AND(
FILTER(IMPORTRANGE(""https://docs.google.com/spreadsheets/d/1BJSV3WBYJGRhQ6zExamkszQ5VutGIcaQqmbD9ZTVXMQ/edit#gid=1251630045"",""articles_with_PRISMA_reasons!Y2:Y2113""), $A949=IMPORTRANGE(""https://docs.google.com/spreadsheets/d/1BJSV3WBYJGRhQ6z"&amp;"ExamkszQ5VutGIcaQqmbD9ZTVXMQ/edit#gid=1251630045"",""articles_with_PRISMA_reasons!B2:B2113""))&gt;=2,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$A949=IMPORTRANGE(""https://docs.google.com/spreadsheets/d/1BJSV3WBYJGRhQ6zExamkszQ5VutGIcaQqmbD9ZTVXMQ/edit#gid=1251630045"",""articles_with_PRISMA_reasons!B2:B2113""))&lt;2),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$A949=IMPORTRANGE(""https://docs.google.com/spreadsheets/d/1BJSV3WBYJGRhQ6zExamkszQ5VutGIcaQqmbD9ZTVXMQ/edit#gid=1251630045"",""arti"&amp;"cles_with_PRISMA_reasons!B2:B2113""))&lt;2,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$A949=IMPORTRANGE(""https://docs.google.com"&amp;"/spreadsheets/d/1BJSV3WBYJGRhQ6zExamkszQ5VutGIcaQqmbD9ZTVXMQ/edit#gid=1251630045"",""articles_with_PRISMA_reasons!B2:B2113""))&gt;=2),
""Exclude""
)"),"Exclude")</f>
        <v>Exclude</v>
      </c>
      <c r="E949" s="5" t="str">
        <f>IFERROR(__xludf.DUMMYFUNCTION("IFS(
D949=""Exclude"",""Exclude"",
AND(
FILTER(IMPORTRANGE(""https://docs.google.com/spreadsheets/d/1qpEmbGH0JjaJbUdp21-y2cPbobDbMjr09BbtdKROZWc/edit#gid=1444865654"",""articles_with_PRISMA_reasons!W2:W2113""), $A949=IMPORTRANGE(""https://docs.google.com/"&amp;"spreadsheets/d/1qpEmbGH0JjaJbUdp21-y2cPbobDbMjr09BbtdKROZWc/edit#gid=1444865654"",""articles_with_PRISMA_reasons!B2:B2113""))&gt;=2,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$A949=IMPORTRANGE(""https://docs.google.com/spreadsheets/d/1qpEmbGH0JjaJbUdp21-y2cPbobDbMjr09BbtdKROZWc/edit#gid=1444865654"",""articles_with_PRISMA_reasons!B2:B2113""))&lt;2),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$A949=IMPORTRANGE(""https://docs.google.com/spreadsheets/d/1qpEmbGH0JjaJbUdp21-y2cPbobDbMjr09BbtdKRO"&amp;"ZWc/edit#gid=1444865654"",""articles_with_PRISMA_reasons!B2:B2113""))&lt;2,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$A949=IMPOR"&amp;"TRANGE(""https://docs.google.com/spreadsheets/d/1qpEmbGH0JjaJbUdp21-y2cPbobDbMjr09BbtdKROZWc/edit#gid=1444865654"",""articles_with_PRISMA_reasons!B2:B2113""))&gt;=2),
""Exclude""
)"),"Exclude")</f>
        <v>Exclude</v>
      </c>
      <c r="F949" s="5" t="str">
        <f>IFERROR(__xludf.DUMMYFUNCTION("IFS(
E949=""Exclude"",""Exclude"",
AND(
COUNTIF(
IMPORTRANGE(""https://docs.google.com/spreadsheets/d/1kGrh75X1cNR1D7_FcY9zMnHP8iPO4M5RCRjy6nZY0TY/edit#gid=0"",""Table 1: Study characteristics!B4:B171""),A949)&gt;0,
COUNTIF(Studies!$A$2:$A$85,FILTER(IMPORTRA"&amp;"NGE(""https://docs.google.com/spreadsheets/d/1kGrh75X1cNR1D7_FcY9zMnHP8iPO4M5RCRjy6nZY0TY/edit#gid=0"",""Table 1: Study characteristics!A4:A171""), $A949=IMPORTRANGE(""https://docs.google.com/spreadsheets/d/1kGrh75X1cNR1D7_FcY9zMnHP8iPO4M5RCRjy6nZY0TY/edi"&amp;"t#gid=0"",""Table 1: Study characteristics!B4:B171"")))&gt;0
),
""Include""
)"),"Exclude")</f>
        <v>Exclude</v>
      </c>
      <c r="G949" s="5" t="str">
        <f>IFERROR(__xludf.DUMMYFUNCTION("IFS(
D949=""Exclude"",
FILTER(IMPORTRANGE(""https://docs.google.com/spreadsheets/d/1BJSV3WBYJGRhQ6zExamkszQ5VutGIcaQqmbD9ZTVXMQ/edit#gid=1251630045"",""articles_with_PRISMA_reasons!AB2:AB2113""), $A949=IMPORTRANGE(""https://docs.google.com/spreadsheets/d/"&amp;"1BJSV3WBYJGRhQ6zExamkszQ5VutGIcaQqmbD9ZTVXMQ/edit#gid=1251630045"",""articles_with_PRISMA_reasons!B2:B2113"")),
E949=""Exclude"",
FILTER(IMPORTRANGE(""https://docs.google.com/spreadsheets/d/1qpEmbGH0JjaJbUdp21-y2cPbobDbMjr09BbtdKROZWc/edit#gid=1444865654"&amp;""",""articles_with_PRISMA_reasons!Z2:Z2113""), $A949=IMPORTRANGE(""https://docs.google.com/spreadsheets/d/1qpEmbGH0JjaJbUdp21-y2cPbobDbMjr09BbtdKROZWc/edit#gid=1444865654"",""articles_with_PRISMA_reasons!B2:B2113"")),F949
=""Include"",FILTER(IMPORTRANGE("&amp;"""https://docs.google.com/spreadsheets/d/1kGrh75X1cNR1D7_FcY9zMnHP8iPO4M5RCRjy6nZY0TY/edit#gid=0"",""Table 1: Study characteristics!A4:A171""), $A949=IMPORTRANGE(""https://docs.google.com/spreadsheets/d/1kGrh75X1cNR1D7_FcY9zMnHP8iPO4M5RCRjy6nZY0TY/edit#gi"&amp;"d=0"",""Table 1: Study characteristics!B4:B171""))
)"),"wrong study design")</f>
        <v>wrong study design</v>
      </c>
    </row>
    <row r="950">
      <c r="A950" s="4" t="str">
        <f>IFERROR(__xludf.DUMMYFUNCTION("""COMPUTED_VALUE"""),"Improved postoperative metrics with modified myofascial closure in fetal myelomeningocele repair")</f>
        <v>Improved postoperative metrics with modified myofascial closure in fetal myelomeningocele repair</v>
      </c>
      <c r="B950" s="5" t="str">
        <f>IFERROR(__xludf.DUMMYFUNCTION("LEFT(FILTER(IMPORTRANGE(""https://docs.google.com/spreadsheets/d/1BJSV3WBYJGRhQ6zExamkszQ5VutGIcaQqmbD9ZTVXMQ/edit#gid=1251630045"",""articles_with_PRISMA_reasons!K2:K2113""), $A950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$A950=IMPORTRANGE(""https://docs.google.com/spreadsheets/d/1BJSV3WBYJGRhQ6zExamkszQ5VutGIcaQqmbD9ZTVXMQ/edit#gid=1251630045"",""articles_with_PRISMA_reasons!B2:B2113"")))-1)"),"Fl and ers")</f>
        <v>Fl and ers</v>
      </c>
      <c r="C950" s="6">
        <f>IFERROR(__xludf.DUMMYFUNCTION("FILTER(IMPORTRANGE(""https://docs.google.com/spreadsheets/d/1BJSV3WBYJGRhQ6zExamkszQ5VutGIcaQqmbD9ZTVXMQ/edit#gid=1251630045"",""articles_with_PRISMA_reasons!C2:C2113""), $A950=IMPORTRANGE(""https://docs.google.com/spreadsheets/d/1BJSV3WBYJGRhQ6zExamkszQ5"&amp;"VutGIcaQqmbD9ZTVXMQ/edit#gid=1251630045"",""articles_with_PRISMA_reasons!B2:B2113""))"),2020.0)</f>
        <v>2020</v>
      </c>
      <c r="D950" s="5" t="str">
        <f>IFERROR(__xludf.DUMMYFUNCTION("IFS(AND(
FILTER(IMPORTRANGE(""https://docs.google.com/spreadsheets/d/1BJSV3WBYJGRhQ6zExamkszQ5VutGIcaQqmbD9ZTVXMQ/edit#gid=1251630045"",""articles_with_PRISMA_reasons!Y2:Y2113""), $A950=IMPORTRANGE(""https://docs.google.com/spreadsheets/d/1BJSV3WBYJGRhQ6z"&amp;"ExamkszQ5VutGIcaQqmbD9ZTVXMQ/edit#gid=1251630045"",""articles_with_PRISMA_reasons!B2:B2113""))&gt;=2,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$A950=IMPORTRANGE(""https://docs.google.com/spreadsheets/d/1BJSV3WBYJGRhQ6zExamkszQ5VutGIcaQqmbD9ZTVXMQ/edit#gid=1251630045"",""articles_with_PRISMA_reasons!B2:B2113""))&lt;2),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$A950=IMPORTRANGE(""https://docs.google.com/spreadsheets/d/1BJSV3WBYJGRhQ6zExamkszQ5VutGIcaQqmbD9ZTVXMQ/edit#gid=1251630045"",""arti"&amp;"cles_with_PRISMA_reasons!B2:B2113""))&lt;2,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$A950=IMPORTRANGE(""https://docs.google.com"&amp;"/spreadsheets/d/1BJSV3WBYJGRhQ6zExamkszQ5VutGIcaQqmbD9ZTVXMQ/edit#gid=1251630045"",""articles_with_PRISMA_reasons!B2:B2113""))&gt;=2),
""Exclude""
)"),"Exclude")</f>
        <v>Exclude</v>
      </c>
      <c r="E950" s="5" t="str">
        <f>IFERROR(__xludf.DUMMYFUNCTION("IFS(
D950=""Exclude"",""Exclude"",
AND(
FILTER(IMPORTRANGE(""https://docs.google.com/spreadsheets/d/1qpEmbGH0JjaJbUdp21-y2cPbobDbMjr09BbtdKROZWc/edit#gid=1444865654"",""articles_with_PRISMA_reasons!W2:W2113""), $A950=IMPORTRANGE(""https://docs.google.com/"&amp;"spreadsheets/d/1qpEmbGH0JjaJbUdp21-y2cPbobDbMjr09BbtdKROZWc/edit#gid=1444865654"",""articles_with_PRISMA_reasons!B2:B2113""))&gt;=2,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$A950=IMPORTRANGE(""https://docs.google.com/spreadsheets/d/1qpEmbGH0JjaJbUdp21-y2cPbobDbMjr09BbtdKROZWc/edit#gid=1444865654"",""articles_with_PRISMA_reasons!B2:B2113""))&lt;2),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$A950=IMPORTRANGE(""https://docs.google.com/spreadsheets/d/1qpEmbGH0JjaJbUdp21-y2cPbobDbMjr09BbtdKRO"&amp;"ZWc/edit#gid=1444865654"",""articles_with_PRISMA_reasons!B2:B2113""))&lt;2,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$A950=IMPOR"&amp;"TRANGE(""https://docs.google.com/spreadsheets/d/1qpEmbGH0JjaJbUdp21-y2cPbobDbMjr09BbtdKROZWc/edit#gid=1444865654"",""articles_with_PRISMA_reasons!B2:B2113""))&gt;=2),
""Exclude""
)"),"Exclude")</f>
        <v>Exclude</v>
      </c>
      <c r="F950" s="5" t="str">
        <f>IFERROR(__xludf.DUMMYFUNCTION("IFS(
E950=""Exclude"",""Exclude"",
AND(
COUNTIF(
IMPORTRANGE(""https://docs.google.com/spreadsheets/d/1kGrh75X1cNR1D7_FcY9zMnHP8iPO4M5RCRjy6nZY0TY/edit#gid=0"",""Table 1: Study characteristics!B4:B171""),A950)&gt;0,
COUNTIF(Studies!$A$2:$A$85,FILTER(IMPORTRA"&amp;"NGE(""https://docs.google.com/spreadsheets/d/1kGrh75X1cNR1D7_FcY9zMnHP8iPO4M5RCRjy6nZY0TY/edit#gid=0"",""Table 1: Study characteristics!A4:A171""), $A950=IMPORTRANGE(""https://docs.google.com/spreadsheets/d/1kGrh75X1cNR1D7_FcY9zMnHP8iPO4M5RCRjy6nZY0TY/edi"&amp;"t#gid=0"",""Table 1: Study characteristics!B4:B171"")))&gt;0
),
""Include""
)"),"Exclude")</f>
        <v>Exclude</v>
      </c>
      <c r="G950" s="5" t="str">
        <f>IFERROR(__xludf.DUMMYFUNCTION("IFS(
D950=""Exclude"",
FILTER(IMPORTRANGE(""https://docs.google.com/spreadsheets/d/1BJSV3WBYJGRhQ6zExamkszQ5VutGIcaQqmbD9ZTVXMQ/edit#gid=1251630045"",""articles_with_PRISMA_reasons!AB2:AB2113""), $A950=IMPORTRANGE(""https://docs.google.com/spreadsheets/d/"&amp;"1BJSV3WBYJGRhQ6zExamkszQ5VutGIcaQqmbD9ZTVXMQ/edit#gid=1251630045"",""articles_with_PRISMA_reasons!B2:B2113"")),
E950=""Exclude"",
FILTER(IMPORTRANGE(""https://docs.google.com/spreadsheets/d/1qpEmbGH0JjaJbUdp21-y2cPbobDbMjr09BbtdKROZWc/edit#gid=1444865654"&amp;""",""articles_with_PRISMA_reasons!Z2:Z2113""), $A950=IMPORTRANGE(""https://docs.google.com/spreadsheets/d/1qpEmbGH0JjaJbUdp21-y2cPbobDbMjr09BbtdKROZWc/edit#gid=1444865654"",""articles_with_PRISMA_reasons!B2:B2113"")),F950
=""Include"",FILTER(IMPORTRANGE("&amp;"""https://docs.google.com/spreadsheets/d/1kGrh75X1cNR1D7_FcY9zMnHP8iPO4M5RCRjy6nZY0TY/edit#gid=0"",""Table 1: Study characteristics!A4:A171""), $A950=IMPORTRANGE(""https://docs.google.com/spreadsheets/d/1kGrh75X1cNR1D7_FcY9zMnHP8iPO4M5RCRjy6nZY0TY/edit#gi"&amp;"d=0"",""Table 1: Study characteristics!B4:B171""))
)"),"wrong population")</f>
        <v>wrong population</v>
      </c>
    </row>
    <row r="951">
      <c r="A951" s="4" t="str">
        <f>IFERROR(__xludf.DUMMYFUNCTION("""COMPUTED_VALUE"""),"Improvement in hindbrain herniation demonstrated by serial fetal magnetic resonance imaging following fetal surgery for myelomeningocele")</f>
        <v>Improvement in hindbrain herniation demonstrated by serial fetal magnetic resonance imaging following fetal surgery for myelomeningocele</v>
      </c>
      <c r="B951" s="5" t="str">
        <f>IFERROR(__xludf.DUMMYFUNCTION("LEFT(FILTER(IMPORTRANGE(""https://docs.google.com/spreadsheets/d/1BJSV3WBYJGRhQ6zExamkszQ5VutGIcaQqmbD9ZTVXMQ/edit#gid=1251630045"",""articles_with_PRISMA_reasons!K2:K2113""), $A951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$A951=IMPORTRANGE(""https://docs.google.com/spreadsheets/d/1BJSV3WBYJGRhQ6zExamkszQ5VutGIcaQqmbD9ZTVXMQ/edit#gid=1251630045"",""articles_with_PRISMA_reasons!B2:B2113"")))-1)"),"Sutton")</f>
        <v>Sutton</v>
      </c>
      <c r="C951" s="6">
        <f>IFERROR(__xludf.DUMMYFUNCTION("FILTER(IMPORTRANGE(""https://docs.google.com/spreadsheets/d/1BJSV3WBYJGRhQ6zExamkszQ5VutGIcaQqmbD9ZTVXMQ/edit#gid=1251630045"",""articles_with_PRISMA_reasons!C2:C2113""), $A951=IMPORTRANGE(""https://docs.google.com/spreadsheets/d/1BJSV3WBYJGRhQ6zExamkszQ5"&amp;"VutGIcaQqmbD9ZTVXMQ/edit#gid=1251630045"",""articles_with_PRISMA_reasons!B2:B2113""))"),1999.0)</f>
        <v>1999</v>
      </c>
      <c r="D951" s="5" t="str">
        <f>IFERROR(__xludf.DUMMYFUNCTION("IFS(AND(
FILTER(IMPORTRANGE(""https://docs.google.com/spreadsheets/d/1BJSV3WBYJGRhQ6zExamkszQ5VutGIcaQqmbD9ZTVXMQ/edit#gid=1251630045"",""articles_with_PRISMA_reasons!Y2:Y2113""), $A951=IMPORTRANGE(""https://docs.google.com/spreadsheets/d/1BJSV3WBYJGRhQ6z"&amp;"ExamkszQ5VutGIcaQqmbD9ZTVXMQ/edit#gid=1251630045"",""articles_with_PRISMA_reasons!B2:B2113""))&gt;=2,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$A951=IMPORTRANGE(""https://docs.google.com/spreadsheets/d/1BJSV3WBYJGRhQ6zExamkszQ5VutGIcaQqmbD9ZTVXMQ/edit#gid=1251630045"",""articles_with_PRISMA_reasons!B2:B2113""))&lt;2),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$A951=IMPORTRANGE(""https://docs.google.com/spreadsheets/d/1BJSV3WBYJGRhQ6zExamkszQ5VutGIcaQqmbD9ZTVXMQ/edit#gid=1251630045"",""arti"&amp;"cles_with_PRISMA_reasons!B2:B2113""))&lt;2,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$A951=IMPORTRANGE(""https://docs.google.com"&amp;"/spreadsheets/d/1BJSV3WBYJGRhQ6zExamkszQ5VutGIcaQqmbD9ZTVXMQ/edit#gid=1251630045"",""articles_with_PRISMA_reasons!B2:B2113""))&gt;=2),
""Exclude""
)"),"Exclude")</f>
        <v>Exclude</v>
      </c>
      <c r="E951" s="5" t="str">
        <f>IFERROR(__xludf.DUMMYFUNCTION("IFS(
D951=""Exclude"",""Exclude"",
AND(
FILTER(IMPORTRANGE(""https://docs.google.com/spreadsheets/d/1qpEmbGH0JjaJbUdp21-y2cPbobDbMjr09BbtdKROZWc/edit#gid=1444865654"",""articles_with_PRISMA_reasons!W2:W2113""), $A951=IMPORTRANGE(""https://docs.google.com/"&amp;"spreadsheets/d/1qpEmbGH0JjaJbUdp21-y2cPbobDbMjr09BbtdKROZWc/edit#gid=1444865654"",""articles_with_PRISMA_reasons!B2:B2113""))&gt;=2,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$A951=IMPORTRANGE(""https://docs.google.com/spreadsheets/d/1qpEmbGH0JjaJbUdp21-y2cPbobDbMjr09BbtdKROZWc/edit#gid=1444865654"",""articles_with_PRISMA_reasons!B2:B2113""))&lt;2),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$A951=IMPORTRANGE(""https://docs.google.com/spreadsheets/d/1qpEmbGH0JjaJbUdp21-y2cPbobDbMjr09BbtdKRO"&amp;"ZWc/edit#gid=1444865654"",""articles_with_PRISMA_reasons!B2:B2113""))&lt;2,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$A951=IMPOR"&amp;"TRANGE(""https://docs.google.com/spreadsheets/d/1qpEmbGH0JjaJbUdp21-y2cPbobDbMjr09BbtdKROZWc/edit#gid=1444865654"",""articles_with_PRISMA_reasons!B2:B2113""))&gt;=2),
""Exclude""
)"),"Exclude")</f>
        <v>Exclude</v>
      </c>
      <c r="F951" s="5" t="str">
        <f>IFERROR(__xludf.DUMMYFUNCTION("IFS(
E951=""Exclude"",""Exclude"",
AND(
COUNTIF(
IMPORTRANGE(""https://docs.google.com/spreadsheets/d/1kGrh75X1cNR1D7_FcY9zMnHP8iPO4M5RCRjy6nZY0TY/edit#gid=0"",""Table 1: Study characteristics!B4:B171""),A951)&gt;0,
COUNTIF(Studies!$A$2:$A$85,FILTER(IMPORTRA"&amp;"NGE(""https://docs.google.com/spreadsheets/d/1kGrh75X1cNR1D7_FcY9zMnHP8iPO4M5RCRjy6nZY0TY/edit#gid=0"",""Table 1: Study characteristics!A4:A171""), $A951=IMPORTRANGE(""https://docs.google.com/spreadsheets/d/1kGrh75X1cNR1D7_FcY9zMnHP8iPO4M5RCRjy6nZY0TY/edi"&amp;"t#gid=0"",""Table 1: Study characteristics!B4:B171"")))&gt;0
),
""Include""
)"),"Exclude")</f>
        <v>Exclude</v>
      </c>
      <c r="G951" s="5" t="str">
        <f>IFERROR(__xludf.DUMMYFUNCTION("IFS(
D951=""Exclude"",
FILTER(IMPORTRANGE(""https://docs.google.com/spreadsheets/d/1BJSV3WBYJGRhQ6zExamkszQ5VutGIcaQqmbD9ZTVXMQ/edit#gid=1251630045"",""articles_with_PRISMA_reasons!AB2:AB2113""), $A951=IMPORTRANGE(""https://docs.google.com/spreadsheets/d/"&amp;"1BJSV3WBYJGRhQ6zExamkszQ5VutGIcaQqmbD9ZTVXMQ/edit#gid=1251630045"",""articles_with_PRISMA_reasons!B2:B2113"")),
E951=""Exclude"",
FILTER(IMPORTRANGE(""https://docs.google.com/spreadsheets/d/1qpEmbGH0JjaJbUdp21-y2cPbobDbMjr09BbtdKROZWc/edit#gid=1444865654"&amp;""",""articles_with_PRISMA_reasons!Z2:Z2113""), $A951=IMPORTRANGE(""https://docs.google.com/spreadsheets/d/1qpEmbGH0JjaJbUdp21-y2cPbobDbMjr09BbtdKROZWc/edit#gid=1444865654"",""articles_with_PRISMA_reasons!B2:B2113"")),F951
=""Include"",FILTER(IMPORTRANGE("&amp;"""https://docs.google.com/spreadsheets/d/1kGrh75X1cNR1D7_FcY9zMnHP8iPO4M5RCRjy6nZY0TY/edit#gid=0"",""Table 1: Study characteristics!A4:A171""), $A951=IMPORTRANGE(""https://docs.google.com/spreadsheets/d/1kGrh75X1cNR1D7_FcY9zMnHP8iPO4M5RCRjy6nZY0TY/edit#gi"&amp;"d=0"",""Table 1: Study characteristics!B4:B171""))
)"),"Ante-natal intervention")</f>
        <v>Ante-natal intervention</v>
      </c>
    </row>
    <row r="952">
      <c r="A952" s="4" t="str">
        <f>IFERROR(__xludf.DUMMYFUNCTION("""COMPUTED_VALUE"""),"Improvement of obstructive sleep apneas caused by hydrocephalus associated with Chiari malformation Type II following surgery")</f>
        <v>Improvement of obstructive sleep apneas caused by hydrocephalus associated with Chiari malformation Type II following surgery</v>
      </c>
      <c r="B952" s="5" t="str">
        <f>IFERROR(__xludf.DUMMYFUNCTION("LEFT(FILTER(IMPORTRANGE(""https://docs.google.com/spreadsheets/d/1BJSV3WBYJGRhQ6zExamkszQ5VutGIcaQqmbD9ZTVXMQ/edit#gid=1251630045"",""articles_with_PRISMA_reasons!K2:K2113""), $A952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$A952=IMPORTRANGE(""https://docs.google.com/spreadsheets/d/1BJSV3WBYJGRhQ6zExamkszQ5VutGIcaQqmbD9ZTVXMQ/edit#gid=1251630045"",""articles_with_PRISMA_reasons!B2:B2113"")))-1)"),"Luigetti")</f>
        <v>Luigetti</v>
      </c>
      <c r="C952" s="6">
        <f>IFERROR(__xludf.DUMMYFUNCTION("FILTER(IMPORTRANGE(""https://docs.google.com/spreadsheets/d/1BJSV3WBYJGRhQ6zExamkszQ5VutGIcaQqmbD9ZTVXMQ/edit#gid=1251630045"",""articles_with_PRISMA_reasons!C2:C2113""), $A952=IMPORTRANGE(""https://docs.google.com/spreadsheets/d/1BJSV3WBYJGRhQ6zExamkszQ5"&amp;"VutGIcaQqmbD9ZTVXMQ/edit#gid=1251630045"",""articles_with_PRISMA_reasons!B2:B2113""))"),2010.0)</f>
        <v>2010</v>
      </c>
      <c r="D952" s="5" t="str">
        <f>IFERROR(__xludf.DUMMYFUNCTION("IFS(AND(
FILTER(IMPORTRANGE(""https://docs.google.com/spreadsheets/d/1BJSV3WBYJGRhQ6zExamkszQ5VutGIcaQqmbD9ZTVXMQ/edit#gid=1251630045"",""articles_with_PRISMA_reasons!Y2:Y2113""), $A952=IMPORTRANGE(""https://docs.google.com/spreadsheets/d/1BJSV3WBYJGRhQ6z"&amp;"ExamkszQ5VutGIcaQqmbD9ZTVXMQ/edit#gid=1251630045"",""articles_with_PRISMA_reasons!B2:B2113""))&gt;=2,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$A952=IMPORTRANGE(""https://docs.google.com/spreadsheets/d/1BJSV3WBYJGRhQ6zExamkszQ5VutGIcaQqmbD9ZTVXMQ/edit#gid=1251630045"",""articles_with_PRISMA_reasons!B2:B2113""))&lt;2),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$A952=IMPORTRANGE(""https://docs.google.com/spreadsheets/d/1BJSV3WBYJGRhQ6zExamkszQ5VutGIcaQqmbD9ZTVXMQ/edit#gid=1251630045"",""arti"&amp;"cles_with_PRISMA_reasons!B2:B2113""))&lt;2,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$A952=IMPORTRANGE(""https://docs.google.com"&amp;"/spreadsheets/d/1BJSV3WBYJGRhQ6zExamkszQ5VutGIcaQqmbD9ZTVXMQ/edit#gid=1251630045"",""articles_with_PRISMA_reasons!B2:B2113""))&gt;=2),
""Exclude""
)"),"Exclude")</f>
        <v>Exclude</v>
      </c>
      <c r="E952" s="5" t="str">
        <f>IFERROR(__xludf.DUMMYFUNCTION("IFS(
D952=""Exclude"",""Exclude"",
AND(
FILTER(IMPORTRANGE(""https://docs.google.com/spreadsheets/d/1qpEmbGH0JjaJbUdp21-y2cPbobDbMjr09BbtdKROZWc/edit#gid=1444865654"",""articles_with_PRISMA_reasons!W2:W2113""), $A952=IMPORTRANGE(""https://docs.google.com/"&amp;"spreadsheets/d/1qpEmbGH0JjaJbUdp21-y2cPbobDbMjr09BbtdKROZWc/edit#gid=1444865654"",""articles_with_PRISMA_reasons!B2:B2113""))&gt;=2,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$A952=IMPORTRANGE(""https://docs.google.com/spreadsheets/d/1qpEmbGH0JjaJbUdp21-y2cPbobDbMjr09BbtdKROZWc/edit#gid=1444865654"",""articles_with_PRISMA_reasons!B2:B2113""))&lt;2),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$A952=IMPORTRANGE(""https://docs.google.com/spreadsheets/d/1qpEmbGH0JjaJbUdp21-y2cPbobDbMjr09BbtdKRO"&amp;"ZWc/edit#gid=1444865654"",""articles_with_PRISMA_reasons!B2:B2113""))&lt;2,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$A952=IMPOR"&amp;"TRANGE(""https://docs.google.com/spreadsheets/d/1qpEmbGH0JjaJbUdp21-y2cPbobDbMjr09BbtdKROZWc/edit#gid=1444865654"",""articles_with_PRISMA_reasons!B2:B2113""))&gt;=2),
""Exclude""
)"),"Exclude")</f>
        <v>Exclude</v>
      </c>
      <c r="F952" s="5" t="str">
        <f>IFERROR(__xludf.DUMMYFUNCTION("IFS(
E952=""Exclude"",""Exclude"",
AND(
COUNTIF(
IMPORTRANGE(""https://docs.google.com/spreadsheets/d/1kGrh75X1cNR1D7_FcY9zMnHP8iPO4M5RCRjy6nZY0TY/edit#gid=0"",""Table 1: Study characteristics!B4:B171""),A952)&gt;0,
COUNTIF(Studies!$A$2:$A$85,FILTER(IMPORTRA"&amp;"NGE(""https://docs.google.com/spreadsheets/d/1kGrh75X1cNR1D7_FcY9zMnHP8iPO4M5RCRjy6nZY0TY/edit#gid=0"",""Table 1: Study characteristics!A4:A171""), $A952=IMPORTRANGE(""https://docs.google.com/spreadsheets/d/1kGrh75X1cNR1D7_FcY9zMnHP8iPO4M5RCRjy6nZY0TY/edi"&amp;"t#gid=0"",""Table 1: Study characteristics!B4:B171"")))&gt;0
),
""Include""
)"),"Exclude")</f>
        <v>Exclude</v>
      </c>
      <c r="G952" s="5" t="str">
        <f>IFERROR(__xludf.DUMMYFUNCTION("IFS(
D952=""Exclude"",
FILTER(IMPORTRANGE(""https://docs.google.com/spreadsheets/d/1BJSV3WBYJGRhQ6zExamkszQ5VutGIcaQqmbD9ZTVXMQ/edit#gid=1251630045"",""articles_with_PRISMA_reasons!AB2:AB2113""), $A952=IMPORTRANGE(""https://docs.google.com/spreadsheets/d/"&amp;"1BJSV3WBYJGRhQ6zExamkszQ5VutGIcaQqmbD9ZTVXMQ/edit#gid=1251630045"",""articles_with_PRISMA_reasons!B2:B2113"")),
E952=""Exclude"",
FILTER(IMPORTRANGE(""https://docs.google.com/spreadsheets/d/1qpEmbGH0JjaJbUdp21-y2cPbobDbMjr09BbtdKROZWc/edit#gid=1444865654"&amp;""",""articles_with_PRISMA_reasons!Z2:Z2113""), $A952=IMPORTRANGE(""https://docs.google.com/spreadsheets/d/1qpEmbGH0JjaJbUdp21-y2cPbobDbMjr09BbtdKROZWc/edit#gid=1444865654"",""articles_with_PRISMA_reasons!B2:B2113"")),F952
=""Include"",FILTER(IMPORTRANGE("&amp;"""https://docs.google.com/spreadsheets/d/1kGrh75X1cNR1D7_FcY9zMnHP8iPO4M5RCRjy6nZY0TY/edit#gid=0"",""Table 1: Study characteristics!A4:A171""), $A952=IMPORTRANGE(""https://docs.google.com/spreadsheets/d/1kGrh75X1cNR1D7_FcY9zMnHP8iPO4M5RCRjy6nZY0TY/edit#gi"&amp;"d=0"",""Table 1: Study characteristics!B4:B171""))
)"),"wrong study design")</f>
        <v>wrong study design</v>
      </c>
    </row>
    <row r="953">
      <c r="A953" s="4" t="str">
        <f>IFERROR(__xludf.DUMMYFUNCTION("""COMPUTED_VALUE"""),"In Reply to the Letter to the Editor Regarding ""Functional Motor Skills in Children Who Underwent Fetal Myelomeningocele Repair: Does Anatomic Level Matter?""")</f>
        <v>In Reply to the Letter to the Editor Regarding "Functional Motor Skills in Children Who Underwent Fetal Myelomeningocele Repair: Does Anatomic Level Matter?"</v>
      </c>
      <c r="B953" s="5" t="str">
        <f>IFERROR(__xludf.DUMMYFUNCTION("LEFT(FILTER(IMPORTRANGE(""https://docs.google.com/spreadsheets/d/1BJSV3WBYJGRhQ6zExamkszQ5VutGIcaQqmbD9ZTVXMQ/edit#gid=1251630045"",""articles_with_PRISMA_reasons!K2:K2113""), $A953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$A953=IMPORTRANGE(""https://docs.google.com/spreadsheets/d/1BJSV3WBYJGRhQ6zExamkszQ5VutGIcaQqmbD9ZTVXMQ/edit#gid=1251630045"",""articles_with_PRISMA_reasons!B2:B2113"")))-1)"),"Carbonari de Faria")</f>
        <v>Carbonari de Faria</v>
      </c>
      <c r="C953" s="6">
        <f>IFERROR(__xludf.DUMMYFUNCTION("FILTER(IMPORTRANGE(""https://docs.google.com/spreadsheets/d/1BJSV3WBYJGRhQ6zExamkszQ5VutGIcaQqmbD9ZTVXMQ/edit#gid=1251630045"",""articles_with_PRISMA_reasons!C2:C2113""), $A953=IMPORTRANGE(""https://docs.google.com/spreadsheets/d/1BJSV3WBYJGRhQ6zExamkszQ5"&amp;"VutGIcaQqmbD9ZTVXMQ/edit#gid=1251630045"",""articles_with_PRISMA_reasons!B2:B2113""))"),2021.0)</f>
        <v>2021</v>
      </c>
      <c r="D953" s="5" t="str">
        <f>IFERROR(__xludf.DUMMYFUNCTION("IFS(AND(
FILTER(IMPORTRANGE(""https://docs.google.com/spreadsheets/d/1BJSV3WBYJGRhQ6zExamkszQ5VutGIcaQqmbD9ZTVXMQ/edit#gid=1251630045"",""articles_with_PRISMA_reasons!Y2:Y2113""), $A953=IMPORTRANGE(""https://docs.google.com/spreadsheets/d/1BJSV3WBYJGRhQ6z"&amp;"ExamkszQ5VutGIcaQqmbD9ZTVXMQ/edit#gid=1251630045"",""articles_with_PRISMA_reasons!B2:B2113""))&gt;=2,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$A953=IMPORTRANGE(""https://docs.google.com/spreadsheets/d/1BJSV3WBYJGRhQ6zExamkszQ5VutGIcaQqmbD9ZTVXMQ/edit#gid=1251630045"",""articles_with_PRISMA_reasons!B2:B2113""))&lt;2),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$A953=IMPORTRANGE(""https://docs.google.com/spreadsheets/d/1BJSV3WBYJGRhQ6zExamkszQ5VutGIcaQqmbD9ZTVXMQ/edit#gid=1251630045"",""arti"&amp;"cles_with_PRISMA_reasons!B2:B2113""))&lt;2,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$A953=IMPORTRANGE(""https://docs.google.com"&amp;"/spreadsheets/d/1BJSV3WBYJGRhQ6zExamkszQ5VutGIcaQqmbD9ZTVXMQ/edit#gid=1251630045"",""articles_with_PRISMA_reasons!B2:B2113""))&gt;=2),
""Exclude""
)"),"Exclude")</f>
        <v>Exclude</v>
      </c>
      <c r="E953" s="5" t="str">
        <f>IFERROR(__xludf.DUMMYFUNCTION("IFS(
D953=""Exclude"",""Exclude"",
AND(
FILTER(IMPORTRANGE(""https://docs.google.com/spreadsheets/d/1qpEmbGH0JjaJbUdp21-y2cPbobDbMjr09BbtdKROZWc/edit#gid=1444865654"",""articles_with_PRISMA_reasons!W2:W2113""), $A953=IMPORTRANGE(""https://docs.google.com/"&amp;"spreadsheets/d/1qpEmbGH0JjaJbUdp21-y2cPbobDbMjr09BbtdKROZWc/edit#gid=1444865654"",""articles_with_PRISMA_reasons!B2:B2113""))&gt;=2,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$A953=IMPORTRANGE(""https://docs.google.com/spreadsheets/d/1qpEmbGH0JjaJbUdp21-y2cPbobDbMjr09BbtdKROZWc/edit#gid=1444865654"",""articles_with_PRISMA_reasons!B2:B2113""))&lt;2),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$A953=IMPORTRANGE(""https://docs.google.com/spreadsheets/d/1qpEmbGH0JjaJbUdp21-y2cPbobDbMjr09BbtdKRO"&amp;"ZWc/edit#gid=1444865654"",""articles_with_PRISMA_reasons!B2:B2113""))&lt;2,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$A953=IMPOR"&amp;"TRANGE(""https://docs.google.com/spreadsheets/d/1qpEmbGH0JjaJbUdp21-y2cPbobDbMjr09BbtdKROZWc/edit#gid=1444865654"",""articles_with_PRISMA_reasons!B2:B2113""))&gt;=2),
""Exclude""
)"),"Exclude")</f>
        <v>Exclude</v>
      </c>
      <c r="F953" s="5" t="str">
        <f>IFERROR(__xludf.DUMMYFUNCTION("IFS(
E953=""Exclude"",""Exclude"",
AND(
COUNTIF(
IMPORTRANGE(""https://docs.google.com/spreadsheets/d/1kGrh75X1cNR1D7_FcY9zMnHP8iPO4M5RCRjy6nZY0TY/edit#gid=0"",""Table 1: Study characteristics!B4:B171""),A953)&gt;0,
COUNTIF(Studies!$A$2:$A$85,FILTER(IMPORTRA"&amp;"NGE(""https://docs.google.com/spreadsheets/d/1kGrh75X1cNR1D7_FcY9zMnHP8iPO4M5RCRjy6nZY0TY/edit#gid=0"",""Table 1: Study characteristics!A4:A171""), $A953=IMPORTRANGE(""https://docs.google.com/spreadsheets/d/1kGrh75X1cNR1D7_FcY9zMnHP8iPO4M5RCRjy6nZY0TY/edi"&amp;"t#gid=0"",""Table 1: Study characteristics!B4:B171"")))&gt;0
),
""Include""
)"),"Exclude")</f>
        <v>Exclude</v>
      </c>
      <c r="G953" s="5" t="str">
        <f>IFERROR(__xludf.DUMMYFUNCTION("IFS(
D953=""Exclude"",
FILTER(IMPORTRANGE(""https://docs.google.com/spreadsheets/d/1BJSV3WBYJGRhQ6zExamkszQ5VutGIcaQqmbD9ZTVXMQ/edit#gid=1251630045"",""articles_with_PRISMA_reasons!AB2:AB2113""), $A953=IMPORTRANGE(""https://docs.google.com/spreadsheets/d/"&amp;"1BJSV3WBYJGRhQ6zExamkszQ5VutGIcaQqmbD9ZTVXMQ/edit#gid=1251630045"",""articles_with_PRISMA_reasons!B2:B2113"")),
E953=""Exclude"",
FILTER(IMPORTRANGE(""https://docs.google.com/spreadsheets/d/1qpEmbGH0JjaJbUdp21-y2cPbobDbMjr09BbtdKROZWc/edit#gid=1444865654"&amp;""",""articles_with_PRISMA_reasons!Z2:Z2113""), $A953=IMPORTRANGE(""https://docs.google.com/spreadsheets/d/1qpEmbGH0JjaJbUdp21-y2cPbobDbMjr09BbtdKROZWc/edit#gid=1444865654"",""articles_with_PRISMA_reasons!B2:B2113"")),F953
=""Include"",FILTER(IMPORTRANGE("&amp;"""https://docs.google.com/spreadsheets/d/1kGrh75X1cNR1D7_FcY9zMnHP8iPO4M5RCRjy6nZY0TY/edit#gid=0"",""Table 1: Study characteristics!A4:A171""), $A953=IMPORTRANGE(""https://docs.google.com/spreadsheets/d/1kGrh75X1cNR1D7_FcY9zMnHP8iPO4M5RCRjy6nZY0TY/edit#gi"&amp;"d=0"",""Table 1: Study characteristics!B4:B171""))
)"),"wrong study design")</f>
        <v>wrong study design</v>
      </c>
    </row>
    <row r="954">
      <c r="A954" s="4" t="str">
        <f>IFERROR(__xludf.DUMMYFUNCTION("""COMPUTED_VALUE"""),"In utero Hepatitis B Immunization during Fetal Surgery for Spina Bifida")</f>
        <v>In utero Hepatitis B Immunization during Fetal Surgery for Spina Bifida</v>
      </c>
      <c r="B954" s="5" t="str">
        <f>IFERROR(__xludf.DUMMYFUNCTION("LEFT(FILTER(IMPORTRANGE(""https://docs.google.com/spreadsheets/d/1BJSV3WBYJGRhQ6zExamkszQ5VutGIcaQqmbD9ZTVXMQ/edit#gid=1251630045"",""articles_with_PRISMA_reasons!K2:K2113""), $A954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$A954=IMPORTRANGE(""https://docs.google.com/spreadsheets/d/1BJSV3WBYJGRhQ6zExamkszQ5VutGIcaQqmbD9ZTVXMQ/edit#gid=1251630045"",""articles_with_PRISMA_reasons!B2:B2113"")))-1)"),"Moehrlen")</f>
        <v>Moehrlen</v>
      </c>
      <c r="C954" s="3">
        <v>2020.0</v>
      </c>
      <c r="D954" s="5" t="str">
        <f>IFERROR(__xludf.DUMMYFUNCTION("IFS(AND(
FILTER(IMPORTRANGE(""https://docs.google.com/spreadsheets/d/1BJSV3WBYJGRhQ6zExamkszQ5VutGIcaQqmbD9ZTVXMQ/edit#gid=1251630045"",""articles_with_PRISMA_reasons!Y2:Y2113""), $A954=IMPORTRANGE(""https://docs.google.com/spreadsheets/d/1BJSV3WBYJGRhQ6z"&amp;"ExamkszQ5VutGIcaQqmbD9ZTVXMQ/edit#gid=1251630045"",""articles_with_PRISMA_reasons!B2:B2113""))&gt;=2,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$A954=IMPORTRANGE(""https://docs.google.com/spreadsheets/d/1BJSV3WBYJGRhQ6zExamkszQ5VutGIcaQqmbD9ZTVXMQ/edit#gid=1251630045"",""articles_with_PRISMA_reasons!B2:B2113""))&lt;2),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$A954=IMPORTRANGE(""https://docs.google.com/spreadsheets/d/1BJSV3WBYJGRhQ6zExamkszQ5VutGIcaQqmbD9ZTVXMQ/edit#gid=1251630045"",""arti"&amp;"cles_with_PRISMA_reasons!B2:B2113""))&lt;2,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$A954=IMPORTRANGE(""https://docs.google.com"&amp;"/spreadsheets/d/1BJSV3WBYJGRhQ6zExamkszQ5VutGIcaQqmbD9ZTVXMQ/edit#gid=1251630045"",""articles_with_PRISMA_reasons!B2:B2113""))&gt;=2),
""Exclude""
)"),"Exclude")</f>
        <v>Exclude</v>
      </c>
      <c r="E954" s="5" t="str">
        <f>IFERROR(__xludf.DUMMYFUNCTION("IFS(
D954=""Exclude"",""Exclude"",
AND(
FILTER(IMPORTRANGE(""https://docs.google.com/spreadsheets/d/1qpEmbGH0JjaJbUdp21-y2cPbobDbMjr09BbtdKROZWc/edit#gid=1444865654"",""articles_with_PRISMA_reasons!W2:W2113""), $A954=IMPORTRANGE(""https://docs.google.com/"&amp;"spreadsheets/d/1qpEmbGH0JjaJbUdp21-y2cPbobDbMjr09BbtdKROZWc/edit#gid=1444865654"",""articles_with_PRISMA_reasons!B2:B2113""))&gt;=2,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$A954=IMPORTRANGE(""https://docs.google.com/spreadsheets/d/1qpEmbGH0JjaJbUdp21-y2cPbobDbMjr09BbtdKROZWc/edit#gid=1444865654"",""articles_with_PRISMA_reasons!B2:B2113""))&lt;2),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$A954=IMPORTRANGE(""https://docs.google.com/spreadsheets/d/1qpEmbGH0JjaJbUdp21-y2cPbobDbMjr09BbtdKRO"&amp;"ZWc/edit#gid=1444865654"",""articles_with_PRISMA_reasons!B2:B2113""))&lt;2,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$A954=IMPOR"&amp;"TRANGE(""https://docs.google.com/spreadsheets/d/1qpEmbGH0JjaJbUdp21-y2cPbobDbMjr09BbtdKROZWc/edit#gid=1444865654"",""articles_with_PRISMA_reasons!B2:B2113""))&gt;=2),
""Exclude""
)"),"Exclude")</f>
        <v>Exclude</v>
      </c>
      <c r="F954" s="5" t="str">
        <f>IFERROR(__xludf.DUMMYFUNCTION("IFS(
E954=""Exclude"",""Exclude"",
AND(
COUNTIF(
IMPORTRANGE(""https://docs.google.com/spreadsheets/d/1kGrh75X1cNR1D7_FcY9zMnHP8iPO4M5RCRjy6nZY0TY/edit#gid=0"",""Table 1: Study characteristics!B4:B171""),A954)&gt;0,
COUNTIF(Studies!$A$2:$A$85,FILTER(IMPORTRA"&amp;"NGE(""https://docs.google.com/spreadsheets/d/1kGrh75X1cNR1D7_FcY9zMnHP8iPO4M5RCRjy6nZY0TY/edit#gid=0"",""Table 1: Study characteristics!A4:A171""), $A954=IMPORTRANGE(""https://docs.google.com/spreadsheets/d/1kGrh75X1cNR1D7_FcY9zMnHP8iPO4M5RCRjy6nZY0TY/edi"&amp;"t#gid=0"",""Table 1: Study characteristics!B4:B171"")))&gt;0
),
""Include""
)"),"Exclude")</f>
        <v>Exclude</v>
      </c>
      <c r="G954" s="5" t="s">
        <v>7</v>
      </c>
    </row>
    <row r="955">
      <c r="A955" s="4" t="str">
        <f>IFERROR(__xludf.DUMMYFUNCTION("""COMPUTED_VALUE"""),"In utero Hepatitis B Immunization during Fetal Surgery for Spina Bifida")</f>
        <v>In utero Hepatitis B Immunization during Fetal Surgery for Spina Bifida</v>
      </c>
      <c r="B955" s="5" t="str">
        <f>IFERROR(__xludf.DUMMYFUNCTION("LEFT(FILTER(IMPORTRANGE(""https://docs.google.com/spreadsheets/d/1BJSV3WBYJGRhQ6zExamkszQ5VutGIcaQqmbD9ZTVXMQ/edit#gid=1251630045"",""articles_with_PRISMA_reasons!K2:K2113""), $A955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$A955=IMPORTRANGE(""https://docs.google.com/spreadsheets/d/1BJSV3WBYJGRhQ6zExamkszQ5VutGIcaQqmbD9ZTVXMQ/edit#gid=1251630045"",""articles_with_PRISMA_reasons!B2:B2113"")))-1)"),"Moehrlen")</f>
        <v>Moehrlen</v>
      </c>
      <c r="C955" s="3">
        <v>2020.0</v>
      </c>
      <c r="D955" s="5" t="str">
        <f>IFERROR(__xludf.DUMMYFUNCTION("IFS(AND(
FILTER(IMPORTRANGE(""https://docs.google.com/spreadsheets/d/1BJSV3WBYJGRhQ6zExamkszQ5VutGIcaQqmbD9ZTVXMQ/edit#gid=1251630045"",""articles_with_PRISMA_reasons!Y2:Y2113""), $A955=IMPORTRANGE(""https://docs.google.com/spreadsheets/d/1BJSV3WBYJGRhQ6z"&amp;"ExamkszQ5VutGIcaQqmbD9ZTVXMQ/edit#gid=1251630045"",""articles_with_PRISMA_reasons!B2:B2113""))&gt;=2,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$A955=IMPORTRANGE(""https://docs.google.com/spreadsheets/d/1BJSV3WBYJGRhQ6zExamkszQ5VutGIcaQqmbD9ZTVXMQ/edit#gid=1251630045"",""articles_with_PRISMA_reasons!B2:B2113""))&lt;2),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$A955=IMPORTRANGE(""https://docs.google.com/spreadsheets/d/1BJSV3WBYJGRhQ6zExamkszQ5VutGIcaQqmbD9ZTVXMQ/edit#gid=1251630045"",""arti"&amp;"cles_with_PRISMA_reasons!B2:B2113""))&lt;2,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$A955=IMPORTRANGE(""https://docs.google.com"&amp;"/spreadsheets/d/1BJSV3WBYJGRhQ6zExamkszQ5VutGIcaQqmbD9ZTVXMQ/edit#gid=1251630045"",""articles_with_PRISMA_reasons!B2:B2113""))&gt;=2),
""Exclude""
)"),"Exclude")</f>
        <v>Exclude</v>
      </c>
      <c r="E955" s="5" t="str">
        <f>IFERROR(__xludf.DUMMYFUNCTION("IFS(
D955=""Exclude"",""Exclude"",
AND(
FILTER(IMPORTRANGE(""https://docs.google.com/spreadsheets/d/1qpEmbGH0JjaJbUdp21-y2cPbobDbMjr09BbtdKROZWc/edit#gid=1444865654"",""articles_with_PRISMA_reasons!W2:W2113""), $A955=IMPORTRANGE(""https://docs.google.com/"&amp;"spreadsheets/d/1qpEmbGH0JjaJbUdp21-y2cPbobDbMjr09BbtdKROZWc/edit#gid=1444865654"",""articles_with_PRISMA_reasons!B2:B2113""))&gt;=2,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$A955=IMPORTRANGE(""https://docs.google.com/spreadsheets/d/1qpEmbGH0JjaJbUdp21-y2cPbobDbMjr09BbtdKROZWc/edit#gid=1444865654"",""articles_with_PRISMA_reasons!B2:B2113""))&lt;2),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$A955=IMPORTRANGE(""https://docs.google.com/spreadsheets/d/1qpEmbGH0JjaJbUdp21-y2cPbobDbMjr09BbtdKRO"&amp;"ZWc/edit#gid=1444865654"",""articles_with_PRISMA_reasons!B2:B2113""))&lt;2,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$A955=IMPOR"&amp;"TRANGE(""https://docs.google.com/spreadsheets/d/1qpEmbGH0JjaJbUdp21-y2cPbobDbMjr09BbtdKROZWc/edit#gid=1444865654"",""articles_with_PRISMA_reasons!B2:B2113""))&gt;=2),
""Exclude""
)"),"Exclude")</f>
        <v>Exclude</v>
      </c>
      <c r="F955" s="5" t="str">
        <f>IFERROR(__xludf.DUMMYFUNCTION("IFS(
E955=""Exclude"",""Exclude"",
AND(
COUNTIF(
IMPORTRANGE(""https://docs.google.com/spreadsheets/d/1kGrh75X1cNR1D7_FcY9zMnHP8iPO4M5RCRjy6nZY0TY/edit#gid=0"",""Table 1: Study characteristics!B4:B171""),A955)&gt;0,
COUNTIF(Studies!$A$2:$A$85,FILTER(IMPORTRA"&amp;"NGE(""https://docs.google.com/spreadsheets/d/1kGrh75X1cNR1D7_FcY9zMnHP8iPO4M5RCRjy6nZY0TY/edit#gid=0"",""Table 1: Study characteristics!A4:A171""), $A955=IMPORTRANGE(""https://docs.google.com/spreadsheets/d/1kGrh75X1cNR1D7_FcY9zMnHP8iPO4M5RCRjy6nZY0TY/edi"&amp;"t#gid=0"",""Table 1: Study characteristics!B4:B171"")))&gt;0
),
""Include""
)"),"Exclude")</f>
        <v>Exclude</v>
      </c>
      <c r="G955" s="2" t="s">
        <v>13</v>
      </c>
    </row>
    <row r="956">
      <c r="A956" s="4" t="str">
        <f>IFERROR(__xludf.DUMMYFUNCTION("""COMPUTED_VALUE"""),"In utero intervention for urologic diseases")</f>
        <v>In utero intervention for urologic diseases</v>
      </c>
      <c r="B956" s="5" t="str">
        <f>IFERROR(__xludf.DUMMYFUNCTION("LEFT(FILTER(IMPORTRANGE(""https://docs.google.com/spreadsheets/d/1BJSV3WBYJGRhQ6zExamkszQ5VutGIcaQqmbD9ZTVXMQ/edit#gid=1251630045"",""articles_with_PRISMA_reasons!K2:K2113""), $A956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$A956=IMPORTRANGE(""https://docs.google.com/spreadsheets/d/1BJSV3WBYJGRhQ6zExamkszQ5VutGIcaQqmbD9ZTVXMQ/edit#gid=1251630045"",""articles_with_PRISMA_reasons!B2:B2113"")))-1)"),"Clayton")</f>
        <v>Clayton</v>
      </c>
      <c r="C956" s="6">
        <f>IFERROR(__xludf.DUMMYFUNCTION("FILTER(IMPORTRANGE(""https://docs.google.com/spreadsheets/d/1BJSV3WBYJGRhQ6zExamkszQ5VutGIcaQqmbD9ZTVXMQ/edit#gid=1251630045"",""articles_with_PRISMA_reasons!C2:C2113""), $A956=IMPORTRANGE(""https://docs.google.com/spreadsheets/d/1BJSV3WBYJGRhQ6zExamkszQ5"&amp;"VutGIcaQqmbD9ZTVXMQ/edit#gid=1251630045"",""articles_with_PRISMA_reasons!B2:B2113""))"),2012.0)</f>
        <v>2012</v>
      </c>
      <c r="D956" s="5" t="str">
        <f>IFERROR(__xludf.DUMMYFUNCTION("IFS(AND(
FILTER(IMPORTRANGE(""https://docs.google.com/spreadsheets/d/1BJSV3WBYJGRhQ6zExamkszQ5VutGIcaQqmbD9ZTVXMQ/edit#gid=1251630045"",""articles_with_PRISMA_reasons!Y2:Y2113""), $A956=IMPORTRANGE(""https://docs.google.com/spreadsheets/d/1BJSV3WBYJGRhQ6z"&amp;"ExamkszQ5VutGIcaQqmbD9ZTVXMQ/edit#gid=1251630045"",""articles_with_PRISMA_reasons!B2:B2113""))&gt;=2,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$A956=IMPORTRANGE(""https://docs.google.com/spreadsheets/d/1BJSV3WBYJGRhQ6zExamkszQ5VutGIcaQqmbD9ZTVXMQ/edit#gid=1251630045"",""articles_with_PRISMA_reasons!B2:B2113""))&lt;2),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$A956=IMPORTRANGE(""https://docs.google.com/spreadsheets/d/1BJSV3WBYJGRhQ6zExamkszQ5VutGIcaQqmbD9ZTVXMQ/edit#gid=1251630045"",""arti"&amp;"cles_with_PRISMA_reasons!B2:B2113""))&lt;2,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$A956=IMPORTRANGE(""https://docs.google.com"&amp;"/spreadsheets/d/1BJSV3WBYJGRhQ6zExamkszQ5VutGIcaQqmbD9ZTVXMQ/edit#gid=1251630045"",""articles_with_PRISMA_reasons!B2:B2113""))&gt;=2),
""Exclude""
)"),"Exclude")</f>
        <v>Exclude</v>
      </c>
      <c r="E956" s="5" t="str">
        <f>IFERROR(__xludf.DUMMYFUNCTION("IFS(
D956=""Exclude"",""Exclude"",
AND(
FILTER(IMPORTRANGE(""https://docs.google.com/spreadsheets/d/1qpEmbGH0JjaJbUdp21-y2cPbobDbMjr09BbtdKROZWc/edit#gid=1444865654"",""articles_with_PRISMA_reasons!W2:W2113""), $A956=IMPORTRANGE(""https://docs.google.com/"&amp;"spreadsheets/d/1qpEmbGH0JjaJbUdp21-y2cPbobDbMjr09BbtdKROZWc/edit#gid=1444865654"",""articles_with_PRISMA_reasons!B2:B2113""))&gt;=2,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$A956=IMPORTRANGE(""https://docs.google.com/spreadsheets/d/1qpEmbGH0JjaJbUdp21-y2cPbobDbMjr09BbtdKROZWc/edit#gid=1444865654"",""articles_with_PRISMA_reasons!B2:B2113""))&lt;2),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$A956=IMPORTRANGE(""https://docs.google.com/spreadsheets/d/1qpEmbGH0JjaJbUdp21-y2cPbobDbMjr09BbtdKRO"&amp;"ZWc/edit#gid=1444865654"",""articles_with_PRISMA_reasons!B2:B2113""))&lt;2,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$A956=IMPOR"&amp;"TRANGE(""https://docs.google.com/spreadsheets/d/1qpEmbGH0JjaJbUdp21-y2cPbobDbMjr09BbtdKROZWc/edit#gid=1444865654"",""articles_with_PRISMA_reasons!B2:B2113""))&gt;=2),
""Exclude""
)"),"Exclude")</f>
        <v>Exclude</v>
      </c>
      <c r="F956" s="5" t="str">
        <f>IFERROR(__xludf.DUMMYFUNCTION("IFS(
E956=""Exclude"",""Exclude"",
AND(
COUNTIF(
IMPORTRANGE(""https://docs.google.com/spreadsheets/d/1kGrh75X1cNR1D7_FcY9zMnHP8iPO4M5RCRjy6nZY0TY/edit#gid=0"",""Table 1: Study characteristics!B4:B171""),A956)&gt;0,
COUNTIF(Studies!$A$2:$A$85,FILTER(IMPORTRA"&amp;"NGE(""https://docs.google.com/spreadsheets/d/1kGrh75X1cNR1D7_FcY9zMnHP8iPO4M5RCRjy6nZY0TY/edit#gid=0"",""Table 1: Study characteristics!A4:A171""), $A956=IMPORTRANGE(""https://docs.google.com/spreadsheets/d/1kGrh75X1cNR1D7_FcY9zMnHP8iPO4M5RCRjy6nZY0TY/edi"&amp;"t#gid=0"",""Table 1: Study characteristics!B4:B171"")))&gt;0
),
""Include""
)"),"Exclude")</f>
        <v>Exclude</v>
      </c>
      <c r="G956" s="5" t="str">
        <f>IFERROR(__xludf.DUMMYFUNCTION("IFS(
D956=""Exclude"",
FILTER(IMPORTRANGE(""https://docs.google.com/spreadsheets/d/1BJSV3WBYJGRhQ6zExamkszQ5VutGIcaQqmbD9ZTVXMQ/edit#gid=1251630045"",""articles_with_PRISMA_reasons!AB2:AB2113""), $A956=IMPORTRANGE(""https://docs.google.com/spreadsheets/d/"&amp;"1BJSV3WBYJGRhQ6zExamkszQ5VutGIcaQqmbD9ZTVXMQ/edit#gid=1251630045"",""articles_with_PRISMA_reasons!B2:B2113"")),
E956=""Exclude"",
FILTER(IMPORTRANGE(""https://docs.google.com/spreadsheets/d/1qpEmbGH0JjaJbUdp21-y2cPbobDbMjr09BbtdKROZWc/edit#gid=1444865654"&amp;""",""articles_with_PRISMA_reasons!Z2:Z2113""), $A956=IMPORTRANGE(""https://docs.google.com/spreadsheets/d/1qpEmbGH0JjaJbUdp21-y2cPbobDbMjr09BbtdKROZWc/edit#gid=1444865654"",""articles_with_PRISMA_reasons!B2:B2113"")),F956
=""Include"",FILTER(IMPORTRANGE("&amp;"""https://docs.google.com/spreadsheets/d/1kGrh75X1cNR1D7_FcY9zMnHP8iPO4M5RCRjy6nZY0TY/edit#gid=0"",""Table 1: Study characteristics!A4:A171""), $A956=IMPORTRANGE(""https://docs.google.com/spreadsheets/d/1kGrh75X1cNR1D7_FcY9zMnHP8iPO4M5RCRjy6nZY0TY/edit#gi"&amp;"d=0"",""Table 1: Study characteristics!B4:B171""))
)"),"wrong population")</f>
        <v>wrong population</v>
      </c>
    </row>
    <row r="957">
      <c r="A957" s="4" t="str">
        <f>IFERROR(__xludf.DUMMYFUNCTION("""COMPUTED_VALUE"""),"In utero open surgery: progress or stagnation in the prenatal management of spina bifida?")</f>
        <v>In utero open surgery: progress or stagnation in the prenatal management of spina bifida?</v>
      </c>
      <c r="B957" s="5" t="str">
        <f>IFERROR(__xludf.DUMMYFUNCTION("LEFT(FILTER(IMPORTRANGE(""https://docs.google.com/spreadsheets/d/1BJSV3WBYJGRhQ6zExamkszQ5VutGIcaQqmbD9ZTVXMQ/edit#gid=1251630045"",""articles_with_PRISMA_reasons!K2:K2113""), $A957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$A957=IMPORTRANGE(""https://docs.google.com/spreadsheets/d/1BJSV3WBYJGRhQ6zExamkszQ5VutGIcaQqmbD9ZTVXMQ/edit#gid=1251630045"",""articles_with_PRISMA_reasons!B2:B2113"")))-1)"),"Ville")</f>
        <v>Ville</v>
      </c>
      <c r="C957" s="6">
        <f>IFERROR(__xludf.DUMMYFUNCTION("FILTER(IMPORTRANGE(""https://docs.google.com/spreadsheets/d/1BJSV3WBYJGRhQ6zExamkszQ5VutGIcaQqmbD9ZTVXMQ/edit#gid=1251630045"",""articles_with_PRISMA_reasons!C2:C2113""), $A957=IMPORTRANGE(""https://docs.google.com/spreadsheets/d/1BJSV3WBYJGRhQ6zExamkszQ5"&amp;"VutGIcaQqmbD9ZTVXMQ/edit#gid=1251630045"",""articles_with_PRISMA_reasons!B2:B2113""))"),2018.0)</f>
        <v>2018</v>
      </c>
      <c r="D957" s="5" t="str">
        <f>IFERROR(__xludf.DUMMYFUNCTION("IFS(AND(
FILTER(IMPORTRANGE(""https://docs.google.com/spreadsheets/d/1BJSV3WBYJGRhQ6zExamkszQ5VutGIcaQqmbD9ZTVXMQ/edit#gid=1251630045"",""articles_with_PRISMA_reasons!Y2:Y2113""), $A957=IMPORTRANGE(""https://docs.google.com/spreadsheets/d/1BJSV3WBYJGRhQ6z"&amp;"ExamkszQ5VutGIcaQqmbD9ZTVXMQ/edit#gid=1251630045"",""articles_with_PRISMA_reasons!B2:B2113""))&gt;=2,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$A957=IMPORTRANGE(""https://docs.google.com/spreadsheets/d/1BJSV3WBYJGRhQ6zExamkszQ5VutGIcaQqmbD9ZTVXMQ/edit#gid=1251630045"",""articles_with_PRISMA_reasons!B2:B2113""))&lt;2),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$A957=IMPORTRANGE(""https://docs.google.com/spreadsheets/d/1BJSV3WBYJGRhQ6zExamkszQ5VutGIcaQqmbD9ZTVXMQ/edit#gid=1251630045"",""arti"&amp;"cles_with_PRISMA_reasons!B2:B2113""))&lt;2,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$A957=IMPORTRANGE(""https://docs.google.com"&amp;"/spreadsheets/d/1BJSV3WBYJGRhQ6zExamkszQ5VutGIcaQqmbD9ZTVXMQ/edit#gid=1251630045"",""articles_with_PRISMA_reasons!B2:B2113""))&gt;=2),
""Exclude""
)"),"Exclude")</f>
        <v>Exclude</v>
      </c>
      <c r="E957" s="5" t="str">
        <f>IFERROR(__xludf.DUMMYFUNCTION("IFS(
D957=""Exclude"",""Exclude"",
AND(
FILTER(IMPORTRANGE(""https://docs.google.com/spreadsheets/d/1qpEmbGH0JjaJbUdp21-y2cPbobDbMjr09BbtdKROZWc/edit#gid=1444865654"",""articles_with_PRISMA_reasons!W2:W2113""), $A957=IMPORTRANGE(""https://docs.google.com/"&amp;"spreadsheets/d/1qpEmbGH0JjaJbUdp21-y2cPbobDbMjr09BbtdKROZWc/edit#gid=1444865654"",""articles_with_PRISMA_reasons!B2:B2113""))&gt;=2,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$A957=IMPORTRANGE(""https://docs.google.com/spreadsheets/d/1qpEmbGH0JjaJbUdp21-y2cPbobDbMjr09BbtdKROZWc/edit#gid=1444865654"",""articles_with_PRISMA_reasons!B2:B2113""))&lt;2),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$A957=IMPORTRANGE(""https://docs.google.com/spreadsheets/d/1qpEmbGH0JjaJbUdp21-y2cPbobDbMjr09BbtdKRO"&amp;"ZWc/edit#gid=1444865654"",""articles_with_PRISMA_reasons!B2:B2113""))&lt;2,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$A957=IMPOR"&amp;"TRANGE(""https://docs.google.com/spreadsheets/d/1qpEmbGH0JjaJbUdp21-y2cPbobDbMjr09BbtdKROZWc/edit#gid=1444865654"",""articles_with_PRISMA_reasons!B2:B2113""))&gt;=2),
""Exclude""
)"),"Exclude")</f>
        <v>Exclude</v>
      </c>
      <c r="F957" s="5" t="str">
        <f>IFERROR(__xludf.DUMMYFUNCTION("IFS(
E957=""Exclude"",""Exclude"",
AND(
COUNTIF(
IMPORTRANGE(""https://docs.google.com/spreadsheets/d/1kGrh75X1cNR1D7_FcY9zMnHP8iPO4M5RCRjy6nZY0TY/edit#gid=0"",""Table 1: Study characteristics!B4:B171""),A957)&gt;0,
COUNTIF(Studies!$A$2:$A$85,FILTER(IMPORTRA"&amp;"NGE(""https://docs.google.com/spreadsheets/d/1kGrh75X1cNR1D7_FcY9zMnHP8iPO4M5RCRjy6nZY0TY/edit#gid=0"",""Table 1: Study characteristics!A4:A171""), $A957=IMPORTRANGE(""https://docs.google.com/spreadsheets/d/1kGrh75X1cNR1D7_FcY9zMnHP8iPO4M5RCRjy6nZY0TY/edi"&amp;"t#gid=0"",""Table 1: Study characteristics!B4:B171"")))&gt;0
),
""Include""
)"),"Exclude")</f>
        <v>Exclude</v>
      </c>
      <c r="G957" s="5" t="str">
        <f>IFERROR(__xludf.DUMMYFUNCTION("IFS(
D957=""Exclude"",
FILTER(IMPORTRANGE(""https://docs.google.com/spreadsheets/d/1BJSV3WBYJGRhQ6zExamkszQ5VutGIcaQqmbD9ZTVXMQ/edit#gid=1251630045"",""articles_with_PRISMA_reasons!AB2:AB2113""), $A957=IMPORTRANGE(""https://docs.google.com/spreadsheets/d/"&amp;"1BJSV3WBYJGRhQ6zExamkszQ5VutGIcaQqmbD9ZTVXMQ/edit#gid=1251630045"",""articles_with_PRISMA_reasons!B2:B2113"")),
E957=""Exclude"",
FILTER(IMPORTRANGE(""https://docs.google.com/spreadsheets/d/1qpEmbGH0JjaJbUdp21-y2cPbobDbMjr09BbtdKROZWc/edit#gid=1444865654"&amp;""",""articles_with_PRISMA_reasons!Z2:Z2113""), $A957=IMPORTRANGE(""https://docs.google.com/spreadsheets/d/1qpEmbGH0JjaJbUdp21-y2cPbobDbMjr09BbtdKROZWc/edit#gid=1444865654"",""articles_with_PRISMA_reasons!B2:B2113"")),F957
=""Include"",FILTER(IMPORTRANGE("&amp;"""https://docs.google.com/spreadsheets/d/1kGrh75X1cNR1D7_FcY9zMnHP8iPO4M5RCRjy6nZY0TY/edit#gid=0"",""Table 1: Study characteristics!A4:A171""), $A957=IMPORTRANGE(""https://docs.google.com/spreadsheets/d/1kGrh75X1cNR1D7_FcY9zMnHP8iPO4M5RCRjy6nZY0TY/edit#gi"&amp;"d=0"",""Table 1: Study characteristics!B4:B171""))
)"),"wrong population")</f>
        <v>wrong population</v>
      </c>
    </row>
    <row r="958">
      <c r="A958" s="4" t="str">
        <f>IFERROR(__xludf.DUMMYFUNCTION("""COMPUTED_VALUE"""),"In utero repair of myelomeningocele: rationale, initial clinical experience and a randomized controlled prospective clinical trial")</f>
        <v>In utero repair of myelomeningocele: rationale, initial clinical experience and a randomized controlled prospective clinical trial</v>
      </c>
      <c r="B958" s="5" t="str">
        <f>IFERROR(__xludf.DUMMYFUNCTION("LEFT(FILTER(IMPORTRANGE(""https://docs.google.com/spreadsheets/d/1BJSV3WBYJGRhQ6zExamkszQ5VutGIcaQqmbD9ZTVXMQ/edit#gid=1251630045"",""articles_with_PRISMA_reasons!K2:K2113""), $A958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$A958=IMPORTRANGE(""https://docs.google.com/spreadsheets/d/1BJSV3WBYJGRhQ6zExamkszQ5VutGIcaQqmbD9ZTVXMQ/edit#gid=1251630045"",""articles_with_PRISMA_reasons!B2:B2113"")))-1)"),"Danzer")</f>
        <v>Danzer</v>
      </c>
      <c r="C958" s="6">
        <f>IFERROR(__xludf.DUMMYFUNCTION("FILTER(IMPORTRANGE(""https://docs.google.com/spreadsheets/d/1BJSV3WBYJGRhQ6zExamkszQ5VutGIcaQqmbD9ZTVXMQ/edit#gid=1251630045"",""articles_with_PRISMA_reasons!C2:C2113""), $A958=IMPORTRANGE(""https://docs.google.com/spreadsheets/d/1BJSV3WBYJGRhQ6zExamkszQ5"&amp;"VutGIcaQqmbD9ZTVXMQ/edit#gid=1251630045"",""articles_with_PRISMA_reasons!B2:B2113""))"),2006.0)</f>
        <v>2006</v>
      </c>
      <c r="D958" s="5" t="str">
        <f>IFERROR(__xludf.DUMMYFUNCTION("IFS(AND(
FILTER(IMPORTRANGE(""https://docs.google.com/spreadsheets/d/1BJSV3WBYJGRhQ6zExamkszQ5VutGIcaQqmbD9ZTVXMQ/edit#gid=1251630045"",""articles_with_PRISMA_reasons!Y2:Y2113""), $A958=IMPORTRANGE(""https://docs.google.com/spreadsheets/d/1BJSV3WBYJGRhQ6z"&amp;"ExamkszQ5VutGIcaQqmbD9ZTVXMQ/edit#gid=1251630045"",""articles_with_PRISMA_reasons!B2:B2113""))&gt;=2,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$A958=IMPORTRANGE(""https://docs.google.com/spreadsheets/d/1BJSV3WBYJGRhQ6zExamkszQ5VutGIcaQqmbD9ZTVXMQ/edit#gid=1251630045"",""articles_with_PRISMA_reasons!B2:B2113""))&lt;2),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$A958=IMPORTRANGE(""https://docs.google.com/spreadsheets/d/1BJSV3WBYJGRhQ6zExamkszQ5VutGIcaQqmbD9ZTVXMQ/edit#gid=1251630045"",""arti"&amp;"cles_with_PRISMA_reasons!B2:B2113""))&lt;2,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$A958=IMPORTRANGE(""https://docs.google.com"&amp;"/spreadsheets/d/1BJSV3WBYJGRhQ6zExamkszQ5VutGIcaQqmbD9ZTVXMQ/edit#gid=1251630045"",""articles_with_PRISMA_reasons!B2:B2113""))&gt;=2),
""Exclude""
)"),"Exclude")</f>
        <v>Exclude</v>
      </c>
      <c r="E958" s="5" t="str">
        <f>IFERROR(__xludf.DUMMYFUNCTION("IFS(
D958=""Exclude"",""Exclude"",
AND(
FILTER(IMPORTRANGE(""https://docs.google.com/spreadsheets/d/1qpEmbGH0JjaJbUdp21-y2cPbobDbMjr09BbtdKROZWc/edit#gid=1444865654"",""articles_with_PRISMA_reasons!W2:W2113""), $A958=IMPORTRANGE(""https://docs.google.com/"&amp;"spreadsheets/d/1qpEmbGH0JjaJbUdp21-y2cPbobDbMjr09BbtdKROZWc/edit#gid=1444865654"",""articles_with_PRISMA_reasons!B2:B2113""))&gt;=2,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$A958=IMPORTRANGE(""https://docs.google.com/spreadsheets/d/1qpEmbGH0JjaJbUdp21-y2cPbobDbMjr09BbtdKROZWc/edit#gid=1444865654"",""articles_with_PRISMA_reasons!B2:B2113""))&lt;2),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$A958=IMPORTRANGE(""https://docs.google.com/spreadsheets/d/1qpEmbGH0JjaJbUdp21-y2cPbobDbMjr09BbtdKRO"&amp;"ZWc/edit#gid=1444865654"",""articles_with_PRISMA_reasons!B2:B2113""))&lt;2,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$A958=IMPOR"&amp;"TRANGE(""https://docs.google.com/spreadsheets/d/1qpEmbGH0JjaJbUdp21-y2cPbobDbMjr09BbtdKROZWc/edit#gid=1444865654"",""articles_with_PRISMA_reasons!B2:B2113""))&gt;=2),
""Exclude""
)"),"Exclude")</f>
        <v>Exclude</v>
      </c>
      <c r="F958" s="5" t="str">
        <f>IFERROR(__xludf.DUMMYFUNCTION("IFS(
E958=""Exclude"",""Exclude"",
AND(
COUNTIF(
IMPORTRANGE(""https://docs.google.com/spreadsheets/d/1kGrh75X1cNR1D7_FcY9zMnHP8iPO4M5RCRjy6nZY0TY/edit#gid=0"",""Table 1: Study characteristics!B4:B171""),A958)&gt;0,
COUNTIF(Studies!$A$2:$A$85,FILTER(IMPORTRA"&amp;"NGE(""https://docs.google.com/spreadsheets/d/1kGrh75X1cNR1D7_FcY9zMnHP8iPO4M5RCRjy6nZY0TY/edit#gid=0"",""Table 1: Study characteristics!A4:A171""), $A958=IMPORTRANGE(""https://docs.google.com/spreadsheets/d/1kGrh75X1cNR1D7_FcY9zMnHP8iPO4M5RCRjy6nZY0TY/edi"&amp;"t#gid=0"",""Table 1: Study characteristics!B4:B171"")))&gt;0
),
""Include""
)"),"Exclude")</f>
        <v>Exclude</v>
      </c>
      <c r="G958" s="5" t="str">
        <f>IFERROR(__xludf.DUMMYFUNCTION("IFS(
D958=""Exclude"",
FILTER(IMPORTRANGE(""https://docs.google.com/spreadsheets/d/1BJSV3WBYJGRhQ6zExamkszQ5VutGIcaQqmbD9ZTVXMQ/edit#gid=1251630045"",""articles_with_PRISMA_reasons!AB2:AB2113""), $A958=IMPORTRANGE(""https://docs.google.com/spreadsheets/d/"&amp;"1BJSV3WBYJGRhQ6zExamkszQ5VutGIcaQqmbD9ZTVXMQ/edit#gid=1251630045"",""articles_with_PRISMA_reasons!B2:B2113"")),
E958=""Exclude"",
FILTER(IMPORTRANGE(""https://docs.google.com/spreadsheets/d/1qpEmbGH0JjaJbUdp21-y2cPbobDbMjr09BbtdKROZWc/edit#gid=1444865654"&amp;""",""articles_with_PRISMA_reasons!Z2:Z2113""), $A958=IMPORTRANGE(""https://docs.google.com/spreadsheets/d/1qpEmbGH0JjaJbUdp21-y2cPbobDbMjr09BbtdKROZWc/edit#gid=1444865654"",""articles_with_PRISMA_reasons!B2:B2113"")),F958
=""Include"",FILTER(IMPORTRANGE("&amp;"""https://docs.google.com/spreadsheets/d/1kGrh75X1cNR1D7_FcY9zMnHP8iPO4M5RCRjy6nZY0TY/edit#gid=0"",""Table 1: Study characteristics!A4:A171""), $A958=IMPORTRANGE(""https://docs.google.com/spreadsheets/d/1kGrh75X1cNR1D7_FcY9zMnHP8iPO4M5RCRjy6nZY0TY/edit#gi"&amp;"d=0"",""Table 1: Study characteristics!B4:B171""))
)"),"Ante-natal intervention")</f>
        <v>Ante-natal intervention</v>
      </c>
    </row>
    <row r="959">
      <c r="A959" s="4" t="str">
        <f>IFERROR(__xludf.DUMMYFUNCTION("""COMPUTED_VALUE"""),"In utero repair of spina bifida")</f>
        <v>In utero repair of spina bifida</v>
      </c>
      <c r="B959" s="5" t="str">
        <f>IFERROR(__xludf.DUMMYFUNCTION("LEFT(FILTER(IMPORTRANGE(""https://docs.google.com/spreadsheets/d/1BJSV3WBYJGRhQ6zExamkszQ5VutGIcaQqmbD9ZTVXMQ/edit#gid=1251630045"",""articles_with_PRISMA_reasons!K2:K2113""), $A959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$A959=IMPORTRANGE(""https://docs.google.com/spreadsheets/d/1BJSV3WBYJGRhQ6zExamkszQ5VutGIcaQqmbD9ZTVXMQ/edit#gid=1251630045"",""articles_with_PRISMA_reasons!B2:B2113"")))-1)"),"Moldenhauer")</f>
        <v>Moldenhauer</v>
      </c>
      <c r="C959" s="6">
        <f>IFERROR(__xludf.DUMMYFUNCTION("FILTER(IMPORTRANGE(""https://docs.google.com/spreadsheets/d/1BJSV3WBYJGRhQ6zExamkszQ5VutGIcaQqmbD9ZTVXMQ/edit#gid=1251630045"",""articles_with_PRISMA_reasons!C2:C2113""), $A959=IMPORTRANGE(""https://docs.google.com/spreadsheets/d/1BJSV3WBYJGRhQ6zExamkszQ5"&amp;"VutGIcaQqmbD9ZTVXMQ/edit#gid=1251630045"",""articles_with_PRISMA_reasons!B2:B2113""))"),2014.0)</f>
        <v>2014</v>
      </c>
      <c r="D959" s="5" t="str">
        <f>IFERROR(__xludf.DUMMYFUNCTION("IFS(AND(
FILTER(IMPORTRANGE(""https://docs.google.com/spreadsheets/d/1BJSV3WBYJGRhQ6zExamkszQ5VutGIcaQqmbD9ZTVXMQ/edit#gid=1251630045"",""articles_with_PRISMA_reasons!Y2:Y2113""), $A959=IMPORTRANGE(""https://docs.google.com/spreadsheets/d/1BJSV3WBYJGRhQ6z"&amp;"ExamkszQ5VutGIcaQqmbD9ZTVXMQ/edit#gid=1251630045"",""articles_with_PRISMA_reasons!B2:B2113""))&gt;=2,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$A959=IMPORTRANGE(""https://docs.google.com/spreadsheets/d/1BJSV3WBYJGRhQ6zExamkszQ5VutGIcaQqmbD9ZTVXMQ/edit#gid=1251630045"",""articles_with_PRISMA_reasons!B2:B2113""))&lt;2),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$A959=IMPORTRANGE(""https://docs.google.com/spreadsheets/d/1BJSV3WBYJGRhQ6zExamkszQ5VutGIcaQqmbD9ZTVXMQ/edit#gid=1251630045"",""arti"&amp;"cles_with_PRISMA_reasons!B2:B2113""))&lt;2,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$A959=IMPORTRANGE(""https://docs.google.com"&amp;"/spreadsheets/d/1BJSV3WBYJGRhQ6zExamkszQ5VutGIcaQqmbD9ZTVXMQ/edit#gid=1251630045"",""articles_with_PRISMA_reasons!B2:B2113""))&gt;=2),
""Exclude""
)"),"Exclude")</f>
        <v>Exclude</v>
      </c>
      <c r="E959" s="5" t="str">
        <f>IFERROR(__xludf.DUMMYFUNCTION("IFS(
D959=""Exclude"",""Exclude"",
AND(
FILTER(IMPORTRANGE(""https://docs.google.com/spreadsheets/d/1qpEmbGH0JjaJbUdp21-y2cPbobDbMjr09BbtdKROZWc/edit#gid=1444865654"",""articles_with_PRISMA_reasons!W2:W2113""), $A959=IMPORTRANGE(""https://docs.google.com/"&amp;"spreadsheets/d/1qpEmbGH0JjaJbUdp21-y2cPbobDbMjr09BbtdKROZWc/edit#gid=1444865654"",""articles_with_PRISMA_reasons!B2:B2113""))&gt;=2,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$A959=IMPORTRANGE(""https://docs.google.com/spreadsheets/d/1qpEmbGH0JjaJbUdp21-y2cPbobDbMjr09BbtdKROZWc/edit#gid=1444865654"",""articles_with_PRISMA_reasons!B2:B2113""))&lt;2),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$A959=IMPORTRANGE(""https://docs.google.com/spreadsheets/d/1qpEmbGH0JjaJbUdp21-y2cPbobDbMjr09BbtdKRO"&amp;"ZWc/edit#gid=1444865654"",""articles_with_PRISMA_reasons!B2:B2113""))&lt;2,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$A959=IMPOR"&amp;"TRANGE(""https://docs.google.com/spreadsheets/d/1qpEmbGH0JjaJbUdp21-y2cPbobDbMjr09BbtdKROZWc/edit#gid=1444865654"",""articles_with_PRISMA_reasons!B2:B2113""))&gt;=2),
""Exclude""
)"),"Exclude")</f>
        <v>Exclude</v>
      </c>
      <c r="F959" s="5" t="str">
        <f>IFERROR(__xludf.DUMMYFUNCTION("IFS(
E959=""Exclude"",""Exclude"",
AND(
COUNTIF(
IMPORTRANGE(""https://docs.google.com/spreadsheets/d/1kGrh75X1cNR1D7_FcY9zMnHP8iPO4M5RCRjy6nZY0TY/edit#gid=0"",""Table 1: Study characteristics!B4:B171""),A959)&gt;0,
COUNTIF(Studies!$A$2:$A$85,FILTER(IMPORTRA"&amp;"NGE(""https://docs.google.com/spreadsheets/d/1kGrh75X1cNR1D7_FcY9zMnHP8iPO4M5RCRjy6nZY0TY/edit#gid=0"",""Table 1: Study characteristics!A4:A171""), $A959=IMPORTRANGE(""https://docs.google.com/spreadsheets/d/1kGrh75X1cNR1D7_FcY9zMnHP8iPO4M5RCRjy6nZY0TY/edi"&amp;"t#gid=0"",""Table 1: Study characteristics!B4:B171"")))&gt;0
),
""Include""
)"),"Exclude")</f>
        <v>Exclude</v>
      </c>
      <c r="G959" s="5" t="str">
        <f>IFERROR(__xludf.DUMMYFUNCTION("IFS(
D959=""Exclude"",
FILTER(IMPORTRANGE(""https://docs.google.com/spreadsheets/d/1BJSV3WBYJGRhQ6zExamkszQ5VutGIcaQqmbD9ZTVXMQ/edit#gid=1251630045"",""articles_with_PRISMA_reasons!AB2:AB2113""), $A959=IMPORTRANGE(""https://docs.google.com/spreadsheets/d/"&amp;"1BJSV3WBYJGRhQ6zExamkszQ5VutGIcaQqmbD9ZTVXMQ/edit#gid=1251630045"",""articles_with_PRISMA_reasons!B2:B2113"")),
E959=""Exclude"",
FILTER(IMPORTRANGE(""https://docs.google.com/spreadsheets/d/1qpEmbGH0JjaJbUdp21-y2cPbobDbMjr09BbtdKROZWc/edit#gid=1444865654"&amp;""",""articles_with_PRISMA_reasons!Z2:Z2113""), $A959=IMPORTRANGE(""https://docs.google.com/spreadsheets/d/1qpEmbGH0JjaJbUdp21-y2cPbobDbMjr09BbtdKROZWc/edit#gid=1444865654"",""articles_with_PRISMA_reasons!B2:B2113"")),F959
=""Include"",FILTER(IMPORTRANGE("&amp;"""https://docs.google.com/spreadsheets/d/1kGrh75X1cNR1D7_FcY9zMnHP8iPO4M5RCRjy6nZY0TY/edit#gid=0"",""Table 1: Study characteristics!A4:A171""), $A959=IMPORTRANGE(""https://docs.google.com/spreadsheets/d/1kGrh75X1cNR1D7_FcY9zMnHP8iPO4M5RCRjy6nZY0TY/edit#gi"&amp;"d=0"",""Table 1: Study characteristics!B4:B171""))
)"),"wrong population")</f>
        <v>wrong population</v>
      </c>
    </row>
    <row r="960">
      <c r="A960" s="4" t="str">
        <f>IFERROR(__xludf.DUMMYFUNCTION("""COMPUTED_VALUE"""),"In Utero Restoration of Hindbrain Herniation in Fetal Myelomeningocele as Part of Prenatal Regenerative Therapy Program at Mayo Clinic")</f>
        <v>In Utero Restoration of Hindbrain Herniation in Fetal Myelomeningocele as Part of Prenatal Regenerative Therapy Program at Mayo Clinic</v>
      </c>
      <c r="B960" s="5" t="str">
        <f>IFERROR(__xludf.DUMMYFUNCTION("LEFT(FILTER(IMPORTRANGE(""https://docs.google.com/spreadsheets/d/1BJSV3WBYJGRhQ6zExamkszQ5VutGIcaQqmbD9ZTVXMQ/edit#gid=1251630045"",""articles_with_PRISMA_reasons!K2:K2113""), $A960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$A960=IMPORTRANGE(""https://docs.google.com/spreadsheets/d/1BJSV3WBYJGRhQ6zExamkszQ5VutGIcaQqmbD9ZTVXMQ/edit#gid=1251630045"",""articles_with_PRISMA_reasons!B2:B2113"")))-1)"),"Ibirogba")</f>
        <v>Ibirogba</v>
      </c>
      <c r="C960" s="6">
        <f>IFERROR(__xludf.DUMMYFUNCTION("FILTER(IMPORTRANGE(""https://docs.google.com/spreadsheets/d/1BJSV3WBYJGRhQ6zExamkszQ5VutGIcaQqmbD9ZTVXMQ/edit#gid=1251630045"",""articles_with_PRISMA_reasons!C2:C2113""), $A960=IMPORTRANGE(""https://docs.google.com/spreadsheets/d/1BJSV3WBYJGRhQ6zExamkszQ5"&amp;"VutGIcaQqmbD9ZTVXMQ/edit#gid=1251630045"",""articles_with_PRISMA_reasons!B2:B2113""))"),2020.0)</f>
        <v>2020</v>
      </c>
      <c r="D960" s="5" t="str">
        <f>IFERROR(__xludf.DUMMYFUNCTION("IFS(AND(
FILTER(IMPORTRANGE(""https://docs.google.com/spreadsheets/d/1BJSV3WBYJGRhQ6zExamkszQ5VutGIcaQqmbD9ZTVXMQ/edit#gid=1251630045"",""articles_with_PRISMA_reasons!Y2:Y2113""), $A960=IMPORTRANGE(""https://docs.google.com/spreadsheets/d/1BJSV3WBYJGRhQ6z"&amp;"ExamkszQ5VutGIcaQqmbD9ZTVXMQ/edit#gid=1251630045"",""articles_with_PRISMA_reasons!B2:B2113""))&gt;=2,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$A960=IMPORTRANGE(""https://docs.google.com/spreadsheets/d/1BJSV3WBYJGRhQ6zExamkszQ5VutGIcaQqmbD9ZTVXMQ/edit#gid=1251630045"",""articles_with_PRISMA_reasons!B2:B2113""))&lt;2),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$A960=IMPORTRANGE(""https://docs.google.com/spreadsheets/d/1BJSV3WBYJGRhQ6zExamkszQ5VutGIcaQqmbD9ZTVXMQ/edit#gid=1251630045"",""arti"&amp;"cles_with_PRISMA_reasons!B2:B2113""))&lt;2,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$A960=IMPORTRANGE(""https://docs.google.com"&amp;"/spreadsheets/d/1BJSV3WBYJGRhQ6zExamkszQ5VutGIcaQqmbD9ZTVXMQ/edit#gid=1251630045"",""articles_with_PRISMA_reasons!B2:B2113""))&gt;=2),
""Exclude""
)"),"Exclude")</f>
        <v>Exclude</v>
      </c>
      <c r="E960" s="5" t="str">
        <f>IFERROR(__xludf.DUMMYFUNCTION("IFS(
D960=""Exclude"",""Exclude"",
AND(
FILTER(IMPORTRANGE(""https://docs.google.com/spreadsheets/d/1qpEmbGH0JjaJbUdp21-y2cPbobDbMjr09BbtdKROZWc/edit#gid=1444865654"",""articles_with_PRISMA_reasons!W2:W2113""), $A960=IMPORTRANGE(""https://docs.google.com/"&amp;"spreadsheets/d/1qpEmbGH0JjaJbUdp21-y2cPbobDbMjr09BbtdKROZWc/edit#gid=1444865654"",""articles_with_PRISMA_reasons!B2:B2113""))&gt;=2,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$A960=IMPORTRANGE(""https://docs.google.com/spreadsheets/d/1qpEmbGH0JjaJbUdp21-y2cPbobDbMjr09BbtdKROZWc/edit#gid=1444865654"",""articles_with_PRISMA_reasons!B2:B2113""))&lt;2),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$A960=IMPORTRANGE(""https://docs.google.com/spreadsheets/d/1qpEmbGH0JjaJbUdp21-y2cPbobDbMjr09BbtdKRO"&amp;"ZWc/edit#gid=1444865654"",""articles_with_PRISMA_reasons!B2:B2113""))&lt;2,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$A960=IMPOR"&amp;"TRANGE(""https://docs.google.com/spreadsheets/d/1qpEmbGH0JjaJbUdp21-y2cPbobDbMjr09BbtdKROZWc/edit#gid=1444865654"",""articles_with_PRISMA_reasons!B2:B2113""))&gt;=2),
""Exclude""
)"),"Exclude")</f>
        <v>Exclude</v>
      </c>
      <c r="F960" s="5" t="str">
        <f>IFERROR(__xludf.DUMMYFUNCTION("IFS(
E960=""Exclude"",""Exclude"",
AND(
COUNTIF(
IMPORTRANGE(""https://docs.google.com/spreadsheets/d/1kGrh75X1cNR1D7_FcY9zMnHP8iPO4M5RCRjy6nZY0TY/edit#gid=0"",""Table 1: Study characteristics!B4:B171""),A960)&gt;0,
COUNTIF(Studies!$A$2:$A$85,FILTER(IMPORTRA"&amp;"NGE(""https://docs.google.com/spreadsheets/d/1kGrh75X1cNR1D7_FcY9zMnHP8iPO4M5RCRjy6nZY0TY/edit#gid=0"",""Table 1: Study characteristics!A4:A171""), $A960=IMPORTRANGE(""https://docs.google.com/spreadsheets/d/1kGrh75X1cNR1D7_FcY9zMnHP8iPO4M5RCRjy6nZY0TY/edi"&amp;"t#gid=0"",""Table 1: Study characteristics!B4:B171"")))&gt;0
),
""Include""
)"),"Exclude")</f>
        <v>Exclude</v>
      </c>
      <c r="G960" s="5" t="str">
        <f>IFERROR(__xludf.DUMMYFUNCTION("IFS(
D960=""Exclude"",
FILTER(IMPORTRANGE(""https://docs.google.com/spreadsheets/d/1BJSV3WBYJGRhQ6zExamkszQ5VutGIcaQqmbD9ZTVXMQ/edit#gid=1251630045"",""articles_with_PRISMA_reasons!AB2:AB2113""), $A960=IMPORTRANGE(""https://docs.google.com/spreadsheets/d/"&amp;"1BJSV3WBYJGRhQ6zExamkszQ5VutGIcaQqmbD9ZTVXMQ/edit#gid=1251630045"",""articles_with_PRISMA_reasons!B2:B2113"")),
E960=""Exclude"",
FILTER(IMPORTRANGE(""https://docs.google.com/spreadsheets/d/1qpEmbGH0JjaJbUdp21-y2cPbobDbMjr09BbtdKROZWc/edit#gid=1444865654"&amp;""",""articles_with_PRISMA_reasons!Z2:Z2113""), $A960=IMPORTRANGE(""https://docs.google.com/spreadsheets/d/1qpEmbGH0JjaJbUdp21-y2cPbobDbMjr09BbtdKROZWc/edit#gid=1444865654"",""articles_with_PRISMA_reasons!B2:B2113"")),F960
=""Include"",FILTER(IMPORTRANGE("&amp;"""https://docs.google.com/spreadsheets/d/1kGrh75X1cNR1D7_FcY9zMnHP8iPO4M5RCRjy6nZY0TY/edit#gid=0"",""Table 1: Study characteristics!A4:A171""), $A960=IMPORTRANGE(""https://docs.google.com/spreadsheets/d/1kGrh75X1cNR1D7_FcY9zMnHP8iPO4M5RCRjy6nZY0TY/edit#gi"&amp;"d=0"",""Table 1: Study characteristics!B4:B171""))
)"),"wrong population")</f>
        <v>wrong population</v>
      </c>
    </row>
    <row r="961">
      <c r="A961" s="4" t="str">
        <f>IFERROR(__xludf.DUMMYFUNCTION("""COMPUTED_VALUE"""),"In utero sonographic recognition of diastematomyelia")</f>
        <v>In utero sonographic recognition of diastematomyelia</v>
      </c>
      <c r="B961" s="5" t="str">
        <f>IFERROR(__xludf.DUMMYFUNCTION("LEFT(FILTER(IMPORTRANGE(""https://docs.google.com/spreadsheets/d/1BJSV3WBYJGRhQ6zExamkszQ5VutGIcaQqmbD9ZTVXMQ/edit#gid=1251630045"",""articles_with_PRISMA_reasons!K2:K2113""), $A961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$A961=IMPORTRANGE(""https://docs.google.com/spreadsheets/d/1BJSV3WBYJGRhQ6zExamkszQ5VutGIcaQqmbD9ZTVXMQ/edit#gid=1251630045"",""articles_with_PRISMA_reasons!B2:B2113"")))-1)"),"Williams")</f>
        <v>Williams</v>
      </c>
      <c r="C961" s="6">
        <f>IFERROR(__xludf.DUMMYFUNCTION("FILTER(IMPORTRANGE(""https://docs.google.com/spreadsheets/d/1BJSV3WBYJGRhQ6zExamkszQ5VutGIcaQqmbD9ZTVXMQ/edit#gid=1251630045"",""articles_with_PRISMA_reasons!C2:C2113""), $A961=IMPORTRANGE(""https://docs.google.com/spreadsheets/d/1BJSV3WBYJGRhQ6zExamkszQ5"&amp;"VutGIcaQqmbD9ZTVXMQ/edit#gid=1251630045"",""articles_with_PRISMA_reasons!B2:B2113""))"),1985.0)</f>
        <v>1985</v>
      </c>
      <c r="D961" s="5" t="str">
        <f>IFERROR(__xludf.DUMMYFUNCTION("IFS(AND(
FILTER(IMPORTRANGE(""https://docs.google.com/spreadsheets/d/1BJSV3WBYJGRhQ6zExamkszQ5VutGIcaQqmbD9ZTVXMQ/edit#gid=1251630045"",""articles_with_PRISMA_reasons!Y2:Y2113""), $A961=IMPORTRANGE(""https://docs.google.com/spreadsheets/d/1BJSV3WBYJGRhQ6z"&amp;"ExamkszQ5VutGIcaQqmbD9ZTVXMQ/edit#gid=1251630045"",""articles_with_PRISMA_reasons!B2:B2113""))&gt;=2,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$A961=IMPORTRANGE(""https://docs.google.com/spreadsheets/d/1BJSV3WBYJGRhQ6zExamkszQ5VutGIcaQqmbD9ZTVXMQ/edit#gid=1251630045"",""articles_with_PRISMA_reasons!B2:B2113""))&lt;2),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$A961=IMPORTRANGE(""https://docs.google.com/spreadsheets/d/1BJSV3WBYJGRhQ6zExamkszQ5VutGIcaQqmbD9ZTVXMQ/edit#gid=1251630045"",""arti"&amp;"cles_with_PRISMA_reasons!B2:B2113""))&lt;2,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$A961=IMPORTRANGE(""https://docs.google.com"&amp;"/spreadsheets/d/1BJSV3WBYJGRhQ6zExamkszQ5VutGIcaQqmbD9ZTVXMQ/edit#gid=1251630045"",""articles_with_PRISMA_reasons!B2:B2113""))&gt;=2),
""Exclude""
)"),"Exclude")</f>
        <v>Exclude</v>
      </c>
      <c r="E961" s="5" t="str">
        <f>IFERROR(__xludf.DUMMYFUNCTION("IFS(
D961=""Exclude"",""Exclude"",
AND(
FILTER(IMPORTRANGE(""https://docs.google.com/spreadsheets/d/1qpEmbGH0JjaJbUdp21-y2cPbobDbMjr09BbtdKROZWc/edit#gid=1444865654"",""articles_with_PRISMA_reasons!W2:W2113""), $A961=IMPORTRANGE(""https://docs.google.com/"&amp;"spreadsheets/d/1qpEmbGH0JjaJbUdp21-y2cPbobDbMjr09BbtdKROZWc/edit#gid=1444865654"",""articles_with_PRISMA_reasons!B2:B2113""))&gt;=2,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$A961=IMPORTRANGE(""https://docs.google.com/spreadsheets/d/1qpEmbGH0JjaJbUdp21-y2cPbobDbMjr09BbtdKROZWc/edit#gid=1444865654"",""articles_with_PRISMA_reasons!B2:B2113""))&lt;2),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$A961=IMPORTRANGE(""https://docs.google.com/spreadsheets/d/1qpEmbGH0JjaJbUdp21-y2cPbobDbMjr09BbtdKRO"&amp;"ZWc/edit#gid=1444865654"",""articles_with_PRISMA_reasons!B2:B2113""))&lt;2,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$A961=IMPOR"&amp;"TRANGE(""https://docs.google.com/spreadsheets/d/1qpEmbGH0JjaJbUdp21-y2cPbobDbMjr09BbtdKROZWc/edit#gid=1444865654"",""articles_with_PRISMA_reasons!B2:B2113""))&gt;=2),
""Exclude""
)"),"Exclude")</f>
        <v>Exclude</v>
      </c>
      <c r="F961" s="5" t="str">
        <f>IFERROR(__xludf.DUMMYFUNCTION("IFS(
E961=""Exclude"",""Exclude"",
AND(
COUNTIF(
IMPORTRANGE(""https://docs.google.com/spreadsheets/d/1kGrh75X1cNR1D7_FcY9zMnHP8iPO4M5RCRjy6nZY0TY/edit#gid=0"",""Table 1: Study characteristics!B4:B171""),A961)&gt;0,
COUNTIF(Studies!$A$2:$A$85,FILTER(IMPORTRA"&amp;"NGE(""https://docs.google.com/spreadsheets/d/1kGrh75X1cNR1D7_FcY9zMnHP8iPO4M5RCRjy6nZY0TY/edit#gid=0"",""Table 1: Study characteristics!A4:A171""), $A961=IMPORTRANGE(""https://docs.google.com/spreadsheets/d/1kGrh75X1cNR1D7_FcY9zMnHP8iPO4M5RCRjy6nZY0TY/edi"&amp;"t#gid=0"",""Table 1: Study characteristics!B4:B171"")))&gt;0
),
""Include""
)"),"Exclude")</f>
        <v>Exclude</v>
      </c>
      <c r="G961" s="5" t="str">
        <f>IFERROR(__xludf.DUMMYFUNCTION("IFS(
D961=""Exclude"",
FILTER(IMPORTRANGE(""https://docs.google.com/spreadsheets/d/1BJSV3WBYJGRhQ6zExamkszQ5VutGIcaQqmbD9ZTVXMQ/edit#gid=1251630045"",""articles_with_PRISMA_reasons!AB2:AB2113""), $A961=IMPORTRANGE(""https://docs.google.com/spreadsheets/d/"&amp;"1BJSV3WBYJGRhQ6zExamkszQ5VutGIcaQqmbD9ZTVXMQ/edit#gid=1251630045"",""articles_with_PRISMA_reasons!B2:B2113"")),
E961=""Exclude"",
FILTER(IMPORTRANGE(""https://docs.google.com/spreadsheets/d/1qpEmbGH0JjaJbUdp21-y2cPbobDbMjr09BbtdKROZWc/edit#gid=1444865654"&amp;""",""articles_with_PRISMA_reasons!Z2:Z2113""), $A961=IMPORTRANGE(""https://docs.google.com/spreadsheets/d/1qpEmbGH0JjaJbUdp21-y2cPbobDbMjr09BbtdKROZWc/edit#gid=1444865654"",""articles_with_PRISMA_reasons!B2:B2113"")),F961
=""Include"",FILTER(IMPORTRANGE("&amp;"""https://docs.google.com/spreadsheets/d/1kGrh75X1cNR1D7_FcY9zMnHP8iPO4M5RCRjy6nZY0TY/edit#gid=0"",""Table 1: Study characteristics!A4:A171""), $A961=IMPORTRANGE(""https://docs.google.com/spreadsheets/d/1kGrh75X1cNR1D7_FcY9zMnHP8iPO4M5RCRjy6nZY0TY/edit#gi"&amp;"d=0"",""Table 1: Study characteristics!B4:B171""))
)"),"wrong study design")</f>
        <v>wrong study design</v>
      </c>
    </row>
    <row r="962">
      <c r="A962" s="4" t="str">
        <f>IFERROR(__xludf.DUMMYFUNCTION("""COMPUTED_VALUE"""),"Incidence of cerebrospinal fluid leak in patients with myelomeningocele and TCS Repair")</f>
        <v>Incidence of cerebrospinal fluid leak in patients with myelomeningocele and TCS Repair</v>
      </c>
      <c r="B962" s="5" t="str">
        <f>IFERROR(__xludf.DUMMYFUNCTION("LEFT(FILTER(IMPORTRANGE(""https://docs.google.com/spreadsheets/d/1BJSV3WBYJGRhQ6zExamkszQ5VutGIcaQqmbD9ZTVXMQ/edit#gid=1251630045"",""articles_with_PRISMA_reasons!K2:K2113""), $A962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$A962=IMPORTRANGE(""https://docs.google.com/spreadsheets/d/1BJSV3WBYJGRhQ6zExamkszQ5VutGIcaQqmbD9ZTVXMQ/edit#gid=1251630045"",""articles_with_PRISMA_reasons!B2:B2113"")))-1)"),"Ul Haq")</f>
        <v>Ul Haq</v>
      </c>
      <c r="C962" s="6">
        <f>IFERROR(__xludf.DUMMYFUNCTION("FILTER(IMPORTRANGE(""https://docs.google.com/spreadsheets/d/1BJSV3WBYJGRhQ6zExamkszQ5VutGIcaQqmbD9ZTVXMQ/edit#gid=1251630045"",""articles_with_PRISMA_reasons!C2:C2113""), $A962=IMPORTRANGE(""https://docs.google.com/spreadsheets/d/1BJSV3WBYJGRhQ6zExamkszQ5"&amp;"VutGIcaQqmbD9ZTVXMQ/edit#gid=1251630045"",""articles_with_PRISMA_reasons!B2:B2113""))"),2021.0)</f>
        <v>2021</v>
      </c>
      <c r="D962" s="5" t="str">
        <f>IFERROR(__xludf.DUMMYFUNCTION("IFS(AND(
FILTER(IMPORTRANGE(""https://docs.google.com/spreadsheets/d/1BJSV3WBYJGRhQ6zExamkszQ5VutGIcaQqmbD9ZTVXMQ/edit#gid=1251630045"",""articles_with_PRISMA_reasons!Y2:Y2113""), $A962=IMPORTRANGE(""https://docs.google.com/spreadsheets/d/1BJSV3WBYJGRhQ6z"&amp;"ExamkszQ5VutGIcaQqmbD9ZTVXMQ/edit#gid=1251630045"",""articles_with_PRISMA_reasons!B2:B2113""))&gt;=2,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$A962=IMPORTRANGE(""https://docs.google.com/spreadsheets/d/1BJSV3WBYJGRhQ6zExamkszQ5VutGIcaQqmbD9ZTVXMQ/edit#gid=1251630045"",""articles_with_PRISMA_reasons!B2:B2113""))&lt;2),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$A962=IMPORTRANGE(""https://docs.google.com/spreadsheets/d/1BJSV3WBYJGRhQ6zExamkszQ5VutGIcaQqmbD9ZTVXMQ/edit#gid=1251630045"",""arti"&amp;"cles_with_PRISMA_reasons!B2:B2113""))&lt;2,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$A962=IMPORTRANGE(""https://docs.google.com"&amp;"/spreadsheets/d/1BJSV3WBYJGRhQ6zExamkszQ5VutGIcaQqmbD9ZTVXMQ/edit#gid=1251630045"",""articles_with_PRISMA_reasons!B2:B2113""))&gt;=2),
""Exclude""
)"),"Exclude")</f>
        <v>Exclude</v>
      </c>
      <c r="E962" s="5" t="str">
        <f>IFERROR(__xludf.DUMMYFUNCTION("IFS(
D962=""Exclude"",""Exclude"",
AND(
FILTER(IMPORTRANGE(""https://docs.google.com/spreadsheets/d/1qpEmbGH0JjaJbUdp21-y2cPbobDbMjr09BbtdKROZWc/edit#gid=1444865654"",""articles_with_PRISMA_reasons!W2:W2113""), $A962=IMPORTRANGE(""https://docs.google.com/"&amp;"spreadsheets/d/1qpEmbGH0JjaJbUdp21-y2cPbobDbMjr09BbtdKROZWc/edit#gid=1444865654"",""articles_with_PRISMA_reasons!B2:B2113""))&gt;=2,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$A962=IMPORTRANGE(""https://docs.google.com/spreadsheets/d/1qpEmbGH0JjaJbUdp21-y2cPbobDbMjr09BbtdKROZWc/edit#gid=1444865654"",""articles_with_PRISMA_reasons!B2:B2113""))&lt;2),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$A962=IMPORTRANGE(""https://docs.google.com/spreadsheets/d/1qpEmbGH0JjaJbUdp21-y2cPbobDbMjr09BbtdKRO"&amp;"ZWc/edit#gid=1444865654"",""articles_with_PRISMA_reasons!B2:B2113""))&lt;2,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$A962=IMPOR"&amp;"TRANGE(""https://docs.google.com/spreadsheets/d/1qpEmbGH0JjaJbUdp21-y2cPbobDbMjr09BbtdKROZWc/edit#gid=1444865654"",""articles_with_PRISMA_reasons!B2:B2113""))&gt;=2),
""Exclude""
)"),"Exclude")</f>
        <v>Exclude</v>
      </c>
      <c r="F962" s="5" t="str">
        <f>IFERROR(__xludf.DUMMYFUNCTION("IFS(
E962=""Exclude"",""Exclude"",
AND(
COUNTIF(
IMPORTRANGE(""https://docs.google.com/spreadsheets/d/1kGrh75X1cNR1D7_FcY9zMnHP8iPO4M5RCRjy6nZY0TY/edit#gid=0"",""Table 1: Study characteristics!B4:B171""),A962)&gt;0,
COUNTIF(Studies!$A$2:$A$85,FILTER(IMPORTRA"&amp;"NGE(""https://docs.google.com/spreadsheets/d/1kGrh75X1cNR1D7_FcY9zMnHP8iPO4M5RCRjy6nZY0TY/edit#gid=0"",""Table 1: Study characteristics!A4:A171""), $A962=IMPORTRANGE(""https://docs.google.com/spreadsheets/d/1kGrh75X1cNR1D7_FcY9zMnHP8iPO4M5RCRjy6nZY0TY/edi"&amp;"t#gid=0"",""Table 1: Study characteristics!B4:B171"")))&gt;0
),
""Include""
)"),"Exclude")</f>
        <v>Exclude</v>
      </c>
      <c r="G962" s="5" t="str">
        <f>IFERROR(__xludf.DUMMYFUNCTION("IFS(
D962=""Exclude"",
FILTER(IMPORTRANGE(""https://docs.google.com/spreadsheets/d/1BJSV3WBYJGRhQ6zExamkszQ5VutGIcaQqmbD9ZTVXMQ/edit#gid=1251630045"",""articles_with_PRISMA_reasons!AB2:AB2113""), $A962=IMPORTRANGE(""https://docs.google.com/spreadsheets/d/"&amp;"1BJSV3WBYJGRhQ6zExamkszQ5VutGIcaQqmbD9ZTVXMQ/edit#gid=1251630045"",""articles_with_PRISMA_reasons!B2:B2113"")),
E962=""Exclude"",
FILTER(IMPORTRANGE(""https://docs.google.com/spreadsheets/d/1qpEmbGH0JjaJbUdp21-y2cPbobDbMjr09BbtdKROZWc/edit#gid=1444865654"&amp;""",""articles_with_PRISMA_reasons!Z2:Z2113""), $A962=IMPORTRANGE(""https://docs.google.com/spreadsheets/d/1qpEmbGH0JjaJbUdp21-y2cPbobDbMjr09BbtdKROZWc/edit#gid=1444865654"",""articles_with_PRISMA_reasons!B2:B2113"")),F962
=""Include"",FILTER(IMPORTRANGE("&amp;"""https://docs.google.com/spreadsheets/d/1kGrh75X1cNR1D7_FcY9zMnHP8iPO4M5RCRjy6nZY0TY/edit#gid=0"",""Table 1: Study characteristics!A4:A171""), $A962=IMPORTRANGE(""https://docs.google.com/spreadsheets/d/1kGrh75X1cNR1D7_FcY9zMnHP8iPO4M5RCRjy6nZY0TY/edit#gi"&amp;"d=0"",""Table 1: Study characteristics!B4:B171""))
)"),"wrong population")</f>
        <v>wrong population</v>
      </c>
    </row>
    <row r="963">
      <c r="A963" s="4" t="str">
        <f>IFERROR(__xludf.DUMMYFUNCTION("""COMPUTED_VALUE"""),"Incidence of neural tube defects in Afyonkarahisar, Western Turkey")</f>
        <v>Incidence of neural tube defects in Afyonkarahisar, Western Turkey</v>
      </c>
      <c r="B963" s="5" t="str">
        <f>IFERROR(__xludf.DUMMYFUNCTION("LEFT(FILTER(IMPORTRANGE(""https://docs.google.com/spreadsheets/d/1BJSV3WBYJGRhQ6zExamkszQ5VutGIcaQqmbD9ZTVXMQ/edit#gid=1251630045"",""articles_with_PRISMA_reasons!K2:K2113""), $A963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$A963=IMPORTRANGE(""https://docs.google.com/spreadsheets/d/1BJSV3WBYJGRhQ6zExamkszQ5VutGIcaQqmbD9ZTVXMQ/edit#gid=1251630045"",""articles_with_PRISMA_reasons!B2:B2113"")))-1)"),"Onrat")</f>
        <v>Onrat</v>
      </c>
      <c r="C963" s="6">
        <f>IFERROR(__xludf.DUMMYFUNCTION("FILTER(IMPORTRANGE(""https://docs.google.com/spreadsheets/d/1BJSV3WBYJGRhQ6zExamkszQ5VutGIcaQqmbD9ZTVXMQ/edit#gid=1251630045"",""articles_with_PRISMA_reasons!C2:C2113""), $A963=IMPORTRANGE(""https://docs.google.com/spreadsheets/d/1BJSV3WBYJGRhQ6zExamkszQ5"&amp;"VutGIcaQqmbD9ZTVXMQ/edit#gid=1251630045"",""articles_with_PRISMA_reasons!B2:B2113""))"),2009.0)</f>
        <v>2009</v>
      </c>
      <c r="D963" s="5" t="str">
        <f>IFERROR(__xludf.DUMMYFUNCTION("IFS(AND(
FILTER(IMPORTRANGE(""https://docs.google.com/spreadsheets/d/1BJSV3WBYJGRhQ6zExamkszQ5VutGIcaQqmbD9ZTVXMQ/edit#gid=1251630045"",""articles_with_PRISMA_reasons!Y2:Y2113""), $A963=IMPORTRANGE(""https://docs.google.com/spreadsheets/d/1BJSV3WBYJGRhQ6z"&amp;"ExamkszQ5VutGIcaQqmbD9ZTVXMQ/edit#gid=1251630045"",""articles_with_PRISMA_reasons!B2:B2113""))&gt;=2,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$A963=IMPORTRANGE(""https://docs.google.com/spreadsheets/d/1BJSV3WBYJGRhQ6zExamkszQ5VutGIcaQqmbD9ZTVXMQ/edit#gid=1251630045"",""articles_with_PRISMA_reasons!B2:B2113""))&lt;2),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$A963=IMPORTRANGE(""https://docs.google.com/spreadsheets/d/1BJSV3WBYJGRhQ6zExamkszQ5VutGIcaQqmbD9ZTVXMQ/edit#gid=1251630045"",""arti"&amp;"cles_with_PRISMA_reasons!B2:B2113""))&lt;2,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$A963=IMPORTRANGE(""https://docs.google.com"&amp;"/spreadsheets/d/1BJSV3WBYJGRhQ6zExamkszQ5VutGIcaQqmbD9ZTVXMQ/edit#gid=1251630045"",""articles_with_PRISMA_reasons!B2:B2113""))&gt;=2),
""Exclude""
)"),"Exclude")</f>
        <v>Exclude</v>
      </c>
      <c r="E963" s="5" t="str">
        <f>IFERROR(__xludf.DUMMYFUNCTION("IFS(
D963=""Exclude"",""Exclude"",
AND(
FILTER(IMPORTRANGE(""https://docs.google.com/spreadsheets/d/1qpEmbGH0JjaJbUdp21-y2cPbobDbMjr09BbtdKROZWc/edit#gid=1444865654"",""articles_with_PRISMA_reasons!W2:W2113""), $A963=IMPORTRANGE(""https://docs.google.com/"&amp;"spreadsheets/d/1qpEmbGH0JjaJbUdp21-y2cPbobDbMjr09BbtdKROZWc/edit#gid=1444865654"",""articles_with_PRISMA_reasons!B2:B2113""))&gt;=2,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$A963=IMPORTRANGE(""https://docs.google.com/spreadsheets/d/1qpEmbGH0JjaJbUdp21-y2cPbobDbMjr09BbtdKROZWc/edit#gid=1444865654"",""articles_with_PRISMA_reasons!B2:B2113""))&lt;2),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$A963=IMPORTRANGE(""https://docs.google.com/spreadsheets/d/1qpEmbGH0JjaJbUdp21-y2cPbobDbMjr09BbtdKRO"&amp;"ZWc/edit#gid=1444865654"",""articles_with_PRISMA_reasons!B2:B2113""))&lt;2,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$A963=IMPOR"&amp;"TRANGE(""https://docs.google.com/spreadsheets/d/1qpEmbGH0JjaJbUdp21-y2cPbobDbMjr09BbtdKROZWc/edit#gid=1444865654"",""articles_with_PRISMA_reasons!B2:B2113""))&gt;=2),
""Exclude""
)"),"Exclude")</f>
        <v>Exclude</v>
      </c>
      <c r="F963" s="5" t="str">
        <f>IFERROR(__xludf.DUMMYFUNCTION("IFS(
E963=""Exclude"",""Exclude"",
AND(
COUNTIF(
IMPORTRANGE(""https://docs.google.com/spreadsheets/d/1kGrh75X1cNR1D7_FcY9zMnHP8iPO4M5RCRjy6nZY0TY/edit#gid=0"",""Table 1: Study characteristics!B4:B171""),A963)&gt;0,
COUNTIF(Studies!$A$2:$A$85,FILTER(IMPORTRA"&amp;"NGE(""https://docs.google.com/spreadsheets/d/1kGrh75X1cNR1D7_FcY9zMnHP8iPO4M5RCRjy6nZY0TY/edit#gid=0"",""Table 1: Study characteristics!A4:A171""), $A963=IMPORTRANGE(""https://docs.google.com/spreadsheets/d/1kGrh75X1cNR1D7_FcY9zMnHP8iPO4M5RCRjy6nZY0TY/edi"&amp;"t#gid=0"",""Table 1: Study characteristics!B4:B171"")))&gt;0
),
""Include""
)"),"Exclude")</f>
        <v>Exclude</v>
      </c>
      <c r="G963" s="5" t="str">
        <f>IFERROR(__xludf.DUMMYFUNCTION("IFS(
D963=""Exclude"",
FILTER(IMPORTRANGE(""https://docs.google.com/spreadsheets/d/1BJSV3WBYJGRhQ6zExamkszQ5VutGIcaQqmbD9ZTVXMQ/edit#gid=1251630045"",""articles_with_PRISMA_reasons!AB2:AB2113""), $A963=IMPORTRANGE(""https://docs.google.com/spreadsheets/d/"&amp;"1BJSV3WBYJGRhQ6zExamkszQ5VutGIcaQqmbD9ZTVXMQ/edit#gid=1251630045"",""articles_with_PRISMA_reasons!B2:B2113"")),
E963=""Exclude"",
FILTER(IMPORTRANGE(""https://docs.google.com/spreadsheets/d/1qpEmbGH0JjaJbUdp21-y2cPbobDbMjr09BbtdKROZWc/edit#gid=1444865654"&amp;""",""articles_with_PRISMA_reasons!Z2:Z2113""), $A963=IMPORTRANGE(""https://docs.google.com/spreadsheets/d/1qpEmbGH0JjaJbUdp21-y2cPbobDbMjr09BbtdKROZWc/edit#gid=1444865654"",""articles_with_PRISMA_reasons!B2:B2113"")),F963
=""Include"",FILTER(IMPORTRANGE("&amp;"""https://docs.google.com/spreadsheets/d/1kGrh75X1cNR1D7_FcY9zMnHP8iPO4M5RCRjy6nZY0TY/edit#gid=0"",""Table 1: Study characteristics!A4:A171""), $A963=IMPORTRANGE(""https://docs.google.com/spreadsheets/d/1kGrh75X1cNR1D7_FcY9zMnHP8iPO4M5RCRjy6nZY0TY/edit#gi"&amp;"d=0"",""Table 1: Study characteristics!B4:B171""))
)"),"Duplicate")</f>
        <v>Duplicate</v>
      </c>
    </row>
    <row r="964">
      <c r="A964" s="4" t="str">
        <f>IFERROR(__xludf.DUMMYFUNCTION("""COMPUTED_VALUE"""),"Incidence of neural tube malformations in Bucharest over 1977-1980")</f>
        <v>Incidence of neural tube malformations in Bucharest over 1977-1980</v>
      </c>
      <c r="B964" s="5" t="str">
        <f>IFERROR(__xludf.DUMMYFUNCTION("LEFT(FILTER(IMPORTRANGE(""https://docs.google.com/spreadsheets/d/1BJSV3WBYJGRhQ6zExamkszQ5VutGIcaQqmbD9ZTVXMQ/edit#gid=1251630045"",""articles_with_PRISMA_reasons!K2:K2113""), $A964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$A964=IMPORTRANGE(""https://docs.google.com/spreadsheets/d/1BJSV3WBYJGRhQ6zExamkszQ5VutGIcaQqmbD9ZTVXMQ/edit#gid=1251630045"",""articles_with_PRISMA_reasons!B2:B2113"")))-1)"),"Christodorescu")</f>
        <v>Christodorescu</v>
      </c>
      <c r="C964" s="6">
        <f>IFERROR(__xludf.DUMMYFUNCTION("FILTER(IMPORTRANGE(""https://docs.google.com/spreadsheets/d/1BJSV3WBYJGRhQ6zExamkszQ5VutGIcaQqmbD9ZTVXMQ/edit#gid=1251630045"",""articles_with_PRISMA_reasons!C2:C2113""), $A964=IMPORTRANGE(""https://docs.google.com/spreadsheets/d/1BJSV3WBYJGRhQ6zExamkszQ5"&amp;"VutGIcaQqmbD9ZTVXMQ/edit#gid=1251630045"",""articles_with_PRISMA_reasons!B2:B2113""))"),1981.0)</f>
        <v>1981</v>
      </c>
      <c r="D964" s="5" t="str">
        <f>IFERROR(__xludf.DUMMYFUNCTION("IFS(AND(
FILTER(IMPORTRANGE(""https://docs.google.com/spreadsheets/d/1BJSV3WBYJGRhQ6zExamkszQ5VutGIcaQqmbD9ZTVXMQ/edit#gid=1251630045"",""articles_with_PRISMA_reasons!Y2:Y2113""), $A964=IMPORTRANGE(""https://docs.google.com/spreadsheets/d/1BJSV3WBYJGRhQ6z"&amp;"ExamkszQ5VutGIcaQqmbD9ZTVXMQ/edit#gid=1251630045"",""articles_with_PRISMA_reasons!B2:B2113""))&gt;=2,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$A964=IMPORTRANGE(""https://docs.google.com/spreadsheets/d/1BJSV3WBYJGRhQ6zExamkszQ5VutGIcaQqmbD9ZTVXMQ/edit#gid=1251630045"",""articles_with_PRISMA_reasons!B2:B2113""))&lt;2),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$A964=IMPORTRANGE(""https://docs.google.com/spreadsheets/d/1BJSV3WBYJGRhQ6zExamkszQ5VutGIcaQqmbD9ZTVXMQ/edit#gid=1251630045"",""arti"&amp;"cles_with_PRISMA_reasons!B2:B2113""))&lt;2,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$A964=IMPORTRANGE(""https://docs.google.com"&amp;"/spreadsheets/d/1BJSV3WBYJGRhQ6zExamkszQ5VutGIcaQqmbD9ZTVXMQ/edit#gid=1251630045"",""articles_with_PRISMA_reasons!B2:B2113""))&gt;=2),
""Exclude""
)"),"Exclude")</f>
        <v>Exclude</v>
      </c>
      <c r="E964" s="5" t="str">
        <f>IFERROR(__xludf.DUMMYFUNCTION("IFS(
D964=""Exclude"",""Exclude"",
AND(
FILTER(IMPORTRANGE(""https://docs.google.com/spreadsheets/d/1qpEmbGH0JjaJbUdp21-y2cPbobDbMjr09BbtdKROZWc/edit#gid=1444865654"",""articles_with_PRISMA_reasons!W2:W2113""), $A964=IMPORTRANGE(""https://docs.google.com/"&amp;"spreadsheets/d/1qpEmbGH0JjaJbUdp21-y2cPbobDbMjr09BbtdKROZWc/edit#gid=1444865654"",""articles_with_PRISMA_reasons!B2:B2113""))&gt;=2,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$A964=IMPORTRANGE(""https://docs.google.com/spreadsheets/d/1qpEmbGH0JjaJbUdp21-y2cPbobDbMjr09BbtdKROZWc/edit#gid=1444865654"",""articles_with_PRISMA_reasons!B2:B2113""))&lt;2),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$A964=IMPORTRANGE(""https://docs.google.com/spreadsheets/d/1qpEmbGH0JjaJbUdp21-y2cPbobDbMjr09BbtdKRO"&amp;"ZWc/edit#gid=1444865654"",""articles_with_PRISMA_reasons!B2:B2113""))&lt;2,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$A964=IMPOR"&amp;"TRANGE(""https://docs.google.com/spreadsheets/d/1qpEmbGH0JjaJbUdp21-y2cPbobDbMjr09BbtdKROZWc/edit#gid=1444865654"",""articles_with_PRISMA_reasons!B2:B2113""))&gt;=2),
""Exclude""
)"),"Exclude")</f>
        <v>Exclude</v>
      </c>
      <c r="F964" s="5" t="str">
        <f>IFERROR(__xludf.DUMMYFUNCTION("IFS(
E964=""Exclude"",""Exclude"",
AND(
COUNTIF(
IMPORTRANGE(""https://docs.google.com/spreadsheets/d/1kGrh75X1cNR1D7_FcY9zMnHP8iPO4M5RCRjy6nZY0TY/edit#gid=0"",""Table 1: Study characteristics!B4:B171""),A964)&gt;0,
COUNTIF(Studies!$A$2:$A$85,FILTER(IMPORTRA"&amp;"NGE(""https://docs.google.com/spreadsheets/d/1kGrh75X1cNR1D7_FcY9zMnHP8iPO4M5RCRjy6nZY0TY/edit#gid=0"",""Table 1: Study characteristics!A4:A171""), $A964=IMPORTRANGE(""https://docs.google.com/spreadsheets/d/1kGrh75X1cNR1D7_FcY9zMnHP8iPO4M5RCRjy6nZY0TY/edi"&amp;"t#gid=0"",""Table 1: Study characteristics!B4:B171"")))&gt;0
),
""Include""
)"),"Exclude")</f>
        <v>Exclude</v>
      </c>
      <c r="G964" s="5" t="str">
        <f>IFERROR(__xludf.DUMMYFUNCTION("IFS(
D964=""Exclude"",
FILTER(IMPORTRANGE(""https://docs.google.com/spreadsheets/d/1BJSV3WBYJGRhQ6zExamkszQ5VutGIcaQqmbD9ZTVXMQ/edit#gid=1251630045"",""articles_with_PRISMA_reasons!AB2:AB2113""), $A964=IMPORTRANGE(""https://docs.google.com/spreadsheets/d/"&amp;"1BJSV3WBYJGRhQ6zExamkszQ5VutGIcaQqmbD9ZTVXMQ/edit#gid=1251630045"",""articles_with_PRISMA_reasons!B2:B2113"")),
E964=""Exclude"",
FILTER(IMPORTRANGE(""https://docs.google.com/spreadsheets/d/1qpEmbGH0JjaJbUdp21-y2cPbobDbMjr09BbtdKROZWc/edit#gid=1444865654"&amp;""",""articles_with_PRISMA_reasons!Z2:Z2113""), $A964=IMPORTRANGE(""https://docs.google.com/spreadsheets/d/1qpEmbGH0JjaJbUdp21-y2cPbobDbMjr09BbtdKROZWc/edit#gid=1444865654"",""articles_with_PRISMA_reasons!B2:B2113"")),F964
=""Include"",FILTER(IMPORTRANGE("&amp;"""https://docs.google.com/spreadsheets/d/1kGrh75X1cNR1D7_FcY9zMnHP8iPO4M5RCRjy6nZY0TY/edit#gid=0"",""Table 1: Study characteristics!A4:A171""), $A964=IMPORTRANGE(""https://docs.google.com/spreadsheets/d/1kGrh75X1cNR1D7_FcY9zMnHP8iPO4M5RCRjy6nZY0TY/edit#gi"&amp;"d=0"",""Table 1: Study characteristics!B4:B171""))
)"),"wrong study design")</f>
        <v>wrong study design</v>
      </c>
    </row>
    <row r="965">
      <c r="A965" s="4" t="str">
        <f>IFERROR(__xludf.DUMMYFUNCTION("""COMPUTED_VALUE"""),"Incidence of seizures in patients with myelomeningocele: A multifactorial analysis")</f>
        <v>Incidence of seizures in patients with myelomeningocele: A multifactorial analysis</v>
      </c>
      <c r="B965" s="5" t="str">
        <f>IFERROR(__xludf.DUMMYFUNCTION("LEFT(FILTER(IMPORTRANGE(""https://docs.google.com/spreadsheets/d/1BJSV3WBYJGRhQ6zExamkszQ5VutGIcaQqmbD9ZTVXMQ/edit#gid=1251630045"",""articles_with_PRISMA_reasons!K2:K2113""), $A965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$A965=IMPORTRANGE(""https://docs.google.com/spreadsheets/d/1BJSV3WBYJGRhQ6zExamkszQ5VutGIcaQqmbD9ZTVXMQ/edit#gid=1251630045"",""articles_with_PRISMA_reasons!B2:B2113"")))-1)"),"Chadduck")</f>
        <v>Chadduck</v>
      </c>
      <c r="C965" s="6">
        <f>IFERROR(__xludf.DUMMYFUNCTION("FILTER(IMPORTRANGE(""https://docs.google.com/spreadsheets/d/1BJSV3WBYJGRhQ6zExamkszQ5VutGIcaQqmbD9ZTVXMQ/edit#gid=1251630045"",""articles_with_PRISMA_reasons!C2:C2113""), $A965=IMPORTRANGE(""https://docs.google.com/spreadsheets/d/1BJSV3WBYJGRhQ6zExamkszQ5"&amp;"VutGIcaQqmbD9ZTVXMQ/edit#gid=1251630045"",""articles_with_PRISMA_reasons!B2:B2113""))"),1988.0)</f>
        <v>1988</v>
      </c>
      <c r="D965" s="5" t="str">
        <f>IFERROR(__xludf.DUMMYFUNCTION("IFS(AND(
FILTER(IMPORTRANGE(""https://docs.google.com/spreadsheets/d/1BJSV3WBYJGRhQ6zExamkszQ5VutGIcaQqmbD9ZTVXMQ/edit#gid=1251630045"",""articles_with_PRISMA_reasons!Y2:Y2113""), $A965=IMPORTRANGE(""https://docs.google.com/spreadsheets/d/1BJSV3WBYJGRhQ6z"&amp;"ExamkszQ5VutGIcaQqmbD9ZTVXMQ/edit#gid=1251630045"",""articles_with_PRISMA_reasons!B2:B2113""))&gt;=2,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$A965=IMPORTRANGE(""https://docs.google.com/spreadsheets/d/1BJSV3WBYJGRhQ6zExamkszQ5VutGIcaQqmbD9ZTVXMQ/edit#gid=1251630045"",""articles_with_PRISMA_reasons!B2:B2113""))&lt;2),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$A965=IMPORTRANGE(""https://docs.google.com/spreadsheets/d/1BJSV3WBYJGRhQ6zExamkszQ5VutGIcaQqmbD9ZTVXMQ/edit#gid=1251630045"",""arti"&amp;"cles_with_PRISMA_reasons!B2:B2113""))&lt;2,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$A965=IMPORTRANGE(""https://docs.google.com"&amp;"/spreadsheets/d/1BJSV3WBYJGRhQ6zExamkszQ5VutGIcaQqmbD9ZTVXMQ/edit#gid=1251630045"",""articles_with_PRISMA_reasons!B2:B2113""))&gt;=2),
""Exclude""
)"),"Include")</f>
        <v>Include</v>
      </c>
      <c r="E965" s="5" t="str">
        <f>IFERROR(__xludf.DUMMYFUNCTION("IFS(
D965=""Exclude"",""Exclude"",
AND(
FILTER(IMPORTRANGE(""https://docs.google.com/spreadsheets/d/1qpEmbGH0JjaJbUdp21-y2cPbobDbMjr09BbtdKROZWc/edit#gid=1444865654"",""articles_with_PRISMA_reasons!W2:W2113""), $A965=IMPORTRANGE(""https://docs.google.com/"&amp;"spreadsheets/d/1qpEmbGH0JjaJbUdp21-y2cPbobDbMjr09BbtdKROZWc/edit#gid=1444865654"",""articles_with_PRISMA_reasons!B2:B2113""))&gt;=2,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$A965=IMPORTRANGE(""https://docs.google.com/spreadsheets/d/1qpEmbGH0JjaJbUdp21-y2cPbobDbMjr09BbtdKROZWc/edit#gid=1444865654"",""articles_with_PRISMA_reasons!B2:B2113""))&lt;2),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$A965=IMPORTRANGE(""https://docs.google.com/spreadsheets/d/1qpEmbGH0JjaJbUdp21-y2cPbobDbMjr09BbtdKRO"&amp;"ZWc/edit#gid=1444865654"",""articles_with_PRISMA_reasons!B2:B2113""))&lt;2,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$A965=IMPOR"&amp;"TRANGE(""https://docs.google.com/spreadsheets/d/1qpEmbGH0JjaJbUdp21-y2cPbobDbMjr09BbtdKROZWc/edit#gid=1444865654"",""articles_with_PRISMA_reasons!B2:B2113""))&gt;=2),
""Exclude""
)"),"Exclude")</f>
        <v>Exclude</v>
      </c>
      <c r="F965" s="5" t="str">
        <f>IFERROR(__xludf.DUMMYFUNCTION("IFS(
E965=""Exclude"",""Exclude"",
AND(
COUNTIF(
IMPORTRANGE(""https://docs.google.com/spreadsheets/d/1kGrh75X1cNR1D7_FcY9zMnHP8iPO4M5RCRjy6nZY0TY/edit#gid=0"",""Table 1: Study characteristics!B4:B171""),A965)&gt;0,
COUNTIF(Studies!$A$2:$A$85,FILTER(IMPORTRA"&amp;"NGE(""https://docs.google.com/spreadsheets/d/1kGrh75X1cNR1D7_FcY9zMnHP8iPO4M5RCRjy6nZY0TY/edit#gid=0"",""Table 1: Study characteristics!A4:A171""), $A965=IMPORTRANGE(""https://docs.google.com/spreadsheets/d/1kGrh75X1cNR1D7_FcY9zMnHP8iPO4M5RCRjy6nZY0TY/edi"&amp;"t#gid=0"",""Table 1: Study characteristics!B4:B171"")))&gt;0
),
""Include""
)"),"Exclude")</f>
        <v>Exclude</v>
      </c>
      <c r="G965" s="5" t="str">
        <f>IFERROR(__xludf.DUMMYFUNCTION("IFS(
D965=""Exclude"",
FILTER(IMPORTRANGE(""https://docs.google.com/spreadsheets/d/1BJSV3WBYJGRhQ6zExamkszQ5VutGIcaQqmbD9ZTVXMQ/edit#gid=1251630045"",""articles_with_PRISMA_reasons!AB2:AB2113""), $A965=IMPORTRANGE(""https://docs.google.com/spreadsheets/d/"&amp;"1BJSV3WBYJGRhQ6zExamkszQ5VutGIcaQqmbD9ZTVXMQ/edit#gid=1251630045"",""articles_with_PRISMA_reasons!B2:B2113"")),
E965=""Exclude"",
FILTER(IMPORTRANGE(""https://docs.google.com/spreadsheets/d/1qpEmbGH0JjaJbUdp21-y2cPbobDbMjr09BbtdKROZWc/edit#gid=1444865654"&amp;""",""articles_with_PRISMA_reasons!Z2:Z2113""), $A965=IMPORTRANGE(""https://docs.google.com/spreadsheets/d/1qpEmbGH0JjaJbUdp21-y2cPbobDbMjr09BbtdKROZWc/edit#gid=1444865654"",""articles_with_PRISMA_reasons!B2:B2113"")),F965
=""Include"",FILTER(IMPORTRANGE("&amp;"""https://docs.google.com/spreadsheets/d/1kGrh75X1cNR1D7_FcY9zMnHP8iPO4M5RCRjy6nZY0TY/edit#gid=0"",""Table 1: Study characteristics!A4:A171""), $A965=IMPORTRANGE(""https://docs.google.com/spreadsheets/d/1kGrh75X1cNR1D7_FcY9zMnHP8iPO4M5RCRjy6nZY0TY/edit#gi"&amp;"d=0"",""Table 1: Study characteristics!B4:B171""))
)"),"wrong population")</f>
        <v>wrong population</v>
      </c>
    </row>
    <row r="966">
      <c r="A966" s="4" t="str">
        <f>IFERROR(__xludf.DUMMYFUNCTION("""COMPUTED_VALUE"""),"Incidence of short stature in children with hydrocephalus")</f>
        <v>Incidence of short stature in children with hydrocephalus</v>
      </c>
      <c r="B966" s="5" t="str">
        <f>IFERROR(__xludf.DUMMYFUNCTION("LEFT(FILTER(IMPORTRANGE(""https://docs.google.com/spreadsheets/d/1BJSV3WBYJGRhQ6zExamkszQ5VutGIcaQqmbD9ZTVXMQ/edit#gid=1251630045"",""articles_with_PRISMA_reasons!K2:K2113""), $A966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$A966=IMPORTRANGE(""https://docs.google.com/spreadsheets/d/1BJSV3WBYJGRhQ6zExamkszQ5VutGIcaQqmbD9ZTVXMQ/edit#gid=1251630045"",""articles_with_PRISMA_reasons!B2:B2113"")))-1)"),"Klauschie")</f>
        <v>Klauschie</v>
      </c>
      <c r="C966" s="6">
        <f>IFERROR(__xludf.DUMMYFUNCTION("FILTER(IMPORTRANGE(""https://docs.google.com/spreadsheets/d/1BJSV3WBYJGRhQ6zExamkszQ5VutGIcaQqmbD9ZTVXMQ/edit#gid=1251630045"",""articles_with_PRISMA_reasons!C2:C2113""), $A966=IMPORTRANGE(""https://docs.google.com/spreadsheets/d/1BJSV3WBYJGRhQ6zExamkszQ5"&amp;"VutGIcaQqmbD9ZTVXMQ/edit#gid=1251630045"",""articles_with_PRISMA_reasons!B2:B2113""))"),1996.0)</f>
        <v>1996</v>
      </c>
      <c r="D966" s="5" t="str">
        <f>IFERROR(__xludf.DUMMYFUNCTION("IFS(AND(
FILTER(IMPORTRANGE(""https://docs.google.com/spreadsheets/d/1BJSV3WBYJGRhQ6zExamkszQ5VutGIcaQqmbD9ZTVXMQ/edit#gid=1251630045"",""articles_with_PRISMA_reasons!Y2:Y2113""), $A966=IMPORTRANGE(""https://docs.google.com/spreadsheets/d/1BJSV3WBYJGRhQ6z"&amp;"ExamkszQ5VutGIcaQqmbD9ZTVXMQ/edit#gid=1251630045"",""articles_with_PRISMA_reasons!B2:B2113""))&gt;=2,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$A966=IMPORTRANGE(""https://docs.google.com/spreadsheets/d/1BJSV3WBYJGRhQ6zExamkszQ5VutGIcaQqmbD9ZTVXMQ/edit#gid=1251630045"",""articles_with_PRISMA_reasons!B2:B2113""))&lt;2),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$A966=IMPORTRANGE(""https://docs.google.com/spreadsheets/d/1BJSV3WBYJGRhQ6zExamkszQ5VutGIcaQqmbD9ZTVXMQ/edit#gid=1251630045"",""arti"&amp;"cles_with_PRISMA_reasons!B2:B2113""))&lt;2,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$A966=IMPORTRANGE(""https://docs.google.com"&amp;"/spreadsheets/d/1BJSV3WBYJGRhQ6zExamkszQ5VutGIcaQqmbD9ZTVXMQ/edit#gid=1251630045"",""articles_with_PRISMA_reasons!B2:B2113""))&gt;=2),
""Exclude""
)"),"Exclude")</f>
        <v>Exclude</v>
      </c>
      <c r="E966" s="5" t="str">
        <f>IFERROR(__xludf.DUMMYFUNCTION("IFS(
D966=""Exclude"",""Exclude"",
AND(
FILTER(IMPORTRANGE(""https://docs.google.com/spreadsheets/d/1qpEmbGH0JjaJbUdp21-y2cPbobDbMjr09BbtdKROZWc/edit#gid=1444865654"",""articles_with_PRISMA_reasons!W2:W2113""), $A966=IMPORTRANGE(""https://docs.google.com/"&amp;"spreadsheets/d/1qpEmbGH0JjaJbUdp21-y2cPbobDbMjr09BbtdKROZWc/edit#gid=1444865654"",""articles_with_PRISMA_reasons!B2:B2113""))&gt;=2,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$A966=IMPORTRANGE(""https://docs.google.com/spreadsheets/d/1qpEmbGH0JjaJbUdp21-y2cPbobDbMjr09BbtdKROZWc/edit#gid=1444865654"",""articles_with_PRISMA_reasons!B2:B2113""))&lt;2),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$A966=IMPORTRANGE(""https://docs.google.com/spreadsheets/d/1qpEmbGH0JjaJbUdp21-y2cPbobDbMjr09BbtdKRO"&amp;"ZWc/edit#gid=1444865654"",""articles_with_PRISMA_reasons!B2:B2113""))&lt;2,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$A966=IMPOR"&amp;"TRANGE(""https://docs.google.com/spreadsheets/d/1qpEmbGH0JjaJbUdp21-y2cPbobDbMjr09BbtdKROZWc/edit#gid=1444865654"",""articles_with_PRISMA_reasons!B2:B2113""))&gt;=2),
""Exclude""
)"),"Exclude")</f>
        <v>Exclude</v>
      </c>
      <c r="F966" s="5" t="str">
        <f>IFERROR(__xludf.DUMMYFUNCTION("IFS(
E966=""Exclude"",""Exclude"",
AND(
COUNTIF(
IMPORTRANGE(""https://docs.google.com/spreadsheets/d/1kGrh75X1cNR1D7_FcY9zMnHP8iPO4M5RCRjy6nZY0TY/edit#gid=0"",""Table 1: Study characteristics!B4:B171""),A966)&gt;0,
COUNTIF(Studies!$A$2:$A$85,FILTER(IMPORTRA"&amp;"NGE(""https://docs.google.com/spreadsheets/d/1kGrh75X1cNR1D7_FcY9zMnHP8iPO4M5RCRjy6nZY0TY/edit#gid=0"",""Table 1: Study characteristics!A4:A171""), $A966=IMPORTRANGE(""https://docs.google.com/spreadsheets/d/1kGrh75X1cNR1D7_FcY9zMnHP8iPO4M5RCRjy6nZY0TY/edi"&amp;"t#gid=0"",""Table 1: Study characteristics!B4:B171"")))&gt;0
),
""Include""
)"),"Exclude")</f>
        <v>Exclude</v>
      </c>
      <c r="G966" s="5" t="str">
        <f>IFERROR(__xludf.DUMMYFUNCTION("IFS(
D966=""Exclude"",
FILTER(IMPORTRANGE(""https://docs.google.com/spreadsheets/d/1BJSV3WBYJGRhQ6zExamkszQ5VutGIcaQqmbD9ZTVXMQ/edit#gid=1251630045"",""articles_with_PRISMA_reasons!AB2:AB2113""), $A966=IMPORTRANGE(""https://docs.google.com/spreadsheets/d/"&amp;"1BJSV3WBYJGRhQ6zExamkszQ5VutGIcaQqmbD9ZTVXMQ/edit#gid=1251630045"",""articles_with_PRISMA_reasons!B2:B2113"")),
E966=""Exclude"",
FILTER(IMPORTRANGE(""https://docs.google.com/spreadsheets/d/1qpEmbGH0JjaJbUdp21-y2cPbobDbMjr09BbtdKROZWc/edit#gid=1444865654"&amp;""",""articles_with_PRISMA_reasons!Z2:Z2113""), $A966=IMPORTRANGE(""https://docs.google.com/spreadsheets/d/1qpEmbGH0JjaJbUdp21-y2cPbobDbMjr09BbtdKROZWc/edit#gid=1444865654"",""articles_with_PRISMA_reasons!B2:B2113"")),F966
=""Include"",FILTER(IMPORTRANGE("&amp;"""https://docs.google.com/spreadsheets/d/1kGrh75X1cNR1D7_FcY9zMnHP8iPO4M5RCRjy6nZY0TY/edit#gid=0"",""Table 1: Study characteristics!A4:A171""), $A966=IMPORTRANGE(""https://docs.google.com/spreadsheets/d/1kGrh75X1cNR1D7_FcY9zMnHP8iPO4M5RCRjy6nZY0TY/edit#gi"&amp;"d=0"",""Table 1: Study characteristics!B4:B171""))
)"),"Duplicate")</f>
        <v>Duplicate</v>
      </c>
    </row>
    <row r="967">
      <c r="A967" s="4" t="str">
        <f>IFERROR(__xludf.DUMMYFUNCTION("""COMPUTED_VALUE"""),"Incidental Discovery of Adenocarcinoma of an Augmented Bladder in a Patient With Myelomenigocele Undergoing Cystolithotomy")</f>
        <v>Incidental Discovery of Adenocarcinoma of an Augmented Bladder in a Patient With Myelomenigocele Undergoing Cystolithotomy</v>
      </c>
      <c r="B967" s="5" t="str">
        <f>IFERROR(__xludf.DUMMYFUNCTION("LEFT(FILTER(IMPORTRANGE(""https://docs.google.com/spreadsheets/d/1BJSV3WBYJGRhQ6zExamkszQ5VutGIcaQqmbD9ZTVXMQ/edit#gid=1251630045"",""articles_with_PRISMA_reasons!K2:K2113""), $A967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$A967=IMPORTRANGE(""https://docs.google.com/spreadsheets/d/1BJSV3WBYJGRhQ6zExamkszQ5VutGIcaQqmbD9ZTVXMQ/edit#gid=1251630045"",""articles_with_PRISMA_reasons!B2:B2113"")))-1)"),"Islam")</f>
        <v>Islam</v>
      </c>
      <c r="C967" s="6">
        <f>IFERROR(__xludf.DUMMYFUNCTION("FILTER(IMPORTRANGE(""https://docs.google.com/spreadsheets/d/1BJSV3WBYJGRhQ6zExamkszQ5VutGIcaQqmbD9ZTVXMQ/edit#gid=1251630045"",""articles_with_PRISMA_reasons!C2:C2113""), $A967=IMPORTRANGE(""https://docs.google.com/spreadsheets/d/1BJSV3WBYJGRhQ6zExamkszQ5"&amp;"VutGIcaQqmbD9ZTVXMQ/edit#gid=1251630045"",""articles_with_PRISMA_reasons!B2:B2113""))"),2018.0)</f>
        <v>2018</v>
      </c>
      <c r="D967" s="5" t="str">
        <f>IFERROR(__xludf.DUMMYFUNCTION("IFS(AND(
FILTER(IMPORTRANGE(""https://docs.google.com/spreadsheets/d/1BJSV3WBYJGRhQ6zExamkszQ5VutGIcaQqmbD9ZTVXMQ/edit#gid=1251630045"",""articles_with_PRISMA_reasons!Y2:Y2113""), $A967=IMPORTRANGE(""https://docs.google.com/spreadsheets/d/1BJSV3WBYJGRhQ6z"&amp;"ExamkszQ5VutGIcaQqmbD9ZTVXMQ/edit#gid=1251630045"",""articles_with_PRISMA_reasons!B2:B2113""))&gt;=2,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$A967=IMPORTRANGE(""https://docs.google.com/spreadsheets/d/1BJSV3WBYJGRhQ6zExamkszQ5VutGIcaQqmbD9ZTVXMQ/edit#gid=1251630045"",""articles_with_PRISMA_reasons!B2:B2113""))&lt;2),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$A967=IMPORTRANGE(""https://docs.google.com/spreadsheets/d/1BJSV3WBYJGRhQ6zExamkszQ5VutGIcaQqmbD9ZTVXMQ/edit#gid=1251630045"",""arti"&amp;"cles_with_PRISMA_reasons!B2:B2113""))&lt;2,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$A967=IMPORTRANGE(""https://docs.google.com"&amp;"/spreadsheets/d/1BJSV3WBYJGRhQ6zExamkszQ5VutGIcaQqmbD9ZTVXMQ/edit#gid=1251630045"",""articles_with_PRISMA_reasons!B2:B2113""))&gt;=2),
""Exclude""
)"),"Exclude")</f>
        <v>Exclude</v>
      </c>
      <c r="E967" s="5" t="str">
        <f>IFERROR(__xludf.DUMMYFUNCTION("IFS(
D967=""Exclude"",""Exclude"",
AND(
FILTER(IMPORTRANGE(""https://docs.google.com/spreadsheets/d/1qpEmbGH0JjaJbUdp21-y2cPbobDbMjr09BbtdKROZWc/edit#gid=1444865654"",""articles_with_PRISMA_reasons!W2:W2113""), $A967=IMPORTRANGE(""https://docs.google.com/"&amp;"spreadsheets/d/1qpEmbGH0JjaJbUdp21-y2cPbobDbMjr09BbtdKROZWc/edit#gid=1444865654"",""articles_with_PRISMA_reasons!B2:B2113""))&gt;=2,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$A967=IMPORTRANGE(""https://docs.google.com/spreadsheets/d/1qpEmbGH0JjaJbUdp21-y2cPbobDbMjr09BbtdKROZWc/edit#gid=1444865654"",""articles_with_PRISMA_reasons!B2:B2113""))&lt;2),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$A967=IMPORTRANGE(""https://docs.google.com/spreadsheets/d/1qpEmbGH0JjaJbUdp21-y2cPbobDbMjr09BbtdKRO"&amp;"ZWc/edit#gid=1444865654"",""articles_with_PRISMA_reasons!B2:B2113""))&lt;2,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$A967=IMPOR"&amp;"TRANGE(""https://docs.google.com/spreadsheets/d/1qpEmbGH0JjaJbUdp21-y2cPbobDbMjr09BbtdKROZWc/edit#gid=1444865654"",""articles_with_PRISMA_reasons!B2:B2113""))&gt;=2),
""Exclude""
)"),"Exclude")</f>
        <v>Exclude</v>
      </c>
      <c r="F967" s="5" t="str">
        <f>IFERROR(__xludf.DUMMYFUNCTION("IFS(
E967=""Exclude"",""Exclude"",
AND(
COUNTIF(
IMPORTRANGE(""https://docs.google.com/spreadsheets/d/1kGrh75X1cNR1D7_FcY9zMnHP8iPO4M5RCRjy6nZY0TY/edit#gid=0"",""Table 1: Study characteristics!B4:B171""),A967)&gt;0,
COUNTIF(Studies!$A$2:$A$85,FILTER(IMPORTRA"&amp;"NGE(""https://docs.google.com/spreadsheets/d/1kGrh75X1cNR1D7_FcY9zMnHP8iPO4M5RCRjy6nZY0TY/edit#gid=0"",""Table 1: Study characteristics!A4:A171""), $A967=IMPORTRANGE(""https://docs.google.com/spreadsheets/d/1kGrh75X1cNR1D7_FcY9zMnHP8iPO4M5RCRjy6nZY0TY/edi"&amp;"t#gid=0"",""Table 1: Study characteristics!B4:B171"")))&gt;0
),
""Include""
)"),"Exclude")</f>
        <v>Exclude</v>
      </c>
      <c r="G967" s="5" t="str">
        <f>IFERROR(__xludf.DUMMYFUNCTION("IFS(
D967=""Exclude"",
FILTER(IMPORTRANGE(""https://docs.google.com/spreadsheets/d/1BJSV3WBYJGRhQ6zExamkszQ5VutGIcaQqmbD9ZTVXMQ/edit#gid=1251630045"",""articles_with_PRISMA_reasons!AB2:AB2113""), $A967=IMPORTRANGE(""https://docs.google.com/spreadsheets/d/"&amp;"1BJSV3WBYJGRhQ6zExamkszQ5VutGIcaQqmbD9ZTVXMQ/edit#gid=1251630045"",""articles_with_PRISMA_reasons!B2:B2113"")),
E967=""Exclude"",
FILTER(IMPORTRANGE(""https://docs.google.com/spreadsheets/d/1qpEmbGH0JjaJbUdp21-y2cPbobDbMjr09BbtdKROZWc/edit#gid=1444865654"&amp;""",""articles_with_PRISMA_reasons!Z2:Z2113""), $A967=IMPORTRANGE(""https://docs.google.com/spreadsheets/d/1qpEmbGH0JjaJbUdp21-y2cPbobDbMjr09BbtdKROZWc/edit#gid=1444865654"",""articles_with_PRISMA_reasons!B2:B2113"")),F967
=""Include"",FILTER(IMPORTRANGE("&amp;"""https://docs.google.com/spreadsheets/d/1kGrh75X1cNR1D7_FcY9zMnHP8iPO4M5RCRjy6nZY0TY/edit#gid=0"",""Table 1: Study characteristics!A4:A171""), $A967=IMPORTRANGE(""https://docs.google.com/spreadsheets/d/1kGrh75X1cNR1D7_FcY9zMnHP8iPO4M5RCRjy6nZY0TY/edit#gi"&amp;"d=0"",""Table 1: Study characteristics!B4:B171""))
)"),"wrong publication type")</f>
        <v>wrong publication type</v>
      </c>
    </row>
    <row r="968">
      <c r="A968" s="4" t="str">
        <f>IFERROR(__xludf.DUMMYFUNCTION("""COMPUTED_VALUE"""),"Inconspicuous dermal naevus")</f>
        <v>Inconspicuous dermal naevus</v>
      </c>
      <c r="B968" s="5" t="str">
        <f>IFERROR(__xludf.DUMMYFUNCTION("LEFT(FILTER(IMPORTRANGE(""https://docs.google.com/spreadsheets/d/1BJSV3WBYJGRhQ6zExamkszQ5VutGIcaQqmbD9ZTVXMQ/edit#gid=1251630045"",""articles_with_PRISMA_reasons!K2:K2113""), $A968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$A968=IMPORTRANGE(""https://docs.google.com/spreadsheets/d/1BJSV3WBYJGRhQ6zExamkszQ5VutGIcaQqmbD9ZTVXMQ/edit#gid=1251630045"",""articles_with_PRISMA_reasons!B2:B2113"")))-1)"),"Heinen")</f>
        <v>Heinen</v>
      </c>
      <c r="C968" s="6">
        <f>IFERROR(__xludf.DUMMYFUNCTION("FILTER(IMPORTRANGE(""https://docs.google.com/spreadsheets/d/1BJSV3WBYJGRhQ6zExamkszQ5VutGIcaQqmbD9ZTVXMQ/edit#gid=1251630045"",""articles_with_PRISMA_reasons!C2:C2113""), $A968=IMPORTRANGE(""https://docs.google.com/spreadsheets/d/1BJSV3WBYJGRhQ6zExamkszQ5"&amp;"VutGIcaQqmbD9ZTVXMQ/edit#gid=1251630045"",""articles_with_PRISMA_reasons!B2:B2113""))"),2005.0)</f>
        <v>2005</v>
      </c>
      <c r="D968" s="5" t="str">
        <f>IFERROR(__xludf.DUMMYFUNCTION("IFS(AND(
FILTER(IMPORTRANGE(""https://docs.google.com/spreadsheets/d/1BJSV3WBYJGRhQ6zExamkszQ5VutGIcaQqmbD9ZTVXMQ/edit#gid=1251630045"",""articles_with_PRISMA_reasons!Y2:Y2113""), $A968=IMPORTRANGE(""https://docs.google.com/spreadsheets/d/1BJSV3WBYJGRhQ6z"&amp;"ExamkszQ5VutGIcaQqmbD9ZTVXMQ/edit#gid=1251630045"",""articles_with_PRISMA_reasons!B2:B2113""))&gt;=2,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$A968=IMPORTRANGE(""https://docs.google.com/spreadsheets/d/1BJSV3WBYJGRhQ6zExamkszQ5VutGIcaQqmbD9ZTVXMQ/edit#gid=1251630045"",""articles_with_PRISMA_reasons!B2:B2113""))&lt;2),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$A968=IMPORTRANGE(""https://docs.google.com/spreadsheets/d/1BJSV3WBYJGRhQ6zExamkszQ5VutGIcaQqmbD9ZTVXMQ/edit#gid=1251630045"",""arti"&amp;"cles_with_PRISMA_reasons!B2:B2113""))&lt;2,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$A968=IMPORTRANGE(""https://docs.google.com"&amp;"/spreadsheets/d/1BJSV3WBYJGRhQ6zExamkszQ5VutGIcaQqmbD9ZTVXMQ/edit#gid=1251630045"",""articles_with_PRISMA_reasons!B2:B2113""))&gt;=2),
""Exclude""
)"),"Exclude")</f>
        <v>Exclude</v>
      </c>
      <c r="E968" s="5" t="str">
        <f>IFERROR(__xludf.DUMMYFUNCTION("IFS(
D968=""Exclude"",""Exclude"",
AND(
FILTER(IMPORTRANGE(""https://docs.google.com/spreadsheets/d/1qpEmbGH0JjaJbUdp21-y2cPbobDbMjr09BbtdKROZWc/edit#gid=1444865654"",""articles_with_PRISMA_reasons!W2:W2113""), $A968=IMPORTRANGE(""https://docs.google.com/"&amp;"spreadsheets/d/1qpEmbGH0JjaJbUdp21-y2cPbobDbMjr09BbtdKROZWc/edit#gid=1444865654"",""articles_with_PRISMA_reasons!B2:B2113""))&gt;=2,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$A968=IMPORTRANGE(""https://docs.google.com/spreadsheets/d/1qpEmbGH0JjaJbUdp21-y2cPbobDbMjr09BbtdKROZWc/edit#gid=1444865654"",""articles_with_PRISMA_reasons!B2:B2113""))&lt;2),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$A968=IMPORTRANGE(""https://docs.google.com/spreadsheets/d/1qpEmbGH0JjaJbUdp21-y2cPbobDbMjr09BbtdKRO"&amp;"ZWc/edit#gid=1444865654"",""articles_with_PRISMA_reasons!B2:B2113""))&lt;2,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$A968=IMPOR"&amp;"TRANGE(""https://docs.google.com/spreadsheets/d/1qpEmbGH0JjaJbUdp21-y2cPbobDbMjr09BbtdKROZWc/edit#gid=1444865654"",""articles_with_PRISMA_reasons!B2:B2113""))&gt;=2),
""Exclude""
)"),"Exclude")</f>
        <v>Exclude</v>
      </c>
      <c r="F968" s="5" t="str">
        <f>IFERROR(__xludf.DUMMYFUNCTION("IFS(
E968=""Exclude"",""Exclude"",
AND(
COUNTIF(
IMPORTRANGE(""https://docs.google.com/spreadsheets/d/1kGrh75X1cNR1D7_FcY9zMnHP8iPO4M5RCRjy6nZY0TY/edit#gid=0"",""Table 1: Study characteristics!B4:B171""),A968)&gt;0,
COUNTIF(Studies!$A$2:$A$85,FILTER(IMPORTRA"&amp;"NGE(""https://docs.google.com/spreadsheets/d/1kGrh75X1cNR1D7_FcY9zMnHP8iPO4M5RCRjy6nZY0TY/edit#gid=0"",""Table 1: Study characteristics!A4:A171""), $A968=IMPORTRANGE(""https://docs.google.com/spreadsheets/d/1kGrh75X1cNR1D7_FcY9zMnHP8iPO4M5RCRjy6nZY0TY/edi"&amp;"t#gid=0"",""Table 1: Study characteristics!B4:B171"")))&gt;0
),
""Include""
)"),"Exclude")</f>
        <v>Exclude</v>
      </c>
      <c r="G968" s="5" t="str">
        <f>IFERROR(__xludf.DUMMYFUNCTION("IFS(
D968=""Exclude"",
FILTER(IMPORTRANGE(""https://docs.google.com/spreadsheets/d/1BJSV3WBYJGRhQ6zExamkszQ5VutGIcaQqmbD9ZTVXMQ/edit#gid=1251630045"",""articles_with_PRISMA_reasons!AB2:AB2113""), $A968=IMPORTRANGE(""https://docs.google.com/spreadsheets/d/"&amp;"1BJSV3WBYJGRhQ6zExamkszQ5VutGIcaQqmbD9ZTVXMQ/edit#gid=1251630045"",""articles_with_PRISMA_reasons!B2:B2113"")),
E968=""Exclude"",
FILTER(IMPORTRANGE(""https://docs.google.com/spreadsheets/d/1qpEmbGH0JjaJbUdp21-y2cPbobDbMjr09BbtdKROZWc/edit#gid=1444865654"&amp;""",""articles_with_PRISMA_reasons!Z2:Z2113""), $A968=IMPORTRANGE(""https://docs.google.com/spreadsheets/d/1qpEmbGH0JjaJbUdp21-y2cPbobDbMjr09BbtdKROZWc/edit#gid=1444865654"",""articles_with_PRISMA_reasons!B2:B2113"")),F968
=""Include"",FILTER(IMPORTRANGE("&amp;"""https://docs.google.com/spreadsheets/d/1kGrh75X1cNR1D7_FcY9zMnHP8iPO4M5RCRjy6nZY0TY/edit#gid=0"",""Table 1: Study characteristics!A4:A171""), $A968=IMPORTRANGE(""https://docs.google.com/spreadsheets/d/1kGrh75X1cNR1D7_FcY9zMnHP8iPO4M5RCRjy6nZY0TY/edit#gi"&amp;"d=0"",""Table 1: Study characteristics!B4:B171""))
)"),"wrong study design")</f>
        <v>wrong study design</v>
      </c>
    </row>
    <row r="969">
      <c r="A969" s="4" t="str">
        <f>IFERROR(__xludf.DUMMYFUNCTION("""COMPUTED_VALUE"""),"Increased intracranial pressure in myelomeningocele (MMC) patients never shunted: Results of a prospective preliminary study")</f>
        <v>Increased intracranial pressure in myelomeningocele (MMC) patients never shunted: Results of a prospective preliminary study</v>
      </c>
      <c r="B969" s="5" t="str">
        <f>IFERROR(__xludf.DUMMYFUNCTION("LEFT(FILTER(IMPORTRANGE(""https://docs.google.com/spreadsheets/d/1BJSV3WBYJGRhQ6zExamkszQ5VutGIcaQqmbD9ZTVXMQ/edit#gid=1251630045"",""articles_with_PRISMA_reasons!K2:K2113""), $A969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$A969=IMPORTRANGE(""https://docs.google.com/spreadsheets/d/1BJSV3WBYJGRhQ6zExamkszQ5VutGIcaQqmbD9ZTVXMQ/edit#gid=1251630045"",""articles_with_PRISMA_reasons!B2:B2113"")))-1)"),"Iborra")</f>
        <v>Iborra</v>
      </c>
      <c r="C969" s="6">
        <f>IFERROR(__xludf.DUMMYFUNCTION("FILTER(IMPORTRANGE(""https://docs.google.com/spreadsheets/d/1BJSV3WBYJGRhQ6zExamkszQ5VutGIcaQqmbD9ZTVXMQ/edit#gid=1251630045"",""articles_with_PRISMA_reasons!C2:C2113""), $A969=IMPORTRANGE(""https://docs.google.com/spreadsheets/d/1BJSV3WBYJGRhQ6zExamkszQ5"&amp;"VutGIcaQqmbD9ZTVXMQ/edit#gid=1251630045"",""articles_with_PRISMA_reasons!B2:B2113""))"),2000.0)</f>
        <v>2000</v>
      </c>
      <c r="D969" s="5" t="str">
        <f>IFERROR(__xludf.DUMMYFUNCTION("IFS(AND(
FILTER(IMPORTRANGE(""https://docs.google.com/spreadsheets/d/1BJSV3WBYJGRhQ6zExamkszQ5VutGIcaQqmbD9ZTVXMQ/edit#gid=1251630045"",""articles_with_PRISMA_reasons!Y2:Y2113""), $A969=IMPORTRANGE(""https://docs.google.com/spreadsheets/d/1BJSV3WBYJGRhQ6z"&amp;"ExamkszQ5VutGIcaQqmbD9ZTVXMQ/edit#gid=1251630045"",""articles_with_PRISMA_reasons!B2:B2113""))&gt;=2,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$A969=IMPORTRANGE(""https://docs.google.com/spreadsheets/d/1BJSV3WBYJGRhQ6zExamkszQ5VutGIcaQqmbD9ZTVXMQ/edit#gid=1251630045"",""articles_with_PRISMA_reasons!B2:B2113""))&lt;2),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$A969=IMPORTRANGE(""https://docs.google.com/spreadsheets/d/1BJSV3WBYJGRhQ6zExamkszQ5VutGIcaQqmbD9ZTVXMQ/edit#gid=1251630045"",""arti"&amp;"cles_with_PRISMA_reasons!B2:B2113""))&lt;2,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$A969=IMPORTRANGE(""https://docs.google.com"&amp;"/spreadsheets/d/1BJSV3WBYJGRhQ6zExamkszQ5VutGIcaQqmbD9ZTVXMQ/edit#gid=1251630045"",""articles_with_PRISMA_reasons!B2:B2113""))&gt;=2),
""Exclude""
)"),"Exclude")</f>
        <v>Exclude</v>
      </c>
      <c r="E969" s="5" t="str">
        <f>IFERROR(__xludf.DUMMYFUNCTION("IFS(
D969=""Exclude"",""Exclude"",
AND(
FILTER(IMPORTRANGE(""https://docs.google.com/spreadsheets/d/1qpEmbGH0JjaJbUdp21-y2cPbobDbMjr09BbtdKROZWc/edit#gid=1444865654"",""articles_with_PRISMA_reasons!W2:W2113""), $A969=IMPORTRANGE(""https://docs.google.com/"&amp;"spreadsheets/d/1qpEmbGH0JjaJbUdp21-y2cPbobDbMjr09BbtdKROZWc/edit#gid=1444865654"",""articles_with_PRISMA_reasons!B2:B2113""))&gt;=2,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$A969=IMPORTRANGE(""https://docs.google.com/spreadsheets/d/1qpEmbGH0JjaJbUdp21-y2cPbobDbMjr09BbtdKROZWc/edit#gid=1444865654"",""articles_with_PRISMA_reasons!B2:B2113""))&lt;2),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$A969=IMPORTRANGE(""https://docs.google.com/spreadsheets/d/1qpEmbGH0JjaJbUdp21-y2cPbobDbMjr09BbtdKRO"&amp;"ZWc/edit#gid=1444865654"",""articles_with_PRISMA_reasons!B2:B2113""))&lt;2,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$A969=IMPOR"&amp;"TRANGE(""https://docs.google.com/spreadsheets/d/1qpEmbGH0JjaJbUdp21-y2cPbobDbMjr09BbtdKROZWc/edit#gid=1444865654"",""articles_with_PRISMA_reasons!B2:B2113""))&gt;=2),
""Exclude""
)"),"Exclude")</f>
        <v>Exclude</v>
      </c>
      <c r="F969" s="5" t="str">
        <f>IFERROR(__xludf.DUMMYFUNCTION("IFS(
E969=""Exclude"",""Exclude"",
AND(
COUNTIF(
IMPORTRANGE(""https://docs.google.com/spreadsheets/d/1kGrh75X1cNR1D7_FcY9zMnHP8iPO4M5RCRjy6nZY0TY/edit#gid=0"",""Table 1: Study characteristics!B4:B171""),A969)&gt;0,
COUNTIF(Studies!$A$2:$A$85,FILTER(IMPORTRA"&amp;"NGE(""https://docs.google.com/spreadsheets/d/1kGrh75X1cNR1D7_FcY9zMnHP8iPO4M5RCRjy6nZY0TY/edit#gid=0"",""Table 1: Study characteristics!A4:A171""), $A969=IMPORTRANGE(""https://docs.google.com/spreadsheets/d/1kGrh75X1cNR1D7_FcY9zMnHP8iPO4M5RCRjy6nZY0TY/edi"&amp;"t#gid=0"",""Table 1: Study characteristics!B4:B171"")))&gt;0
),
""Include""
)"),"Exclude")</f>
        <v>Exclude</v>
      </c>
      <c r="G969" s="5" t="str">
        <f>IFERROR(__xludf.DUMMYFUNCTION("IFS(
D969=""Exclude"",
FILTER(IMPORTRANGE(""https://docs.google.com/spreadsheets/d/1BJSV3WBYJGRhQ6zExamkszQ5VutGIcaQqmbD9ZTVXMQ/edit#gid=1251630045"",""articles_with_PRISMA_reasons!AB2:AB2113""), $A969=IMPORTRANGE(""https://docs.google.com/spreadsheets/d/"&amp;"1BJSV3WBYJGRhQ6zExamkszQ5VutGIcaQqmbD9ZTVXMQ/edit#gid=1251630045"",""articles_with_PRISMA_reasons!B2:B2113"")),
E969=""Exclude"",
FILTER(IMPORTRANGE(""https://docs.google.com/spreadsheets/d/1qpEmbGH0JjaJbUdp21-y2cPbobDbMjr09BbtdKROZWc/edit#gid=1444865654"&amp;""",""articles_with_PRISMA_reasons!Z2:Z2113""), $A969=IMPORTRANGE(""https://docs.google.com/spreadsheets/d/1qpEmbGH0JjaJbUdp21-y2cPbobDbMjr09BbtdKROZWc/edit#gid=1444865654"",""articles_with_PRISMA_reasons!B2:B2113"")),F969
=""Include"",FILTER(IMPORTRANGE("&amp;"""https://docs.google.com/spreadsheets/d/1kGrh75X1cNR1D7_FcY9zMnHP8iPO4M5RCRjy6nZY0TY/edit#gid=0"",""Table 1: Study characteristics!A4:A171""), $A969=IMPORTRANGE(""https://docs.google.com/spreadsheets/d/1kGrh75X1cNR1D7_FcY9zMnHP8iPO4M5RCRjy6nZY0TY/edit#gi"&amp;"d=0"",""Table 1: Study characteristics!B4:B171""))
)"),"wrong population")</f>
        <v>wrong population</v>
      </c>
    </row>
    <row r="970">
      <c r="A970" s="4" t="str">
        <f>IFERROR(__xludf.DUMMYFUNCTION("""COMPUTED_VALUE"""),"Increased perinatal intracranial pressure and brainstem dysfunction predict early puberty in boys with myelomeningocele")</f>
        <v>Increased perinatal intracranial pressure and brainstem dysfunction predict early puberty in boys with myelomeningocele</v>
      </c>
      <c r="B970" s="5" t="str">
        <f>IFERROR(__xludf.DUMMYFUNCTION("LEFT(FILTER(IMPORTRANGE(""https://docs.google.com/spreadsheets/d/1BJSV3WBYJGRhQ6zExamkszQ5VutGIcaQqmbD9ZTVXMQ/edit#gid=1251630045"",""articles_with_PRISMA_reasons!K2:K2113""), $A970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$A970=IMPORTRANGE(""https://docs.google.com/spreadsheets/d/1BJSV3WBYJGRhQ6zExamkszQ5VutGIcaQqmbD9ZTVXMQ/edit#gid=1251630045"",""articles_with_PRISMA_reasons!B2:B2113"")))-1)"),"Proos")</f>
        <v>Proos</v>
      </c>
      <c r="C970" s="6">
        <f>IFERROR(__xludf.DUMMYFUNCTION("FILTER(IMPORTRANGE(""https://docs.google.com/spreadsheets/d/1BJSV3WBYJGRhQ6zExamkszQ5VutGIcaQqmbD9ZTVXMQ/edit#gid=1251630045"",""articles_with_PRISMA_reasons!C2:C2113""), $A970=IMPORTRANGE(""https://docs.google.com/spreadsheets/d/1BJSV3WBYJGRhQ6zExamkszQ5"&amp;"VutGIcaQqmbD9ZTVXMQ/edit#gid=1251630045"",""articles_with_PRISMA_reasons!B2:B2113""))"),2011.0)</f>
        <v>2011</v>
      </c>
      <c r="D970" s="5" t="str">
        <f>IFERROR(__xludf.DUMMYFUNCTION("IFS(AND(
FILTER(IMPORTRANGE(""https://docs.google.com/spreadsheets/d/1BJSV3WBYJGRhQ6zExamkszQ5VutGIcaQqmbD9ZTVXMQ/edit#gid=1251630045"",""articles_with_PRISMA_reasons!Y2:Y2113""), $A970=IMPORTRANGE(""https://docs.google.com/spreadsheets/d/1BJSV3WBYJGRhQ6z"&amp;"ExamkszQ5VutGIcaQqmbD9ZTVXMQ/edit#gid=1251630045"",""articles_with_PRISMA_reasons!B2:B2113""))&gt;=2,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$A970=IMPORTRANGE(""https://docs.google.com/spreadsheets/d/1BJSV3WBYJGRhQ6zExamkszQ5VutGIcaQqmbD9ZTVXMQ/edit#gid=1251630045"",""articles_with_PRISMA_reasons!B2:B2113""))&lt;2),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$A970=IMPORTRANGE(""https://docs.google.com/spreadsheets/d/1BJSV3WBYJGRhQ6zExamkszQ5VutGIcaQqmbD9ZTVXMQ/edit#gid=1251630045"",""arti"&amp;"cles_with_PRISMA_reasons!B2:B2113""))&lt;2,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$A970=IMPORTRANGE(""https://docs.google.com"&amp;"/spreadsheets/d/1BJSV3WBYJGRhQ6zExamkszQ5VutGIcaQqmbD9ZTVXMQ/edit#gid=1251630045"",""articles_with_PRISMA_reasons!B2:B2113""))&gt;=2),
""Exclude""
)"),"Exclude")</f>
        <v>Exclude</v>
      </c>
      <c r="E970" s="5" t="str">
        <f>IFERROR(__xludf.DUMMYFUNCTION("IFS(
D970=""Exclude"",""Exclude"",
AND(
FILTER(IMPORTRANGE(""https://docs.google.com/spreadsheets/d/1qpEmbGH0JjaJbUdp21-y2cPbobDbMjr09BbtdKROZWc/edit#gid=1444865654"",""articles_with_PRISMA_reasons!W2:W2113""), $A970=IMPORTRANGE(""https://docs.google.com/"&amp;"spreadsheets/d/1qpEmbGH0JjaJbUdp21-y2cPbobDbMjr09BbtdKROZWc/edit#gid=1444865654"",""articles_with_PRISMA_reasons!B2:B2113""))&gt;=2,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$A970=IMPORTRANGE(""https://docs.google.com/spreadsheets/d/1qpEmbGH0JjaJbUdp21-y2cPbobDbMjr09BbtdKROZWc/edit#gid=1444865654"",""articles_with_PRISMA_reasons!B2:B2113""))&lt;2),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$A970=IMPORTRANGE(""https://docs.google.com/spreadsheets/d/1qpEmbGH0JjaJbUdp21-y2cPbobDbMjr09BbtdKRO"&amp;"ZWc/edit#gid=1444865654"",""articles_with_PRISMA_reasons!B2:B2113""))&lt;2,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$A970=IMPOR"&amp;"TRANGE(""https://docs.google.com/spreadsheets/d/1qpEmbGH0JjaJbUdp21-y2cPbobDbMjr09BbtdKROZWc/edit#gid=1444865654"",""articles_with_PRISMA_reasons!B2:B2113""))&gt;=2),
""Exclude""
)"),"Exclude")</f>
        <v>Exclude</v>
      </c>
      <c r="F970" s="5" t="str">
        <f>IFERROR(__xludf.DUMMYFUNCTION("IFS(
E970=""Exclude"",""Exclude"",
AND(
COUNTIF(
IMPORTRANGE(""https://docs.google.com/spreadsheets/d/1kGrh75X1cNR1D7_FcY9zMnHP8iPO4M5RCRjy6nZY0TY/edit#gid=0"",""Table 1: Study characteristics!B4:B171""),A970)&gt;0,
COUNTIF(Studies!$A$2:$A$85,FILTER(IMPORTRA"&amp;"NGE(""https://docs.google.com/spreadsheets/d/1kGrh75X1cNR1D7_FcY9zMnHP8iPO4M5RCRjy6nZY0TY/edit#gid=0"",""Table 1: Study characteristics!A4:A171""), $A970=IMPORTRANGE(""https://docs.google.com/spreadsheets/d/1kGrh75X1cNR1D7_FcY9zMnHP8iPO4M5RCRjy6nZY0TY/edi"&amp;"t#gid=0"",""Table 1: Study characteristics!B4:B171"")))&gt;0
),
""Include""
)"),"Exclude")</f>
        <v>Exclude</v>
      </c>
      <c r="G970" s="5" t="str">
        <f>IFERROR(__xludf.DUMMYFUNCTION("IFS(
D970=""Exclude"",
FILTER(IMPORTRANGE(""https://docs.google.com/spreadsheets/d/1BJSV3WBYJGRhQ6zExamkszQ5VutGIcaQqmbD9ZTVXMQ/edit#gid=1251630045"",""articles_with_PRISMA_reasons!AB2:AB2113""), $A970=IMPORTRANGE(""https://docs.google.com/spreadsheets/d/"&amp;"1BJSV3WBYJGRhQ6zExamkszQ5VutGIcaQqmbD9ZTVXMQ/edit#gid=1251630045"",""articles_with_PRISMA_reasons!B2:B2113"")),
E970=""Exclude"",
FILTER(IMPORTRANGE(""https://docs.google.com/spreadsheets/d/1qpEmbGH0JjaJbUdp21-y2cPbobDbMjr09BbtdKROZWc/edit#gid=1444865654"&amp;""",""articles_with_PRISMA_reasons!Z2:Z2113""), $A970=IMPORTRANGE(""https://docs.google.com/spreadsheets/d/1qpEmbGH0JjaJbUdp21-y2cPbobDbMjr09BbtdKROZWc/edit#gid=1444865654"",""articles_with_PRISMA_reasons!B2:B2113"")),F970
=""Include"",FILTER(IMPORTRANGE("&amp;"""https://docs.google.com/spreadsheets/d/1kGrh75X1cNR1D7_FcY9zMnHP8iPO4M5RCRjy6nZY0TY/edit#gid=0"",""Table 1: Study characteristics!A4:A171""), $A970=IMPORTRANGE(""https://docs.google.com/spreadsheets/d/1kGrh75X1cNR1D7_FcY9zMnHP8iPO4M5RCRjy6nZY0TY/edit#gi"&amp;"d=0"",""Table 1: Study characteristics!B4:B171""))
)"),"wrong population")</f>
        <v>wrong population</v>
      </c>
    </row>
    <row r="971">
      <c r="A971" s="4" t="str">
        <f>IFERROR(__xludf.DUMMYFUNCTION("""COMPUTED_VALUE"""),"Increased perinatal intracranial pressure and prediction of early puberty in girls with myelomeningocele")</f>
        <v>Increased perinatal intracranial pressure and prediction of early puberty in girls with myelomeningocele</v>
      </c>
      <c r="B971" s="5" t="str">
        <f>IFERROR(__xludf.DUMMYFUNCTION("LEFT(FILTER(IMPORTRANGE(""https://docs.google.com/spreadsheets/d/1BJSV3WBYJGRhQ6zExamkszQ5VutGIcaQqmbD9ZTVXMQ/edit#gid=1251630045"",""articles_with_PRISMA_reasons!K2:K2113""), $A971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$A971=IMPORTRANGE(""https://docs.google.com/spreadsheets/d/1BJSV3WBYJGRhQ6zExamkszQ5VutGIcaQqmbD9ZTVXMQ/edit#gid=1251630045"",""articles_with_PRISMA_reasons!B2:B2113"")))-1)"),"Proos")</f>
        <v>Proos</v>
      </c>
      <c r="C971" s="6">
        <f>IFERROR(__xludf.DUMMYFUNCTION("FILTER(IMPORTRANGE(""https://docs.google.com/spreadsheets/d/1BJSV3WBYJGRhQ6zExamkszQ5VutGIcaQqmbD9ZTVXMQ/edit#gid=1251630045"",""articles_with_PRISMA_reasons!C2:C2113""), $A971=IMPORTRANGE(""https://docs.google.com/spreadsheets/d/1BJSV3WBYJGRhQ6zExamkszQ5"&amp;"VutGIcaQqmbD9ZTVXMQ/edit#gid=1251630045"",""articles_with_PRISMA_reasons!B2:B2113""))"),1996.0)</f>
        <v>1996</v>
      </c>
      <c r="D971" s="5" t="str">
        <f>IFERROR(__xludf.DUMMYFUNCTION("IFS(AND(
FILTER(IMPORTRANGE(""https://docs.google.com/spreadsheets/d/1BJSV3WBYJGRhQ6zExamkszQ5VutGIcaQqmbD9ZTVXMQ/edit#gid=1251630045"",""articles_with_PRISMA_reasons!Y2:Y2113""), $A971=IMPORTRANGE(""https://docs.google.com/spreadsheets/d/1BJSV3WBYJGRhQ6z"&amp;"ExamkszQ5VutGIcaQqmbD9ZTVXMQ/edit#gid=1251630045"",""articles_with_PRISMA_reasons!B2:B2113""))&gt;=2,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$A971=IMPORTRANGE(""https://docs.google.com/spreadsheets/d/1BJSV3WBYJGRhQ6zExamkszQ5VutGIcaQqmbD9ZTVXMQ/edit#gid=1251630045"",""articles_with_PRISMA_reasons!B2:B2113""))&lt;2),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$A971=IMPORTRANGE(""https://docs.google.com/spreadsheets/d/1BJSV3WBYJGRhQ6zExamkszQ5VutGIcaQqmbD9ZTVXMQ/edit#gid=1251630045"",""arti"&amp;"cles_with_PRISMA_reasons!B2:B2113""))&lt;2,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$A971=IMPORTRANGE(""https://docs.google.com"&amp;"/spreadsheets/d/1BJSV3WBYJGRhQ6zExamkszQ5VutGIcaQqmbD9ZTVXMQ/edit#gid=1251630045"",""articles_with_PRISMA_reasons!B2:B2113""))&gt;=2),
""Exclude""
)"),"Exclude")</f>
        <v>Exclude</v>
      </c>
      <c r="E971" s="5" t="str">
        <f>IFERROR(__xludf.DUMMYFUNCTION("IFS(
D971=""Exclude"",""Exclude"",
AND(
FILTER(IMPORTRANGE(""https://docs.google.com/spreadsheets/d/1qpEmbGH0JjaJbUdp21-y2cPbobDbMjr09BbtdKROZWc/edit#gid=1444865654"",""articles_with_PRISMA_reasons!W2:W2113""), $A971=IMPORTRANGE(""https://docs.google.com/"&amp;"spreadsheets/d/1qpEmbGH0JjaJbUdp21-y2cPbobDbMjr09BbtdKROZWc/edit#gid=1444865654"",""articles_with_PRISMA_reasons!B2:B2113""))&gt;=2,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$A971=IMPORTRANGE(""https://docs.google.com/spreadsheets/d/1qpEmbGH0JjaJbUdp21-y2cPbobDbMjr09BbtdKROZWc/edit#gid=1444865654"",""articles_with_PRISMA_reasons!B2:B2113""))&lt;2),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$A971=IMPORTRANGE(""https://docs.google.com/spreadsheets/d/1qpEmbGH0JjaJbUdp21-y2cPbobDbMjr09BbtdKRO"&amp;"ZWc/edit#gid=1444865654"",""articles_with_PRISMA_reasons!B2:B2113""))&lt;2,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$A971=IMPOR"&amp;"TRANGE(""https://docs.google.com/spreadsheets/d/1qpEmbGH0JjaJbUdp21-y2cPbobDbMjr09BbtdKROZWc/edit#gid=1444865654"",""articles_with_PRISMA_reasons!B2:B2113""))&gt;=2),
""Exclude""
)"),"Exclude")</f>
        <v>Exclude</v>
      </c>
      <c r="F971" s="5" t="str">
        <f>IFERROR(__xludf.DUMMYFUNCTION("IFS(
E971=""Exclude"",""Exclude"",
AND(
COUNTIF(
IMPORTRANGE(""https://docs.google.com/spreadsheets/d/1kGrh75X1cNR1D7_FcY9zMnHP8iPO4M5RCRjy6nZY0TY/edit#gid=0"",""Table 1: Study characteristics!B4:B171""),A971)&gt;0,
COUNTIF(Studies!$A$2:$A$85,FILTER(IMPORTRA"&amp;"NGE(""https://docs.google.com/spreadsheets/d/1kGrh75X1cNR1D7_FcY9zMnHP8iPO4M5RCRjy6nZY0TY/edit#gid=0"",""Table 1: Study characteristics!A4:A171""), $A971=IMPORTRANGE(""https://docs.google.com/spreadsheets/d/1kGrh75X1cNR1D7_FcY9zMnHP8iPO4M5RCRjy6nZY0TY/edi"&amp;"t#gid=0"",""Table 1: Study characteristics!B4:B171"")))&gt;0
),
""Include""
)"),"Exclude")</f>
        <v>Exclude</v>
      </c>
      <c r="G971" s="5" t="str">
        <f>IFERROR(__xludf.DUMMYFUNCTION("IFS(
D971=""Exclude"",
FILTER(IMPORTRANGE(""https://docs.google.com/spreadsheets/d/1BJSV3WBYJGRhQ6zExamkszQ5VutGIcaQqmbD9ZTVXMQ/edit#gid=1251630045"",""articles_with_PRISMA_reasons!AB2:AB2113""), $A971=IMPORTRANGE(""https://docs.google.com/spreadsheets/d/"&amp;"1BJSV3WBYJGRhQ6zExamkszQ5VutGIcaQqmbD9ZTVXMQ/edit#gid=1251630045"",""articles_with_PRISMA_reasons!B2:B2113"")),
E971=""Exclude"",
FILTER(IMPORTRANGE(""https://docs.google.com/spreadsheets/d/1qpEmbGH0JjaJbUdp21-y2cPbobDbMjr09BbtdKROZWc/edit#gid=1444865654"&amp;""",""articles_with_PRISMA_reasons!Z2:Z2113""), $A971=IMPORTRANGE(""https://docs.google.com/spreadsheets/d/1qpEmbGH0JjaJbUdp21-y2cPbobDbMjr09BbtdKROZWc/edit#gid=1444865654"",""articles_with_PRISMA_reasons!B2:B2113"")),F971
=""Include"",FILTER(IMPORTRANGE("&amp;"""https://docs.google.com/spreadsheets/d/1kGrh75X1cNR1D7_FcY9zMnHP8iPO4M5RCRjy6nZY0TY/edit#gid=0"",""Table 1: Study characteristics!A4:A171""), $A971=IMPORTRANGE(""https://docs.google.com/spreadsheets/d/1kGrh75X1cNR1D7_FcY9zMnHP8iPO4M5RCRjy6nZY0TY/edit#gi"&amp;"d=0"",""Table 1: Study characteristics!B4:B171""))
)"),"wrong population")</f>
        <v>wrong population</v>
      </c>
    </row>
    <row r="972">
      <c r="A972" s="4" t="str">
        <f>IFERROR(__xludf.DUMMYFUNCTION("""COMPUTED_VALUE"""),"Independence in self-care activities in children with myelomeningocele: exploring factors based on the International Classification of Function model")</f>
        <v>Independence in self-care activities in children with myelomeningocele: exploring factors based on the International Classification of Function model</v>
      </c>
      <c r="B972" s="5" t="str">
        <f>IFERROR(__xludf.DUMMYFUNCTION("LEFT(FILTER(IMPORTRANGE(""https://docs.google.com/spreadsheets/d/1BJSV3WBYJGRhQ6zExamkszQ5VutGIcaQqmbD9ZTVXMQ/edit#gid=1251630045"",""articles_with_PRISMA_reasons!K2:K2113""), $A972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$A972=IMPORTRANGE(""https://docs.google.com/spreadsheets/d/1BJSV3WBYJGRhQ6zExamkszQ5VutGIcaQqmbD9ZTVXMQ/edit#gid=1251630045"",""articles_with_PRISMA_reasons!B2:B2113"")))-1)"),"Steinhart")</f>
        <v>Steinhart</v>
      </c>
      <c r="C972" s="6">
        <f>IFERROR(__xludf.DUMMYFUNCTION("FILTER(IMPORTRANGE(""https://docs.google.com/spreadsheets/d/1BJSV3WBYJGRhQ6zExamkszQ5VutGIcaQqmbD9ZTVXMQ/edit#gid=1251630045"",""articles_with_PRISMA_reasons!C2:C2113""), $A972=IMPORTRANGE(""https://docs.google.com/spreadsheets/d/1BJSV3WBYJGRhQ6zExamkszQ5"&amp;"VutGIcaQqmbD9ZTVXMQ/edit#gid=1251630045"",""articles_with_PRISMA_reasons!B2:B2113""))"),2018.0)</f>
        <v>2018</v>
      </c>
      <c r="D972" s="5" t="str">
        <f>IFERROR(__xludf.DUMMYFUNCTION("IFS(AND(
FILTER(IMPORTRANGE(""https://docs.google.com/spreadsheets/d/1BJSV3WBYJGRhQ6zExamkszQ5VutGIcaQqmbD9ZTVXMQ/edit#gid=1251630045"",""articles_with_PRISMA_reasons!Y2:Y2113""), $A972=IMPORTRANGE(""https://docs.google.com/spreadsheets/d/1BJSV3WBYJGRhQ6z"&amp;"ExamkszQ5VutGIcaQqmbD9ZTVXMQ/edit#gid=1251630045"",""articles_with_PRISMA_reasons!B2:B2113""))&gt;=2,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$A972=IMPORTRANGE(""https://docs.google.com/spreadsheets/d/1BJSV3WBYJGRhQ6zExamkszQ5VutGIcaQqmbD9ZTVXMQ/edit#gid=1251630045"",""articles_with_PRISMA_reasons!B2:B2113""))&lt;2),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$A972=IMPORTRANGE(""https://docs.google.com/spreadsheets/d/1BJSV3WBYJGRhQ6zExamkszQ5VutGIcaQqmbD9ZTVXMQ/edit#gid=1251630045"",""arti"&amp;"cles_with_PRISMA_reasons!B2:B2113""))&lt;2,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$A972=IMPORTRANGE(""https://docs.google.com"&amp;"/spreadsheets/d/1BJSV3WBYJGRhQ6zExamkszQ5VutGIcaQqmbD9ZTVXMQ/edit#gid=1251630045"",""articles_with_PRISMA_reasons!B2:B2113""))&gt;=2),
""Exclude""
)"),"Exclude")</f>
        <v>Exclude</v>
      </c>
      <c r="E972" s="5" t="str">
        <f>IFERROR(__xludf.DUMMYFUNCTION("IFS(
D972=""Exclude"",""Exclude"",
AND(
FILTER(IMPORTRANGE(""https://docs.google.com/spreadsheets/d/1qpEmbGH0JjaJbUdp21-y2cPbobDbMjr09BbtdKROZWc/edit#gid=1444865654"",""articles_with_PRISMA_reasons!W2:W2113""), $A972=IMPORTRANGE(""https://docs.google.com/"&amp;"spreadsheets/d/1qpEmbGH0JjaJbUdp21-y2cPbobDbMjr09BbtdKROZWc/edit#gid=1444865654"",""articles_with_PRISMA_reasons!B2:B2113""))&gt;=2,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$A972=IMPORTRANGE(""https://docs.google.com/spreadsheets/d/1qpEmbGH0JjaJbUdp21-y2cPbobDbMjr09BbtdKROZWc/edit#gid=1444865654"",""articles_with_PRISMA_reasons!B2:B2113""))&lt;2),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$A972=IMPORTRANGE(""https://docs.google.com/spreadsheets/d/1qpEmbGH0JjaJbUdp21-y2cPbobDbMjr09BbtdKRO"&amp;"ZWc/edit#gid=1444865654"",""articles_with_PRISMA_reasons!B2:B2113""))&lt;2,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$A972=IMPOR"&amp;"TRANGE(""https://docs.google.com/spreadsheets/d/1qpEmbGH0JjaJbUdp21-y2cPbobDbMjr09BbtdKROZWc/edit#gid=1444865654"",""articles_with_PRISMA_reasons!B2:B2113""))&gt;=2),
""Exclude""
)"),"Exclude")</f>
        <v>Exclude</v>
      </c>
      <c r="F972" s="5" t="str">
        <f>IFERROR(__xludf.DUMMYFUNCTION("IFS(
E972=""Exclude"",""Exclude"",
AND(
COUNTIF(
IMPORTRANGE(""https://docs.google.com/spreadsheets/d/1kGrh75X1cNR1D7_FcY9zMnHP8iPO4M5RCRjy6nZY0TY/edit#gid=0"",""Table 1: Study characteristics!B4:B171""),A972)&gt;0,
COUNTIF(Studies!$A$2:$A$85,FILTER(IMPORTRA"&amp;"NGE(""https://docs.google.com/spreadsheets/d/1kGrh75X1cNR1D7_FcY9zMnHP8iPO4M5RCRjy6nZY0TY/edit#gid=0"",""Table 1: Study characteristics!A4:A171""), $A972=IMPORTRANGE(""https://docs.google.com/spreadsheets/d/1kGrh75X1cNR1D7_FcY9zMnHP8iPO4M5RCRjy6nZY0TY/edi"&amp;"t#gid=0"",""Table 1: Study characteristics!B4:B171"")))&gt;0
),
""Include""
)"),"Exclude")</f>
        <v>Exclude</v>
      </c>
      <c r="G972" s="5" t="str">
        <f>IFERROR(__xludf.DUMMYFUNCTION("IFS(
D972=""Exclude"",
FILTER(IMPORTRANGE(""https://docs.google.com/spreadsheets/d/1BJSV3WBYJGRhQ6zExamkszQ5VutGIcaQqmbD9ZTVXMQ/edit#gid=1251630045"",""articles_with_PRISMA_reasons!AB2:AB2113""), $A972=IMPORTRANGE(""https://docs.google.com/spreadsheets/d/"&amp;"1BJSV3WBYJGRhQ6zExamkszQ5VutGIcaQqmbD9ZTVXMQ/edit#gid=1251630045"",""articles_with_PRISMA_reasons!B2:B2113"")),
E972=""Exclude"",
FILTER(IMPORTRANGE(""https://docs.google.com/spreadsheets/d/1qpEmbGH0JjaJbUdp21-y2cPbobDbMjr09BbtdKROZWc/edit#gid=1444865654"&amp;""",""articles_with_PRISMA_reasons!Z2:Z2113""), $A972=IMPORTRANGE(""https://docs.google.com/spreadsheets/d/1qpEmbGH0JjaJbUdp21-y2cPbobDbMjr09BbtdKROZWc/edit#gid=1444865654"",""articles_with_PRISMA_reasons!B2:B2113"")),F972
=""Include"",FILTER(IMPORTRANGE("&amp;"""https://docs.google.com/spreadsheets/d/1kGrh75X1cNR1D7_FcY9zMnHP8iPO4M5RCRjy6nZY0TY/edit#gid=0"",""Table 1: Study characteristics!A4:A171""), $A972=IMPORTRANGE(""https://docs.google.com/spreadsheets/d/1kGrh75X1cNR1D7_FcY9zMnHP8iPO4M5RCRjy6nZY0TY/edit#gi"&amp;"d=0"",""Table 1: Study characteristics!B4:B171""))
)"),"wrong population")</f>
        <v>wrong population</v>
      </c>
    </row>
    <row r="973">
      <c r="A973" s="4" t="str">
        <f>IFERROR(__xludf.DUMMYFUNCTION("""COMPUTED_VALUE"""),"Independence in the toilet activity in children and adolescents with myelomeningocele--managing clean intermittent catheterization in a hospital setting")</f>
        <v>Independence in the toilet activity in children and adolescents with myelomeningocele--managing clean intermittent catheterization in a hospital setting</v>
      </c>
      <c r="B973" s="5" t="str">
        <f>IFERROR(__xludf.DUMMYFUNCTION("LEFT(FILTER(IMPORTRANGE(""https://docs.google.com/spreadsheets/d/1BJSV3WBYJGRhQ6zExamkszQ5VutGIcaQqmbD9ZTVXMQ/edit#gid=1251630045"",""articles_with_PRISMA_reasons!K2:K2113""), $A973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$A973=IMPORTRANGE(""https://docs.google.com/spreadsheets/d/1BJSV3WBYJGRhQ6zExamkszQ5VutGIcaQqmbD9ZTVXMQ/edit#gid=1251630045"",""articles_with_PRISMA_reasons!B2:B2113"")))-1)"),"Donlau")</f>
        <v>Donlau</v>
      </c>
      <c r="C973" s="6">
        <f>IFERROR(__xludf.DUMMYFUNCTION("FILTER(IMPORTRANGE(""https://docs.google.com/spreadsheets/d/1BJSV3WBYJGRhQ6zExamkszQ5VutGIcaQqmbD9ZTVXMQ/edit#gid=1251630045"",""articles_with_PRISMA_reasons!C2:C2113""), $A973=IMPORTRANGE(""https://docs.google.com/spreadsheets/d/1BJSV3WBYJGRhQ6zExamkszQ5"&amp;"VutGIcaQqmbD9ZTVXMQ/edit#gid=1251630045"",""articles_with_PRISMA_reasons!B2:B2113""))"),2009.0)</f>
        <v>2009</v>
      </c>
      <c r="D973" s="5" t="str">
        <f>IFERROR(__xludf.DUMMYFUNCTION("IFS(AND(
FILTER(IMPORTRANGE(""https://docs.google.com/spreadsheets/d/1BJSV3WBYJGRhQ6zExamkszQ5VutGIcaQqmbD9ZTVXMQ/edit#gid=1251630045"",""articles_with_PRISMA_reasons!Y2:Y2113""), $A973=IMPORTRANGE(""https://docs.google.com/spreadsheets/d/1BJSV3WBYJGRhQ6z"&amp;"ExamkszQ5VutGIcaQqmbD9ZTVXMQ/edit#gid=1251630045"",""articles_with_PRISMA_reasons!B2:B2113""))&gt;=2,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$A973=IMPORTRANGE(""https://docs.google.com/spreadsheets/d/1BJSV3WBYJGRhQ6zExamkszQ5VutGIcaQqmbD9ZTVXMQ/edit#gid=1251630045"",""articles_with_PRISMA_reasons!B2:B2113""))&lt;2),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$A973=IMPORTRANGE(""https://docs.google.com/spreadsheets/d/1BJSV3WBYJGRhQ6zExamkszQ5VutGIcaQqmbD9ZTVXMQ/edit#gid=1251630045"",""arti"&amp;"cles_with_PRISMA_reasons!B2:B2113""))&lt;2,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$A973=IMPORTRANGE(""https://docs.google.com"&amp;"/spreadsheets/d/1BJSV3WBYJGRhQ6zExamkszQ5VutGIcaQqmbD9ZTVXMQ/edit#gid=1251630045"",""articles_with_PRISMA_reasons!B2:B2113""))&gt;=2),
""Exclude""
)"),"Exclude")</f>
        <v>Exclude</v>
      </c>
      <c r="E973" s="5" t="str">
        <f>IFERROR(__xludf.DUMMYFUNCTION("IFS(
D973=""Exclude"",""Exclude"",
AND(
FILTER(IMPORTRANGE(""https://docs.google.com/spreadsheets/d/1qpEmbGH0JjaJbUdp21-y2cPbobDbMjr09BbtdKROZWc/edit#gid=1444865654"",""articles_with_PRISMA_reasons!W2:W2113""), $A973=IMPORTRANGE(""https://docs.google.com/"&amp;"spreadsheets/d/1qpEmbGH0JjaJbUdp21-y2cPbobDbMjr09BbtdKROZWc/edit#gid=1444865654"",""articles_with_PRISMA_reasons!B2:B2113""))&gt;=2,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$A973=IMPORTRANGE(""https://docs.google.com/spreadsheets/d/1qpEmbGH0JjaJbUdp21-y2cPbobDbMjr09BbtdKROZWc/edit#gid=1444865654"",""articles_with_PRISMA_reasons!B2:B2113""))&lt;2),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$A973=IMPORTRANGE(""https://docs.google.com/spreadsheets/d/1qpEmbGH0JjaJbUdp21-y2cPbobDbMjr09BbtdKRO"&amp;"ZWc/edit#gid=1444865654"",""articles_with_PRISMA_reasons!B2:B2113""))&lt;2,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$A973=IMPOR"&amp;"TRANGE(""https://docs.google.com/spreadsheets/d/1qpEmbGH0JjaJbUdp21-y2cPbobDbMjr09BbtdKROZWc/edit#gid=1444865654"",""articles_with_PRISMA_reasons!B2:B2113""))&gt;=2),
""Exclude""
)"),"Exclude")</f>
        <v>Exclude</v>
      </c>
      <c r="F973" s="5" t="str">
        <f>IFERROR(__xludf.DUMMYFUNCTION("IFS(
E973=""Exclude"",""Exclude"",
AND(
COUNTIF(
IMPORTRANGE(""https://docs.google.com/spreadsheets/d/1kGrh75X1cNR1D7_FcY9zMnHP8iPO4M5RCRjy6nZY0TY/edit#gid=0"",""Table 1: Study characteristics!B4:B171""),A973)&gt;0,
COUNTIF(Studies!$A$2:$A$85,FILTER(IMPORTRA"&amp;"NGE(""https://docs.google.com/spreadsheets/d/1kGrh75X1cNR1D7_FcY9zMnHP8iPO4M5RCRjy6nZY0TY/edit#gid=0"",""Table 1: Study characteristics!A4:A171""), $A973=IMPORTRANGE(""https://docs.google.com/spreadsheets/d/1kGrh75X1cNR1D7_FcY9zMnHP8iPO4M5RCRjy6nZY0TY/edi"&amp;"t#gid=0"",""Table 1: Study characteristics!B4:B171"")))&gt;0
),
""Include""
)"),"Exclude")</f>
        <v>Exclude</v>
      </c>
      <c r="G973" s="5" t="str">
        <f>IFERROR(__xludf.DUMMYFUNCTION("IFS(
D973=""Exclude"",
FILTER(IMPORTRANGE(""https://docs.google.com/spreadsheets/d/1BJSV3WBYJGRhQ6zExamkszQ5VutGIcaQqmbD9ZTVXMQ/edit#gid=1251630045"",""articles_with_PRISMA_reasons!AB2:AB2113""), $A973=IMPORTRANGE(""https://docs.google.com/spreadsheets/d/"&amp;"1BJSV3WBYJGRhQ6zExamkszQ5VutGIcaQqmbD9ZTVXMQ/edit#gid=1251630045"",""articles_with_PRISMA_reasons!B2:B2113"")),
E973=""Exclude"",
FILTER(IMPORTRANGE(""https://docs.google.com/spreadsheets/d/1qpEmbGH0JjaJbUdp21-y2cPbobDbMjr09BbtdKROZWc/edit#gid=1444865654"&amp;""",""articles_with_PRISMA_reasons!Z2:Z2113""), $A973=IMPORTRANGE(""https://docs.google.com/spreadsheets/d/1qpEmbGH0JjaJbUdp21-y2cPbobDbMjr09BbtdKROZWc/edit#gid=1444865654"",""articles_with_PRISMA_reasons!B2:B2113"")),F973
=""Include"",FILTER(IMPORTRANGE("&amp;"""https://docs.google.com/spreadsheets/d/1kGrh75X1cNR1D7_FcY9zMnHP8iPO4M5RCRjy6nZY0TY/edit#gid=0"",""Table 1: Study characteristics!A4:A171""), $A973=IMPORTRANGE(""https://docs.google.com/spreadsheets/d/1kGrh75X1cNR1D7_FcY9zMnHP8iPO4M5RCRjy6nZY0TY/edit#gi"&amp;"d=0"",""Table 1: Study characteristics!B4:B171""))
)"),"wrong population")</f>
        <v>wrong population</v>
      </c>
    </row>
    <row r="974">
      <c r="A974" s="4" t="str">
        <f>IFERROR(__xludf.DUMMYFUNCTION("""COMPUTED_VALUE"""),"Independence, social adjustment and handicap of children born with myelomeningocele")</f>
        <v>Independence, social adjustment and handicap of children born with myelomeningocele</v>
      </c>
      <c r="B974" s="5" t="str">
        <f>IFERROR(__xludf.DUMMYFUNCTION("LEFT(FILTER(IMPORTRANGE(""https://docs.google.com/spreadsheets/d/1BJSV3WBYJGRhQ6zExamkszQ5VutGIcaQqmbD9ZTVXMQ/edit#gid=1251630045"",""articles_with_PRISMA_reasons!K2:K2113""), $A974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$A974=IMPORTRANGE(""https://docs.google.com/spreadsheets/d/1BJSV3WBYJGRhQ6zExamkszQ5VutGIcaQqmbD9ZTVXMQ/edit#gid=1251630045"",""articles_with_PRISMA_reasons!B2:B2113"")))-1)"),"Lenkiewicz")</f>
        <v>Lenkiewicz</v>
      </c>
      <c r="C974" s="6">
        <f>IFERROR(__xludf.DUMMYFUNCTION("FILTER(IMPORTRANGE(""https://docs.google.com/spreadsheets/d/1BJSV3WBYJGRhQ6zExamkszQ5VutGIcaQqmbD9ZTVXMQ/edit#gid=1251630045"",""articles_with_PRISMA_reasons!C2:C2113""), $A974=IMPORTRANGE(""https://docs.google.com/spreadsheets/d/1BJSV3WBYJGRhQ6zExamkszQ5"&amp;"VutGIcaQqmbD9ZTVXMQ/edit#gid=1251630045"",""articles_with_PRISMA_reasons!B2:B2113""))"),2007.0)</f>
        <v>2007</v>
      </c>
      <c r="D974" s="5" t="str">
        <f>IFERROR(__xludf.DUMMYFUNCTION("IFS(AND(
FILTER(IMPORTRANGE(""https://docs.google.com/spreadsheets/d/1BJSV3WBYJGRhQ6zExamkszQ5VutGIcaQqmbD9ZTVXMQ/edit#gid=1251630045"",""articles_with_PRISMA_reasons!Y2:Y2113""), $A974=IMPORTRANGE(""https://docs.google.com/spreadsheets/d/1BJSV3WBYJGRhQ6z"&amp;"ExamkszQ5VutGIcaQqmbD9ZTVXMQ/edit#gid=1251630045"",""articles_with_PRISMA_reasons!B2:B2113""))&gt;=2,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$A974=IMPORTRANGE(""https://docs.google.com/spreadsheets/d/1BJSV3WBYJGRhQ6zExamkszQ5VutGIcaQqmbD9ZTVXMQ/edit#gid=1251630045"",""articles_with_PRISMA_reasons!B2:B2113""))&lt;2),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$A974=IMPORTRANGE(""https://docs.google.com/spreadsheets/d/1BJSV3WBYJGRhQ6zExamkszQ5VutGIcaQqmbD9ZTVXMQ/edit#gid=1251630045"",""arti"&amp;"cles_with_PRISMA_reasons!B2:B2113""))&lt;2,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$A974=IMPORTRANGE(""https://docs.google.com"&amp;"/spreadsheets/d/1BJSV3WBYJGRhQ6zExamkszQ5VutGIcaQqmbD9ZTVXMQ/edit#gid=1251630045"",""articles_with_PRISMA_reasons!B2:B2113""))&gt;=2),
""Exclude""
)"),"Exclude")</f>
        <v>Exclude</v>
      </c>
      <c r="E974" s="5" t="str">
        <f>IFERROR(__xludf.DUMMYFUNCTION("IFS(
D974=""Exclude"",""Exclude"",
AND(
FILTER(IMPORTRANGE(""https://docs.google.com/spreadsheets/d/1qpEmbGH0JjaJbUdp21-y2cPbobDbMjr09BbtdKROZWc/edit#gid=1444865654"",""articles_with_PRISMA_reasons!W2:W2113""), $A974=IMPORTRANGE(""https://docs.google.com/"&amp;"spreadsheets/d/1qpEmbGH0JjaJbUdp21-y2cPbobDbMjr09BbtdKROZWc/edit#gid=1444865654"",""articles_with_PRISMA_reasons!B2:B2113""))&gt;=2,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$A974=IMPORTRANGE(""https://docs.google.com/spreadsheets/d/1qpEmbGH0JjaJbUdp21-y2cPbobDbMjr09BbtdKROZWc/edit#gid=1444865654"",""articles_with_PRISMA_reasons!B2:B2113""))&lt;2),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$A974=IMPORTRANGE(""https://docs.google.com/spreadsheets/d/1qpEmbGH0JjaJbUdp21-y2cPbobDbMjr09BbtdKRO"&amp;"ZWc/edit#gid=1444865654"",""articles_with_PRISMA_reasons!B2:B2113""))&lt;2,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$A974=IMPOR"&amp;"TRANGE(""https://docs.google.com/spreadsheets/d/1qpEmbGH0JjaJbUdp21-y2cPbobDbMjr09BbtdKROZWc/edit#gid=1444865654"",""articles_with_PRISMA_reasons!B2:B2113""))&gt;=2),
""Exclude""
)"),"Exclude")</f>
        <v>Exclude</v>
      </c>
      <c r="F974" s="5" t="str">
        <f>IFERROR(__xludf.DUMMYFUNCTION("IFS(
E974=""Exclude"",""Exclude"",
AND(
COUNTIF(
IMPORTRANGE(""https://docs.google.com/spreadsheets/d/1kGrh75X1cNR1D7_FcY9zMnHP8iPO4M5RCRjy6nZY0TY/edit#gid=0"",""Table 1: Study characteristics!B4:B171""),A974)&gt;0,
COUNTIF(Studies!$A$2:$A$85,FILTER(IMPORTRA"&amp;"NGE(""https://docs.google.com/spreadsheets/d/1kGrh75X1cNR1D7_FcY9zMnHP8iPO4M5RCRjy6nZY0TY/edit#gid=0"",""Table 1: Study characteristics!A4:A171""), $A974=IMPORTRANGE(""https://docs.google.com/spreadsheets/d/1kGrh75X1cNR1D7_FcY9zMnHP8iPO4M5RCRjy6nZY0TY/edi"&amp;"t#gid=0"",""Table 1: Study characteristics!B4:B171"")))&gt;0
),
""Include""
)"),"Exclude")</f>
        <v>Exclude</v>
      </c>
      <c r="G974" s="5" t="str">
        <f>IFERROR(__xludf.DUMMYFUNCTION("IFS(
D974=""Exclude"",
FILTER(IMPORTRANGE(""https://docs.google.com/spreadsheets/d/1BJSV3WBYJGRhQ6zExamkszQ5VutGIcaQqmbD9ZTVXMQ/edit#gid=1251630045"",""articles_with_PRISMA_reasons!AB2:AB2113""), $A974=IMPORTRANGE(""https://docs.google.com/spreadsheets/d/"&amp;"1BJSV3WBYJGRhQ6zExamkszQ5VutGIcaQqmbD9ZTVXMQ/edit#gid=1251630045"",""articles_with_PRISMA_reasons!B2:B2113"")),
E974=""Exclude"",
FILTER(IMPORTRANGE(""https://docs.google.com/spreadsheets/d/1qpEmbGH0JjaJbUdp21-y2cPbobDbMjr09BbtdKROZWc/edit#gid=1444865654"&amp;""",""articles_with_PRISMA_reasons!Z2:Z2113""), $A974=IMPORTRANGE(""https://docs.google.com/spreadsheets/d/1qpEmbGH0JjaJbUdp21-y2cPbobDbMjr09BbtdKROZWc/edit#gid=1444865654"",""articles_with_PRISMA_reasons!B2:B2113"")),F974
=""Include"",FILTER(IMPORTRANGE("&amp;"""https://docs.google.com/spreadsheets/d/1kGrh75X1cNR1D7_FcY9zMnHP8iPO4M5RCRjy6nZY0TY/edit#gid=0"",""Table 1: Study characteristics!A4:A171""), $A974=IMPORTRANGE(""https://docs.google.com/spreadsheets/d/1kGrh75X1cNR1D7_FcY9zMnHP8iPO4M5RCRjy6nZY0TY/edit#gi"&amp;"d=0"",""Table 1: Study characteristics!B4:B171""))
)"),"wrong population")</f>
        <v>wrong population</v>
      </c>
    </row>
    <row r="975">
      <c r="A975" s="4" t="str">
        <f>IFERROR(__xludf.DUMMYFUNCTION("""COMPUTED_VALUE"""),"Infant hydrocephalus in sub-Saharan Africa: Impact of perioperative care in the Zanzibar archipelago")</f>
        <v>Infant hydrocephalus in sub-Saharan Africa: Impact of perioperative care in the Zanzibar archipelago</v>
      </c>
      <c r="B975" s="5" t="str">
        <f>IFERROR(__xludf.DUMMYFUNCTION("LEFT(FILTER(IMPORTRANGE(""https://docs.google.com/spreadsheets/d/1BJSV3WBYJGRhQ6zExamkszQ5VutGIcaQqmbD9ZTVXMQ/edit#gid=1251630045"",""articles_with_PRISMA_reasons!K2:K2113""), $A975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$A975=IMPORTRANGE(""https://docs.google.com/spreadsheets/d/1BJSV3WBYJGRhQ6zExamkszQ5VutGIcaQqmbD9ZTVXMQ/edit#gid=1251630045"",""articles_with_PRISMA_reasons!B2:B2113"")))-1)"),"Moreno Oliveras")</f>
        <v>Moreno Oliveras</v>
      </c>
      <c r="C975" s="6">
        <f>IFERROR(__xludf.DUMMYFUNCTION("FILTER(IMPORTRANGE(""https://docs.google.com/spreadsheets/d/1BJSV3WBYJGRhQ6zExamkszQ5VutGIcaQqmbD9ZTVXMQ/edit#gid=1251630045"",""articles_with_PRISMA_reasons!C2:C2113""), $A975=IMPORTRANGE(""https://docs.google.com/spreadsheets/d/1BJSV3WBYJGRhQ6zExamkszQ5"&amp;"VutGIcaQqmbD9ZTVXMQ/edit#gid=1251630045"",""articles_with_PRISMA_reasons!B2:B2113""))"),2020.0)</f>
        <v>2020</v>
      </c>
      <c r="D975" s="5" t="str">
        <f>IFERROR(__xludf.DUMMYFUNCTION("IFS(AND(
FILTER(IMPORTRANGE(""https://docs.google.com/spreadsheets/d/1BJSV3WBYJGRhQ6zExamkszQ5VutGIcaQqmbD9ZTVXMQ/edit#gid=1251630045"",""articles_with_PRISMA_reasons!Y2:Y2113""), $A975=IMPORTRANGE(""https://docs.google.com/spreadsheets/d/1BJSV3WBYJGRhQ6z"&amp;"ExamkszQ5VutGIcaQqmbD9ZTVXMQ/edit#gid=1251630045"",""articles_with_PRISMA_reasons!B2:B2113""))&gt;=2,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$A975=IMPORTRANGE(""https://docs.google.com/spreadsheets/d/1BJSV3WBYJGRhQ6zExamkszQ5VutGIcaQqmbD9ZTVXMQ/edit#gid=1251630045"",""articles_with_PRISMA_reasons!B2:B2113""))&lt;2),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$A975=IMPORTRANGE(""https://docs.google.com/spreadsheets/d/1BJSV3WBYJGRhQ6zExamkszQ5VutGIcaQqmbD9ZTVXMQ/edit#gid=1251630045"",""arti"&amp;"cles_with_PRISMA_reasons!B2:B2113""))&lt;2,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$A975=IMPORTRANGE(""https://docs.google.com"&amp;"/spreadsheets/d/1BJSV3WBYJGRhQ6zExamkszQ5VutGIcaQqmbD9ZTVXMQ/edit#gid=1251630045"",""articles_with_PRISMA_reasons!B2:B2113""))&gt;=2),
""Exclude""
)"),"Exclude")</f>
        <v>Exclude</v>
      </c>
      <c r="E975" s="5" t="str">
        <f>IFERROR(__xludf.DUMMYFUNCTION("IFS(
D975=""Exclude"",""Exclude"",
AND(
FILTER(IMPORTRANGE(""https://docs.google.com/spreadsheets/d/1qpEmbGH0JjaJbUdp21-y2cPbobDbMjr09BbtdKROZWc/edit#gid=1444865654"",""articles_with_PRISMA_reasons!W2:W2113""), $A975=IMPORTRANGE(""https://docs.google.com/"&amp;"spreadsheets/d/1qpEmbGH0JjaJbUdp21-y2cPbobDbMjr09BbtdKROZWc/edit#gid=1444865654"",""articles_with_PRISMA_reasons!B2:B2113""))&gt;=2,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$A975=IMPORTRANGE(""https://docs.google.com/spreadsheets/d/1qpEmbGH0JjaJbUdp21-y2cPbobDbMjr09BbtdKROZWc/edit#gid=1444865654"",""articles_with_PRISMA_reasons!B2:B2113""))&lt;2),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$A975=IMPORTRANGE(""https://docs.google.com/spreadsheets/d/1qpEmbGH0JjaJbUdp21-y2cPbobDbMjr09BbtdKRO"&amp;"ZWc/edit#gid=1444865654"",""articles_with_PRISMA_reasons!B2:B2113""))&lt;2,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$A975=IMPOR"&amp;"TRANGE(""https://docs.google.com/spreadsheets/d/1qpEmbGH0JjaJbUdp21-y2cPbobDbMjr09BbtdKROZWc/edit#gid=1444865654"",""articles_with_PRISMA_reasons!B2:B2113""))&gt;=2),
""Exclude""
)"),"Exclude")</f>
        <v>Exclude</v>
      </c>
      <c r="F975" s="5" t="str">
        <f>IFERROR(__xludf.DUMMYFUNCTION("IFS(
E975=""Exclude"",""Exclude"",
AND(
COUNTIF(
IMPORTRANGE(""https://docs.google.com/spreadsheets/d/1kGrh75X1cNR1D7_FcY9zMnHP8iPO4M5RCRjy6nZY0TY/edit#gid=0"",""Table 1: Study characteristics!B4:B171""),A975)&gt;0,
COUNTIF(Studies!$A$2:$A$85,FILTER(IMPORTRA"&amp;"NGE(""https://docs.google.com/spreadsheets/d/1kGrh75X1cNR1D7_FcY9zMnHP8iPO4M5RCRjy6nZY0TY/edit#gid=0"",""Table 1: Study characteristics!A4:A171""), $A975=IMPORTRANGE(""https://docs.google.com/spreadsheets/d/1kGrh75X1cNR1D7_FcY9zMnHP8iPO4M5RCRjy6nZY0TY/edi"&amp;"t#gid=0"",""Table 1: Study characteristics!B4:B171"")))&gt;0
),
""Include""
)"),"Exclude")</f>
        <v>Exclude</v>
      </c>
      <c r="G975" s="5" t="str">
        <f>IFERROR(__xludf.DUMMYFUNCTION("IFS(
D975=""Exclude"",
FILTER(IMPORTRANGE(""https://docs.google.com/spreadsheets/d/1BJSV3WBYJGRhQ6zExamkszQ5VutGIcaQqmbD9ZTVXMQ/edit#gid=1251630045"",""articles_with_PRISMA_reasons!AB2:AB2113""), $A975=IMPORTRANGE(""https://docs.google.com/spreadsheets/d/"&amp;"1BJSV3WBYJGRhQ6zExamkszQ5VutGIcaQqmbD9ZTVXMQ/edit#gid=1251630045"",""articles_with_PRISMA_reasons!B2:B2113"")),
E975=""Exclude"",
FILTER(IMPORTRANGE(""https://docs.google.com/spreadsheets/d/1qpEmbGH0JjaJbUdp21-y2cPbobDbMjr09BbtdKROZWc/edit#gid=1444865654"&amp;""",""articles_with_PRISMA_reasons!Z2:Z2113""), $A975=IMPORTRANGE(""https://docs.google.com/spreadsheets/d/1qpEmbGH0JjaJbUdp21-y2cPbobDbMjr09BbtdKROZWc/edit#gid=1444865654"",""articles_with_PRISMA_reasons!B2:B2113"")),F975
=""Include"",FILTER(IMPORTRANGE("&amp;"""https://docs.google.com/spreadsheets/d/1kGrh75X1cNR1D7_FcY9zMnHP8iPO4M5RCRjy6nZY0TY/edit#gid=0"",""Table 1: Study characteristics!A4:A171""), $A975=IMPORTRANGE(""https://docs.google.com/spreadsheets/d/1kGrh75X1cNR1D7_FcY9zMnHP8iPO4M5RCRjy6nZY0TY/edit#gi"&amp;"d=0"",""Table 1: Study characteristics!B4:B171""))
)"),"wrong population")</f>
        <v>wrong population</v>
      </c>
    </row>
    <row r="976">
      <c r="A976" s="4" t="str">
        <f>IFERROR(__xludf.DUMMYFUNCTION("""COMPUTED_VALUE"""),"Infant hydrocephalus in sub-Saharan Africa: The reality on the Tanzanian side of the lake")</f>
        <v>Infant hydrocephalus in sub-Saharan Africa: The reality on the Tanzanian side of the lake</v>
      </c>
      <c r="B976" s="5" t="str">
        <f>IFERROR(__xludf.DUMMYFUNCTION("LEFT(FILTER(IMPORTRANGE(""https://docs.google.com/spreadsheets/d/1BJSV3WBYJGRhQ6zExamkszQ5VutGIcaQqmbD9ZTVXMQ/edit#gid=1251630045"",""articles_with_PRISMA_reasons!K2:K2113""), $A976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$A976=IMPORTRANGE(""https://docs.google.com/spreadsheets/d/1BJSV3WBYJGRhQ6zExamkszQ5VutGIcaQqmbD9ZTVXMQ/edit#gid=1251630045"",""articles_with_PRISMA_reasons!B2:B2113"")))-1)"),"Colombe")</f>
        <v>Colombe</v>
      </c>
      <c r="C976" s="6">
        <f>IFERROR(__xludf.DUMMYFUNCTION("FILTER(IMPORTRANGE(""https://docs.google.com/spreadsheets/d/1BJSV3WBYJGRhQ6zExamkszQ5VutGIcaQqmbD9ZTVXMQ/edit#gid=1251630045"",""articles_with_PRISMA_reasons!C2:C2113""), $A976=IMPORTRANGE(""https://docs.google.com/spreadsheets/d/1BJSV3WBYJGRhQ6zExamkszQ5"&amp;"VutGIcaQqmbD9ZTVXMQ/edit#gid=1251630045"",""articles_with_PRISMA_reasons!B2:B2113""))"),2017.0)</f>
        <v>2017</v>
      </c>
      <c r="D976" s="5" t="str">
        <f>IFERROR(__xludf.DUMMYFUNCTION("IFS(AND(
FILTER(IMPORTRANGE(""https://docs.google.com/spreadsheets/d/1BJSV3WBYJGRhQ6zExamkszQ5VutGIcaQqmbD9ZTVXMQ/edit#gid=1251630045"",""articles_with_PRISMA_reasons!Y2:Y2113""), $A976=IMPORTRANGE(""https://docs.google.com/spreadsheets/d/1BJSV3WBYJGRhQ6z"&amp;"ExamkszQ5VutGIcaQqmbD9ZTVXMQ/edit#gid=1251630045"",""articles_with_PRISMA_reasons!B2:B2113""))&gt;=2,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$A976=IMPORTRANGE(""https://docs.google.com/spreadsheets/d/1BJSV3WBYJGRhQ6zExamkszQ5VutGIcaQqmbD9ZTVXMQ/edit#gid=1251630045"",""articles_with_PRISMA_reasons!B2:B2113""))&lt;2),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$A976=IMPORTRANGE(""https://docs.google.com/spreadsheets/d/1BJSV3WBYJGRhQ6zExamkszQ5VutGIcaQqmbD9ZTVXMQ/edit#gid=1251630045"",""arti"&amp;"cles_with_PRISMA_reasons!B2:B2113""))&lt;2,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$A976=IMPORTRANGE(""https://docs.google.com"&amp;"/spreadsheets/d/1BJSV3WBYJGRhQ6zExamkszQ5VutGIcaQqmbD9ZTVXMQ/edit#gid=1251630045"",""articles_with_PRISMA_reasons!B2:B2113""))&gt;=2),
""Exclude""
)"),"Include")</f>
        <v>Include</v>
      </c>
      <c r="E976" s="5" t="str">
        <f>IFERROR(__xludf.DUMMYFUNCTION("IFS(
D976=""Exclude"",""Exclude"",
AND(
FILTER(IMPORTRANGE(""https://docs.google.com/spreadsheets/d/1qpEmbGH0JjaJbUdp21-y2cPbobDbMjr09BbtdKROZWc/edit#gid=1444865654"",""articles_with_PRISMA_reasons!W2:W2113""), $A976=IMPORTRANGE(""https://docs.google.com/"&amp;"spreadsheets/d/1qpEmbGH0JjaJbUdp21-y2cPbobDbMjr09BbtdKROZWc/edit#gid=1444865654"",""articles_with_PRISMA_reasons!B2:B2113""))&gt;=2,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$A976=IMPORTRANGE(""https://docs.google.com/spreadsheets/d/1qpEmbGH0JjaJbUdp21-y2cPbobDbMjr09BbtdKROZWc/edit#gid=1444865654"",""articles_with_PRISMA_reasons!B2:B2113""))&lt;2),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$A976=IMPORTRANGE(""https://docs.google.com/spreadsheets/d/1qpEmbGH0JjaJbUdp21-y2cPbobDbMjr09BbtdKRO"&amp;"ZWc/edit#gid=1444865654"",""articles_with_PRISMA_reasons!B2:B2113""))&lt;2,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$A976=IMPOR"&amp;"TRANGE(""https://docs.google.com/spreadsheets/d/1qpEmbGH0JjaJbUdp21-y2cPbobDbMjr09BbtdKROZWc/edit#gid=1444865654"",""articles_with_PRISMA_reasons!B2:B2113""))&gt;=2),
""Exclude""
)"),"Include")</f>
        <v>Include</v>
      </c>
      <c r="F976" s="2" t="s">
        <v>8</v>
      </c>
      <c r="G976" s="2" t="s">
        <v>17</v>
      </c>
    </row>
    <row r="977">
      <c r="A977" s="4" t="str">
        <f>IFERROR(__xludf.DUMMYFUNCTION("""COMPUTED_VALUE"""),"Infantile esotropia: Results in the neurologic impaired and 'normal' child at NCMH (six years)")</f>
        <v>Infantile esotropia: Results in the neurologic impaired and 'normal' child at NCMH (six years)</v>
      </c>
      <c r="B977" s="5" t="str">
        <f>IFERROR(__xludf.DUMMYFUNCTION("LEFT(FILTER(IMPORTRANGE(""https://docs.google.com/spreadsheets/d/1BJSV3WBYJGRhQ6zExamkszQ5VutGIcaQqmbD9ZTVXMQ/edit#gid=1251630045"",""articles_with_PRISMA_reasons!K2:K2113""), $A977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$A977=IMPORTRANGE(""https://docs.google.com/spreadsheets/d/1BJSV3WBYJGRhQ6zExamkszQ5VutGIcaQqmbD9ZTVXMQ/edit#gid=1251630045"",""articles_with_PRISMA_reasons!B2:B2113"")))-1)"),"Holman")</f>
        <v>Holman</v>
      </c>
      <c r="C977" s="6">
        <f>IFERROR(__xludf.DUMMYFUNCTION("FILTER(IMPORTRANGE(""https://docs.google.com/spreadsheets/d/1BJSV3WBYJGRhQ6zExamkszQ5VutGIcaQqmbD9ZTVXMQ/edit#gid=1251630045"",""articles_with_PRISMA_reasons!C2:C2113""), $A977=IMPORTRANGE(""https://docs.google.com/spreadsheets/d/1BJSV3WBYJGRhQ6zExamkszQ5"&amp;"VutGIcaQqmbD9ZTVXMQ/edit#gid=1251630045"",""articles_with_PRISMA_reasons!B2:B2113""))"),1986.0)</f>
        <v>1986</v>
      </c>
      <c r="D977" s="5" t="str">
        <f>IFERROR(__xludf.DUMMYFUNCTION("IFS(AND(
FILTER(IMPORTRANGE(""https://docs.google.com/spreadsheets/d/1BJSV3WBYJGRhQ6zExamkszQ5VutGIcaQqmbD9ZTVXMQ/edit#gid=1251630045"",""articles_with_PRISMA_reasons!Y2:Y2113""), $A977=IMPORTRANGE(""https://docs.google.com/spreadsheets/d/1BJSV3WBYJGRhQ6z"&amp;"ExamkszQ5VutGIcaQqmbD9ZTVXMQ/edit#gid=1251630045"",""articles_with_PRISMA_reasons!B2:B2113""))&gt;=2,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$A977=IMPORTRANGE(""https://docs.google.com/spreadsheets/d/1BJSV3WBYJGRhQ6zExamkszQ5VutGIcaQqmbD9ZTVXMQ/edit#gid=1251630045"",""articles_with_PRISMA_reasons!B2:B2113""))&lt;2),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$A977=IMPORTRANGE(""https://docs.google.com/spreadsheets/d/1BJSV3WBYJGRhQ6zExamkszQ5VutGIcaQqmbD9ZTVXMQ/edit#gid=1251630045"",""arti"&amp;"cles_with_PRISMA_reasons!B2:B2113""))&lt;2,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$A977=IMPORTRANGE(""https://docs.google.com"&amp;"/spreadsheets/d/1BJSV3WBYJGRhQ6zExamkszQ5VutGIcaQqmbD9ZTVXMQ/edit#gid=1251630045"",""articles_with_PRISMA_reasons!B2:B2113""))&gt;=2),
""Exclude""
)"),"Exclude")</f>
        <v>Exclude</v>
      </c>
      <c r="E977" s="5" t="str">
        <f>IFERROR(__xludf.DUMMYFUNCTION("IFS(
D977=""Exclude"",""Exclude"",
AND(
FILTER(IMPORTRANGE(""https://docs.google.com/spreadsheets/d/1qpEmbGH0JjaJbUdp21-y2cPbobDbMjr09BbtdKROZWc/edit#gid=1444865654"",""articles_with_PRISMA_reasons!W2:W2113""), $A977=IMPORTRANGE(""https://docs.google.com/"&amp;"spreadsheets/d/1qpEmbGH0JjaJbUdp21-y2cPbobDbMjr09BbtdKROZWc/edit#gid=1444865654"",""articles_with_PRISMA_reasons!B2:B2113""))&gt;=2,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$A977=IMPORTRANGE(""https://docs.google.com/spreadsheets/d/1qpEmbGH0JjaJbUdp21-y2cPbobDbMjr09BbtdKROZWc/edit#gid=1444865654"",""articles_with_PRISMA_reasons!B2:B2113""))&lt;2),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$A977=IMPORTRANGE(""https://docs.google.com/spreadsheets/d/1qpEmbGH0JjaJbUdp21-y2cPbobDbMjr09BbtdKRO"&amp;"ZWc/edit#gid=1444865654"",""articles_with_PRISMA_reasons!B2:B2113""))&lt;2,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$A977=IMPOR"&amp;"TRANGE(""https://docs.google.com/spreadsheets/d/1qpEmbGH0JjaJbUdp21-y2cPbobDbMjr09BbtdKROZWc/edit#gid=1444865654"",""articles_with_PRISMA_reasons!B2:B2113""))&gt;=2),
""Exclude""
)"),"Exclude")</f>
        <v>Exclude</v>
      </c>
      <c r="F977" s="5" t="str">
        <f>IFERROR(__xludf.DUMMYFUNCTION("IFS(
E977=""Exclude"",""Exclude"",
AND(
COUNTIF(
IMPORTRANGE(""https://docs.google.com/spreadsheets/d/1kGrh75X1cNR1D7_FcY9zMnHP8iPO4M5RCRjy6nZY0TY/edit#gid=0"",""Table 1: Study characteristics!B4:B171""),A977)&gt;0,
COUNTIF(Studies!$A$2:$A$85,FILTER(IMPORTRA"&amp;"NGE(""https://docs.google.com/spreadsheets/d/1kGrh75X1cNR1D7_FcY9zMnHP8iPO4M5RCRjy6nZY0TY/edit#gid=0"",""Table 1: Study characteristics!A4:A171""), $A977=IMPORTRANGE(""https://docs.google.com/spreadsheets/d/1kGrh75X1cNR1D7_FcY9zMnHP8iPO4M5RCRjy6nZY0TY/edi"&amp;"t#gid=0"",""Table 1: Study characteristics!B4:B171"")))&gt;0
),
""Include""
)"),"Exclude")</f>
        <v>Exclude</v>
      </c>
      <c r="G977" s="5" t="str">
        <f>IFERROR(__xludf.DUMMYFUNCTION("IFS(
D977=""Exclude"",
FILTER(IMPORTRANGE(""https://docs.google.com/spreadsheets/d/1BJSV3WBYJGRhQ6zExamkszQ5VutGIcaQqmbD9ZTVXMQ/edit#gid=1251630045"",""articles_with_PRISMA_reasons!AB2:AB2113""), $A977=IMPORTRANGE(""https://docs.google.com/spreadsheets/d/"&amp;"1BJSV3WBYJGRhQ6zExamkszQ5VutGIcaQqmbD9ZTVXMQ/edit#gid=1251630045"",""articles_with_PRISMA_reasons!B2:B2113"")),
E977=""Exclude"",
FILTER(IMPORTRANGE(""https://docs.google.com/spreadsheets/d/1qpEmbGH0JjaJbUdp21-y2cPbobDbMjr09BbtdKROZWc/edit#gid=1444865654"&amp;""",""articles_with_PRISMA_reasons!Z2:Z2113""), $A977=IMPORTRANGE(""https://docs.google.com/spreadsheets/d/1qpEmbGH0JjaJbUdp21-y2cPbobDbMjr09BbtdKROZWc/edit#gid=1444865654"",""articles_with_PRISMA_reasons!B2:B2113"")),F977
=""Include"",FILTER(IMPORTRANGE("&amp;"""https://docs.google.com/spreadsheets/d/1kGrh75X1cNR1D7_FcY9zMnHP8iPO4M5RCRjy6nZY0TY/edit#gid=0"",""Table 1: Study characteristics!A4:A171""), $A977=IMPORTRANGE(""https://docs.google.com/spreadsheets/d/1kGrh75X1cNR1D7_FcY9zMnHP8iPO4M5RCRjy6nZY0TY/edit#gi"&amp;"d=0"",""Table 1: Study characteristics!B4:B171""))
)"),"wrong population")</f>
        <v>wrong population</v>
      </c>
    </row>
    <row r="978">
      <c r="A978" s="4" t="str">
        <f>IFERROR(__xludf.DUMMYFUNCTION("""COMPUTED_VALUE"""),"Infantile hydrocephalus: long-term results of surgical therapy")</f>
        <v>Infantile hydrocephalus: long-term results of surgical therapy</v>
      </c>
      <c r="B978" s="5" t="str">
        <f>IFERROR(__xludf.DUMMYFUNCTION("LEFT(FILTER(IMPORTRANGE(""https://docs.google.com/spreadsheets/d/1BJSV3WBYJGRhQ6zExamkszQ5VutGIcaQqmbD9ZTVXMQ/edit#gid=1251630045"",""articles_with_PRISMA_reasons!K2:K2113""), $A978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$A978=IMPORTRANGE(""https://docs.google.com/spreadsheets/d/1BJSV3WBYJGRhQ6zExamkszQ5VutGIcaQqmbD9ZTVXMQ/edit#gid=1251630045"",""articles_with_PRISMA_reasons!B2:B2113"")))-1)"),"Amacher")</f>
        <v>Amacher</v>
      </c>
      <c r="C978" s="6">
        <f>IFERROR(__xludf.DUMMYFUNCTION("FILTER(IMPORTRANGE(""https://docs.google.com/spreadsheets/d/1BJSV3WBYJGRhQ6zExamkszQ5VutGIcaQqmbD9ZTVXMQ/edit#gid=1251630045"",""articles_with_PRISMA_reasons!C2:C2113""), $A978=IMPORTRANGE(""https://docs.google.com/spreadsheets/d/1BJSV3WBYJGRhQ6zExamkszQ5"&amp;"VutGIcaQqmbD9ZTVXMQ/edit#gid=1251630045"",""articles_with_PRISMA_reasons!B2:B2113""))"),1984.0)</f>
        <v>1984</v>
      </c>
      <c r="D978" s="5" t="str">
        <f>IFERROR(__xludf.DUMMYFUNCTION("IFS(AND(
FILTER(IMPORTRANGE(""https://docs.google.com/spreadsheets/d/1BJSV3WBYJGRhQ6zExamkszQ5VutGIcaQqmbD9ZTVXMQ/edit#gid=1251630045"",""articles_with_PRISMA_reasons!Y2:Y2113""), $A978=IMPORTRANGE(""https://docs.google.com/spreadsheets/d/1BJSV3WBYJGRhQ6z"&amp;"ExamkszQ5VutGIcaQqmbD9ZTVXMQ/edit#gid=1251630045"",""articles_with_PRISMA_reasons!B2:B2113""))&gt;=2,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$A978=IMPORTRANGE(""https://docs.google.com/spreadsheets/d/1BJSV3WBYJGRhQ6zExamkszQ5VutGIcaQqmbD9ZTVXMQ/edit#gid=1251630045"",""articles_with_PRISMA_reasons!B2:B2113""))&lt;2),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$A978=IMPORTRANGE(""https://docs.google.com/spreadsheets/d/1BJSV3WBYJGRhQ6zExamkszQ5VutGIcaQqmbD9ZTVXMQ/edit#gid=1251630045"",""arti"&amp;"cles_with_PRISMA_reasons!B2:B2113""))&lt;2,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$A978=IMPORTRANGE(""https://docs.google.com"&amp;"/spreadsheets/d/1BJSV3WBYJGRhQ6zExamkszQ5VutGIcaQqmbD9ZTVXMQ/edit#gid=1251630045"",""articles_with_PRISMA_reasons!B2:B2113""))&gt;=2),
""Exclude""
)"),"Exclude")</f>
        <v>Exclude</v>
      </c>
      <c r="E978" s="5" t="str">
        <f>IFERROR(__xludf.DUMMYFUNCTION("IFS(
D978=""Exclude"",""Exclude"",
AND(
FILTER(IMPORTRANGE(""https://docs.google.com/spreadsheets/d/1qpEmbGH0JjaJbUdp21-y2cPbobDbMjr09BbtdKROZWc/edit#gid=1444865654"",""articles_with_PRISMA_reasons!W2:W2113""), $A978=IMPORTRANGE(""https://docs.google.com/"&amp;"spreadsheets/d/1qpEmbGH0JjaJbUdp21-y2cPbobDbMjr09BbtdKROZWc/edit#gid=1444865654"",""articles_with_PRISMA_reasons!B2:B2113""))&gt;=2,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$A978=IMPORTRANGE(""https://docs.google.com/spreadsheets/d/1qpEmbGH0JjaJbUdp21-y2cPbobDbMjr09BbtdKROZWc/edit#gid=1444865654"",""articles_with_PRISMA_reasons!B2:B2113""))&lt;2),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$A978=IMPORTRANGE(""https://docs.google.com/spreadsheets/d/1qpEmbGH0JjaJbUdp21-y2cPbobDbMjr09BbtdKRO"&amp;"ZWc/edit#gid=1444865654"",""articles_with_PRISMA_reasons!B2:B2113""))&lt;2,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$A978=IMPOR"&amp;"TRANGE(""https://docs.google.com/spreadsheets/d/1qpEmbGH0JjaJbUdp21-y2cPbobDbMjr09BbtdKROZWc/edit#gid=1444865654"",""articles_with_PRISMA_reasons!B2:B2113""))&gt;=2),
""Exclude""
)"),"Exclude")</f>
        <v>Exclude</v>
      </c>
      <c r="F978" s="5" t="str">
        <f>IFERROR(__xludf.DUMMYFUNCTION("IFS(
E978=""Exclude"",""Exclude"",
AND(
COUNTIF(
IMPORTRANGE(""https://docs.google.com/spreadsheets/d/1kGrh75X1cNR1D7_FcY9zMnHP8iPO4M5RCRjy6nZY0TY/edit#gid=0"",""Table 1: Study characteristics!B4:B171""),A978)&gt;0,
COUNTIF(Studies!$A$2:$A$85,FILTER(IMPORTRA"&amp;"NGE(""https://docs.google.com/spreadsheets/d/1kGrh75X1cNR1D7_FcY9zMnHP8iPO4M5RCRjy6nZY0TY/edit#gid=0"",""Table 1: Study characteristics!A4:A171""), $A978=IMPORTRANGE(""https://docs.google.com/spreadsheets/d/1kGrh75X1cNR1D7_FcY9zMnHP8iPO4M5RCRjy6nZY0TY/edi"&amp;"t#gid=0"",""Table 1: Study characteristics!B4:B171"")))&gt;0
),
""Include""
)"),"Exclude")</f>
        <v>Exclude</v>
      </c>
      <c r="G978" s="5" t="str">
        <f>IFERROR(__xludf.DUMMYFUNCTION("IFS(
D978=""Exclude"",
FILTER(IMPORTRANGE(""https://docs.google.com/spreadsheets/d/1BJSV3WBYJGRhQ6zExamkszQ5VutGIcaQqmbD9ZTVXMQ/edit#gid=1251630045"",""articles_with_PRISMA_reasons!AB2:AB2113""), $A978=IMPORTRANGE(""https://docs.google.com/spreadsheets/d/"&amp;"1BJSV3WBYJGRhQ6zExamkszQ5VutGIcaQqmbD9ZTVXMQ/edit#gid=1251630045"",""articles_with_PRISMA_reasons!B2:B2113"")),
E978=""Exclude"",
FILTER(IMPORTRANGE(""https://docs.google.com/spreadsheets/d/1qpEmbGH0JjaJbUdp21-y2cPbobDbMjr09BbtdKROZWc/edit#gid=1444865654"&amp;""",""articles_with_PRISMA_reasons!Z2:Z2113""), $A978=IMPORTRANGE(""https://docs.google.com/spreadsheets/d/1qpEmbGH0JjaJbUdp21-y2cPbobDbMjr09BbtdKROZWc/edit#gid=1444865654"",""articles_with_PRISMA_reasons!B2:B2113"")),F978
=""Include"",FILTER(IMPORTRANGE("&amp;"""https://docs.google.com/spreadsheets/d/1kGrh75X1cNR1D7_FcY9zMnHP8iPO4M5RCRjy6nZY0TY/edit#gid=0"",""Table 1: Study characteristics!A4:A171""), $A978=IMPORTRANGE(""https://docs.google.com/spreadsheets/d/1kGrh75X1cNR1D7_FcY9zMnHP8iPO4M5RCRjy6nZY0TY/edit#gi"&amp;"d=0"",""Table 1: Study characteristics!B4:B171""))
)"),"wrong population")</f>
        <v>wrong population</v>
      </c>
    </row>
    <row r="979">
      <c r="A979" s="4" t="str">
        <f>IFERROR(__xludf.DUMMYFUNCTION("""COMPUTED_VALUE"""),"Infants with a congenital anomaly and the concentration of Mo, As, Mn, Zn and Cu in the mother's milk")</f>
        <v>Infants with a congenital anomaly and the concentration of Mo, As, Mn, Zn and Cu in the mother's milk</v>
      </c>
      <c r="B979" s="5" t="str">
        <f>IFERROR(__xludf.DUMMYFUNCTION("LEFT(FILTER(IMPORTRANGE(""https://docs.google.com/spreadsheets/d/1BJSV3WBYJGRhQ6zExamkszQ5VutGIcaQqmbD9ZTVXMQ/edit#gid=1251630045"",""articles_with_PRISMA_reasons!K2:K2113""), $A979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$A979=IMPORTRANGE(""https://docs.google.com/spreadsheets/d/1BJSV3WBYJGRhQ6zExamkszQ5VutGIcaQqmbD9ZTVXMQ/edit#gid=1251630045"",""articles_with_PRISMA_reasons!B2:B2113"")))-1)"),"Dang")</f>
        <v>Dang</v>
      </c>
      <c r="C979" s="6">
        <f>IFERROR(__xludf.DUMMYFUNCTION("FILTER(IMPORTRANGE(""https://docs.google.com/spreadsheets/d/1BJSV3WBYJGRhQ6zExamkszQ5VutGIcaQqmbD9ZTVXMQ/edit#gid=1251630045"",""articles_with_PRISMA_reasons!C2:C2113""), $A979=IMPORTRANGE(""https://docs.google.com/spreadsheets/d/1BJSV3WBYJGRhQ6zExamkszQ5"&amp;"VutGIcaQqmbD9ZTVXMQ/edit#gid=1251630045"",""articles_with_PRISMA_reasons!B2:B2113""))"),1983.0)</f>
        <v>1983</v>
      </c>
      <c r="D979" s="5" t="str">
        <f>IFERROR(__xludf.DUMMYFUNCTION("IFS(AND(
FILTER(IMPORTRANGE(""https://docs.google.com/spreadsheets/d/1BJSV3WBYJGRhQ6zExamkszQ5VutGIcaQqmbD9ZTVXMQ/edit#gid=1251630045"",""articles_with_PRISMA_reasons!Y2:Y2113""), $A979=IMPORTRANGE(""https://docs.google.com/spreadsheets/d/1BJSV3WBYJGRhQ6z"&amp;"ExamkszQ5VutGIcaQqmbD9ZTVXMQ/edit#gid=1251630045"",""articles_with_PRISMA_reasons!B2:B2113""))&gt;=2,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$A979=IMPORTRANGE(""https://docs.google.com/spreadsheets/d/1BJSV3WBYJGRhQ6zExamkszQ5VutGIcaQqmbD9ZTVXMQ/edit#gid=1251630045"",""articles_with_PRISMA_reasons!B2:B2113""))&lt;2),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$A979=IMPORTRANGE(""https://docs.google.com/spreadsheets/d/1BJSV3WBYJGRhQ6zExamkszQ5VutGIcaQqmbD9ZTVXMQ/edit#gid=1251630045"",""arti"&amp;"cles_with_PRISMA_reasons!B2:B2113""))&lt;2,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$A979=IMPORTRANGE(""https://docs.google.com"&amp;"/spreadsheets/d/1BJSV3WBYJGRhQ6zExamkszQ5VutGIcaQqmbD9ZTVXMQ/edit#gid=1251630045"",""articles_with_PRISMA_reasons!B2:B2113""))&gt;=2),
""Exclude""
)"),"Exclude")</f>
        <v>Exclude</v>
      </c>
      <c r="E979" s="5" t="str">
        <f>IFERROR(__xludf.DUMMYFUNCTION("IFS(
D979=""Exclude"",""Exclude"",
AND(
FILTER(IMPORTRANGE(""https://docs.google.com/spreadsheets/d/1qpEmbGH0JjaJbUdp21-y2cPbobDbMjr09BbtdKROZWc/edit#gid=1444865654"",""articles_with_PRISMA_reasons!W2:W2113""), $A979=IMPORTRANGE(""https://docs.google.com/"&amp;"spreadsheets/d/1qpEmbGH0JjaJbUdp21-y2cPbobDbMjr09BbtdKROZWc/edit#gid=1444865654"",""articles_with_PRISMA_reasons!B2:B2113""))&gt;=2,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$A979=IMPORTRANGE(""https://docs.google.com/spreadsheets/d/1qpEmbGH0JjaJbUdp21-y2cPbobDbMjr09BbtdKROZWc/edit#gid=1444865654"",""articles_with_PRISMA_reasons!B2:B2113""))&lt;2),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$A979=IMPORTRANGE(""https://docs.google.com/spreadsheets/d/1qpEmbGH0JjaJbUdp21-y2cPbobDbMjr09BbtdKRO"&amp;"ZWc/edit#gid=1444865654"",""articles_with_PRISMA_reasons!B2:B2113""))&lt;2,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$A979=IMPOR"&amp;"TRANGE(""https://docs.google.com/spreadsheets/d/1qpEmbGH0JjaJbUdp21-y2cPbobDbMjr09BbtdKROZWc/edit#gid=1444865654"",""articles_with_PRISMA_reasons!B2:B2113""))&gt;=2),
""Exclude""
)"),"Exclude")</f>
        <v>Exclude</v>
      </c>
      <c r="F979" s="5" t="str">
        <f>IFERROR(__xludf.DUMMYFUNCTION("IFS(
E979=""Exclude"",""Exclude"",
AND(
COUNTIF(
IMPORTRANGE(""https://docs.google.com/spreadsheets/d/1kGrh75X1cNR1D7_FcY9zMnHP8iPO4M5RCRjy6nZY0TY/edit#gid=0"",""Table 1: Study characteristics!B4:B171""),A979)&gt;0,
COUNTIF(Studies!$A$2:$A$85,FILTER(IMPORTRA"&amp;"NGE(""https://docs.google.com/spreadsheets/d/1kGrh75X1cNR1D7_FcY9zMnHP8iPO4M5RCRjy6nZY0TY/edit#gid=0"",""Table 1: Study characteristics!A4:A171""), $A979=IMPORTRANGE(""https://docs.google.com/spreadsheets/d/1kGrh75X1cNR1D7_FcY9zMnHP8iPO4M5RCRjy6nZY0TY/edi"&amp;"t#gid=0"",""Table 1: Study characteristics!B4:B171"")))&gt;0
),
""Include""
)"),"Exclude")</f>
        <v>Exclude</v>
      </c>
      <c r="G979" s="5" t="str">
        <f>IFERROR(__xludf.DUMMYFUNCTION("IFS(
D979=""Exclude"",
FILTER(IMPORTRANGE(""https://docs.google.com/spreadsheets/d/1BJSV3WBYJGRhQ6zExamkszQ5VutGIcaQqmbD9ZTVXMQ/edit#gid=1251630045"",""articles_with_PRISMA_reasons!AB2:AB2113""), $A979=IMPORTRANGE(""https://docs.google.com/spreadsheets/d/"&amp;"1BJSV3WBYJGRhQ6zExamkszQ5VutGIcaQqmbD9ZTVXMQ/edit#gid=1251630045"",""articles_with_PRISMA_reasons!B2:B2113"")),
E979=""Exclude"",
FILTER(IMPORTRANGE(""https://docs.google.com/spreadsheets/d/1qpEmbGH0JjaJbUdp21-y2cPbobDbMjr09BbtdKROZWc/edit#gid=1444865654"&amp;""",""articles_with_PRISMA_reasons!Z2:Z2113""), $A979=IMPORTRANGE(""https://docs.google.com/spreadsheets/d/1qpEmbGH0JjaJbUdp21-y2cPbobDbMjr09BbtdKROZWc/edit#gid=1444865654"",""articles_with_PRISMA_reasons!B2:B2113"")),F979
=""Include"",FILTER(IMPORTRANGE("&amp;"""https://docs.google.com/spreadsheets/d/1kGrh75X1cNR1D7_FcY9zMnHP8iPO4M5RCRjy6nZY0TY/edit#gid=0"",""Table 1: Study characteristics!A4:A171""), $A979=IMPORTRANGE(""https://docs.google.com/spreadsheets/d/1kGrh75X1cNR1D7_FcY9zMnHP8iPO4M5RCRjy6nZY0TY/edit#gi"&amp;"d=0"",""Table 1: Study characteristics!B4:B171""))
)"),"wrong population")</f>
        <v>wrong population</v>
      </c>
    </row>
    <row r="980">
      <c r="A980" s="4" t="str">
        <f>IFERROR(__xludf.DUMMYFUNCTION("""COMPUTED_VALUE"""),"Infants with myelomeningocele: visual recognition memory and sensorimotor abilities")</f>
        <v>Infants with myelomeningocele: visual recognition memory and sensorimotor abilities</v>
      </c>
      <c r="B980" s="5" t="str">
        <f>IFERROR(__xludf.DUMMYFUNCTION("LEFT(FILTER(IMPORTRANGE(""https://docs.google.com/spreadsheets/d/1BJSV3WBYJGRhQ6zExamkszQ5VutGIcaQqmbD9ZTVXMQ/edit#gid=1251630045"",""articles_with_PRISMA_reasons!K2:K2113""), $A980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$A980=IMPORTRANGE(""https://docs.google.com/spreadsheets/d/1BJSV3WBYJGRhQ6zExamkszQ5VutGIcaQqmbD9ZTVXMQ/edit#gid=1251630045"",""articles_with_PRISMA_reasons!B2:B2113"")))-1)"),"Morrow")</f>
        <v>Morrow</v>
      </c>
      <c r="C980" s="6">
        <f>IFERROR(__xludf.DUMMYFUNCTION("FILTER(IMPORTRANGE(""https://docs.google.com/spreadsheets/d/1BJSV3WBYJGRhQ6zExamkszQ5VutGIcaQqmbD9ZTVXMQ/edit#gid=1251630045"",""articles_with_PRISMA_reasons!C2:C2113""), $A980=IMPORTRANGE(""https://docs.google.com/spreadsheets/d/1BJSV3WBYJGRhQ6zExamkszQ5"&amp;"VutGIcaQqmbD9ZTVXMQ/edit#gid=1251630045"",""articles_with_PRISMA_reasons!B2:B2113""))"),1992.0)</f>
        <v>1992</v>
      </c>
      <c r="D980" s="5" t="str">
        <f>IFERROR(__xludf.DUMMYFUNCTION("IFS(AND(
FILTER(IMPORTRANGE(""https://docs.google.com/spreadsheets/d/1BJSV3WBYJGRhQ6zExamkszQ5VutGIcaQqmbD9ZTVXMQ/edit#gid=1251630045"",""articles_with_PRISMA_reasons!Y2:Y2113""), $A980=IMPORTRANGE(""https://docs.google.com/spreadsheets/d/1BJSV3WBYJGRhQ6z"&amp;"ExamkszQ5VutGIcaQqmbD9ZTVXMQ/edit#gid=1251630045"",""articles_with_PRISMA_reasons!B2:B2113""))&gt;=2,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$A980=IMPORTRANGE(""https://docs.google.com/spreadsheets/d/1BJSV3WBYJGRhQ6zExamkszQ5VutGIcaQqmbD9ZTVXMQ/edit#gid=1251630045"",""articles_with_PRISMA_reasons!B2:B2113""))&lt;2),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$A980=IMPORTRANGE(""https://docs.google.com/spreadsheets/d/1BJSV3WBYJGRhQ6zExamkszQ5VutGIcaQqmbD9ZTVXMQ/edit#gid=1251630045"",""arti"&amp;"cles_with_PRISMA_reasons!B2:B2113""))&lt;2,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$A980=IMPORTRANGE(""https://docs.google.com"&amp;"/spreadsheets/d/1BJSV3WBYJGRhQ6zExamkszQ5VutGIcaQqmbD9ZTVXMQ/edit#gid=1251630045"",""articles_with_PRISMA_reasons!B2:B2113""))&gt;=2),
""Exclude""
)"),"Exclude")</f>
        <v>Exclude</v>
      </c>
      <c r="E980" s="5" t="str">
        <f>IFERROR(__xludf.DUMMYFUNCTION("IFS(
D980=""Exclude"",""Exclude"",
AND(
FILTER(IMPORTRANGE(""https://docs.google.com/spreadsheets/d/1qpEmbGH0JjaJbUdp21-y2cPbobDbMjr09BbtdKROZWc/edit#gid=1444865654"",""articles_with_PRISMA_reasons!W2:W2113""), $A980=IMPORTRANGE(""https://docs.google.com/"&amp;"spreadsheets/d/1qpEmbGH0JjaJbUdp21-y2cPbobDbMjr09BbtdKROZWc/edit#gid=1444865654"",""articles_with_PRISMA_reasons!B2:B2113""))&gt;=2,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$A980=IMPORTRANGE(""https://docs.google.com/spreadsheets/d/1qpEmbGH0JjaJbUdp21-y2cPbobDbMjr09BbtdKROZWc/edit#gid=1444865654"",""articles_with_PRISMA_reasons!B2:B2113""))&lt;2),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$A980=IMPORTRANGE(""https://docs.google.com/spreadsheets/d/1qpEmbGH0JjaJbUdp21-y2cPbobDbMjr09BbtdKRO"&amp;"ZWc/edit#gid=1444865654"",""articles_with_PRISMA_reasons!B2:B2113""))&lt;2,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$A980=IMPOR"&amp;"TRANGE(""https://docs.google.com/spreadsheets/d/1qpEmbGH0JjaJbUdp21-y2cPbobDbMjr09BbtdKROZWc/edit#gid=1444865654"",""articles_with_PRISMA_reasons!B2:B2113""))&gt;=2),
""Exclude""
)"),"Exclude")</f>
        <v>Exclude</v>
      </c>
      <c r="F980" s="5" t="str">
        <f>IFERROR(__xludf.DUMMYFUNCTION("IFS(
E980=""Exclude"",""Exclude"",
AND(
COUNTIF(
IMPORTRANGE(""https://docs.google.com/spreadsheets/d/1kGrh75X1cNR1D7_FcY9zMnHP8iPO4M5RCRjy6nZY0TY/edit#gid=0"",""Table 1: Study characteristics!B4:B171""),A980)&gt;0,
COUNTIF(Studies!$A$2:$A$85,FILTER(IMPORTRA"&amp;"NGE(""https://docs.google.com/spreadsheets/d/1kGrh75X1cNR1D7_FcY9zMnHP8iPO4M5RCRjy6nZY0TY/edit#gid=0"",""Table 1: Study characteristics!A4:A171""), $A980=IMPORTRANGE(""https://docs.google.com/spreadsheets/d/1kGrh75X1cNR1D7_FcY9zMnHP8iPO4M5RCRjy6nZY0TY/edi"&amp;"t#gid=0"",""Table 1: Study characteristics!B4:B171"")))&gt;0
),
""Include""
)"),"Exclude")</f>
        <v>Exclude</v>
      </c>
      <c r="G980" s="5" t="str">
        <f>IFERROR(__xludf.DUMMYFUNCTION("IFS(
D980=""Exclude"",
FILTER(IMPORTRANGE(""https://docs.google.com/spreadsheets/d/1BJSV3WBYJGRhQ6zExamkszQ5VutGIcaQqmbD9ZTVXMQ/edit#gid=1251630045"",""articles_with_PRISMA_reasons!AB2:AB2113""), $A980=IMPORTRANGE(""https://docs.google.com/spreadsheets/d/"&amp;"1BJSV3WBYJGRhQ6zExamkszQ5VutGIcaQqmbD9ZTVXMQ/edit#gid=1251630045"",""articles_with_PRISMA_reasons!B2:B2113"")),
E980=""Exclude"",
FILTER(IMPORTRANGE(""https://docs.google.com/spreadsheets/d/1qpEmbGH0JjaJbUdp21-y2cPbobDbMjr09BbtdKROZWc/edit#gid=1444865654"&amp;""",""articles_with_PRISMA_reasons!Z2:Z2113""), $A980=IMPORTRANGE(""https://docs.google.com/spreadsheets/d/1qpEmbGH0JjaJbUdp21-y2cPbobDbMjr09BbtdKROZWc/edit#gid=1444865654"",""articles_with_PRISMA_reasons!B2:B2113"")),F980
=""Include"",FILTER(IMPORTRANGE("&amp;"""https://docs.google.com/spreadsheets/d/1kGrh75X1cNR1D7_FcY9zMnHP8iPO4M5RCRjy6nZY0TY/edit#gid=0"",""Table 1: Study characteristics!A4:A171""), $A980=IMPORTRANGE(""https://docs.google.com/spreadsheets/d/1kGrh75X1cNR1D7_FcY9zMnHP8iPO4M5RCRjy6nZY0TY/edit#gi"&amp;"d=0"",""Table 1: Study characteristics!B4:B171""))
)"),"wrong population")</f>
        <v>wrong population</v>
      </c>
    </row>
    <row r="981">
      <c r="A981" s="4" t="str">
        <f>IFERROR(__xludf.DUMMYFUNCTION("""COMPUTED_VALUE"""),"Infection rate with application of an antibiotic-impregnated catheter for shunt implantation in children a retrospective analysis")</f>
        <v>Infection rate with application of an antibiotic-impregnated catheter for shunt implantation in children a retrospective analysis</v>
      </c>
      <c r="B981" s="5" t="str">
        <f>IFERROR(__xludf.DUMMYFUNCTION("LEFT(FILTER(IMPORTRANGE(""https://docs.google.com/spreadsheets/d/1BJSV3WBYJGRhQ6zExamkszQ5VutGIcaQqmbD9ZTVXMQ/edit#gid=1251630045"",""articles_with_PRISMA_reasons!K2:K2113""), $A981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$A981=IMPORTRANGE(""https://docs.google.com/spreadsheets/d/1BJSV3WBYJGRhQ6zExamkszQ5VutGIcaQqmbD9ZTVXMQ/edit#gid=1251630045"",""articles_with_PRISMA_reasons!B2:B2113"")))-1)"),"Eymann")</f>
        <v>Eymann</v>
      </c>
      <c r="C981" s="6">
        <f>IFERROR(__xludf.DUMMYFUNCTION("FILTER(IMPORTRANGE(""https://docs.google.com/spreadsheets/d/1BJSV3WBYJGRhQ6zExamkszQ5VutGIcaQqmbD9ZTVXMQ/edit#gid=1251630045"",""articles_with_PRISMA_reasons!C2:C2113""), $A981=IMPORTRANGE(""https://docs.google.com/spreadsheets/d/1BJSV3WBYJGRhQ6zExamkszQ5"&amp;"VutGIcaQqmbD9ZTVXMQ/edit#gid=1251630045"",""articles_with_PRISMA_reasons!B2:B2113""))"),2009.0)</f>
        <v>2009</v>
      </c>
      <c r="D981" s="5" t="str">
        <f>IFERROR(__xludf.DUMMYFUNCTION("IFS(AND(
FILTER(IMPORTRANGE(""https://docs.google.com/spreadsheets/d/1BJSV3WBYJGRhQ6zExamkszQ5VutGIcaQqmbD9ZTVXMQ/edit#gid=1251630045"",""articles_with_PRISMA_reasons!Y2:Y2113""), $A981=IMPORTRANGE(""https://docs.google.com/spreadsheets/d/1BJSV3WBYJGRhQ6z"&amp;"ExamkszQ5VutGIcaQqmbD9ZTVXMQ/edit#gid=1251630045"",""articles_with_PRISMA_reasons!B2:B2113""))&gt;=2,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$A981=IMPORTRANGE(""https://docs.google.com/spreadsheets/d/1BJSV3WBYJGRhQ6zExamkszQ5VutGIcaQqmbD9ZTVXMQ/edit#gid=1251630045"",""articles_with_PRISMA_reasons!B2:B2113""))&lt;2),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$A981=IMPORTRANGE(""https://docs.google.com/spreadsheets/d/1BJSV3WBYJGRhQ6zExamkszQ5VutGIcaQqmbD9ZTVXMQ/edit#gid=1251630045"",""arti"&amp;"cles_with_PRISMA_reasons!B2:B2113""))&lt;2,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$A981=IMPORTRANGE(""https://docs.google.com"&amp;"/spreadsheets/d/1BJSV3WBYJGRhQ6zExamkszQ5VutGIcaQqmbD9ZTVXMQ/edit#gid=1251630045"",""articles_with_PRISMA_reasons!B2:B2113""))&gt;=2),
""Exclude""
)"),"Exclude")</f>
        <v>Exclude</v>
      </c>
      <c r="E981" s="5" t="str">
        <f>IFERROR(__xludf.DUMMYFUNCTION("IFS(
D981=""Exclude"",""Exclude"",
AND(
FILTER(IMPORTRANGE(""https://docs.google.com/spreadsheets/d/1qpEmbGH0JjaJbUdp21-y2cPbobDbMjr09BbtdKROZWc/edit#gid=1444865654"",""articles_with_PRISMA_reasons!W2:W2113""), $A981=IMPORTRANGE(""https://docs.google.com/"&amp;"spreadsheets/d/1qpEmbGH0JjaJbUdp21-y2cPbobDbMjr09BbtdKROZWc/edit#gid=1444865654"",""articles_with_PRISMA_reasons!B2:B2113""))&gt;=2,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$A981=IMPORTRANGE(""https://docs.google.com/spreadsheets/d/1qpEmbGH0JjaJbUdp21-y2cPbobDbMjr09BbtdKROZWc/edit#gid=1444865654"",""articles_with_PRISMA_reasons!B2:B2113""))&lt;2),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$A981=IMPORTRANGE(""https://docs.google.com/spreadsheets/d/1qpEmbGH0JjaJbUdp21-y2cPbobDbMjr09BbtdKRO"&amp;"ZWc/edit#gid=1444865654"",""articles_with_PRISMA_reasons!B2:B2113""))&lt;2,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$A981=IMPOR"&amp;"TRANGE(""https://docs.google.com/spreadsheets/d/1qpEmbGH0JjaJbUdp21-y2cPbobDbMjr09BbtdKROZWc/edit#gid=1444865654"",""articles_with_PRISMA_reasons!B2:B2113""))&gt;=2),
""Exclude""
)"),"Exclude")</f>
        <v>Exclude</v>
      </c>
      <c r="F981" s="5" t="str">
        <f>IFERROR(__xludf.DUMMYFUNCTION("IFS(
E981=""Exclude"",""Exclude"",
AND(
COUNTIF(
IMPORTRANGE(""https://docs.google.com/spreadsheets/d/1kGrh75X1cNR1D7_FcY9zMnHP8iPO4M5RCRjy6nZY0TY/edit#gid=0"",""Table 1: Study characteristics!B4:B171""),A981)&gt;0,
COUNTIF(Studies!$A$2:$A$85,FILTER(IMPORTRA"&amp;"NGE(""https://docs.google.com/spreadsheets/d/1kGrh75X1cNR1D7_FcY9zMnHP8iPO4M5RCRjy6nZY0TY/edit#gid=0"",""Table 1: Study characteristics!A4:A171""), $A981=IMPORTRANGE(""https://docs.google.com/spreadsheets/d/1kGrh75X1cNR1D7_FcY9zMnHP8iPO4M5RCRjy6nZY0TY/edi"&amp;"t#gid=0"",""Table 1: Study characteristics!B4:B171"")))&gt;0
),
""Include""
)"),"Exclude")</f>
        <v>Exclude</v>
      </c>
      <c r="G981" s="5" t="str">
        <f>IFERROR(__xludf.DUMMYFUNCTION("IFS(
D981=""Exclude"",
FILTER(IMPORTRANGE(""https://docs.google.com/spreadsheets/d/1BJSV3WBYJGRhQ6zExamkszQ5VutGIcaQqmbD9ZTVXMQ/edit#gid=1251630045"",""articles_with_PRISMA_reasons!AB2:AB2113""), $A981=IMPORTRANGE(""https://docs.google.com/spreadsheets/d/"&amp;"1BJSV3WBYJGRhQ6zExamkszQ5VutGIcaQqmbD9ZTVXMQ/edit#gid=1251630045"",""articles_with_PRISMA_reasons!B2:B2113"")),
E981=""Exclude"",
FILTER(IMPORTRANGE(""https://docs.google.com/spreadsheets/d/1qpEmbGH0JjaJbUdp21-y2cPbobDbMjr09BbtdKROZWc/edit#gid=1444865654"&amp;""",""articles_with_PRISMA_reasons!Z2:Z2113""), $A981=IMPORTRANGE(""https://docs.google.com/spreadsheets/d/1qpEmbGH0JjaJbUdp21-y2cPbobDbMjr09BbtdKROZWc/edit#gid=1444865654"",""articles_with_PRISMA_reasons!B2:B2113"")),F981
=""Include"",FILTER(IMPORTRANGE("&amp;"""https://docs.google.com/spreadsheets/d/1kGrh75X1cNR1D7_FcY9zMnHP8iPO4M5RCRjy6nZY0TY/edit#gid=0"",""Table 1: Study characteristics!A4:A171""), $A981=IMPORTRANGE(""https://docs.google.com/spreadsheets/d/1kGrh75X1cNR1D7_FcY9zMnHP8iPO4M5RCRjy6nZY0TY/edit#gi"&amp;"d=0"",""Table 1: Study characteristics!B4:B171""))
)"),"wrong population")</f>
        <v>wrong population</v>
      </c>
    </row>
    <row r="982">
      <c r="A982" s="4" t="str">
        <f>IFERROR(__xludf.DUMMYFUNCTION("""COMPUTED_VALUE"""),"Infections of central nervous system shunts")</f>
        <v>Infections of central nervous system shunts</v>
      </c>
      <c r="B982" s="5" t="str">
        <f>IFERROR(__xludf.DUMMYFUNCTION("LEFT(FILTER(IMPORTRANGE(""https://docs.google.com/spreadsheets/d/1BJSV3WBYJGRhQ6zExamkszQ5VutGIcaQqmbD9ZTVXMQ/edit#gid=1251630045"",""articles_with_PRISMA_reasons!K2:K2113""), $A982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$A982=IMPORTRANGE(""https://docs.google.com/spreadsheets/d/1BJSV3WBYJGRhQ6zExamkszQ5VutGIcaQqmbD9ZTVXMQ/edit#gid=1251630045"",""articles_with_PRISMA_reasons!B2:B2113"")))-1)"),"Gardner")</f>
        <v>Gardner</v>
      </c>
      <c r="C982" s="6">
        <f>IFERROR(__xludf.DUMMYFUNCTION("FILTER(IMPORTRANGE(""https://docs.google.com/spreadsheets/d/1BJSV3WBYJGRhQ6zExamkszQ5VutGIcaQqmbD9ZTVXMQ/edit#gid=1251630045"",""articles_with_PRISMA_reasons!C2:C2113""), $A982=IMPORTRANGE(""https://docs.google.com/spreadsheets/d/1BJSV3WBYJGRhQ6zExamkszQ5"&amp;"VutGIcaQqmbD9ZTVXMQ/edit#gid=1251630045"",""articles_with_PRISMA_reasons!B2:B2113""))"),1985.0)</f>
        <v>1985</v>
      </c>
      <c r="D982" s="5" t="str">
        <f>IFERROR(__xludf.DUMMYFUNCTION("IFS(AND(
FILTER(IMPORTRANGE(""https://docs.google.com/spreadsheets/d/1BJSV3WBYJGRhQ6zExamkszQ5VutGIcaQqmbD9ZTVXMQ/edit#gid=1251630045"",""articles_with_PRISMA_reasons!Y2:Y2113""), $A982=IMPORTRANGE(""https://docs.google.com/spreadsheets/d/1BJSV3WBYJGRhQ6z"&amp;"ExamkszQ5VutGIcaQqmbD9ZTVXMQ/edit#gid=1251630045"",""articles_with_PRISMA_reasons!B2:B2113""))&gt;=2,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$A982=IMPORTRANGE(""https://docs.google.com/spreadsheets/d/1BJSV3WBYJGRhQ6zExamkszQ5VutGIcaQqmbD9ZTVXMQ/edit#gid=1251630045"",""articles_with_PRISMA_reasons!B2:B2113""))&lt;2),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$A982=IMPORTRANGE(""https://docs.google.com/spreadsheets/d/1BJSV3WBYJGRhQ6zExamkszQ5VutGIcaQqmbD9ZTVXMQ/edit#gid=1251630045"",""arti"&amp;"cles_with_PRISMA_reasons!B2:B2113""))&lt;2,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$A982=IMPORTRANGE(""https://docs.google.com"&amp;"/spreadsheets/d/1BJSV3WBYJGRhQ6zExamkszQ5VutGIcaQqmbD9ZTVXMQ/edit#gid=1251630045"",""articles_with_PRISMA_reasons!B2:B2113""))&gt;=2),
""Exclude""
)"),"Exclude")</f>
        <v>Exclude</v>
      </c>
      <c r="E982" s="5" t="str">
        <f>IFERROR(__xludf.DUMMYFUNCTION("IFS(
D982=""Exclude"",""Exclude"",
AND(
FILTER(IMPORTRANGE(""https://docs.google.com/spreadsheets/d/1qpEmbGH0JjaJbUdp21-y2cPbobDbMjr09BbtdKROZWc/edit#gid=1444865654"",""articles_with_PRISMA_reasons!W2:W2113""), $A982=IMPORTRANGE(""https://docs.google.com/"&amp;"spreadsheets/d/1qpEmbGH0JjaJbUdp21-y2cPbobDbMjr09BbtdKROZWc/edit#gid=1444865654"",""articles_with_PRISMA_reasons!B2:B2113""))&gt;=2,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$A982=IMPORTRANGE(""https://docs.google.com/spreadsheets/d/1qpEmbGH0JjaJbUdp21-y2cPbobDbMjr09BbtdKROZWc/edit#gid=1444865654"",""articles_with_PRISMA_reasons!B2:B2113""))&lt;2),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$A982=IMPORTRANGE(""https://docs.google.com/spreadsheets/d/1qpEmbGH0JjaJbUdp21-y2cPbobDbMjr09BbtdKRO"&amp;"ZWc/edit#gid=1444865654"",""articles_with_PRISMA_reasons!B2:B2113""))&lt;2,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$A982=IMPOR"&amp;"TRANGE(""https://docs.google.com/spreadsheets/d/1qpEmbGH0JjaJbUdp21-y2cPbobDbMjr09BbtdKROZWc/edit#gid=1444865654"",""articles_with_PRISMA_reasons!B2:B2113""))&gt;=2),
""Exclude""
)"),"Exclude")</f>
        <v>Exclude</v>
      </c>
      <c r="F982" s="5" t="str">
        <f>IFERROR(__xludf.DUMMYFUNCTION("IFS(
E982=""Exclude"",""Exclude"",
AND(
COUNTIF(
IMPORTRANGE(""https://docs.google.com/spreadsheets/d/1kGrh75X1cNR1D7_FcY9zMnHP8iPO4M5RCRjy6nZY0TY/edit#gid=0"",""Table 1: Study characteristics!B4:B171""),A982)&gt;0,
COUNTIF(Studies!$A$2:$A$85,FILTER(IMPORTRA"&amp;"NGE(""https://docs.google.com/spreadsheets/d/1kGrh75X1cNR1D7_FcY9zMnHP8iPO4M5RCRjy6nZY0TY/edit#gid=0"",""Table 1: Study characteristics!A4:A171""), $A982=IMPORTRANGE(""https://docs.google.com/spreadsheets/d/1kGrh75X1cNR1D7_FcY9zMnHP8iPO4M5RCRjy6nZY0TY/edi"&amp;"t#gid=0"",""Table 1: Study characteristics!B4:B171"")))&gt;0
),
""Include""
)"),"Exclude")</f>
        <v>Exclude</v>
      </c>
      <c r="G982" s="5" t="str">
        <f>IFERROR(__xludf.DUMMYFUNCTION("IFS(
D982=""Exclude"",
FILTER(IMPORTRANGE(""https://docs.google.com/spreadsheets/d/1BJSV3WBYJGRhQ6zExamkszQ5VutGIcaQqmbD9ZTVXMQ/edit#gid=1251630045"",""articles_with_PRISMA_reasons!AB2:AB2113""), $A982=IMPORTRANGE(""https://docs.google.com/spreadsheets/d/"&amp;"1BJSV3WBYJGRhQ6zExamkszQ5VutGIcaQqmbD9ZTVXMQ/edit#gid=1251630045"",""articles_with_PRISMA_reasons!B2:B2113"")),
E982=""Exclude"",
FILTER(IMPORTRANGE(""https://docs.google.com/spreadsheets/d/1qpEmbGH0JjaJbUdp21-y2cPbobDbMjr09BbtdKROZWc/edit#gid=1444865654"&amp;""",""articles_with_PRISMA_reasons!Z2:Z2113""), $A982=IMPORTRANGE(""https://docs.google.com/spreadsheets/d/1qpEmbGH0JjaJbUdp21-y2cPbobDbMjr09BbtdKROZWc/edit#gid=1444865654"",""articles_with_PRISMA_reasons!B2:B2113"")),F982
=""Include"",FILTER(IMPORTRANGE("&amp;"""https://docs.google.com/spreadsheets/d/1kGrh75X1cNR1D7_FcY9zMnHP8iPO4M5RCRjy6nZY0TY/edit#gid=0"",""Table 1: Study characteristics!A4:A171""), $A982=IMPORTRANGE(""https://docs.google.com/spreadsheets/d/1kGrh75X1cNR1D7_FcY9zMnHP8iPO4M5RCRjy6nZY0TY/edit#gi"&amp;"d=0"",""Table 1: Study characteristics!B4:B171""))
)"),"wrong population")</f>
        <v>wrong population</v>
      </c>
    </row>
    <row r="983">
      <c r="A983" s="4" t="str">
        <f>IFERROR(__xludf.DUMMYFUNCTION("""COMPUTED_VALUE"""),"Inflammatory bowel disease: Management issues during pregnancy")</f>
        <v>Inflammatory bowel disease: Management issues during pregnancy</v>
      </c>
      <c r="B983" s="5" t="str">
        <f>IFERROR(__xludf.DUMMYFUNCTION("LEFT(FILTER(IMPORTRANGE(""https://docs.google.com/spreadsheets/d/1BJSV3WBYJGRhQ6zExamkszQ5VutGIcaQqmbD9ZTVXMQ/edit#gid=1251630045"",""articles_with_PRISMA_reasons!K2:K2113""), $A983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$A983=IMPORTRANGE(""https://docs.google.com/spreadsheets/d/1BJSV3WBYJGRhQ6zExamkszQ5VutGIcaQqmbD9ZTVXMQ/edit#gid=1251630045"",""articles_with_PRISMA_reasons!B2:B2113"")))-1)"),"Ferrero")</f>
        <v>Ferrero</v>
      </c>
      <c r="C983" s="6">
        <f>IFERROR(__xludf.DUMMYFUNCTION("FILTER(IMPORTRANGE(""https://docs.google.com/spreadsheets/d/1BJSV3WBYJGRhQ6zExamkszQ5VutGIcaQqmbD9ZTVXMQ/edit#gid=1251630045"",""articles_with_PRISMA_reasons!C2:C2113""), $A983=IMPORTRANGE(""https://docs.google.com/spreadsheets/d/1BJSV3WBYJGRhQ6zExamkszQ5"&amp;"VutGIcaQqmbD9ZTVXMQ/edit#gid=1251630045"",""articles_with_PRISMA_reasons!B2:B2113""))"),2004.0)</f>
        <v>2004</v>
      </c>
      <c r="D983" s="5" t="str">
        <f>IFERROR(__xludf.DUMMYFUNCTION("IFS(AND(
FILTER(IMPORTRANGE(""https://docs.google.com/spreadsheets/d/1BJSV3WBYJGRhQ6zExamkszQ5VutGIcaQqmbD9ZTVXMQ/edit#gid=1251630045"",""articles_with_PRISMA_reasons!Y2:Y2113""), $A983=IMPORTRANGE(""https://docs.google.com/spreadsheets/d/1BJSV3WBYJGRhQ6z"&amp;"ExamkszQ5VutGIcaQqmbD9ZTVXMQ/edit#gid=1251630045"",""articles_with_PRISMA_reasons!B2:B2113""))&gt;=2,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$A983=IMPORTRANGE(""https://docs.google.com/spreadsheets/d/1BJSV3WBYJGRhQ6zExamkszQ5VutGIcaQqmbD9ZTVXMQ/edit#gid=1251630045"",""articles_with_PRISMA_reasons!B2:B2113""))&lt;2),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$A983=IMPORTRANGE(""https://docs.google.com/spreadsheets/d/1BJSV3WBYJGRhQ6zExamkszQ5VutGIcaQqmbD9ZTVXMQ/edit#gid=1251630045"",""arti"&amp;"cles_with_PRISMA_reasons!B2:B2113""))&lt;2,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$A983=IMPORTRANGE(""https://docs.google.com"&amp;"/spreadsheets/d/1BJSV3WBYJGRhQ6zExamkszQ5VutGIcaQqmbD9ZTVXMQ/edit#gid=1251630045"",""articles_with_PRISMA_reasons!B2:B2113""))&gt;=2),
""Exclude""
)"),"Exclude")</f>
        <v>Exclude</v>
      </c>
      <c r="E983" s="5" t="str">
        <f>IFERROR(__xludf.DUMMYFUNCTION("IFS(
D983=""Exclude"",""Exclude"",
AND(
FILTER(IMPORTRANGE(""https://docs.google.com/spreadsheets/d/1qpEmbGH0JjaJbUdp21-y2cPbobDbMjr09BbtdKROZWc/edit#gid=1444865654"",""articles_with_PRISMA_reasons!W2:W2113""), $A983=IMPORTRANGE(""https://docs.google.com/"&amp;"spreadsheets/d/1qpEmbGH0JjaJbUdp21-y2cPbobDbMjr09BbtdKROZWc/edit#gid=1444865654"",""articles_with_PRISMA_reasons!B2:B2113""))&gt;=2,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$A983=IMPORTRANGE(""https://docs.google.com/spreadsheets/d/1qpEmbGH0JjaJbUdp21-y2cPbobDbMjr09BbtdKROZWc/edit#gid=1444865654"",""articles_with_PRISMA_reasons!B2:B2113""))&lt;2),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$A983=IMPORTRANGE(""https://docs.google.com/spreadsheets/d/1qpEmbGH0JjaJbUdp21-y2cPbobDbMjr09BbtdKRO"&amp;"ZWc/edit#gid=1444865654"",""articles_with_PRISMA_reasons!B2:B2113""))&lt;2,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$A983=IMPOR"&amp;"TRANGE(""https://docs.google.com/spreadsheets/d/1qpEmbGH0JjaJbUdp21-y2cPbobDbMjr09BbtdKROZWc/edit#gid=1444865654"",""articles_with_PRISMA_reasons!B2:B2113""))&gt;=2),
""Exclude""
)"),"Exclude")</f>
        <v>Exclude</v>
      </c>
      <c r="F983" s="5" t="str">
        <f>IFERROR(__xludf.DUMMYFUNCTION("IFS(
E983=""Exclude"",""Exclude"",
AND(
COUNTIF(
IMPORTRANGE(""https://docs.google.com/spreadsheets/d/1kGrh75X1cNR1D7_FcY9zMnHP8iPO4M5RCRjy6nZY0TY/edit#gid=0"",""Table 1: Study characteristics!B4:B171""),A983)&gt;0,
COUNTIF(Studies!$A$2:$A$85,FILTER(IMPORTRA"&amp;"NGE(""https://docs.google.com/spreadsheets/d/1kGrh75X1cNR1D7_FcY9zMnHP8iPO4M5RCRjy6nZY0TY/edit#gid=0"",""Table 1: Study characteristics!A4:A171""), $A983=IMPORTRANGE(""https://docs.google.com/spreadsheets/d/1kGrh75X1cNR1D7_FcY9zMnHP8iPO4M5RCRjy6nZY0TY/edi"&amp;"t#gid=0"",""Table 1: Study characteristics!B4:B171"")))&gt;0
),
""Include""
)"),"Exclude")</f>
        <v>Exclude</v>
      </c>
      <c r="G983" s="5" t="str">
        <f>IFERROR(__xludf.DUMMYFUNCTION("IFS(
D983=""Exclude"",
FILTER(IMPORTRANGE(""https://docs.google.com/spreadsheets/d/1BJSV3WBYJGRhQ6zExamkszQ5VutGIcaQqmbD9ZTVXMQ/edit#gid=1251630045"",""articles_with_PRISMA_reasons!AB2:AB2113""), $A983=IMPORTRANGE(""https://docs.google.com/spreadsheets/d/"&amp;"1BJSV3WBYJGRhQ6zExamkszQ5VutGIcaQqmbD9ZTVXMQ/edit#gid=1251630045"",""articles_with_PRISMA_reasons!B2:B2113"")),
E983=""Exclude"",
FILTER(IMPORTRANGE(""https://docs.google.com/spreadsheets/d/1qpEmbGH0JjaJbUdp21-y2cPbobDbMjr09BbtdKROZWc/edit#gid=1444865654"&amp;""",""articles_with_PRISMA_reasons!Z2:Z2113""), $A983=IMPORTRANGE(""https://docs.google.com/spreadsheets/d/1qpEmbGH0JjaJbUdp21-y2cPbobDbMjr09BbtdKROZWc/edit#gid=1444865654"",""articles_with_PRISMA_reasons!B2:B2113"")),F983
=""Include"",FILTER(IMPORTRANGE("&amp;"""https://docs.google.com/spreadsheets/d/1kGrh75X1cNR1D7_FcY9zMnHP8iPO4M5RCRjy6nZY0TY/edit#gid=0"",""Table 1: Study characteristics!A4:A171""), $A983=IMPORTRANGE(""https://docs.google.com/spreadsheets/d/1kGrh75X1cNR1D7_FcY9zMnHP8iPO4M5RCRjy6nZY0TY/edit#gi"&amp;"d=0"",""Table 1: Study characteristics!B4:B171""))
)"),"wrong population")</f>
        <v>wrong population</v>
      </c>
    </row>
    <row r="984">
      <c r="A984" s="4" t="str">
        <f>IFERROR(__xludf.DUMMYFUNCTION("""COMPUTED_VALUE"""),"Influence of birth mode on early neurological outcome in infants with myelomeningocele")</f>
        <v>Influence of birth mode on early neurological outcome in infants with myelomeningocele</v>
      </c>
      <c r="B984" s="5" t="str">
        <f>IFERROR(__xludf.DUMMYFUNCTION("LEFT(FILTER(IMPORTRANGE(""https://docs.google.com/spreadsheets/d/1BJSV3WBYJGRhQ6zExamkszQ5VutGIcaQqmbD9ZTVXMQ/edit#gid=1251630045"",""articles_with_PRISMA_reasons!K2:K2113""), $A984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$A984=IMPORTRANGE(""https://docs.google.com/spreadsheets/d/1BJSV3WBYJGRhQ6zExamkszQ5VutGIcaQqmbD9ZTVXMQ/edit#gid=1251630045"",""articles_with_PRISMA_reasons!B2:B2113"")))-1)"),"Cuppen")</f>
        <v>Cuppen</v>
      </c>
      <c r="C984" s="6">
        <f>IFERROR(__xludf.DUMMYFUNCTION("FILTER(IMPORTRANGE(""https://docs.google.com/spreadsheets/d/1BJSV3WBYJGRhQ6zExamkszQ5VutGIcaQqmbD9ZTVXMQ/edit#gid=1251630045"",""articles_with_PRISMA_reasons!C2:C2113""), $A984=IMPORTRANGE(""https://docs.google.com/spreadsheets/d/1BJSV3WBYJGRhQ6zExamkszQ5"&amp;"VutGIcaQqmbD9ZTVXMQ/edit#gid=1251630045"",""articles_with_PRISMA_reasons!B2:B2113""))"),2011.0)</f>
        <v>2011</v>
      </c>
      <c r="D984" s="5" t="str">
        <f>IFERROR(__xludf.DUMMYFUNCTION("IFS(AND(
FILTER(IMPORTRANGE(""https://docs.google.com/spreadsheets/d/1BJSV3WBYJGRhQ6zExamkszQ5VutGIcaQqmbD9ZTVXMQ/edit#gid=1251630045"",""articles_with_PRISMA_reasons!Y2:Y2113""), $A984=IMPORTRANGE(""https://docs.google.com/spreadsheets/d/1BJSV3WBYJGRhQ6z"&amp;"ExamkszQ5VutGIcaQqmbD9ZTVXMQ/edit#gid=1251630045"",""articles_with_PRISMA_reasons!B2:B2113""))&gt;=2,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$A984=IMPORTRANGE(""https://docs.google.com/spreadsheets/d/1BJSV3WBYJGRhQ6zExamkszQ5VutGIcaQqmbD9ZTVXMQ/edit#gid=1251630045"",""articles_with_PRISMA_reasons!B2:B2113""))&lt;2),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$A984=IMPORTRANGE(""https://docs.google.com/spreadsheets/d/1BJSV3WBYJGRhQ6zExamkszQ5VutGIcaQqmbD9ZTVXMQ/edit#gid=1251630045"",""arti"&amp;"cles_with_PRISMA_reasons!B2:B2113""))&lt;2,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$A984=IMPORTRANGE(""https://docs.google.com"&amp;"/spreadsheets/d/1BJSV3WBYJGRhQ6zExamkszQ5VutGIcaQqmbD9ZTVXMQ/edit#gid=1251630045"",""articles_with_PRISMA_reasons!B2:B2113""))&gt;=2),
""Exclude""
)"),"Exclude")</f>
        <v>Exclude</v>
      </c>
      <c r="E984" s="5" t="str">
        <f>IFERROR(__xludf.DUMMYFUNCTION("IFS(
D984=""Exclude"",""Exclude"",
AND(
FILTER(IMPORTRANGE(""https://docs.google.com/spreadsheets/d/1qpEmbGH0JjaJbUdp21-y2cPbobDbMjr09BbtdKROZWc/edit#gid=1444865654"",""articles_with_PRISMA_reasons!W2:W2113""), $A984=IMPORTRANGE(""https://docs.google.com/"&amp;"spreadsheets/d/1qpEmbGH0JjaJbUdp21-y2cPbobDbMjr09BbtdKROZWc/edit#gid=1444865654"",""articles_with_PRISMA_reasons!B2:B2113""))&gt;=2,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$A984=IMPORTRANGE(""https://docs.google.com/spreadsheets/d/1qpEmbGH0JjaJbUdp21-y2cPbobDbMjr09BbtdKROZWc/edit#gid=1444865654"",""articles_with_PRISMA_reasons!B2:B2113""))&lt;2),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$A984=IMPORTRANGE(""https://docs.google.com/spreadsheets/d/1qpEmbGH0JjaJbUdp21-y2cPbobDbMjr09BbtdKRO"&amp;"ZWc/edit#gid=1444865654"",""articles_with_PRISMA_reasons!B2:B2113""))&lt;2,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$A984=IMPOR"&amp;"TRANGE(""https://docs.google.com/spreadsheets/d/1qpEmbGH0JjaJbUdp21-y2cPbobDbMjr09BbtdKROZWc/edit#gid=1444865654"",""articles_with_PRISMA_reasons!B2:B2113""))&gt;=2),
""Exclude""
)"),"Exclude")</f>
        <v>Exclude</v>
      </c>
      <c r="F984" s="5" t="str">
        <f>IFERROR(__xludf.DUMMYFUNCTION("IFS(
E984=""Exclude"",""Exclude"",
AND(
COUNTIF(
IMPORTRANGE(""https://docs.google.com/spreadsheets/d/1kGrh75X1cNR1D7_FcY9zMnHP8iPO4M5RCRjy6nZY0TY/edit#gid=0"",""Table 1: Study characteristics!B4:B171""),A984)&gt;0,
COUNTIF(Studies!$A$2:$A$85,FILTER(IMPORTRA"&amp;"NGE(""https://docs.google.com/spreadsheets/d/1kGrh75X1cNR1D7_FcY9zMnHP8iPO4M5RCRjy6nZY0TY/edit#gid=0"",""Table 1: Study characteristics!A4:A171""), $A984=IMPORTRANGE(""https://docs.google.com/spreadsheets/d/1kGrh75X1cNR1D7_FcY9zMnHP8iPO4M5RCRjy6nZY0TY/edi"&amp;"t#gid=0"",""Table 1: Study characteristics!B4:B171"")))&gt;0
),
""Include""
)"),"Exclude")</f>
        <v>Exclude</v>
      </c>
      <c r="G984" s="5" t="str">
        <f>IFERROR(__xludf.DUMMYFUNCTION("IFS(
D984=""Exclude"",
FILTER(IMPORTRANGE(""https://docs.google.com/spreadsheets/d/1BJSV3WBYJGRhQ6zExamkszQ5VutGIcaQqmbD9ZTVXMQ/edit#gid=1251630045"",""articles_with_PRISMA_reasons!AB2:AB2113""), $A984=IMPORTRANGE(""https://docs.google.com/spreadsheets/d/"&amp;"1BJSV3WBYJGRhQ6zExamkszQ5VutGIcaQqmbD9ZTVXMQ/edit#gid=1251630045"",""articles_with_PRISMA_reasons!B2:B2113"")),
E984=""Exclude"",
FILTER(IMPORTRANGE(""https://docs.google.com/spreadsheets/d/1qpEmbGH0JjaJbUdp21-y2cPbobDbMjr09BbtdKROZWc/edit#gid=1444865654"&amp;""",""articles_with_PRISMA_reasons!Z2:Z2113""), $A984=IMPORTRANGE(""https://docs.google.com/spreadsheets/d/1qpEmbGH0JjaJbUdp21-y2cPbobDbMjr09BbtdKROZWc/edit#gid=1444865654"",""articles_with_PRISMA_reasons!B2:B2113"")),F984
=""Include"",FILTER(IMPORTRANGE("&amp;"""https://docs.google.com/spreadsheets/d/1kGrh75X1cNR1D7_FcY9zMnHP8iPO4M5RCRjy6nZY0TY/edit#gid=0"",""Table 1: Study characteristics!A4:A171""), $A984=IMPORTRANGE(""https://docs.google.com/spreadsheets/d/1kGrh75X1cNR1D7_FcY9zMnHP8iPO4M5RCRjy6nZY0TY/edit#gi"&amp;"d=0"",""Table 1: Study characteristics!B4:B171""))
)"),"wrong population")</f>
        <v>wrong population</v>
      </c>
    </row>
    <row r="985">
      <c r="A985" s="4" t="str">
        <f>IFERROR(__xludf.DUMMYFUNCTION("""COMPUTED_VALUE"""),"Influence of family environment on language outcomes in children with myelomeningocele")</f>
        <v>Influence of family environment on language outcomes in children with myelomeningocele</v>
      </c>
      <c r="B985" s="5" t="str">
        <f>IFERROR(__xludf.DUMMYFUNCTION("LEFT(FILTER(IMPORTRANGE(""https://docs.google.com/spreadsheets/d/1BJSV3WBYJGRhQ6zExamkszQ5VutGIcaQqmbD9ZTVXMQ/edit#gid=1251630045"",""articles_with_PRISMA_reasons!K2:K2113""), $A985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$A985=IMPORTRANGE(""https://docs.google.com/spreadsheets/d/1BJSV3WBYJGRhQ6zExamkszQ5VutGIcaQqmbD9ZTVXMQ/edit#gid=1251630045"",""articles_with_PRISMA_reasons!B2:B2113"")))-1)"),"Vachha")</f>
        <v>Vachha</v>
      </c>
      <c r="C985" s="6">
        <f>IFERROR(__xludf.DUMMYFUNCTION("FILTER(IMPORTRANGE(""https://docs.google.com/spreadsheets/d/1BJSV3WBYJGRhQ6zExamkszQ5VutGIcaQqmbD9ZTVXMQ/edit#gid=1251630045"",""articles_with_PRISMA_reasons!C2:C2113""), $A985=IMPORTRANGE(""https://docs.google.com/spreadsheets/d/1BJSV3WBYJGRhQ6zExamkszQ5"&amp;"VutGIcaQqmbD9ZTVXMQ/edit#gid=1251630045"",""articles_with_PRISMA_reasons!B2:B2113""))"),2005.0)</f>
        <v>2005</v>
      </c>
      <c r="D985" s="5" t="str">
        <f>IFERROR(__xludf.DUMMYFUNCTION("IFS(AND(
FILTER(IMPORTRANGE(""https://docs.google.com/spreadsheets/d/1BJSV3WBYJGRhQ6zExamkszQ5VutGIcaQqmbD9ZTVXMQ/edit#gid=1251630045"",""articles_with_PRISMA_reasons!Y2:Y2113""), $A985=IMPORTRANGE(""https://docs.google.com/spreadsheets/d/1BJSV3WBYJGRhQ6z"&amp;"ExamkszQ5VutGIcaQqmbD9ZTVXMQ/edit#gid=1251630045"",""articles_with_PRISMA_reasons!B2:B2113""))&gt;=2,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$A985=IMPORTRANGE(""https://docs.google.com/spreadsheets/d/1BJSV3WBYJGRhQ6zExamkszQ5VutGIcaQqmbD9ZTVXMQ/edit#gid=1251630045"",""articles_with_PRISMA_reasons!B2:B2113""))&lt;2),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$A985=IMPORTRANGE(""https://docs.google.com/spreadsheets/d/1BJSV3WBYJGRhQ6zExamkszQ5VutGIcaQqmbD9ZTVXMQ/edit#gid=1251630045"",""arti"&amp;"cles_with_PRISMA_reasons!B2:B2113""))&lt;2,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$A985=IMPORTRANGE(""https://docs.google.com"&amp;"/spreadsheets/d/1BJSV3WBYJGRhQ6zExamkszQ5VutGIcaQqmbD9ZTVXMQ/edit#gid=1251630045"",""articles_with_PRISMA_reasons!B2:B2113""))&gt;=2),
""Exclude""
)"),"Exclude")</f>
        <v>Exclude</v>
      </c>
      <c r="E985" s="5" t="str">
        <f>IFERROR(__xludf.DUMMYFUNCTION("IFS(
D985=""Exclude"",""Exclude"",
AND(
FILTER(IMPORTRANGE(""https://docs.google.com/spreadsheets/d/1qpEmbGH0JjaJbUdp21-y2cPbobDbMjr09BbtdKROZWc/edit#gid=1444865654"",""articles_with_PRISMA_reasons!W2:W2113""), $A985=IMPORTRANGE(""https://docs.google.com/"&amp;"spreadsheets/d/1qpEmbGH0JjaJbUdp21-y2cPbobDbMjr09BbtdKROZWc/edit#gid=1444865654"",""articles_with_PRISMA_reasons!B2:B2113""))&gt;=2,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$A985=IMPORTRANGE(""https://docs.google.com/spreadsheets/d/1qpEmbGH0JjaJbUdp21-y2cPbobDbMjr09BbtdKROZWc/edit#gid=1444865654"",""articles_with_PRISMA_reasons!B2:B2113""))&lt;2),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$A985=IMPORTRANGE(""https://docs.google.com/spreadsheets/d/1qpEmbGH0JjaJbUdp21-y2cPbobDbMjr09BbtdKRO"&amp;"ZWc/edit#gid=1444865654"",""articles_with_PRISMA_reasons!B2:B2113""))&lt;2,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$A985=IMPOR"&amp;"TRANGE(""https://docs.google.com/spreadsheets/d/1qpEmbGH0JjaJbUdp21-y2cPbobDbMjr09BbtdKROZWc/edit#gid=1444865654"",""articles_with_PRISMA_reasons!B2:B2113""))&gt;=2),
""Exclude""
)"),"Exclude")</f>
        <v>Exclude</v>
      </c>
      <c r="F985" s="5" t="str">
        <f>IFERROR(__xludf.DUMMYFUNCTION("IFS(
E985=""Exclude"",""Exclude"",
AND(
COUNTIF(
IMPORTRANGE(""https://docs.google.com/spreadsheets/d/1kGrh75X1cNR1D7_FcY9zMnHP8iPO4M5RCRjy6nZY0TY/edit#gid=0"",""Table 1: Study characteristics!B4:B171""),A985)&gt;0,
COUNTIF(Studies!$A$2:$A$85,FILTER(IMPORTRA"&amp;"NGE(""https://docs.google.com/spreadsheets/d/1kGrh75X1cNR1D7_FcY9zMnHP8iPO4M5RCRjy6nZY0TY/edit#gid=0"",""Table 1: Study characteristics!A4:A171""), $A985=IMPORTRANGE(""https://docs.google.com/spreadsheets/d/1kGrh75X1cNR1D7_FcY9zMnHP8iPO4M5RCRjy6nZY0TY/edi"&amp;"t#gid=0"",""Table 1: Study characteristics!B4:B171"")))&gt;0
),
""Include""
)"),"Exclude")</f>
        <v>Exclude</v>
      </c>
      <c r="G985" s="5" t="str">
        <f>IFERROR(__xludf.DUMMYFUNCTION("IFS(
D985=""Exclude"",
FILTER(IMPORTRANGE(""https://docs.google.com/spreadsheets/d/1BJSV3WBYJGRhQ6zExamkszQ5VutGIcaQqmbD9ZTVXMQ/edit#gid=1251630045"",""articles_with_PRISMA_reasons!AB2:AB2113""), $A985=IMPORTRANGE(""https://docs.google.com/spreadsheets/d/"&amp;"1BJSV3WBYJGRhQ6zExamkszQ5VutGIcaQqmbD9ZTVXMQ/edit#gid=1251630045"",""articles_with_PRISMA_reasons!B2:B2113"")),
E985=""Exclude"",
FILTER(IMPORTRANGE(""https://docs.google.com/spreadsheets/d/1qpEmbGH0JjaJbUdp21-y2cPbobDbMjr09BbtdKROZWc/edit#gid=1444865654"&amp;""",""articles_with_PRISMA_reasons!Z2:Z2113""), $A985=IMPORTRANGE(""https://docs.google.com/spreadsheets/d/1qpEmbGH0JjaJbUdp21-y2cPbobDbMjr09BbtdKROZWc/edit#gid=1444865654"",""articles_with_PRISMA_reasons!B2:B2113"")),F985
=""Include"",FILTER(IMPORTRANGE("&amp;"""https://docs.google.com/spreadsheets/d/1kGrh75X1cNR1D7_FcY9zMnHP8iPO4M5RCRjy6nZY0TY/edit#gid=0"",""Table 1: Study characteristics!A4:A171""), $A985=IMPORTRANGE(""https://docs.google.com/spreadsheets/d/1kGrh75X1cNR1D7_FcY9zMnHP8iPO4M5RCRjy6nZY0TY/edit#gi"&amp;"d=0"",""Table 1: Study characteristics!B4:B171""))
)"),"wrong population")</f>
        <v>wrong population</v>
      </c>
    </row>
    <row r="986">
      <c r="A986" s="4" t="str">
        <f>IFERROR(__xludf.DUMMYFUNCTION("""COMPUTED_VALUE"""),"Influence of route of delivery on perinatal outcomes in fetuses with myelomeningocele")</f>
        <v>Influence of route of delivery on perinatal outcomes in fetuses with myelomeningocele</v>
      </c>
      <c r="B986" s="5" t="str">
        <f>IFERROR(__xludf.DUMMYFUNCTION("LEFT(FILTER(IMPORTRANGE(""https://docs.google.com/spreadsheets/d/1BJSV3WBYJGRhQ6zExamkszQ5VutGIcaQqmbD9ZTVXMQ/edit#gid=1251630045"",""articles_with_PRISMA_reasons!K2:K2113""), $A986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$A986=IMPORTRANGE(""https://docs.google.com/spreadsheets/d/1BJSV3WBYJGRhQ6zExamkszQ5VutGIcaQqmbD9ZTVXMQ/edit#gid=1251630045"",""articles_with_PRISMA_reasons!B2:B2113"")))-1)"),"Yachida")</f>
        <v>Yachida</v>
      </c>
      <c r="C986" s="6">
        <f>IFERROR(__xludf.DUMMYFUNCTION("FILTER(IMPORTRANGE(""https://docs.google.com/spreadsheets/d/1BJSV3WBYJGRhQ6zExamkszQ5VutGIcaQqmbD9ZTVXMQ/edit#gid=1251630045"",""articles_with_PRISMA_reasons!C2:C2113""), $A986=IMPORTRANGE(""https://docs.google.com/spreadsheets/d/1BJSV3WBYJGRhQ6zExamkszQ5"&amp;"VutGIcaQqmbD9ZTVXMQ/edit#gid=1251630045"",""articles_with_PRISMA_reasons!B2:B2113""))"),2019.0)</f>
        <v>2019</v>
      </c>
      <c r="D986" s="5" t="str">
        <f>IFERROR(__xludf.DUMMYFUNCTION("IFS(AND(
FILTER(IMPORTRANGE(""https://docs.google.com/spreadsheets/d/1BJSV3WBYJGRhQ6zExamkszQ5VutGIcaQqmbD9ZTVXMQ/edit#gid=1251630045"",""articles_with_PRISMA_reasons!Y2:Y2113""), $A986=IMPORTRANGE(""https://docs.google.com/spreadsheets/d/1BJSV3WBYJGRhQ6z"&amp;"ExamkszQ5VutGIcaQqmbD9ZTVXMQ/edit#gid=1251630045"",""articles_with_PRISMA_reasons!B2:B2113""))&gt;=2,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$A986=IMPORTRANGE(""https://docs.google.com/spreadsheets/d/1BJSV3WBYJGRhQ6zExamkszQ5VutGIcaQqmbD9ZTVXMQ/edit#gid=1251630045"",""articles_with_PRISMA_reasons!B2:B2113""))&lt;2),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$A986=IMPORTRANGE(""https://docs.google.com/spreadsheets/d/1BJSV3WBYJGRhQ6zExamkszQ5VutGIcaQqmbD9ZTVXMQ/edit#gid=1251630045"",""arti"&amp;"cles_with_PRISMA_reasons!B2:B2113""))&lt;2,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$A986=IMPORTRANGE(""https://docs.google.com"&amp;"/spreadsheets/d/1BJSV3WBYJGRhQ6zExamkszQ5VutGIcaQqmbD9ZTVXMQ/edit#gid=1251630045"",""articles_with_PRISMA_reasons!B2:B2113""))&gt;=2),
""Exclude""
)"),"Exclude")</f>
        <v>Exclude</v>
      </c>
      <c r="E986" s="5" t="str">
        <f>IFERROR(__xludf.DUMMYFUNCTION("IFS(
D986=""Exclude"",""Exclude"",
AND(
FILTER(IMPORTRANGE(""https://docs.google.com/spreadsheets/d/1qpEmbGH0JjaJbUdp21-y2cPbobDbMjr09BbtdKROZWc/edit#gid=1444865654"",""articles_with_PRISMA_reasons!W2:W2113""), $A986=IMPORTRANGE(""https://docs.google.com/"&amp;"spreadsheets/d/1qpEmbGH0JjaJbUdp21-y2cPbobDbMjr09BbtdKROZWc/edit#gid=1444865654"",""articles_with_PRISMA_reasons!B2:B2113""))&gt;=2,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$A986=IMPORTRANGE(""https://docs.google.com/spreadsheets/d/1qpEmbGH0JjaJbUdp21-y2cPbobDbMjr09BbtdKROZWc/edit#gid=1444865654"",""articles_with_PRISMA_reasons!B2:B2113""))&lt;2),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$A986=IMPORTRANGE(""https://docs.google.com/spreadsheets/d/1qpEmbGH0JjaJbUdp21-y2cPbobDbMjr09BbtdKRO"&amp;"ZWc/edit#gid=1444865654"",""articles_with_PRISMA_reasons!B2:B2113""))&lt;2,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$A986=IMPOR"&amp;"TRANGE(""https://docs.google.com/spreadsheets/d/1qpEmbGH0JjaJbUdp21-y2cPbobDbMjr09BbtdKROZWc/edit#gid=1444865654"",""articles_with_PRISMA_reasons!B2:B2113""))&gt;=2),
""Exclude""
)"),"Exclude")</f>
        <v>Exclude</v>
      </c>
      <c r="F986" s="5" t="str">
        <f>IFERROR(__xludf.DUMMYFUNCTION("IFS(
E986=""Exclude"",""Exclude"",
AND(
COUNTIF(
IMPORTRANGE(""https://docs.google.com/spreadsheets/d/1kGrh75X1cNR1D7_FcY9zMnHP8iPO4M5RCRjy6nZY0TY/edit#gid=0"",""Table 1: Study characteristics!B4:B171""),A986)&gt;0,
COUNTIF(Studies!$A$2:$A$85,FILTER(IMPORTRA"&amp;"NGE(""https://docs.google.com/spreadsheets/d/1kGrh75X1cNR1D7_FcY9zMnHP8iPO4M5RCRjy6nZY0TY/edit#gid=0"",""Table 1: Study characteristics!A4:A171""), $A986=IMPORTRANGE(""https://docs.google.com/spreadsheets/d/1kGrh75X1cNR1D7_FcY9zMnHP8iPO4M5RCRjy6nZY0TY/edi"&amp;"t#gid=0"",""Table 1: Study characteristics!B4:B171"")))&gt;0
),
""Include""
)"),"Exclude")</f>
        <v>Exclude</v>
      </c>
      <c r="G986" s="5" t="str">
        <f>IFERROR(__xludf.DUMMYFUNCTION("IFS(
D986=""Exclude"",
FILTER(IMPORTRANGE(""https://docs.google.com/spreadsheets/d/1BJSV3WBYJGRhQ6zExamkszQ5VutGIcaQqmbD9ZTVXMQ/edit#gid=1251630045"",""articles_with_PRISMA_reasons!AB2:AB2113""), $A986=IMPORTRANGE(""https://docs.google.com/spreadsheets/d/"&amp;"1BJSV3WBYJGRhQ6zExamkszQ5VutGIcaQqmbD9ZTVXMQ/edit#gid=1251630045"",""articles_with_PRISMA_reasons!B2:B2113"")),
E986=""Exclude"",
FILTER(IMPORTRANGE(""https://docs.google.com/spreadsheets/d/1qpEmbGH0JjaJbUdp21-y2cPbobDbMjr09BbtdKROZWc/edit#gid=1444865654"&amp;""",""articles_with_PRISMA_reasons!Z2:Z2113""), $A986=IMPORTRANGE(""https://docs.google.com/spreadsheets/d/1qpEmbGH0JjaJbUdp21-y2cPbobDbMjr09BbtdKROZWc/edit#gid=1444865654"",""articles_with_PRISMA_reasons!B2:B2113"")),F986
=""Include"",FILTER(IMPORTRANGE("&amp;"""https://docs.google.com/spreadsheets/d/1kGrh75X1cNR1D7_FcY9zMnHP8iPO4M5RCRjy6nZY0TY/edit#gid=0"",""Table 1: Study characteristics!A4:A171""), $A986=IMPORTRANGE(""https://docs.google.com/spreadsheets/d/1kGrh75X1cNR1D7_FcY9zMnHP8iPO4M5RCRjy6nZY0TY/edit#gi"&amp;"d=0"",""Table 1: Study characteristics!B4:B171""))
)"),"wrong population")</f>
        <v>wrong population</v>
      </c>
    </row>
    <row r="987">
      <c r="A987" s="4" t="str">
        <f>IFERROR(__xludf.DUMMYFUNCTION("""COMPUTED_VALUE"""),"Inguinal hernias after ventriculoperitoneal shunt procedures in pediatric patients")</f>
        <v>Inguinal hernias after ventriculoperitoneal shunt procedures in pediatric patients</v>
      </c>
      <c r="B987" s="5" t="str">
        <f>IFERROR(__xludf.DUMMYFUNCTION("LEFT(FILTER(IMPORTRANGE(""https://docs.google.com/spreadsheets/d/1BJSV3WBYJGRhQ6zExamkszQ5VutGIcaQqmbD9ZTVXMQ/edit#gid=1251630045"",""articles_with_PRISMA_reasons!K2:K2113""), $A987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$A987=IMPORTRANGE(""https://docs.google.com/spreadsheets/d/1BJSV3WBYJGRhQ6zExamkszQ5VutGIcaQqmbD9ZTVXMQ/edit#gid=1251630045"",""articles_with_PRISMA_reasons!B2:B2113"")))-1)"),"Moazam")</f>
        <v>Moazam</v>
      </c>
      <c r="C987" s="6">
        <f>IFERROR(__xludf.DUMMYFUNCTION("FILTER(IMPORTRANGE(""https://docs.google.com/spreadsheets/d/1BJSV3WBYJGRhQ6zExamkszQ5VutGIcaQqmbD9ZTVXMQ/edit#gid=1251630045"",""articles_with_PRISMA_reasons!C2:C2113""), $A987=IMPORTRANGE(""https://docs.google.com/spreadsheets/d/1BJSV3WBYJGRhQ6zExamkszQ5"&amp;"VutGIcaQqmbD9ZTVXMQ/edit#gid=1251630045"",""articles_with_PRISMA_reasons!B2:B2113""))"),1984.0)</f>
        <v>1984</v>
      </c>
      <c r="D987" s="5" t="str">
        <f>IFERROR(__xludf.DUMMYFUNCTION("IFS(AND(
FILTER(IMPORTRANGE(""https://docs.google.com/spreadsheets/d/1BJSV3WBYJGRhQ6zExamkszQ5VutGIcaQqmbD9ZTVXMQ/edit#gid=1251630045"",""articles_with_PRISMA_reasons!Y2:Y2113""), $A987=IMPORTRANGE(""https://docs.google.com/spreadsheets/d/1BJSV3WBYJGRhQ6z"&amp;"ExamkszQ5VutGIcaQqmbD9ZTVXMQ/edit#gid=1251630045"",""articles_with_PRISMA_reasons!B2:B2113""))&gt;=2,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$A987=IMPORTRANGE(""https://docs.google.com/spreadsheets/d/1BJSV3WBYJGRhQ6zExamkszQ5VutGIcaQqmbD9ZTVXMQ/edit#gid=1251630045"",""articles_with_PRISMA_reasons!B2:B2113""))&lt;2),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$A987=IMPORTRANGE(""https://docs.google.com/spreadsheets/d/1BJSV3WBYJGRhQ6zExamkszQ5VutGIcaQqmbD9ZTVXMQ/edit#gid=1251630045"",""arti"&amp;"cles_with_PRISMA_reasons!B2:B2113""))&lt;2,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$A987=IMPORTRANGE(""https://docs.google.com"&amp;"/spreadsheets/d/1BJSV3WBYJGRhQ6zExamkszQ5VutGIcaQqmbD9ZTVXMQ/edit#gid=1251630045"",""articles_with_PRISMA_reasons!B2:B2113""))&gt;=2),
""Exclude""
)"),"Exclude")</f>
        <v>Exclude</v>
      </c>
      <c r="E987" s="5" t="str">
        <f>IFERROR(__xludf.DUMMYFUNCTION("IFS(
D987=""Exclude"",""Exclude"",
AND(
FILTER(IMPORTRANGE(""https://docs.google.com/spreadsheets/d/1qpEmbGH0JjaJbUdp21-y2cPbobDbMjr09BbtdKROZWc/edit#gid=1444865654"",""articles_with_PRISMA_reasons!W2:W2113""), $A987=IMPORTRANGE(""https://docs.google.com/"&amp;"spreadsheets/d/1qpEmbGH0JjaJbUdp21-y2cPbobDbMjr09BbtdKROZWc/edit#gid=1444865654"",""articles_with_PRISMA_reasons!B2:B2113""))&gt;=2,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$A987=IMPORTRANGE(""https://docs.google.com/spreadsheets/d/1qpEmbGH0JjaJbUdp21-y2cPbobDbMjr09BbtdKROZWc/edit#gid=1444865654"",""articles_with_PRISMA_reasons!B2:B2113""))&lt;2),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$A987=IMPORTRANGE(""https://docs.google.com/spreadsheets/d/1qpEmbGH0JjaJbUdp21-y2cPbobDbMjr09BbtdKRO"&amp;"ZWc/edit#gid=1444865654"",""articles_with_PRISMA_reasons!B2:B2113""))&lt;2,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$A987=IMPOR"&amp;"TRANGE(""https://docs.google.com/spreadsheets/d/1qpEmbGH0JjaJbUdp21-y2cPbobDbMjr09BbtdKROZWc/edit#gid=1444865654"",""articles_with_PRISMA_reasons!B2:B2113""))&gt;=2),
""Exclude""
)"),"Exclude")</f>
        <v>Exclude</v>
      </c>
      <c r="F987" s="5" t="str">
        <f>IFERROR(__xludf.DUMMYFUNCTION("IFS(
E987=""Exclude"",""Exclude"",
AND(
COUNTIF(
IMPORTRANGE(""https://docs.google.com/spreadsheets/d/1kGrh75X1cNR1D7_FcY9zMnHP8iPO4M5RCRjy6nZY0TY/edit#gid=0"",""Table 1: Study characteristics!B4:B171""),A987)&gt;0,
COUNTIF(Studies!$A$2:$A$85,FILTER(IMPORTRA"&amp;"NGE(""https://docs.google.com/spreadsheets/d/1kGrh75X1cNR1D7_FcY9zMnHP8iPO4M5RCRjy6nZY0TY/edit#gid=0"",""Table 1: Study characteristics!A4:A171""), $A987=IMPORTRANGE(""https://docs.google.com/spreadsheets/d/1kGrh75X1cNR1D7_FcY9zMnHP8iPO4M5RCRjy6nZY0TY/edi"&amp;"t#gid=0"",""Table 1: Study characteristics!B4:B171"")))&gt;0
),
""Include""
)"),"Exclude")</f>
        <v>Exclude</v>
      </c>
      <c r="G987" s="5" t="str">
        <f>IFERROR(__xludf.DUMMYFUNCTION("IFS(
D987=""Exclude"",
FILTER(IMPORTRANGE(""https://docs.google.com/spreadsheets/d/1BJSV3WBYJGRhQ6zExamkszQ5VutGIcaQqmbD9ZTVXMQ/edit#gid=1251630045"",""articles_with_PRISMA_reasons!AB2:AB2113""), $A987=IMPORTRANGE(""https://docs.google.com/spreadsheets/d/"&amp;"1BJSV3WBYJGRhQ6zExamkszQ5VutGIcaQqmbD9ZTVXMQ/edit#gid=1251630045"",""articles_with_PRISMA_reasons!B2:B2113"")),
E987=""Exclude"",
FILTER(IMPORTRANGE(""https://docs.google.com/spreadsheets/d/1qpEmbGH0JjaJbUdp21-y2cPbobDbMjr09BbtdKROZWc/edit#gid=1444865654"&amp;""",""articles_with_PRISMA_reasons!Z2:Z2113""), $A987=IMPORTRANGE(""https://docs.google.com/spreadsheets/d/1qpEmbGH0JjaJbUdp21-y2cPbobDbMjr09BbtdKROZWc/edit#gid=1444865654"",""articles_with_PRISMA_reasons!B2:B2113"")),F987
=""Include"",FILTER(IMPORTRANGE("&amp;"""https://docs.google.com/spreadsheets/d/1kGrh75X1cNR1D7_FcY9zMnHP8iPO4M5RCRjy6nZY0TY/edit#gid=0"",""Table 1: Study characteristics!A4:A171""), $A987=IMPORTRANGE(""https://docs.google.com/spreadsheets/d/1kGrh75X1cNR1D7_FcY9zMnHP8iPO4M5RCRjy6nZY0TY/edit#gi"&amp;"d=0"",""Table 1: Study characteristics!B4:B171""))
)"),"wrong population")</f>
        <v>wrong population</v>
      </c>
    </row>
    <row r="988">
      <c r="A988" s="4" t="str">
        <f>IFERROR(__xludf.DUMMYFUNCTION("""COMPUTED_VALUE"""),"Initial assessment of a case of spina bifida (Neural tube defect)")</f>
        <v>Initial assessment of a case of spina bifida (Neural tube defect)</v>
      </c>
      <c r="B988" s="5" t="str">
        <f>IFERROR(__xludf.DUMMYFUNCTION("LEFT(FILTER(IMPORTRANGE(""https://docs.google.com/spreadsheets/d/1BJSV3WBYJGRhQ6zExamkszQ5VutGIcaQqmbD9ZTVXMQ/edit#gid=1251630045"",""articles_with_PRISMA_reasons!K2:K2113""), $A988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$A988=IMPORTRANGE(""https://docs.google.com/spreadsheets/d/1BJSV3WBYJGRhQ6zExamkszQ5VutGIcaQqmbD9ZTVXMQ/edit#gid=1251630045"",""articles_with_PRISMA_reasons!B2:B2113"")))-1)"),"Karmarkar")</f>
        <v>Karmarkar</v>
      </c>
      <c r="C988" s="6">
        <f>IFERROR(__xludf.DUMMYFUNCTION("FILTER(IMPORTRANGE(""https://docs.google.com/spreadsheets/d/1BJSV3WBYJGRhQ6zExamkszQ5VutGIcaQqmbD9ZTVXMQ/edit#gid=1251630045"",""articles_with_PRISMA_reasons!C2:C2113""), $A988=IMPORTRANGE(""https://docs.google.com/spreadsheets/d/1BJSV3WBYJGRhQ6zExamkszQ5"&amp;"VutGIcaQqmbD9ZTVXMQ/edit#gid=1251630045"",""articles_with_PRISMA_reasons!B2:B2113""))"),2006.0)</f>
        <v>2006</v>
      </c>
      <c r="D988" s="5" t="str">
        <f>IFERROR(__xludf.DUMMYFUNCTION("IFS(AND(
FILTER(IMPORTRANGE(""https://docs.google.com/spreadsheets/d/1BJSV3WBYJGRhQ6zExamkszQ5VutGIcaQqmbD9ZTVXMQ/edit#gid=1251630045"",""articles_with_PRISMA_reasons!Y2:Y2113""), $A988=IMPORTRANGE(""https://docs.google.com/spreadsheets/d/1BJSV3WBYJGRhQ6z"&amp;"ExamkszQ5VutGIcaQqmbD9ZTVXMQ/edit#gid=1251630045"",""articles_with_PRISMA_reasons!B2:B2113""))&gt;=2,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$A988=IMPORTRANGE(""https://docs.google.com/spreadsheets/d/1BJSV3WBYJGRhQ6zExamkszQ5VutGIcaQqmbD9ZTVXMQ/edit#gid=1251630045"",""articles_with_PRISMA_reasons!B2:B2113""))&lt;2),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$A988=IMPORTRANGE(""https://docs.google.com/spreadsheets/d/1BJSV3WBYJGRhQ6zExamkszQ5VutGIcaQqmbD9ZTVXMQ/edit#gid=1251630045"",""arti"&amp;"cles_with_PRISMA_reasons!B2:B2113""))&lt;2,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$A988=IMPORTRANGE(""https://docs.google.com"&amp;"/spreadsheets/d/1BJSV3WBYJGRhQ6zExamkszQ5VutGIcaQqmbD9ZTVXMQ/edit#gid=1251630045"",""articles_with_PRISMA_reasons!B2:B2113""))&gt;=2),
""Exclude""
)"),"Exclude")</f>
        <v>Exclude</v>
      </c>
      <c r="E988" s="5" t="str">
        <f>IFERROR(__xludf.DUMMYFUNCTION("IFS(
D988=""Exclude"",""Exclude"",
AND(
FILTER(IMPORTRANGE(""https://docs.google.com/spreadsheets/d/1qpEmbGH0JjaJbUdp21-y2cPbobDbMjr09BbtdKROZWc/edit#gid=1444865654"",""articles_with_PRISMA_reasons!W2:W2113""), $A988=IMPORTRANGE(""https://docs.google.com/"&amp;"spreadsheets/d/1qpEmbGH0JjaJbUdp21-y2cPbobDbMjr09BbtdKROZWc/edit#gid=1444865654"",""articles_with_PRISMA_reasons!B2:B2113""))&gt;=2,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$A988=IMPORTRANGE(""https://docs.google.com/spreadsheets/d/1qpEmbGH0JjaJbUdp21-y2cPbobDbMjr09BbtdKROZWc/edit#gid=1444865654"",""articles_with_PRISMA_reasons!B2:B2113""))&lt;2),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$A988=IMPORTRANGE(""https://docs.google.com/spreadsheets/d/1qpEmbGH0JjaJbUdp21-y2cPbobDbMjr09BbtdKRO"&amp;"ZWc/edit#gid=1444865654"",""articles_with_PRISMA_reasons!B2:B2113""))&lt;2,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$A988=IMPOR"&amp;"TRANGE(""https://docs.google.com/spreadsheets/d/1qpEmbGH0JjaJbUdp21-y2cPbobDbMjr09BbtdKROZWc/edit#gid=1444865654"",""articles_with_PRISMA_reasons!B2:B2113""))&gt;=2),
""Exclude""
)"),"Exclude")</f>
        <v>Exclude</v>
      </c>
      <c r="F988" s="5" t="str">
        <f>IFERROR(__xludf.DUMMYFUNCTION("IFS(
E988=""Exclude"",""Exclude"",
AND(
COUNTIF(
IMPORTRANGE(""https://docs.google.com/spreadsheets/d/1kGrh75X1cNR1D7_FcY9zMnHP8iPO4M5RCRjy6nZY0TY/edit#gid=0"",""Table 1: Study characteristics!B4:B171""),A988)&gt;0,
COUNTIF(Studies!$A$2:$A$85,FILTER(IMPORTRA"&amp;"NGE(""https://docs.google.com/spreadsheets/d/1kGrh75X1cNR1D7_FcY9zMnHP8iPO4M5RCRjy6nZY0TY/edit#gid=0"",""Table 1: Study characteristics!A4:A171""), $A988=IMPORTRANGE(""https://docs.google.com/spreadsheets/d/1kGrh75X1cNR1D7_FcY9zMnHP8iPO4M5RCRjy6nZY0TY/edi"&amp;"t#gid=0"",""Table 1: Study characteristics!B4:B171"")))&gt;0
),
""Include""
)"),"Exclude")</f>
        <v>Exclude</v>
      </c>
      <c r="G988" s="5" t="str">
        <f>IFERROR(__xludf.DUMMYFUNCTION("IFS(
D988=""Exclude"",
FILTER(IMPORTRANGE(""https://docs.google.com/spreadsheets/d/1BJSV3WBYJGRhQ6zExamkszQ5VutGIcaQqmbD9ZTVXMQ/edit#gid=1251630045"",""articles_with_PRISMA_reasons!AB2:AB2113""), $A988=IMPORTRANGE(""https://docs.google.com/spreadsheets/d/"&amp;"1BJSV3WBYJGRhQ6zExamkszQ5VutGIcaQqmbD9ZTVXMQ/edit#gid=1251630045"",""articles_with_PRISMA_reasons!B2:B2113"")),
E988=""Exclude"",
FILTER(IMPORTRANGE(""https://docs.google.com/spreadsheets/d/1qpEmbGH0JjaJbUdp21-y2cPbobDbMjr09BbtdKROZWc/edit#gid=1444865654"&amp;""",""articles_with_PRISMA_reasons!Z2:Z2113""), $A988=IMPORTRANGE(""https://docs.google.com/spreadsheets/d/1qpEmbGH0JjaJbUdp21-y2cPbobDbMjr09BbtdKROZWc/edit#gid=1444865654"",""articles_with_PRISMA_reasons!B2:B2113"")),F988
=""Include"",FILTER(IMPORTRANGE("&amp;"""https://docs.google.com/spreadsheets/d/1kGrh75X1cNR1D7_FcY9zMnHP8iPO4M5RCRjy6nZY0TY/edit#gid=0"",""Table 1: Study characteristics!A4:A171""), $A988=IMPORTRANGE(""https://docs.google.com/spreadsheets/d/1kGrh75X1cNR1D7_FcY9zMnHP8iPO4M5RCRjy6nZY0TY/edit#gi"&amp;"d=0"",""Table 1: Study characteristics!B4:B171""))
)"),"wrong study design")</f>
        <v>wrong study design</v>
      </c>
    </row>
    <row r="989">
      <c r="A989" s="4" t="str">
        <f>IFERROR(__xludf.DUMMYFUNCTION("""COMPUTED_VALUE"""),"Instrumented arthrodesis for non-traumatic craniocervical instability in very young children")</f>
        <v>Instrumented arthrodesis for non-traumatic craniocervical instability in very young children</v>
      </c>
      <c r="B989" s="5" t="str">
        <f>IFERROR(__xludf.DUMMYFUNCTION("LEFT(FILTER(IMPORTRANGE(""https://docs.google.com/spreadsheets/d/1BJSV3WBYJGRhQ6zExamkszQ5VutGIcaQqmbD9ZTVXMQ/edit#gid=1251630045"",""articles_with_PRISMA_reasons!K2:K2113""), $A989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$A989=IMPORTRANGE(""https://docs.google.com/spreadsheets/d/1BJSV3WBYJGRhQ6zExamkszQ5VutGIcaQqmbD9ZTVXMQ/edit#gid=1251630045"",""articles_with_PRISMA_reasons!B2:B2113"")))-1)"),"Baaj")</f>
        <v>Baaj</v>
      </c>
      <c r="C989" s="6">
        <f>IFERROR(__xludf.DUMMYFUNCTION("FILTER(IMPORTRANGE(""https://docs.google.com/spreadsheets/d/1BJSV3WBYJGRhQ6zExamkszQ5VutGIcaQqmbD9ZTVXMQ/edit#gid=1251630045"",""articles_with_PRISMA_reasons!C2:C2113""), $A989=IMPORTRANGE(""https://docs.google.com/spreadsheets/d/1BJSV3WBYJGRhQ6zExamkszQ5"&amp;"VutGIcaQqmbD9ZTVXMQ/edit#gid=1251630045"",""articles_with_PRISMA_reasons!B2:B2113""))"),2019.0)</f>
        <v>2019</v>
      </c>
      <c r="D989" s="5" t="str">
        <f>IFERROR(__xludf.DUMMYFUNCTION("IFS(AND(
FILTER(IMPORTRANGE(""https://docs.google.com/spreadsheets/d/1BJSV3WBYJGRhQ6zExamkszQ5VutGIcaQqmbD9ZTVXMQ/edit#gid=1251630045"",""articles_with_PRISMA_reasons!Y2:Y2113""), $A989=IMPORTRANGE(""https://docs.google.com/spreadsheets/d/1BJSV3WBYJGRhQ6z"&amp;"ExamkszQ5VutGIcaQqmbD9ZTVXMQ/edit#gid=1251630045"",""articles_with_PRISMA_reasons!B2:B2113""))&gt;=2,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$A989=IMPORTRANGE(""https://docs.google.com/spreadsheets/d/1BJSV3WBYJGRhQ6zExamkszQ5VutGIcaQqmbD9ZTVXMQ/edit#gid=1251630045"",""articles_with_PRISMA_reasons!B2:B2113""))&lt;2),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$A989=IMPORTRANGE(""https://docs.google.com/spreadsheets/d/1BJSV3WBYJGRhQ6zExamkszQ5VutGIcaQqmbD9ZTVXMQ/edit#gid=1251630045"",""arti"&amp;"cles_with_PRISMA_reasons!B2:B2113""))&lt;2,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$A989=IMPORTRANGE(""https://docs.google.com"&amp;"/spreadsheets/d/1BJSV3WBYJGRhQ6zExamkszQ5VutGIcaQqmbD9ZTVXMQ/edit#gid=1251630045"",""articles_with_PRISMA_reasons!B2:B2113""))&gt;=2),
""Exclude""
)"),"Exclude")</f>
        <v>Exclude</v>
      </c>
      <c r="E989" s="5" t="str">
        <f>IFERROR(__xludf.DUMMYFUNCTION("IFS(
D989=""Exclude"",""Exclude"",
AND(
FILTER(IMPORTRANGE(""https://docs.google.com/spreadsheets/d/1qpEmbGH0JjaJbUdp21-y2cPbobDbMjr09BbtdKROZWc/edit#gid=1444865654"",""articles_with_PRISMA_reasons!W2:W2113""), $A989=IMPORTRANGE(""https://docs.google.com/"&amp;"spreadsheets/d/1qpEmbGH0JjaJbUdp21-y2cPbobDbMjr09BbtdKROZWc/edit#gid=1444865654"",""articles_with_PRISMA_reasons!B2:B2113""))&gt;=2,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$A989=IMPORTRANGE(""https://docs.google.com/spreadsheets/d/1qpEmbGH0JjaJbUdp21-y2cPbobDbMjr09BbtdKROZWc/edit#gid=1444865654"",""articles_with_PRISMA_reasons!B2:B2113""))&lt;2),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$A989=IMPORTRANGE(""https://docs.google.com/spreadsheets/d/1qpEmbGH0JjaJbUdp21-y2cPbobDbMjr09BbtdKRO"&amp;"ZWc/edit#gid=1444865654"",""articles_with_PRISMA_reasons!B2:B2113""))&lt;2,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$A989=IMPOR"&amp;"TRANGE(""https://docs.google.com/spreadsheets/d/1qpEmbGH0JjaJbUdp21-y2cPbobDbMjr09BbtdKROZWc/edit#gid=1444865654"",""articles_with_PRISMA_reasons!B2:B2113""))&gt;=2),
""Exclude""
)"),"Exclude")</f>
        <v>Exclude</v>
      </c>
      <c r="F989" s="5" t="str">
        <f>IFERROR(__xludf.DUMMYFUNCTION("IFS(
E989=""Exclude"",""Exclude"",
AND(
COUNTIF(
IMPORTRANGE(""https://docs.google.com/spreadsheets/d/1kGrh75X1cNR1D7_FcY9zMnHP8iPO4M5RCRjy6nZY0TY/edit#gid=0"",""Table 1: Study characteristics!B4:B171""),A989)&gt;0,
COUNTIF(Studies!$A$2:$A$85,FILTER(IMPORTRA"&amp;"NGE(""https://docs.google.com/spreadsheets/d/1kGrh75X1cNR1D7_FcY9zMnHP8iPO4M5RCRjy6nZY0TY/edit#gid=0"",""Table 1: Study characteristics!A4:A171""), $A989=IMPORTRANGE(""https://docs.google.com/spreadsheets/d/1kGrh75X1cNR1D7_FcY9zMnHP8iPO4M5RCRjy6nZY0TY/edi"&amp;"t#gid=0"",""Table 1: Study characteristics!B4:B171"")))&gt;0
),
""Include""
)"),"Exclude")</f>
        <v>Exclude</v>
      </c>
      <c r="G989" s="5" t="str">
        <f>IFERROR(__xludf.DUMMYFUNCTION("IFS(
D989=""Exclude"",
FILTER(IMPORTRANGE(""https://docs.google.com/spreadsheets/d/1BJSV3WBYJGRhQ6zExamkszQ5VutGIcaQqmbD9ZTVXMQ/edit#gid=1251630045"",""articles_with_PRISMA_reasons!AB2:AB2113""), $A989=IMPORTRANGE(""https://docs.google.com/spreadsheets/d/"&amp;"1BJSV3WBYJGRhQ6zExamkszQ5VutGIcaQqmbD9ZTVXMQ/edit#gid=1251630045"",""articles_with_PRISMA_reasons!B2:B2113"")),
E989=""Exclude"",
FILTER(IMPORTRANGE(""https://docs.google.com/spreadsheets/d/1qpEmbGH0JjaJbUdp21-y2cPbobDbMjr09BbtdKROZWc/edit#gid=1444865654"&amp;""",""articles_with_PRISMA_reasons!Z2:Z2113""), $A989=IMPORTRANGE(""https://docs.google.com/spreadsheets/d/1qpEmbGH0JjaJbUdp21-y2cPbobDbMjr09BbtdKROZWc/edit#gid=1444865654"",""articles_with_PRISMA_reasons!B2:B2113"")),F989
=""Include"",FILTER(IMPORTRANGE("&amp;"""https://docs.google.com/spreadsheets/d/1kGrh75X1cNR1D7_FcY9zMnHP8iPO4M5RCRjy6nZY0TY/edit#gid=0"",""Table 1: Study characteristics!A4:A171""), $A989=IMPORTRANGE(""https://docs.google.com/spreadsheets/d/1kGrh75X1cNR1D7_FcY9zMnHP8iPO4M5RCRjy6nZY0TY/edit#gi"&amp;"d=0"",""Table 1: Study characteristics!B4:B171""))
)"),"wrong population")</f>
        <v>wrong population</v>
      </c>
    </row>
    <row r="990">
      <c r="A990" s="4" t="str">
        <f>IFERROR(__xludf.DUMMYFUNCTION("""COMPUTED_VALUE"""),"Intellectual and perceptual-motor characteristics of treated myelomeningocele children")</f>
        <v>Intellectual and perceptual-motor characteristics of treated myelomeningocele children</v>
      </c>
      <c r="B990" s="5" t="str">
        <f>IFERROR(__xludf.DUMMYFUNCTION("LEFT(FILTER(IMPORTRANGE(""https://docs.google.com/spreadsheets/d/1BJSV3WBYJGRhQ6zExamkszQ5VutGIcaQqmbD9ZTVXMQ/edit#gid=1251630045"",""articles_with_PRISMA_reasons!K2:K2113""), $A990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$A990=IMPORTRANGE(""https://docs.google.com/spreadsheets/d/1BJSV3WBYJGRhQ6zExamkszQ5VutGIcaQqmbD9ZTVXMQ/edit#gid=1251630045"",""articles_with_PRISMA_reasons!B2:B2113"")))-1)"),"Soare")</f>
        <v>Soare</v>
      </c>
      <c r="C990" s="6">
        <f>IFERROR(__xludf.DUMMYFUNCTION("FILTER(IMPORTRANGE(""https://docs.google.com/spreadsheets/d/1BJSV3WBYJGRhQ6zExamkszQ5VutGIcaQqmbD9ZTVXMQ/edit#gid=1251630045"",""articles_with_PRISMA_reasons!C2:C2113""), $A990=IMPORTRANGE(""https://docs.google.com/spreadsheets/d/1BJSV3WBYJGRhQ6zExamkszQ5"&amp;"VutGIcaQqmbD9ZTVXMQ/edit#gid=1251630045"",""articles_with_PRISMA_reasons!B2:B2113""))"),1977.0)</f>
        <v>1977</v>
      </c>
      <c r="D990" s="5" t="str">
        <f>IFERROR(__xludf.DUMMYFUNCTION("IFS(AND(
FILTER(IMPORTRANGE(""https://docs.google.com/spreadsheets/d/1BJSV3WBYJGRhQ6zExamkszQ5VutGIcaQqmbD9ZTVXMQ/edit#gid=1251630045"",""articles_with_PRISMA_reasons!Y2:Y2113""), $A990=IMPORTRANGE(""https://docs.google.com/spreadsheets/d/1BJSV3WBYJGRhQ6z"&amp;"ExamkszQ5VutGIcaQqmbD9ZTVXMQ/edit#gid=1251630045"",""articles_with_PRISMA_reasons!B2:B2113""))&gt;=2,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$A990=IMPORTRANGE(""https://docs.google.com/spreadsheets/d/1BJSV3WBYJGRhQ6zExamkszQ5VutGIcaQqmbD9ZTVXMQ/edit#gid=1251630045"",""articles_with_PRISMA_reasons!B2:B2113""))&lt;2),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$A990=IMPORTRANGE(""https://docs.google.com/spreadsheets/d/1BJSV3WBYJGRhQ6zExamkszQ5VutGIcaQqmbD9ZTVXMQ/edit#gid=1251630045"",""arti"&amp;"cles_with_PRISMA_reasons!B2:B2113""))&lt;2,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$A990=IMPORTRANGE(""https://docs.google.com"&amp;"/spreadsheets/d/1BJSV3WBYJGRhQ6zExamkszQ5VutGIcaQqmbD9ZTVXMQ/edit#gid=1251630045"",""articles_with_PRISMA_reasons!B2:B2113""))&gt;=2),
""Exclude""
)"),"Exclude")</f>
        <v>Exclude</v>
      </c>
      <c r="E990" s="5" t="str">
        <f>IFERROR(__xludf.DUMMYFUNCTION("IFS(
D990=""Exclude"",""Exclude"",
AND(
FILTER(IMPORTRANGE(""https://docs.google.com/spreadsheets/d/1qpEmbGH0JjaJbUdp21-y2cPbobDbMjr09BbtdKROZWc/edit#gid=1444865654"",""articles_with_PRISMA_reasons!W2:W2113""), $A990=IMPORTRANGE(""https://docs.google.com/"&amp;"spreadsheets/d/1qpEmbGH0JjaJbUdp21-y2cPbobDbMjr09BbtdKROZWc/edit#gid=1444865654"",""articles_with_PRISMA_reasons!B2:B2113""))&gt;=2,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$A990=IMPORTRANGE(""https://docs.google.com/spreadsheets/d/1qpEmbGH0JjaJbUdp21-y2cPbobDbMjr09BbtdKROZWc/edit#gid=1444865654"",""articles_with_PRISMA_reasons!B2:B2113""))&lt;2),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$A990=IMPORTRANGE(""https://docs.google.com/spreadsheets/d/1qpEmbGH0JjaJbUdp21-y2cPbobDbMjr09BbtdKRO"&amp;"ZWc/edit#gid=1444865654"",""articles_with_PRISMA_reasons!B2:B2113""))&lt;2,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$A990=IMPOR"&amp;"TRANGE(""https://docs.google.com/spreadsheets/d/1qpEmbGH0JjaJbUdp21-y2cPbobDbMjr09BbtdKROZWc/edit#gid=1444865654"",""articles_with_PRISMA_reasons!B2:B2113""))&gt;=2),
""Exclude""
)"),"Exclude")</f>
        <v>Exclude</v>
      </c>
      <c r="F990" s="5" t="str">
        <f>IFERROR(__xludf.DUMMYFUNCTION("IFS(
E990=""Exclude"",""Exclude"",
AND(
COUNTIF(
IMPORTRANGE(""https://docs.google.com/spreadsheets/d/1kGrh75X1cNR1D7_FcY9zMnHP8iPO4M5RCRjy6nZY0TY/edit#gid=0"",""Table 1: Study characteristics!B4:B171""),A990)&gt;0,
COUNTIF(Studies!$A$2:$A$85,FILTER(IMPORTRA"&amp;"NGE(""https://docs.google.com/spreadsheets/d/1kGrh75X1cNR1D7_FcY9zMnHP8iPO4M5RCRjy6nZY0TY/edit#gid=0"",""Table 1: Study characteristics!A4:A171""), $A990=IMPORTRANGE(""https://docs.google.com/spreadsheets/d/1kGrh75X1cNR1D7_FcY9zMnHP8iPO4M5RCRjy6nZY0TY/edi"&amp;"t#gid=0"",""Table 1: Study characteristics!B4:B171"")))&gt;0
),
""Include""
)"),"Exclude")</f>
        <v>Exclude</v>
      </c>
      <c r="G990" s="5" t="str">
        <f>IFERROR(__xludf.DUMMYFUNCTION("IFS(
D990=""Exclude"",
FILTER(IMPORTRANGE(""https://docs.google.com/spreadsheets/d/1BJSV3WBYJGRhQ6zExamkszQ5VutGIcaQqmbD9ZTVXMQ/edit#gid=1251630045"",""articles_with_PRISMA_reasons!AB2:AB2113""), $A990=IMPORTRANGE(""https://docs.google.com/spreadsheets/d/"&amp;"1BJSV3WBYJGRhQ6zExamkszQ5VutGIcaQqmbD9ZTVXMQ/edit#gid=1251630045"",""articles_with_PRISMA_reasons!B2:B2113"")),
E990=""Exclude"",
FILTER(IMPORTRANGE(""https://docs.google.com/spreadsheets/d/1qpEmbGH0JjaJbUdp21-y2cPbobDbMjr09BbtdKROZWc/edit#gid=1444865654"&amp;""",""articles_with_PRISMA_reasons!Z2:Z2113""), $A990=IMPORTRANGE(""https://docs.google.com/spreadsheets/d/1qpEmbGH0JjaJbUdp21-y2cPbobDbMjr09BbtdKROZWc/edit#gid=1444865654"",""articles_with_PRISMA_reasons!B2:B2113"")),F990
=""Include"",FILTER(IMPORTRANGE("&amp;"""https://docs.google.com/spreadsheets/d/1kGrh75X1cNR1D7_FcY9zMnHP8iPO4M5RCRjy6nZY0TY/edit#gid=0"",""Table 1: Study characteristics!A4:A171""), $A990=IMPORTRANGE(""https://docs.google.com/spreadsheets/d/1kGrh75X1cNR1D7_FcY9zMnHP8iPO4M5RCRjy6nZY0TY/edit#gi"&amp;"d=0"",""Table 1: Study characteristics!B4:B171""))
)"),"wrong population")</f>
        <v>wrong population</v>
      </c>
    </row>
    <row r="991">
      <c r="A991" s="4" t="str">
        <f>IFERROR(__xludf.DUMMYFUNCTION("""COMPUTED_VALUE"""),"Intellectual characteristics using WISC-IV in children with myelomeningocele")</f>
        <v>Intellectual characteristics using WISC-IV in children with myelomeningocele</v>
      </c>
      <c r="B991" s="5" t="str">
        <f>IFERROR(__xludf.DUMMYFUNCTION("LEFT(FILTER(IMPORTRANGE(""https://docs.google.com/spreadsheets/d/1BJSV3WBYJGRhQ6zExamkszQ5VutGIcaQqmbD9ZTVXMQ/edit#gid=1251630045"",""articles_with_PRISMA_reasons!K2:K2113""), $A991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$A991=IMPORTRANGE(""https://docs.google.com/spreadsheets/d/1BJSV3WBYJGRhQ6zExamkszQ5VutGIcaQqmbD9ZTVXMQ/edit#gid=1251630045"",""articles_with_PRISMA_reasons!B2:B2113"")))-1)"),"Mano")</f>
        <v>Mano</v>
      </c>
      <c r="C991" s="6">
        <f>IFERROR(__xludf.DUMMYFUNCTION("FILTER(IMPORTRANGE(""https://docs.google.com/spreadsheets/d/1BJSV3WBYJGRhQ6zExamkszQ5VutGIcaQqmbD9ZTVXMQ/edit#gid=1251630045"",""articles_with_PRISMA_reasons!C2:C2113""), $A991=IMPORTRANGE(""https://docs.google.com/spreadsheets/d/1BJSV3WBYJGRhQ6zExamkszQ5"&amp;"VutGIcaQqmbD9ZTVXMQ/edit#gid=1251630045"",""articles_with_PRISMA_reasons!B2:B2113""))"),2018.0)</f>
        <v>2018</v>
      </c>
      <c r="D991" s="5" t="str">
        <f>IFERROR(__xludf.DUMMYFUNCTION("IFS(AND(
FILTER(IMPORTRANGE(""https://docs.google.com/spreadsheets/d/1BJSV3WBYJGRhQ6zExamkszQ5VutGIcaQqmbD9ZTVXMQ/edit#gid=1251630045"",""articles_with_PRISMA_reasons!Y2:Y2113""), $A991=IMPORTRANGE(""https://docs.google.com/spreadsheets/d/1BJSV3WBYJGRhQ6z"&amp;"ExamkszQ5VutGIcaQqmbD9ZTVXMQ/edit#gid=1251630045"",""articles_with_PRISMA_reasons!B2:B2113""))&gt;=2,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$A991=IMPORTRANGE(""https://docs.google.com/spreadsheets/d/1BJSV3WBYJGRhQ6zExamkszQ5VutGIcaQqmbD9ZTVXMQ/edit#gid=1251630045"",""articles_with_PRISMA_reasons!B2:B2113""))&lt;2),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$A991=IMPORTRANGE(""https://docs.google.com/spreadsheets/d/1BJSV3WBYJGRhQ6zExamkszQ5VutGIcaQqmbD9ZTVXMQ/edit#gid=1251630045"",""arti"&amp;"cles_with_PRISMA_reasons!B2:B2113""))&lt;2,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$A991=IMPORTRANGE(""https://docs.google.com"&amp;"/spreadsheets/d/1BJSV3WBYJGRhQ6zExamkszQ5VutGIcaQqmbD9ZTVXMQ/edit#gid=1251630045"",""articles_with_PRISMA_reasons!B2:B2113""))&gt;=2),
""Exclude""
)"),"Exclude")</f>
        <v>Exclude</v>
      </c>
      <c r="E991" s="5" t="str">
        <f>IFERROR(__xludf.DUMMYFUNCTION("IFS(
D991=""Exclude"",""Exclude"",
AND(
FILTER(IMPORTRANGE(""https://docs.google.com/spreadsheets/d/1qpEmbGH0JjaJbUdp21-y2cPbobDbMjr09BbtdKROZWc/edit#gid=1444865654"",""articles_with_PRISMA_reasons!W2:W2113""), $A991=IMPORTRANGE(""https://docs.google.com/"&amp;"spreadsheets/d/1qpEmbGH0JjaJbUdp21-y2cPbobDbMjr09BbtdKROZWc/edit#gid=1444865654"",""articles_with_PRISMA_reasons!B2:B2113""))&gt;=2,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$A991=IMPORTRANGE(""https://docs.google.com/spreadsheets/d/1qpEmbGH0JjaJbUdp21-y2cPbobDbMjr09BbtdKROZWc/edit#gid=1444865654"",""articles_with_PRISMA_reasons!B2:B2113""))&lt;2),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$A991=IMPORTRANGE(""https://docs.google.com/spreadsheets/d/1qpEmbGH0JjaJbUdp21-y2cPbobDbMjr09BbtdKRO"&amp;"ZWc/edit#gid=1444865654"",""articles_with_PRISMA_reasons!B2:B2113""))&lt;2,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$A991=IMPOR"&amp;"TRANGE(""https://docs.google.com/spreadsheets/d/1qpEmbGH0JjaJbUdp21-y2cPbobDbMjr09BbtdKROZWc/edit#gid=1444865654"",""articles_with_PRISMA_reasons!B2:B2113""))&gt;=2),
""Exclude""
)"),"Exclude")</f>
        <v>Exclude</v>
      </c>
      <c r="F991" s="5" t="str">
        <f>IFERROR(__xludf.DUMMYFUNCTION("IFS(
E991=""Exclude"",""Exclude"",
AND(
COUNTIF(
IMPORTRANGE(""https://docs.google.com/spreadsheets/d/1kGrh75X1cNR1D7_FcY9zMnHP8iPO4M5RCRjy6nZY0TY/edit#gid=0"",""Table 1: Study characteristics!B4:B171""),A991)&gt;0,
COUNTIF(Studies!$A$2:$A$85,FILTER(IMPORTRA"&amp;"NGE(""https://docs.google.com/spreadsheets/d/1kGrh75X1cNR1D7_FcY9zMnHP8iPO4M5RCRjy6nZY0TY/edit#gid=0"",""Table 1: Study characteristics!A4:A171""), $A991=IMPORTRANGE(""https://docs.google.com/spreadsheets/d/1kGrh75X1cNR1D7_FcY9zMnHP8iPO4M5RCRjy6nZY0TY/edi"&amp;"t#gid=0"",""Table 1: Study characteristics!B4:B171"")))&gt;0
),
""Include""
)"),"Exclude")</f>
        <v>Exclude</v>
      </c>
      <c r="G991" s="5" t="str">
        <f>IFERROR(__xludf.DUMMYFUNCTION("IFS(
D991=""Exclude"",
FILTER(IMPORTRANGE(""https://docs.google.com/spreadsheets/d/1BJSV3WBYJGRhQ6zExamkszQ5VutGIcaQqmbD9ZTVXMQ/edit#gid=1251630045"",""articles_with_PRISMA_reasons!AB2:AB2113""), $A991=IMPORTRANGE(""https://docs.google.com/spreadsheets/d/"&amp;"1BJSV3WBYJGRhQ6zExamkszQ5VutGIcaQqmbD9ZTVXMQ/edit#gid=1251630045"",""articles_with_PRISMA_reasons!B2:B2113"")),
E991=""Exclude"",
FILTER(IMPORTRANGE(""https://docs.google.com/spreadsheets/d/1qpEmbGH0JjaJbUdp21-y2cPbobDbMjr09BbtdKROZWc/edit#gid=1444865654"&amp;""",""articles_with_PRISMA_reasons!Z2:Z2113""), $A991=IMPORTRANGE(""https://docs.google.com/spreadsheets/d/1qpEmbGH0JjaJbUdp21-y2cPbobDbMjr09BbtdKROZWc/edit#gid=1444865654"",""articles_with_PRISMA_reasons!B2:B2113"")),F991
=""Include"",FILTER(IMPORTRANGE("&amp;"""https://docs.google.com/spreadsheets/d/1kGrh75X1cNR1D7_FcY9zMnHP8iPO4M5RCRjy6nZY0TY/edit#gid=0"",""Table 1: Study characteristics!A4:A171""), $A991=IMPORTRANGE(""https://docs.google.com/spreadsheets/d/1kGrh75X1cNR1D7_FcY9zMnHP8iPO4M5RCRjy6nZY0TY/edit#gi"&amp;"d=0"",""Table 1: Study characteristics!B4:B171""))
)"),"wrong population")</f>
        <v>wrong population</v>
      </c>
    </row>
    <row r="992">
      <c r="A992" s="4" t="str">
        <f>IFERROR(__xludf.DUMMYFUNCTION("""COMPUTED_VALUE"""),"Intellectual efficiency in children and adolescents with spina bifida myelomeningocele and shunted hydrocephalus")</f>
        <v>Intellectual efficiency in children and adolescents with spina bifida myelomeningocele and shunted hydrocephalus</v>
      </c>
      <c r="B992" s="5" t="str">
        <f>IFERROR(__xludf.DUMMYFUNCTION("LEFT(FILTER(IMPORTRANGE(""https://docs.google.com/spreadsheets/d/1BJSV3WBYJGRhQ6zExamkszQ5VutGIcaQqmbD9ZTVXMQ/edit#gid=1251630045"",""articles_with_PRISMA_reasons!K2:K2113""), $A992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$A992=IMPORTRANGE(""https://docs.google.com/spreadsheets/d/1BJSV3WBYJGRhQ6zExamkszQ5VutGIcaQqmbD9ZTVXMQ/edit#gid=1251630045"",""articles_with_PRISMA_reasons!B2:B2113"")))-1)"),"Burro")</f>
        <v>Burro</v>
      </c>
      <c r="C992" s="6">
        <f>IFERROR(__xludf.DUMMYFUNCTION("FILTER(IMPORTRANGE(""https://docs.google.com/spreadsheets/d/1BJSV3WBYJGRhQ6zExamkszQ5VutGIcaQqmbD9ZTVXMQ/edit#gid=1251630045"",""articles_with_PRISMA_reasons!C2:C2113""), $A992=IMPORTRANGE(""https://docs.google.com/spreadsheets/d/1BJSV3WBYJGRhQ6zExamkszQ5"&amp;"VutGIcaQqmbD9ZTVXMQ/edit#gid=1251630045"",""articles_with_PRISMA_reasons!B2:B2113""))"),2018.0)</f>
        <v>2018</v>
      </c>
      <c r="D992" s="5" t="str">
        <f>IFERROR(__xludf.DUMMYFUNCTION("IFS(AND(
FILTER(IMPORTRANGE(""https://docs.google.com/spreadsheets/d/1BJSV3WBYJGRhQ6zExamkszQ5VutGIcaQqmbD9ZTVXMQ/edit#gid=1251630045"",""articles_with_PRISMA_reasons!Y2:Y2113""), $A992=IMPORTRANGE(""https://docs.google.com/spreadsheets/d/1BJSV3WBYJGRhQ6z"&amp;"ExamkszQ5VutGIcaQqmbD9ZTVXMQ/edit#gid=1251630045"",""articles_with_PRISMA_reasons!B2:B2113""))&gt;=2,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$A992=IMPORTRANGE(""https://docs.google.com/spreadsheets/d/1BJSV3WBYJGRhQ6zExamkszQ5VutGIcaQqmbD9ZTVXMQ/edit#gid=1251630045"",""articles_with_PRISMA_reasons!B2:B2113""))&lt;2),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$A992=IMPORTRANGE(""https://docs.google.com/spreadsheets/d/1BJSV3WBYJGRhQ6zExamkszQ5VutGIcaQqmbD9ZTVXMQ/edit#gid=1251630045"",""arti"&amp;"cles_with_PRISMA_reasons!B2:B2113""))&lt;2,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$A992=IMPORTRANGE(""https://docs.google.com"&amp;"/spreadsheets/d/1BJSV3WBYJGRhQ6zExamkszQ5VutGIcaQqmbD9ZTVXMQ/edit#gid=1251630045"",""articles_with_PRISMA_reasons!B2:B2113""))&gt;=2),
""Exclude""
)"),"Exclude")</f>
        <v>Exclude</v>
      </c>
      <c r="E992" s="5" t="str">
        <f>IFERROR(__xludf.DUMMYFUNCTION("IFS(
D992=""Exclude"",""Exclude"",
AND(
FILTER(IMPORTRANGE(""https://docs.google.com/spreadsheets/d/1qpEmbGH0JjaJbUdp21-y2cPbobDbMjr09BbtdKROZWc/edit#gid=1444865654"",""articles_with_PRISMA_reasons!W2:W2113""), $A992=IMPORTRANGE(""https://docs.google.com/"&amp;"spreadsheets/d/1qpEmbGH0JjaJbUdp21-y2cPbobDbMjr09BbtdKROZWc/edit#gid=1444865654"",""articles_with_PRISMA_reasons!B2:B2113""))&gt;=2,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$A992=IMPORTRANGE(""https://docs.google.com/spreadsheets/d/1qpEmbGH0JjaJbUdp21-y2cPbobDbMjr09BbtdKROZWc/edit#gid=1444865654"",""articles_with_PRISMA_reasons!B2:B2113""))&lt;2),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$A992=IMPORTRANGE(""https://docs.google.com/spreadsheets/d/1qpEmbGH0JjaJbUdp21-y2cPbobDbMjr09BbtdKRO"&amp;"ZWc/edit#gid=1444865654"",""articles_with_PRISMA_reasons!B2:B2113""))&lt;2,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$A992=IMPOR"&amp;"TRANGE(""https://docs.google.com/spreadsheets/d/1qpEmbGH0JjaJbUdp21-y2cPbobDbMjr09BbtdKROZWc/edit#gid=1444865654"",""articles_with_PRISMA_reasons!B2:B2113""))&gt;=2),
""Exclude""
)"),"Exclude")</f>
        <v>Exclude</v>
      </c>
      <c r="F992" s="5" t="str">
        <f>IFERROR(__xludf.DUMMYFUNCTION("IFS(
E992=""Exclude"",""Exclude"",
AND(
COUNTIF(
IMPORTRANGE(""https://docs.google.com/spreadsheets/d/1kGrh75X1cNR1D7_FcY9zMnHP8iPO4M5RCRjy6nZY0TY/edit#gid=0"",""Table 1: Study characteristics!B4:B171""),A992)&gt;0,
COUNTIF(Studies!$A$2:$A$85,FILTER(IMPORTRA"&amp;"NGE(""https://docs.google.com/spreadsheets/d/1kGrh75X1cNR1D7_FcY9zMnHP8iPO4M5RCRjy6nZY0TY/edit#gid=0"",""Table 1: Study characteristics!A4:A171""), $A992=IMPORTRANGE(""https://docs.google.com/spreadsheets/d/1kGrh75X1cNR1D7_FcY9zMnHP8iPO4M5RCRjy6nZY0TY/edi"&amp;"t#gid=0"",""Table 1: Study characteristics!B4:B171"")))&gt;0
),
""Include""
)"),"Exclude")</f>
        <v>Exclude</v>
      </c>
      <c r="G992" s="5" t="str">
        <f>IFERROR(__xludf.DUMMYFUNCTION("IFS(
D992=""Exclude"",
FILTER(IMPORTRANGE(""https://docs.google.com/spreadsheets/d/1BJSV3WBYJGRhQ6zExamkszQ5VutGIcaQqmbD9ZTVXMQ/edit#gid=1251630045"",""articles_with_PRISMA_reasons!AB2:AB2113""), $A992=IMPORTRANGE(""https://docs.google.com/spreadsheets/d/"&amp;"1BJSV3WBYJGRhQ6zExamkszQ5VutGIcaQqmbD9ZTVXMQ/edit#gid=1251630045"",""articles_with_PRISMA_reasons!B2:B2113"")),
E992=""Exclude"",
FILTER(IMPORTRANGE(""https://docs.google.com/spreadsheets/d/1qpEmbGH0JjaJbUdp21-y2cPbobDbMjr09BbtdKROZWc/edit#gid=1444865654"&amp;""",""articles_with_PRISMA_reasons!Z2:Z2113""), $A992=IMPORTRANGE(""https://docs.google.com/spreadsheets/d/1qpEmbGH0JjaJbUdp21-y2cPbobDbMjr09BbtdKROZWc/edit#gid=1444865654"",""articles_with_PRISMA_reasons!B2:B2113"")),F992
=""Include"",FILTER(IMPORTRANGE("&amp;"""https://docs.google.com/spreadsheets/d/1kGrh75X1cNR1D7_FcY9zMnHP8iPO4M5RCRjy6nZY0TY/edit#gid=0"",""Table 1: Study characteristics!A4:A171""), $A992=IMPORTRANGE(""https://docs.google.com/spreadsheets/d/1kGrh75X1cNR1D7_FcY9zMnHP8iPO4M5RCRjy6nZY0TY/edit#gi"&amp;"d=0"",""Table 1: Study characteristics!B4:B171""))
)"),"wrong study design")</f>
        <v>wrong study design</v>
      </c>
    </row>
    <row r="993">
      <c r="A993" s="4" t="str">
        <f>IFERROR(__xludf.DUMMYFUNCTION("""COMPUTED_VALUE"""),"Intelligence and achievement in children with myelomeningocele")</f>
        <v>Intelligence and achievement in children with myelomeningocele</v>
      </c>
      <c r="B993" s="5" t="str">
        <f>IFERROR(__xludf.DUMMYFUNCTION("LEFT(FILTER(IMPORTRANGE(""https://docs.google.com/spreadsheets/d/1BJSV3WBYJGRhQ6zExamkszQ5VutGIcaQqmbD9ZTVXMQ/edit#gid=1251630045"",""articles_with_PRISMA_reasons!K2:K2113""), $A993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$A993=IMPORTRANGE(""https://docs.google.com/spreadsheets/d/1BJSV3WBYJGRhQ6zExamkszQ5VutGIcaQqmbD9ZTVXMQ/edit#gid=1251630045"",""articles_with_PRISMA_reasons!B2:B2113"")))-1)"),"Wills")</f>
        <v>Wills</v>
      </c>
      <c r="C993" s="6">
        <f>IFERROR(__xludf.DUMMYFUNCTION("FILTER(IMPORTRANGE(""https://docs.google.com/spreadsheets/d/1BJSV3WBYJGRhQ6zExamkszQ5VutGIcaQqmbD9ZTVXMQ/edit#gid=1251630045"",""articles_with_PRISMA_reasons!C2:C2113""), $A993=IMPORTRANGE(""https://docs.google.com/spreadsheets/d/1BJSV3WBYJGRhQ6zExamkszQ5"&amp;"VutGIcaQqmbD9ZTVXMQ/edit#gid=1251630045"",""articles_with_PRISMA_reasons!B2:B2113""))"),1990.0)</f>
        <v>1990</v>
      </c>
      <c r="D993" s="5" t="str">
        <f>IFERROR(__xludf.DUMMYFUNCTION("IFS(AND(
FILTER(IMPORTRANGE(""https://docs.google.com/spreadsheets/d/1BJSV3WBYJGRhQ6zExamkszQ5VutGIcaQqmbD9ZTVXMQ/edit#gid=1251630045"",""articles_with_PRISMA_reasons!Y2:Y2113""), $A993=IMPORTRANGE(""https://docs.google.com/spreadsheets/d/1BJSV3WBYJGRhQ6z"&amp;"ExamkszQ5VutGIcaQqmbD9ZTVXMQ/edit#gid=1251630045"",""articles_with_PRISMA_reasons!B2:B2113""))&gt;=2,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$A993=IMPORTRANGE(""https://docs.google.com/spreadsheets/d/1BJSV3WBYJGRhQ6zExamkszQ5VutGIcaQqmbD9ZTVXMQ/edit#gid=1251630045"",""articles_with_PRISMA_reasons!B2:B2113""))&lt;2),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$A993=IMPORTRANGE(""https://docs.google.com/spreadsheets/d/1BJSV3WBYJGRhQ6zExamkszQ5VutGIcaQqmbD9ZTVXMQ/edit#gid=1251630045"",""arti"&amp;"cles_with_PRISMA_reasons!B2:B2113""))&lt;2,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$A993=IMPORTRANGE(""https://docs.google.com"&amp;"/spreadsheets/d/1BJSV3WBYJGRhQ6zExamkszQ5VutGIcaQqmbD9ZTVXMQ/edit#gid=1251630045"",""articles_with_PRISMA_reasons!B2:B2113""))&gt;=2),
""Exclude""
)"),"Exclude")</f>
        <v>Exclude</v>
      </c>
      <c r="E993" s="5" t="str">
        <f>IFERROR(__xludf.DUMMYFUNCTION("IFS(
D993=""Exclude"",""Exclude"",
AND(
FILTER(IMPORTRANGE(""https://docs.google.com/spreadsheets/d/1qpEmbGH0JjaJbUdp21-y2cPbobDbMjr09BbtdKROZWc/edit#gid=1444865654"",""articles_with_PRISMA_reasons!W2:W2113""), $A993=IMPORTRANGE(""https://docs.google.com/"&amp;"spreadsheets/d/1qpEmbGH0JjaJbUdp21-y2cPbobDbMjr09BbtdKROZWc/edit#gid=1444865654"",""articles_with_PRISMA_reasons!B2:B2113""))&gt;=2,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$A993=IMPORTRANGE(""https://docs.google.com/spreadsheets/d/1qpEmbGH0JjaJbUdp21-y2cPbobDbMjr09BbtdKROZWc/edit#gid=1444865654"",""articles_with_PRISMA_reasons!B2:B2113""))&lt;2),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$A993=IMPORTRANGE(""https://docs.google.com/spreadsheets/d/1qpEmbGH0JjaJbUdp21-y2cPbobDbMjr09BbtdKRO"&amp;"ZWc/edit#gid=1444865654"",""articles_with_PRISMA_reasons!B2:B2113""))&lt;2,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$A993=IMPOR"&amp;"TRANGE(""https://docs.google.com/spreadsheets/d/1qpEmbGH0JjaJbUdp21-y2cPbobDbMjr09BbtdKROZWc/edit#gid=1444865654"",""articles_with_PRISMA_reasons!B2:B2113""))&gt;=2),
""Exclude""
)"),"Exclude")</f>
        <v>Exclude</v>
      </c>
      <c r="F993" s="5" t="str">
        <f>IFERROR(__xludf.DUMMYFUNCTION("IFS(
E993=""Exclude"",""Exclude"",
AND(
COUNTIF(
IMPORTRANGE(""https://docs.google.com/spreadsheets/d/1kGrh75X1cNR1D7_FcY9zMnHP8iPO4M5RCRjy6nZY0TY/edit#gid=0"",""Table 1: Study characteristics!B4:B171""),A993)&gt;0,
COUNTIF(Studies!$A$2:$A$85,FILTER(IMPORTRA"&amp;"NGE(""https://docs.google.com/spreadsheets/d/1kGrh75X1cNR1D7_FcY9zMnHP8iPO4M5RCRjy6nZY0TY/edit#gid=0"",""Table 1: Study characteristics!A4:A171""), $A993=IMPORTRANGE(""https://docs.google.com/spreadsheets/d/1kGrh75X1cNR1D7_FcY9zMnHP8iPO4M5RCRjy6nZY0TY/edi"&amp;"t#gid=0"",""Table 1: Study characteristics!B4:B171"")))&gt;0
),
""Include""
)"),"Exclude")</f>
        <v>Exclude</v>
      </c>
      <c r="G993" s="5" t="str">
        <f>IFERROR(__xludf.DUMMYFUNCTION("IFS(
D993=""Exclude"",
FILTER(IMPORTRANGE(""https://docs.google.com/spreadsheets/d/1BJSV3WBYJGRhQ6zExamkszQ5VutGIcaQqmbD9ZTVXMQ/edit#gid=1251630045"",""articles_with_PRISMA_reasons!AB2:AB2113""), $A993=IMPORTRANGE(""https://docs.google.com/spreadsheets/d/"&amp;"1BJSV3WBYJGRhQ6zExamkszQ5VutGIcaQqmbD9ZTVXMQ/edit#gid=1251630045"",""articles_with_PRISMA_reasons!B2:B2113"")),
E993=""Exclude"",
FILTER(IMPORTRANGE(""https://docs.google.com/spreadsheets/d/1qpEmbGH0JjaJbUdp21-y2cPbobDbMjr09BbtdKROZWc/edit#gid=1444865654"&amp;""",""articles_with_PRISMA_reasons!Z2:Z2113""), $A993=IMPORTRANGE(""https://docs.google.com/spreadsheets/d/1qpEmbGH0JjaJbUdp21-y2cPbobDbMjr09BbtdKROZWc/edit#gid=1444865654"",""articles_with_PRISMA_reasons!B2:B2113"")),F993
=""Include"",FILTER(IMPORTRANGE("&amp;"""https://docs.google.com/spreadsheets/d/1kGrh75X1cNR1D7_FcY9zMnHP8iPO4M5RCRjy6nZY0TY/edit#gid=0"",""Table 1: Study characteristics!A4:A171""), $A993=IMPORTRANGE(""https://docs.google.com/spreadsheets/d/1kGrh75X1cNR1D7_FcY9zMnHP8iPO4M5RCRjy6nZY0TY/edit#gi"&amp;"d=0"",""Table 1: Study characteristics!B4:B171""))
)"),"wrong population")</f>
        <v>wrong population</v>
      </c>
    </row>
    <row r="994">
      <c r="A994" s="4" t="str">
        <f>IFERROR(__xludf.DUMMYFUNCTION("""COMPUTED_VALUE"""),"Intelligence in children with hydrocephalus, aged 4-15 years: A population-based, controlled study")</f>
        <v>Intelligence in children with hydrocephalus, aged 4-15 years: A population-based, controlled study</v>
      </c>
      <c r="B994" s="5" t="str">
        <f>IFERROR(__xludf.DUMMYFUNCTION("LEFT(FILTER(IMPORTRANGE(""https://docs.google.com/spreadsheets/d/1BJSV3WBYJGRhQ6zExamkszQ5VutGIcaQqmbD9ZTVXMQ/edit#gid=1251630045"",""articles_with_PRISMA_reasons!K2:K2113""), $A994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$A994=IMPORTRANGE(""https://docs.google.com/spreadsheets/d/1BJSV3WBYJGRhQ6zExamkszQ5VutGIcaQqmbD9ZTVXMQ/edit#gid=1251630045"",""articles_with_PRISMA_reasons!B2:B2113"")))-1)"),"Dalen")</f>
        <v>Dalen</v>
      </c>
      <c r="C994" s="6">
        <f>IFERROR(__xludf.DUMMYFUNCTION("FILTER(IMPORTRANGE(""https://docs.google.com/spreadsheets/d/1BJSV3WBYJGRhQ6zExamkszQ5VutGIcaQqmbD9ZTVXMQ/edit#gid=1251630045"",""articles_with_PRISMA_reasons!C2:C2113""), $A994=IMPORTRANGE(""https://docs.google.com/spreadsheets/d/1BJSV3WBYJGRhQ6zExamkszQ5"&amp;"VutGIcaQqmbD9ZTVXMQ/edit#gid=1251630045"",""articles_with_PRISMA_reasons!B2:B2113""))"),2008.0)</f>
        <v>2008</v>
      </c>
      <c r="D994" s="5" t="str">
        <f>IFERROR(__xludf.DUMMYFUNCTION("IFS(AND(
FILTER(IMPORTRANGE(""https://docs.google.com/spreadsheets/d/1BJSV3WBYJGRhQ6zExamkszQ5VutGIcaQqmbD9ZTVXMQ/edit#gid=1251630045"",""articles_with_PRISMA_reasons!Y2:Y2113""), $A994=IMPORTRANGE(""https://docs.google.com/spreadsheets/d/1BJSV3WBYJGRhQ6z"&amp;"ExamkszQ5VutGIcaQqmbD9ZTVXMQ/edit#gid=1251630045"",""articles_with_PRISMA_reasons!B2:B2113""))&gt;=2,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$A994=IMPORTRANGE(""https://docs.google.com/spreadsheets/d/1BJSV3WBYJGRhQ6zExamkszQ5VutGIcaQqmbD9ZTVXMQ/edit#gid=1251630045"",""articles_with_PRISMA_reasons!B2:B2113""))&lt;2),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$A994=IMPORTRANGE(""https://docs.google.com/spreadsheets/d/1BJSV3WBYJGRhQ6zExamkszQ5VutGIcaQqmbD9ZTVXMQ/edit#gid=1251630045"",""arti"&amp;"cles_with_PRISMA_reasons!B2:B2113""))&lt;2,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$A994=IMPORTRANGE(""https://docs.google.com"&amp;"/spreadsheets/d/1BJSV3WBYJGRhQ6zExamkszQ5VutGIcaQqmbD9ZTVXMQ/edit#gid=1251630045"",""articles_with_PRISMA_reasons!B2:B2113""))&gt;=2),
""Exclude""
)"),"Exclude")</f>
        <v>Exclude</v>
      </c>
      <c r="E994" s="5" t="str">
        <f>IFERROR(__xludf.DUMMYFUNCTION("IFS(
D994=""Exclude"",""Exclude"",
AND(
FILTER(IMPORTRANGE(""https://docs.google.com/spreadsheets/d/1qpEmbGH0JjaJbUdp21-y2cPbobDbMjr09BbtdKROZWc/edit#gid=1444865654"",""articles_with_PRISMA_reasons!W2:W2113""), $A994=IMPORTRANGE(""https://docs.google.com/"&amp;"spreadsheets/d/1qpEmbGH0JjaJbUdp21-y2cPbobDbMjr09BbtdKROZWc/edit#gid=1444865654"",""articles_with_PRISMA_reasons!B2:B2113""))&gt;=2,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$A994=IMPORTRANGE(""https://docs.google.com/spreadsheets/d/1qpEmbGH0JjaJbUdp21-y2cPbobDbMjr09BbtdKROZWc/edit#gid=1444865654"",""articles_with_PRISMA_reasons!B2:B2113""))&lt;2),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$A994=IMPORTRANGE(""https://docs.google.com/spreadsheets/d/1qpEmbGH0JjaJbUdp21-y2cPbobDbMjr09BbtdKRO"&amp;"ZWc/edit#gid=1444865654"",""articles_with_PRISMA_reasons!B2:B2113""))&lt;2,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$A994=IMPOR"&amp;"TRANGE(""https://docs.google.com/spreadsheets/d/1qpEmbGH0JjaJbUdp21-y2cPbobDbMjr09BbtdKROZWc/edit#gid=1444865654"",""articles_with_PRISMA_reasons!B2:B2113""))&gt;=2),
""Exclude""
)"),"Exclude")</f>
        <v>Exclude</v>
      </c>
      <c r="F994" s="5" t="str">
        <f>IFERROR(__xludf.DUMMYFUNCTION("IFS(
E994=""Exclude"",""Exclude"",
AND(
COUNTIF(
IMPORTRANGE(""https://docs.google.com/spreadsheets/d/1kGrh75X1cNR1D7_FcY9zMnHP8iPO4M5RCRjy6nZY0TY/edit#gid=0"",""Table 1: Study characteristics!B4:B171""),A994)&gt;0,
COUNTIF(Studies!$A$2:$A$85,FILTER(IMPORTRA"&amp;"NGE(""https://docs.google.com/spreadsheets/d/1kGrh75X1cNR1D7_FcY9zMnHP8iPO4M5RCRjy6nZY0TY/edit#gid=0"",""Table 1: Study characteristics!A4:A171""), $A994=IMPORTRANGE(""https://docs.google.com/spreadsheets/d/1kGrh75X1cNR1D7_FcY9zMnHP8iPO4M5RCRjy6nZY0TY/edi"&amp;"t#gid=0"",""Table 1: Study characteristics!B4:B171"")))&gt;0
),
""Include""
)"),"Exclude")</f>
        <v>Exclude</v>
      </c>
      <c r="G994" s="5" t="str">
        <f>IFERROR(__xludf.DUMMYFUNCTION("IFS(
D994=""Exclude"",
FILTER(IMPORTRANGE(""https://docs.google.com/spreadsheets/d/1BJSV3WBYJGRhQ6zExamkszQ5VutGIcaQqmbD9ZTVXMQ/edit#gid=1251630045"",""articles_with_PRISMA_reasons!AB2:AB2113""), $A994=IMPORTRANGE(""https://docs.google.com/spreadsheets/d/"&amp;"1BJSV3WBYJGRhQ6zExamkszQ5VutGIcaQqmbD9ZTVXMQ/edit#gid=1251630045"",""articles_with_PRISMA_reasons!B2:B2113"")),
E994=""Exclude"",
FILTER(IMPORTRANGE(""https://docs.google.com/spreadsheets/d/1qpEmbGH0JjaJbUdp21-y2cPbobDbMjr09BbtdKROZWc/edit#gid=1444865654"&amp;""",""articles_with_PRISMA_reasons!Z2:Z2113""), $A994=IMPORTRANGE(""https://docs.google.com/spreadsheets/d/1qpEmbGH0JjaJbUdp21-y2cPbobDbMjr09BbtdKROZWc/edit#gid=1444865654"",""articles_with_PRISMA_reasons!B2:B2113"")),F994
=""Include"",FILTER(IMPORTRANGE("&amp;"""https://docs.google.com/spreadsheets/d/1kGrh75X1cNR1D7_FcY9zMnHP8iPO4M5RCRjy6nZY0TY/edit#gid=0"",""Table 1: Study characteristics!A4:A171""), $A994=IMPORTRANGE(""https://docs.google.com/spreadsheets/d/1kGrh75X1cNR1D7_FcY9zMnHP8iPO4M5RCRjy6nZY0TY/edit#gi"&amp;"d=0"",""Table 1: Study characteristics!B4:B171""))
)"),"wrong study design")</f>
        <v>wrong study design</v>
      </c>
    </row>
    <row r="995">
      <c r="A995" s="4" t="str">
        <f>IFERROR(__xludf.DUMMYFUNCTION("""COMPUTED_VALUE"""),"INTELLIGENCE LEVELS AND EDUCATIONAL STATUS OF CHILDREN WITH MENINGOMYELOCOELE")</f>
        <v>INTELLIGENCE LEVELS AND EDUCATIONAL STATUS OF CHILDREN WITH MENINGOMYELOCOELE</v>
      </c>
      <c r="B995" s="5" t="str">
        <f>IFERROR(__xludf.DUMMYFUNCTION("LEFT(FILTER(IMPORTRANGE(""https://docs.google.com/spreadsheets/d/1BJSV3WBYJGRhQ6zExamkszQ5VutGIcaQqmbD9ZTVXMQ/edit#gid=1251630045"",""articles_with_PRISMA_reasons!K2:K2113""), $A995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$A995=IMPORTRANGE(""https://docs.google.com/spreadsheets/d/1BJSV3WBYJGRhQ6zExamkszQ5VutGIcaQqmbD9ZTVXMQ/edit#gid=1251630045"",""articles_with_PRISMA_reasons!B2:B2113"")))-1)"),"Stephen")</f>
        <v>Stephen</v>
      </c>
      <c r="C995" s="6">
        <f>IFERROR(__xludf.DUMMYFUNCTION("FILTER(IMPORTRANGE(""https://docs.google.com/spreadsheets/d/1BJSV3WBYJGRhQ6zExamkszQ5VutGIcaQqmbD9ZTVXMQ/edit#gid=1251630045"",""articles_with_PRISMA_reasons!C2:C2113""), $A995=IMPORTRANGE(""https://docs.google.com/spreadsheets/d/1BJSV3WBYJGRhQ6zExamkszQ5"&amp;"VutGIcaQqmbD9ZTVXMQ/edit#gid=1251630045"",""articles_with_PRISMA_reasons!B2:B2113""))"),1963.0)</f>
        <v>1963</v>
      </c>
      <c r="D995" s="5" t="str">
        <f>IFERROR(__xludf.DUMMYFUNCTION("IFS(AND(
FILTER(IMPORTRANGE(""https://docs.google.com/spreadsheets/d/1BJSV3WBYJGRhQ6zExamkszQ5VutGIcaQqmbD9ZTVXMQ/edit#gid=1251630045"",""articles_with_PRISMA_reasons!Y2:Y2113""), $A995=IMPORTRANGE(""https://docs.google.com/spreadsheets/d/1BJSV3WBYJGRhQ6z"&amp;"ExamkszQ5VutGIcaQqmbD9ZTVXMQ/edit#gid=1251630045"",""articles_with_PRISMA_reasons!B2:B2113""))&gt;=2,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$A995=IMPORTRANGE(""https://docs.google.com/spreadsheets/d/1BJSV3WBYJGRhQ6zExamkszQ5VutGIcaQqmbD9ZTVXMQ/edit#gid=1251630045"",""articles_with_PRISMA_reasons!B2:B2113""))&lt;2),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$A995=IMPORTRANGE(""https://docs.google.com/spreadsheets/d/1BJSV3WBYJGRhQ6zExamkszQ5VutGIcaQqmbD9ZTVXMQ/edit#gid=1251630045"",""arti"&amp;"cles_with_PRISMA_reasons!B2:B2113""))&lt;2,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$A995=IMPORTRANGE(""https://docs.google.com"&amp;"/spreadsheets/d/1BJSV3WBYJGRhQ6zExamkszQ5VutGIcaQqmbD9ZTVXMQ/edit#gid=1251630045"",""articles_with_PRISMA_reasons!B2:B2113""))&gt;=2),
""Exclude""
)"),"Exclude")</f>
        <v>Exclude</v>
      </c>
      <c r="E995" s="5" t="str">
        <f>IFERROR(__xludf.DUMMYFUNCTION("IFS(
D995=""Exclude"",""Exclude"",
AND(
FILTER(IMPORTRANGE(""https://docs.google.com/spreadsheets/d/1qpEmbGH0JjaJbUdp21-y2cPbobDbMjr09BbtdKROZWc/edit#gid=1444865654"",""articles_with_PRISMA_reasons!W2:W2113""), $A995=IMPORTRANGE(""https://docs.google.com/"&amp;"spreadsheets/d/1qpEmbGH0JjaJbUdp21-y2cPbobDbMjr09BbtdKROZWc/edit#gid=1444865654"",""articles_with_PRISMA_reasons!B2:B2113""))&gt;=2,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$A995=IMPORTRANGE(""https://docs.google.com/spreadsheets/d/1qpEmbGH0JjaJbUdp21-y2cPbobDbMjr09BbtdKROZWc/edit#gid=1444865654"",""articles_with_PRISMA_reasons!B2:B2113""))&lt;2),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$A995=IMPORTRANGE(""https://docs.google.com/spreadsheets/d/1qpEmbGH0JjaJbUdp21-y2cPbobDbMjr09BbtdKRO"&amp;"ZWc/edit#gid=1444865654"",""articles_with_PRISMA_reasons!B2:B2113""))&lt;2,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$A995=IMPOR"&amp;"TRANGE(""https://docs.google.com/spreadsheets/d/1qpEmbGH0JjaJbUdp21-y2cPbobDbMjr09BbtdKROZWc/edit#gid=1444865654"",""articles_with_PRISMA_reasons!B2:B2113""))&gt;=2),
""Exclude""
)"),"Exclude")</f>
        <v>Exclude</v>
      </c>
      <c r="F995" s="5" t="str">
        <f>IFERROR(__xludf.DUMMYFUNCTION("IFS(
E995=""Exclude"",""Exclude"",
AND(
COUNTIF(
IMPORTRANGE(""https://docs.google.com/spreadsheets/d/1kGrh75X1cNR1D7_FcY9zMnHP8iPO4M5RCRjy6nZY0TY/edit#gid=0"",""Table 1: Study characteristics!B4:B171""),A995)&gt;0,
COUNTIF(Studies!$A$2:$A$85,FILTER(IMPORTRA"&amp;"NGE(""https://docs.google.com/spreadsheets/d/1kGrh75X1cNR1D7_FcY9zMnHP8iPO4M5RCRjy6nZY0TY/edit#gid=0"",""Table 1: Study characteristics!A4:A171""), $A995=IMPORTRANGE(""https://docs.google.com/spreadsheets/d/1kGrh75X1cNR1D7_FcY9zMnHP8iPO4M5RCRjy6nZY0TY/edi"&amp;"t#gid=0"",""Table 1: Study characteristics!B4:B171"")))&gt;0
),
""Include""
)"),"Exclude")</f>
        <v>Exclude</v>
      </c>
      <c r="G995" s="5" t="str">
        <f>IFERROR(__xludf.DUMMYFUNCTION("IFS(
D995=""Exclude"",
FILTER(IMPORTRANGE(""https://docs.google.com/spreadsheets/d/1BJSV3WBYJGRhQ6zExamkszQ5VutGIcaQqmbD9ZTVXMQ/edit#gid=1251630045"",""articles_with_PRISMA_reasons!AB2:AB2113""), $A995=IMPORTRANGE(""https://docs.google.com/spreadsheets/d/"&amp;"1BJSV3WBYJGRhQ6zExamkszQ5VutGIcaQqmbD9ZTVXMQ/edit#gid=1251630045"",""articles_with_PRISMA_reasons!B2:B2113"")),
E995=""Exclude"",
FILTER(IMPORTRANGE(""https://docs.google.com/spreadsheets/d/1qpEmbGH0JjaJbUdp21-y2cPbobDbMjr09BbtdKROZWc/edit#gid=1444865654"&amp;""",""articles_with_PRISMA_reasons!Z2:Z2113""), $A995=IMPORTRANGE(""https://docs.google.com/spreadsheets/d/1qpEmbGH0JjaJbUdp21-y2cPbobDbMjr09BbtdKROZWc/edit#gid=1444865654"",""articles_with_PRISMA_reasons!B2:B2113"")),F995
=""Include"",FILTER(IMPORTRANGE("&amp;"""https://docs.google.com/spreadsheets/d/1kGrh75X1cNR1D7_FcY9zMnHP8iPO4M5RCRjy6nZY0TY/edit#gid=0"",""Table 1: Study characteristics!A4:A171""), $A995=IMPORTRANGE(""https://docs.google.com/spreadsheets/d/1kGrh75X1cNR1D7_FcY9zMnHP8iPO4M5RCRjy6nZY0TY/edit#gi"&amp;"d=0"",""Table 1: Study characteristics!B4:B171""))
)"),"wrong study design")</f>
        <v>wrong study design</v>
      </c>
    </row>
    <row r="996">
      <c r="A996" s="4" t="str">
        <f>IFERROR(__xludf.DUMMYFUNCTION("""COMPUTED_VALUE"""),"Intensive treatment of fifty children born with Myelomeningocele")</f>
        <v>Intensive treatment of fifty children born with Myelomeningocele</v>
      </c>
      <c r="B996" s="5" t="str">
        <f>IFERROR(__xludf.DUMMYFUNCTION("LEFT(FILTER(IMPORTRANGE(""https://docs.google.com/spreadsheets/d/1BJSV3WBYJGRhQ6zExamkszQ5VutGIcaQqmbD9ZTVXMQ/edit#gid=1251630045"",""articles_with_PRISMA_reasons!K2:K2113""), $A996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$A996=IMPORTRANGE(""https://docs.google.com/spreadsheets/d/1BJSV3WBYJGRhQ6zExamkszQ5VutGIcaQqmbD9ZTVXMQ/edit#gid=1251630045"",""articles_with_PRISMA_reasons!B2:B2113"")))-1)"),"Shulman")</f>
        <v>Shulman</v>
      </c>
      <c r="C996" s="6">
        <f>IFERROR(__xludf.DUMMYFUNCTION("FILTER(IMPORTRANGE(""https://docs.google.com/spreadsheets/d/1BJSV3WBYJGRhQ6zExamkszQ5VutGIcaQqmbD9ZTVXMQ/edit#gid=1251630045"",""articles_with_PRISMA_reasons!C2:C2113""), $A996=IMPORTRANGE(""https://docs.google.com/spreadsheets/d/1BJSV3WBYJGRhQ6zExamkszQ5"&amp;"VutGIcaQqmbD9ZTVXMQ/edit#gid=1251630045"",""articles_with_PRISMA_reasons!B2:B2113""))"),1968.0)</f>
        <v>1968</v>
      </c>
      <c r="D996" s="5" t="str">
        <f>IFERROR(__xludf.DUMMYFUNCTION("IFS(AND(
FILTER(IMPORTRANGE(""https://docs.google.com/spreadsheets/d/1BJSV3WBYJGRhQ6zExamkszQ5VutGIcaQqmbD9ZTVXMQ/edit#gid=1251630045"",""articles_with_PRISMA_reasons!Y2:Y2113""), $A996=IMPORTRANGE(""https://docs.google.com/spreadsheets/d/1BJSV3WBYJGRhQ6z"&amp;"ExamkszQ5VutGIcaQqmbD9ZTVXMQ/edit#gid=1251630045"",""articles_with_PRISMA_reasons!B2:B2113""))&gt;=2,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$A996=IMPORTRANGE(""https://docs.google.com/spreadsheets/d/1BJSV3WBYJGRhQ6zExamkszQ5VutGIcaQqmbD9ZTVXMQ/edit#gid=1251630045"",""articles_with_PRISMA_reasons!B2:B2113""))&lt;2),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$A996=IMPORTRANGE(""https://docs.google.com/spreadsheets/d/1BJSV3WBYJGRhQ6zExamkszQ5VutGIcaQqmbD9ZTVXMQ/edit#gid=1251630045"",""arti"&amp;"cles_with_PRISMA_reasons!B2:B2113""))&lt;2,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$A996=IMPORTRANGE(""https://docs.google.com"&amp;"/spreadsheets/d/1BJSV3WBYJGRhQ6zExamkszQ5VutGIcaQqmbD9ZTVXMQ/edit#gid=1251630045"",""articles_with_PRISMA_reasons!B2:B2113""))&gt;=2),
""Exclude""
)"),"Exclude")</f>
        <v>Exclude</v>
      </c>
      <c r="E996" s="5" t="str">
        <f>IFERROR(__xludf.DUMMYFUNCTION("IFS(
D996=""Exclude"",""Exclude"",
AND(
FILTER(IMPORTRANGE(""https://docs.google.com/spreadsheets/d/1qpEmbGH0JjaJbUdp21-y2cPbobDbMjr09BbtdKROZWc/edit#gid=1444865654"",""articles_with_PRISMA_reasons!W2:W2113""), $A996=IMPORTRANGE(""https://docs.google.com/"&amp;"spreadsheets/d/1qpEmbGH0JjaJbUdp21-y2cPbobDbMjr09BbtdKROZWc/edit#gid=1444865654"",""articles_with_PRISMA_reasons!B2:B2113""))&gt;=2,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$A996=IMPORTRANGE(""https://docs.google.com/spreadsheets/d/1qpEmbGH0JjaJbUdp21-y2cPbobDbMjr09BbtdKROZWc/edit#gid=1444865654"",""articles_with_PRISMA_reasons!B2:B2113""))&lt;2),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$A996=IMPORTRANGE(""https://docs.google.com/spreadsheets/d/1qpEmbGH0JjaJbUdp21-y2cPbobDbMjr09BbtdKRO"&amp;"ZWc/edit#gid=1444865654"",""articles_with_PRISMA_reasons!B2:B2113""))&lt;2,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$A996=IMPOR"&amp;"TRANGE(""https://docs.google.com/spreadsheets/d/1qpEmbGH0JjaJbUdp21-y2cPbobDbMjr09BbtdKROZWc/edit#gid=1444865654"",""articles_with_PRISMA_reasons!B2:B2113""))&gt;=2),
""Exclude""
)"),"Exclude")</f>
        <v>Exclude</v>
      </c>
      <c r="F996" s="5" t="str">
        <f>IFERROR(__xludf.DUMMYFUNCTION("IFS(
E996=""Exclude"",""Exclude"",
AND(
COUNTIF(
IMPORTRANGE(""https://docs.google.com/spreadsheets/d/1kGrh75X1cNR1D7_FcY9zMnHP8iPO4M5RCRjy6nZY0TY/edit#gid=0"",""Table 1: Study characteristics!B4:B171""),A996)&gt;0,
COUNTIF(Studies!$A$2:$A$85,FILTER(IMPORTRA"&amp;"NGE(""https://docs.google.com/spreadsheets/d/1kGrh75X1cNR1D7_FcY9zMnHP8iPO4M5RCRjy6nZY0TY/edit#gid=0"",""Table 1: Study characteristics!A4:A171""), $A996=IMPORTRANGE(""https://docs.google.com/spreadsheets/d/1kGrh75X1cNR1D7_FcY9zMnHP8iPO4M5RCRjy6nZY0TY/edi"&amp;"t#gid=0"",""Table 1: Study characteristics!B4:B171"")))&gt;0
),
""Include""
)"),"Exclude")</f>
        <v>Exclude</v>
      </c>
      <c r="G996" s="5" t="str">
        <f>IFERROR(__xludf.DUMMYFUNCTION("IFS(
D996=""Exclude"",
FILTER(IMPORTRANGE(""https://docs.google.com/spreadsheets/d/1BJSV3WBYJGRhQ6zExamkszQ5VutGIcaQqmbD9ZTVXMQ/edit#gid=1251630045"",""articles_with_PRISMA_reasons!AB2:AB2113""), $A996=IMPORTRANGE(""https://docs.google.com/spreadsheets/d/"&amp;"1BJSV3WBYJGRhQ6zExamkszQ5VutGIcaQqmbD9ZTVXMQ/edit#gid=1251630045"",""articles_with_PRISMA_reasons!B2:B2113"")),
E996=""Exclude"",
FILTER(IMPORTRANGE(""https://docs.google.com/spreadsheets/d/1qpEmbGH0JjaJbUdp21-y2cPbobDbMjr09BbtdKROZWc/edit#gid=1444865654"&amp;""",""articles_with_PRISMA_reasons!Z2:Z2113""), $A996=IMPORTRANGE(""https://docs.google.com/spreadsheets/d/1qpEmbGH0JjaJbUdp21-y2cPbobDbMjr09BbtdKROZWc/edit#gid=1444865654"",""articles_with_PRISMA_reasons!B2:B2113"")),F996
=""Include"",FILTER(IMPORTRANGE("&amp;"""https://docs.google.com/spreadsheets/d/1kGrh75X1cNR1D7_FcY9zMnHP8iPO4M5RCRjy6nZY0TY/edit#gid=0"",""Table 1: Study characteristics!A4:A171""), $A996=IMPORTRANGE(""https://docs.google.com/spreadsheets/d/1kGrh75X1cNR1D7_FcY9zMnHP8iPO4M5RCRjy6nZY0TY/edit#gi"&amp;"d=0"",""Table 1: Study characteristics!B4:B171""))
)"),"wrong study design")</f>
        <v>wrong study design</v>
      </c>
    </row>
    <row r="997">
      <c r="A997" s="4" t="str">
        <f>IFERROR(__xludf.DUMMYFUNCTION("""COMPUTED_VALUE"""),"Interfrontal encephalocele: a rare feature of forehead in hydrocephalic myelomeningocele patients. Clinical feature, probable mechanisms, and management")</f>
        <v>Interfrontal encephalocele: a rare feature of forehead in hydrocephalic myelomeningocele patients. Clinical feature, probable mechanisms, and management</v>
      </c>
      <c r="B997" s="5" t="str">
        <f>IFERROR(__xludf.DUMMYFUNCTION("LEFT(FILTER(IMPORTRANGE(""https://docs.google.com/spreadsheets/d/1BJSV3WBYJGRhQ6zExamkszQ5VutGIcaQqmbD9ZTVXMQ/edit#gid=1251630045"",""articles_with_PRISMA_reasons!K2:K2113""), $A997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$A997=IMPORTRANGE(""https://docs.google.com/spreadsheets/d/1BJSV3WBYJGRhQ6zExamkszQ5VutGIcaQqmbD9ZTVXMQ/edit#gid=1251630045"",""articles_with_PRISMA_reasons!B2:B2113"")))-1)"),"Nejat")</f>
        <v>Nejat</v>
      </c>
      <c r="C997" s="6">
        <f>IFERROR(__xludf.DUMMYFUNCTION("FILTER(IMPORTRANGE(""https://docs.google.com/spreadsheets/d/1BJSV3WBYJGRhQ6zExamkszQ5VutGIcaQqmbD9ZTVXMQ/edit#gid=1251630045"",""articles_with_PRISMA_reasons!C2:C2113""), $A997=IMPORTRANGE(""https://docs.google.com/spreadsheets/d/1BJSV3WBYJGRhQ6zExamkszQ5"&amp;"VutGIcaQqmbD9ZTVXMQ/edit#gid=1251630045"",""articles_with_PRISMA_reasons!B2:B2113""))"),2013.0)</f>
        <v>2013</v>
      </c>
      <c r="D997" s="5" t="str">
        <f>IFERROR(__xludf.DUMMYFUNCTION("IFS(AND(
FILTER(IMPORTRANGE(""https://docs.google.com/spreadsheets/d/1BJSV3WBYJGRhQ6zExamkszQ5VutGIcaQqmbD9ZTVXMQ/edit#gid=1251630045"",""articles_with_PRISMA_reasons!Y2:Y2113""), $A997=IMPORTRANGE(""https://docs.google.com/spreadsheets/d/1BJSV3WBYJGRhQ6z"&amp;"ExamkszQ5VutGIcaQqmbD9ZTVXMQ/edit#gid=1251630045"",""articles_with_PRISMA_reasons!B2:B2113""))&gt;=2,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$A997=IMPORTRANGE(""https://docs.google.com/spreadsheets/d/1BJSV3WBYJGRhQ6zExamkszQ5VutGIcaQqmbD9ZTVXMQ/edit#gid=1251630045"",""articles_with_PRISMA_reasons!B2:B2113""))&lt;2),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$A997=IMPORTRANGE(""https://docs.google.com/spreadsheets/d/1BJSV3WBYJGRhQ6zExamkszQ5VutGIcaQqmbD9ZTVXMQ/edit#gid=1251630045"",""arti"&amp;"cles_with_PRISMA_reasons!B2:B2113""))&lt;2,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$A997=IMPORTRANGE(""https://docs.google.com"&amp;"/spreadsheets/d/1BJSV3WBYJGRhQ6zExamkszQ5VutGIcaQqmbD9ZTVXMQ/edit#gid=1251630045"",""articles_with_PRISMA_reasons!B2:B2113""))&gt;=2),
""Exclude""
)"),"Exclude")</f>
        <v>Exclude</v>
      </c>
      <c r="E997" s="5" t="str">
        <f>IFERROR(__xludf.DUMMYFUNCTION("IFS(
D997=""Exclude"",""Exclude"",
AND(
FILTER(IMPORTRANGE(""https://docs.google.com/spreadsheets/d/1qpEmbGH0JjaJbUdp21-y2cPbobDbMjr09BbtdKROZWc/edit#gid=1444865654"",""articles_with_PRISMA_reasons!W2:W2113""), $A997=IMPORTRANGE(""https://docs.google.com/"&amp;"spreadsheets/d/1qpEmbGH0JjaJbUdp21-y2cPbobDbMjr09BbtdKROZWc/edit#gid=1444865654"",""articles_with_PRISMA_reasons!B2:B2113""))&gt;=2,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$A997=IMPORTRANGE(""https://docs.google.com/spreadsheets/d/1qpEmbGH0JjaJbUdp21-y2cPbobDbMjr09BbtdKROZWc/edit#gid=1444865654"",""articles_with_PRISMA_reasons!B2:B2113""))&lt;2),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$A997=IMPORTRANGE(""https://docs.google.com/spreadsheets/d/1qpEmbGH0JjaJbUdp21-y2cPbobDbMjr09BbtdKRO"&amp;"ZWc/edit#gid=1444865654"",""articles_with_PRISMA_reasons!B2:B2113""))&lt;2,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$A997=IMPOR"&amp;"TRANGE(""https://docs.google.com/spreadsheets/d/1qpEmbGH0JjaJbUdp21-y2cPbobDbMjr09BbtdKROZWc/edit#gid=1444865654"",""articles_with_PRISMA_reasons!B2:B2113""))&gt;=2),
""Exclude""
)"),"Exclude")</f>
        <v>Exclude</v>
      </c>
      <c r="F997" s="5" t="str">
        <f>IFERROR(__xludf.DUMMYFUNCTION("IFS(
E997=""Exclude"",""Exclude"",
AND(
COUNTIF(
IMPORTRANGE(""https://docs.google.com/spreadsheets/d/1kGrh75X1cNR1D7_FcY9zMnHP8iPO4M5RCRjy6nZY0TY/edit#gid=0"",""Table 1: Study characteristics!B4:B171""),A997)&gt;0,
COUNTIF(Studies!$A$2:$A$85,FILTER(IMPORTRA"&amp;"NGE(""https://docs.google.com/spreadsheets/d/1kGrh75X1cNR1D7_FcY9zMnHP8iPO4M5RCRjy6nZY0TY/edit#gid=0"",""Table 1: Study characteristics!A4:A171""), $A997=IMPORTRANGE(""https://docs.google.com/spreadsheets/d/1kGrh75X1cNR1D7_FcY9zMnHP8iPO4M5RCRjy6nZY0TY/edi"&amp;"t#gid=0"",""Table 1: Study characteristics!B4:B171"")))&gt;0
),
""Include""
)"),"Exclude")</f>
        <v>Exclude</v>
      </c>
      <c r="G997" s="5" t="str">
        <f>IFERROR(__xludf.DUMMYFUNCTION("IFS(
D997=""Exclude"",
FILTER(IMPORTRANGE(""https://docs.google.com/spreadsheets/d/1BJSV3WBYJGRhQ6zExamkszQ5VutGIcaQqmbD9ZTVXMQ/edit#gid=1251630045"",""articles_with_PRISMA_reasons!AB2:AB2113""), $A997=IMPORTRANGE(""https://docs.google.com/spreadsheets/d/"&amp;"1BJSV3WBYJGRhQ6zExamkszQ5VutGIcaQqmbD9ZTVXMQ/edit#gid=1251630045"",""articles_with_PRISMA_reasons!B2:B2113"")),
E997=""Exclude"",
FILTER(IMPORTRANGE(""https://docs.google.com/spreadsheets/d/1qpEmbGH0JjaJbUdp21-y2cPbobDbMjr09BbtdKROZWc/edit#gid=1444865654"&amp;""",""articles_with_PRISMA_reasons!Z2:Z2113""), $A997=IMPORTRANGE(""https://docs.google.com/spreadsheets/d/1qpEmbGH0JjaJbUdp21-y2cPbobDbMjr09BbtdKROZWc/edit#gid=1444865654"",""articles_with_PRISMA_reasons!B2:B2113"")),F997
=""Include"",FILTER(IMPORTRANGE("&amp;"""https://docs.google.com/spreadsheets/d/1kGrh75X1cNR1D7_FcY9zMnHP8iPO4M5RCRjy6nZY0TY/edit#gid=0"",""Table 1: Study characteristics!A4:A171""), $A997=IMPORTRANGE(""https://docs.google.com/spreadsheets/d/1kGrh75X1cNR1D7_FcY9zMnHP8iPO4M5RCRjy6nZY0TY/edit#gi"&amp;"d=0"",""Table 1: Study characteristics!B4:B171""))
)"),"wrong population")</f>
        <v>wrong population</v>
      </c>
    </row>
    <row r="998">
      <c r="A998" s="4" t="str">
        <f>IFERROR(__xludf.DUMMYFUNCTION("""COMPUTED_VALUE"""),"Interhemispheric transfer of visual, auditory, tactile, and visuomotor information in children with hydrocephalus and partial agenesis of the corpus callosum")</f>
        <v>Interhemispheric transfer of visual, auditory, tactile, and visuomotor information in children with hydrocephalus and partial agenesis of the corpus callosum</v>
      </c>
      <c r="B998" s="5" t="str">
        <f>IFERROR(__xludf.DUMMYFUNCTION("LEFT(FILTER(IMPORTRANGE(""https://docs.google.com/spreadsheets/d/1BJSV3WBYJGRhQ6zExamkszQ5VutGIcaQqmbD9ZTVXMQ/edit#gid=1251630045"",""articles_with_PRISMA_reasons!K2:K2113""), $A998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$A998=IMPORTRANGE(""https://docs.google.com/spreadsheets/d/1BJSV3WBYJGRhQ6zExamkszQ5VutGIcaQqmbD9ZTVXMQ/edit#gid=1251630045"",""articles_with_PRISMA_reasons!B2:B2113"")))-1)"),"Klaas")</f>
        <v>Klaas</v>
      </c>
      <c r="C998" s="6">
        <f>IFERROR(__xludf.DUMMYFUNCTION("FILTER(IMPORTRANGE(""https://docs.google.com/spreadsheets/d/1BJSV3WBYJGRhQ6zExamkszQ5VutGIcaQqmbD9ZTVXMQ/edit#gid=1251630045"",""articles_with_PRISMA_reasons!C2:C2113""), $A998=IMPORTRANGE(""https://docs.google.com/spreadsheets/d/1BJSV3WBYJGRhQ6zExamkszQ5"&amp;"VutGIcaQqmbD9ZTVXMQ/edit#gid=1251630045"",""articles_with_PRISMA_reasons!B2:B2113""))"),1999.0)</f>
        <v>1999</v>
      </c>
      <c r="D998" s="5" t="str">
        <f>IFERROR(__xludf.DUMMYFUNCTION("IFS(AND(
FILTER(IMPORTRANGE(""https://docs.google.com/spreadsheets/d/1BJSV3WBYJGRhQ6zExamkszQ5VutGIcaQqmbD9ZTVXMQ/edit#gid=1251630045"",""articles_with_PRISMA_reasons!Y2:Y2113""), $A998=IMPORTRANGE(""https://docs.google.com/spreadsheets/d/1BJSV3WBYJGRhQ6z"&amp;"ExamkszQ5VutGIcaQqmbD9ZTVXMQ/edit#gid=1251630045"",""articles_with_PRISMA_reasons!B2:B2113""))&gt;=2,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$A998=IMPORTRANGE(""https://docs.google.com/spreadsheets/d/1BJSV3WBYJGRhQ6zExamkszQ5VutGIcaQqmbD9ZTVXMQ/edit#gid=1251630045"",""articles_with_PRISMA_reasons!B2:B2113""))&lt;2),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$A998=IMPORTRANGE(""https://docs.google.com/spreadsheets/d/1BJSV3WBYJGRhQ6zExamkszQ5VutGIcaQqmbD9ZTVXMQ/edit#gid=1251630045"",""arti"&amp;"cles_with_PRISMA_reasons!B2:B2113""))&lt;2,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$A998=IMPORTRANGE(""https://docs.google.com"&amp;"/spreadsheets/d/1BJSV3WBYJGRhQ6zExamkszQ5VutGIcaQqmbD9ZTVXMQ/edit#gid=1251630045"",""articles_with_PRISMA_reasons!B2:B2113""))&gt;=2),
""Exclude""
)"),"Exclude")</f>
        <v>Exclude</v>
      </c>
      <c r="E998" s="5" t="str">
        <f>IFERROR(__xludf.DUMMYFUNCTION("IFS(
D998=""Exclude"",""Exclude"",
AND(
FILTER(IMPORTRANGE(""https://docs.google.com/spreadsheets/d/1qpEmbGH0JjaJbUdp21-y2cPbobDbMjr09BbtdKROZWc/edit#gid=1444865654"",""articles_with_PRISMA_reasons!W2:W2113""), $A998=IMPORTRANGE(""https://docs.google.com/"&amp;"spreadsheets/d/1qpEmbGH0JjaJbUdp21-y2cPbobDbMjr09BbtdKROZWc/edit#gid=1444865654"",""articles_with_PRISMA_reasons!B2:B2113""))&gt;=2,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$A998=IMPORTRANGE(""https://docs.google.com/spreadsheets/d/1qpEmbGH0JjaJbUdp21-y2cPbobDbMjr09BbtdKROZWc/edit#gid=1444865654"",""articles_with_PRISMA_reasons!B2:B2113""))&lt;2),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$A998=IMPORTRANGE(""https://docs.google.com/spreadsheets/d/1qpEmbGH0JjaJbUdp21-y2cPbobDbMjr09BbtdKRO"&amp;"ZWc/edit#gid=1444865654"",""articles_with_PRISMA_reasons!B2:B2113""))&lt;2,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$A998=IMPOR"&amp;"TRANGE(""https://docs.google.com/spreadsheets/d/1qpEmbGH0JjaJbUdp21-y2cPbobDbMjr09BbtdKROZWc/edit#gid=1444865654"",""articles_with_PRISMA_reasons!B2:B2113""))&gt;=2),
""Exclude""
)"),"Exclude")</f>
        <v>Exclude</v>
      </c>
      <c r="F998" s="5" t="str">
        <f>IFERROR(__xludf.DUMMYFUNCTION("IFS(
E998=""Exclude"",""Exclude"",
AND(
COUNTIF(
IMPORTRANGE(""https://docs.google.com/spreadsheets/d/1kGrh75X1cNR1D7_FcY9zMnHP8iPO4M5RCRjy6nZY0TY/edit#gid=0"",""Table 1: Study characteristics!B4:B171""),A998)&gt;0,
COUNTIF(Studies!$A$2:$A$85,FILTER(IMPORTRA"&amp;"NGE(""https://docs.google.com/spreadsheets/d/1kGrh75X1cNR1D7_FcY9zMnHP8iPO4M5RCRjy6nZY0TY/edit#gid=0"",""Table 1: Study characteristics!A4:A171""), $A998=IMPORTRANGE(""https://docs.google.com/spreadsheets/d/1kGrh75X1cNR1D7_FcY9zMnHP8iPO4M5RCRjy6nZY0TY/edi"&amp;"t#gid=0"",""Table 1: Study characteristics!B4:B171"")))&gt;0
),
""Include""
)"),"Exclude")</f>
        <v>Exclude</v>
      </c>
      <c r="G998" s="5" t="str">
        <f>IFERROR(__xludf.DUMMYFUNCTION("IFS(
D998=""Exclude"",
FILTER(IMPORTRANGE(""https://docs.google.com/spreadsheets/d/1BJSV3WBYJGRhQ6zExamkszQ5VutGIcaQqmbD9ZTVXMQ/edit#gid=1251630045"",""articles_with_PRISMA_reasons!AB2:AB2113""), $A998=IMPORTRANGE(""https://docs.google.com/spreadsheets/d/"&amp;"1BJSV3WBYJGRhQ6zExamkszQ5VutGIcaQqmbD9ZTVXMQ/edit#gid=1251630045"",""articles_with_PRISMA_reasons!B2:B2113"")),
E998=""Exclude"",
FILTER(IMPORTRANGE(""https://docs.google.com/spreadsheets/d/1qpEmbGH0JjaJbUdp21-y2cPbobDbMjr09BbtdKROZWc/edit#gid=1444865654"&amp;""",""articles_with_PRISMA_reasons!Z2:Z2113""), $A998=IMPORTRANGE(""https://docs.google.com/spreadsheets/d/1qpEmbGH0JjaJbUdp21-y2cPbobDbMjr09BbtdKROZWc/edit#gid=1444865654"",""articles_with_PRISMA_reasons!B2:B2113"")),F998
=""Include"",FILTER(IMPORTRANGE("&amp;"""https://docs.google.com/spreadsheets/d/1kGrh75X1cNR1D7_FcY9zMnHP8iPO4M5RCRjy6nZY0TY/edit#gid=0"",""Table 1: Study characteristics!A4:A171""), $A998=IMPORTRANGE(""https://docs.google.com/spreadsheets/d/1kGrh75X1cNR1D7_FcY9zMnHP8iPO4M5RCRjy6nZY0TY/edit#gi"&amp;"d=0"",""Table 1: Study characteristics!B4:B171""))
)"),"wrong population")</f>
        <v>wrong population</v>
      </c>
    </row>
    <row r="999">
      <c r="A999" s="4" t="str">
        <f>IFERROR(__xludf.DUMMYFUNCTION("""COMPUTED_VALUE"""),"Internuclear ophthalmoplegia in the Chiari type II malformation")</f>
        <v>Internuclear ophthalmoplegia in the Chiari type II malformation</v>
      </c>
      <c r="B999" s="5" t="str">
        <f>IFERROR(__xludf.DUMMYFUNCTION("LEFT(FILTER(IMPORTRANGE(""https://docs.google.com/spreadsheets/d/1BJSV3WBYJGRhQ6zExamkszQ5VutGIcaQqmbD9ZTVXMQ/edit#gid=1251630045"",""articles_with_PRISMA_reasons!K2:K2113""), $A999=IMPORTRANGE(""https://docs.google.com/spreadsheets/d/1BJSV3WBYJGRhQ6zExam"&amp;"kszQ5VutGIcaQqmbD9ZTVXMQ/edit#gid=1251630045"",""articles_with_PRISMA_reasons!B2:B2113"")),SEARCH("","",FILTER(IMPORTRANGE(""https://docs.google.com/spreadsheets/d/1BJSV3WBYJGRhQ6zExamkszQ5VutGIcaQqmbD9ZTVXMQ/edit#gid=1251630045"",""articles_with_PRISMA_r"&amp;"easons!K2:K2113""), $A999=IMPORTRANGE(""https://docs.google.com/spreadsheets/d/1BJSV3WBYJGRhQ6zExamkszQ5VutGIcaQqmbD9ZTVXMQ/edit#gid=1251630045"",""articles_with_PRISMA_reasons!B2:B2113"")))-1)"),"Arnold")</f>
        <v>Arnold</v>
      </c>
      <c r="C999" s="6">
        <f>IFERROR(__xludf.DUMMYFUNCTION("FILTER(IMPORTRANGE(""https://docs.google.com/spreadsheets/d/1BJSV3WBYJGRhQ6zExamkszQ5VutGIcaQqmbD9ZTVXMQ/edit#gid=1251630045"",""articles_with_PRISMA_reasons!C2:C2113""), $A999=IMPORTRANGE(""https://docs.google.com/spreadsheets/d/1BJSV3WBYJGRhQ6zExamkszQ5"&amp;"VutGIcaQqmbD9ZTVXMQ/edit#gid=1251630045"",""articles_with_PRISMA_reasons!B2:B2113""))"),1990.0)</f>
        <v>1990</v>
      </c>
      <c r="D999" s="5" t="str">
        <f>IFERROR(__xludf.DUMMYFUNCTION("IFS(AND(
FILTER(IMPORTRANGE(""https://docs.google.com/spreadsheets/d/1BJSV3WBYJGRhQ6zExamkszQ5VutGIcaQqmbD9ZTVXMQ/edit#gid=1251630045"",""articles_with_PRISMA_reasons!Y2:Y2113""), $A999=IMPORTRANGE(""https://docs.google.com/spreadsheets/d/1BJSV3WBYJGRhQ6z"&amp;"ExamkszQ5VutGIcaQqmbD9ZTVXMQ/edit#gid=1251630045"",""articles_with_PRISMA_reasons!B2:B2113""))&gt;=2,
FILTER(IMPORTRANGE(""https://docs.google.com/spreadsheets/d/1BJSV3WBYJGRhQ6zExamkszQ5VutGIcaQqmbD9ZTVXMQ/edit#gid=1251630045"",""articles_with_PRISMA_reason"&amp;"s!Z2:Z2113""), $A999=IMPORTRANGE(""https://docs.google.com/spreadsheets/d/1BJSV3WBYJGRhQ6zExamkszQ5VutGIcaQqmbD9ZTVXMQ/edit#gid=1251630045"",""articles_with_PRISMA_reasons!B2:B2113""))&lt;2),
""Include"",
AND(
FILTER(IMPORTRANGE(""https://docs.google.com/spr"&amp;"eadsheets/d/1BJSV3WBYJGRhQ6zExamkszQ5VutGIcaQqmbD9ZTVXMQ/edit#gid=1251630045"",""articles_with_PRISMA_reasons!Y2:Y2113""), $A999=IMPORTRANGE(""https://docs.google.com/spreadsheets/d/1BJSV3WBYJGRhQ6zExamkszQ5VutGIcaQqmbD9ZTVXMQ/edit#gid=1251630045"",""arti"&amp;"cles_with_PRISMA_reasons!B2:B2113""))&lt;2,
FILTER(IMPORTRANGE(""https://docs.google.com/spreadsheets/d/1BJSV3WBYJGRhQ6zExamkszQ5VutGIcaQqmbD9ZTVXMQ/edit#gid=1251630045"",""articles_with_PRISMA_reasons!Z2:Z2113""), $A999=IMPORTRANGE(""https://docs.google.com"&amp;"/spreadsheets/d/1BJSV3WBYJGRhQ6zExamkszQ5VutGIcaQqmbD9ZTVXMQ/edit#gid=1251630045"",""articles_with_PRISMA_reasons!B2:B2113""))&gt;=2),
""Exclude""
)"),"Exclude")</f>
        <v>Exclude</v>
      </c>
      <c r="E999" s="5" t="str">
        <f>IFERROR(__xludf.DUMMYFUNCTION("IFS(
D999=""Exclude"",""Exclude"",
AND(
FILTER(IMPORTRANGE(""https://docs.google.com/spreadsheets/d/1qpEmbGH0JjaJbUdp21-y2cPbobDbMjr09BbtdKROZWc/edit#gid=1444865654"",""articles_with_PRISMA_reasons!W2:W2113""), $A999=IMPORTRANGE(""https://docs.google.com/"&amp;"spreadsheets/d/1qpEmbGH0JjaJbUdp21-y2cPbobDbMjr09BbtdKROZWc/edit#gid=1444865654"",""articles_with_PRISMA_reasons!B2:B2113""))&gt;=2,
FILTER(IMPORTRANGE(""https://docs.google.com/spreadsheets/d/1qpEmbGH0JjaJbUdp21-y2cPbobDbMjr09BbtdKROZWc/edit#gid=1444865654"&amp;""",""articles_with_PRISMA_reasons!X2:X2113""), $A999=IMPORTRANGE(""https://docs.google.com/spreadsheets/d/1qpEmbGH0JjaJbUdp21-y2cPbobDbMjr09BbtdKROZWc/edit#gid=1444865654"",""articles_with_PRISMA_reasons!B2:B2113""))&lt;2),
""Include"",
AND(
FILTER(IMPORTRAN"&amp;"GE(""https://docs.google.com/spreadsheets/d/1qpEmbGH0JjaJbUdp21-y2cPbobDbMjr09BbtdKROZWc/edit#gid=1444865654"",""articles_with_PRISMA_reasons!W2:W2113""), $A999=IMPORTRANGE(""https://docs.google.com/spreadsheets/d/1qpEmbGH0JjaJbUdp21-y2cPbobDbMjr09BbtdKRO"&amp;"ZWc/edit#gid=1444865654"",""articles_with_PRISMA_reasons!B2:B2113""))&lt;2,
FILTER(IMPORTRANGE(""https://docs.google.com/spreadsheets/d/1qpEmbGH0JjaJbUdp21-y2cPbobDbMjr09BbtdKROZWc/edit#gid=1444865654"",""articles_with_PRISMA_reasons!X2:X2113""), $A999=IMPOR"&amp;"TRANGE(""https://docs.google.com/spreadsheets/d/1qpEmbGH0JjaJbUdp21-y2cPbobDbMjr09BbtdKROZWc/edit#gid=1444865654"",""articles_with_PRISMA_reasons!B2:B2113""))&gt;=2),
""Exclude""
)"),"Exclude")</f>
        <v>Exclude</v>
      </c>
      <c r="F999" s="5" t="str">
        <f>IFERROR(__xludf.DUMMYFUNCTION("IFS(
E999=""Exclude"",""Exclude"",
AND(
COUNTIF(
IMPORTRANGE(""https://docs.google.com/spreadsheets/d/1kGrh75X1cNR1D7_FcY9zMnHP8iPO4M5RCRjy6nZY0TY/edit#gid=0"",""Table 1: Study characteristics!B4:B171""),A999)&gt;0,
COUNTIF(Studies!$A$2:$A$85,FILTER(IMPORTRA"&amp;"NGE(""https://docs.google.com/spreadsheets/d/1kGrh75X1cNR1D7_FcY9zMnHP8iPO4M5RCRjy6nZY0TY/edit#gid=0"",""Table 1: Study characteristics!A4:A171""), $A999=IMPORTRANGE(""https://docs.google.com/spreadsheets/d/1kGrh75X1cNR1D7_FcY9zMnHP8iPO4M5RCRjy6nZY0TY/edi"&amp;"t#gid=0"",""Table 1: Study characteristics!B4:B171"")))&gt;0
),
""Include""
)"),"Exclude")</f>
        <v>Exclude</v>
      </c>
      <c r="G999" s="5" t="str">
        <f>IFERROR(__xludf.DUMMYFUNCTION("IFS(
D999=""Exclude"",
FILTER(IMPORTRANGE(""https://docs.google.com/spreadsheets/d/1BJSV3WBYJGRhQ6zExamkszQ5VutGIcaQqmbD9ZTVXMQ/edit#gid=1251630045"",""articles_with_PRISMA_reasons!AB2:AB2113""), $A999=IMPORTRANGE(""https://docs.google.com/spreadsheets/d/"&amp;"1BJSV3WBYJGRhQ6zExamkszQ5VutGIcaQqmbD9ZTVXMQ/edit#gid=1251630045"",""articles_with_PRISMA_reasons!B2:B2113"")),
E999=""Exclude"",
FILTER(IMPORTRANGE(""https://docs.google.com/spreadsheets/d/1qpEmbGH0JjaJbUdp21-y2cPbobDbMjr09BbtdKROZWc/edit#gid=1444865654"&amp;""",""articles_with_PRISMA_reasons!Z2:Z2113""), $A999=IMPORTRANGE(""https://docs.google.com/spreadsheets/d/1qpEmbGH0JjaJbUdp21-y2cPbobDbMjr09BbtdKROZWc/edit#gid=1444865654"",""articles_with_PRISMA_reasons!B2:B2113"")),F999
=""Include"",FILTER(IMPORTRANGE("&amp;"""https://docs.google.com/spreadsheets/d/1kGrh75X1cNR1D7_FcY9zMnHP8iPO4M5RCRjy6nZY0TY/edit#gid=0"",""Table 1: Study characteristics!A4:A171""), $A999=IMPORTRANGE(""https://docs.google.com/spreadsheets/d/1kGrh75X1cNR1D7_FcY9zMnHP8iPO4M5RCRjy6nZY0TY/edit#gi"&amp;"d=0"",""Table 1: Study characteristics!B4:B171""))
)"),"wrong population")</f>
        <v>wrong population</v>
      </c>
    </row>
    <row r="1000">
      <c r="A1000" s="4" t="str">
        <f>IFERROR(__xludf.DUMMYFUNCTION("""COMPUTED_VALUE"""),"Interrelationships of sex, level of lesion, and transition outcomes among young adults with myelomeningocele")</f>
        <v>Interrelationships of sex, level of lesion, and transition outcomes among young adults with myelomeningocele</v>
      </c>
      <c r="B1000" s="5" t="str">
        <f>IFERROR(__xludf.DUMMYFUNCTION("LEFT(FILTER(IMPORTRANGE(""https://docs.google.com/spreadsheets/d/1BJSV3WBYJGRhQ6zExamkszQ5VutGIcaQqmbD9ZTVXMQ/edit#gid=1251630045"",""articles_with_PRISMA_reasons!K2:K2113""), $A1000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$A1000=IMPORTRANGE(""https://docs.google.com/spreadsheets/d/1BJSV3WBYJGRhQ6zExamkszQ5VutGIcaQqmbD9ZTVXMQ/edit#gid=1251630045"",""articles_with_PRISMA_reasons!B2:B2113"")))-1)"),"Bellin")</f>
        <v>Bellin</v>
      </c>
      <c r="C1000" s="6">
        <f>IFERROR(__xludf.DUMMYFUNCTION("FILTER(IMPORTRANGE(""https://docs.google.com/spreadsheets/d/1BJSV3WBYJGRhQ6zExamkszQ5VutGIcaQqmbD9ZTVXMQ/edit#gid=1251630045"",""articles_with_PRISMA_reasons!C2:C2113""), $A1000=IMPORTRANGE(""https://docs.google.com/spreadsheets/d/1BJSV3WBYJGRhQ6zExamkszQ"&amp;"5VutGIcaQqmbD9ZTVXMQ/edit#gid=1251630045"",""articles_with_PRISMA_reasons!B2:B2113""))"),2011.0)</f>
        <v>2011</v>
      </c>
      <c r="D1000" s="5" t="str">
        <f>IFERROR(__xludf.DUMMYFUNCTION("IFS(AND(
FILTER(IMPORTRANGE(""https://docs.google.com/spreadsheets/d/1BJSV3WBYJGRhQ6zExamkszQ5VutGIcaQqmbD9ZTVXMQ/edit#gid=1251630045"",""articles_with_PRISMA_reasons!Y2:Y2113""), $A1000=IMPORTRANGE(""https://docs.google.com/spreadsheets/d/1BJSV3WBYJGRhQ6"&amp;"zExamkszQ5VutGIcaQqmbD9ZTVXMQ/edit#gid=1251630045"",""articles_with_PRISMA_reasons!B2:B2113""))&gt;=2,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$A1000=IMPORTRANGE(""https://docs.google"&amp;".com/spreadsheets/d/1BJSV3WBYJGRhQ6zExamkszQ5VutGIcaQqmbD9ZTVXMQ/edit#gid=1251630045"",""articles_with_PRISMA_reasons!B2:B2113""))&gt;=2),
""Exclude""
)"),"Exclude")</f>
        <v>Exclude</v>
      </c>
      <c r="E1000" s="5" t="str">
        <f>IFERROR(__xludf.DUMMYFUNCTION("IFS(
D1000=""Exclude"",""Exclude"",
AND(
FILTER(IMPORTRANGE(""https://docs.google.com/spreadsheets/d/1qpEmbGH0JjaJbUdp21-y2cPbobDbMjr09BbtdKROZWc/edit#gid=1444865654"",""articles_with_PRISMA_reasons!W2:W2113""), $A1000=IMPORTRANGE(""https://docs.google.co"&amp;"m/spreadsheets/d/1qpEmbGH0JjaJbUdp21-y2cPbobDbMjr09BbtdKROZWc/edit#gid=1444865654"",""articles_with_PRISMA_reasons!B2:B2113""))&gt;=2,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$A1000=IMPORTRANGE(""https://docs.google.com/spreadsheets/d/1qpEmbGH0JjaJbUdp21-y2cPbobDbMjr09BbtdKROZWc/edit#gid=1444865654"",""articles_with_PRISMA_reasons!B2:B2113""))&lt;2),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$A1000=IMPORTRANGE(""https://docs.google.com/spreadsheets/d/1qpEmbGH0JjaJbUdp21-y2cPbobDbMjr09Bbtd"&amp;"KROZWc/edit#gid=1444865654"",""articles_with_PRISMA_reasons!B2:B2113""))&lt;2,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$A1000=I"&amp;"MPORTRANGE(""https://docs.google.com/spreadsheets/d/1qpEmbGH0JjaJbUdp21-y2cPbobDbMjr09BbtdKROZWc/edit#gid=1444865654"",""articles_with_PRISMA_reasons!B2:B2113""))&gt;=2),
""Exclude""
)"),"Exclude")</f>
        <v>Exclude</v>
      </c>
      <c r="F1000" s="5" t="str">
        <f>IFERROR(__xludf.DUMMYFUNCTION("IFS(
E1000=""Exclude"",""Exclude"",
AND(
COUNTIF(
IMPORTRANGE(""https://docs.google.com/spreadsheets/d/1kGrh75X1cNR1D7_FcY9zMnHP8iPO4M5RCRjy6nZY0TY/edit#gid=0"",""Table 1: Study characteristics!B4:B171""),A1000)&gt;0,
COUNTIF(Studies!$A$2:$A$85,FILTER(IMPORT"&amp;"RANGE(""https://docs.google.com/spreadsheets/d/1kGrh75X1cNR1D7_FcY9zMnHP8iPO4M5RCRjy6nZY0TY/edit#gid=0"",""Table 1: Study characteristics!A4:A171""), $A1000=IMPORTRANGE(""https://docs.google.com/spreadsheets/d/1kGrh75X1cNR1D7_FcY9zMnHP8iPO4M5RCRjy6nZY0TY/"&amp;"edit#gid=0"",""Table 1: Study characteristics!B4:B171"")))&gt;0
),
""Include""
)"),"Exclude")</f>
        <v>Exclude</v>
      </c>
      <c r="G1000" s="5" t="str">
        <f>IFERROR(__xludf.DUMMYFUNCTION("IFS(
D1000=""Exclude"",
FILTER(IMPORTRANGE(""https://docs.google.com/spreadsheets/d/1BJSV3WBYJGRhQ6zExamkszQ5VutGIcaQqmbD9ZTVXMQ/edit#gid=1251630045"",""articles_with_PRISMA_reasons!AB2:AB2113""), $A1000=IMPORTRANGE(""https://docs.google.com/spreadsheets/"&amp;"d/1BJSV3WBYJGRhQ6zExamkszQ5VutGIcaQqmbD9ZTVXMQ/edit#gid=1251630045"",""articles_with_PRISMA_reasons!B2:B2113"")),
E1000=""Exclude"",
FILTER(IMPORTRANGE(""https://docs.google.com/spreadsheets/d/1qpEmbGH0JjaJbUdp21-y2cPbobDbMjr09BbtdKROZWc/edit#gid=14448656"&amp;"54"",""articles_with_PRISMA_reasons!Z2:Z2113""), $A1000=IMPORTRANGE(""https://docs.google.com/spreadsheets/d/1qpEmbGH0JjaJbUdp21-y2cPbobDbMjr09BbtdKROZWc/edit#gid=1444865654"",""articles_with_PRISMA_reasons!B2:B2113"")),F1000
=""Include"",FILTER(IMPORTRAN"&amp;"GE(""https://docs.google.com/spreadsheets/d/1kGrh75X1cNR1D7_FcY9zMnHP8iPO4M5RCRjy6nZY0TY/edit#gid=0"",""Table 1: Study characteristics!A4:A171""), $A1000=IMPORTRANGE(""https://docs.google.com/spreadsheets/d/1kGrh75X1cNR1D7_FcY9zMnHP8iPO4M5RCRjy6nZY0TY/edi"&amp;"t#gid=0"",""Table 1: Study characteristics!B4:B171""))
)"),"wrong population")</f>
        <v>wrong population</v>
      </c>
    </row>
    <row r="1001">
      <c r="A1001" s="4" t="str">
        <f>IFERROR(__xludf.DUMMYFUNCTION("""COMPUTED_VALUE"""),"Interstitial deletion of chromosome 1q [del(1)(q24q25.3)] identified by fluorescence in situ hybridization and gene dosage analysis of apolipoprotein A-II, coagulation factor V, and antithrombin III")</f>
        <v>Interstitial deletion of chromosome 1q [del(1)(q24q25.3)] identified by fluorescence in situ hybridization and gene dosage analysis of apolipoprotein A-II, coagulation factor V, and antithrombin III</v>
      </c>
      <c r="B1001" s="5" t="str">
        <f>IFERROR(__xludf.DUMMYFUNCTION("LEFT(FILTER(IMPORTRANGE(""https://docs.google.com/spreadsheets/d/1BJSV3WBYJGRhQ6zExamkszQ5VutGIcaQqmbD9ZTVXMQ/edit#gid=1251630045"",""articles_with_PRISMA_reasons!K2:K2113""), $A1001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$A1001=IMPORTRANGE(""https://docs.google.com/spreadsheets/d/1BJSV3WBYJGRhQ6zExamkszQ5VutGIcaQqmbD9ZTVXMQ/edit#gid=1251630045"",""articles_with_PRISMA_reasons!B2:B2113"")))-1)"),"Yamanouchi")</f>
        <v>Yamanouchi</v>
      </c>
      <c r="C1001" s="6">
        <f>IFERROR(__xludf.DUMMYFUNCTION("FILTER(IMPORTRANGE(""https://docs.google.com/spreadsheets/d/1BJSV3WBYJGRhQ6zExamkszQ5VutGIcaQqmbD9ZTVXMQ/edit#gid=1251630045"",""articles_with_PRISMA_reasons!C2:C2113""), $A1001=IMPORTRANGE(""https://docs.google.com/spreadsheets/d/1BJSV3WBYJGRhQ6zExamkszQ"&amp;"5VutGIcaQqmbD9ZTVXMQ/edit#gid=1251630045"",""articles_with_PRISMA_reasons!B2:B2113""))"),1997.0)</f>
        <v>1997</v>
      </c>
      <c r="D1001" s="5" t="str">
        <f>IFERROR(__xludf.DUMMYFUNCTION("IFS(AND(
FILTER(IMPORTRANGE(""https://docs.google.com/spreadsheets/d/1BJSV3WBYJGRhQ6zExamkszQ5VutGIcaQqmbD9ZTVXMQ/edit#gid=1251630045"",""articles_with_PRISMA_reasons!Y2:Y2113""), $A1001=IMPORTRANGE(""https://docs.google.com/spreadsheets/d/1BJSV3WBYJGRhQ6"&amp;"zExamkszQ5VutGIcaQqmbD9ZTVXMQ/edit#gid=1251630045"",""articles_with_PRISMA_reasons!B2:B2113""))&gt;=2,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$A1001=IMPORTRANGE(""https://docs.google"&amp;".com/spreadsheets/d/1BJSV3WBYJGRhQ6zExamkszQ5VutGIcaQqmbD9ZTVXMQ/edit#gid=1251630045"",""articles_with_PRISMA_reasons!B2:B2113""))&gt;=2),
""Exclude""
)"),"Exclude")</f>
        <v>Exclude</v>
      </c>
      <c r="E1001" s="5" t="str">
        <f>IFERROR(__xludf.DUMMYFUNCTION("IFS(
D1001=""Exclude"",""Exclude"",
AND(
FILTER(IMPORTRANGE(""https://docs.google.com/spreadsheets/d/1qpEmbGH0JjaJbUdp21-y2cPbobDbMjr09BbtdKROZWc/edit#gid=1444865654"",""articles_with_PRISMA_reasons!W2:W2113""), $A1001=IMPORTRANGE(""https://docs.google.co"&amp;"m/spreadsheets/d/1qpEmbGH0JjaJbUdp21-y2cPbobDbMjr09BbtdKROZWc/edit#gid=1444865654"",""articles_with_PRISMA_reasons!B2:B2113""))&gt;=2,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$A1001=IMPORTRANGE(""https://docs.google.com/spreadsheets/d/1qpEmbGH0JjaJbUdp21-y2cPbobDbMjr09BbtdKROZWc/edit#gid=1444865654"",""articles_with_PRISMA_reasons!B2:B2113""))&lt;2),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$A1001=IMPORTRANGE(""https://docs.google.com/spreadsheets/d/1qpEmbGH0JjaJbUdp21-y2cPbobDbMjr09Bbtd"&amp;"KROZWc/edit#gid=1444865654"",""articles_with_PRISMA_reasons!B2:B2113""))&lt;2,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$A1001=I"&amp;"MPORTRANGE(""https://docs.google.com/spreadsheets/d/1qpEmbGH0JjaJbUdp21-y2cPbobDbMjr09BbtdKROZWc/edit#gid=1444865654"",""articles_with_PRISMA_reasons!B2:B2113""))&gt;=2),
""Exclude""
)"),"Exclude")</f>
        <v>Exclude</v>
      </c>
      <c r="F1001" s="5" t="str">
        <f>IFERROR(__xludf.DUMMYFUNCTION("IFS(
E1001=""Exclude"",""Exclude"",
AND(
COUNTIF(
IMPORTRANGE(""https://docs.google.com/spreadsheets/d/1kGrh75X1cNR1D7_FcY9zMnHP8iPO4M5RCRjy6nZY0TY/edit#gid=0"",""Table 1: Study characteristics!B4:B171""),A1001)&gt;0,
COUNTIF(Studies!$A$2:$A$85,FILTER(IMPORT"&amp;"RANGE(""https://docs.google.com/spreadsheets/d/1kGrh75X1cNR1D7_FcY9zMnHP8iPO4M5RCRjy6nZY0TY/edit#gid=0"",""Table 1: Study characteristics!A4:A171""), $A1001=IMPORTRANGE(""https://docs.google.com/spreadsheets/d/1kGrh75X1cNR1D7_FcY9zMnHP8iPO4M5RCRjy6nZY0TY/"&amp;"edit#gid=0"",""Table 1: Study characteristics!B4:B171"")))&gt;0
),
""Include""
)"),"Exclude")</f>
        <v>Exclude</v>
      </c>
      <c r="G1001" s="5" t="str">
        <f>IFERROR(__xludf.DUMMYFUNCTION("IFS(
D1001=""Exclude"",
FILTER(IMPORTRANGE(""https://docs.google.com/spreadsheets/d/1BJSV3WBYJGRhQ6zExamkszQ5VutGIcaQqmbD9ZTVXMQ/edit#gid=1251630045"",""articles_with_PRISMA_reasons!AB2:AB2113""), $A1001=IMPORTRANGE(""https://docs.google.com/spreadsheets/"&amp;"d/1BJSV3WBYJGRhQ6zExamkszQ5VutGIcaQqmbD9ZTVXMQ/edit#gid=1251630045"",""articles_with_PRISMA_reasons!B2:B2113"")),
E1001=""Exclude"",
FILTER(IMPORTRANGE(""https://docs.google.com/spreadsheets/d/1qpEmbGH0JjaJbUdp21-y2cPbobDbMjr09BbtdKROZWc/edit#gid=14448656"&amp;"54"",""articles_with_PRISMA_reasons!Z2:Z2113""), $A1001=IMPORTRANGE(""https://docs.google.com/spreadsheets/d/1qpEmbGH0JjaJbUdp21-y2cPbobDbMjr09BbtdKROZWc/edit#gid=1444865654"",""articles_with_PRISMA_reasons!B2:B2113"")),F1001
=""Include"",FILTER(IMPORTRAN"&amp;"GE(""https://docs.google.com/spreadsheets/d/1kGrh75X1cNR1D7_FcY9zMnHP8iPO4M5RCRjy6nZY0TY/edit#gid=0"",""Table 1: Study characteristics!A4:A171""), $A1001=IMPORTRANGE(""https://docs.google.com/spreadsheets/d/1kGrh75X1cNR1D7_FcY9zMnHP8iPO4M5RCRjy6nZY0TY/edi"&amp;"t#gid=0"",""Table 1: Study characteristics!B4:B171""))
)"),"wrong study design")</f>
        <v>wrong study design</v>
      </c>
    </row>
    <row r="1002">
      <c r="A1002" s="4" t="str">
        <f>IFERROR(__xludf.DUMMYFUNCTION("""COMPUTED_VALUE"""),"Intestinal volvulus - A rare compilcation of ventriculoperitoneal shunt")</f>
        <v>Intestinal volvulus - A rare compilcation of ventriculoperitoneal shunt</v>
      </c>
      <c r="B1002" s="5" t="str">
        <f>IFERROR(__xludf.DUMMYFUNCTION("LEFT(FILTER(IMPORTRANGE(""https://docs.google.com/spreadsheets/d/1BJSV3WBYJGRhQ6zExamkszQ5VutGIcaQqmbD9ZTVXMQ/edit#gid=1251630045"",""articles_with_PRISMA_reasons!K2:K2113""), $A1002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$A1002=IMPORTRANGE(""https://docs.google.com/spreadsheets/d/1BJSV3WBYJGRhQ6zExamkszQ5VutGIcaQqmbD9ZTVXMQ/edit#gid=1251630045"",""articles_with_PRISMA_reasons!B2:B2113"")))-1)"),"Bal")</f>
        <v>Bal</v>
      </c>
      <c r="C1002" s="6">
        <f>IFERROR(__xludf.DUMMYFUNCTION("FILTER(IMPORTRANGE(""https://docs.google.com/spreadsheets/d/1BJSV3WBYJGRhQ6zExamkszQ5VutGIcaQqmbD9ZTVXMQ/edit#gid=1251630045"",""articles_with_PRISMA_reasons!C2:C2113""), $A1002=IMPORTRANGE(""https://docs.google.com/spreadsheets/d/1BJSV3WBYJGRhQ6zExamkszQ"&amp;"5VutGIcaQqmbD9ZTVXMQ/edit#gid=1251630045"",""articles_with_PRISMA_reasons!B2:B2113""))"),1999.0)</f>
        <v>1999</v>
      </c>
      <c r="D1002" s="5" t="str">
        <f>IFERROR(__xludf.DUMMYFUNCTION("IFS(AND(
FILTER(IMPORTRANGE(""https://docs.google.com/spreadsheets/d/1BJSV3WBYJGRhQ6zExamkszQ5VutGIcaQqmbD9ZTVXMQ/edit#gid=1251630045"",""articles_with_PRISMA_reasons!Y2:Y2113""), $A1002=IMPORTRANGE(""https://docs.google.com/spreadsheets/d/1BJSV3WBYJGRhQ6"&amp;"zExamkszQ5VutGIcaQqmbD9ZTVXMQ/edit#gid=1251630045"",""articles_with_PRISMA_reasons!B2:B2113""))&gt;=2,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$A1002=IMPORTRANGE(""https://docs.google.com/spreadsheets/d/1BJSV3WBYJGRhQ6zExamkszQ5VutGIcaQqmbD9ZTVXMQ/edit#gid=1251630045"",""articles_with_PRISMA_reasons!B2:B2113""))&lt;2),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$A1002=IMPORTRANGE(""https://docs.google.com/spreadsheets/d/1BJSV3WBYJGRhQ6zExamkszQ5VutGIcaQqmbD9ZTVXMQ/edit#gid=1251630045"",""a"&amp;"rticles_with_PRISMA_reasons!B2:B2113""))&lt;2,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$A1002=IMPORTRANGE(""https://docs.google"&amp;".com/spreadsheets/d/1BJSV3WBYJGRhQ6zExamkszQ5VutGIcaQqmbD9ZTVXMQ/edit#gid=1251630045"",""articles_with_PRISMA_reasons!B2:B2113""))&gt;=2),
""Exclude""
)"),"Exclude")</f>
        <v>Exclude</v>
      </c>
      <c r="E1002" s="5" t="str">
        <f>IFERROR(__xludf.DUMMYFUNCTION("IFS(
D1002=""Exclude"",""Exclude"",
AND(
FILTER(IMPORTRANGE(""https://docs.google.com/spreadsheets/d/1qpEmbGH0JjaJbUdp21-y2cPbobDbMjr09BbtdKROZWc/edit#gid=1444865654"",""articles_with_PRISMA_reasons!W2:W2113""), $A1002=IMPORTRANGE(""https://docs.google.co"&amp;"m/spreadsheets/d/1qpEmbGH0JjaJbUdp21-y2cPbobDbMjr09BbtdKROZWc/edit#gid=1444865654"",""articles_with_PRISMA_reasons!B2:B2113""))&gt;=2,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$A1002=I"&amp;"MPORTRANGE(""https://docs.google.com/spreadsheets/d/1qpEmbGH0JjaJbUdp21-y2cPbobDbMjr09BbtdKROZWc/edit#gid=1444865654"",""articles_with_PRISMA_reasons!B2:B2113""))&gt;=2),
""Exclude""
)"),"Exclude")</f>
        <v>Exclude</v>
      </c>
      <c r="F1002" s="5" t="str">
        <f>IFERROR(__xludf.DUMMYFUNCTION("IFS(
E1002=""Exclude"",""Exclude"",
AND(
COUNTIF(
IMPORTRANGE(""https://docs.google.com/spreadsheets/d/1kGrh75X1cNR1D7_FcY9zMnHP8iPO4M5RCRjy6nZY0TY/edit#gid=0"",""Table 1: Study characteristics!B4:B171""),A1002)&gt;0,
COUNTIF(Studies!$A$2:$A$85,FILTER(IMPORT"&amp;"RANGE(""https://docs.google.com/spreadsheets/d/1kGrh75X1cNR1D7_FcY9zMnHP8iPO4M5RCRjy6nZY0TY/edit#gid=0"",""Table 1: Study characteristics!A4:A171""), $A1002=IMPORTRANGE(""https://docs.google.com/spreadsheets/d/1kGrh75X1cNR1D7_FcY9zMnHP8iPO4M5RCRjy6nZY0TY/"&amp;"edit#gid=0"",""Table 1: Study characteristics!B4:B171"")))&gt;0
),
""Include""
)"),"Exclude")</f>
        <v>Exclude</v>
      </c>
      <c r="G1002" s="5" t="str">
        <f>IFERROR(__xludf.DUMMYFUNCTION("IFS(
D1002=""Exclude"",
FILTER(IMPORTRANGE(""https://docs.google.com/spreadsheets/d/1BJSV3WBYJGRhQ6zExamkszQ5VutGIcaQqmbD9ZTVXMQ/edit#gid=1251630045"",""articles_with_PRISMA_reasons!AB2:AB2113""), $A1002=IMPORTRANGE(""https://docs.google.com/spreadsheets/"&amp;"d/1BJSV3WBYJGRhQ6zExamkszQ5VutGIcaQqmbD9ZTVXMQ/edit#gid=1251630045"",""articles_with_PRISMA_reasons!B2:B2113"")),
E1002=""Exclude"",
FILTER(IMPORTRANGE(""https://docs.google.com/spreadsheets/d/1qpEmbGH0JjaJbUdp21-y2cPbobDbMjr09BbtdKROZWc/edit#gid=14448656"&amp;"54"",""articles_with_PRISMA_reasons!Z2:Z2113""), $A1002=IMPORTRANGE(""https://docs.google.com/spreadsheets/d/1qpEmbGH0JjaJbUdp21-y2cPbobDbMjr09BbtdKROZWc/edit#gid=1444865654"",""articles_with_PRISMA_reasons!B2:B2113"")),F1002
=""Include"",FILTER(IMPORTRAN"&amp;"GE(""https://docs.google.com/spreadsheets/d/1kGrh75X1cNR1D7_FcY9zMnHP8iPO4M5RCRjy6nZY0TY/edit#gid=0"",""Table 1: Study characteristics!A4:A171""), $A1002=IMPORTRANGE(""https://docs.google.com/spreadsheets/d/1kGrh75X1cNR1D7_FcY9zMnHP8iPO4M5RCRjy6nZY0TY/edi"&amp;"t#gid=0"",""Table 1: Study characteristics!B4:B171""))
)"),"wrong study design")</f>
        <v>wrong study design</v>
      </c>
    </row>
    <row r="1003">
      <c r="A1003" s="4" t="str">
        <f>IFERROR(__xludf.DUMMYFUNCTION("""COMPUTED_VALUE"""),"Intracranial Dystrophic Calcification of Ventriculoperitoneal Shunt: A Case Report")</f>
        <v>Intracranial Dystrophic Calcification of Ventriculoperitoneal Shunt: A Case Report</v>
      </c>
      <c r="B1003" s="5" t="str">
        <f>IFERROR(__xludf.DUMMYFUNCTION("LEFT(FILTER(IMPORTRANGE(""https://docs.google.com/spreadsheets/d/1BJSV3WBYJGRhQ6zExamkszQ5VutGIcaQqmbD9ZTVXMQ/edit#gid=1251630045"",""articles_with_PRISMA_reasons!K2:K2113""), $A1003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$A1003=IMPORTRANGE(""https://docs.google.com/spreadsheets/d/1BJSV3WBYJGRhQ6zExamkszQ5VutGIcaQqmbD9ZTVXMQ/edit#gid=1251630045"",""articles_with_PRISMA_reasons!B2:B2113"")))-1)"),"Abbas")</f>
        <v>Abbas</v>
      </c>
      <c r="C1003" s="6">
        <f>IFERROR(__xludf.DUMMYFUNCTION("FILTER(IMPORTRANGE(""https://docs.google.com/spreadsheets/d/1BJSV3WBYJGRhQ6zExamkszQ5VutGIcaQqmbD9ZTVXMQ/edit#gid=1251630045"",""articles_with_PRISMA_reasons!C2:C2113""), $A1003=IMPORTRANGE(""https://docs.google.com/spreadsheets/d/1BJSV3WBYJGRhQ6zExamkszQ"&amp;"5VutGIcaQqmbD9ZTVXMQ/edit#gid=1251630045"",""articles_with_PRISMA_reasons!B2:B2113""))"),2018.0)</f>
        <v>2018</v>
      </c>
      <c r="D1003" s="5" t="str">
        <f>IFERROR(__xludf.DUMMYFUNCTION("IFS(AND(
FILTER(IMPORTRANGE(""https://docs.google.com/spreadsheets/d/1BJSV3WBYJGRhQ6zExamkszQ5VutGIcaQqmbD9ZTVXMQ/edit#gid=1251630045"",""articles_with_PRISMA_reasons!Y2:Y2113""), $A1003=IMPORTRANGE(""https://docs.google.com/spreadsheets/d/1BJSV3WBYJGRhQ6"&amp;"zExamkszQ5VutGIcaQqmbD9ZTVXMQ/edit#gid=1251630045"",""articles_with_PRISMA_reasons!B2:B2113""))&gt;=2,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$A1003=IMPORTRANGE(""https://docs.google"&amp;".com/spreadsheets/d/1BJSV3WBYJGRhQ6zExamkszQ5VutGIcaQqmbD9ZTVXMQ/edit#gid=1251630045"",""articles_with_PRISMA_reasons!B2:B2113""))&gt;=2),
""Exclude""
)"),"Exclude")</f>
        <v>Exclude</v>
      </c>
      <c r="E1003" s="5" t="str">
        <f>IFERROR(__xludf.DUMMYFUNCTION("IFS(
D1003=""Exclude"",""Exclude"",
AND(
FILTER(IMPORTRANGE(""https://docs.google.com/spreadsheets/d/1qpEmbGH0JjaJbUdp21-y2cPbobDbMjr09BbtdKROZWc/edit#gid=1444865654"",""articles_with_PRISMA_reasons!W2:W2113""), $A1003=IMPORTRANGE(""https://docs.google.co"&amp;"m/spreadsheets/d/1qpEmbGH0JjaJbUdp21-y2cPbobDbMjr09BbtdKROZWc/edit#gid=1444865654"",""articles_with_PRISMA_reasons!B2:B2113""))&gt;=2,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$A1003=I"&amp;"MPORTRANGE(""https://docs.google.com/spreadsheets/d/1qpEmbGH0JjaJbUdp21-y2cPbobDbMjr09BbtdKROZWc/edit#gid=1444865654"",""articles_with_PRISMA_reasons!B2:B2113""))&gt;=2),
""Exclude""
)"),"Exclude")</f>
        <v>Exclude</v>
      </c>
      <c r="F1003" s="5" t="str">
        <f>IFERROR(__xludf.DUMMYFUNCTION("IFS(
E1003=""Exclude"",""Exclude"",
AND(
COUNTIF(
IMPORTRANGE(""https://docs.google.com/spreadsheets/d/1kGrh75X1cNR1D7_FcY9zMnHP8iPO4M5RCRjy6nZY0TY/edit#gid=0"",""Table 1: Study characteristics!B4:B171""),A1003)&gt;0,
COUNTIF(Studies!$A$2:$A$85,FILTER(IMPORT"&amp;"RANGE(""https://docs.google.com/spreadsheets/d/1kGrh75X1cNR1D7_FcY9zMnHP8iPO4M5RCRjy6nZY0TY/edit#gid=0"",""Table 1: Study characteristics!A4:A171""), $A1003=IMPORTRANGE(""https://docs.google.com/spreadsheets/d/1kGrh75X1cNR1D7_FcY9zMnHP8iPO4M5RCRjy6nZY0TY/"&amp;"edit#gid=0"",""Table 1: Study characteristics!B4:B171"")))&gt;0
),
""Include""
)"),"Exclude")</f>
        <v>Exclude</v>
      </c>
      <c r="G1003" s="5" t="str">
        <f>IFERROR(__xludf.DUMMYFUNCTION("IFS(
D1003=""Exclude"",
FILTER(IMPORTRANGE(""https://docs.google.com/spreadsheets/d/1BJSV3WBYJGRhQ6zExamkszQ5VutGIcaQqmbD9ZTVXMQ/edit#gid=1251630045"",""articles_with_PRISMA_reasons!AB2:AB2113""), $A1003=IMPORTRANGE(""https://docs.google.com/spreadsheets/"&amp;"d/1BJSV3WBYJGRhQ6zExamkszQ5VutGIcaQqmbD9ZTVXMQ/edit#gid=1251630045"",""articles_with_PRISMA_reasons!B2:B2113"")),
E1003=""Exclude"",
FILTER(IMPORTRANGE(""https://docs.google.com/spreadsheets/d/1qpEmbGH0JjaJbUdp21-y2cPbobDbMjr09BbtdKROZWc/edit#gid=14448656"&amp;"54"",""articles_with_PRISMA_reasons!Z2:Z2113""), $A1003=IMPORTRANGE(""https://docs.google.com/spreadsheets/d/1qpEmbGH0JjaJbUdp21-y2cPbobDbMjr09BbtdKROZWc/edit#gid=1444865654"",""articles_with_PRISMA_reasons!B2:B2113"")),F1003
=""Include"",FILTER(IMPORTRAN"&amp;"GE(""https://docs.google.com/spreadsheets/d/1kGrh75X1cNR1D7_FcY9zMnHP8iPO4M5RCRjy6nZY0TY/edit#gid=0"",""Table 1: Study characteristics!A4:A171""), $A1003=IMPORTRANGE(""https://docs.google.com/spreadsheets/d/1kGrh75X1cNR1D7_FcY9zMnHP8iPO4M5RCRjy6nZY0TY/edi"&amp;"t#gid=0"",""Table 1: Study characteristics!B4:B171""))
)"),"wrong publication type")</f>
        <v>wrong publication type</v>
      </c>
    </row>
    <row r="1004">
      <c r="A1004" s="4" t="str">
        <f>IFERROR(__xludf.DUMMYFUNCTION("""COMPUTED_VALUE"""),"INTRACRANIAL EFFECTS OF LONG-STANDING DECOMPRESSION OF THE BRAIN IN CHILDREN WITH HYDROCEPHALUS AND MENINGOMYELOCELE")</f>
        <v>INTRACRANIAL EFFECTS OF LONG-STANDING DECOMPRESSION OF THE BRAIN IN CHILDREN WITH HYDROCEPHALUS AND MENINGOMYELOCELE</v>
      </c>
      <c r="B1004" s="5" t="str">
        <f>IFERROR(__xludf.DUMMYFUNCTION("LEFT(FILTER(IMPORTRANGE(""https://docs.google.com/spreadsheets/d/1BJSV3WBYJGRhQ6zExamkszQ5VutGIcaQqmbD9ZTVXMQ/edit#gid=1251630045"",""articles_with_PRISMA_reasons!K2:K2113""), $A1004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$A1004=IMPORTRANGE(""https://docs.google.com/spreadsheets/d/1BJSV3WBYJGRhQ6zExamkszQ5VutGIcaQqmbD9ZTVXMQ/edit#gid=1251630045"",""articles_with_PRISMA_reasons!B2:B2113"")))-1)"),"Emery")</f>
        <v>Emery</v>
      </c>
      <c r="C1004" s="6">
        <f>IFERROR(__xludf.DUMMYFUNCTION("FILTER(IMPORTRANGE(""https://docs.google.com/spreadsheets/d/1BJSV3WBYJGRhQ6zExamkszQ5VutGIcaQqmbD9ZTVXMQ/edit#gid=1251630045"",""articles_with_PRISMA_reasons!C2:C2113""), $A1004=IMPORTRANGE(""https://docs.google.com/spreadsheets/d/1BJSV3WBYJGRhQ6zExamkszQ"&amp;"5VutGIcaQqmbD9ZTVXMQ/edit#gid=1251630045"",""articles_with_PRISMA_reasons!B2:B2113""))"),1965.0)</f>
        <v>1965</v>
      </c>
      <c r="D1004" s="5" t="str">
        <f>IFERROR(__xludf.DUMMYFUNCTION("IFS(AND(
FILTER(IMPORTRANGE(""https://docs.google.com/spreadsheets/d/1BJSV3WBYJGRhQ6zExamkszQ5VutGIcaQqmbD9ZTVXMQ/edit#gid=1251630045"",""articles_with_PRISMA_reasons!Y2:Y2113""), $A1004=IMPORTRANGE(""https://docs.google.com/spreadsheets/d/1BJSV3WBYJGRhQ6"&amp;"zExamkszQ5VutGIcaQqmbD9ZTVXMQ/edit#gid=1251630045"",""articles_with_PRISMA_reasons!B2:B2113""))&gt;=2,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$A1004=IMPORTRANGE(""https://docs.google"&amp;".com/spreadsheets/d/1BJSV3WBYJGRhQ6zExamkszQ5VutGIcaQqmbD9ZTVXMQ/edit#gid=1251630045"",""articles_with_PRISMA_reasons!B2:B2113""))&gt;=2),
""Exclude""
)"),"Exclude")</f>
        <v>Exclude</v>
      </c>
      <c r="E1004" s="5" t="str">
        <f>IFERROR(__xludf.DUMMYFUNCTION("IFS(
D1004=""Exclude"",""Exclude"",
AND(
FILTER(IMPORTRANGE(""https://docs.google.com/spreadsheets/d/1qpEmbGH0JjaJbUdp21-y2cPbobDbMjr09BbtdKROZWc/edit#gid=1444865654"",""articles_with_PRISMA_reasons!W2:W2113""), $A1004=IMPORTRANGE(""https://docs.google.co"&amp;"m/spreadsheets/d/1qpEmbGH0JjaJbUdp21-y2cPbobDbMjr09BbtdKROZWc/edit#gid=1444865654"",""articles_with_PRISMA_reasons!B2:B2113""))&gt;=2,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$A1004=I"&amp;"MPORTRANGE(""https://docs.google.com/spreadsheets/d/1qpEmbGH0JjaJbUdp21-y2cPbobDbMjr09BbtdKROZWc/edit#gid=1444865654"",""articles_with_PRISMA_reasons!B2:B2113""))&gt;=2),
""Exclude""
)"),"Exclude")</f>
        <v>Exclude</v>
      </c>
      <c r="F1004" s="5" t="str">
        <f>IFERROR(__xludf.DUMMYFUNCTION("IFS(
E1004=""Exclude"",""Exclude"",
AND(
COUNTIF(
IMPORTRANGE(""https://docs.google.com/spreadsheets/d/1kGrh75X1cNR1D7_FcY9zMnHP8iPO4M5RCRjy6nZY0TY/edit#gid=0"",""Table 1: Study characteristics!B4:B171""),A1004)&gt;0,
COUNTIF(Studies!$A$2:$A$85,FILTER(IMPORT"&amp;"RANGE(""https://docs.google.com/spreadsheets/d/1kGrh75X1cNR1D7_FcY9zMnHP8iPO4M5RCRjy6nZY0TY/edit#gid=0"",""Table 1: Study characteristics!A4:A171""), $A1004=IMPORTRANGE(""https://docs.google.com/spreadsheets/d/1kGrh75X1cNR1D7_FcY9zMnHP8iPO4M5RCRjy6nZY0TY/"&amp;"edit#gid=0"",""Table 1: Study characteristics!B4:B171"")))&gt;0
),
""Include""
)"),"Exclude")</f>
        <v>Exclude</v>
      </c>
      <c r="G1004" s="5" t="str">
        <f>IFERROR(__xludf.DUMMYFUNCTION("IFS(
D1004=""Exclude"",
FILTER(IMPORTRANGE(""https://docs.google.com/spreadsheets/d/1BJSV3WBYJGRhQ6zExamkszQ5VutGIcaQqmbD9ZTVXMQ/edit#gid=1251630045"",""articles_with_PRISMA_reasons!AB2:AB2113""), $A1004=IMPORTRANGE(""https://docs.google.com/spreadsheets/"&amp;"d/1BJSV3WBYJGRhQ6zExamkszQ5VutGIcaQqmbD9ZTVXMQ/edit#gid=1251630045"",""articles_with_PRISMA_reasons!B2:B2113"")),
E1004=""Exclude"",
FILTER(IMPORTRANGE(""https://docs.google.com/spreadsheets/d/1qpEmbGH0JjaJbUdp21-y2cPbobDbMjr09BbtdKROZWc/edit#gid=14448656"&amp;"54"",""articles_with_PRISMA_reasons!Z2:Z2113""), $A1004=IMPORTRANGE(""https://docs.google.com/spreadsheets/d/1qpEmbGH0JjaJbUdp21-y2cPbobDbMjr09BbtdKROZWc/edit#gid=1444865654"",""articles_with_PRISMA_reasons!B2:B2113"")),F1004
=""Include"",FILTER(IMPORTRAN"&amp;"GE(""https://docs.google.com/spreadsheets/d/1kGrh75X1cNR1D7_FcY9zMnHP8iPO4M5RCRjy6nZY0TY/edit#gid=0"",""Table 1: Study characteristics!A4:A171""), $A1004=IMPORTRANGE(""https://docs.google.com/spreadsheets/d/1kGrh75X1cNR1D7_FcY9zMnHP8iPO4M5RCRjy6nZY0TY/edi"&amp;"t#gid=0"",""Table 1: Study characteristics!B4:B171""))
)"),"wrong study design")</f>
        <v>wrong study design</v>
      </c>
    </row>
    <row r="1005">
      <c r="A1005" s="4" t="str">
        <f>IFERROR(__xludf.DUMMYFUNCTION("""COMPUTED_VALUE"""),"Intracranial infection in patients with myelomeningocele: profile and risk factors")</f>
        <v>Intracranial infection in patients with myelomeningocele: profile and risk factors</v>
      </c>
      <c r="B1005" s="5" t="str">
        <f>IFERROR(__xludf.DUMMYFUNCTION("LEFT(FILTER(IMPORTRANGE(""https://docs.google.com/spreadsheets/d/1BJSV3WBYJGRhQ6zExamkszQ5VutGIcaQqmbD9ZTVXMQ/edit#gid=1251630045"",""articles_with_PRISMA_reasons!K2:K2113""), $A1005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$A1005=IMPORTRANGE(""https://docs.google.com/spreadsheets/d/1BJSV3WBYJGRhQ6zExamkszQ5VutGIcaQqmbD9ZTVXMQ/edit#gid=1251630045"",""articles_with_PRISMA_reasons!B2:B2113"")))-1)"),"Anegbe")</f>
        <v>Anegbe</v>
      </c>
      <c r="C1005" s="6">
        <f>IFERROR(__xludf.DUMMYFUNCTION("FILTER(IMPORTRANGE(""https://docs.google.com/spreadsheets/d/1BJSV3WBYJGRhQ6zExamkszQ5VutGIcaQqmbD9ZTVXMQ/edit#gid=1251630045"",""articles_with_PRISMA_reasons!C2:C2113""), $A1005=IMPORTRANGE(""https://docs.google.com/spreadsheets/d/1BJSV3WBYJGRhQ6zExamkszQ"&amp;"5VutGIcaQqmbD9ZTVXMQ/edit#gid=1251630045"",""articles_with_PRISMA_reasons!B2:B2113""))"),2019.0)</f>
        <v>2019</v>
      </c>
      <c r="D1005" s="5" t="str">
        <f>IFERROR(__xludf.DUMMYFUNCTION("IFS(AND(
FILTER(IMPORTRANGE(""https://docs.google.com/spreadsheets/d/1BJSV3WBYJGRhQ6zExamkszQ5VutGIcaQqmbD9ZTVXMQ/edit#gid=1251630045"",""articles_with_PRISMA_reasons!Y2:Y2113""), $A1005=IMPORTRANGE(""https://docs.google.com/spreadsheets/d/1BJSV3WBYJGRhQ6"&amp;"zExamkszQ5VutGIcaQqmbD9ZTVXMQ/edit#gid=1251630045"",""articles_with_PRISMA_reasons!B2:B2113""))&gt;=2,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$A1005=IMPORTRANGE(""https://docs.google"&amp;".com/spreadsheets/d/1BJSV3WBYJGRhQ6zExamkszQ5VutGIcaQqmbD9ZTVXMQ/edit#gid=1251630045"",""articles_with_PRISMA_reasons!B2:B2113""))&gt;=2),
""Exclude""
)"),"Include")</f>
        <v>Include</v>
      </c>
      <c r="E1005" s="5" t="str">
        <f>IFERROR(__xludf.DUMMYFUNCTION("IFS(
D1005=""Exclude"",""Exclude"",
AND(
FILTER(IMPORTRANGE(""https://docs.google.com/spreadsheets/d/1qpEmbGH0JjaJbUdp21-y2cPbobDbMjr09BbtdKROZWc/edit#gid=1444865654"",""articles_with_PRISMA_reasons!W2:W2113""), $A1005=IMPORTRANGE(""https://docs.google.co"&amp;"m/spreadsheets/d/1qpEmbGH0JjaJbUdp21-y2cPbobDbMjr09BbtdKROZWc/edit#gid=1444865654"",""articles_with_PRISMA_reasons!B2:B2113""))&gt;=2,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$A1005=I"&amp;"MPORTRANGE(""https://docs.google.com/spreadsheets/d/1qpEmbGH0JjaJbUdp21-y2cPbobDbMjr09BbtdKROZWc/edit#gid=1444865654"",""articles_with_PRISMA_reasons!B2:B2113""))&gt;=2),
""Exclude""
)"),"Exclude")</f>
        <v>Exclude</v>
      </c>
      <c r="F1005" s="5" t="str">
        <f>IFERROR(__xludf.DUMMYFUNCTION("IFS(
E1005=""Exclude"",""Exclude"",
AND(
COUNTIF(
IMPORTRANGE(""https://docs.google.com/spreadsheets/d/1kGrh75X1cNR1D7_FcY9zMnHP8iPO4M5RCRjy6nZY0TY/edit#gid=0"",""Table 1: Study characteristics!B4:B171""),A1005)&gt;0,
COUNTIF(Studies!$A$2:$A$85,FILTER(IMPORT"&amp;"RANGE(""https://docs.google.com/spreadsheets/d/1kGrh75X1cNR1D7_FcY9zMnHP8iPO4M5RCRjy6nZY0TY/edit#gid=0"",""Table 1: Study characteristics!A4:A171""), $A1005=IMPORTRANGE(""https://docs.google.com/spreadsheets/d/1kGrh75X1cNR1D7_FcY9zMnHP8iPO4M5RCRjy6nZY0TY/"&amp;"edit#gid=0"",""Table 1: Study characteristics!B4:B171"")))&gt;0
),
""Include""
)"),"Exclude")</f>
        <v>Exclude</v>
      </c>
      <c r="G1005" s="5" t="str">
        <f>IFERROR(__xludf.DUMMYFUNCTION("IFS(
D1005=""Exclude"",
FILTER(IMPORTRANGE(""https://docs.google.com/spreadsheets/d/1BJSV3WBYJGRhQ6zExamkszQ5VutGIcaQqmbD9ZTVXMQ/edit#gid=1251630045"",""articles_with_PRISMA_reasons!AB2:AB2113""), $A1005=IMPORTRANGE(""https://docs.google.com/spreadsheets/"&amp;"d/1BJSV3WBYJGRhQ6zExamkszQ5VutGIcaQqmbD9ZTVXMQ/edit#gid=1251630045"",""articles_with_PRISMA_reasons!B2:B2113"")),
E1005=""Exclude"",
FILTER(IMPORTRANGE(""https://docs.google.com/spreadsheets/d/1qpEmbGH0JjaJbUdp21-y2cPbobDbMjr09BbtdKROZWc/edit#gid=14448656"&amp;"54"",""articles_with_PRISMA_reasons!Z2:Z2113""), $A1005=IMPORTRANGE(""https://docs.google.com/spreadsheets/d/1qpEmbGH0JjaJbUdp21-y2cPbobDbMjr09BbtdKROZWc/edit#gid=1444865654"",""articles_with_PRISMA_reasons!B2:B2113"")),F1005
=""Include"",FILTER(IMPORTRAN"&amp;"GE(""https://docs.google.com/spreadsheets/d/1kGrh75X1cNR1D7_FcY9zMnHP8iPO4M5RCRjy6nZY0TY/edit#gid=0"",""Table 1: Study characteristics!A4:A171""), $A1005=IMPORTRANGE(""https://docs.google.com/spreadsheets/d/1kGrh75X1cNR1D7_FcY9zMnHP8iPO4M5RCRjy6nZY0TY/edi"&amp;"t#gid=0"",""Table 1: Study characteristics!B4:B171""))
)"),"wrong population")</f>
        <v>wrong population</v>
      </c>
    </row>
    <row r="1006">
      <c r="A1006" s="4" t="str">
        <f>IFERROR(__xludf.DUMMYFUNCTION("""COMPUTED_VALUE"""),"Intracranial pressure during compressive head wrapping in treatment of neonatal hydrocephalus")</f>
        <v>Intracranial pressure during compressive head wrapping in treatment of neonatal hydrocephalus</v>
      </c>
      <c r="B1006" s="5" t="str">
        <f>IFERROR(__xludf.DUMMYFUNCTION("LEFT(FILTER(IMPORTRANGE(""https://docs.google.com/spreadsheets/d/1BJSV3WBYJGRhQ6zExamkszQ5VutGIcaQqmbD9ZTVXMQ/edit#gid=1251630045"",""articles_with_PRISMA_reasons!K2:K2113""), $A1006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$A1006=IMPORTRANGE(""https://docs.google.com/spreadsheets/d/1BJSV3WBYJGRhQ6zExamkszQ5VutGIcaQqmbD9ZTVXMQ/edit#gid=1251630045"",""articles_with_PRISMA_reasons!B2:B2113"")))-1)"),"Epstein")</f>
        <v>Epstein</v>
      </c>
      <c r="C1006" s="6">
        <f>IFERROR(__xludf.DUMMYFUNCTION("FILTER(IMPORTRANGE(""https://docs.google.com/spreadsheets/d/1BJSV3WBYJGRhQ6zExamkszQ5VutGIcaQqmbD9ZTVXMQ/edit#gid=1251630045"",""articles_with_PRISMA_reasons!C2:C2113""), $A1006=IMPORTRANGE(""https://docs.google.com/spreadsheets/d/1BJSV3WBYJGRhQ6zExamkszQ"&amp;"5VutGIcaQqmbD9ZTVXMQ/edit#gid=1251630045"",""articles_with_PRISMA_reasons!B2:B2113""))"),1974.0)</f>
        <v>1974</v>
      </c>
      <c r="D1006" s="5" t="str">
        <f>IFERROR(__xludf.DUMMYFUNCTION("IFS(AND(
FILTER(IMPORTRANGE(""https://docs.google.com/spreadsheets/d/1BJSV3WBYJGRhQ6zExamkszQ5VutGIcaQqmbD9ZTVXMQ/edit#gid=1251630045"",""articles_with_PRISMA_reasons!Y2:Y2113""), $A1006=IMPORTRANGE(""https://docs.google.com/spreadsheets/d/1BJSV3WBYJGRhQ6"&amp;"zExamkszQ5VutGIcaQqmbD9ZTVXMQ/edit#gid=1251630045"",""articles_with_PRISMA_reasons!B2:B2113""))&gt;=2,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$A1006=IMPORTRANGE(""https://docs.google"&amp;".com/spreadsheets/d/1BJSV3WBYJGRhQ6zExamkszQ5VutGIcaQqmbD9ZTVXMQ/edit#gid=1251630045"",""articles_with_PRISMA_reasons!B2:B2113""))&gt;=2),
""Exclude""
)"),"Exclude")</f>
        <v>Exclude</v>
      </c>
      <c r="E1006" s="5" t="str">
        <f>IFERROR(__xludf.DUMMYFUNCTION("IFS(
D1006=""Exclude"",""Exclude"",
AND(
FILTER(IMPORTRANGE(""https://docs.google.com/spreadsheets/d/1qpEmbGH0JjaJbUdp21-y2cPbobDbMjr09BbtdKROZWc/edit#gid=1444865654"",""articles_with_PRISMA_reasons!W2:W2113""), $A1006=IMPORTRANGE(""https://docs.google.co"&amp;"m/spreadsheets/d/1qpEmbGH0JjaJbUdp21-y2cPbobDbMjr09BbtdKROZWc/edit#gid=1444865654"",""articles_with_PRISMA_reasons!B2:B2113""))&gt;=2,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$A1006=I"&amp;"MPORTRANGE(""https://docs.google.com/spreadsheets/d/1qpEmbGH0JjaJbUdp21-y2cPbobDbMjr09BbtdKROZWc/edit#gid=1444865654"",""articles_with_PRISMA_reasons!B2:B2113""))&gt;=2),
""Exclude""
)"),"Exclude")</f>
        <v>Exclude</v>
      </c>
      <c r="F1006" s="5" t="str">
        <f>IFERROR(__xludf.DUMMYFUNCTION("IFS(
E1006=""Exclude"",""Exclude"",
AND(
COUNTIF(
IMPORTRANGE(""https://docs.google.com/spreadsheets/d/1kGrh75X1cNR1D7_FcY9zMnHP8iPO4M5RCRjy6nZY0TY/edit#gid=0"",""Table 1: Study characteristics!B4:B171""),A1006)&gt;0,
COUNTIF(Studies!$A$2:$A$85,FILTER(IMPORT"&amp;"RANGE(""https://docs.google.com/spreadsheets/d/1kGrh75X1cNR1D7_FcY9zMnHP8iPO4M5RCRjy6nZY0TY/edit#gid=0"",""Table 1: Study characteristics!A4:A171""), $A1006=IMPORTRANGE(""https://docs.google.com/spreadsheets/d/1kGrh75X1cNR1D7_FcY9zMnHP8iPO4M5RCRjy6nZY0TY/"&amp;"edit#gid=0"",""Table 1: Study characteristics!B4:B171"")))&gt;0
),
""Include""
)"),"Exclude")</f>
        <v>Exclude</v>
      </c>
      <c r="G1006" s="5" t="str">
        <f>IFERROR(__xludf.DUMMYFUNCTION("IFS(
D1006=""Exclude"",
FILTER(IMPORTRANGE(""https://docs.google.com/spreadsheets/d/1BJSV3WBYJGRhQ6zExamkszQ5VutGIcaQqmbD9ZTVXMQ/edit#gid=1251630045"",""articles_with_PRISMA_reasons!AB2:AB2113""), $A1006=IMPORTRANGE(""https://docs.google.com/spreadsheets/"&amp;"d/1BJSV3WBYJGRhQ6zExamkszQ5VutGIcaQqmbD9ZTVXMQ/edit#gid=1251630045"",""articles_with_PRISMA_reasons!B2:B2113"")),
E1006=""Exclude"",
FILTER(IMPORTRANGE(""https://docs.google.com/spreadsheets/d/1qpEmbGH0JjaJbUdp21-y2cPbobDbMjr09BbtdKROZWc/edit#gid=14448656"&amp;"54"",""articles_with_PRISMA_reasons!Z2:Z2113""), $A1006=IMPORTRANGE(""https://docs.google.com/spreadsheets/d/1qpEmbGH0JjaJbUdp21-y2cPbobDbMjr09BbtdKROZWc/edit#gid=1444865654"",""articles_with_PRISMA_reasons!B2:B2113"")),F1006
=""Include"",FILTER(IMPORTRAN"&amp;"GE(""https://docs.google.com/spreadsheets/d/1kGrh75X1cNR1D7_FcY9zMnHP8iPO4M5RCRjy6nZY0TY/edit#gid=0"",""Table 1: Study characteristics!A4:A171""), $A1006=IMPORTRANGE(""https://docs.google.com/spreadsheets/d/1kGrh75X1cNR1D7_FcY9zMnHP8iPO4M5RCRjy6nZY0TY/edi"&amp;"t#gid=0"",""Table 1: Study characteristics!B4:B171""))
)"),"wrong study design")</f>
        <v>wrong study design</v>
      </c>
    </row>
    <row r="1007">
      <c r="A1007" s="4" t="str">
        <f>IFERROR(__xludf.DUMMYFUNCTION("""COMPUTED_VALUE"""),"Intracranial sonography in infancy")</f>
        <v>Intracranial sonography in infancy</v>
      </c>
      <c r="B1007" s="5" t="str">
        <f>IFERROR(__xludf.DUMMYFUNCTION("LEFT(FILTER(IMPORTRANGE(""https://docs.google.com/spreadsheets/d/1BJSV3WBYJGRhQ6zExamkszQ5VutGIcaQqmbD9ZTVXMQ/edit#gid=1251630045"",""articles_with_PRISMA_reasons!K2:K2113""), $A1007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$A1007=IMPORTRANGE(""https://docs.google.com/spreadsheets/d/1BJSV3WBYJGRhQ6zExamkszQ5VutGIcaQqmbD9ZTVXMQ/edit#gid=1251630045"",""articles_with_PRISMA_reasons!B2:B2113"")))-1)"),"Harmat")</f>
        <v>Harmat</v>
      </c>
      <c r="C1007" s="6">
        <f>IFERROR(__xludf.DUMMYFUNCTION("FILTER(IMPORTRANGE(""https://docs.google.com/spreadsheets/d/1BJSV3WBYJGRhQ6zExamkszQ5VutGIcaQqmbD9ZTVXMQ/edit#gid=1251630045"",""articles_with_PRISMA_reasons!C2:C2113""), $A1007=IMPORTRANGE(""https://docs.google.com/spreadsheets/d/1BJSV3WBYJGRhQ6zExamkszQ"&amp;"5VutGIcaQqmbD9ZTVXMQ/edit#gid=1251630045"",""articles_with_PRISMA_reasons!B2:B2113""))"),1985.0)</f>
        <v>1985</v>
      </c>
      <c r="D1007" s="5" t="str">
        <f>IFERROR(__xludf.DUMMYFUNCTION("IFS(AND(
FILTER(IMPORTRANGE(""https://docs.google.com/spreadsheets/d/1BJSV3WBYJGRhQ6zExamkszQ5VutGIcaQqmbD9ZTVXMQ/edit#gid=1251630045"",""articles_with_PRISMA_reasons!Y2:Y2113""), $A1007=IMPORTRANGE(""https://docs.google.com/spreadsheets/d/1BJSV3WBYJGRhQ6"&amp;"zExamkszQ5VutGIcaQqmbD9ZTVXMQ/edit#gid=1251630045"",""articles_with_PRISMA_reasons!B2:B2113""))&gt;=2,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$A1007=IMPORTRANGE(""https://docs.google"&amp;".com/spreadsheets/d/1BJSV3WBYJGRhQ6zExamkszQ5VutGIcaQqmbD9ZTVXMQ/edit#gid=1251630045"",""articles_with_PRISMA_reasons!B2:B2113""))&gt;=2),
""Exclude""
)"),"Exclude")</f>
        <v>Exclude</v>
      </c>
      <c r="E1007" s="5" t="str">
        <f>IFERROR(__xludf.DUMMYFUNCTION("IFS(
D1007=""Exclude"",""Exclude"",
AND(
FILTER(IMPORTRANGE(""https://docs.google.com/spreadsheets/d/1qpEmbGH0JjaJbUdp21-y2cPbobDbMjr09BbtdKROZWc/edit#gid=1444865654"",""articles_with_PRISMA_reasons!W2:W2113""), $A1007=IMPORTRANGE(""https://docs.google.co"&amp;"m/spreadsheets/d/1qpEmbGH0JjaJbUdp21-y2cPbobDbMjr09BbtdKROZWc/edit#gid=1444865654"",""articles_with_PRISMA_reasons!B2:B2113""))&gt;=2,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$A1007=I"&amp;"MPORTRANGE(""https://docs.google.com/spreadsheets/d/1qpEmbGH0JjaJbUdp21-y2cPbobDbMjr09BbtdKROZWc/edit#gid=1444865654"",""articles_with_PRISMA_reasons!B2:B2113""))&gt;=2),
""Exclude""
)"),"Exclude")</f>
        <v>Exclude</v>
      </c>
      <c r="F1007" s="5" t="str">
        <f>IFERROR(__xludf.DUMMYFUNCTION("IFS(
E1007=""Exclude"",""Exclude"",
AND(
COUNTIF(
IMPORTRANGE(""https://docs.google.com/spreadsheets/d/1kGrh75X1cNR1D7_FcY9zMnHP8iPO4M5RCRjy6nZY0TY/edit#gid=0"",""Table 1: Study characteristics!B4:B171""),A1007)&gt;0,
COUNTIF(Studies!$A$2:$A$85,FILTER(IMPORT"&amp;"RANGE(""https://docs.google.com/spreadsheets/d/1kGrh75X1cNR1D7_FcY9zMnHP8iPO4M5RCRjy6nZY0TY/edit#gid=0"",""Table 1: Study characteristics!A4:A171""), $A1007=IMPORTRANGE(""https://docs.google.com/spreadsheets/d/1kGrh75X1cNR1D7_FcY9zMnHP8iPO4M5RCRjy6nZY0TY/"&amp;"edit#gid=0"",""Table 1: Study characteristics!B4:B171"")))&gt;0
),
""Include""
)"),"Exclude")</f>
        <v>Exclude</v>
      </c>
      <c r="G1007" s="5" t="str">
        <f>IFERROR(__xludf.DUMMYFUNCTION("IFS(
D1007=""Exclude"",
FILTER(IMPORTRANGE(""https://docs.google.com/spreadsheets/d/1BJSV3WBYJGRhQ6zExamkszQ5VutGIcaQqmbD9ZTVXMQ/edit#gid=1251630045"",""articles_with_PRISMA_reasons!AB2:AB2113""), $A1007=IMPORTRANGE(""https://docs.google.com/spreadsheets/"&amp;"d/1BJSV3WBYJGRhQ6zExamkszQ5VutGIcaQqmbD9ZTVXMQ/edit#gid=1251630045"",""articles_with_PRISMA_reasons!B2:B2113"")),
E1007=""Exclude"",
FILTER(IMPORTRANGE(""https://docs.google.com/spreadsheets/d/1qpEmbGH0JjaJbUdp21-y2cPbobDbMjr09BbtdKROZWc/edit#gid=14448656"&amp;"54"",""articles_with_PRISMA_reasons!Z2:Z2113""), $A1007=IMPORTRANGE(""https://docs.google.com/spreadsheets/d/1qpEmbGH0JjaJbUdp21-y2cPbobDbMjr09BbtdKROZWc/edit#gid=1444865654"",""articles_with_PRISMA_reasons!B2:B2113"")),F1007
=""Include"",FILTER(IMPORTRAN"&amp;"GE(""https://docs.google.com/spreadsheets/d/1kGrh75X1cNR1D7_FcY9zMnHP8iPO4M5RCRjy6nZY0TY/edit#gid=0"",""Table 1: Study characteristics!A4:A171""), $A1007=IMPORTRANGE(""https://docs.google.com/spreadsheets/d/1kGrh75X1cNR1D7_FcY9zMnHP8iPO4M5RCRjy6nZY0TY/edi"&amp;"t#gid=0"",""Table 1: Study characteristics!B4:B171""))
)"),"wrong population")</f>
        <v>wrong population</v>
      </c>
    </row>
    <row r="1008">
      <c r="A1008" s="4" t="str">
        <f>IFERROR(__xludf.DUMMYFUNCTION("""COMPUTED_VALUE"""),"Intracranial subdural hematoma and pneumocephalus after spinal instrumentation of myelodysplastic scoliosis")</f>
        <v>Intracranial subdural hematoma and pneumocephalus after spinal instrumentation of myelodysplastic scoliosis</v>
      </c>
      <c r="B1008" s="5" t="str">
        <f>IFERROR(__xludf.DUMMYFUNCTION("LEFT(FILTER(IMPORTRANGE(""https://docs.google.com/spreadsheets/d/1BJSV3WBYJGRhQ6zExamkszQ5VutGIcaQqmbD9ZTVXMQ/edit#gid=1251630045"",""articles_with_PRISMA_reasons!K2:K2113""), $A1008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$A1008=IMPORTRANGE(""https://docs.google.com/spreadsheets/d/1BJSV3WBYJGRhQ6zExamkszQ5VutGIcaQqmbD9ZTVXMQ/edit#gid=1251630045"",""articles_with_PRISMA_reasons!B2:B2113"")))-1)"),"Nowak")</f>
        <v>Nowak</v>
      </c>
      <c r="C1008" s="6">
        <f>IFERROR(__xludf.DUMMYFUNCTION("FILTER(IMPORTRANGE(""https://docs.google.com/spreadsheets/d/1BJSV3WBYJGRhQ6zExamkszQ5VutGIcaQqmbD9ZTVXMQ/edit#gid=1251630045"",""articles_with_PRISMA_reasons!C2:C2113""), $A1008=IMPORTRANGE(""https://docs.google.com/spreadsheets/d/1BJSV3WBYJGRhQ6zExamkszQ"&amp;"5VutGIcaQqmbD9ZTVXMQ/edit#gid=1251630045"",""articles_with_PRISMA_reasons!B2:B2113""))"),2011.0)</f>
        <v>2011</v>
      </c>
      <c r="D1008" s="5" t="str">
        <f>IFERROR(__xludf.DUMMYFUNCTION("IFS(AND(
FILTER(IMPORTRANGE(""https://docs.google.com/spreadsheets/d/1BJSV3WBYJGRhQ6zExamkszQ5VutGIcaQqmbD9ZTVXMQ/edit#gid=1251630045"",""articles_with_PRISMA_reasons!Y2:Y2113""), $A1008=IMPORTRANGE(""https://docs.google.com/spreadsheets/d/1BJSV3WBYJGRhQ6"&amp;"zExamkszQ5VutGIcaQqmbD9ZTVXMQ/edit#gid=1251630045"",""articles_with_PRISMA_reasons!B2:B2113""))&gt;=2,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$A1008=IMPORTRANGE(""https://docs.google"&amp;".com/spreadsheets/d/1BJSV3WBYJGRhQ6zExamkszQ5VutGIcaQqmbD9ZTVXMQ/edit#gid=1251630045"",""articles_with_PRISMA_reasons!B2:B2113""))&gt;=2),
""Exclude""
)"),"Exclude")</f>
        <v>Exclude</v>
      </c>
      <c r="E1008" s="5" t="str">
        <f>IFERROR(__xludf.DUMMYFUNCTION("IFS(
D1008=""Exclude"",""Exclude"",
AND(
FILTER(IMPORTRANGE(""https://docs.google.com/spreadsheets/d/1qpEmbGH0JjaJbUdp21-y2cPbobDbMjr09BbtdKROZWc/edit#gid=1444865654"",""articles_with_PRISMA_reasons!W2:W2113""), $A1008=IMPORTRANGE(""https://docs.google.co"&amp;"m/spreadsheets/d/1qpEmbGH0JjaJbUdp21-y2cPbobDbMjr09BbtdKROZWc/edit#gid=1444865654"",""articles_with_PRISMA_reasons!B2:B2113""))&gt;=2,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$A1008=I"&amp;"MPORTRANGE(""https://docs.google.com/spreadsheets/d/1qpEmbGH0JjaJbUdp21-y2cPbobDbMjr09BbtdKROZWc/edit#gid=1444865654"",""articles_with_PRISMA_reasons!B2:B2113""))&gt;=2),
""Exclude""
)"),"Exclude")</f>
        <v>Exclude</v>
      </c>
      <c r="F1008" s="5" t="str">
        <f>IFERROR(__xludf.DUMMYFUNCTION("IFS(
E1008=""Exclude"",""Exclude"",
AND(
COUNTIF(
IMPORTRANGE(""https://docs.google.com/spreadsheets/d/1kGrh75X1cNR1D7_FcY9zMnHP8iPO4M5RCRjy6nZY0TY/edit#gid=0"",""Table 1: Study characteristics!B4:B171""),A1008)&gt;0,
COUNTIF(Studies!$A$2:$A$85,FILTER(IMPORT"&amp;"RANGE(""https://docs.google.com/spreadsheets/d/1kGrh75X1cNR1D7_FcY9zMnHP8iPO4M5RCRjy6nZY0TY/edit#gid=0"",""Table 1: Study characteristics!A4:A171""), $A1008=IMPORTRANGE(""https://docs.google.com/spreadsheets/d/1kGrh75X1cNR1D7_FcY9zMnHP8iPO4M5RCRjy6nZY0TY/"&amp;"edit#gid=0"",""Table 1: Study characteristics!B4:B171"")))&gt;0
),
""Include""
)"),"Exclude")</f>
        <v>Exclude</v>
      </c>
      <c r="G1008" s="5" t="str">
        <f>IFERROR(__xludf.DUMMYFUNCTION("IFS(
D1008=""Exclude"",
FILTER(IMPORTRANGE(""https://docs.google.com/spreadsheets/d/1BJSV3WBYJGRhQ6zExamkszQ5VutGIcaQqmbD9ZTVXMQ/edit#gid=1251630045"",""articles_with_PRISMA_reasons!AB2:AB2113""), $A1008=IMPORTRANGE(""https://docs.google.com/spreadsheets/"&amp;"d/1BJSV3WBYJGRhQ6zExamkszQ5VutGIcaQqmbD9ZTVXMQ/edit#gid=1251630045"",""articles_with_PRISMA_reasons!B2:B2113"")),
E1008=""Exclude"",
FILTER(IMPORTRANGE(""https://docs.google.com/spreadsheets/d/1qpEmbGH0JjaJbUdp21-y2cPbobDbMjr09BbtdKROZWc/edit#gid=14448656"&amp;"54"",""articles_with_PRISMA_reasons!Z2:Z2113""), $A1008=IMPORTRANGE(""https://docs.google.com/spreadsheets/d/1qpEmbGH0JjaJbUdp21-y2cPbobDbMjr09BbtdKROZWc/edit#gid=1444865654"",""articles_with_PRISMA_reasons!B2:B2113"")),F1008
=""Include"",FILTER(IMPORTRAN"&amp;"GE(""https://docs.google.com/spreadsheets/d/1kGrh75X1cNR1D7_FcY9zMnHP8iPO4M5RCRjy6nZY0TY/edit#gid=0"",""Table 1: Study characteristics!A4:A171""), $A1008=IMPORTRANGE(""https://docs.google.com/spreadsheets/d/1kGrh75X1cNR1D7_FcY9zMnHP8iPO4M5RCRjy6nZY0TY/edi"&amp;"t#gid=0"",""Table 1: Study characteristics!B4:B171""))
)"),"Duplicate")</f>
        <v>Duplicate</v>
      </c>
    </row>
    <row r="1009">
      <c r="A1009" s="4" t="str">
        <f>IFERROR(__xludf.DUMMYFUNCTION("""COMPUTED_VALUE"""),"Intracranial ventricular system in children with spina bifida custica")</f>
        <v>Intracranial ventricular system in children with spina bifida custica</v>
      </c>
      <c r="B1009" s="5" t="str">
        <f>IFERROR(__xludf.DUMMYFUNCTION("LEFT(FILTER(IMPORTRANGE(""https://docs.google.com/spreadsheets/d/1BJSV3WBYJGRhQ6zExamkszQ5VutGIcaQqmbD9ZTVXMQ/edit#gid=1251630045"",""articles_with_PRISMA_reasons!K2:K2113""), $A1009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$A1009=IMPORTRANGE(""https://docs.google.com/spreadsheets/d/1BJSV3WBYJGRhQ6zExamkszQ5VutGIcaQqmbD9ZTVXMQ/edit#gid=1251630045"",""articles_with_PRISMA_reasons!B2:B2113"")))-1)"),"Adeloye")</f>
        <v>Adeloye</v>
      </c>
      <c r="C1009" s="6">
        <f>IFERROR(__xludf.DUMMYFUNCTION("FILTER(IMPORTRANGE(""https://docs.google.com/spreadsheets/d/1BJSV3WBYJGRhQ6zExamkszQ5VutGIcaQqmbD9ZTVXMQ/edit#gid=1251630045"",""articles_with_PRISMA_reasons!C2:C2113""), $A1009=IMPORTRANGE(""https://docs.google.com/spreadsheets/d/1BJSV3WBYJGRhQ6zExamkszQ"&amp;"5VutGIcaQqmbD9ZTVXMQ/edit#gid=1251630045"",""articles_with_PRISMA_reasons!B2:B2113""))"),1974.0)</f>
        <v>1974</v>
      </c>
      <c r="D1009" s="5" t="str">
        <f>IFERROR(__xludf.DUMMYFUNCTION("IFS(AND(
FILTER(IMPORTRANGE(""https://docs.google.com/spreadsheets/d/1BJSV3WBYJGRhQ6zExamkszQ5VutGIcaQqmbD9ZTVXMQ/edit#gid=1251630045"",""articles_with_PRISMA_reasons!Y2:Y2113""), $A1009=IMPORTRANGE(""https://docs.google.com/spreadsheets/d/1BJSV3WBYJGRhQ6"&amp;"zExamkszQ5VutGIcaQqmbD9ZTVXMQ/edit#gid=1251630045"",""articles_with_PRISMA_reasons!B2:B2113""))&gt;=2,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$A1009=IMPORTRANGE(""https://docs.google"&amp;".com/spreadsheets/d/1BJSV3WBYJGRhQ6zExamkszQ5VutGIcaQqmbD9ZTVXMQ/edit#gid=1251630045"",""articles_with_PRISMA_reasons!B2:B2113""))&gt;=2),
""Exclude""
)"),"Exclude")</f>
        <v>Exclude</v>
      </c>
      <c r="E1009" s="5" t="str">
        <f>IFERROR(__xludf.DUMMYFUNCTION("IFS(
D1009=""Exclude"",""Exclude"",
AND(
FILTER(IMPORTRANGE(""https://docs.google.com/spreadsheets/d/1qpEmbGH0JjaJbUdp21-y2cPbobDbMjr09BbtdKROZWc/edit#gid=1444865654"",""articles_with_PRISMA_reasons!W2:W2113""), $A1009=IMPORTRANGE(""https://docs.google.co"&amp;"m/spreadsheets/d/1qpEmbGH0JjaJbUdp21-y2cPbobDbMjr09BbtdKROZWc/edit#gid=1444865654"",""articles_with_PRISMA_reasons!B2:B2113""))&gt;=2,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$A1009=I"&amp;"MPORTRANGE(""https://docs.google.com/spreadsheets/d/1qpEmbGH0JjaJbUdp21-y2cPbobDbMjr09BbtdKROZWc/edit#gid=1444865654"",""articles_with_PRISMA_reasons!B2:B2113""))&gt;=2),
""Exclude""
)"),"Exclude")</f>
        <v>Exclude</v>
      </c>
      <c r="F1009" s="5" t="str">
        <f>IFERROR(__xludf.DUMMYFUNCTION("IFS(
E1009=""Exclude"",""Exclude"",
AND(
COUNTIF(
IMPORTRANGE(""https://docs.google.com/spreadsheets/d/1kGrh75X1cNR1D7_FcY9zMnHP8iPO4M5RCRjy6nZY0TY/edit#gid=0"",""Table 1: Study characteristics!B4:B171""),A1009)&gt;0,
COUNTIF(Studies!$A$2:$A$85,FILTER(IMPORT"&amp;"RANGE(""https://docs.google.com/spreadsheets/d/1kGrh75X1cNR1D7_FcY9zMnHP8iPO4M5RCRjy6nZY0TY/edit#gid=0"",""Table 1: Study characteristics!A4:A171""), $A1009=IMPORTRANGE(""https://docs.google.com/spreadsheets/d/1kGrh75X1cNR1D7_FcY9zMnHP8iPO4M5RCRjy6nZY0TY/"&amp;"edit#gid=0"",""Table 1: Study characteristics!B4:B171"")))&gt;0
),
""Include""
)"),"Exclude")</f>
        <v>Exclude</v>
      </c>
      <c r="G1009" s="5" t="str">
        <f>IFERROR(__xludf.DUMMYFUNCTION("IFS(
D1009=""Exclude"",
FILTER(IMPORTRANGE(""https://docs.google.com/spreadsheets/d/1BJSV3WBYJGRhQ6zExamkszQ5VutGIcaQqmbD9ZTVXMQ/edit#gid=1251630045"",""articles_with_PRISMA_reasons!AB2:AB2113""), $A1009=IMPORTRANGE(""https://docs.google.com/spreadsheets/"&amp;"d/1BJSV3WBYJGRhQ6zExamkszQ5VutGIcaQqmbD9ZTVXMQ/edit#gid=1251630045"",""articles_with_PRISMA_reasons!B2:B2113"")),
E1009=""Exclude"",
FILTER(IMPORTRANGE(""https://docs.google.com/spreadsheets/d/1qpEmbGH0JjaJbUdp21-y2cPbobDbMjr09BbtdKROZWc/edit#gid=14448656"&amp;"54"",""articles_with_PRISMA_reasons!Z2:Z2113""), $A1009=IMPORTRANGE(""https://docs.google.com/spreadsheets/d/1qpEmbGH0JjaJbUdp21-y2cPbobDbMjr09BbtdKROZWc/edit#gid=1444865654"",""articles_with_PRISMA_reasons!B2:B2113"")),F1009
=""Include"",FILTER(IMPORTRAN"&amp;"GE(""https://docs.google.com/spreadsheets/d/1kGrh75X1cNR1D7_FcY9zMnHP8iPO4M5RCRjy6nZY0TY/edit#gid=0"",""Table 1: Study characteristics!A4:A171""), $A1009=IMPORTRANGE(""https://docs.google.com/spreadsheets/d/1kGrh75X1cNR1D7_FcY9zMnHP8iPO4M5RCRjy6nZY0TY/edi"&amp;"t#gid=0"",""Table 1: Study characteristics!B4:B171""))
)"),"no full text")</f>
        <v>no full text</v>
      </c>
    </row>
    <row r="1010">
      <c r="A1010" s="4" t="str">
        <f>IFERROR(__xludf.DUMMYFUNCTION("""COMPUTED_VALUE"""),"Intradural spine surgery may not carry an increased risk of shunt revision compared with extradural spine surgery in pediatric patients with myelomeningocele")</f>
        <v>Intradural spine surgery may not carry an increased risk of shunt revision compared with extradural spine surgery in pediatric patients with myelomeningocele</v>
      </c>
      <c r="B1010" s="5" t="str">
        <f>IFERROR(__xludf.DUMMYFUNCTION("LEFT(FILTER(IMPORTRANGE(""https://docs.google.com/spreadsheets/d/1BJSV3WBYJGRhQ6zExamkszQ5VutGIcaQqmbD9ZTVXMQ/edit#gid=1251630045"",""articles_with_PRISMA_reasons!K2:K2113""), $A1010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$A1010=IMPORTRANGE(""https://docs.google.com/spreadsheets/d/1BJSV3WBYJGRhQ6zExamkszQ5VutGIcaQqmbD9ZTVXMQ/edit#gid=1251630045"",""articles_with_PRISMA_reasons!B2:B2113"")))-1)"),"Kuhn")</f>
        <v>Kuhn</v>
      </c>
      <c r="C1010" s="6">
        <f>IFERROR(__xludf.DUMMYFUNCTION("FILTER(IMPORTRANGE(""https://docs.google.com/spreadsheets/d/1BJSV3WBYJGRhQ6zExamkszQ5VutGIcaQqmbD9ZTVXMQ/edit#gid=1251630045"",""articles_with_PRISMA_reasons!C2:C2113""), $A1010=IMPORTRANGE(""https://docs.google.com/spreadsheets/d/1BJSV3WBYJGRhQ6zExamkszQ"&amp;"5VutGIcaQqmbD9ZTVXMQ/edit#gid=1251630045"",""articles_with_PRISMA_reasons!B2:B2113""))"),2018.0)</f>
        <v>2018</v>
      </c>
      <c r="D1010" s="5" t="str">
        <f>IFERROR(__xludf.DUMMYFUNCTION("IFS(AND(
FILTER(IMPORTRANGE(""https://docs.google.com/spreadsheets/d/1BJSV3WBYJGRhQ6zExamkszQ5VutGIcaQqmbD9ZTVXMQ/edit#gid=1251630045"",""articles_with_PRISMA_reasons!Y2:Y2113""), $A1010=IMPORTRANGE(""https://docs.google.com/spreadsheets/d/1BJSV3WBYJGRhQ6"&amp;"zExamkszQ5VutGIcaQqmbD9ZTVXMQ/edit#gid=1251630045"",""articles_with_PRISMA_reasons!B2:B2113""))&gt;=2,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$A1010=IMPORTRANGE(""https://docs.google"&amp;".com/spreadsheets/d/1BJSV3WBYJGRhQ6zExamkszQ5VutGIcaQqmbD9ZTVXMQ/edit#gid=1251630045"",""articles_with_PRISMA_reasons!B2:B2113""))&gt;=2),
""Exclude""
)"),"Exclude")</f>
        <v>Exclude</v>
      </c>
      <c r="E1010" s="5" t="str">
        <f>IFERROR(__xludf.DUMMYFUNCTION("IFS(
D1010=""Exclude"",""Exclude"",
AND(
FILTER(IMPORTRANGE(""https://docs.google.com/spreadsheets/d/1qpEmbGH0JjaJbUdp21-y2cPbobDbMjr09BbtdKROZWc/edit#gid=1444865654"",""articles_with_PRISMA_reasons!W2:W2113""), $A1010=IMPORTRANGE(""https://docs.google.co"&amp;"m/spreadsheets/d/1qpEmbGH0JjaJbUdp21-y2cPbobDbMjr09BbtdKROZWc/edit#gid=1444865654"",""articles_with_PRISMA_reasons!B2:B2113""))&gt;=2,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$A1010=I"&amp;"MPORTRANGE(""https://docs.google.com/spreadsheets/d/1qpEmbGH0JjaJbUdp21-y2cPbobDbMjr09BbtdKROZWc/edit#gid=1444865654"",""articles_with_PRISMA_reasons!B2:B2113""))&gt;=2),
""Exclude""
)"),"Exclude")</f>
        <v>Exclude</v>
      </c>
      <c r="F1010" s="5" t="str">
        <f>IFERROR(__xludf.DUMMYFUNCTION("IFS(
E1010=""Exclude"",""Exclude"",
AND(
COUNTIF(
IMPORTRANGE(""https://docs.google.com/spreadsheets/d/1kGrh75X1cNR1D7_FcY9zMnHP8iPO4M5RCRjy6nZY0TY/edit#gid=0"",""Table 1: Study characteristics!B4:B171""),A1010)&gt;0,
COUNTIF(Studies!$A$2:$A$85,FILTER(IMPORT"&amp;"RANGE(""https://docs.google.com/spreadsheets/d/1kGrh75X1cNR1D7_FcY9zMnHP8iPO4M5RCRjy6nZY0TY/edit#gid=0"",""Table 1: Study characteristics!A4:A171""), $A1010=IMPORTRANGE(""https://docs.google.com/spreadsheets/d/1kGrh75X1cNR1D7_FcY9zMnHP8iPO4M5RCRjy6nZY0TY/"&amp;"edit#gid=0"",""Table 1: Study characteristics!B4:B171"")))&gt;0
),
""Include""
)"),"Exclude")</f>
        <v>Exclude</v>
      </c>
      <c r="G1010" s="5" t="str">
        <f>IFERROR(__xludf.DUMMYFUNCTION("IFS(
D1010=""Exclude"",
FILTER(IMPORTRANGE(""https://docs.google.com/spreadsheets/d/1BJSV3WBYJGRhQ6zExamkszQ5VutGIcaQqmbD9ZTVXMQ/edit#gid=1251630045"",""articles_with_PRISMA_reasons!AB2:AB2113""), $A1010=IMPORTRANGE(""https://docs.google.com/spreadsheets/"&amp;"d/1BJSV3WBYJGRhQ6zExamkszQ5VutGIcaQqmbD9ZTVXMQ/edit#gid=1251630045"",""articles_with_PRISMA_reasons!B2:B2113"")),
E1010=""Exclude"",
FILTER(IMPORTRANGE(""https://docs.google.com/spreadsheets/d/1qpEmbGH0JjaJbUdp21-y2cPbobDbMjr09BbtdKROZWc/edit#gid=14448656"&amp;"54"",""articles_with_PRISMA_reasons!Z2:Z2113""), $A1010=IMPORTRANGE(""https://docs.google.com/spreadsheets/d/1qpEmbGH0JjaJbUdp21-y2cPbobDbMjr09BbtdKROZWc/edit#gid=1444865654"",""articles_with_PRISMA_reasons!B2:B2113"")),F1010
=""Include"",FILTER(IMPORTRAN"&amp;"GE(""https://docs.google.com/spreadsheets/d/1kGrh75X1cNR1D7_FcY9zMnHP8iPO4M5RCRjy6nZY0TY/edit#gid=0"",""Table 1: Study characteristics!A4:A171""), $A1010=IMPORTRANGE(""https://docs.google.com/spreadsheets/d/1kGrh75X1cNR1D7_FcY9zMnHP8iPO4M5RCRjy6nZY0TY/edi"&amp;"t#gid=0"",""Table 1: Study characteristics!B4:B171""))
)"),"wrong population")</f>
        <v>wrong population</v>
      </c>
    </row>
    <row r="1011">
      <c r="A1011" s="4" t="str">
        <f>IFERROR(__xludf.DUMMYFUNCTION("""COMPUTED_VALUE"""),"Intraparenchymal pericatheter cyst following ventriculoperitoneal shunt insertion: does it always merit shunt revision?")</f>
        <v>Intraparenchymal pericatheter cyst following ventriculoperitoneal shunt insertion: does it always merit shunt revision?</v>
      </c>
      <c r="B1011" s="5" t="str">
        <f>IFERROR(__xludf.DUMMYFUNCTION("LEFT(FILTER(IMPORTRANGE(""https://docs.google.com/spreadsheets/d/1BJSV3WBYJGRhQ6zExamkszQ5VutGIcaQqmbD9ZTVXMQ/edit#gid=1251630045"",""articles_with_PRISMA_reasons!K2:K2113""), $A1011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$A1011=IMPORTRANGE(""https://docs.google.com/spreadsheets/d/1BJSV3WBYJGRhQ6zExamkszQ5VutGIcaQqmbD9ZTVXMQ/edit#gid=1251630045"",""articles_with_PRISMA_reasons!B2:B2113"")))-1)"),"Sinha")</f>
        <v>Sinha</v>
      </c>
      <c r="C1011" s="6" t="str">
        <f>IFERROR(__xludf.DUMMYFUNCTION("FILTER(IMPORTRANGE(""https://docs.google.com/spreadsheets/d/1BJSV3WBYJGRhQ6zExamkszQ5VutGIcaQqmbD9ZTVXMQ/edit#gid=1251630045"",""articles_with_PRISMA_reasons!C2:C2113""), $A1011=IMPORTRANGE(""https://docs.google.com/spreadsheets/d/1BJSV3WBYJGRhQ6zExamkszQ"&amp;"5VutGIcaQqmbD9ZTVXMQ/edit#gid=1251630045"",""articles_with_PRISMA_reasons!B2:B2113""))"),"Aug")</f>
        <v>Aug</v>
      </c>
      <c r="D1011" s="5" t="str">
        <f>IFERROR(__xludf.DUMMYFUNCTION("IFS(AND(
FILTER(IMPORTRANGE(""https://docs.google.com/spreadsheets/d/1BJSV3WBYJGRhQ6zExamkszQ5VutGIcaQqmbD9ZTVXMQ/edit#gid=1251630045"",""articles_with_PRISMA_reasons!Y2:Y2113""), $A1011=IMPORTRANGE(""https://docs.google.com/spreadsheets/d/1BJSV3WBYJGRhQ6"&amp;"zExamkszQ5VutGIcaQqmbD9ZTVXMQ/edit#gid=1251630045"",""articles_with_PRISMA_reasons!B2:B2113""))&gt;=2,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$A1011=IMPORTRANGE(""https://docs.google"&amp;".com/spreadsheets/d/1BJSV3WBYJGRhQ6zExamkszQ5VutGIcaQqmbD9ZTVXMQ/edit#gid=1251630045"",""articles_with_PRISMA_reasons!B2:B2113""))&gt;=2),
""Exclude""
)"),"Exclude")</f>
        <v>Exclude</v>
      </c>
      <c r="E1011" s="5" t="str">
        <f>IFERROR(__xludf.DUMMYFUNCTION("IFS(
D1011=""Exclude"",""Exclude"",
AND(
FILTER(IMPORTRANGE(""https://docs.google.com/spreadsheets/d/1qpEmbGH0JjaJbUdp21-y2cPbobDbMjr09BbtdKROZWc/edit#gid=1444865654"",""articles_with_PRISMA_reasons!W2:W2113""), $A1011=IMPORTRANGE(""https://docs.google.co"&amp;"m/spreadsheets/d/1qpEmbGH0JjaJbUdp21-y2cPbobDbMjr09BbtdKROZWc/edit#gid=1444865654"",""articles_with_PRISMA_reasons!B2:B2113""))&gt;=2,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$A1011=I"&amp;"MPORTRANGE(""https://docs.google.com/spreadsheets/d/1qpEmbGH0JjaJbUdp21-y2cPbobDbMjr09BbtdKROZWc/edit#gid=1444865654"",""articles_with_PRISMA_reasons!B2:B2113""))&gt;=2),
""Exclude""
)"),"Exclude")</f>
        <v>Exclude</v>
      </c>
      <c r="F1011" s="5" t="str">
        <f>IFERROR(__xludf.DUMMYFUNCTION("IFS(
E1011=""Exclude"",""Exclude"",
AND(
COUNTIF(
IMPORTRANGE(""https://docs.google.com/spreadsheets/d/1kGrh75X1cNR1D7_FcY9zMnHP8iPO4M5RCRjy6nZY0TY/edit#gid=0"",""Table 1: Study characteristics!B4:B171""),A1011)&gt;0,
COUNTIF(Studies!$A$2:$A$85,FILTER(IMPORT"&amp;"RANGE(""https://docs.google.com/spreadsheets/d/1kGrh75X1cNR1D7_FcY9zMnHP8iPO4M5RCRjy6nZY0TY/edit#gid=0"",""Table 1: Study characteristics!A4:A171""), $A1011=IMPORTRANGE(""https://docs.google.com/spreadsheets/d/1kGrh75X1cNR1D7_FcY9zMnHP8iPO4M5RCRjy6nZY0TY/"&amp;"edit#gid=0"",""Table 1: Study characteristics!B4:B171"")))&gt;0
),
""Include""
)"),"Exclude")</f>
        <v>Exclude</v>
      </c>
      <c r="G1011" s="5" t="str">
        <f>IFERROR(__xludf.DUMMYFUNCTION("IFS(
D1011=""Exclude"",
FILTER(IMPORTRANGE(""https://docs.google.com/spreadsheets/d/1BJSV3WBYJGRhQ6zExamkszQ5VutGIcaQqmbD9ZTVXMQ/edit#gid=1251630045"",""articles_with_PRISMA_reasons!AB2:AB2113""), $A1011=IMPORTRANGE(""https://docs.google.com/spreadsheets/"&amp;"d/1BJSV3WBYJGRhQ6zExamkszQ5VutGIcaQqmbD9ZTVXMQ/edit#gid=1251630045"",""articles_with_PRISMA_reasons!B2:B2113"")),
E1011=""Exclude"",
FILTER(IMPORTRANGE(""https://docs.google.com/spreadsheets/d/1qpEmbGH0JjaJbUdp21-y2cPbobDbMjr09BbtdKROZWc/edit#gid=14448656"&amp;"54"",""articles_with_PRISMA_reasons!Z2:Z2113""), $A1011=IMPORTRANGE(""https://docs.google.com/spreadsheets/d/1qpEmbGH0JjaJbUdp21-y2cPbobDbMjr09BbtdKROZWc/edit#gid=1444865654"",""articles_with_PRISMA_reasons!B2:B2113"")),F1011
=""Include"",FILTER(IMPORTRAN"&amp;"GE(""https://docs.google.com/spreadsheets/d/1kGrh75X1cNR1D7_FcY9zMnHP8iPO4M5RCRjy6nZY0TY/edit#gid=0"",""Table 1: Study characteristics!A4:A171""), $A1011=IMPORTRANGE(""https://docs.google.com/spreadsheets/d/1kGrh75X1cNR1D7_FcY9zMnHP8iPO4M5RCRjy6nZY0TY/edi"&amp;"t#gid=0"",""Table 1: Study characteristics!B4:B171""))
)"),"wrong population")</f>
        <v>wrong population</v>
      </c>
    </row>
    <row r="1012">
      <c r="A1012" s="4" t="str">
        <f>IFERROR(__xludf.DUMMYFUNCTION("""COMPUTED_VALUE"""),"Intraspinal epidermoid and dermoid cysts-tumor resection with multimodal intraoperative neurophysiological monitoring and long-term outcome")</f>
        <v>Intraspinal epidermoid and dermoid cysts-tumor resection with multimodal intraoperative neurophysiological monitoring and long-term outcome</v>
      </c>
      <c r="B1012" s="5" t="str">
        <f>IFERROR(__xludf.DUMMYFUNCTION("LEFT(FILTER(IMPORTRANGE(""https://docs.google.com/spreadsheets/d/1BJSV3WBYJGRhQ6zExamkszQ5VutGIcaQqmbD9ZTVXMQ/edit#gid=1251630045"",""articles_with_PRISMA_reasons!K2:K2113""), $A1012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$A1012=IMPORTRANGE(""https://docs.google.com/spreadsheets/d/1BJSV3WBYJGRhQ6zExamkszQ5VutGIcaQqmbD9ZTVXMQ/edit#gid=1251630045"",""articles_with_PRISMA_reasons!B2:B2113"")))-1)"),"Siller")</f>
        <v>Siller</v>
      </c>
      <c r="C1012" s="6">
        <f>IFERROR(__xludf.DUMMYFUNCTION("FILTER(IMPORTRANGE(""https://docs.google.com/spreadsheets/d/1BJSV3WBYJGRhQ6zExamkszQ5VutGIcaQqmbD9ZTVXMQ/edit#gid=1251630045"",""articles_with_PRISMA_reasons!C2:C2113""), $A1012=IMPORTRANGE(""https://docs.google.com/spreadsheets/d/1BJSV3WBYJGRhQ6zExamkszQ"&amp;"5VutGIcaQqmbD9ZTVXMQ/edit#gid=1251630045"",""articles_with_PRISMA_reasons!B2:B2113""))"),2020.0)</f>
        <v>2020</v>
      </c>
      <c r="D1012" s="5" t="str">
        <f>IFERROR(__xludf.DUMMYFUNCTION("IFS(AND(
FILTER(IMPORTRANGE(""https://docs.google.com/spreadsheets/d/1BJSV3WBYJGRhQ6zExamkszQ5VutGIcaQqmbD9ZTVXMQ/edit#gid=1251630045"",""articles_with_PRISMA_reasons!Y2:Y2113""), $A1012=IMPORTRANGE(""https://docs.google.com/spreadsheets/d/1BJSV3WBYJGRhQ6"&amp;"zExamkszQ5VutGIcaQqmbD9ZTVXMQ/edit#gid=1251630045"",""articles_with_PRISMA_reasons!B2:B2113""))&gt;=2,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$A1012=IMPORTRANGE(""https://docs.google"&amp;".com/spreadsheets/d/1BJSV3WBYJGRhQ6zExamkszQ5VutGIcaQqmbD9ZTVXMQ/edit#gid=1251630045"",""articles_with_PRISMA_reasons!B2:B2113""))&gt;=2),
""Exclude""
)"),"Exclude")</f>
        <v>Exclude</v>
      </c>
      <c r="E1012" s="5" t="str">
        <f>IFERROR(__xludf.DUMMYFUNCTION("IFS(
D1012=""Exclude"",""Exclude"",
AND(
FILTER(IMPORTRANGE(""https://docs.google.com/spreadsheets/d/1qpEmbGH0JjaJbUdp21-y2cPbobDbMjr09BbtdKROZWc/edit#gid=1444865654"",""articles_with_PRISMA_reasons!W2:W2113""), $A1012=IMPORTRANGE(""https://docs.google.co"&amp;"m/spreadsheets/d/1qpEmbGH0JjaJbUdp21-y2cPbobDbMjr09BbtdKROZWc/edit#gid=1444865654"",""articles_with_PRISMA_reasons!B2:B2113""))&gt;=2,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$A1012=I"&amp;"MPORTRANGE(""https://docs.google.com/spreadsheets/d/1qpEmbGH0JjaJbUdp21-y2cPbobDbMjr09BbtdKROZWc/edit#gid=1444865654"",""articles_with_PRISMA_reasons!B2:B2113""))&gt;=2),
""Exclude""
)"),"Exclude")</f>
        <v>Exclude</v>
      </c>
      <c r="F1012" s="5" t="str">
        <f>IFERROR(__xludf.DUMMYFUNCTION("IFS(
E1012=""Exclude"",""Exclude"",
AND(
COUNTIF(
IMPORTRANGE(""https://docs.google.com/spreadsheets/d/1kGrh75X1cNR1D7_FcY9zMnHP8iPO4M5RCRjy6nZY0TY/edit#gid=0"",""Table 1: Study characteristics!B4:B171""),A1012)&gt;0,
COUNTIF(Studies!$A$2:$A$85,FILTER(IMPORT"&amp;"RANGE(""https://docs.google.com/spreadsheets/d/1kGrh75X1cNR1D7_FcY9zMnHP8iPO4M5RCRjy6nZY0TY/edit#gid=0"",""Table 1: Study characteristics!A4:A171""), $A1012=IMPORTRANGE(""https://docs.google.com/spreadsheets/d/1kGrh75X1cNR1D7_FcY9zMnHP8iPO4M5RCRjy6nZY0TY/"&amp;"edit#gid=0"",""Table 1: Study characteristics!B4:B171"")))&gt;0
),
""Include""
)"),"Exclude")</f>
        <v>Exclude</v>
      </c>
      <c r="G1012" s="5" t="str">
        <f>IFERROR(__xludf.DUMMYFUNCTION("IFS(
D1012=""Exclude"",
FILTER(IMPORTRANGE(""https://docs.google.com/spreadsheets/d/1BJSV3WBYJGRhQ6zExamkszQ5VutGIcaQqmbD9ZTVXMQ/edit#gid=1251630045"",""articles_with_PRISMA_reasons!AB2:AB2113""), $A1012=IMPORTRANGE(""https://docs.google.com/spreadsheets/"&amp;"d/1BJSV3WBYJGRhQ6zExamkszQ5VutGIcaQqmbD9ZTVXMQ/edit#gid=1251630045"",""articles_with_PRISMA_reasons!B2:B2113"")),
E1012=""Exclude"",
FILTER(IMPORTRANGE(""https://docs.google.com/spreadsheets/d/1qpEmbGH0JjaJbUdp21-y2cPbobDbMjr09BbtdKROZWc/edit#gid=14448656"&amp;"54"",""articles_with_PRISMA_reasons!Z2:Z2113""), $A1012=IMPORTRANGE(""https://docs.google.com/spreadsheets/d/1qpEmbGH0JjaJbUdp21-y2cPbobDbMjr09BbtdKROZWc/edit#gid=1444865654"",""articles_with_PRISMA_reasons!B2:B2113"")),F1012
=""Include"",FILTER(IMPORTRAN"&amp;"GE(""https://docs.google.com/spreadsheets/d/1kGrh75X1cNR1D7_FcY9zMnHP8iPO4M5RCRjy6nZY0TY/edit#gid=0"",""Table 1: Study characteristics!A4:A171""), $A1012=IMPORTRANGE(""https://docs.google.com/spreadsheets/d/1kGrh75X1cNR1D7_FcY9zMnHP8iPO4M5RCRjy6nZY0TY/edi"&amp;"t#gid=0"",""Table 1: Study characteristics!B4:B171""))
)"),"wrong population")</f>
        <v>wrong population</v>
      </c>
    </row>
    <row r="1013">
      <c r="A1013" s="4" t="str">
        <f>IFERROR(__xludf.DUMMYFUNCTION("""COMPUTED_VALUE"""),"Intrathecal CSF dynamic measurements in hydrocephalus associated with MMC - Experience of the Republican center of neurosurgery of Uzbekistan")</f>
        <v>Intrathecal CSF dynamic measurements in hydrocephalus associated with MMC - Experience of the Republican center of neurosurgery of Uzbekistan</v>
      </c>
      <c r="B1013" s="5" t="str">
        <f>IFERROR(__xludf.DUMMYFUNCTION("LEFT(FILTER(IMPORTRANGE(""https://docs.google.com/spreadsheets/d/1BJSV3WBYJGRhQ6zExamkszQ5VutGIcaQqmbD9ZTVXMQ/edit#gid=1251630045"",""articles_with_PRISMA_reasons!K2:K2113""), $A1013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$A1013=IMPORTRANGE(""https://docs.google.com/spreadsheets/d/1BJSV3WBYJGRhQ6zExamkszQ5VutGIcaQqmbD9ZTVXMQ/edit#gid=1251630045"",""articles_with_PRISMA_reasons!B2:B2113"")))-1)"),"Akhmediev")</f>
        <v>Akhmediev</v>
      </c>
      <c r="C1013" s="6">
        <f>IFERROR(__xludf.DUMMYFUNCTION("FILTER(IMPORTRANGE(""https://docs.google.com/spreadsheets/d/1BJSV3WBYJGRhQ6zExamkszQ5VutGIcaQqmbD9ZTVXMQ/edit#gid=1251630045"",""articles_with_PRISMA_reasons!C2:C2113""), $A1013=IMPORTRANGE(""https://docs.google.com/spreadsheets/d/1BJSV3WBYJGRhQ6zExamkszQ"&amp;"5VutGIcaQqmbD9ZTVXMQ/edit#gid=1251630045"",""articles_with_PRISMA_reasons!B2:B2113""))"),2020.0)</f>
        <v>2020</v>
      </c>
      <c r="D1013" s="5" t="str">
        <f>IFERROR(__xludf.DUMMYFUNCTION("IFS(AND(
FILTER(IMPORTRANGE(""https://docs.google.com/spreadsheets/d/1BJSV3WBYJGRhQ6zExamkszQ5VutGIcaQqmbD9ZTVXMQ/edit#gid=1251630045"",""articles_with_PRISMA_reasons!Y2:Y2113""), $A1013=IMPORTRANGE(""https://docs.google.com/spreadsheets/d/1BJSV3WBYJGRhQ6"&amp;"zExamkszQ5VutGIcaQqmbD9ZTVXMQ/edit#gid=1251630045"",""articles_with_PRISMA_reasons!B2:B2113""))&gt;=2,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$A1013=IMPORTRANGE(""https://docs.google"&amp;".com/spreadsheets/d/1BJSV3WBYJGRhQ6zExamkszQ5VutGIcaQqmbD9ZTVXMQ/edit#gid=1251630045"",""articles_with_PRISMA_reasons!B2:B2113""))&gt;=2),
""Exclude""
)"),"Include")</f>
        <v>Include</v>
      </c>
      <c r="E1013" s="5" t="str">
        <f>IFERROR(__xludf.DUMMYFUNCTION("IFS(
D1013=""Exclude"",""Exclude"",
AND(
FILTER(IMPORTRANGE(""https://docs.google.com/spreadsheets/d/1qpEmbGH0JjaJbUdp21-y2cPbobDbMjr09BbtdKROZWc/edit#gid=1444865654"",""articles_with_PRISMA_reasons!W2:W2113""), $A1013=IMPORTRANGE(""https://docs.google.co"&amp;"m/spreadsheets/d/1qpEmbGH0JjaJbUdp21-y2cPbobDbMjr09BbtdKROZWc/edit#gid=1444865654"",""articles_with_PRISMA_reasons!B2:B2113""))&gt;=2,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$A1013=I"&amp;"MPORTRANGE(""https://docs.google.com/spreadsheets/d/1qpEmbGH0JjaJbUdp21-y2cPbobDbMjr09BbtdKROZWc/edit#gid=1444865654"",""articles_with_PRISMA_reasons!B2:B2113""))&gt;=2),
""Exclude""
)"),"Include")</f>
        <v>Include</v>
      </c>
      <c r="F1013" s="2" t="s">
        <v>8</v>
      </c>
      <c r="G1013" s="2" t="s">
        <v>9</v>
      </c>
    </row>
    <row r="1014">
      <c r="A1014" s="4" t="str">
        <f>IFERROR(__xludf.DUMMYFUNCTION("""COMPUTED_VALUE"""),"Intrauterine closure of myelomeningocele: an update")</f>
        <v>Intrauterine closure of myelomeningocele: an update</v>
      </c>
      <c r="B1014" s="5" t="str">
        <f>IFERROR(__xludf.DUMMYFUNCTION("LEFT(FILTER(IMPORTRANGE(""https://docs.google.com/spreadsheets/d/1BJSV3WBYJGRhQ6zExamkszQ5VutGIcaQqmbD9ZTVXMQ/edit#gid=1251630045"",""articles_with_PRISMA_reasons!K2:K2113""), $A1014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$A1014=IMPORTRANGE(""https://docs.google.com/spreadsheets/d/1BJSV3WBYJGRhQ6zExamkszQ5VutGIcaQqmbD9ZTVXMQ/edit#gid=1251630045"",""articles_with_PRISMA_reasons!B2:B2113"")))-1)"),"Tulipan")</f>
        <v>Tulipan</v>
      </c>
      <c r="C1014" s="6">
        <f>IFERROR(__xludf.DUMMYFUNCTION("FILTER(IMPORTRANGE(""https://docs.google.com/spreadsheets/d/1BJSV3WBYJGRhQ6zExamkszQ5VutGIcaQqmbD9ZTVXMQ/edit#gid=1251630045"",""articles_with_PRISMA_reasons!C2:C2113""), $A1014=IMPORTRANGE(""https://docs.google.com/spreadsheets/d/1BJSV3WBYJGRhQ6zExamkszQ"&amp;"5VutGIcaQqmbD9ZTVXMQ/edit#gid=1251630045"",""articles_with_PRISMA_reasons!B2:B2113""))"),2004.0)</f>
        <v>2004</v>
      </c>
      <c r="D1014" s="5" t="str">
        <f>IFERROR(__xludf.DUMMYFUNCTION("IFS(AND(
FILTER(IMPORTRANGE(""https://docs.google.com/spreadsheets/d/1BJSV3WBYJGRhQ6zExamkszQ5VutGIcaQqmbD9ZTVXMQ/edit#gid=1251630045"",""articles_with_PRISMA_reasons!Y2:Y2113""), $A1014=IMPORTRANGE(""https://docs.google.com/spreadsheets/d/1BJSV3WBYJGRhQ6"&amp;"zExamkszQ5VutGIcaQqmbD9ZTVXMQ/edit#gid=1251630045"",""articles_with_PRISMA_reasons!B2:B2113""))&gt;=2,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$A1014=IMPORTRANGE(""https://docs.google.com/spreadsheets/d/1BJSV3WBYJGRhQ6zExamkszQ5VutGIcaQqmbD9ZTVXMQ/edit#gid=1251630045"",""articles_with_PRISMA_reasons!B2:B2113""))&lt;2),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$A1014=IMPORTRANGE(""https://docs.google.com/spreadsheets/d/1BJSV3WBYJGRhQ6zExamkszQ5VutGIcaQqmbD9ZTVXMQ/edit#gid=1251630045"",""a"&amp;"rticles_with_PRISMA_reasons!B2:B2113""))&lt;2,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$A1014=IMPORTRANGE(""https://docs.google"&amp;".com/spreadsheets/d/1BJSV3WBYJGRhQ6zExamkszQ5VutGIcaQqmbD9ZTVXMQ/edit#gid=1251630045"",""articles_with_PRISMA_reasons!B2:B2113""))&gt;=2),
""Exclude""
)"),"Exclude")</f>
        <v>Exclude</v>
      </c>
      <c r="E1014" s="5" t="str">
        <f>IFERROR(__xludf.DUMMYFUNCTION("IFS(
D1014=""Exclude"",""Exclude"",
AND(
FILTER(IMPORTRANGE(""https://docs.google.com/spreadsheets/d/1qpEmbGH0JjaJbUdp21-y2cPbobDbMjr09BbtdKROZWc/edit#gid=1444865654"",""articles_with_PRISMA_reasons!W2:W2113""), $A1014=IMPORTRANGE(""https://docs.google.co"&amp;"m/spreadsheets/d/1qpEmbGH0JjaJbUdp21-y2cPbobDbMjr09BbtdKROZWc/edit#gid=1444865654"",""articles_with_PRISMA_reasons!B2:B2113""))&gt;=2,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$A1014=IMPORTRANGE(""https://docs.google.com/spreadsheets/d/1qpEmbGH0JjaJbUdp21-y2cPbobDbMjr09BbtdKROZWc/edit#gid=1444865654"",""articles_with_PRISMA_reasons!B2:B2113""))&lt;2),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$A1014=IMPORTRANGE(""https://docs.google.com/spreadsheets/d/1qpEmbGH0JjaJbUdp21-y2cPbobDbMjr09Bbtd"&amp;"KROZWc/edit#gid=1444865654"",""articles_with_PRISMA_reasons!B2:B2113""))&lt;2,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$A1014=I"&amp;"MPORTRANGE(""https://docs.google.com/spreadsheets/d/1qpEmbGH0JjaJbUdp21-y2cPbobDbMjr09BbtdKROZWc/edit#gid=1444865654"",""articles_with_PRISMA_reasons!B2:B2113""))&gt;=2),
""Exclude""
)"),"Exclude")</f>
        <v>Exclude</v>
      </c>
      <c r="F1014" s="5" t="str">
        <f>IFERROR(__xludf.DUMMYFUNCTION("IFS(
E1014=""Exclude"",""Exclude"",
AND(
COUNTIF(
IMPORTRANGE(""https://docs.google.com/spreadsheets/d/1kGrh75X1cNR1D7_FcY9zMnHP8iPO4M5RCRjy6nZY0TY/edit#gid=0"",""Table 1: Study characteristics!B4:B171""),A1014)&gt;0,
COUNTIF(Studies!$A$2:$A$85,FILTER(IMPORT"&amp;"RANGE(""https://docs.google.com/spreadsheets/d/1kGrh75X1cNR1D7_FcY9zMnHP8iPO4M5RCRjy6nZY0TY/edit#gid=0"",""Table 1: Study characteristics!A4:A171""), $A1014=IMPORTRANGE(""https://docs.google.com/spreadsheets/d/1kGrh75X1cNR1D7_FcY9zMnHP8iPO4M5RCRjy6nZY0TY/"&amp;"edit#gid=0"",""Table 1: Study characteristics!B4:B171"")))&gt;0
),
""Include""
)"),"Exclude")</f>
        <v>Exclude</v>
      </c>
      <c r="G1014" s="5" t="str">
        <f>IFERROR(__xludf.DUMMYFUNCTION("IFS(
D1014=""Exclude"",
FILTER(IMPORTRANGE(""https://docs.google.com/spreadsheets/d/1BJSV3WBYJGRhQ6zExamkszQ5VutGIcaQqmbD9ZTVXMQ/edit#gid=1251630045"",""articles_with_PRISMA_reasons!AB2:AB2113""), $A1014=IMPORTRANGE(""https://docs.google.com/spreadsheets/"&amp;"d/1BJSV3WBYJGRhQ6zExamkszQ5VutGIcaQqmbD9ZTVXMQ/edit#gid=1251630045"",""articles_with_PRISMA_reasons!B2:B2113"")),
E1014=""Exclude"",
FILTER(IMPORTRANGE(""https://docs.google.com/spreadsheets/d/1qpEmbGH0JjaJbUdp21-y2cPbobDbMjr09BbtdKROZWc/edit#gid=14448656"&amp;"54"",""articles_with_PRISMA_reasons!Z2:Z2113""), $A1014=IMPORTRANGE(""https://docs.google.com/spreadsheets/d/1qpEmbGH0JjaJbUdp21-y2cPbobDbMjr09BbtdKROZWc/edit#gid=1444865654"",""articles_with_PRISMA_reasons!B2:B2113"")),F1014
=""Include"",FILTER(IMPORTRAN"&amp;"GE(""https://docs.google.com/spreadsheets/d/1kGrh75X1cNR1D7_FcY9zMnHP8iPO4M5RCRjy6nZY0TY/edit#gid=0"",""Table 1: Study characteristics!A4:A171""), $A1014=IMPORTRANGE(""https://docs.google.com/spreadsheets/d/1kGrh75X1cNR1D7_FcY9zMnHP8iPO4M5RCRjy6nZY0TY/edi"&amp;"t#gid=0"",""Table 1: Study characteristics!B4:B171""))
)"),"wrong population")</f>
        <v>wrong population</v>
      </c>
    </row>
    <row r="1015">
      <c r="A1015" s="4" t="str">
        <f>IFERROR(__xludf.DUMMYFUNCTION("""COMPUTED_VALUE"""),"Intrauterine covering of myelomeningoceles")</f>
        <v>Intrauterine covering of myelomeningoceles</v>
      </c>
      <c r="B1015" s="5" t="str">
        <f>IFERROR(__xludf.DUMMYFUNCTION("LEFT(FILTER(IMPORTRANGE(""https://docs.google.com/spreadsheets/d/1BJSV3WBYJGRhQ6zExamkszQ5VutGIcaQqmbD9ZTVXMQ/edit#gid=1251630045"",""articles_with_PRISMA_reasons!K2:K2113""), $A1015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$A1015=IMPORTRANGE(""https://docs.google.com/spreadsheets/d/1BJSV3WBYJGRhQ6zExamkszQ5VutGIcaQqmbD9ZTVXMQ/edit#gid=1251630045"",""articles_with_PRISMA_reasons!B2:B2113"")))-1)"),"Koch")</f>
        <v>Koch</v>
      </c>
      <c r="C1015" s="6">
        <f>IFERROR(__xludf.DUMMYFUNCTION("FILTER(IMPORTRANGE(""https://docs.google.com/spreadsheets/d/1BJSV3WBYJGRhQ6zExamkszQ5VutGIcaQqmbD9ZTVXMQ/edit#gid=1251630045"",""articles_with_PRISMA_reasons!C2:C2113""), $A1015=IMPORTRANGE(""https://docs.google.com/spreadsheets/d/1BJSV3WBYJGRhQ6zExamkszQ"&amp;"5VutGIcaQqmbD9ZTVXMQ/edit#gid=1251630045"",""articles_with_PRISMA_reasons!B2:B2113""))"),2020.0)</f>
        <v>2020</v>
      </c>
      <c r="D1015" s="5" t="str">
        <f>IFERROR(__xludf.DUMMYFUNCTION("IFS(AND(
FILTER(IMPORTRANGE(""https://docs.google.com/spreadsheets/d/1BJSV3WBYJGRhQ6zExamkszQ5VutGIcaQqmbD9ZTVXMQ/edit#gid=1251630045"",""articles_with_PRISMA_reasons!Y2:Y2113""), $A1015=IMPORTRANGE(""https://docs.google.com/spreadsheets/d/1BJSV3WBYJGRhQ6"&amp;"zExamkszQ5VutGIcaQqmbD9ZTVXMQ/edit#gid=1251630045"",""articles_with_PRISMA_reasons!B2:B2113""))&gt;=2,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$A1015=IMPORTRANGE(""https://docs.google.com/spreadsheets/d/1BJSV3WBYJGRhQ6zExamkszQ5VutGIcaQqmbD9ZTVXMQ/edit#gid=1251630045"",""articles_with_PRISMA_reasons!B2:B2113""))&lt;2),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$A1015=IMPORTRANGE(""https://docs.google.com/spreadsheets/d/1BJSV3WBYJGRhQ6zExamkszQ5VutGIcaQqmbD9ZTVXMQ/edit#gid=1251630045"",""a"&amp;"rticles_with_PRISMA_reasons!B2:B2113""))&lt;2,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$A1015=IMPORTRANGE(""https://docs.google"&amp;".com/spreadsheets/d/1BJSV3WBYJGRhQ6zExamkszQ5VutGIcaQqmbD9ZTVXMQ/edit#gid=1251630045"",""articles_with_PRISMA_reasons!B2:B2113""))&gt;=2),
""Exclude""
)"),"Exclude")</f>
        <v>Exclude</v>
      </c>
      <c r="E1015" s="5" t="str">
        <f>IFERROR(__xludf.DUMMYFUNCTION("IFS(
D1015=""Exclude"",""Exclude"",
AND(
FILTER(IMPORTRANGE(""https://docs.google.com/spreadsheets/d/1qpEmbGH0JjaJbUdp21-y2cPbobDbMjr09BbtdKROZWc/edit#gid=1444865654"",""articles_with_PRISMA_reasons!W2:W2113""), $A1015=IMPORTRANGE(""https://docs.google.co"&amp;"m/spreadsheets/d/1qpEmbGH0JjaJbUdp21-y2cPbobDbMjr09BbtdKROZWc/edit#gid=1444865654"",""articles_with_PRISMA_reasons!B2:B2113""))&gt;=2,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$A1015=IMPORTRANGE(""https://docs.google.com/spreadsheets/d/1qpEmbGH0JjaJbUdp21-y2cPbobDbMjr09BbtdKROZWc/edit#gid=1444865654"",""articles_with_PRISMA_reasons!B2:B2113""))&lt;2),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$A1015=IMPORTRANGE(""https://docs.google.com/spreadsheets/d/1qpEmbGH0JjaJbUdp21-y2cPbobDbMjr09Bbtd"&amp;"KROZWc/edit#gid=1444865654"",""articles_with_PRISMA_reasons!B2:B2113""))&lt;2,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$A1015=I"&amp;"MPORTRANGE(""https://docs.google.com/spreadsheets/d/1qpEmbGH0JjaJbUdp21-y2cPbobDbMjr09BbtdKROZWc/edit#gid=1444865654"",""articles_with_PRISMA_reasons!B2:B2113""))&gt;=2),
""Exclude""
)"),"Exclude")</f>
        <v>Exclude</v>
      </c>
      <c r="F1015" s="5" t="str">
        <f>IFERROR(__xludf.DUMMYFUNCTION("IFS(
E1015=""Exclude"",""Exclude"",
AND(
COUNTIF(
IMPORTRANGE(""https://docs.google.com/spreadsheets/d/1kGrh75X1cNR1D7_FcY9zMnHP8iPO4M5RCRjy6nZY0TY/edit#gid=0"",""Table 1: Study characteristics!B4:B171""),A1015)&gt;0,
COUNTIF(Studies!$A$2:$A$85,FILTER(IMPORT"&amp;"RANGE(""https://docs.google.com/spreadsheets/d/1kGrh75X1cNR1D7_FcY9zMnHP8iPO4M5RCRjy6nZY0TY/edit#gid=0"",""Table 1: Study characteristics!A4:A171""), $A1015=IMPORTRANGE(""https://docs.google.com/spreadsheets/d/1kGrh75X1cNR1D7_FcY9zMnHP8iPO4M5RCRjy6nZY0TY/"&amp;"edit#gid=0"",""Table 1: Study characteristics!B4:B171"")))&gt;0
),
""Include""
)"),"Exclude")</f>
        <v>Exclude</v>
      </c>
      <c r="G1015" s="5" t="str">
        <f>IFERROR(__xludf.DUMMYFUNCTION("IFS(
D1015=""Exclude"",
FILTER(IMPORTRANGE(""https://docs.google.com/spreadsheets/d/1BJSV3WBYJGRhQ6zExamkszQ5VutGIcaQqmbD9ZTVXMQ/edit#gid=1251630045"",""articles_with_PRISMA_reasons!AB2:AB2113""), $A1015=IMPORTRANGE(""https://docs.google.com/spreadsheets/"&amp;"d/1BJSV3WBYJGRhQ6zExamkszQ5VutGIcaQqmbD9ZTVXMQ/edit#gid=1251630045"",""articles_with_PRISMA_reasons!B2:B2113"")),
E1015=""Exclude"",
FILTER(IMPORTRANGE(""https://docs.google.com/spreadsheets/d/1qpEmbGH0JjaJbUdp21-y2cPbobDbMjr09BbtdKROZWc/edit#gid=14448656"&amp;"54"",""articles_with_PRISMA_reasons!Z2:Z2113""), $A1015=IMPORTRANGE(""https://docs.google.com/spreadsheets/d/1qpEmbGH0JjaJbUdp21-y2cPbobDbMjr09BbtdKROZWc/edit#gid=1444865654"",""articles_with_PRISMA_reasons!B2:B2113"")),F1015
=""Include"",FILTER(IMPORTRAN"&amp;"GE(""https://docs.google.com/spreadsheets/d/1kGrh75X1cNR1D7_FcY9zMnHP8iPO4M5RCRjy6nZY0TY/edit#gid=0"",""Table 1: Study characteristics!A4:A171""), $A1015=IMPORTRANGE(""https://docs.google.com/spreadsheets/d/1kGrh75X1cNR1D7_FcY9zMnHP8iPO4M5RCRjy6nZY0TY/edi"&amp;"t#gid=0"",""Table 1: Study characteristics!B4:B171""))
)"),"wrong study design")</f>
        <v>wrong study design</v>
      </c>
    </row>
    <row r="1016">
      <c r="A1016" s="4" t="str">
        <f>IFERROR(__xludf.DUMMYFUNCTION("""COMPUTED_VALUE"""),"Intrauterine fetoscopic closure of myelomeningocele: Clinical case and literature review")</f>
        <v>Intrauterine fetoscopic closure of myelomeningocele: Clinical case and literature review</v>
      </c>
      <c r="B1016" s="5" t="str">
        <f>IFERROR(__xludf.DUMMYFUNCTION("LEFT(FILTER(IMPORTRANGE(""https://docs.google.com/spreadsheets/d/1BJSV3WBYJGRhQ6zExamkszQ5VutGIcaQqmbD9ZTVXMQ/edit#gid=1251630045"",""articles_with_PRISMA_reasons!K2:K2113""), $A1016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$A1016=IMPORTRANGE(""https://docs.google.com/spreadsheets/d/1BJSV3WBYJGRhQ6zExamkszQ5VutGIcaQqmbD9ZTVXMQ/edit#gid=1251630045"",""articles_with_PRISMA_reasons!B2:B2113"")))-1)"),"Volochovic")</f>
        <v>Volochovic</v>
      </c>
      <c r="C1016" s="6">
        <f>IFERROR(__xludf.DUMMYFUNCTION("FILTER(IMPORTRANGE(""https://docs.google.com/spreadsheets/d/1BJSV3WBYJGRhQ6zExamkszQ5VutGIcaQqmbD9ZTVXMQ/edit#gid=1251630045"",""articles_with_PRISMA_reasons!C2:C2113""), $A1016=IMPORTRANGE(""https://docs.google.com/spreadsheets/d/1BJSV3WBYJGRhQ6zExamkszQ"&amp;"5VutGIcaQqmbD9ZTVXMQ/edit#gid=1251630045"",""articles_with_PRISMA_reasons!B2:B2113""))"),2021.0)</f>
        <v>2021</v>
      </c>
      <c r="D1016" s="5" t="str">
        <f>IFERROR(__xludf.DUMMYFUNCTION("IFS(AND(
FILTER(IMPORTRANGE(""https://docs.google.com/spreadsheets/d/1BJSV3WBYJGRhQ6zExamkszQ5VutGIcaQqmbD9ZTVXMQ/edit#gid=1251630045"",""articles_with_PRISMA_reasons!Y2:Y2113""), $A1016=IMPORTRANGE(""https://docs.google.com/spreadsheets/d/1BJSV3WBYJGRhQ6"&amp;"zExamkszQ5VutGIcaQqmbD9ZTVXMQ/edit#gid=1251630045"",""articles_with_PRISMA_reasons!B2:B2113""))&gt;=2,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$A1016=IMPORTRANGE(""https://docs.google.com/spreadsheets/d/1BJSV3WBYJGRhQ6zExamkszQ5VutGIcaQqmbD9ZTVXMQ/edit#gid=1251630045"",""articles_with_PRISMA_reasons!B2:B2113""))&lt;2),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$A1016=IMPORTRANGE(""https://docs.google.com/spreadsheets/d/1BJSV3WBYJGRhQ6zExamkszQ5VutGIcaQqmbD9ZTVXMQ/edit#gid=1251630045"",""a"&amp;"rticles_with_PRISMA_reasons!B2:B2113""))&lt;2,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$A1016=IMPORTRANGE(""https://docs.google"&amp;".com/spreadsheets/d/1BJSV3WBYJGRhQ6zExamkszQ5VutGIcaQqmbD9ZTVXMQ/edit#gid=1251630045"",""articles_with_PRISMA_reasons!B2:B2113""))&gt;=2),
""Exclude""
)"),"Exclude")</f>
        <v>Exclude</v>
      </c>
      <c r="E1016" s="5" t="str">
        <f>IFERROR(__xludf.DUMMYFUNCTION("IFS(
D1016=""Exclude"",""Exclude"",
AND(
FILTER(IMPORTRANGE(""https://docs.google.com/spreadsheets/d/1qpEmbGH0JjaJbUdp21-y2cPbobDbMjr09BbtdKROZWc/edit#gid=1444865654"",""articles_with_PRISMA_reasons!W2:W2113""), $A1016=IMPORTRANGE(""https://docs.google.co"&amp;"m/spreadsheets/d/1qpEmbGH0JjaJbUdp21-y2cPbobDbMjr09BbtdKROZWc/edit#gid=1444865654"",""articles_with_PRISMA_reasons!B2:B2113""))&gt;=2,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$A1016=IMPORTRANGE(""https://docs.google.com/spreadsheets/d/1qpEmbGH0JjaJbUdp21-y2cPbobDbMjr09BbtdKROZWc/edit#gid=1444865654"",""articles_with_PRISMA_reasons!B2:B2113""))&lt;2),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$A1016=IMPORTRANGE(""https://docs.google.com/spreadsheets/d/1qpEmbGH0JjaJbUdp21-y2cPbobDbMjr09Bbtd"&amp;"KROZWc/edit#gid=1444865654"",""articles_with_PRISMA_reasons!B2:B2113""))&lt;2,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$A1016=I"&amp;"MPORTRANGE(""https://docs.google.com/spreadsheets/d/1qpEmbGH0JjaJbUdp21-y2cPbobDbMjr09BbtdKROZWc/edit#gid=1444865654"",""articles_with_PRISMA_reasons!B2:B2113""))&gt;=2),
""Exclude""
)"),"Exclude")</f>
        <v>Exclude</v>
      </c>
      <c r="F1016" s="5" t="str">
        <f>IFERROR(__xludf.DUMMYFUNCTION("IFS(
E1016=""Exclude"",""Exclude"",
AND(
COUNTIF(
IMPORTRANGE(""https://docs.google.com/spreadsheets/d/1kGrh75X1cNR1D7_FcY9zMnHP8iPO4M5RCRjy6nZY0TY/edit#gid=0"",""Table 1: Study characteristics!B4:B171""),A1016)&gt;0,
COUNTIF(Studies!$A$2:$A$85,FILTER(IMPORT"&amp;"RANGE(""https://docs.google.com/spreadsheets/d/1kGrh75X1cNR1D7_FcY9zMnHP8iPO4M5RCRjy6nZY0TY/edit#gid=0"",""Table 1: Study characteristics!A4:A171""), $A1016=IMPORTRANGE(""https://docs.google.com/spreadsheets/d/1kGrh75X1cNR1D7_FcY9zMnHP8iPO4M5RCRjy6nZY0TY/"&amp;"edit#gid=0"",""Table 1: Study characteristics!B4:B171"")))&gt;0
),
""Include""
)"),"Exclude")</f>
        <v>Exclude</v>
      </c>
      <c r="G1016" s="5" t="str">
        <f>IFERROR(__xludf.DUMMYFUNCTION("IFS(
D1016=""Exclude"",
FILTER(IMPORTRANGE(""https://docs.google.com/spreadsheets/d/1BJSV3WBYJGRhQ6zExamkszQ5VutGIcaQqmbD9ZTVXMQ/edit#gid=1251630045"",""articles_with_PRISMA_reasons!AB2:AB2113""), $A1016=IMPORTRANGE(""https://docs.google.com/spreadsheets/"&amp;"d/1BJSV3WBYJGRhQ6zExamkszQ5VutGIcaQqmbD9ZTVXMQ/edit#gid=1251630045"",""articles_with_PRISMA_reasons!B2:B2113"")),
E1016=""Exclude"",
FILTER(IMPORTRANGE(""https://docs.google.com/spreadsheets/d/1qpEmbGH0JjaJbUdp21-y2cPbobDbMjr09BbtdKROZWc/edit#gid=14448656"&amp;"54"",""articles_with_PRISMA_reasons!Z2:Z2113""), $A1016=IMPORTRANGE(""https://docs.google.com/spreadsheets/d/1qpEmbGH0JjaJbUdp21-y2cPbobDbMjr09BbtdKROZWc/edit#gid=1444865654"",""articles_with_PRISMA_reasons!B2:B2113"")),F1016
=""Include"",FILTER(IMPORTRAN"&amp;"GE(""https://docs.google.com/spreadsheets/d/1kGrh75X1cNR1D7_FcY9zMnHP8iPO4M5RCRjy6nZY0TY/edit#gid=0"",""Table 1: Study characteristics!A4:A171""), $A1016=IMPORTRANGE(""https://docs.google.com/spreadsheets/d/1kGrh75X1cNR1D7_FcY9zMnHP8iPO4M5RCRjy6nZY0TY/edi"&amp;"t#gid=0"",""Table 1: Study characteristics!B4:B171""))
)"),"wrong study design")</f>
        <v>wrong study design</v>
      </c>
    </row>
    <row r="1017">
      <c r="A1017" s="4" t="str">
        <f>IFERROR(__xludf.DUMMYFUNCTION("""COMPUTED_VALUE"""),"Intrauterine myelomeningocele repair")</f>
        <v>Intrauterine myelomeningocele repair</v>
      </c>
      <c r="B1017" s="5" t="str">
        <f>IFERROR(__xludf.DUMMYFUNCTION("LEFT(FILTER(IMPORTRANGE(""https://docs.google.com/spreadsheets/d/1BJSV3WBYJGRhQ6zExamkszQ5VutGIcaQqmbD9ZTVXMQ/edit#gid=1251630045"",""articles_with_PRISMA_reasons!K2:K2113""), $A1017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$A1017=IMPORTRANGE(""https://docs.google.com/spreadsheets/d/1BJSV3WBYJGRhQ6zExamkszQ5VutGIcaQqmbD9ZTVXMQ/edit#gid=1251630045"",""articles_with_PRISMA_reasons!B2:B2113"")))-1)"),"Tulipan")</f>
        <v>Tulipan</v>
      </c>
      <c r="C1017" s="6">
        <f>IFERROR(__xludf.DUMMYFUNCTION("FILTER(IMPORTRANGE(""https://docs.google.com/spreadsheets/d/1BJSV3WBYJGRhQ6zExamkszQ5VutGIcaQqmbD9ZTVXMQ/edit#gid=1251630045"",""articles_with_PRISMA_reasons!C2:C2113""), $A1017=IMPORTRANGE(""https://docs.google.com/spreadsheets/d/1BJSV3WBYJGRhQ6zExamkszQ"&amp;"5VutGIcaQqmbD9ZTVXMQ/edit#gid=1251630045"",""articles_with_PRISMA_reasons!B2:B2113""))"),2003.0)</f>
        <v>2003</v>
      </c>
      <c r="D1017" s="5" t="str">
        <f>IFERROR(__xludf.DUMMYFUNCTION("IFS(AND(
FILTER(IMPORTRANGE(""https://docs.google.com/spreadsheets/d/1BJSV3WBYJGRhQ6zExamkszQ5VutGIcaQqmbD9ZTVXMQ/edit#gid=1251630045"",""articles_with_PRISMA_reasons!Y2:Y2113""), $A1017=IMPORTRANGE(""https://docs.google.com/spreadsheets/d/1BJSV3WBYJGRhQ6"&amp;"zExamkszQ5VutGIcaQqmbD9ZTVXMQ/edit#gid=1251630045"",""articles_with_PRISMA_reasons!B2:B2113""))&gt;=2,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$A1017=IMPORTRANGE(""https://docs.google.com/spreadsheets/d/1BJSV3WBYJGRhQ6zExamkszQ5VutGIcaQqmbD9ZTVXMQ/edit#gid=1251630045"",""articles_with_PRISMA_reasons!B2:B2113""))&lt;2),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$A1017=IMPORTRANGE(""https://docs.google.com/spreadsheets/d/1BJSV3WBYJGRhQ6zExamkszQ5VutGIcaQqmbD9ZTVXMQ/edit#gid=1251630045"",""a"&amp;"rticles_with_PRISMA_reasons!B2:B2113""))&lt;2,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$A1017=IMPORTRANGE(""https://docs.google"&amp;".com/spreadsheets/d/1BJSV3WBYJGRhQ6zExamkszQ5VutGIcaQqmbD9ZTVXMQ/edit#gid=1251630045"",""articles_with_PRISMA_reasons!B2:B2113""))&gt;=2),
""Exclude""
)"),"Exclude")</f>
        <v>Exclude</v>
      </c>
      <c r="E1017" s="5" t="str">
        <f>IFERROR(__xludf.DUMMYFUNCTION("IFS(
D1017=""Exclude"",""Exclude"",
AND(
FILTER(IMPORTRANGE(""https://docs.google.com/spreadsheets/d/1qpEmbGH0JjaJbUdp21-y2cPbobDbMjr09BbtdKROZWc/edit#gid=1444865654"",""articles_with_PRISMA_reasons!W2:W2113""), $A1017=IMPORTRANGE(""https://docs.google.co"&amp;"m/spreadsheets/d/1qpEmbGH0JjaJbUdp21-y2cPbobDbMjr09BbtdKROZWc/edit#gid=1444865654"",""articles_with_PRISMA_reasons!B2:B2113""))&gt;=2,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$A1017=IMPORTRANGE(""https://docs.google.com/spreadsheets/d/1qpEmbGH0JjaJbUdp21-y2cPbobDbMjr09BbtdKROZWc/edit#gid=1444865654"",""articles_with_PRISMA_reasons!B2:B2113""))&lt;2),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$A1017=IMPORTRANGE(""https://docs.google.com/spreadsheets/d/1qpEmbGH0JjaJbUdp21-y2cPbobDbMjr09Bbtd"&amp;"KROZWc/edit#gid=1444865654"",""articles_with_PRISMA_reasons!B2:B2113""))&lt;2,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$A1017=I"&amp;"MPORTRANGE(""https://docs.google.com/spreadsheets/d/1qpEmbGH0JjaJbUdp21-y2cPbobDbMjr09BbtdKROZWc/edit#gid=1444865654"",""articles_with_PRISMA_reasons!B2:B2113""))&gt;=2),
""Exclude""
)"),"Exclude")</f>
        <v>Exclude</v>
      </c>
      <c r="F1017" s="5" t="str">
        <f>IFERROR(__xludf.DUMMYFUNCTION("IFS(
E1017=""Exclude"",""Exclude"",
AND(
COUNTIF(
IMPORTRANGE(""https://docs.google.com/spreadsheets/d/1kGrh75X1cNR1D7_FcY9zMnHP8iPO4M5RCRjy6nZY0TY/edit#gid=0"",""Table 1: Study characteristics!B4:B171""),A1017)&gt;0,
COUNTIF(Studies!$A$2:$A$85,FILTER(IMPORT"&amp;"RANGE(""https://docs.google.com/spreadsheets/d/1kGrh75X1cNR1D7_FcY9zMnHP8iPO4M5RCRjy6nZY0TY/edit#gid=0"",""Table 1: Study characteristics!A4:A171""), $A1017=IMPORTRANGE(""https://docs.google.com/spreadsheets/d/1kGrh75X1cNR1D7_FcY9zMnHP8iPO4M5RCRjy6nZY0TY/"&amp;"edit#gid=0"",""Table 1: Study characteristics!B4:B171"")))&gt;0
),
""Include""
)"),"Exclude")</f>
        <v>Exclude</v>
      </c>
      <c r="G1017" s="5" t="str">
        <f>IFERROR(__xludf.DUMMYFUNCTION("IFS(
D1017=""Exclude"",
FILTER(IMPORTRANGE(""https://docs.google.com/spreadsheets/d/1BJSV3WBYJGRhQ6zExamkszQ5VutGIcaQqmbD9ZTVXMQ/edit#gid=1251630045"",""articles_with_PRISMA_reasons!AB2:AB2113""), $A1017=IMPORTRANGE(""https://docs.google.com/spreadsheets/"&amp;"d/1BJSV3WBYJGRhQ6zExamkszQ5VutGIcaQqmbD9ZTVXMQ/edit#gid=1251630045"",""articles_with_PRISMA_reasons!B2:B2113"")),
E1017=""Exclude"",
FILTER(IMPORTRANGE(""https://docs.google.com/spreadsheets/d/1qpEmbGH0JjaJbUdp21-y2cPbobDbMjr09BbtdKROZWc/edit#gid=14448656"&amp;"54"",""articles_with_PRISMA_reasons!Z2:Z2113""), $A1017=IMPORTRANGE(""https://docs.google.com/spreadsheets/d/1qpEmbGH0JjaJbUdp21-y2cPbobDbMjr09BbtdKROZWc/edit#gid=1444865654"",""articles_with_PRISMA_reasons!B2:B2113"")),F1017
=""Include"",FILTER(IMPORTRAN"&amp;"GE(""https://docs.google.com/spreadsheets/d/1kGrh75X1cNR1D7_FcY9zMnHP8iPO4M5RCRjy6nZY0TY/edit#gid=0"",""Table 1: Study characteristics!A4:A171""), $A1017=IMPORTRANGE(""https://docs.google.com/spreadsheets/d/1kGrh75X1cNR1D7_FcY9zMnHP8iPO4M5RCRjy6nZY0TY/edi"&amp;"t#gid=0"",""Table 1: Study characteristics!B4:B171""))
)"),"wrong study design")</f>
        <v>wrong study design</v>
      </c>
    </row>
    <row r="1018">
      <c r="A1018" s="4" t="str">
        <f>IFERROR(__xludf.DUMMYFUNCTION("""COMPUTED_VALUE"""),"Intrauterine myelomeningocele repair: Experience of the fetal medicine and therapy program of the Virgen de Rocio University Hospital")</f>
        <v>Intrauterine myelomeningocele repair: Experience of the fetal medicine and therapy program of the Virgen de Rocio University Hospital</v>
      </c>
      <c r="B1018" s="5" t="str">
        <f>IFERROR(__xludf.DUMMYFUNCTION("LEFT(FILTER(IMPORTRANGE(""https://docs.google.com/spreadsheets/d/1BJSV3WBYJGRhQ6zExamkszQ5VutGIcaQqmbD9ZTVXMQ/edit#gid=1251630045"",""articles_with_PRISMA_reasons!K2:K2113""), $A1018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$A1018=IMPORTRANGE(""https://docs.google.com/spreadsheets/d/1BJSV3WBYJGRhQ6zExamkszQ5VutGIcaQqmbD9ZTVXMQ/edit#gid=1251630045"",""articles_with_PRISMA_reasons!B2:B2113"")))-1)"),"Marenco")</f>
        <v>Marenco</v>
      </c>
      <c r="C1018" s="6">
        <f>IFERROR(__xludf.DUMMYFUNCTION("FILTER(IMPORTRANGE(""https://docs.google.com/spreadsheets/d/1BJSV3WBYJGRhQ6zExamkszQ5VutGIcaQqmbD9ZTVXMQ/edit#gid=1251630045"",""articles_with_PRISMA_reasons!C2:C2113""), $A1018=IMPORTRANGE(""https://docs.google.com/spreadsheets/d/1BJSV3WBYJGRhQ6zExamkszQ"&amp;"5VutGIcaQqmbD9ZTVXMQ/edit#gid=1251630045"",""articles_with_PRISMA_reasons!B2:B2113""))"),2013.0)</f>
        <v>2013</v>
      </c>
      <c r="D1018" s="5" t="str">
        <f>IFERROR(__xludf.DUMMYFUNCTION("IFS(AND(
FILTER(IMPORTRANGE(""https://docs.google.com/spreadsheets/d/1BJSV3WBYJGRhQ6zExamkszQ5VutGIcaQqmbD9ZTVXMQ/edit#gid=1251630045"",""articles_with_PRISMA_reasons!Y2:Y2113""), $A1018=IMPORTRANGE(""https://docs.google.com/spreadsheets/d/1BJSV3WBYJGRhQ6"&amp;"zExamkszQ5VutGIcaQqmbD9ZTVXMQ/edit#gid=1251630045"",""articles_with_PRISMA_reasons!B2:B2113""))&gt;=2,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$A1018=IMPORTRANGE(""https://docs.google.com/spreadsheets/d/1BJSV3WBYJGRhQ6zExamkszQ5VutGIcaQqmbD9ZTVXMQ/edit#gid=1251630045"",""articles_with_PRISMA_reasons!B2:B2113""))&lt;2),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$A1018=IMPORTRANGE(""https://docs.google.com/spreadsheets/d/1BJSV3WBYJGRhQ6zExamkszQ5VutGIcaQqmbD9ZTVXMQ/edit#gid=1251630045"",""a"&amp;"rticles_with_PRISMA_reasons!B2:B2113""))&lt;2,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$A1018=IMPORTRANGE(""https://docs.google"&amp;".com/spreadsheets/d/1BJSV3WBYJGRhQ6zExamkszQ5VutGIcaQqmbD9ZTVXMQ/edit#gid=1251630045"",""articles_with_PRISMA_reasons!B2:B2113""))&gt;=2),
""Exclude""
)"),"Exclude")</f>
        <v>Exclude</v>
      </c>
      <c r="E1018" s="5" t="str">
        <f>IFERROR(__xludf.DUMMYFUNCTION("IFS(
D1018=""Exclude"",""Exclude"",
AND(
FILTER(IMPORTRANGE(""https://docs.google.com/spreadsheets/d/1qpEmbGH0JjaJbUdp21-y2cPbobDbMjr09BbtdKROZWc/edit#gid=1444865654"",""articles_with_PRISMA_reasons!W2:W2113""), $A1018=IMPORTRANGE(""https://docs.google.co"&amp;"m/spreadsheets/d/1qpEmbGH0JjaJbUdp21-y2cPbobDbMjr09BbtdKROZWc/edit#gid=1444865654"",""articles_with_PRISMA_reasons!B2:B2113""))&gt;=2,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$A1018=IMPORTRANGE(""https://docs.google.com/spreadsheets/d/1qpEmbGH0JjaJbUdp21-y2cPbobDbMjr09BbtdKROZWc/edit#gid=1444865654"",""articles_with_PRISMA_reasons!B2:B2113""))&lt;2),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$A1018=IMPORTRANGE(""https://docs.google.com/spreadsheets/d/1qpEmbGH0JjaJbUdp21-y2cPbobDbMjr09Bbtd"&amp;"KROZWc/edit#gid=1444865654"",""articles_with_PRISMA_reasons!B2:B2113""))&lt;2,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$A1018=I"&amp;"MPORTRANGE(""https://docs.google.com/spreadsheets/d/1qpEmbGH0JjaJbUdp21-y2cPbobDbMjr09BbtdKROZWc/edit#gid=1444865654"",""articles_with_PRISMA_reasons!B2:B2113""))&gt;=2),
""Exclude""
)"),"Exclude")</f>
        <v>Exclude</v>
      </c>
      <c r="F1018" s="5" t="str">
        <f>IFERROR(__xludf.DUMMYFUNCTION("IFS(
E1018=""Exclude"",""Exclude"",
AND(
COUNTIF(
IMPORTRANGE(""https://docs.google.com/spreadsheets/d/1kGrh75X1cNR1D7_FcY9zMnHP8iPO4M5RCRjy6nZY0TY/edit#gid=0"",""Table 1: Study characteristics!B4:B171""),A1018)&gt;0,
COUNTIF(Studies!$A$2:$A$85,FILTER(IMPORT"&amp;"RANGE(""https://docs.google.com/spreadsheets/d/1kGrh75X1cNR1D7_FcY9zMnHP8iPO4M5RCRjy6nZY0TY/edit#gid=0"",""Table 1: Study characteristics!A4:A171""), $A1018=IMPORTRANGE(""https://docs.google.com/spreadsheets/d/1kGrh75X1cNR1D7_FcY9zMnHP8iPO4M5RCRjy6nZY0TY/"&amp;"edit#gid=0"",""Table 1: Study characteristics!B4:B171"")))&gt;0
),
""Include""
)"),"Exclude")</f>
        <v>Exclude</v>
      </c>
      <c r="G1018" s="5" t="str">
        <f>IFERROR(__xludf.DUMMYFUNCTION("IFS(
D1018=""Exclude"",
FILTER(IMPORTRANGE(""https://docs.google.com/spreadsheets/d/1BJSV3WBYJGRhQ6zExamkszQ5VutGIcaQqmbD9ZTVXMQ/edit#gid=1251630045"",""articles_with_PRISMA_reasons!AB2:AB2113""), $A1018=IMPORTRANGE(""https://docs.google.com/spreadsheets/"&amp;"d/1BJSV3WBYJGRhQ6zExamkszQ5VutGIcaQqmbD9ZTVXMQ/edit#gid=1251630045"",""articles_with_PRISMA_reasons!B2:B2113"")),
E1018=""Exclude"",
FILTER(IMPORTRANGE(""https://docs.google.com/spreadsheets/d/1qpEmbGH0JjaJbUdp21-y2cPbobDbMjr09BbtdKROZWc/edit#gid=14448656"&amp;"54"",""articles_with_PRISMA_reasons!Z2:Z2113""), $A1018=IMPORTRANGE(""https://docs.google.com/spreadsheets/d/1qpEmbGH0JjaJbUdp21-y2cPbobDbMjr09BbtdKROZWc/edit#gid=1444865654"",""articles_with_PRISMA_reasons!B2:B2113"")),F1018
=""Include"",FILTER(IMPORTRAN"&amp;"GE(""https://docs.google.com/spreadsheets/d/1kGrh75X1cNR1D7_FcY9zMnHP8iPO4M5RCRjy6nZY0TY/edit#gid=0"",""Table 1: Study characteristics!A4:A171""), $A1018=IMPORTRANGE(""https://docs.google.com/spreadsheets/d/1kGrh75X1cNR1D7_FcY9zMnHP8iPO4M5RCRjy6nZY0TY/edi"&amp;"t#gid=0"",""Table 1: Study characteristics!B4:B171""))
)"),"Duplicate")</f>
        <v>Duplicate</v>
      </c>
    </row>
    <row r="1019">
      <c r="A1019" s="4" t="str">
        <f>IFERROR(__xludf.DUMMYFUNCTION("""COMPUTED_VALUE"""),"Intrauterine neurosurgical intervention in a case of congenital hydrocephalus")</f>
        <v>Intrauterine neurosurgical intervention in a case of congenital hydrocephalus</v>
      </c>
      <c r="B1019" s="5" t="str">
        <f>IFERROR(__xludf.DUMMYFUNCTION("LEFT(FILTER(IMPORTRANGE(""https://docs.google.com/spreadsheets/d/1BJSV3WBYJGRhQ6zExamkszQ5VutGIcaQqmbD9ZTVXMQ/edit#gid=1251630045"",""articles_with_PRISMA_reasons!K2:K2113""), $A1019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$A1019=IMPORTRANGE(""https://docs.google.com/spreadsheets/d/1BJSV3WBYJGRhQ6zExamkszQ5VutGIcaQqmbD9ZTVXMQ/edit#gid=1251630045"",""articles_with_PRISMA_reasons!B2:B2113"")))-1)"),"Huber")</f>
        <v>Huber</v>
      </c>
      <c r="C1019" s="6">
        <f>IFERROR(__xludf.DUMMYFUNCTION("FILTER(IMPORTRANGE(""https://docs.google.com/spreadsheets/d/1BJSV3WBYJGRhQ6zExamkszQ5VutGIcaQqmbD9ZTVXMQ/edit#gid=1251630045"",""articles_with_PRISMA_reasons!C2:C2113""), $A1019=IMPORTRANGE(""https://docs.google.com/spreadsheets/d/1BJSV3WBYJGRhQ6zExamkszQ"&amp;"5VutGIcaQqmbD9ZTVXMQ/edit#gid=1251630045"",""articles_with_PRISMA_reasons!B2:B2113""))"),1987.0)</f>
        <v>1987</v>
      </c>
      <c r="D1019" s="5" t="str">
        <f>IFERROR(__xludf.DUMMYFUNCTION("IFS(AND(
FILTER(IMPORTRANGE(""https://docs.google.com/spreadsheets/d/1BJSV3WBYJGRhQ6zExamkszQ5VutGIcaQqmbD9ZTVXMQ/edit#gid=1251630045"",""articles_with_PRISMA_reasons!Y2:Y2113""), $A1019=IMPORTRANGE(""https://docs.google.com/spreadsheets/d/1BJSV3WBYJGRhQ6"&amp;"zExamkszQ5VutGIcaQqmbD9ZTVXMQ/edit#gid=1251630045"",""articles_with_PRISMA_reasons!B2:B2113""))&gt;=2,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$A1019=IMPORTRANGE(""https://docs.google.com/spreadsheets/d/1BJSV3WBYJGRhQ6zExamkszQ5VutGIcaQqmbD9ZTVXMQ/edit#gid=1251630045"",""articles_with_PRISMA_reasons!B2:B2113""))&lt;2),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$A1019=IMPORTRANGE(""https://docs.google.com/spreadsheets/d/1BJSV3WBYJGRhQ6zExamkszQ5VutGIcaQqmbD9ZTVXMQ/edit#gid=1251630045"",""a"&amp;"rticles_with_PRISMA_reasons!B2:B2113""))&lt;2,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$A1019=IMPORTRANGE(""https://docs.google"&amp;".com/spreadsheets/d/1BJSV3WBYJGRhQ6zExamkszQ5VutGIcaQqmbD9ZTVXMQ/edit#gid=1251630045"",""articles_with_PRISMA_reasons!B2:B2113""))&gt;=2),
""Exclude""
)"),"Exclude")</f>
        <v>Exclude</v>
      </c>
      <c r="E1019" s="5" t="str">
        <f>IFERROR(__xludf.DUMMYFUNCTION("IFS(
D1019=""Exclude"",""Exclude"",
AND(
FILTER(IMPORTRANGE(""https://docs.google.com/spreadsheets/d/1qpEmbGH0JjaJbUdp21-y2cPbobDbMjr09BbtdKROZWc/edit#gid=1444865654"",""articles_with_PRISMA_reasons!W2:W2113""), $A1019=IMPORTRANGE(""https://docs.google.co"&amp;"m/spreadsheets/d/1qpEmbGH0JjaJbUdp21-y2cPbobDbMjr09BbtdKROZWc/edit#gid=1444865654"",""articles_with_PRISMA_reasons!B2:B2113""))&gt;=2,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$A1019=IMPORTRANGE(""https://docs.google.com/spreadsheets/d/1qpEmbGH0JjaJbUdp21-y2cPbobDbMjr09BbtdKROZWc/edit#gid=1444865654"",""articles_with_PRISMA_reasons!B2:B2113""))&lt;2),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$A1019=IMPORTRANGE(""https://docs.google.com/spreadsheets/d/1qpEmbGH0JjaJbUdp21-y2cPbobDbMjr09Bbtd"&amp;"KROZWc/edit#gid=1444865654"",""articles_with_PRISMA_reasons!B2:B2113""))&lt;2,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$A1019=I"&amp;"MPORTRANGE(""https://docs.google.com/spreadsheets/d/1qpEmbGH0JjaJbUdp21-y2cPbobDbMjr09BbtdKROZWc/edit#gid=1444865654"",""articles_with_PRISMA_reasons!B2:B2113""))&gt;=2),
""Exclude""
)"),"Exclude")</f>
        <v>Exclude</v>
      </c>
      <c r="F1019" s="5" t="str">
        <f>IFERROR(__xludf.DUMMYFUNCTION("IFS(
E1019=""Exclude"",""Exclude"",
AND(
COUNTIF(
IMPORTRANGE(""https://docs.google.com/spreadsheets/d/1kGrh75X1cNR1D7_FcY9zMnHP8iPO4M5RCRjy6nZY0TY/edit#gid=0"",""Table 1: Study characteristics!B4:B171""),A1019)&gt;0,
COUNTIF(Studies!$A$2:$A$85,FILTER(IMPORT"&amp;"RANGE(""https://docs.google.com/spreadsheets/d/1kGrh75X1cNR1D7_FcY9zMnHP8iPO4M5RCRjy6nZY0TY/edit#gid=0"",""Table 1: Study characteristics!A4:A171""), $A1019=IMPORTRANGE(""https://docs.google.com/spreadsheets/d/1kGrh75X1cNR1D7_FcY9zMnHP8iPO4M5RCRjy6nZY0TY/"&amp;"edit#gid=0"",""Table 1: Study characteristics!B4:B171"")))&gt;0
),
""Include""
)"),"Exclude")</f>
        <v>Exclude</v>
      </c>
      <c r="G1019" s="5" t="str">
        <f>IFERROR(__xludf.DUMMYFUNCTION("IFS(
D1019=""Exclude"",
FILTER(IMPORTRANGE(""https://docs.google.com/spreadsheets/d/1BJSV3WBYJGRhQ6zExamkszQ5VutGIcaQqmbD9ZTVXMQ/edit#gid=1251630045"",""articles_with_PRISMA_reasons!AB2:AB2113""), $A1019=IMPORTRANGE(""https://docs.google.com/spreadsheets/"&amp;"d/1BJSV3WBYJGRhQ6zExamkszQ5VutGIcaQqmbD9ZTVXMQ/edit#gid=1251630045"",""articles_with_PRISMA_reasons!B2:B2113"")),
E1019=""Exclude"",
FILTER(IMPORTRANGE(""https://docs.google.com/spreadsheets/d/1qpEmbGH0JjaJbUdp21-y2cPbobDbMjr09BbtdKROZWc/edit#gid=14448656"&amp;"54"",""articles_with_PRISMA_reasons!Z2:Z2113""), $A1019=IMPORTRANGE(""https://docs.google.com/spreadsheets/d/1qpEmbGH0JjaJbUdp21-y2cPbobDbMjr09BbtdKROZWc/edit#gid=1444865654"",""articles_with_PRISMA_reasons!B2:B2113"")),F1019
=""Include"",FILTER(IMPORTRAN"&amp;"GE(""https://docs.google.com/spreadsheets/d/1kGrh75X1cNR1D7_FcY9zMnHP8iPO4M5RCRjy6nZY0TY/edit#gid=0"",""Table 1: Study characteristics!A4:A171""), $A1019=IMPORTRANGE(""https://docs.google.com/spreadsheets/d/1kGrh75X1cNR1D7_FcY9zMnHP8iPO4M5RCRjy6nZY0TY/edi"&amp;"t#gid=0"",""Table 1: Study characteristics!B4:B171""))
)"),"wrong study design")</f>
        <v>wrong study design</v>
      </c>
    </row>
    <row r="1020">
      <c r="A1020" s="4" t="str">
        <f>IFERROR(__xludf.DUMMYFUNCTION("""COMPUTED_VALUE"""),"Intrauterine repair of spina bifida: Preoperative predictors of shunt-dependent hydrocephalus")</f>
        <v>Intrauterine repair of spina bifida: Preoperative predictors of shunt-dependent hydrocephalus</v>
      </c>
      <c r="B1020" s="5" t="str">
        <f>IFERROR(__xludf.DUMMYFUNCTION("LEFT(FILTER(IMPORTRANGE(""https://docs.google.com/spreadsheets/d/1BJSV3WBYJGRhQ6zExamkszQ5VutGIcaQqmbD9ZTVXMQ/edit#gid=1251630045"",""articles_with_PRISMA_reasons!K2:K2113""), $A1020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$A1020=IMPORTRANGE(""https://docs.google.com/spreadsheets/d/1BJSV3WBYJGRhQ6zExamkszQ5VutGIcaQqmbD9ZTVXMQ/edit#gid=1251630045"",""articles_with_PRISMA_reasons!B2:B2113"")))-1)"),"Bruner")</f>
        <v>Bruner</v>
      </c>
      <c r="C1020" s="3">
        <v>2004.0</v>
      </c>
      <c r="D1020" s="5" t="str">
        <f>IFERROR(__xludf.DUMMYFUNCTION("IFS(AND(
FILTER(IMPORTRANGE(""https://docs.google.com/spreadsheets/d/1BJSV3WBYJGRhQ6zExamkszQ5VutGIcaQqmbD9ZTVXMQ/edit#gid=1251630045"",""articles_with_PRISMA_reasons!Y2:Y2113""), $A1020=IMPORTRANGE(""https://docs.google.com/spreadsheets/d/1BJSV3WBYJGRhQ6"&amp;"zExamkszQ5VutGIcaQqmbD9ZTVXMQ/edit#gid=1251630045"",""articles_with_PRISMA_reasons!B2:B2113""))&gt;=2,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$A1020=IMPORTRANGE(""https://docs.google.com/spreadsheets/d/1BJSV3WBYJGRhQ6zExamkszQ5VutGIcaQqmbD9ZTVXMQ/edit#gid=1251630045"",""articles_with_PRISMA_reasons!B2:B2113""))&lt;2),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$A1020=IMPORTRANGE(""https://docs.google.com/spreadsheets/d/1BJSV3WBYJGRhQ6zExamkszQ5VutGIcaQqmbD9ZTVXMQ/edit#gid=1251630045"",""a"&amp;"rticles_with_PRISMA_reasons!B2:B2113""))&lt;2,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$A1020=IMPORTRANGE(""https://docs.google"&amp;".com/spreadsheets/d/1BJSV3WBYJGRhQ6zExamkszQ5VutGIcaQqmbD9ZTVXMQ/edit#gid=1251630045"",""articles_with_PRISMA_reasons!B2:B2113""))&gt;=2),
""Exclude""
)"),"Exclude")</f>
        <v>Exclude</v>
      </c>
      <c r="E1020" s="5" t="str">
        <f>IFERROR(__xludf.DUMMYFUNCTION("IFS(
D1020=""Exclude"",""Exclude"",
AND(
FILTER(IMPORTRANGE(""https://docs.google.com/spreadsheets/d/1qpEmbGH0JjaJbUdp21-y2cPbobDbMjr09BbtdKROZWc/edit#gid=1444865654"",""articles_with_PRISMA_reasons!W2:W2113""), $A1020=IMPORTRANGE(""https://docs.google.co"&amp;"m/spreadsheets/d/1qpEmbGH0JjaJbUdp21-y2cPbobDbMjr09BbtdKROZWc/edit#gid=1444865654"",""articles_with_PRISMA_reasons!B2:B2113""))&gt;=2,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$A1020=IMPORTRANGE(""https://docs.google.com/spreadsheets/d/1qpEmbGH0JjaJbUdp21-y2cPbobDbMjr09BbtdKROZWc/edit#gid=1444865654"",""articles_with_PRISMA_reasons!B2:B2113""))&lt;2),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$A1020=IMPORTRANGE(""https://docs.google.com/spreadsheets/d/1qpEmbGH0JjaJbUdp21-y2cPbobDbMjr09Bbtd"&amp;"KROZWc/edit#gid=1444865654"",""articles_with_PRISMA_reasons!B2:B2113""))&lt;2,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$A1020=I"&amp;"MPORTRANGE(""https://docs.google.com/spreadsheets/d/1qpEmbGH0JjaJbUdp21-y2cPbobDbMjr09BbtdKROZWc/edit#gid=1444865654"",""articles_with_PRISMA_reasons!B2:B2113""))&gt;=2),
""Exclude""
)"),"Exclude")</f>
        <v>Exclude</v>
      </c>
      <c r="F1020" s="5" t="str">
        <f>IFERROR(__xludf.DUMMYFUNCTION("IFS(
E1020=""Exclude"",""Exclude"",
AND(
COUNTIF(
IMPORTRANGE(""https://docs.google.com/spreadsheets/d/1kGrh75X1cNR1D7_FcY9zMnHP8iPO4M5RCRjy6nZY0TY/edit#gid=0"",""Table 1: Study characteristics!B4:B171""),A1020)&gt;0,
COUNTIF(Studies!$A$2:$A$85,FILTER(IMPORT"&amp;"RANGE(""https://docs.google.com/spreadsheets/d/1kGrh75X1cNR1D7_FcY9zMnHP8iPO4M5RCRjy6nZY0TY/edit#gid=0"",""Table 1: Study characteristics!A4:A171""), $A1020=IMPORTRANGE(""https://docs.google.com/spreadsheets/d/1kGrh75X1cNR1D7_FcY9zMnHP8iPO4M5RCRjy6nZY0TY/"&amp;"edit#gid=0"",""Table 1: Study characteristics!B4:B171"")))&gt;0
),
""Include""
)"),"Exclude")</f>
        <v>Exclude</v>
      </c>
      <c r="G1020" s="2" t="s">
        <v>15</v>
      </c>
    </row>
    <row r="1021">
      <c r="A1021" s="4" t="str">
        <f>IFERROR(__xludf.DUMMYFUNCTION("""COMPUTED_VALUE"""),"Intrauterine repair of spina bifida: preoperative predictors of shunt-dependent hydrocephalus")</f>
        <v>Intrauterine repair of spina bifida: preoperative predictors of shunt-dependent hydrocephalus</v>
      </c>
      <c r="B1021" s="5" t="str">
        <f>IFERROR(__xludf.DUMMYFUNCTION("LEFT(FILTER(IMPORTRANGE(""https://docs.google.com/spreadsheets/d/1BJSV3WBYJGRhQ6zExamkszQ5VutGIcaQqmbD9ZTVXMQ/edit#gid=1251630045"",""articles_with_PRISMA_reasons!K2:K2113""), $A1021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$A1021=IMPORTRANGE(""https://docs.google.com/spreadsheets/d/1BJSV3WBYJGRhQ6zExamkszQ5VutGIcaQqmbD9ZTVXMQ/edit#gid=1251630045"",""articles_with_PRISMA_reasons!B2:B2113"")))-1)"),"Bruner")</f>
        <v>Bruner</v>
      </c>
      <c r="C1021" s="3">
        <v>2004.0</v>
      </c>
      <c r="D1021" s="5" t="str">
        <f>IFERROR(__xludf.DUMMYFUNCTION("IFS(AND(
FILTER(IMPORTRANGE(""https://docs.google.com/spreadsheets/d/1BJSV3WBYJGRhQ6zExamkszQ5VutGIcaQqmbD9ZTVXMQ/edit#gid=1251630045"",""articles_with_PRISMA_reasons!Y2:Y2113""), $A1021=IMPORTRANGE(""https://docs.google.com/spreadsheets/d/1BJSV3WBYJGRhQ6"&amp;"zExamkszQ5VutGIcaQqmbD9ZTVXMQ/edit#gid=1251630045"",""articles_with_PRISMA_reasons!B2:B2113""))&gt;=2,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$A1021=IMPORTRANGE(""https://docs.google.com/spreadsheets/d/1BJSV3WBYJGRhQ6zExamkszQ5VutGIcaQqmbD9ZTVXMQ/edit#gid=1251630045"",""articles_with_PRISMA_reasons!B2:B2113""))&lt;2),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$A1021=IMPORTRANGE(""https://docs.google.com/spreadsheets/d/1BJSV3WBYJGRhQ6zExamkszQ5VutGIcaQqmbD9ZTVXMQ/edit#gid=1251630045"",""a"&amp;"rticles_with_PRISMA_reasons!B2:B2113""))&lt;2,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$A1021=IMPORTRANGE(""https://docs.google"&amp;".com/spreadsheets/d/1BJSV3WBYJGRhQ6zExamkszQ5VutGIcaQqmbD9ZTVXMQ/edit#gid=1251630045"",""articles_with_PRISMA_reasons!B2:B2113""))&gt;=2),
""Exclude""
)"),"Exclude")</f>
        <v>Exclude</v>
      </c>
      <c r="E1021" s="5" t="str">
        <f>IFERROR(__xludf.DUMMYFUNCTION("IFS(
D1021=""Exclude"",""Exclude"",
AND(
FILTER(IMPORTRANGE(""https://docs.google.com/spreadsheets/d/1qpEmbGH0JjaJbUdp21-y2cPbobDbMjr09BbtdKROZWc/edit#gid=1444865654"",""articles_with_PRISMA_reasons!W2:W2113""), $A1021=IMPORTRANGE(""https://docs.google.co"&amp;"m/spreadsheets/d/1qpEmbGH0JjaJbUdp21-y2cPbobDbMjr09BbtdKROZWc/edit#gid=1444865654"",""articles_with_PRISMA_reasons!B2:B2113""))&gt;=2,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$A1021=IMPORTRANGE(""https://docs.google.com/spreadsheets/d/1qpEmbGH0JjaJbUdp21-y2cPbobDbMjr09BbtdKROZWc/edit#gid=1444865654"",""articles_with_PRISMA_reasons!B2:B2113""))&lt;2),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$A1021=IMPORTRANGE(""https://docs.google.com/spreadsheets/d/1qpEmbGH0JjaJbUdp21-y2cPbobDbMjr09Bbtd"&amp;"KROZWc/edit#gid=1444865654"",""articles_with_PRISMA_reasons!B2:B2113""))&lt;2,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$A1021=I"&amp;"MPORTRANGE(""https://docs.google.com/spreadsheets/d/1qpEmbGH0JjaJbUdp21-y2cPbobDbMjr09BbtdKROZWc/edit#gid=1444865654"",""articles_with_PRISMA_reasons!B2:B2113""))&gt;=2),
""Exclude""
)"),"Exclude")</f>
        <v>Exclude</v>
      </c>
      <c r="F1021" s="5" t="str">
        <f>IFERROR(__xludf.DUMMYFUNCTION("IFS(
E1021=""Exclude"",""Exclude"",
AND(
COUNTIF(
IMPORTRANGE(""https://docs.google.com/spreadsheets/d/1kGrh75X1cNR1D7_FcY9zMnHP8iPO4M5RCRjy6nZY0TY/edit#gid=0"",""Table 1: Study characteristics!B4:B171""),A1021)&gt;0,
COUNTIF(Studies!$A$2:$A$85,FILTER(IMPORT"&amp;"RANGE(""https://docs.google.com/spreadsheets/d/1kGrh75X1cNR1D7_FcY9zMnHP8iPO4M5RCRjy6nZY0TY/edit#gid=0"",""Table 1: Study characteristics!A4:A171""), $A1021=IMPORTRANGE(""https://docs.google.com/spreadsheets/d/1kGrh75X1cNR1D7_FcY9zMnHP8iPO4M5RCRjy6nZY0TY/"&amp;"edit#gid=0"",""Table 1: Study characteristics!B4:B171"")))&gt;0
),
""Include""
)"),"Exclude")</f>
        <v>Exclude</v>
      </c>
      <c r="G1021" s="2" t="s">
        <v>13</v>
      </c>
    </row>
    <row r="1022">
      <c r="A1022" s="4" t="str">
        <f>IFERROR(__xludf.DUMMYFUNCTION("""COMPUTED_VALUE"""),"Intrauterine surgery for spinal defects: What is the role of ultrasound?")</f>
        <v>Intrauterine surgery for spinal defects: What is the role of ultrasound?</v>
      </c>
      <c r="B1022" s="5" t="str">
        <f>IFERROR(__xludf.DUMMYFUNCTION("LEFT(FILTER(IMPORTRANGE(""https://docs.google.com/spreadsheets/d/1BJSV3WBYJGRhQ6zExamkszQ5VutGIcaQqmbD9ZTVXMQ/edit#gid=1251630045"",""articles_with_PRISMA_reasons!K2:K2113""), $A1022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$A1022=IMPORTRANGE(""https://docs.google.com/spreadsheets/d/1BJSV3WBYJGRhQ6zExamkszQ5VutGIcaQqmbD9ZTVXMQ/edit#gid=1251630045"",""articles_with_PRISMA_reasons!B2:B2113"")))-1)"),"Moreira De Sa")</f>
        <v>Moreira De Sa</v>
      </c>
      <c r="C1022" s="6">
        <f>IFERROR(__xludf.DUMMYFUNCTION("FILTER(IMPORTRANGE(""https://docs.google.com/spreadsheets/d/1BJSV3WBYJGRhQ6zExamkszQ5VutGIcaQqmbD9ZTVXMQ/edit#gid=1251630045"",""articles_with_PRISMA_reasons!C2:C2113""), $A1022=IMPORTRANGE(""https://docs.google.com/spreadsheets/d/1BJSV3WBYJGRhQ6zExamkszQ"&amp;"5VutGIcaQqmbD9ZTVXMQ/edit#gid=1251630045"",""articles_with_PRISMA_reasons!B2:B2113""))"),2016.0)</f>
        <v>2016</v>
      </c>
      <c r="D1022" s="5" t="str">
        <f>IFERROR(__xludf.DUMMYFUNCTION("IFS(AND(
FILTER(IMPORTRANGE(""https://docs.google.com/spreadsheets/d/1BJSV3WBYJGRhQ6zExamkszQ5VutGIcaQqmbD9ZTVXMQ/edit#gid=1251630045"",""articles_with_PRISMA_reasons!Y2:Y2113""), $A1022=IMPORTRANGE(""https://docs.google.com/spreadsheets/d/1BJSV3WBYJGRhQ6"&amp;"zExamkszQ5VutGIcaQqmbD9ZTVXMQ/edit#gid=1251630045"",""articles_with_PRISMA_reasons!B2:B2113""))&gt;=2,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$A1022=IMPORTRANGE(""https://docs.google.com/spreadsheets/d/1BJSV3WBYJGRhQ6zExamkszQ5VutGIcaQqmbD9ZTVXMQ/edit#gid=1251630045"",""articles_with_PRISMA_reasons!B2:B2113""))&lt;2),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$A1022=IMPORTRANGE(""https://docs.google.com/spreadsheets/d/1BJSV3WBYJGRhQ6zExamkszQ5VutGIcaQqmbD9ZTVXMQ/edit#gid=1251630045"",""a"&amp;"rticles_with_PRISMA_reasons!B2:B2113""))&lt;2,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$A1022=IMPORTRANGE(""https://docs.google"&amp;".com/spreadsheets/d/1BJSV3WBYJGRhQ6zExamkszQ5VutGIcaQqmbD9ZTVXMQ/edit#gid=1251630045"",""articles_with_PRISMA_reasons!B2:B2113""))&gt;=2),
""Exclude""
)"),"Exclude")</f>
        <v>Exclude</v>
      </c>
      <c r="E1022" s="5" t="str">
        <f>IFERROR(__xludf.DUMMYFUNCTION("IFS(
D1022=""Exclude"",""Exclude"",
AND(
FILTER(IMPORTRANGE(""https://docs.google.com/spreadsheets/d/1qpEmbGH0JjaJbUdp21-y2cPbobDbMjr09BbtdKROZWc/edit#gid=1444865654"",""articles_with_PRISMA_reasons!W2:W2113""), $A1022=IMPORTRANGE(""https://docs.google.co"&amp;"m/spreadsheets/d/1qpEmbGH0JjaJbUdp21-y2cPbobDbMjr09BbtdKROZWc/edit#gid=1444865654"",""articles_with_PRISMA_reasons!B2:B2113""))&gt;=2,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$A1022=IMPORTRANGE(""https://docs.google.com/spreadsheets/d/1qpEmbGH0JjaJbUdp21-y2cPbobDbMjr09BbtdKROZWc/edit#gid=1444865654"",""articles_with_PRISMA_reasons!B2:B2113""))&lt;2),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$A1022=IMPORTRANGE(""https://docs.google.com/spreadsheets/d/1qpEmbGH0JjaJbUdp21-y2cPbobDbMjr09Bbtd"&amp;"KROZWc/edit#gid=1444865654"",""articles_with_PRISMA_reasons!B2:B2113""))&lt;2,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$A1022=I"&amp;"MPORTRANGE(""https://docs.google.com/spreadsheets/d/1qpEmbGH0JjaJbUdp21-y2cPbobDbMjr09BbtdKROZWc/edit#gid=1444865654"",""articles_with_PRISMA_reasons!B2:B2113""))&gt;=2),
""Exclude""
)"),"Exclude")</f>
        <v>Exclude</v>
      </c>
      <c r="F1022" s="5" t="str">
        <f>IFERROR(__xludf.DUMMYFUNCTION("IFS(
E1022=""Exclude"",""Exclude"",
AND(
COUNTIF(
IMPORTRANGE(""https://docs.google.com/spreadsheets/d/1kGrh75X1cNR1D7_FcY9zMnHP8iPO4M5RCRjy6nZY0TY/edit#gid=0"",""Table 1: Study characteristics!B4:B171""),A1022)&gt;0,
COUNTIF(Studies!$A$2:$A$85,FILTER(IMPORT"&amp;"RANGE(""https://docs.google.com/spreadsheets/d/1kGrh75X1cNR1D7_FcY9zMnHP8iPO4M5RCRjy6nZY0TY/edit#gid=0"",""Table 1: Study characteristics!A4:A171""), $A1022=IMPORTRANGE(""https://docs.google.com/spreadsheets/d/1kGrh75X1cNR1D7_FcY9zMnHP8iPO4M5RCRjy6nZY0TY/"&amp;"edit#gid=0"",""Table 1: Study characteristics!B4:B171"")))&gt;0
),
""Include""
)"),"Exclude")</f>
        <v>Exclude</v>
      </c>
      <c r="G1022" s="5" t="str">
        <f>IFERROR(__xludf.DUMMYFUNCTION("IFS(
D1022=""Exclude"",
FILTER(IMPORTRANGE(""https://docs.google.com/spreadsheets/d/1BJSV3WBYJGRhQ6zExamkszQ5VutGIcaQqmbD9ZTVXMQ/edit#gid=1251630045"",""articles_with_PRISMA_reasons!AB2:AB2113""), $A1022=IMPORTRANGE(""https://docs.google.com/spreadsheets/"&amp;"d/1BJSV3WBYJGRhQ6zExamkszQ5VutGIcaQqmbD9ZTVXMQ/edit#gid=1251630045"",""articles_with_PRISMA_reasons!B2:B2113"")),
E1022=""Exclude"",
FILTER(IMPORTRANGE(""https://docs.google.com/spreadsheets/d/1qpEmbGH0JjaJbUdp21-y2cPbobDbMjr09BbtdKROZWc/edit#gid=14448656"&amp;"54"",""articles_with_PRISMA_reasons!Z2:Z2113""), $A1022=IMPORTRANGE(""https://docs.google.com/spreadsheets/d/1qpEmbGH0JjaJbUdp21-y2cPbobDbMjr09BbtdKROZWc/edit#gid=1444865654"",""articles_with_PRISMA_reasons!B2:B2113"")),F1022
=""Include"",FILTER(IMPORTRAN"&amp;"GE(""https://docs.google.com/spreadsheets/d/1kGrh75X1cNR1D7_FcY9zMnHP8iPO4M5RCRjy6nZY0TY/edit#gid=0"",""Table 1: Study characteristics!A4:A171""), $A1022=IMPORTRANGE(""https://docs.google.com/spreadsheets/d/1kGrh75X1cNR1D7_FcY9zMnHP8iPO4M5RCRjy6nZY0TY/edi"&amp;"t#gid=0"",""Table 1: Study characteristics!B4:B171""))
)"),"wrong study design")</f>
        <v>wrong study design</v>
      </c>
    </row>
    <row r="1023">
      <c r="A1023" s="4" t="str">
        <f>IFERROR(__xludf.DUMMYFUNCTION("""COMPUTED_VALUE"""),"Intrauterine treatment of spina bifida")</f>
        <v>Intrauterine treatment of spina bifida</v>
      </c>
      <c r="B1023" s="5" t="str">
        <f>IFERROR(__xludf.DUMMYFUNCTION("LEFT(FILTER(IMPORTRANGE(""https://docs.google.com/spreadsheets/d/1BJSV3WBYJGRhQ6zExamkszQ5VutGIcaQqmbD9ZTVXMQ/edit#gid=1251630045"",""articles_with_PRISMA_reasons!K2:K2113""), $A1023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$A1023=IMPORTRANGE(""https://docs.google.com/spreadsheets/d/1BJSV3WBYJGRhQ6zExamkszQ5VutGIcaQqmbD9ZTVXMQ/edit#gid=1251630045"",""articles_with_PRISMA_reasons!B2:B2113"")))-1)"),"Mazzone")</f>
        <v>Mazzone</v>
      </c>
      <c r="C1023" s="6">
        <f>IFERROR(__xludf.DUMMYFUNCTION("FILTER(IMPORTRANGE(""https://docs.google.com/spreadsheets/d/1BJSV3WBYJGRhQ6zExamkszQ5VutGIcaQqmbD9ZTVXMQ/edit#gid=1251630045"",""articles_with_PRISMA_reasons!C2:C2113""), $A1023=IMPORTRANGE(""https://docs.google.com/spreadsheets/d/1BJSV3WBYJGRhQ6zExamkszQ"&amp;"5VutGIcaQqmbD9ZTVXMQ/edit#gid=1251630045"",""articles_with_PRISMA_reasons!B2:B2113""))"),2017.0)</f>
        <v>2017</v>
      </c>
      <c r="D1023" s="5" t="str">
        <f>IFERROR(__xludf.DUMMYFUNCTION("IFS(AND(
FILTER(IMPORTRANGE(""https://docs.google.com/spreadsheets/d/1BJSV3WBYJGRhQ6zExamkszQ5VutGIcaQqmbD9ZTVXMQ/edit#gid=1251630045"",""articles_with_PRISMA_reasons!Y2:Y2113""), $A1023=IMPORTRANGE(""https://docs.google.com/spreadsheets/d/1BJSV3WBYJGRhQ6"&amp;"zExamkszQ5VutGIcaQqmbD9ZTVXMQ/edit#gid=1251630045"",""articles_with_PRISMA_reasons!B2:B2113""))&gt;=2,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$A1023=IMPORTRANGE(""https://docs.google.com/spreadsheets/d/1BJSV3WBYJGRhQ6zExamkszQ5VutGIcaQqmbD9ZTVXMQ/edit#gid=1251630045"",""articles_with_PRISMA_reasons!B2:B2113""))&lt;2),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$A1023=IMPORTRANGE(""https://docs.google.com/spreadsheets/d/1BJSV3WBYJGRhQ6zExamkszQ5VutGIcaQqmbD9ZTVXMQ/edit#gid=1251630045"",""a"&amp;"rticles_with_PRISMA_reasons!B2:B2113""))&lt;2,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$A1023=IMPORTRANGE(""https://docs.google"&amp;".com/spreadsheets/d/1BJSV3WBYJGRhQ6zExamkszQ5VutGIcaQqmbD9ZTVXMQ/edit#gid=1251630045"",""articles_with_PRISMA_reasons!B2:B2113""))&gt;=2),
""Exclude""
)"),"Exclude")</f>
        <v>Exclude</v>
      </c>
      <c r="E1023" s="5" t="str">
        <f>IFERROR(__xludf.DUMMYFUNCTION("IFS(
D1023=""Exclude"",""Exclude"",
AND(
FILTER(IMPORTRANGE(""https://docs.google.com/spreadsheets/d/1qpEmbGH0JjaJbUdp21-y2cPbobDbMjr09BbtdKROZWc/edit#gid=1444865654"",""articles_with_PRISMA_reasons!W2:W2113""), $A1023=IMPORTRANGE(""https://docs.google.co"&amp;"m/spreadsheets/d/1qpEmbGH0JjaJbUdp21-y2cPbobDbMjr09BbtdKROZWc/edit#gid=1444865654"",""articles_with_PRISMA_reasons!B2:B2113""))&gt;=2,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$A1023=IMPORTRANGE(""https://docs.google.com/spreadsheets/d/1qpEmbGH0JjaJbUdp21-y2cPbobDbMjr09BbtdKROZWc/edit#gid=1444865654"",""articles_with_PRISMA_reasons!B2:B2113""))&lt;2),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$A1023=IMPORTRANGE(""https://docs.google.com/spreadsheets/d/1qpEmbGH0JjaJbUdp21-y2cPbobDbMjr09Bbtd"&amp;"KROZWc/edit#gid=1444865654"",""articles_with_PRISMA_reasons!B2:B2113""))&lt;2,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$A1023=I"&amp;"MPORTRANGE(""https://docs.google.com/spreadsheets/d/1qpEmbGH0JjaJbUdp21-y2cPbobDbMjr09BbtdKROZWc/edit#gid=1444865654"",""articles_with_PRISMA_reasons!B2:B2113""))&gt;=2),
""Exclude""
)"),"Exclude")</f>
        <v>Exclude</v>
      </c>
      <c r="F1023" s="5" t="str">
        <f>IFERROR(__xludf.DUMMYFUNCTION("IFS(
E1023=""Exclude"",""Exclude"",
AND(
COUNTIF(
IMPORTRANGE(""https://docs.google.com/spreadsheets/d/1kGrh75X1cNR1D7_FcY9zMnHP8iPO4M5RCRjy6nZY0TY/edit#gid=0"",""Table 1: Study characteristics!B4:B171""),A1023)&gt;0,
COUNTIF(Studies!$A$2:$A$85,FILTER(IMPORT"&amp;"RANGE(""https://docs.google.com/spreadsheets/d/1kGrh75X1cNR1D7_FcY9zMnHP8iPO4M5RCRjy6nZY0TY/edit#gid=0"",""Table 1: Study characteristics!A4:A171""), $A1023=IMPORTRANGE(""https://docs.google.com/spreadsheets/d/1kGrh75X1cNR1D7_FcY9zMnHP8iPO4M5RCRjy6nZY0TY/"&amp;"edit#gid=0"",""Table 1: Study characteristics!B4:B171"")))&gt;0
),
""Include""
)"),"Exclude")</f>
        <v>Exclude</v>
      </c>
      <c r="G1023" s="5" t="str">
        <f>IFERROR(__xludf.DUMMYFUNCTION("IFS(
D1023=""Exclude"",
FILTER(IMPORTRANGE(""https://docs.google.com/spreadsheets/d/1BJSV3WBYJGRhQ6zExamkszQ5VutGIcaQqmbD9ZTVXMQ/edit#gid=1251630045"",""articles_with_PRISMA_reasons!AB2:AB2113""), $A1023=IMPORTRANGE(""https://docs.google.com/spreadsheets/"&amp;"d/1BJSV3WBYJGRhQ6zExamkszQ5VutGIcaQqmbD9ZTVXMQ/edit#gid=1251630045"",""articles_with_PRISMA_reasons!B2:B2113"")),
E1023=""Exclude"",
FILTER(IMPORTRANGE(""https://docs.google.com/spreadsheets/d/1qpEmbGH0JjaJbUdp21-y2cPbobDbMjr09BbtdKROZWc/edit#gid=14448656"&amp;"54"",""articles_with_PRISMA_reasons!Z2:Z2113""), $A1023=IMPORTRANGE(""https://docs.google.com/spreadsheets/d/1qpEmbGH0JjaJbUdp21-y2cPbobDbMjr09BbtdKROZWc/edit#gid=1444865654"",""articles_with_PRISMA_reasons!B2:B2113"")),F1023
=""Include"",FILTER(IMPORTRAN"&amp;"GE(""https://docs.google.com/spreadsheets/d/1kGrh75X1cNR1D7_FcY9zMnHP8iPO4M5RCRjy6nZY0TY/edit#gid=0"",""Table 1: Study characteristics!A4:A171""), $A1023=IMPORTRANGE(""https://docs.google.com/spreadsheets/d/1kGrh75X1cNR1D7_FcY9zMnHP8iPO4M5RCRjy6nZY0TY/edi"&amp;"t#gid=0"",""Table 1: Study characteristics!B4:B171""))
)"),"wrong population")</f>
        <v>wrong population</v>
      </c>
    </row>
    <row r="1024">
      <c r="A1024" s="4" t="str">
        <f>IFERROR(__xludf.DUMMYFUNCTION("""COMPUTED_VALUE"""),"Intravenous and Intraventricular Daptomycin Plus Intravenous Linezolid Treatment of an Infant with Vancomycin-Resistant Enterococci-Induced Ventriculoperitoneal Shunt Infection")</f>
        <v>Intravenous and Intraventricular Daptomycin Plus Intravenous Linezolid Treatment of an Infant with Vancomycin-Resistant Enterococci-Induced Ventriculoperitoneal Shunt Infection</v>
      </c>
      <c r="B1024" s="5" t="str">
        <f>IFERROR(__xludf.DUMMYFUNCTION("LEFT(FILTER(IMPORTRANGE(""https://docs.google.com/spreadsheets/d/1BJSV3WBYJGRhQ6zExamkszQ5VutGIcaQqmbD9ZTVXMQ/edit#gid=1251630045"",""articles_with_PRISMA_reasons!K2:K2113""), $A1024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$A1024=IMPORTRANGE(""https://docs.google.com/spreadsheets/d/1BJSV3WBYJGRhQ6zExamkszQ5VutGIcaQqmbD9ZTVXMQ/edit#gid=1251630045"",""articles_with_PRISMA_reasons!B2:B2113"")))-1)"),"Sahin")</f>
        <v>Sahin</v>
      </c>
      <c r="C1024" s="6">
        <f>IFERROR(__xludf.DUMMYFUNCTION("FILTER(IMPORTRANGE(""https://docs.google.com/spreadsheets/d/1BJSV3WBYJGRhQ6zExamkszQ5VutGIcaQqmbD9ZTVXMQ/edit#gid=1251630045"",""articles_with_PRISMA_reasons!C2:C2113""), $A1024=IMPORTRANGE(""https://docs.google.com/spreadsheets/d/1BJSV3WBYJGRhQ6zExamkszQ"&amp;"5VutGIcaQqmbD9ZTVXMQ/edit#gid=1251630045"",""articles_with_PRISMA_reasons!B2:B2113""))"),2019.0)</f>
        <v>2019</v>
      </c>
      <c r="D1024" s="5" t="str">
        <f>IFERROR(__xludf.DUMMYFUNCTION("IFS(AND(
FILTER(IMPORTRANGE(""https://docs.google.com/spreadsheets/d/1BJSV3WBYJGRhQ6zExamkszQ5VutGIcaQqmbD9ZTVXMQ/edit#gid=1251630045"",""articles_with_PRISMA_reasons!Y2:Y2113""), $A1024=IMPORTRANGE(""https://docs.google.com/spreadsheets/d/1BJSV3WBYJGRhQ6"&amp;"zExamkszQ5VutGIcaQqmbD9ZTVXMQ/edit#gid=1251630045"",""articles_with_PRISMA_reasons!B2:B2113""))&gt;=2,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$A1024=IMPORTRANGE(""https://docs.google.com/spreadsheets/d/1BJSV3WBYJGRhQ6zExamkszQ5VutGIcaQqmbD9ZTVXMQ/edit#gid=1251630045"",""articles_with_PRISMA_reasons!B2:B2113""))&lt;2),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$A1024=IMPORTRANGE(""https://docs.google.com/spreadsheets/d/1BJSV3WBYJGRhQ6zExamkszQ5VutGIcaQqmbD9ZTVXMQ/edit#gid=1251630045"",""a"&amp;"rticles_with_PRISMA_reasons!B2:B2113""))&lt;2,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$A1024=IMPORTRANGE(""https://docs.google"&amp;".com/spreadsheets/d/1BJSV3WBYJGRhQ6zExamkszQ5VutGIcaQqmbD9ZTVXMQ/edit#gid=1251630045"",""articles_with_PRISMA_reasons!B2:B2113""))&gt;=2),
""Exclude""
)"),"Exclude")</f>
        <v>Exclude</v>
      </c>
      <c r="E1024" s="5" t="str">
        <f>IFERROR(__xludf.DUMMYFUNCTION("IFS(
D1024=""Exclude"",""Exclude"",
AND(
FILTER(IMPORTRANGE(""https://docs.google.com/spreadsheets/d/1qpEmbGH0JjaJbUdp21-y2cPbobDbMjr09BbtdKROZWc/edit#gid=1444865654"",""articles_with_PRISMA_reasons!W2:W2113""), $A1024=IMPORTRANGE(""https://docs.google.co"&amp;"m/spreadsheets/d/1qpEmbGH0JjaJbUdp21-y2cPbobDbMjr09BbtdKROZWc/edit#gid=1444865654"",""articles_with_PRISMA_reasons!B2:B2113""))&gt;=2,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$A1024=IMPORTRANGE(""https://docs.google.com/spreadsheets/d/1qpEmbGH0JjaJbUdp21-y2cPbobDbMjr09BbtdKROZWc/edit#gid=1444865654"",""articles_with_PRISMA_reasons!B2:B2113""))&lt;2),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$A1024=IMPORTRANGE(""https://docs.google.com/spreadsheets/d/1qpEmbGH0JjaJbUdp21-y2cPbobDbMjr09Bbtd"&amp;"KROZWc/edit#gid=1444865654"",""articles_with_PRISMA_reasons!B2:B2113""))&lt;2,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$A1024=I"&amp;"MPORTRANGE(""https://docs.google.com/spreadsheets/d/1qpEmbGH0JjaJbUdp21-y2cPbobDbMjr09BbtdKROZWc/edit#gid=1444865654"",""articles_with_PRISMA_reasons!B2:B2113""))&gt;=2),
""Exclude""
)"),"Exclude")</f>
        <v>Exclude</v>
      </c>
      <c r="F1024" s="5" t="str">
        <f>IFERROR(__xludf.DUMMYFUNCTION("IFS(
E1024=""Exclude"",""Exclude"",
AND(
COUNTIF(
IMPORTRANGE(""https://docs.google.com/spreadsheets/d/1kGrh75X1cNR1D7_FcY9zMnHP8iPO4M5RCRjy6nZY0TY/edit#gid=0"",""Table 1: Study characteristics!B4:B171""),A1024)&gt;0,
COUNTIF(Studies!$A$2:$A$85,FILTER(IMPORT"&amp;"RANGE(""https://docs.google.com/spreadsheets/d/1kGrh75X1cNR1D7_FcY9zMnHP8iPO4M5RCRjy6nZY0TY/edit#gid=0"",""Table 1: Study characteristics!A4:A171""), $A1024=IMPORTRANGE(""https://docs.google.com/spreadsheets/d/1kGrh75X1cNR1D7_FcY9zMnHP8iPO4M5RCRjy6nZY0TY/"&amp;"edit#gid=0"",""Table 1: Study characteristics!B4:B171"")))&gt;0
),
""Include""
)"),"Exclude")</f>
        <v>Exclude</v>
      </c>
      <c r="G1024" s="5" t="str">
        <f>IFERROR(__xludf.DUMMYFUNCTION("IFS(
D1024=""Exclude"",
FILTER(IMPORTRANGE(""https://docs.google.com/spreadsheets/d/1BJSV3WBYJGRhQ6zExamkszQ5VutGIcaQqmbD9ZTVXMQ/edit#gid=1251630045"",""articles_with_PRISMA_reasons!AB2:AB2113""), $A1024=IMPORTRANGE(""https://docs.google.com/spreadsheets/"&amp;"d/1BJSV3WBYJGRhQ6zExamkszQ5VutGIcaQqmbD9ZTVXMQ/edit#gid=1251630045"",""articles_with_PRISMA_reasons!B2:B2113"")),
E1024=""Exclude"",
FILTER(IMPORTRANGE(""https://docs.google.com/spreadsheets/d/1qpEmbGH0JjaJbUdp21-y2cPbobDbMjr09BbtdKROZWc/edit#gid=14448656"&amp;"54"",""articles_with_PRISMA_reasons!Z2:Z2113""), $A1024=IMPORTRANGE(""https://docs.google.com/spreadsheets/d/1qpEmbGH0JjaJbUdp21-y2cPbobDbMjr09BbtdKROZWc/edit#gid=1444865654"",""articles_with_PRISMA_reasons!B2:B2113"")),F1024
=""Include"",FILTER(IMPORTRAN"&amp;"GE(""https://docs.google.com/spreadsheets/d/1kGrh75X1cNR1D7_FcY9zMnHP8iPO4M5RCRjy6nZY0TY/edit#gid=0"",""Table 1: Study characteristics!A4:A171""), $A1024=IMPORTRANGE(""https://docs.google.com/spreadsheets/d/1kGrh75X1cNR1D7_FcY9zMnHP8iPO4M5RCRjy6nZY0TY/edi"&amp;"t#gid=0"",""Table 1: Study characteristics!B4:B171""))
)"),"wrong study design")</f>
        <v>wrong study design</v>
      </c>
    </row>
    <row r="1025">
      <c r="A1025" s="4" t="str">
        <f>IFERROR(__xludf.DUMMYFUNCTION("""COMPUTED_VALUE"""),"Intraventricular cephalothin in childhood ventriculitis")</f>
        <v>Intraventricular cephalothin in childhood ventriculitis</v>
      </c>
      <c r="B1025" s="5" t="str">
        <f>IFERROR(__xludf.DUMMYFUNCTION("LEFT(FILTER(IMPORTRANGE(""https://docs.google.com/spreadsheets/d/1BJSV3WBYJGRhQ6zExamkszQ5VutGIcaQqmbD9ZTVXMQ/edit#gid=1251630045"",""articles_with_PRISMA_reasons!K2:K2113""), $A1025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$A1025=IMPORTRANGE(""https://docs.google.com/spreadsheets/d/1BJSV3WBYJGRhQ6zExamkszQ5VutGIcaQqmbD9ZTVXMQ/edit#gid=1251630045"",""articles_with_PRISMA_reasons!B2:B2113"")))-1)"),"Simpson")</f>
        <v>Simpson</v>
      </c>
      <c r="C1025" s="6">
        <f>IFERROR(__xludf.DUMMYFUNCTION("FILTER(IMPORTRANGE(""https://docs.google.com/spreadsheets/d/1BJSV3WBYJGRhQ6zExamkszQ5VutGIcaQqmbD9ZTVXMQ/edit#gid=1251630045"",""articles_with_PRISMA_reasons!C2:C2113""), $A1025=IMPORTRANGE(""https://docs.google.com/spreadsheets/d/1BJSV3WBYJGRhQ6zExamkszQ"&amp;"5VutGIcaQqmbD9ZTVXMQ/edit#gid=1251630045"",""articles_with_PRISMA_reasons!B2:B2113""))"),1975.0)</f>
        <v>1975</v>
      </c>
      <c r="D1025" s="5" t="str">
        <f>IFERROR(__xludf.DUMMYFUNCTION("IFS(AND(
FILTER(IMPORTRANGE(""https://docs.google.com/spreadsheets/d/1BJSV3WBYJGRhQ6zExamkszQ5VutGIcaQqmbD9ZTVXMQ/edit#gid=1251630045"",""articles_with_PRISMA_reasons!Y2:Y2113""), $A1025=IMPORTRANGE(""https://docs.google.com/spreadsheets/d/1BJSV3WBYJGRhQ6"&amp;"zExamkszQ5VutGIcaQqmbD9ZTVXMQ/edit#gid=1251630045"",""articles_with_PRISMA_reasons!B2:B2113""))&gt;=2,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$A1025=IMPORTRANGE(""https://docs.google.com/spreadsheets/d/1BJSV3WBYJGRhQ6zExamkszQ5VutGIcaQqmbD9ZTVXMQ/edit#gid=1251630045"",""articles_with_PRISMA_reasons!B2:B2113""))&lt;2),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$A1025=IMPORTRANGE(""https://docs.google.com/spreadsheets/d/1BJSV3WBYJGRhQ6zExamkszQ5VutGIcaQqmbD9ZTVXMQ/edit#gid=1251630045"",""a"&amp;"rticles_with_PRISMA_reasons!B2:B2113""))&lt;2,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$A1025=IMPORTRANGE(""https://docs.google"&amp;".com/spreadsheets/d/1BJSV3WBYJGRhQ6zExamkszQ5VutGIcaQqmbD9ZTVXMQ/edit#gid=1251630045"",""articles_with_PRISMA_reasons!B2:B2113""))&gt;=2),
""Exclude""
)"),"Exclude")</f>
        <v>Exclude</v>
      </c>
      <c r="E1025" s="5" t="str">
        <f>IFERROR(__xludf.DUMMYFUNCTION("IFS(
D1025=""Exclude"",""Exclude"",
AND(
FILTER(IMPORTRANGE(""https://docs.google.com/spreadsheets/d/1qpEmbGH0JjaJbUdp21-y2cPbobDbMjr09BbtdKROZWc/edit#gid=1444865654"",""articles_with_PRISMA_reasons!W2:W2113""), $A1025=IMPORTRANGE(""https://docs.google.co"&amp;"m/spreadsheets/d/1qpEmbGH0JjaJbUdp21-y2cPbobDbMjr09BbtdKROZWc/edit#gid=1444865654"",""articles_with_PRISMA_reasons!B2:B2113""))&gt;=2,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$A1025=IMPORTRANGE(""https://docs.google.com/spreadsheets/d/1qpEmbGH0JjaJbUdp21-y2cPbobDbMjr09BbtdKROZWc/edit#gid=1444865654"",""articles_with_PRISMA_reasons!B2:B2113""))&lt;2),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$A1025=IMPORTRANGE(""https://docs.google.com/spreadsheets/d/1qpEmbGH0JjaJbUdp21-y2cPbobDbMjr09Bbtd"&amp;"KROZWc/edit#gid=1444865654"",""articles_with_PRISMA_reasons!B2:B2113""))&lt;2,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$A1025=I"&amp;"MPORTRANGE(""https://docs.google.com/spreadsheets/d/1qpEmbGH0JjaJbUdp21-y2cPbobDbMjr09BbtdKROZWc/edit#gid=1444865654"",""articles_with_PRISMA_reasons!B2:B2113""))&gt;=2),
""Exclude""
)"),"Exclude")</f>
        <v>Exclude</v>
      </c>
      <c r="F1025" s="5" t="str">
        <f>IFERROR(__xludf.DUMMYFUNCTION("IFS(
E1025=""Exclude"",""Exclude"",
AND(
COUNTIF(
IMPORTRANGE(""https://docs.google.com/spreadsheets/d/1kGrh75X1cNR1D7_FcY9zMnHP8iPO4M5RCRjy6nZY0TY/edit#gid=0"",""Table 1: Study characteristics!B4:B171""),A1025)&gt;0,
COUNTIF(Studies!$A$2:$A$85,FILTER(IMPORT"&amp;"RANGE(""https://docs.google.com/spreadsheets/d/1kGrh75X1cNR1D7_FcY9zMnHP8iPO4M5RCRjy6nZY0TY/edit#gid=0"",""Table 1: Study characteristics!A4:A171""), $A1025=IMPORTRANGE(""https://docs.google.com/spreadsheets/d/1kGrh75X1cNR1D7_FcY9zMnHP8iPO4M5RCRjy6nZY0TY/"&amp;"edit#gid=0"",""Table 1: Study characteristics!B4:B171"")))&gt;0
),
""Include""
)"),"Exclude")</f>
        <v>Exclude</v>
      </c>
      <c r="G1025" s="5" t="str">
        <f>IFERROR(__xludf.DUMMYFUNCTION("IFS(
D1025=""Exclude"",
FILTER(IMPORTRANGE(""https://docs.google.com/spreadsheets/d/1BJSV3WBYJGRhQ6zExamkszQ5VutGIcaQqmbD9ZTVXMQ/edit#gid=1251630045"",""articles_with_PRISMA_reasons!AB2:AB2113""), $A1025=IMPORTRANGE(""https://docs.google.com/spreadsheets/"&amp;"d/1BJSV3WBYJGRhQ6zExamkszQ5VutGIcaQqmbD9ZTVXMQ/edit#gid=1251630045"",""articles_with_PRISMA_reasons!B2:B2113"")),
E1025=""Exclude"",
FILTER(IMPORTRANGE(""https://docs.google.com/spreadsheets/d/1qpEmbGH0JjaJbUdp21-y2cPbobDbMjr09BbtdKROZWc/edit#gid=14448656"&amp;"54"",""articles_with_PRISMA_reasons!Z2:Z2113""), $A1025=IMPORTRANGE(""https://docs.google.com/spreadsheets/d/1qpEmbGH0JjaJbUdp21-y2cPbobDbMjr09BbtdKROZWc/edit#gid=1444865654"",""articles_with_PRISMA_reasons!B2:B2113"")),F1025
=""Include"",FILTER(IMPORTRAN"&amp;"GE(""https://docs.google.com/spreadsheets/d/1kGrh75X1cNR1D7_FcY9zMnHP8iPO4M5RCRjy6nZY0TY/edit#gid=0"",""Table 1: Study characteristics!A4:A171""), $A1025=IMPORTRANGE(""https://docs.google.com/spreadsheets/d/1kGrh75X1cNR1D7_FcY9zMnHP8iPO4M5RCRjy6nZY0TY/edi"&amp;"t#gid=0"",""Table 1: Study characteristics!B4:B171""))
)"),"wrong population")</f>
        <v>wrong population</v>
      </c>
    </row>
    <row r="1026">
      <c r="A1026" s="4" t="str">
        <f>IFERROR(__xludf.DUMMYFUNCTION("""COMPUTED_VALUE"""),"Intraventricular CSF Turbulence in Pediatric Communicating Hydrocephalus")</f>
        <v>Intraventricular CSF Turbulence in Pediatric Communicating Hydrocephalus</v>
      </c>
      <c r="B1026" s="5" t="str">
        <f>IFERROR(__xludf.DUMMYFUNCTION("LEFT(FILTER(IMPORTRANGE(""https://docs.google.com/spreadsheets/d/1BJSV3WBYJGRhQ6zExamkszQ5VutGIcaQqmbD9ZTVXMQ/edit#gid=1251630045"",""articles_with_PRISMA_reasons!K2:K2113""), $A1026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$A1026=IMPORTRANGE(""https://docs.google.com/spreadsheets/d/1BJSV3WBYJGRhQ6zExamkszQ5VutGIcaQqmbD9ZTVXMQ/edit#gid=1251630045"",""articles_with_PRISMA_reasons!B2:B2113"")))-1)"),"Duy")</f>
        <v>Duy</v>
      </c>
      <c r="C1026" s="6">
        <f>IFERROR(__xludf.DUMMYFUNCTION("FILTER(IMPORTRANGE(""https://docs.google.com/spreadsheets/d/1BJSV3WBYJGRhQ6zExamkszQ5VutGIcaQqmbD9ZTVXMQ/edit#gid=1251630045"",""articles_with_PRISMA_reasons!C2:C2113""), $A1026=IMPORTRANGE(""https://docs.google.com/spreadsheets/d/1BJSV3WBYJGRhQ6zExamkszQ"&amp;"5VutGIcaQqmbD9ZTVXMQ/edit#gid=1251630045"",""articles_with_PRISMA_reasons!B2:B2113""))"),2021.0)</f>
        <v>2021</v>
      </c>
      <c r="D1026" s="5" t="str">
        <f>IFERROR(__xludf.DUMMYFUNCTION("IFS(AND(
FILTER(IMPORTRANGE(""https://docs.google.com/spreadsheets/d/1BJSV3WBYJGRhQ6zExamkszQ5VutGIcaQqmbD9ZTVXMQ/edit#gid=1251630045"",""articles_with_PRISMA_reasons!Y2:Y2113""), $A1026=IMPORTRANGE(""https://docs.google.com/spreadsheets/d/1BJSV3WBYJGRhQ6"&amp;"zExamkszQ5VutGIcaQqmbD9ZTVXMQ/edit#gid=1251630045"",""articles_with_PRISMA_reasons!B2:B2113""))&gt;=2,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$A1026=IMPORTRANGE(""https://docs.google.com/spreadsheets/d/1BJSV3WBYJGRhQ6zExamkszQ5VutGIcaQqmbD9ZTVXMQ/edit#gid=1251630045"",""articles_with_PRISMA_reasons!B2:B2113""))&lt;2),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$A1026=IMPORTRANGE(""https://docs.google.com/spreadsheets/d/1BJSV3WBYJGRhQ6zExamkszQ5VutGIcaQqmbD9ZTVXMQ/edit#gid=1251630045"",""a"&amp;"rticles_with_PRISMA_reasons!B2:B2113""))&lt;2,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$A1026=IMPORTRANGE(""https://docs.google"&amp;".com/spreadsheets/d/1BJSV3WBYJGRhQ6zExamkszQ5VutGIcaQqmbD9ZTVXMQ/edit#gid=1251630045"",""articles_with_PRISMA_reasons!B2:B2113""))&gt;=2),
""Exclude""
)"),"Exclude")</f>
        <v>Exclude</v>
      </c>
      <c r="E1026" s="5" t="str">
        <f>IFERROR(__xludf.DUMMYFUNCTION("IFS(
D1026=""Exclude"",""Exclude"",
AND(
FILTER(IMPORTRANGE(""https://docs.google.com/spreadsheets/d/1qpEmbGH0JjaJbUdp21-y2cPbobDbMjr09BbtdKROZWc/edit#gid=1444865654"",""articles_with_PRISMA_reasons!W2:W2113""), $A1026=IMPORTRANGE(""https://docs.google.co"&amp;"m/spreadsheets/d/1qpEmbGH0JjaJbUdp21-y2cPbobDbMjr09BbtdKROZWc/edit#gid=1444865654"",""articles_with_PRISMA_reasons!B2:B2113""))&gt;=2,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$A1026=IMPORTRANGE(""https://docs.google.com/spreadsheets/d/1qpEmbGH0JjaJbUdp21-y2cPbobDbMjr09BbtdKROZWc/edit#gid=1444865654"",""articles_with_PRISMA_reasons!B2:B2113""))&lt;2),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$A1026=IMPORTRANGE(""https://docs.google.com/spreadsheets/d/1qpEmbGH0JjaJbUdp21-y2cPbobDbMjr09Bbtd"&amp;"KROZWc/edit#gid=1444865654"",""articles_with_PRISMA_reasons!B2:B2113""))&lt;2,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$A1026=I"&amp;"MPORTRANGE(""https://docs.google.com/spreadsheets/d/1qpEmbGH0JjaJbUdp21-y2cPbobDbMjr09BbtdKROZWc/edit#gid=1444865654"",""articles_with_PRISMA_reasons!B2:B2113""))&gt;=2),
""Exclude""
)"),"Exclude")</f>
        <v>Exclude</v>
      </c>
      <c r="F1026" s="5" t="str">
        <f>IFERROR(__xludf.DUMMYFUNCTION("IFS(
E1026=""Exclude"",""Exclude"",
AND(
COUNTIF(
IMPORTRANGE(""https://docs.google.com/spreadsheets/d/1kGrh75X1cNR1D7_FcY9zMnHP8iPO4M5RCRjy6nZY0TY/edit#gid=0"",""Table 1: Study characteristics!B4:B171""),A1026)&gt;0,
COUNTIF(Studies!$A$2:$A$85,FILTER(IMPORT"&amp;"RANGE(""https://docs.google.com/spreadsheets/d/1kGrh75X1cNR1D7_FcY9zMnHP8iPO4M5RCRjy6nZY0TY/edit#gid=0"",""Table 1: Study characteristics!A4:A171""), $A1026=IMPORTRANGE(""https://docs.google.com/spreadsheets/d/1kGrh75X1cNR1D7_FcY9zMnHP8iPO4M5RCRjy6nZY0TY/"&amp;"edit#gid=0"",""Table 1: Study characteristics!B4:B171"")))&gt;0
),
""Include""
)"),"Exclude")</f>
        <v>Exclude</v>
      </c>
      <c r="G1026" s="5" t="str">
        <f>IFERROR(__xludf.DUMMYFUNCTION("IFS(
D1026=""Exclude"",
FILTER(IMPORTRANGE(""https://docs.google.com/spreadsheets/d/1BJSV3WBYJGRhQ6zExamkszQ5VutGIcaQqmbD9ZTVXMQ/edit#gid=1251630045"",""articles_with_PRISMA_reasons!AB2:AB2113""), $A1026=IMPORTRANGE(""https://docs.google.com/spreadsheets/"&amp;"d/1BJSV3WBYJGRhQ6zExamkszQ5VutGIcaQqmbD9ZTVXMQ/edit#gid=1251630045"",""articles_with_PRISMA_reasons!B2:B2113"")),
E1026=""Exclude"",
FILTER(IMPORTRANGE(""https://docs.google.com/spreadsheets/d/1qpEmbGH0JjaJbUdp21-y2cPbobDbMjr09BbtdKROZWc/edit#gid=14448656"&amp;"54"",""articles_with_PRISMA_reasons!Z2:Z2113""), $A1026=IMPORTRANGE(""https://docs.google.com/spreadsheets/d/1qpEmbGH0JjaJbUdp21-y2cPbobDbMjr09BbtdKROZWc/edit#gid=1444865654"",""articles_with_PRISMA_reasons!B2:B2113"")),F1026
=""Include"",FILTER(IMPORTRAN"&amp;"GE(""https://docs.google.com/spreadsheets/d/1kGrh75X1cNR1D7_FcY9zMnHP8iPO4M5RCRjy6nZY0TY/edit#gid=0"",""Table 1: Study characteristics!A4:A171""), $A1026=IMPORTRANGE(""https://docs.google.com/spreadsheets/d/1kGrh75X1cNR1D7_FcY9zMnHP8iPO4M5RCRjy6nZY0TY/edi"&amp;"t#gid=0"",""Table 1: Study characteristics!B4:B171""))
)"),"wrong study design")</f>
        <v>wrong study design</v>
      </c>
    </row>
    <row r="1027">
      <c r="A1027" s="4" t="str">
        <f>IFERROR(__xludf.DUMMYFUNCTION("""COMPUTED_VALUE"""),"Intraventricular reservoir application in neonates with progressive hydrocephalus")</f>
        <v>Intraventricular reservoir application in neonates with progressive hydrocephalus</v>
      </c>
      <c r="B1027" s="5" t="str">
        <f>IFERROR(__xludf.DUMMYFUNCTION("LEFT(FILTER(IMPORTRANGE(""https://docs.google.com/spreadsheets/d/1BJSV3WBYJGRhQ6zExamkszQ5VutGIcaQqmbD9ZTVXMQ/edit#gid=1251630045"",""articles_with_PRISMA_reasons!K2:K2113""), $A1027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$A1027=IMPORTRANGE(""https://docs.google.com/spreadsheets/d/1BJSV3WBYJGRhQ6zExamkszQ5VutGIcaQqmbD9ZTVXMQ/edit#gid=1251630045"",""articles_with_PRISMA_reasons!B2:B2113"")))-1)"),"Ozdemir")</f>
        <v>Ozdemir</v>
      </c>
      <c r="C1027" s="6">
        <f>IFERROR(__xludf.DUMMYFUNCTION("FILTER(IMPORTRANGE(""https://docs.google.com/spreadsheets/d/1BJSV3WBYJGRhQ6zExamkszQ5VutGIcaQqmbD9ZTVXMQ/edit#gid=1251630045"",""articles_with_PRISMA_reasons!C2:C2113""), $A1027=IMPORTRANGE(""https://docs.google.com/spreadsheets/d/1BJSV3WBYJGRhQ6zExamkszQ"&amp;"5VutGIcaQqmbD9ZTVXMQ/edit#gid=1251630045"",""articles_with_PRISMA_reasons!B2:B2113""))"),2013.0)</f>
        <v>2013</v>
      </c>
      <c r="D1027" s="5" t="str">
        <f>IFERROR(__xludf.DUMMYFUNCTION("IFS(AND(
FILTER(IMPORTRANGE(""https://docs.google.com/spreadsheets/d/1BJSV3WBYJGRhQ6zExamkszQ5VutGIcaQqmbD9ZTVXMQ/edit#gid=1251630045"",""articles_with_PRISMA_reasons!Y2:Y2113""), $A1027=IMPORTRANGE(""https://docs.google.com/spreadsheets/d/1BJSV3WBYJGRhQ6"&amp;"zExamkszQ5VutGIcaQqmbD9ZTVXMQ/edit#gid=1251630045"",""articles_with_PRISMA_reasons!B2:B2113""))&gt;=2,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$A1027=IMPORTRANGE(""https://docs.google.com/spreadsheets/d/1BJSV3WBYJGRhQ6zExamkszQ5VutGIcaQqmbD9ZTVXMQ/edit#gid=1251630045"",""articles_with_PRISMA_reasons!B2:B2113""))&lt;2),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$A1027=IMPORTRANGE(""https://docs.google.com/spreadsheets/d/1BJSV3WBYJGRhQ6zExamkszQ5VutGIcaQqmbD9ZTVXMQ/edit#gid=1251630045"",""a"&amp;"rticles_with_PRISMA_reasons!B2:B2113""))&lt;2,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$A1027=IMPORTRANGE(""https://docs.google"&amp;".com/spreadsheets/d/1BJSV3WBYJGRhQ6zExamkszQ5VutGIcaQqmbD9ZTVXMQ/edit#gid=1251630045"",""articles_with_PRISMA_reasons!B2:B2113""))&gt;=2),
""Exclude""
)"),"Include")</f>
        <v>Include</v>
      </c>
      <c r="E1027" s="5" t="str">
        <f>IFERROR(__xludf.DUMMYFUNCTION("IFS(
D1027=""Exclude"",""Exclude"",
AND(
FILTER(IMPORTRANGE(""https://docs.google.com/spreadsheets/d/1qpEmbGH0JjaJbUdp21-y2cPbobDbMjr09BbtdKROZWc/edit#gid=1444865654"",""articles_with_PRISMA_reasons!W2:W2113""), $A1027=IMPORTRANGE(""https://docs.google.co"&amp;"m/spreadsheets/d/1qpEmbGH0JjaJbUdp21-y2cPbobDbMjr09BbtdKROZWc/edit#gid=1444865654"",""articles_with_PRISMA_reasons!B2:B2113""))&gt;=2,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$A1027=IMPORTRANGE(""https://docs.google.com/spreadsheets/d/1qpEmbGH0JjaJbUdp21-y2cPbobDbMjr09BbtdKROZWc/edit#gid=1444865654"",""articles_with_PRISMA_reasons!B2:B2113""))&lt;2),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$A1027=IMPORTRANGE(""https://docs.google.com/spreadsheets/d/1qpEmbGH0JjaJbUdp21-y2cPbobDbMjr09Bbtd"&amp;"KROZWc/edit#gid=1444865654"",""articles_with_PRISMA_reasons!B2:B2113""))&lt;2,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$A1027=I"&amp;"MPORTRANGE(""https://docs.google.com/spreadsheets/d/1qpEmbGH0JjaJbUdp21-y2cPbobDbMjr09BbtdKROZWc/edit#gid=1444865654"",""articles_with_PRISMA_reasons!B2:B2113""))&gt;=2),
""Exclude""
)"),"Exclude")</f>
        <v>Exclude</v>
      </c>
      <c r="F1027" s="5" t="str">
        <f>IFERROR(__xludf.DUMMYFUNCTION("IFS(
E1027=""Exclude"",""Exclude"",
AND(
COUNTIF(
IMPORTRANGE(""https://docs.google.com/spreadsheets/d/1kGrh75X1cNR1D7_FcY9zMnHP8iPO4M5RCRjy6nZY0TY/edit#gid=0"",""Table 1: Study characteristics!B4:B171""),A1027)&gt;0,
COUNTIF(Studies!$A$2:$A$85,FILTER(IMPORT"&amp;"RANGE(""https://docs.google.com/spreadsheets/d/1kGrh75X1cNR1D7_FcY9zMnHP8iPO4M5RCRjy6nZY0TY/edit#gid=0"",""Table 1: Study characteristics!A4:A171""), $A1027=IMPORTRANGE(""https://docs.google.com/spreadsheets/d/1kGrh75X1cNR1D7_FcY9zMnHP8iPO4M5RCRjy6nZY0TY/"&amp;"edit#gid=0"",""Table 1: Study characteristics!B4:B171"")))&gt;0
),
""Include""
)"),"Exclude")</f>
        <v>Exclude</v>
      </c>
      <c r="G1027" s="5" t="str">
        <f>IFERROR(__xludf.DUMMYFUNCTION("IFS(
D1027=""Exclude"",
FILTER(IMPORTRANGE(""https://docs.google.com/spreadsheets/d/1BJSV3WBYJGRhQ6zExamkszQ5VutGIcaQqmbD9ZTVXMQ/edit#gid=1251630045"",""articles_with_PRISMA_reasons!AB2:AB2113""), $A1027=IMPORTRANGE(""https://docs.google.com/spreadsheets/"&amp;"d/1BJSV3WBYJGRhQ6zExamkszQ5VutGIcaQqmbD9ZTVXMQ/edit#gid=1251630045"",""articles_with_PRISMA_reasons!B2:B2113"")),
E1027=""Exclude"",
FILTER(IMPORTRANGE(""https://docs.google.com/spreadsheets/d/1qpEmbGH0JjaJbUdp21-y2cPbobDbMjr09BbtdKROZWc/edit#gid=14448656"&amp;"54"",""articles_with_PRISMA_reasons!Z2:Z2113""), $A1027=IMPORTRANGE(""https://docs.google.com/spreadsheets/d/1qpEmbGH0JjaJbUdp21-y2cPbobDbMjr09BbtdKROZWc/edit#gid=1444865654"",""articles_with_PRISMA_reasons!B2:B2113"")),F1027
=""Include"",FILTER(IMPORTRAN"&amp;"GE(""https://docs.google.com/spreadsheets/d/1kGrh75X1cNR1D7_FcY9zMnHP8iPO4M5RCRjy6nZY0TY/edit#gid=0"",""Table 1: Study characteristics!A4:A171""), $A1027=IMPORTRANGE(""https://docs.google.com/spreadsheets/d/1kGrh75X1cNR1D7_FcY9zMnHP8iPO4M5RCRjy6nZY0TY/edi"&amp;"t#gid=0"",""Table 1: Study characteristics!B4:B171""))
)"),"wrong population")</f>
        <v>wrong population</v>
      </c>
    </row>
    <row r="1028">
      <c r="A1028" s="4" t="str">
        <f>IFERROR(__xludf.DUMMYFUNCTION("""COMPUTED_VALUE"""),"Investigation of copeptin levels in foetal congenital central nervous system anomalies")</f>
        <v>Investigation of copeptin levels in foetal congenital central nervous system anomalies</v>
      </c>
      <c r="B1028" s="5" t="str">
        <f>IFERROR(__xludf.DUMMYFUNCTION("LEFT(FILTER(IMPORTRANGE(""https://docs.google.com/spreadsheets/d/1BJSV3WBYJGRhQ6zExamkszQ5VutGIcaQqmbD9ZTVXMQ/edit#gid=1251630045"",""articles_with_PRISMA_reasons!K2:K2113""), $A1028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$A1028=IMPORTRANGE(""https://docs.google.com/spreadsheets/d/1BJSV3WBYJGRhQ6zExamkszQ5VutGIcaQqmbD9ZTVXMQ/edit#gid=1251630045"",""articles_with_PRISMA_reasons!B2:B2113"")))-1)"),"Cilgin")</f>
        <v>Cilgin</v>
      </c>
      <c r="C1028" s="6">
        <f>IFERROR(__xludf.DUMMYFUNCTION("FILTER(IMPORTRANGE(""https://docs.google.com/spreadsheets/d/1BJSV3WBYJGRhQ6zExamkszQ5VutGIcaQqmbD9ZTVXMQ/edit#gid=1251630045"",""articles_with_PRISMA_reasons!C2:C2113""), $A1028=IMPORTRANGE(""https://docs.google.com/spreadsheets/d/1BJSV3WBYJGRhQ6zExamkszQ"&amp;"5VutGIcaQqmbD9ZTVXMQ/edit#gid=1251630045"",""articles_with_PRISMA_reasons!B2:B2113""))"),2021.0)</f>
        <v>2021</v>
      </c>
      <c r="D1028" s="5" t="str">
        <f>IFERROR(__xludf.DUMMYFUNCTION("IFS(AND(
FILTER(IMPORTRANGE(""https://docs.google.com/spreadsheets/d/1BJSV3WBYJGRhQ6zExamkszQ5VutGIcaQqmbD9ZTVXMQ/edit#gid=1251630045"",""articles_with_PRISMA_reasons!Y2:Y2113""), $A1028=IMPORTRANGE(""https://docs.google.com/spreadsheets/d/1BJSV3WBYJGRhQ6"&amp;"zExamkszQ5VutGIcaQqmbD9ZTVXMQ/edit#gid=1251630045"",""articles_with_PRISMA_reasons!B2:B2113""))&gt;=2,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$A1028=IMPORTRANGE(""https://docs.google.com/spreadsheets/d/1BJSV3WBYJGRhQ6zExamkszQ5VutGIcaQqmbD9ZTVXMQ/edit#gid=1251630045"",""articles_with_PRISMA_reasons!B2:B2113""))&lt;2),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$A1028=IMPORTRANGE(""https://docs.google.com/spreadsheets/d/1BJSV3WBYJGRhQ6zExamkszQ5VutGIcaQqmbD9ZTVXMQ/edit#gid=1251630045"",""a"&amp;"rticles_with_PRISMA_reasons!B2:B2113""))&lt;2,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$A1028=IMPORTRANGE(""https://docs.google"&amp;".com/spreadsheets/d/1BJSV3WBYJGRhQ6zExamkszQ5VutGIcaQqmbD9ZTVXMQ/edit#gid=1251630045"",""articles_with_PRISMA_reasons!B2:B2113""))&gt;=2),
""Exclude""
)"),"Exclude")</f>
        <v>Exclude</v>
      </c>
      <c r="E1028" s="5" t="str">
        <f>IFERROR(__xludf.DUMMYFUNCTION("IFS(
D1028=""Exclude"",""Exclude"",
AND(
FILTER(IMPORTRANGE(""https://docs.google.com/spreadsheets/d/1qpEmbGH0JjaJbUdp21-y2cPbobDbMjr09BbtdKROZWc/edit#gid=1444865654"",""articles_with_PRISMA_reasons!W2:W2113""), $A1028=IMPORTRANGE(""https://docs.google.co"&amp;"m/spreadsheets/d/1qpEmbGH0JjaJbUdp21-y2cPbobDbMjr09BbtdKROZWc/edit#gid=1444865654"",""articles_with_PRISMA_reasons!B2:B2113""))&gt;=2,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$A1028=IMPORTRANGE(""https://docs.google.com/spreadsheets/d/1qpEmbGH0JjaJbUdp21-y2cPbobDbMjr09BbtdKROZWc/edit#gid=1444865654"",""articles_with_PRISMA_reasons!B2:B2113""))&lt;2),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$A1028=IMPORTRANGE(""https://docs.google.com/spreadsheets/d/1qpEmbGH0JjaJbUdp21-y2cPbobDbMjr09Bbtd"&amp;"KROZWc/edit#gid=1444865654"",""articles_with_PRISMA_reasons!B2:B2113""))&lt;2,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$A1028=I"&amp;"MPORTRANGE(""https://docs.google.com/spreadsheets/d/1qpEmbGH0JjaJbUdp21-y2cPbobDbMjr09BbtdKROZWc/edit#gid=1444865654"",""articles_with_PRISMA_reasons!B2:B2113""))&gt;=2),
""Exclude""
)"),"Exclude")</f>
        <v>Exclude</v>
      </c>
      <c r="F1028" s="5" t="str">
        <f>IFERROR(__xludf.DUMMYFUNCTION("IFS(
E1028=""Exclude"",""Exclude"",
AND(
COUNTIF(
IMPORTRANGE(""https://docs.google.com/spreadsheets/d/1kGrh75X1cNR1D7_FcY9zMnHP8iPO4M5RCRjy6nZY0TY/edit#gid=0"",""Table 1: Study characteristics!B4:B171""),A1028)&gt;0,
COUNTIF(Studies!$A$2:$A$85,FILTER(IMPORT"&amp;"RANGE(""https://docs.google.com/spreadsheets/d/1kGrh75X1cNR1D7_FcY9zMnHP8iPO4M5RCRjy6nZY0TY/edit#gid=0"",""Table 1: Study characteristics!A4:A171""), $A1028=IMPORTRANGE(""https://docs.google.com/spreadsheets/d/1kGrh75X1cNR1D7_FcY9zMnHP8iPO4M5RCRjy6nZY0TY/"&amp;"edit#gid=0"",""Table 1: Study characteristics!B4:B171"")))&gt;0
),
""Include""
)"),"Exclude")</f>
        <v>Exclude</v>
      </c>
      <c r="G1028" s="5" t="str">
        <f>IFERROR(__xludf.DUMMYFUNCTION("IFS(
D1028=""Exclude"",
FILTER(IMPORTRANGE(""https://docs.google.com/spreadsheets/d/1BJSV3WBYJGRhQ6zExamkszQ5VutGIcaQqmbD9ZTVXMQ/edit#gid=1251630045"",""articles_with_PRISMA_reasons!AB2:AB2113""), $A1028=IMPORTRANGE(""https://docs.google.com/spreadsheets/"&amp;"d/1BJSV3WBYJGRhQ6zExamkszQ5VutGIcaQqmbD9ZTVXMQ/edit#gid=1251630045"",""articles_with_PRISMA_reasons!B2:B2113"")),
E1028=""Exclude"",
FILTER(IMPORTRANGE(""https://docs.google.com/spreadsheets/d/1qpEmbGH0JjaJbUdp21-y2cPbobDbMjr09BbtdKROZWc/edit#gid=14448656"&amp;"54"",""articles_with_PRISMA_reasons!Z2:Z2113""), $A1028=IMPORTRANGE(""https://docs.google.com/spreadsheets/d/1qpEmbGH0JjaJbUdp21-y2cPbobDbMjr09BbtdKROZWc/edit#gid=1444865654"",""articles_with_PRISMA_reasons!B2:B2113"")),F1028
=""Include"",FILTER(IMPORTRAN"&amp;"GE(""https://docs.google.com/spreadsheets/d/1kGrh75X1cNR1D7_FcY9zMnHP8iPO4M5RCRjy6nZY0TY/edit#gid=0"",""Table 1: Study characteristics!A4:A171""), $A1028=IMPORTRANGE(""https://docs.google.com/spreadsheets/d/1kGrh75X1cNR1D7_FcY9zMnHP8iPO4M5RCRjy6nZY0TY/edi"&amp;"t#gid=0"",""Table 1: Study characteristics!B4:B171""))
)"),"wrong study design")</f>
        <v>wrong study design</v>
      </c>
    </row>
    <row r="1029">
      <c r="A1029" s="4" t="str">
        <f>IFERROR(__xludf.DUMMYFUNCTION("""COMPUTED_VALUE"""),"Investigations as a prerequisite for genetic counseling after termination of pregnancy based on sonographic detection of serious central nervous system - Or skeletal anomalies")</f>
        <v>Investigations as a prerequisite for genetic counseling after termination of pregnancy based on sonographic detection of serious central nervous system - Or skeletal anomalies</v>
      </c>
      <c r="B1029" s="5" t="str">
        <f>IFERROR(__xludf.DUMMYFUNCTION("LEFT(FILTER(IMPORTRANGE(""https://docs.google.com/spreadsheets/d/1BJSV3WBYJGRhQ6zExamkszQ5VutGIcaQqmbD9ZTVXMQ/edit#gid=1251630045"",""articles_with_PRISMA_reasons!K2:K2113""), $A1029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$A1029=IMPORTRANGE(""https://docs.google.com/spreadsheets/d/1BJSV3WBYJGRhQ6zExamkszQ5VutGIcaQqmbD9ZTVXMQ/edit#gid=1251630045"",""articles_with_PRISMA_reasons!B2:B2113"")))-1)"),"Prescott")</f>
        <v>Prescott</v>
      </c>
      <c r="C1029" s="6">
        <f>IFERROR(__xludf.DUMMYFUNCTION("FILTER(IMPORTRANGE(""https://docs.google.com/spreadsheets/d/1BJSV3WBYJGRhQ6zExamkszQ5VutGIcaQqmbD9ZTVXMQ/edit#gid=1251630045"",""articles_with_PRISMA_reasons!C2:C2113""), $A1029=IMPORTRANGE(""https://docs.google.com/spreadsheets/d/1BJSV3WBYJGRhQ6zExamkszQ"&amp;"5VutGIcaQqmbD9ZTVXMQ/edit#gid=1251630045"",""articles_with_PRISMA_reasons!B2:B2113""))"),2008.0)</f>
        <v>2008</v>
      </c>
      <c r="D1029" s="5" t="str">
        <f>IFERROR(__xludf.DUMMYFUNCTION("IFS(AND(
FILTER(IMPORTRANGE(""https://docs.google.com/spreadsheets/d/1BJSV3WBYJGRhQ6zExamkszQ5VutGIcaQqmbD9ZTVXMQ/edit#gid=1251630045"",""articles_with_PRISMA_reasons!Y2:Y2113""), $A1029=IMPORTRANGE(""https://docs.google.com/spreadsheets/d/1BJSV3WBYJGRhQ6"&amp;"zExamkszQ5VutGIcaQqmbD9ZTVXMQ/edit#gid=1251630045"",""articles_with_PRISMA_reasons!B2:B2113""))&gt;=2,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$A1029=IMPORTRANGE(""https://docs.google.com/spreadsheets/d/1BJSV3WBYJGRhQ6zExamkszQ5VutGIcaQqmbD9ZTVXMQ/edit#gid=1251630045"",""articles_with_PRISMA_reasons!B2:B2113""))&lt;2),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$A1029=IMPORTRANGE(""https://docs.google.com/spreadsheets/d/1BJSV3WBYJGRhQ6zExamkszQ5VutGIcaQqmbD9ZTVXMQ/edit#gid=1251630045"",""a"&amp;"rticles_with_PRISMA_reasons!B2:B2113""))&lt;2,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$A1029=IMPORTRANGE(""https://docs.google"&amp;".com/spreadsheets/d/1BJSV3WBYJGRhQ6zExamkszQ5VutGIcaQqmbD9ZTVXMQ/edit#gid=1251630045"",""articles_with_PRISMA_reasons!B2:B2113""))&gt;=2),
""Exclude""
)"),"Exclude")</f>
        <v>Exclude</v>
      </c>
      <c r="E1029" s="5" t="str">
        <f>IFERROR(__xludf.DUMMYFUNCTION("IFS(
D1029=""Exclude"",""Exclude"",
AND(
FILTER(IMPORTRANGE(""https://docs.google.com/spreadsheets/d/1qpEmbGH0JjaJbUdp21-y2cPbobDbMjr09BbtdKROZWc/edit#gid=1444865654"",""articles_with_PRISMA_reasons!W2:W2113""), $A1029=IMPORTRANGE(""https://docs.google.co"&amp;"m/spreadsheets/d/1qpEmbGH0JjaJbUdp21-y2cPbobDbMjr09BbtdKROZWc/edit#gid=1444865654"",""articles_with_PRISMA_reasons!B2:B2113""))&gt;=2,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$A1029=IMPORTRANGE(""https://docs.google.com/spreadsheets/d/1qpEmbGH0JjaJbUdp21-y2cPbobDbMjr09BbtdKROZWc/edit#gid=1444865654"",""articles_with_PRISMA_reasons!B2:B2113""))&lt;2),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$A1029=IMPORTRANGE(""https://docs.google.com/spreadsheets/d/1qpEmbGH0JjaJbUdp21-y2cPbobDbMjr09Bbtd"&amp;"KROZWc/edit#gid=1444865654"",""articles_with_PRISMA_reasons!B2:B2113""))&lt;2,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$A1029=I"&amp;"MPORTRANGE(""https://docs.google.com/spreadsheets/d/1qpEmbGH0JjaJbUdp21-y2cPbobDbMjr09BbtdKROZWc/edit#gid=1444865654"",""articles_with_PRISMA_reasons!B2:B2113""))&gt;=2),
""Exclude""
)"),"Exclude")</f>
        <v>Exclude</v>
      </c>
      <c r="F1029" s="5" t="str">
        <f>IFERROR(__xludf.DUMMYFUNCTION("IFS(
E1029=""Exclude"",""Exclude"",
AND(
COUNTIF(
IMPORTRANGE(""https://docs.google.com/spreadsheets/d/1kGrh75X1cNR1D7_FcY9zMnHP8iPO4M5RCRjy6nZY0TY/edit#gid=0"",""Table 1: Study characteristics!B4:B171""),A1029)&gt;0,
COUNTIF(Studies!$A$2:$A$85,FILTER(IMPORT"&amp;"RANGE(""https://docs.google.com/spreadsheets/d/1kGrh75X1cNR1D7_FcY9zMnHP8iPO4M5RCRjy6nZY0TY/edit#gid=0"",""Table 1: Study characteristics!A4:A171""), $A1029=IMPORTRANGE(""https://docs.google.com/spreadsheets/d/1kGrh75X1cNR1D7_FcY9zMnHP8iPO4M5RCRjy6nZY0TY/"&amp;"edit#gid=0"",""Table 1: Study characteristics!B4:B171"")))&gt;0
),
""Include""
)"),"Exclude")</f>
        <v>Exclude</v>
      </c>
      <c r="G1029" s="5" t="str">
        <f>IFERROR(__xludf.DUMMYFUNCTION("IFS(
D1029=""Exclude"",
FILTER(IMPORTRANGE(""https://docs.google.com/spreadsheets/d/1BJSV3WBYJGRhQ6zExamkszQ5VutGIcaQqmbD9ZTVXMQ/edit#gid=1251630045"",""articles_with_PRISMA_reasons!AB2:AB2113""), $A1029=IMPORTRANGE(""https://docs.google.com/spreadsheets/"&amp;"d/1BJSV3WBYJGRhQ6zExamkszQ5VutGIcaQqmbD9ZTVXMQ/edit#gid=1251630045"",""articles_with_PRISMA_reasons!B2:B2113"")),
E1029=""Exclude"",
FILTER(IMPORTRANGE(""https://docs.google.com/spreadsheets/d/1qpEmbGH0JjaJbUdp21-y2cPbobDbMjr09BbtdKROZWc/edit#gid=14448656"&amp;"54"",""articles_with_PRISMA_reasons!Z2:Z2113""), $A1029=IMPORTRANGE(""https://docs.google.com/spreadsheets/d/1qpEmbGH0JjaJbUdp21-y2cPbobDbMjr09BbtdKROZWc/edit#gid=1444865654"",""articles_with_PRISMA_reasons!B2:B2113"")),F1029
=""Include"",FILTER(IMPORTRAN"&amp;"GE(""https://docs.google.com/spreadsheets/d/1kGrh75X1cNR1D7_FcY9zMnHP8iPO4M5RCRjy6nZY0TY/edit#gid=0"",""Table 1: Study characteristics!A4:A171""), $A1029=IMPORTRANGE(""https://docs.google.com/spreadsheets/d/1kGrh75X1cNR1D7_FcY9zMnHP8iPO4M5RCRjy6nZY0TY/edi"&amp;"t#gid=0"",""Table 1: Study characteristics!B4:B171""))
)"),"wrong population")</f>
        <v>wrong population</v>
      </c>
    </row>
    <row r="1030">
      <c r="A1030" s="4" t="str">
        <f>IFERROR(__xludf.DUMMYFUNCTION("""COMPUTED_VALUE"""),"IQ in hydrocephalus and myelomeningocele. Implications of surgical treatment")</f>
        <v>IQ in hydrocephalus and myelomeningocele. Implications of surgical treatment</v>
      </c>
      <c r="B1030" s="5" t="str">
        <f>IFERROR(__xludf.DUMMYFUNCTION("LEFT(FILTER(IMPORTRANGE(""https://docs.google.com/spreadsheets/d/1BJSV3WBYJGRhQ6zExamkszQ5VutGIcaQqmbD9ZTVXMQ/edit#gid=1251630045"",""articles_with_PRISMA_reasons!K2:K2113""), $A1030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$A1030=IMPORTRANGE(""https://docs.google.com/spreadsheets/d/1BJSV3WBYJGRhQ6zExamkszQ5VutGIcaQqmbD9ZTVXMQ/edit#gid=1251630045"",""articles_with_PRISMA_reasons!B2:B2113"")))-1)"),"Fobe")</f>
        <v>Fobe</v>
      </c>
      <c r="C1030" s="6">
        <f>IFERROR(__xludf.DUMMYFUNCTION("FILTER(IMPORTRANGE(""https://docs.google.com/spreadsheets/d/1BJSV3WBYJGRhQ6zExamkszQ5VutGIcaQqmbD9ZTVXMQ/edit#gid=1251630045"",""articles_with_PRISMA_reasons!C2:C2113""), $A1030=IMPORTRANGE(""https://docs.google.com/spreadsheets/d/1BJSV3WBYJGRhQ6zExamkszQ"&amp;"5VutGIcaQqmbD9ZTVXMQ/edit#gid=1251630045"",""articles_with_PRISMA_reasons!B2:B2113""))"),1999.0)</f>
        <v>1999</v>
      </c>
      <c r="D1030" s="5" t="str">
        <f>IFERROR(__xludf.DUMMYFUNCTION("IFS(AND(
FILTER(IMPORTRANGE(""https://docs.google.com/spreadsheets/d/1BJSV3WBYJGRhQ6zExamkszQ5VutGIcaQqmbD9ZTVXMQ/edit#gid=1251630045"",""articles_with_PRISMA_reasons!Y2:Y2113""), $A1030=IMPORTRANGE(""https://docs.google.com/spreadsheets/d/1BJSV3WBYJGRhQ6"&amp;"zExamkszQ5VutGIcaQqmbD9ZTVXMQ/edit#gid=1251630045"",""articles_with_PRISMA_reasons!B2:B2113""))&gt;=2,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$A1030=IMPORTRANGE(""https://docs.google.com/spreadsheets/d/1BJSV3WBYJGRhQ6zExamkszQ5VutGIcaQqmbD9ZTVXMQ/edit#gid=1251630045"",""articles_with_PRISMA_reasons!B2:B2113""))&lt;2),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$A1030=IMPORTRANGE(""https://docs.google.com/spreadsheets/d/1BJSV3WBYJGRhQ6zExamkszQ5VutGIcaQqmbD9ZTVXMQ/edit#gid=1251630045"",""a"&amp;"rticles_with_PRISMA_reasons!B2:B2113""))&lt;2,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$A1030=IMPORTRANGE(""https://docs.google"&amp;".com/spreadsheets/d/1BJSV3WBYJGRhQ6zExamkszQ5VutGIcaQqmbD9ZTVXMQ/edit#gid=1251630045"",""articles_with_PRISMA_reasons!B2:B2113""))&gt;=2),
""Exclude""
)"),"Exclude")</f>
        <v>Exclude</v>
      </c>
      <c r="E1030" s="5" t="str">
        <f>IFERROR(__xludf.DUMMYFUNCTION("IFS(
D1030=""Exclude"",""Exclude"",
AND(
FILTER(IMPORTRANGE(""https://docs.google.com/spreadsheets/d/1qpEmbGH0JjaJbUdp21-y2cPbobDbMjr09BbtdKROZWc/edit#gid=1444865654"",""articles_with_PRISMA_reasons!W2:W2113""), $A1030=IMPORTRANGE(""https://docs.google.co"&amp;"m/spreadsheets/d/1qpEmbGH0JjaJbUdp21-y2cPbobDbMjr09BbtdKROZWc/edit#gid=1444865654"",""articles_with_PRISMA_reasons!B2:B2113""))&gt;=2,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$A1030=IMPORTRANGE(""https://docs.google.com/spreadsheets/d/1qpEmbGH0JjaJbUdp21-y2cPbobDbMjr09BbtdKROZWc/edit#gid=1444865654"",""articles_with_PRISMA_reasons!B2:B2113""))&lt;2),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$A1030=IMPORTRANGE(""https://docs.google.com/spreadsheets/d/1qpEmbGH0JjaJbUdp21-y2cPbobDbMjr09Bbtd"&amp;"KROZWc/edit#gid=1444865654"",""articles_with_PRISMA_reasons!B2:B2113""))&lt;2,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$A1030=I"&amp;"MPORTRANGE(""https://docs.google.com/spreadsheets/d/1qpEmbGH0JjaJbUdp21-y2cPbobDbMjr09BbtdKROZWc/edit#gid=1444865654"",""articles_with_PRISMA_reasons!B2:B2113""))&gt;=2),
""Exclude""
)"),"Exclude")</f>
        <v>Exclude</v>
      </c>
      <c r="F1030" s="5" t="str">
        <f>IFERROR(__xludf.DUMMYFUNCTION("IFS(
E1030=""Exclude"",""Exclude"",
AND(
COUNTIF(
IMPORTRANGE(""https://docs.google.com/spreadsheets/d/1kGrh75X1cNR1D7_FcY9zMnHP8iPO4M5RCRjy6nZY0TY/edit#gid=0"",""Table 1: Study characteristics!B4:B171""),A1030)&gt;0,
COUNTIF(Studies!$A$2:$A$85,FILTER(IMPORT"&amp;"RANGE(""https://docs.google.com/spreadsheets/d/1kGrh75X1cNR1D7_FcY9zMnHP8iPO4M5RCRjy6nZY0TY/edit#gid=0"",""Table 1: Study characteristics!A4:A171""), $A1030=IMPORTRANGE(""https://docs.google.com/spreadsheets/d/1kGrh75X1cNR1D7_FcY9zMnHP8iPO4M5RCRjy6nZY0TY/"&amp;"edit#gid=0"",""Table 1: Study characteristics!B4:B171"")))&gt;0
),
""Include""
)"),"Exclude")</f>
        <v>Exclude</v>
      </c>
      <c r="G1030" s="5" t="str">
        <f>IFERROR(__xludf.DUMMYFUNCTION("IFS(
D1030=""Exclude"",
FILTER(IMPORTRANGE(""https://docs.google.com/spreadsheets/d/1BJSV3WBYJGRhQ6zExamkszQ5VutGIcaQqmbD9ZTVXMQ/edit#gid=1251630045"",""articles_with_PRISMA_reasons!AB2:AB2113""), $A1030=IMPORTRANGE(""https://docs.google.com/spreadsheets/"&amp;"d/1BJSV3WBYJGRhQ6zExamkszQ5VutGIcaQqmbD9ZTVXMQ/edit#gid=1251630045"",""articles_with_PRISMA_reasons!B2:B2113"")),
E1030=""Exclude"",
FILTER(IMPORTRANGE(""https://docs.google.com/spreadsheets/d/1qpEmbGH0JjaJbUdp21-y2cPbobDbMjr09BbtdKROZWc/edit#gid=14448656"&amp;"54"",""articles_with_PRISMA_reasons!Z2:Z2113""), $A1030=IMPORTRANGE(""https://docs.google.com/spreadsheets/d/1qpEmbGH0JjaJbUdp21-y2cPbobDbMjr09BbtdKROZWc/edit#gid=1444865654"",""articles_with_PRISMA_reasons!B2:B2113"")),F1030
=""Include"",FILTER(IMPORTRAN"&amp;"GE(""https://docs.google.com/spreadsheets/d/1kGrh75X1cNR1D7_FcY9zMnHP8iPO4M5RCRjy6nZY0TY/edit#gid=0"",""Table 1: Study characteristics!A4:A171""), $A1030=IMPORTRANGE(""https://docs.google.com/spreadsheets/d/1kGrh75X1cNR1D7_FcY9zMnHP8iPO4M5RCRjy6nZY0TY/edi"&amp;"t#gid=0"",""Table 1: Study characteristics!B4:B171""))
)"),"wrong study design")</f>
        <v>wrong study design</v>
      </c>
    </row>
    <row r="1031">
      <c r="A1031" s="4" t="str">
        <f>IFERROR(__xludf.DUMMYFUNCTION("""COMPUTED_VALUE"""),"Is myelomeningocele a disappearing disease?")</f>
        <v>Is myelomeningocele a disappearing disease?</v>
      </c>
      <c r="B1031" s="5" t="str">
        <f>IFERROR(__xludf.DUMMYFUNCTION("LEFT(FILTER(IMPORTRANGE(""https://docs.google.com/spreadsheets/d/1BJSV3WBYJGRhQ6zExamkszQ5VutGIcaQqmbD9ZTVXMQ/edit#gid=1251630045"",""articles_with_PRISMA_reasons!K2:K2113""), $A1031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$A1031=IMPORTRANGE(""https://docs.google.com/spreadsheets/d/1BJSV3WBYJGRhQ6zExamkszQ5VutGIcaQqmbD9ZTVXMQ/edit#gid=1251630045"",""articles_with_PRISMA_reasons!B2:B2113"")))-1)"),"Stein")</f>
        <v>Stein</v>
      </c>
      <c r="C1031" s="6">
        <f>IFERROR(__xludf.DUMMYFUNCTION("FILTER(IMPORTRANGE(""https://docs.google.com/spreadsheets/d/1BJSV3WBYJGRhQ6zExamkszQ5VutGIcaQqmbD9ZTVXMQ/edit#gid=1251630045"",""articles_with_PRISMA_reasons!C2:C2113""), $A1031=IMPORTRANGE(""https://docs.google.com/spreadsheets/d/1BJSV3WBYJGRhQ6zExamkszQ"&amp;"5VutGIcaQqmbD9ZTVXMQ/edit#gid=1251630045"",""articles_with_PRISMA_reasons!B2:B2113""))"),1982.0)</f>
        <v>1982</v>
      </c>
      <c r="D1031" s="5" t="str">
        <f>IFERROR(__xludf.DUMMYFUNCTION("IFS(AND(
FILTER(IMPORTRANGE(""https://docs.google.com/spreadsheets/d/1BJSV3WBYJGRhQ6zExamkszQ5VutGIcaQqmbD9ZTVXMQ/edit#gid=1251630045"",""articles_with_PRISMA_reasons!Y2:Y2113""), $A1031=IMPORTRANGE(""https://docs.google.com/spreadsheets/d/1BJSV3WBYJGRhQ6"&amp;"zExamkszQ5VutGIcaQqmbD9ZTVXMQ/edit#gid=1251630045"",""articles_with_PRISMA_reasons!B2:B2113""))&gt;=2,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$A1031=IMPORTRANGE(""https://docs.google.com/spreadsheets/d/1BJSV3WBYJGRhQ6zExamkszQ5VutGIcaQqmbD9ZTVXMQ/edit#gid=1251630045"",""articles_with_PRISMA_reasons!B2:B2113""))&lt;2),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$A1031=IMPORTRANGE(""https://docs.google.com/spreadsheets/d/1BJSV3WBYJGRhQ6zExamkszQ5VutGIcaQqmbD9ZTVXMQ/edit#gid=1251630045"",""a"&amp;"rticles_with_PRISMA_reasons!B2:B2113""))&lt;2,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$A1031=IMPORTRANGE(""https://docs.google"&amp;".com/spreadsheets/d/1BJSV3WBYJGRhQ6zExamkszQ5VutGIcaQqmbD9ZTVXMQ/edit#gid=1251630045"",""articles_with_PRISMA_reasons!B2:B2113""))&gt;=2),
""Exclude""
)"),"Exclude")</f>
        <v>Exclude</v>
      </c>
      <c r="E1031" s="5" t="str">
        <f>IFERROR(__xludf.DUMMYFUNCTION("IFS(
D1031=""Exclude"",""Exclude"",
AND(
FILTER(IMPORTRANGE(""https://docs.google.com/spreadsheets/d/1qpEmbGH0JjaJbUdp21-y2cPbobDbMjr09BbtdKROZWc/edit#gid=1444865654"",""articles_with_PRISMA_reasons!W2:W2113""), $A1031=IMPORTRANGE(""https://docs.google.co"&amp;"m/spreadsheets/d/1qpEmbGH0JjaJbUdp21-y2cPbobDbMjr09BbtdKROZWc/edit#gid=1444865654"",""articles_with_PRISMA_reasons!B2:B2113""))&gt;=2,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$A1031=IMPORTRANGE(""https://docs.google.com/spreadsheets/d/1qpEmbGH0JjaJbUdp21-y2cPbobDbMjr09BbtdKROZWc/edit#gid=1444865654"",""articles_with_PRISMA_reasons!B2:B2113""))&lt;2),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$A1031=IMPORTRANGE(""https://docs.google.com/spreadsheets/d/1qpEmbGH0JjaJbUdp21-y2cPbobDbMjr09Bbtd"&amp;"KROZWc/edit#gid=1444865654"",""articles_with_PRISMA_reasons!B2:B2113""))&lt;2,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$A1031=I"&amp;"MPORTRANGE(""https://docs.google.com/spreadsheets/d/1qpEmbGH0JjaJbUdp21-y2cPbobDbMjr09BbtdKROZWc/edit#gid=1444865654"",""articles_with_PRISMA_reasons!B2:B2113""))&gt;=2),
""Exclude""
)"),"Exclude")</f>
        <v>Exclude</v>
      </c>
      <c r="F1031" s="5" t="str">
        <f>IFERROR(__xludf.DUMMYFUNCTION("IFS(
E1031=""Exclude"",""Exclude"",
AND(
COUNTIF(
IMPORTRANGE(""https://docs.google.com/spreadsheets/d/1kGrh75X1cNR1D7_FcY9zMnHP8iPO4M5RCRjy6nZY0TY/edit#gid=0"",""Table 1: Study characteristics!B4:B171""),A1031)&gt;0,
COUNTIF(Studies!$A$2:$A$85,FILTER(IMPORT"&amp;"RANGE(""https://docs.google.com/spreadsheets/d/1kGrh75X1cNR1D7_FcY9zMnHP8iPO4M5RCRjy6nZY0TY/edit#gid=0"",""Table 1: Study characteristics!A4:A171""), $A1031=IMPORTRANGE(""https://docs.google.com/spreadsheets/d/1kGrh75X1cNR1D7_FcY9zMnHP8iPO4M5RCRjy6nZY0TY/"&amp;"edit#gid=0"",""Table 1: Study characteristics!B4:B171"")))&gt;0
),
""Include""
)"),"Exclude")</f>
        <v>Exclude</v>
      </c>
      <c r="G1031" s="5" t="str">
        <f>IFERROR(__xludf.DUMMYFUNCTION("IFS(
D1031=""Exclude"",
FILTER(IMPORTRANGE(""https://docs.google.com/spreadsheets/d/1BJSV3WBYJGRhQ6zExamkszQ5VutGIcaQqmbD9ZTVXMQ/edit#gid=1251630045"",""articles_with_PRISMA_reasons!AB2:AB2113""), $A1031=IMPORTRANGE(""https://docs.google.com/spreadsheets/"&amp;"d/1BJSV3WBYJGRhQ6zExamkszQ5VutGIcaQqmbD9ZTVXMQ/edit#gid=1251630045"",""articles_with_PRISMA_reasons!B2:B2113"")),
E1031=""Exclude"",
FILTER(IMPORTRANGE(""https://docs.google.com/spreadsheets/d/1qpEmbGH0JjaJbUdp21-y2cPbobDbMjr09BbtdKROZWc/edit#gid=14448656"&amp;"54"",""articles_with_PRISMA_reasons!Z2:Z2113""), $A1031=IMPORTRANGE(""https://docs.google.com/spreadsheets/d/1qpEmbGH0JjaJbUdp21-y2cPbobDbMjr09BbtdKROZWc/edit#gid=1444865654"",""articles_with_PRISMA_reasons!B2:B2113"")),F1031
=""Include"",FILTER(IMPORTRAN"&amp;"GE(""https://docs.google.com/spreadsheets/d/1kGrh75X1cNR1D7_FcY9zMnHP8iPO4M5RCRjy6nZY0TY/edit#gid=0"",""Table 1: Study characteristics!A4:A171""), $A1031=IMPORTRANGE(""https://docs.google.com/spreadsheets/d/1kGrh75X1cNR1D7_FcY9zMnHP8iPO4M5RCRjy6nZY0TY/edi"&amp;"t#gid=0"",""Table 1: Study characteristics!B4:B171""))
)"),"wrong study design")</f>
        <v>wrong study design</v>
      </c>
    </row>
    <row r="1032">
      <c r="A1032" s="4" t="str">
        <f>IFERROR(__xludf.DUMMYFUNCTION("""COMPUTED_VALUE"""),"Is there a causal relationship between open spinal dysraphism and chiari II deformity?: A study using in utero magnetic resonance imaging of the fetus")</f>
        <v>Is there a causal relationship between open spinal dysraphism and chiari II deformity?: A study using in utero magnetic resonance imaging of the fetus</v>
      </c>
      <c r="B1032" s="5" t="str">
        <f>IFERROR(__xludf.DUMMYFUNCTION("LEFT(FILTER(IMPORTRANGE(""https://docs.google.com/spreadsheets/d/1BJSV3WBYJGRhQ6zExamkszQ5VutGIcaQqmbD9ZTVXMQ/edit#gid=1251630045"",""articles_with_PRISMA_reasons!K2:K2113""), $A1032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$A1032=IMPORTRANGE(""https://docs.google.com/spreadsheets/d/1BJSV3WBYJGRhQ6zExamkszQ5VutGIcaQqmbD9ZTVXMQ/edit#gid=1251630045"",""articles_with_PRISMA_reasons!B2:B2113"")))-1)"),"Batty")</f>
        <v>Batty</v>
      </c>
      <c r="C1032" s="6">
        <f>IFERROR(__xludf.DUMMYFUNCTION("FILTER(IMPORTRANGE(""https://docs.google.com/spreadsheets/d/1BJSV3WBYJGRhQ6zExamkszQ5VutGIcaQqmbD9ZTVXMQ/edit#gid=1251630045"",""articles_with_PRISMA_reasons!C2:C2113""), $A1032=IMPORTRANGE(""https://docs.google.com/spreadsheets/d/1BJSV3WBYJGRhQ6zExamkszQ"&amp;"5VutGIcaQqmbD9ZTVXMQ/edit#gid=1251630045"",""articles_with_PRISMA_reasons!B2:B2113""))"),2012.0)</f>
        <v>2012</v>
      </c>
      <c r="D1032" s="5" t="str">
        <f>IFERROR(__xludf.DUMMYFUNCTION("IFS(AND(
FILTER(IMPORTRANGE(""https://docs.google.com/spreadsheets/d/1BJSV3WBYJGRhQ6zExamkszQ5VutGIcaQqmbD9ZTVXMQ/edit#gid=1251630045"",""articles_with_PRISMA_reasons!Y2:Y2113""), $A1032=IMPORTRANGE(""https://docs.google.com/spreadsheets/d/1BJSV3WBYJGRhQ6"&amp;"zExamkszQ5VutGIcaQqmbD9ZTVXMQ/edit#gid=1251630045"",""articles_with_PRISMA_reasons!B2:B2113""))&gt;=2,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$A1032=IMPORTRANGE(""https://docs.google.com/spreadsheets/d/1BJSV3WBYJGRhQ6zExamkszQ5VutGIcaQqmbD9ZTVXMQ/edit#gid=1251630045"",""articles_with_PRISMA_reasons!B2:B2113""))&lt;2),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$A1032=IMPORTRANGE(""https://docs.google.com/spreadsheets/d/1BJSV3WBYJGRhQ6zExamkszQ5VutGIcaQqmbD9ZTVXMQ/edit#gid=1251630045"",""a"&amp;"rticles_with_PRISMA_reasons!B2:B2113""))&lt;2,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$A1032=IMPORTRANGE(""https://docs.google"&amp;".com/spreadsheets/d/1BJSV3WBYJGRhQ6zExamkszQ5VutGIcaQqmbD9ZTVXMQ/edit#gid=1251630045"",""articles_with_PRISMA_reasons!B2:B2113""))&gt;=2),
""Exclude""
)"),"Exclude")</f>
        <v>Exclude</v>
      </c>
      <c r="E1032" s="5" t="str">
        <f>IFERROR(__xludf.DUMMYFUNCTION("IFS(
D1032=""Exclude"",""Exclude"",
AND(
FILTER(IMPORTRANGE(""https://docs.google.com/spreadsheets/d/1qpEmbGH0JjaJbUdp21-y2cPbobDbMjr09BbtdKROZWc/edit#gid=1444865654"",""articles_with_PRISMA_reasons!W2:W2113""), $A1032=IMPORTRANGE(""https://docs.google.co"&amp;"m/spreadsheets/d/1qpEmbGH0JjaJbUdp21-y2cPbobDbMjr09BbtdKROZWc/edit#gid=1444865654"",""articles_with_PRISMA_reasons!B2:B2113""))&gt;=2,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$A1032=IMPORTRANGE(""https://docs.google.com/spreadsheets/d/1qpEmbGH0JjaJbUdp21-y2cPbobDbMjr09BbtdKROZWc/edit#gid=1444865654"",""articles_with_PRISMA_reasons!B2:B2113""))&lt;2),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$A1032=IMPORTRANGE(""https://docs.google.com/spreadsheets/d/1qpEmbGH0JjaJbUdp21-y2cPbobDbMjr09Bbtd"&amp;"KROZWc/edit#gid=1444865654"",""articles_with_PRISMA_reasons!B2:B2113""))&lt;2,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$A1032=I"&amp;"MPORTRANGE(""https://docs.google.com/spreadsheets/d/1qpEmbGH0JjaJbUdp21-y2cPbobDbMjr09BbtdKROZWc/edit#gid=1444865654"",""articles_with_PRISMA_reasons!B2:B2113""))&gt;=2),
""Exclude""
)"),"Exclude")</f>
        <v>Exclude</v>
      </c>
      <c r="F1032" s="5" t="str">
        <f>IFERROR(__xludf.DUMMYFUNCTION("IFS(
E1032=""Exclude"",""Exclude"",
AND(
COUNTIF(
IMPORTRANGE(""https://docs.google.com/spreadsheets/d/1kGrh75X1cNR1D7_FcY9zMnHP8iPO4M5RCRjy6nZY0TY/edit#gid=0"",""Table 1: Study characteristics!B4:B171""),A1032)&gt;0,
COUNTIF(Studies!$A$2:$A$85,FILTER(IMPORT"&amp;"RANGE(""https://docs.google.com/spreadsheets/d/1kGrh75X1cNR1D7_FcY9zMnHP8iPO4M5RCRjy6nZY0TY/edit#gid=0"",""Table 1: Study characteristics!A4:A171""), $A1032=IMPORTRANGE(""https://docs.google.com/spreadsheets/d/1kGrh75X1cNR1D7_FcY9zMnHP8iPO4M5RCRjy6nZY0TY/"&amp;"edit#gid=0"",""Table 1: Study characteristics!B4:B171"")))&gt;0
),
""Include""
)"),"Exclude")</f>
        <v>Exclude</v>
      </c>
      <c r="G1032" s="5" t="str">
        <f>IFERROR(__xludf.DUMMYFUNCTION("IFS(
D1032=""Exclude"",
FILTER(IMPORTRANGE(""https://docs.google.com/spreadsheets/d/1BJSV3WBYJGRhQ6zExamkszQ5VutGIcaQqmbD9ZTVXMQ/edit#gid=1251630045"",""articles_with_PRISMA_reasons!AB2:AB2113""), $A1032=IMPORTRANGE(""https://docs.google.com/spreadsheets/"&amp;"d/1BJSV3WBYJGRhQ6zExamkszQ5VutGIcaQqmbD9ZTVXMQ/edit#gid=1251630045"",""articles_with_PRISMA_reasons!B2:B2113"")),
E1032=""Exclude"",
FILTER(IMPORTRANGE(""https://docs.google.com/spreadsheets/d/1qpEmbGH0JjaJbUdp21-y2cPbobDbMjr09BbtdKROZWc/edit#gid=14448656"&amp;"54"",""articles_with_PRISMA_reasons!Z2:Z2113""), $A1032=IMPORTRANGE(""https://docs.google.com/spreadsheets/d/1qpEmbGH0JjaJbUdp21-y2cPbobDbMjr09BbtdKROZWc/edit#gid=1444865654"",""articles_with_PRISMA_reasons!B2:B2113"")),F1032
=""Include"",FILTER(IMPORTRAN"&amp;"GE(""https://docs.google.com/spreadsheets/d/1kGrh75X1cNR1D7_FcY9zMnHP8iPO4M5RCRjy6nZY0TY/edit#gid=0"",""Table 1: Study characteristics!A4:A171""), $A1032=IMPORTRANGE(""https://docs.google.com/spreadsheets/d/1kGrh75X1cNR1D7_FcY9zMnHP8iPO4M5RCRjy6nZY0TY/edi"&amp;"t#gid=0"",""Table 1: Study characteristics!B4:B171""))
)"),"wrong study design")</f>
        <v>wrong study design</v>
      </c>
    </row>
    <row r="1033">
      <c r="A1033" s="4" t="str">
        <f>IFERROR(__xludf.DUMMYFUNCTION("""COMPUTED_VALUE"""),"Is there a social module? Language, face processing, and theory of mind in individuals with Williams syndrome")</f>
        <v>Is there a social module? Language, face processing, and theory of mind in individuals with Williams syndrome</v>
      </c>
      <c r="B1033" s="5" t="str">
        <f>IFERROR(__xludf.DUMMYFUNCTION("LEFT(FILTER(IMPORTRANGE(""https://docs.google.com/spreadsheets/d/1BJSV3WBYJGRhQ6zExamkszQ5VutGIcaQqmbD9ZTVXMQ/edit#gid=1251630045"",""articles_with_PRISMA_reasons!K2:K2113""), $A1033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$A1033=IMPORTRANGE(""https://docs.google.com/spreadsheets/d/1BJSV3WBYJGRhQ6zExamkszQ5VutGIcaQqmbD9ZTVXMQ/edit#gid=1251630045"",""articles_with_PRISMA_reasons!B2:B2113"")))-1)"),"Grant")</f>
        <v>Grant</v>
      </c>
      <c r="C1033" s="6">
        <f>IFERROR(__xludf.DUMMYFUNCTION("FILTER(IMPORTRANGE(""https://docs.google.com/spreadsheets/d/1BJSV3WBYJGRhQ6zExamkszQ5VutGIcaQqmbD9ZTVXMQ/edit#gid=1251630045"",""articles_with_PRISMA_reasons!C2:C2113""), $A1033=IMPORTRANGE(""https://docs.google.com/spreadsheets/d/1BJSV3WBYJGRhQ6zExamkszQ"&amp;"5VutGIcaQqmbD9ZTVXMQ/edit#gid=1251630045"",""articles_with_PRISMA_reasons!B2:B2113""))"),1995.0)</f>
        <v>1995</v>
      </c>
      <c r="D1033" s="5" t="str">
        <f>IFERROR(__xludf.DUMMYFUNCTION("IFS(AND(
FILTER(IMPORTRANGE(""https://docs.google.com/spreadsheets/d/1BJSV3WBYJGRhQ6zExamkszQ5VutGIcaQqmbD9ZTVXMQ/edit#gid=1251630045"",""articles_with_PRISMA_reasons!Y2:Y2113""), $A1033=IMPORTRANGE(""https://docs.google.com/spreadsheets/d/1BJSV3WBYJGRhQ6"&amp;"zExamkszQ5VutGIcaQqmbD9ZTVXMQ/edit#gid=1251630045"",""articles_with_PRISMA_reasons!B2:B2113""))&gt;=2,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$A1033=IMPORTRANGE(""https://docs.google.com/spreadsheets/d/1BJSV3WBYJGRhQ6zExamkszQ5VutGIcaQqmbD9ZTVXMQ/edit#gid=1251630045"",""articles_with_PRISMA_reasons!B2:B2113""))&lt;2),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$A1033=IMPORTRANGE(""https://docs.google.com/spreadsheets/d/1BJSV3WBYJGRhQ6zExamkszQ5VutGIcaQqmbD9ZTVXMQ/edit#gid=1251630045"",""a"&amp;"rticles_with_PRISMA_reasons!B2:B2113""))&lt;2,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$A1033=IMPORTRANGE(""https://docs.google"&amp;".com/spreadsheets/d/1BJSV3WBYJGRhQ6zExamkszQ5VutGIcaQqmbD9ZTVXMQ/edit#gid=1251630045"",""articles_with_PRISMA_reasons!B2:B2113""))&gt;=2),
""Exclude""
)"),"Exclude")</f>
        <v>Exclude</v>
      </c>
      <c r="E1033" s="5" t="str">
        <f>IFERROR(__xludf.DUMMYFUNCTION("IFS(
D1033=""Exclude"",""Exclude"",
AND(
FILTER(IMPORTRANGE(""https://docs.google.com/spreadsheets/d/1qpEmbGH0JjaJbUdp21-y2cPbobDbMjr09BbtdKROZWc/edit#gid=1444865654"",""articles_with_PRISMA_reasons!W2:W2113""), $A1033=IMPORTRANGE(""https://docs.google.co"&amp;"m/spreadsheets/d/1qpEmbGH0JjaJbUdp21-y2cPbobDbMjr09BbtdKROZWc/edit#gid=1444865654"",""articles_with_PRISMA_reasons!B2:B2113""))&gt;=2,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$A1033=IMPORTRANGE(""https://docs.google.com/spreadsheets/d/1qpEmbGH0JjaJbUdp21-y2cPbobDbMjr09BbtdKROZWc/edit#gid=1444865654"",""articles_with_PRISMA_reasons!B2:B2113""))&lt;2),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$A1033=IMPORTRANGE(""https://docs.google.com/spreadsheets/d/1qpEmbGH0JjaJbUdp21-y2cPbobDbMjr09Bbtd"&amp;"KROZWc/edit#gid=1444865654"",""articles_with_PRISMA_reasons!B2:B2113""))&lt;2,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$A1033=I"&amp;"MPORTRANGE(""https://docs.google.com/spreadsheets/d/1qpEmbGH0JjaJbUdp21-y2cPbobDbMjr09BbtdKROZWc/edit#gid=1444865654"",""articles_with_PRISMA_reasons!B2:B2113""))&gt;=2),
""Exclude""
)"),"Exclude")</f>
        <v>Exclude</v>
      </c>
      <c r="F1033" s="5" t="str">
        <f>IFERROR(__xludf.DUMMYFUNCTION("IFS(
E1033=""Exclude"",""Exclude"",
AND(
COUNTIF(
IMPORTRANGE(""https://docs.google.com/spreadsheets/d/1kGrh75X1cNR1D7_FcY9zMnHP8iPO4M5RCRjy6nZY0TY/edit#gid=0"",""Table 1: Study characteristics!B4:B171""),A1033)&gt;0,
COUNTIF(Studies!$A$2:$A$85,FILTER(IMPORT"&amp;"RANGE(""https://docs.google.com/spreadsheets/d/1kGrh75X1cNR1D7_FcY9zMnHP8iPO4M5RCRjy6nZY0TY/edit#gid=0"",""Table 1: Study characteristics!A4:A171""), $A1033=IMPORTRANGE(""https://docs.google.com/spreadsheets/d/1kGrh75X1cNR1D7_FcY9zMnHP8iPO4M5RCRjy6nZY0TY/"&amp;"edit#gid=0"",""Table 1: Study characteristics!B4:B171"")))&gt;0
),
""Include""
)"),"Exclude")</f>
        <v>Exclude</v>
      </c>
      <c r="G1033" s="5" t="str">
        <f>IFERROR(__xludf.DUMMYFUNCTION("IFS(
D1033=""Exclude"",
FILTER(IMPORTRANGE(""https://docs.google.com/spreadsheets/d/1BJSV3WBYJGRhQ6zExamkszQ5VutGIcaQqmbD9ZTVXMQ/edit#gid=1251630045"",""articles_with_PRISMA_reasons!AB2:AB2113""), $A1033=IMPORTRANGE(""https://docs.google.com/spreadsheets/"&amp;"d/1BJSV3WBYJGRhQ6zExamkszQ5VutGIcaQqmbD9ZTVXMQ/edit#gid=1251630045"",""articles_with_PRISMA_reasons!B2:B2113"")),
E1033=""Exclude"",
FILTER(IMPORTRANGE(""https://docs.google.com/spreadsheets/d/1qpEmbGH0JjaJbUdp21-y2cPbobDbMjr09BbtdKROZWc/edit#gid=14448656"&amp;"54"",""articles_with_PRISMA_reasons!Z2:Z2113""), $A1033=IMPORTRANGE(""https://docs.google.com/spreadsheets/d/1qpEmbGH0JjaJbUdp21-y2cPbobDbMjr09BbtdKROZWc/edit#gid=1444865654"",""articles_with_PRISMA_reasons!B2:B2113"")),F1033
=""Include"",FILTER(IMPORTRAN"&amp;"GE(""https://docs.google.com/spreadsheets/d/1kGrh75X1cNR1D7_FcY9zMnHP8iPO4M5RCRjy6nZY0TY/edit#gid=0"",""Table 1: Study characteristics!A4:A171""), $A1033=IMPORTRANGE(""https://docs.google.com/spreadsheets/d/1kGrh75X1cNR1D7_FcY9zMnHP8iPO4M5RCRjy6nZY0TY/edi"&amp;"t#gid=0"",""Table 1: Study characteristics!B4:B171""))
)"),"wrong study design")</f>
        <v>wrong study design</v>
      </c>
    </row>
    <row r="1034">
      <c r="A1034" s="4" t="str">
        <f>IFERROR(__xludf.DUMMYFUNCTION("""COMPUTED_VALUE"""),"Is urodynamic evaluation a must in all operated cases of open neural tube defects")</f>
        <v>Is urodynamic evaluation a must in all operated cases of open neural tube defects</v>
      </c>
      <c r="B1034" s="5" t="str">
        <f>IFERROR(__xludf.DUMMYFUNCTION("LEFT(FILTER(IMPORTRANGE(""https://docs.google.com/spreadsheets/d/1BJSV3WBYJGRhQ6zExamkszQ5VutGIcaQqmbD9ZTVXMQ/edit#gid=1251630045"",""articles_with_PRISMA_reasons!K2:K2113""), $A1034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$A1034=IMPORTRANGE(""https://docs.google.com/spreadsheets/d/1BJSV3WBYJGRhQ6zExamkszQ5VutGIcaQqmbD9ZTVXMQ/edit#gid=1251630045"",""articles_with_PRISMA_reasons!B2:B2113"")))-1)"),"Bawa")</f>
        <v>Bawa</v>
      </c>
      <c r="C1034" s="6">
        <f>IFERROR(__xludf.DUMMYFUNCTION("FILTER(IMPORTRANGE(""https://docs.google.com/spreadsheets/d/1BJSV3WBYJGRhQ6zExamkszQ5VutGIcaQqmbD9ZTVXMQ/edit#gid=1251630045"",""articles_with_PRISMA_reasons!C2:C2113""), $A1034=IMPORTRANGE(""https://docs.google.com/spreadsheets/d/1BJSV3WBYJGRhQ6zExamkszQ"&amp;"5VutGIcaQqmbD9ZTVXMQ/edit#gid=1251630045"",""articles_with_PRISMA_reasons!B2:B2113""))"),2017.0)</f>
        <v>2017</v>
      </c>
      <c r="D1034" s="5" t="str">
        <f>IFERROR(__xludf.DUMMYFUNCTION("IFS(AND(
FILTER(IMPORTRANGE(""https://docs.google.com/spreadsheets/d/1BJSV3WBYJGRhQ6zExamkszQ5VutGIcaQqmbD9ZTVXMQ/edit#gid=1251630045"",""articles_with_PRISMA_reasons!Y2:Y2113""), $A1034=IMPORTRANGE(""https://docs.google.com/spreadsheets/d/1BJSV3WBYJGRhQ6"&amp;"zExamkszQ5VutGIcaQqmbD9ZTVXMQ/edit#gid=1251630045"",""articles_with_PRISMA_reasons!B2:B2113""))&gt;=2,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$A1034=IMPORTRANGE(""https://docs.google.com/spreadsheets/d/1BJSV3WBYJGRhQ6zExamkszQ5VutGIcaQqmbD9ZTVXMQ/edit#gid=1251630045"",""articles_with_PRISMA_reasons!B2:B2113""))&lt;2),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$A1034=IMPORTRANGE(""https://docs.google.com/spreadsheets/d/1BJSV3WBYJGRhQ6zExamkszQ5VutGIcaQqmbD9ZTVXMQ/edit#gid=1251630045"",""a"&amp;"rticles_with_PRISMA_reasons!B2:B2113""))&lt;2,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$A1034=IMPORTRANGE(""https://docs.google"&amp;".com/spreadsheets/d/1BJSV3WBYJGRhQ6zExamkszQ5VutGIcaQqmbD9ZTVXMQ/edit#gid=1251630045"",""articles_with_PRISMA_reasons!B2:B2113""))&gt;=2),
""Exclude""
)"),"Exclude")</f>
        <v>Exclude</v>
      </c>
      <c r="E1034" s="5" t="str">
        <f>IFERROR(__xludf.DUMMYFUNCTION("IFS(
D1034=""Exclude"",""Exclude"",
AND(
FILTER(IMPORTRANGE(""https://docs.google.com/spreadsheets/d/1qpEmbGH0JjaJbUdp21-y2cPbobDbMjr09BbtdKROZWc/edit#gid=1444865654"",""articles_with_PRISMA_reasons!W2:W2113""), $A1034=IMPORTRANGE(""https://docs.google.co"&amp;"m/spreadsheets/d/1qpEmbGH0JjaJbUdp21-y2cPbobDbMjr09BbtdKROZWc/edit#gid=1444865654"",""articles_with_PRISMA_reasons!B2:B2113""))&gt;=2,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$A1034=IMPORTRANGE(""https://docs.google.com/spreadsheets/d/1qpEmbGH0JjaJbUdp21-y2cPbobDbMjr09BbtdKROZWc/edit#gid=1444865654"",""articles_with_PRISMA_reasons!B2:B2113""))&lt;2),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$A1034=IMPORTRANGE(""https://docs.google.com/spreadsheets/d/1qpEmbGH0JjaJbUdp21-y2cPbobDbMjr09Bbtd"&amp;"KROZWc/edit#gid=1444865654"",""articles_with_PRISMA_reasons!B2:B2113""))&lt;2,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$A1034=I"&amp;"MPORTRANGE(""https://docs.google.com/spreadsheets/d/1qpEmbGH0JjaJbUdp21-y2cPbobDbMjr09BbtdKROZWc/edit#gid=1444865654"",""articles_with_PRISMA_reasons!B2:B2113""))&gt;=2),
""Exclude""
)"),"Exclude")</f>
        <v>Exclude</v>
      </c>
      <c r="F1034" s="5" t="str">
        <f>IFERROR(__xludf.DUMMYFUNCTION("IFS(
E1034=""Exclude"",""Exclude"",
AND(
COUNTIF(
IMPORTRANGE(""https://docs.google.com/spreadsheets/d/1kGrh75X1cNR1D7_FcY9zMnHP8iPO4M5RCRjy6nZY0TY/edit#gid=0"",""Table 1: Study characteristics!B4:B171""),A1034)&gt;0,
COUNTIF(Studies!$A$2:$A$85,FILTER(IMPORT"&amp;"RANGE(""https://docs.google.com/spreadsheets/d/1kGrh75X1cNR1D7_FcY9zMnHP8iPO4M5RCRjy6nZY0TY/edit#gid=0"",""Table 1: Study characteristics!A4:A171""), $A1034=IMPORTRANGE(""https://docs.google.com/spreadsheets/d/1kGrh75X1cNR1D7_FcY9zMnHP8iPO4M5RCRjy6nZY0TY/"&amp;"edit#gid=0"",""Table 1: Study characteristics!B4:B171"")))&gt;0
),
""Include""
)"),"Exclude")</f>
        <v>Exclude</v>
      </c>
      <c r="G1034" s="5" t="str">
        <f>IFERROR(__xludf.DUMMYFUNCTION("IFS(
D1034=""Exclude"",
FILTER(IMPORTRANGE(""https://docs.google.com/spreadsheets/d/1BJSV3WBYJGRhQ6zExamkszQ5VutGIcaQqmbD9ZTVXMQ/edit#gid=1251630045"",""articles_with_PRISMA_reasons!AB2:AB2113""), $A1034=IMPORTRANGE(""https://docs.google.com/spreadsheets/"&amp;"d/1BJSV3WBYJGRhQ6zExamkszQ5VutGIcaQqmbD9ZTVXMQ/edit#gid=1251630045"",""articles_with_PRISMA_reasons!B2:B2113"")),
E1034=""Exclude"",
FILTER(IMPORTRANGE(""https://docs.google.com/spreadsheets/d/1qpEmbGH0JjaJbUdp21-y2cPbobDbMjr09BbtdKROZWc/edit#gid=14448656"&amp;"54"",""articles_with_PRISMA_reasons!Z2:Z2113""), $A1034=IMPORTRANGE(""https://docs.google.com/spreadsheets/d/1qpEmbGH0JjaJbUdp21-y2cPbobDbMjr09BbtdKROZWc/edit#gid=1444865654"",""articles_with_PRISMA_reasons!B2:B2113"")),F1034
=""Include"",FILTER(IMPORTRAN"&amp;"GE(""https://docs.google.com/spreadsheets/d/1kGrh75X1cNR1D7_FcY9zMnHP8iPO4M5RCRjy6nZY0TY/edit#gid=0"",""Table 1: Study characteristics!A4:A171""), $A1034=IMPORTRANGE(""https://docs.google.com/spreadsheets/d/1kGrh75X1cNR1D7_FcY9zMnHP8iPO4M5RCRjy6nZY0TY/edi"&amp;"t#gid=0"",""Table 1: Study characteristics!B4:B171""))
)"),"wrong study design")</f>
        <v>wrong study design</v>
      </c>
    </row>
    <row r="1035">
      <c r="A1035" s="4" t="str">
        <f>IFERROR(__xludf.DUMMYFUNCTION("""COMPUTED_VALUE"""),"Isoelectric focusing of cerebrospinal fluid proteins in children with nontumoral hydrocephalus. A preliminary report")</f>
        <v>Isoelectric focusing of cerebrospinal fluid proteins in children with nontumoral hydrocephalus. A preliminary report</v>
      </c>
      <c r="B1035" s="5" t="str">
        <f>IFERROR(__xludf.DUMMYFUNCTION("LEFT(FILTER(IMPORTRANGE(""https://docs.google.com/spreadsheets/d/1BJSV3WBYJGRhQ6zExamkszQ5VutGIcaQqmbD9ZTVXMQ/edit#gid=1251630045"",""articles_with_PRISMA_reasons!K2:K2113""), $A1035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$A1035=IMPORTRANGE(""https://docs.google.com/spreadsheets/d/1BJSV3WBYJGRhQ6zExamkszQ5VutGIcaQqmbD9ZTVXMQ/edit#gid=1251630045"",""articles_with_PRISMA_reasons!B2:B2113"")))-1)"),"Cerda")</f>
        <v>Cerda</v>
      </c>
      <c r="C1035" s="6">
        <f>IFERROR(__xludf.DUMMYFUNCTION("FILTER(IMPORTRANGE(""https://docs.google.com/spreadsheets/d/1BJSV3WBYJGRhQ6zExamkszQ5VutGIcaQqmbD9ZTVXMQ/edit#gid=1251630045"",""articles_with_PRISMA_reasons!C2:C2113""), $A1035=IMPORTRANGE(""https://docs.google.com/spreadsheets/d/1BJSV3WBYJGRhQ6zExamkszQ"&amp;"5VutGIcaQqmbD9ZTVXMQ/edit#gid=1251630045"",""articles_with_PRISMA_reasons!B2:B2113""))"),1980.0)</f>
        <v>1980</v>
      </c>
      <c r="D1035" s="5" t="str">
        <f>IFERROR(__xludf.DUMMYFUNCTION("IFS(AND(
FILTER(IMPORTRANGE(""https://docs.google.com/spreadsheets/d/1BJSV3WBYJGRhQ6zExamkszQ5VutGIcaQqmbD9ZTVXMQ/edit#gid=1251630045"",""articles_with_PRISMA_reasons!Y2:Y2113""), $A1035=IMPORTRANGE(""https://docs.google.com/spreadsheets/d/1BJSV3WBYJGRhQ6"&amp;"zExamkszQ5VutGIcaQqmbD9ZTVXMQ/edit#gid=1251630045"",""articles_with_PRISMA_reasons!B2:B2113""))&gt;=2,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$A1035=IMPORTRANGE(""https://docs.google.com/spreadsheets/d/1BJSV3WBYJGRhQ6zExamkszQ5VutGIcaQqmbD9ZTVXMQ/edit#gid=1251630045"",""articles_with_PRISMA_reasons!B2:B2113""))&lt;2),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$A1035=IMPORTRANGE(""https://docs.google.com/spreadsheets/d/1BJSV3WBYJGRhQ6zExamkszQ5VutGIcaQqmbD9ZTVXMQ/edit#gid=1251630045"",""a"&amp;"rticles_with_PRISMA_reasons!B2:B2113""))&lt;2,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$A1035=IMPORTRANGE(""https://docs.google"&amp;".com/spreadsheets/d/1BJSV3WBYJGRhQ6zExamkszQ5VutGIcaQqmbD9ZTVXMQ/edit#gid=1251630045"",""articles_with_PRISMA_reasons!B2:B2113""))&gt;=2),
""Exclude""
)"),"Exclude")</f>
        <v>Exclude</v>
      </c>
      <c r="E1035" s="5" t="str">
        <f>IFERROR(__xludf.DUMMYFUNCTION("IFS(
D1035=""Exclude"",""Exclude"",
AND(
FILTER(IMPORTRANGE(""https://docs.google.com/spreadsheets/d/1qpEmbGH0JjaJbUdp21-y2cPbobDbMjr09BbtdKROZWc/edit#gid=1444865654"",""articles_with_PRISMA_reasons!W2:W2113""), $A1035=IMPORTRANGE(""https://docs.google.co"&amp;"m/spreadsheets/d/1qpEmbGH0JjaJbUdp21-y2cPbobDbMjr09BbtdKROZWc/edit#gid=1444865654"",""articles_with_PRISMA_reasons!B2:B2113""))&gt;=2,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$A1035=IMPORTRANGE(""https://docs.google.com/spreadsheets/d/1qpEmbGH0JjaJbUdp21-y2cPbobDbMjr09BbtdKROZWc/edit#gid=1444865654"",""articles_with_PRISMA_reasons!B2:B2113""))&lt;2),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$A1035=IMPORTRANGE(""https://docs.google.com/spreadsheets/d/1qpEmbGH0JjaJbUdp21-y2cPbobDbMjr09Bbtd"&amp;"KROZWc/edit#gid=1444865654"",""articles_with_PRISMA_reasons!B2:B2113""))&lt;2,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$A1035=I"&amp;"MPORTRANGE(""https://docs.google.com/spreadsheets/d/1qpEmbGH0JjaJbUdp21-y2cPbobDbMjr09BbtdKROZWc/edit#gid=1444865654"",""articles_with_PRISMA_reasons!B2:B2113""))&gt;=2),
""Exclude""
)"),"Exclude")</f>
        <v>Exclude</v>
      </c>
      <c r="F1035" s="5" t="str">
        <f>IFERROR(__xludf.DUMMYFUNCTION("IFS(
E1035=""Exclude"",""Exclude"",
AND(
COUNTIF(
IMPORTRANGE(""https://docs.google.com/spreadsheets/d/1kGrh75X1cNR1D7_FcY9zMnHP8iPO4M5RCRjy6nZY0TY/edit#gid=0"",""Table 1: Study characteristics!B4:B171""),A1035)&gt;0,
COUNTIF(Studies!$A$2:$A$85,FILTER(IMPORT"&amp;"RANGE(""https://docs.google.com/spreadsheets/d/1kGrh75X1cNR1D7_FcY9zMnHP8iPO4M5RCRjy6nZY0TY/edit#gid=0"",""Table 1: Study characteristics!A4:A171""), $A1035=IMPORTRANGE(""https://docs.google.com/spreadsheets/d/1kGrh75X1cNR1D7_FcY9zMnHP8iPO4M5RCRjy6nZY0TY/"&amp;"edit#gid=0"",""Table 1: Study characteristics!B4:B171"")))&gt;0
),
""Include""
)"),"Exclude")</f>
        <v>Exclude</v>
      </c>
      <c r="G1035" s="5" t="str">
        <f>IFERROR(__xludf.DUMMYFUNCTION("IFS(
D1035=""Exclude"",
FILTER(IMPORTRANGE(""https://docs.google.com/spreadsheets/d/1BJSV3WBYJGRhQ6zExamkszQ5VutGIcaQqmbD9ZTVXMQ/edit#gid=1251630045"",""articles_with_PRISMA_reasons!AB2:AB2113""), $A1035=IMPORTRANGE(""https://docs.google.com/spreadsheets/"&amp;"d/1BJSV3WBYJGRhQ6zExamkszQ5VutGIcaQqmbD9ZTVXMQ/edit#gid=1251630045"",""articles_with_PRISMA_reasons!B2:B2113"")),
E1035=""Exclude"",
FILTER(IMPORTRANGE(""https://docs.google.com/spreadsheets/d/1qpEmbGH0JjaJbUdp21-y2cPbobDbMjr09BbtdKROZWc/edit#gid=14448656"&amp;"54"",""articles_with_PRISMA_reasons!Z2:Z2113""), $A1035=IMPORTRANGE(""https://docs.google.com/spreadsheets/d/1qpEmbGH0JjaJbUdp21-y2cPbobDbMjr09BbtdKROZWc/edit#gid=1444865654"",""articles_with_PRISMA_reasons!B2:B2113"")),F1035
=""Include"",FILTER(IMPORTRAN"&amp;"GE(""https://docs.google.com/spreadsheets/d/1kGrh75X1cNR1D7_FcY9zMnHP8iPO4M5RCRjy6nZY0TY/edit#gid=0"",""Table 1: Study characteristics!A4:A171""), $A1035=IMPORTRANGE(""https://docs.google.com/spreadsheets/d/1kGrh75X1cNR1D7_FcY9zMnHP8iPO4M5RCRjy6nZY0TY/edi"&amp;"t#gid=0"",""Table 1: Study characteristics!B4:B171""))
)"),"wrong population")</f>
        <v>wrong population</v>
      </c>
    </row>
    <row r="1036">
      <c r="A1036" s="4" t="str">
        <f>IFERROR(__xludf.DUMMYFUNCTION("""COMPUTED_VALUE"""),"Isolated Post-Shunt Metopic Synostosis and Neural Tube Defects")</f>
        <v>Isolated Post-Shunt Metopic Synostosis and Neural Tube Defects</v>
      </c>
      <c r="B1036" s="5" t="str">
        <f>IFERROR(__xludf.DUMMYFUNCTION("LEFT(FILTER(IMPORTRANGE(""https://docs.google.com/spreadsheets/d/1BJSV3WBYJGRhQ6zExamkszQ5VutGIcaQqmbD9ZTVXMQ/edit#gid=1251630045"",""articles_with_PRISMA_reasons!K2:K2113""), $A1036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$A1036=IMPORTRANGE(""https://docs.google.com/spreadsheets/d/1BJSV3WBYJGRhQ6zExamkszQ5VutGIcaQqmbD9ZTVXMQ/edit#gid=1251630045"",""articles_with_PRISMA_reasons!B2:B2113"")))-1)"),"Abouhassan")</f>
        <v>Abouhassan</v>
      </c>
      <c r="C1036" s="6">
        <f>IFERROR(__xludf.DUMMYFUNCTION("FILTER(IMPORTRANGE(""https://docs.google.com/spreadsheets/d/1BJSV3WBYJGRhQ6zExamkszQ5VutGIcaQqmbD9ZTVXMQ/edit#gid=1251630045"",""articles_with_PRISMA_reasons!C2:C2113""), $A1036=IMPORTRANGE(""https://docs.google.com/spreadsheets/d/1BJSV3WBYJGRhQ6zExamkszQ"&amp;"5VutGIcaQqmbD9ZTVXMQ/edit#gid=1251630045"",""articles_with_PRISMA_reasons!B2:B2113""))"),2018.0)</f>
        <v>2018</v>
      </c>
      <c r="D1036" s="5" t="str">
        <f>IFERROR(__xludf.DUMMYFUNCTION("IFS(AND(
FILTER(IMPORTRANGE(""https://docs.google.com/spreadsheets/d/1BJSV3WBYJGRhQ6zExamkszQ5VutGIcaQqmbD9ZTVXMQ/edit#gid=1251630045"",""articles_with_PRISMA_reasons!Y2:Y2113""), $A1036=IMPORTRANGE(""https://docs.google.com/spreadsheets/d/1BJSV3WBYJGRhQ6"&amp;"zExamkszQ5VutGIcaQqmbD9ZTVXMQ/edit#gid=1251630045"",""articles_with_PRISMA_reasons!B2:B2113""))&gt;=2,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$A1036=IMPORTRANGE(""https://docs.google.com/spreadsheets/d/1BJSV3WBYJGRhQ6zExamkszQ5VutGIcaQqmbD9ZTVXMQ/edit#gid=1251630045"",""articles_with_PRISMA_reasons!B2:B2113""))&lt;2),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$A1036=IMPORTRANGE(""https://docs.google.com/spreadsheets/d/1BJSV3WBYJGRhQ6zExamkszQ5VutGIcaQqmbD9ZTVXMQ/edit#gid=1251630045"",""a"&amp;"rticles_with_PRISMA_reasons!B2:B2113""))&lt;2,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$A1036=IMPORTRANGE(""https://docs.google"&amp;".com/spreadsheets/d/1BJSV3WBYJGRhQ6zExamkszQ5VutGIcaQqmbD9ZTVXMQ/edit#gid=1251630045"",""articles_with_PRISMA_reasons!B2:B2113""))&gt;=2),
""Exclude""
)"),"Exclude")</f>
        <v>Exclude</v>
      </c>
      <c r="E1036" s="5" t="str">
        <f>IFERROR(__xludf.DUMMYFUNCTION("IFS(
D1036=""Exclude"",""Exclude"",
AND(
FILTER(IMPORTRANGE(""https://docs.google.com/spreadsheets/d/1qpEmbGH0JjaJbUdp21-y2cPbobDbMjr09BbtdKROZWc/edit#gid=1444865654"",""articles_with_PRISMA_reasons!W2:W2113""), $A1036=IMPORTRANGE(""https://docs.google.co"&amp;"m/spreadsheets/d/1qpEmbGH0JjaJbUdp21-y2cPbobDbMjr09BbtdKROZWc/edit#gid=1444865654"",""articles_with_PRISMA_reasons!B2:B2113""))&gt;=2,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$A1036=IMPORTRANGE(""https://docs.google.com/spreadsheets/d/1qpEmbGH0JjaJbUdp21-y2cPbobDbMjr09BbtdKROZWc/edit#gid=1444865654"",""articles_with_PRISMA_reasons!B2:B2113""))&lt;2),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$A1036=IMPORTRANGE(""https://docs.google.com/spreadsheets/d/1qpEmbGH0JjaJbUdp21-y2cPbobDbMjr09Bbtd"&amp;"KROZWc/edit#gid=1444865654"",""articles_with_PRISMA_reasons!B2:B2113""))&lt;2,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$A1036=I"&amp;"MPORTRANGE(""https://docs.google.com/spreadsheets/d/1qpEmbGH0JjaJbUdp21-y2cPbobDbMjr09BbtdKROZWc/edit#gid=1444865654"",""articles_with_PRISMA_reasons!B2:B2113""))&gt;=2),
""Exclude""
)"),"Exclude")</f>
        <v>Exclude</v>
      </c>
      <c r="F1036" s="5" t="str">
        <f>IFERROR(__xludf.DUMMYFUNCTION("IFS(
E1036=""Exclude"",""Exclude"",
AND(
COUNTIF(
IMPORTRANGE(""https://docs.google.com/spreadsheets/d/1kGrh75X1cNR1D7_FcY9zMnHP8iPO4M5RCRjy6nZY0TY/edit#gid=0"",""Table 1: Study characteristics!B4:B171""),A1036)&gt;0,
COUNTIF(Studies!$A$2:$A$85,FILTER(IMPORT"&amp;"RANGE(""https://docs.google.com/spreadsheets/d/1kGrh75X1cNR1D7_FcY9zMnHP8iPO4M5RCRjy6nZY0TY/edit#gid=0"",""Table 1: Study characteristics!A4:A171""), $A1036=IMPORTRANGE(""https://docs.google.com/spreadsheets/d/1kGrh75X1cNR1D7_FcY9zMnHP8iPO4M5RCRjy6nZY0TY/"&amp;"edit#gid=0"",""Table 1: Study characteristics!B4:B171"")))&gt;0
),
""Include""
)"),"Exclude")</f>
        <v>Exclude</v>
      </c>
      <c r="G1036" s="5" t="str">
        <f>IFERROR(__xludf.DUMMYFUNCTION("IFS(
D1036=""Exclude"",
FILTER(IMPORTRANGE(""https://docs.google.com/spreadsheets/d/1BJSV3WBYJGRhQ6zExamkszQ5VutGIcaQqmbD9ZTVXMQ/edit#gid=1251630045"",""articles_with_PRISMA_reasons!AB2:AB2113""), $A1036=IMPORTRANGE(""https://docs.google.com/spreadsheets/"&amp;"d/1BJSV3WBYJGRhQ6zExamkszQ5VutGIcaQqmbD9ZTVXMQ/edit#gid=1251630045"",""articles_with_PRISMA_reasons!B2:B2113"")),
E1036=""Exclude"",
FILTER(IMPORTRANGE(""https://docs.google.com/spreadsheets/d/1qpEmbGH0JjaJbUdp21-y2cPbobDbMjr09BbtdKROZWc/edit#gid=14448656"&amp;"54"",""articles_with_PRISMA_reasons!Z2:Z2113""), $A1036=IMPORTRANGE(""https://docs.google.com/spreadsheets/d/1qpEmbGH0JjaJbUdp21-y2cPbobDbMjr09BbtdKROZWc/edit#gid=1444865654"",""articles_with_PRISMA_reasons!B2:B2113"")),F1036
=""Include"",FILTER(IMPORTRAN"&amp;"GE(""https://docs.google.com/spreadsheets/d/1kGrh75X1cNR1D7_FcY9zMnHP8iPO4M5RCRjy6nZY0TY/edit#gid=0"",""Table 1: Study characteristics!A4:A171""), $A1036=IMPORTRANGE(""https://docs.google.com/spreadsheets/d/1kGrh75X1cNR1D7_FcY9zMnHP8iPO4M5RCRjy6nZY0TY/edi"&amp;"t#gid=0"",""Table 1: Study characteristics!B4:B171""))
)"),"wrong study design")</f>
        <v>wrong study design</v>
      </c>
    </row>
    <row r="1037">
      <c r="A1037" s="4" t="str">
        <f>IFERROR(__xludf.DUMMYFUNCTION("""COMPUTED_VALUE"""),"Isotope cisternography and ventriculography in the diagnosis of hydrocephalus")</f>
        <v>Isotope cisternography and ventriculography in the diagnosis of hydrocephalus</v>
      </c>
      <c r="B1037" s="5" t="str">
        <f>IFERROR(__xludf.DUMMYFUNCTION("LEFT(FILTER(IMPORTRANGE(""https://docs.google.com/spreadsheets/d/1BJSV3WBYJGRhQ6zExamkszQ5VutGIcaQqmbD9ZTVXMQ/edit#gid=1251630045"",""articles_with_PRISMA_reasons!K2:K2113""), $A1037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$A1037=IMPORTRANGE(""https://docs.google.com/spreadsheets/d/1BJSV3WBYJGRhQ6zExamkszQ5VutGIcaQqmbD9ZTVXMQ/edit#gid=1251630045"",""articles_with_PRISMA_reasons!B2:B2113"")))-1)"),"Hammock")</f>
        <v>Hammock</v>
      </c>
      <c r="C1037" s="6">
        <f>IFERROR(__xludf.DUMMYFUNCTION("FILTER(IMPORTRANGE(""https://docs.google.com/spreadsheets/d/1BJSV3WBYJGRhQ6zExamkszQ5VutGIcaQqmbD9ZTVXMQ/edit#gid=1251630045"",""articles_with_PRISMA_reasons!C2:C2113""), $A1037=IMPORTRANGE(""https://docs.google.com/spreadsheets/d/1BJSV3WBYJGRhQ6zExamkszQ"&amp;"5VutGIcaQqmbD9ZTVXMQ/edit#gid=1251630045"",""articles_with_PRISMA_reasons!B2:B2113""))"),1974.0)</f>
        <v>1974</v>
      </c>
      <c r="D1037" s="5" t="str">
        <f>IFERROR(__xludf.DUMMYFUNCTION("IFS(AND(
FILTER(IMPORTRANGE(""https://docs.google.com/spreadsheets/d/1BJSV3WBYJGRhQ6zExamkszQ5VutGIcaQqmbD9ZTVXMQ/edit#gid=1251630045"",""articles_with_PRISMA_reasons!Y2:Y2113""), $A1037=IMPORTRANGE(""https://docs.google.com/spreadsheets/d/1BJSV3WBYJGRhQ6"&amp;"zExamkszQ5VutGIcaQqmbD9ZTVXMQ/edit#gid=1251630045"",""articles_with_PRISMA_reasons!B2:B2113""))&gt;=2,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$A1037=IMPORTRANGE(""https://docs.google.com/spreadsheets/d/1BJSV3WBYJGRhQ6zExamkszQ5VutGIcaQqmbD9ZTVXMQ/edit#gid=1251630045"",""articles_with_PRISMA_reasons!B2:B2113""))&lt;2),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$A1037=IMPORTRANGE(""https://docs.google.com/spreadsheets/d/1BJSV3WBYJGRhQ6zExamkszQ5VutGIcaQqmbD9ZTVXMQ/edit#gid=1251630045"",""a"&amp;"rticles_with_PRISMA_reasons!B2:B2113""))&lt;2,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$A1037=IMPORTRANGE(""https://docs.google"&amp;".com/spreadsheets/d/1BJSV3WBYJGRhQ6zExamkszQ5VutGIcaQqmbD9ZTVXMQ/edit#gid=1251630045"",""articles_with_PRISMA_reasons!B2:B2113""))&gt;=2),
""Exclude""
)"),"Exclude")</f>
        <v>Exclude</v>
      </c>
      <c r="E1037" s="5" t="str">
        <f>IFERROR(__xludf.DUMMYFUNCTION("IFS(
D1037=""Exclude"",""Exclude"",
AND(
FILTER(IMPORTRANGE(""https://docs.google.com/spreadsheets/d/1qpEmbGH0JjaJbUdp21-y2cPbobDbMjr09BbtdKROZWc/edit#gid=1444865654"",""articles_with_PRISMA_reasons!W2:W2113""), $A1037=IMPORTRANGE(""https://docs.google.co"&amp;"m/spreadsheets/d/1qpEmbGH0JjaJbUdp21-y2cPbobDbMjr09BbtdKROZWc/edit#gid=1444865654"",""articles_with_PRISMA_reasons!B2:B2113""))&gt;=2,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$A1037=IMPORTRANGE(""https://docs.google.com/spreadsheets/d/1qpEmbGH0JjaJbUdp21-y2cPbobDbMjr09BbtdKROZWc/edit#gid=1444865654"",""articles_with_PRISMA_reasons!B2:B2113""))&lt;2),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$A1037=IMPORTRANGE(""https://docs.google.com/spreadsheets/d/1qpEmbGH0JjaJbUdp21-y2cPbobDbMjr09Bbtd"&amp;"KROZWc/edit#gid=1444865654"",""articles_with_PRISMA_reasons!B2:B2113""))&lt;2,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$A1037=I"&amp;"MPORTRANGE(""https://docs.google.com/spreadsheets/d/1qpEmbGH0JjaJbUdp21-y2cPbobDbMjr09BbtdKROZWc/edit#gid=1444865654"",""articles_with_PRISMA_reasons!B2:B2113""))&gt;=2),
""Exclude""
)"),"Exclude")</f>
        <v>Exclude</v>
      </c>
      <c r="F1037" s="5" t="str">
        <f>IFERROR(__xludf.DUMMYFUNCTION("IFS(
E1037=""Exclude"",""Exclude"",
AND(
COUNTIF(
IMPORTRANGE(""https://docs.google.com/spreadsheets/d/1kGrh75X1cNR1D7_FcY9zMnHP8iPO4M5RCRjy6nZY0TY/edit#gid=0"",""Table 1: Study characteristics!B4:B171""),A1037)&gt;0,
COUNTIF(Studies!$A$2:$A$85,FILTER(IMPORT"&amp;"RANGE(""https://docs.google.com/spreadsheets/d/1kGrh75X1cNR1D7_FcY9zMnHP8iPO4M5RCRjy6nZY0TY/edit#gid=0"",""Table 1: Study characteristics!A4:A171""), $A1037=IMPORTRANGE(""https://docs.google.com/spreadsheets/d/1kGrh75X1cNR1D7_FcY9zMnHP8iPO4M5RCRjy6nZY0TY/"&amp;"edit#gid=0"",""Table 1: Study characteristics!B4:B171"")))&gt;0
),
""Include""
)"),"Exclude")</f>
        <v>Exclude</v>
      </c>
      <c r="G1037" s="5" t="str">
        <f>IFERROR(__xludf.DUMMYFUNCTION("IFS(
D1037=""Exclude"",
FILTER(IMPORTRANGE(""https://docs.google.com/spreadsheets/d/1BJSV3WBYJGRhQ6zExamkszQ5VutGIcaQqmbD9ZTVXMQ/edit#gid=1251630045"",""articles_with_PRISMA_reasons!AB2:AB2113""), $A1037=IMPORTRANGE(""https://docs.google.com/spreadsheets/"&amp;"d/1BJSV3WBYJGRhQ6zExamkszQ5VutGIcaQqmbD9ZTVXMQ/edit#gid=1251630045"",""articles_with_PRISMA_reasons!B2:B2113"")),
E1037=""Exclude"",
FILTER(IMPORTRANGE(""https://docs.google.com/spreadsheets/d/1qpEmbGH0JjaJbUdp21-y2cPbobDbMjr09BbtdKROZWc/edit#gid=14448656"&amp;"54"",""articles_with_PRISMA_reasons!Z2:Z2113""), $A1037=IMPORTRANGE(""https://docs.google.com/spreadsheets/d/1qpEmbGH0JjaJbUdp21-y2cPbobDbMjr09BbtdKROZWc/edit#gid=1444865654"",""articles_with_PRISMA_reasons!B2:B2113"")),F1037
=""Include"",FILTER(IMPORTRAN"&amp;"GE(""https://docs.google.com/spreadsheets/d/1kGrh75X1cNR1D7_FcY9zMnHP8iPO4M5RCRjy6nZY0TY/edit#gid=0"",""Table 1: Study characteristics!A4:A171""), $A1037=IMPORTRANGE(""https://docs.google.com/spreadsheets/d/1kGrh75X1cNR1D7_FcY9zMnHP8iPO4M5RCRjy6nZY0TY/edi"&amp;"t#gid=0"",""Table 1: Study characteristics!B4:B171""))
)"),"wrong study design")</f>
        <v>wrong study design</v>
      </c>
    </row>
    <row r="1038">
      <c r="A1038" s="4" t="str">
        <f>IFERROR(__xludf.DUMMYFUNCTION("""COMPUTED_VALUE"""),"Issues of medical management in adults with spina bifida")</f>
        <v>Issues of medical management in adults with spina bifida</v>
      </c>
      <c r="B1038" s="5" t="str">
        <f>IFERROR(__xludf.DUMMYFUNCTION("LEFT(FILTER(IMPORTRANGE(""https://docs.google.com/spreadsheets/d/1BJSV3WBYJGRhQ6zExamkszQ5VutGIcaQqmbD9ZTVXMQ/edit#gid=1251630045"",""articles_with_PRISMA_reasons!K2:K2113""), $A1038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$A1038=IMPORTRANGE(""https://docs.google.com/spreadsheets/d/1BJSV3WBYJGRhQ6zExamkszQ5VutGIcaQqmbD9ZTVXMQ/edit#gid=1251630045"",""articles_with_PRISMA_reasons!B2:B2113"")))-1)"),"McDonnell")</f>
        <v>McDonnell</v>
      </c>
      <c r="C1038" s="6">
        <f>IFERROR(__xludf.DUMMYFUNCTION("FILTER(IMPORTRANGE(""https://docs.google.com/spreadsheets/d/1BJSV3WBYJGRhQ6zExamkszQ5VutGIcaQqmbD9ZTVXMQ/edit#gid=1251630045"",""articles_with_PRISMA_reasons!C2:C2113""), $A1038=IMPORTRANGE(""https://docs.google.com/spreadsheets/d/1BJSV3WBYJGRhQ6zExamkszQ"&amp;"5VutGIcaQqmbD9ZTVXMQ/edit#gid=1251630045"",""articles_with_PRISMA_reasons!B2:B2113""))"),2000.0)</f>
        <v>2000</v>
      </c>
      <c r="D1038" s="5" t="str">
        <f>IFERROR(__xludf.DUMMYFUNCTION("IFS(AND(
FILTER(IMPORTRANGE(""https://docs.google.com/spreadsheets/d/1BJSV3WBYJGRhQ6zExamkszQ5VutGIcaQqmbD9ZTVXMQ/edit#gid=1251630045"",""articles_with_PRISMA_reasons!Y2:Y2113""), $A1038=IMPORTRANGE(""https://docs.google.com/spreadsheets/d/1BJSV3WBYJGRhQ6"&amp;"zExamkszQ5VutGIcaQqmbD9ZTVXMQ/edit#gid=1251630045"",""articles_with_PRISMA_reasons!B2:B2113""))&gt;=2,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$A1038=IMPORTRANGE(""https://docs.google.com/spreadsheets/d/1BJSV3WBYJGRhQ6zExamkszQ5VutGIcaQqmbD9ZTVXMQ/edit#gid=1251630045"",""articles_with_PRISMA_reasons!B2:B2113""))&lt;2),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$A1038=IMPORTRANGE(""https://docs.google.com/spreadsheets/d/1BJSV3WBYJGRhQ6zExamkszQ5VutGIcaQqmbD9ZTVXMQ/edit#gid=1251630045"",""a"&amp;"rticles_with_PRISMA_reasons!B2:B2113""))&lt;2,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$A1038=IMPORTRANGE(""https://docs.google"&amp;".com/spreadsheets/d/1BJSV3WBYJGRhQ6zExamkszQ5VutGIcaQqmbD9ZTVXMQ/edit#gid=1251630045"",""articles_with_PRISMA_reasons!B2:B2113""))&gt;=2),
""Exclude""
)"),"Exclude")</f>
        <v>Exclude</v>
      </c>
      <c r="E1038" s="5" t="str">
        <f>IFERROR(__xludf.DUMMYFUNCTION("IFS(
D1038=""Exclude"",""Exclude"",
AND(
FILTER(IMPORTRANGE(""https://docs.google.com/spreadsheets/d/1qpEmbGH0JjaJbUdp21-y2cPbobDbMjr09BbtdKROZWc/edit#gid=1444865654"",""articles_with_PRISMA_reasons!W2:W2113""), $A1038=IMPORTRANGE(""https://docs.google.co"&amp;"m/spreadsheets/d/1qpEmbGH0JjaJbUdp21-y2cPbobDbMjr09BbtdKROZWc/edit#gid=1444865654"",""articles_with_PRISMA_reasons!B2:B2113""))&gt;=2,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$A1038=IMPORTRANGE(""https://docs.google.com/spreadsheets/d/1qpEmbGH0JjaJbUdp21-y2cPbobDbMjr09BbtdKROZWc/edit#gid=1444865654"",""articles_with_PRISMA_reasons!B2:B2113""))&lt;2),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$A1038=IMPORTRANGE(""https://docs.google.com/spreadsheets/d/1qpEmbGH0JjaJbUdp21-y2cPbobDbMjr09Bbtd"&amp;"KROZWc/edit#gid=1444865654"",""articles_with_PRISMA_reasons!B2:B2113""))&lt;2,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$A1038=I"&amp;"MPORTRANGE(""https://docs.google.com/spreadsheets/d/1qpEmbGH0JjaJbUdp21-y2cPbobDbMjr09BbtdKROZWc/edit#gid=1444865654"",""articles_with_PRISMA_reasons!B2:B2113""))&gt;=2),
""Exclude""
)"),"Exclude")</f>
        <v>Exclude</v>
      </c>
      <c r="F1038" s="5" t="str">
        <f>IFERROR(__xludf.DUMMYFUNCTION("IFS(
E1038=""Exclude"",""Exclude"",
AND(
COUNTIF(
IMPORTRANGE(""https://docs.google.com/spreadsheets/d/1kGrh75X1cNR1D7_FcY9zMnHP8iPO4M5RCRjy6nZY0TY/edit#gid=0"",""Table 1: Study characteristics!B4:B171""),A1038)&gt;0,
COUNTIF(Studies!$A$2:$A$85,FILTER(IMPORT"&amp;"RANGE(""https://docs.google.com/spreadsheets/d/1kGrh75X1cNR1D7_FcY9zMnHP8iPO4M5RCRjy6nZY0TY/edit#gid=0"",""Table 1: Study characteristics!A4:A171""), $A1038=IMPORTRANGE(""https://docs.google.com/spreadsheets/d/1kGrh75X1cNR1D7_FcY9zMnHP8iPO4M5RCRjy6nZY0TY/"&amp;"edit#gid=0"",""Table 1: Study characteristics!B4:B171"")))&gt;0
),
""Include""
)"),"Exclude")</f>
        <v>Exclude</v>
      </c>
      <c r="G1038" s="5" t="str">
        <f>IFERROR(__xludf.DUMMYFUNCTION("IFS(
D1038=""Exclude"",
FILTER(IMPORTRANGE(""https://docs.google.com/spreadsheets/d/1BJSV3WBYJGRhQ6zExamkszQ5VutGIcaQqmbD9ZTVXMQ/edit#gid=1251630045"",""articles_with_PRISMA_reasons!AB2:AB2113""), $A1038=IMPORTRANGE(""https://docs.google.com/spreadsheets/"&amp;"d/1BJSV3WBYJGRhQ6zExamkszQ5VutGIcaQqmbD9ZTVXMQ/edit#gid=1251630045"",""articles_with_PRISMA_reasons!B2:B2113"")),
E1038=""Exclude"",
FILTER(IMPORTRANGE(""https://docs.google.com/spreadsheets/d/1qpEmbGH0JjaJbUdp21-y2cPbobDbMjr09BbtdKROZWc/edit#gid=14448656"&amp;"54"",""articles_with_PRISMA_reasons!Z2:Z2113""), $A1038=IMPORTRANGE(""https://docs.google.com/spreadsheets/d/1qpEmbGH0JjaJbUdp21-y2cPbobDbMjr09BbtdKROZWc/edit#gid=1444865654"",""articles_with_PRISMA_reasons!B2:B2113"")),F1038
=""Include"",FILTER(IMPORTRAN"&amp;"GE(""https://docs.google.com/spreadsheets/d/1kGrh75X1cNR1D7_FcY9zMnHP8iPO4M5RCRjy6nZY0TY/edit#gid=0"",""Table 1: Study characteristics!A4:A171""), $A1038=IMPORTRANGE(""https://docs.google.com/spreadsheets/d/1kGrh75X1cNR1D7_FcY9zMnHP8iPO4M5RCRjy6nZY0TY/edi"&amp;"t#gid=0"",""Table 1: Study characteristics!B4:B171""))
)"),"wrong population")</f>
        <v>wrong population</v>
      </c>
    </row>
    <row r="1039">
      <c r="A1039" s="4" t="str">
        <f>IFERROR(__xludf.DUMMYFUNCTION("""COMPUTED_VALUE"""),"Its per-operative findings in patients operated for spinal dysraphism: A study of 96 cases")</f>
        <v>Its per-operative findings in patients operated for spinal dysraphism: A study of 96 cases</v>
      </c>
      <c r="B1039" s="5" t="str">
        <f>IFERROR(__xludf.DUMMYFUNCTION("LEFT(FILTER(IMPORTRANGE(""https://docs.google.com/spreadsheets/d/1BJSV3WBYJGRhQ6zExamkszQ5VutGIcaQqmbD9ZTVXMQ/edit#gid=1251630045"",""articles_with_PRISMA_reasons!K2:K2113""), $A1039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$A1039=IMPORTRANGE(""https://docs.google.com/spreadsheets/d/1BJSV3WBYJGRhQ6zExamkszQ5VutGIcaQqmbD9ZTVXMQ/edit#gid=1251630045"",""articles_with_PRISMA_reasons!B2:B2113"")))-1)"),"Usman")</f>
        <v>Usman</v>
      </c>
      <c r="C1039" s="6">
        <f>IFERROR(__xludf.DUMMYFUNCTION("FILTER(IMPORTRANGE(""https://docs.google.com/spreadsheets/d/1BJSV3WBYJGRhQ6zExamkszQ5VutGIcaQqmbD9ZTVXMQ/edit#gid=1251630045"",""articles_with_PRISMA_reasons!C2:C2113""), $A1039=IMPORTRANGE(""https://docs.google.com/spreadsheets/d/1BJSV3WBYJGRhQ6zExamkszQ"&amp;"5VutGIcaQqmbD9ZTVXMQ/edit#gid=1251630045"",""articles_with_PRISMA_reasons!B2:B2113""))"),2011.0)</f>
        <v>2011</v>
      </c>
      <c r="D1039" s="5" t="str">
        <f>IFERROR(__xludf.DUMMYFUNCTION("IFS(AND(
FILTER(IMPORTRANGE(""https://docs.google.com/spreadsheets/d/1BJSV3WBYJGRhQ6zExamkszQ5VutGIcaQqmbD9ZTVXMQ/edit#gid=1251630045"",""articles_with_PRISMA_reasons!Y2:Y2113""), $A1039=IMPORTRANGE(""https://docs.google.com/spreadsheets/d/1BJSV3WBYJGRhQ6"&amp;"zExamkszQ5VutGIcaQqmbD9ZTVXMQ/edit#gid=1251630045"",""articles_with_PRISMA_reasons!B2:B2113""))&gt;=2,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$A1039=IMPORTRANGE(""https://docs.google.com/spreadsheets/d/1BJSV3WBYJGRhQ6zExamkszQ5VutGIcaQqmbD9ZTVXMQ/edit#gid=1251630045"",""articles_with_PRISMA_reasons!B2:B2113""))&lt;2),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$A1039=IMPORTRANGE(""https://docs.google.com/spreadsheets/d/1BJSV3WBYJGRhQ6zExamkszQ5VutGIcaQqmbD9ZTVXMQ/edit#gid=1251630045"",""a"&amp;"rticles_with_PRISMA_reasons!B2:B2113""))&lt;2,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$A1039=IMPORTRANGE(""https://docs.google"&amp;".com/spreadsheets/d/1BJSV3WBYJGRhQ6zExamkszQ5VutGIcaQqmbD9ZTVXMQ/edit#gid=1251630045"",""articles_with_PRISMA_reasons!B2:B2113""))&gt;=2),
""Exclude""
)"),"Exclude")</f>
        <v>Exclude</v>
      </c>
      <c r="E1039" s="5" t="str">
        <f>IFERROR(__xludf.DUMMYFUNCTION("IFS(
D1039=""Exclude"",""Exclude"",
AND(
FILTER(IMPORTRANGE(""https://docs.google.com/spreadsheets/d/1qpEmbGH0JjaJbUdp21-y2cPbobDbMjr09BbtdKROZWc/edit#gid=1444865654"",""articles_with_PRISMA_reasons!W2:W2113""), $A1039=IMPORTRANGE(""https://docs.google.co"&amp;"m/spreadsheets/d/1qpEmbGH0JjaJbUdp21-y2cPbobDbMjr09BbtdKROZWc/edit#gid=1444865654"",""articles_with_PRISMA_reasons!B2:B2113""))&gt;=2,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$A1039=IMPORTRANGE(""https://docs.google.com/spreadsheets/d/1qpEmbGH0JjaJbUdp21-y2cPbobDbMjr09BbtdKROZWc/edit#gid=1444865654"",""articles_with_PRISMA_reasons!B2:B2113""))&lt;2),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$A1039=IMPORTRANGE(""https://docs.google.com/spreadsheets/d/1qpEmbGH0JjaJbUdp21-y2cPbobDbMjr09Bbtd"&amp;"KROZWc/edit#gid=1444865654"",""articles_with_PRISMA_reasons!B2:B2113""))&lt;2,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$A1039=I"&amp;"MPORTRANGE(""https://docs.google.com/spreadsheets/d/1qpEmbGH0JjaJbUdp21-y2cPbobDbMjr09BbtdKROZWc/edit#gid=1444865654"",""articles_with_PRISMA_reasons!B2:B2113""))&gt;=2),
""Exclude""
)"),"Exclude")</f>
        <v>Exclude</v>
      </c>
      <c r="F1039" s="5" t="str">
        <f>IFERROR(__xludf.DUMMYFUNCTION("IFS(
E1039=""Exclude"",""Exclude"",
AND(
COUNTIF(
IMPORTRANGE(""https://docs.google.com/spreadsheets/d/1kGrh75X1cNR1D7_FcY9zMnHP8iPO4M5RCRjy6nZY0TY/edit#gid=0"",""Table 1: Study characteristics!B4:B171""),A1039)&gt;0,
COUNTIF(Studies!$A$2:$A$85,FILTER(IMPORT"&amp;"RANGE(""https://docs.google.com/spreadsheets/d/1kGrh75X1cNR1D7_FcY9zMnHP8iPO4M5RCRjy6nZY0TY/edit#gid=0"",""Table 1: Study characteristics!A4:A171""), $A1039=IMPORTRANGE(""https://docs.google.com/spreadsheets/d/1kGrh75X1cNR1D7_FcY9zMnHP8iPO4M5RCRjy6nZY0TY/"&amp;"edit#gid=0"",""Table 1: Study characteristics!B4:B171"")))&gt;0
),
""Include""
)"),"Exclude")</f>
        <v>Exclude</v>
      </c>
      <c r="G1039" s="5" t="str">
        <f>IFERROR(__xludf.DUMMYFUNCTION("IFS(
D1039=""Exclude"",
FILTER(IMPORTRANGE(""https://docs.google.com/spreadsheets/d/1BJSV3WBYJGRhQ6zExamkszQ5VutGIcaQqmbD9ZTVXMQ/edit#gid=1251630045"",""articles_with_PRISMA_reasons!AB2:AB2113""), $A1039=IMPORTRANGE(""https://docs.google.com/spreadsheets/"&amp;"d/1BJSV3WBYJGRhQ6zExamkszQ5VutGIcaQqmbD9ZTVXMQ/edit#gid=1251630045"",""articles_with_PRISMA_reasons!B2:B2113"")),
E1039=""Exclude"",
FILTER(IMPORTRANGE(""https://docs.google.com/spreadsheets/d/1qpEmbGH0JjaJbUdp21-y2cPbobDbMjr09BbtdKROZWc/edit#gid=14448656"&amp;"54"",""articles_with_PRISMA_reasons!Z2:Z2113""), $A1039=IMPORTRANGE(""https://docs.google.com/spreadsheets/d/1qpEmbGH0JjaJbUdp21-y2cPbobDbMjr09BbtdKROZWc/edit#gid=1444865654"",""articles_with_PRISMA_reasons!B2:B2113"")),F1039
=""Include"",FILTER(IMPORTRAN"&amp;"GE(""https://docs.google.com/spreadsheets/d/1kGrh75X1cNR1D7_FcY9zMnHP8iPO4M5RCRjy6nZY0TY/edit#gid=0"",""Table 1: Study characteristics!A4:A171""), $A1039=IMPORTRANGE(""https://docs.google.com/spreadsheets/d/1kGrh75X1cNR1D7_FcY9zMnHP8iPO4M5RCRjy6nZY0TY/edi"&amp;"t#gid=0"",""Table 1: Study characteristics!B4:B171""))
)"),"wrong population")</f>
        <v>wrong population</v>
      </c>
    </row>
    <row r="1040">
      <c r="A1040" s="4" t="str">
        <f>IFERROR(__xludf.DUMMYFUNCTION("""COMPUTED_VALUE"""),"Jarcho-Levin syndrome")</f>
        <v>Jarcho-Levin syndrome</v>
      </c>
      <c r="B1040" s="5" t="str">
        <f>IFERROR(__xludf.DUMMYFUNCTION("LEFT(FILTER(IMPORTRANGE(""https://docs.google.com/spreadsheets/d/1BJSV3WBYJGRhQ6zExamkszQ5VutGIcaQqmbD9ZTVXMQ/edit#gid=1251630045"",""articles_with_PRISMA_reasons!K2:K2113""), $A1040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$A1040=IMPORTRANGE(""https://docs.google.com/spreadsheets/d/1BJSV3WBYJGRhQ6zExamkszQ5VutGIcaQqmbD9ZTVXMQ/edit#gid=1251630045"",""articles_with_PRISMA_reasons!B2:B2113"")))-1)"),"Navaz Sarfaraz")</f>
        <v>Navaz Sarfaraz</v>
      </c>
      <c r="C1040" s="3">
        <v>2006.0</v>
      </c>
      <c r="D1040" s="5" t="str">
        <f>IFERROR(__xludf.DUMMYFUNCTION("IFS(AND(
FILTER(IMPORTRANGE(""https://docs.google.com/spreadsheets/d/1BJSV3WBYJGRhQ6zExamkszQ5VutGIcaQqmbD9ZTVXMQ/edit#gid=1251630045"",""articles_with_PRISMA_reasons!Y2:Y2113""), $A1040=IMPORTRANGE(""https://docs.google.com/spreadsheets/d/1BJSV3WBYJGRhQ6"&amp;"zExamkszQ5VutGIcaQqmbD9ZTVXMQ/edit#gid=1251630045"",""articles_with_PRISMA_reasons!B2:B2113""))&gt;=2,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$A1040=IMPORTRANGE(""https://docs.google.com/spreadsheets/d/1BJSV3WBYJGRhQ6zExamkszQ5VutGIcaQqmbD9ZTVXMQ/edit#gid=1251630045"",""articles_with_PRISMA_reasons!B2:B2113""))&lt;2),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$A1040=IMPORTRANGE(""https://docs.google.com/spreadsheets/d/1BJSV3WBYJGRhQ6zExamkszQ5VutGIcaQqmbD9ZTVXMQ/edit#gid=1251630045"",""a"&amp;"rticles_with_PRISMA_reasons!B2:B2113""))&lt;2,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$A1040=IMPORTRANGE(""https://docs.google"&amp;".com/spreadsheets/d/1BJSV3WBYJGRhQ6zExamkszQ5VutGIcaQqmbD9ZTVXMQ/edit#gid=1251630045"",""articles_with_PRISMA_reasons!B2:B2113""))&gt;=2),
""Exclude""
)"),"Exclude")</f>
        <v>Exclude</v>
      </c>
      <c r="E1040" s="5" t="str">
        <f>IFERROR(__xludf.DUMMYFUNCTION("IFS(
D1040=""Exclude"",""Exclude"",
AND(
FILTER(IMPORTRANGE(""https://docs.google.com/spreadsheets/d/1qpEmbGH0JjaJbUdp21-y2cPbobDbMjr09BbtdKROZWc/edit#gid=1444865654"",""articles_with_PRISMA_reasons!W2:W2113""), $A1040=IMPORTRANGE(""https://docs.google.co"&amp;"m/spreadsheets/d/1qpEmbGH0JjaJbUdp21-y2cPbobDbMjr09BbtdKROZWc/edit#gid=1444865654"",""articles_with_PRISMA_reasons!B2:B2113""))&gt;=2,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$A1040=IMPORTRANGE(""https://docs.google.com/spreadsheets/d/1qpEmbGH0JjaJbUdp21-y2cPbobDbMjr09BbtdKROZWc/edit#gid=1444865654"",""articles_with_PRISMA_reasons!B2:B2113""))&lt;2),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$A1040=IMPORTRANGE(""https://docs.google.com/spreadsheets/d/1qpEmbGH0JjaJbUdp21-y2cPbobDbMjr09Bbtd"&amp;"KROZWc/edit#gid=1444865654"",""articles_with_PRISMA_reasons!B2:B2113""))&lt;2,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$A1040=I"&amp;"MPORTRANGE(""https://docs.google.com/spreadsheets/d/1qpEmbGH0JjaJbUdp21-y2cPbobDbMjr09BbtdKROZWc/edit#gid=1444865654"",""articles_with_PRISMA_reasons!B2:B2113""))&gt;=2),
""Exclude""
)"),"Exclude")</f>
        <v>Exclude</v>
      </c>
      <c r="F1040" s="5" t="str">
        <f>IFERROR(__xludf.DUMMYFUNCTION("IFS(
E1040=""Exclude"",""Exclude"",
AND(
COUNTIF(
IMPORTRANGE(""https://docs.google.com/spreadsheets/d/1kGrh75X1cNR1D7_FcY9zMnHP8iPO4M5RCRjy6nZY0TY/edit#gid=0"",""Table 1: Study characteristics!B4:B171""),A1040)&gt;0,
COUNTIF(Studies!$A$2:$A$85,FILTER(IMPORT"&amp;"RANGE(""https://docs.google.com/spreadsheets/d/1kGrh75X1cNR1D7_FcY9zMnHP8iPO4M5RCRjy6nZY0TY/edit#gid=0"",""Table 1: Study characteristics!A4:A171""), $A1040=IMPORTRANGE(""https://docs.google.com/spreadsheets/d/1kGrh75X1cNR1D7_FcY9zMnHP8iPO4M5RCRjy6nZY0TY/"&amp;"edit#gid=0"",""Table 1: Study characteristics!B4:B171"")))&gt;0
),
""Include""
)"),"Exclude")</f>
        <v>Exclude</v>
      </c>
      <c r="G1040" s="5" t="s">
        <v>7</v>
      </c>
    </row>
    <row r="1041">
      <c r="A1041" s="4" t="str">
        <f>IFERROR(__xludf.DUMMYFUNCTION("""COMPUTED_VALUE"""),"Jarcho-Levin syndrome")</f>
        <v>Jarcho-Levin syndrome</v>
      </c>
      <c r="B1041" s="5" t="str">
        <f>IFERROR(__xludf.DUMMYFUNCTION("LEFT(FILTER(IMPORTRANGE(""https://docs.google.com/spreadsheets/d/1BJSV3WBYJGRhQ6zExamkszQ5VutGIcaQqmbD9ZTVXMQ/edit#gid=1251630045"",""articles_with_PRISMA_reasons!K2:K2113""), $A1041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$A1041=IMPORTRANGE(""https://docs.google.com/spreadsheets/d/1BJSV3WBYJGRhQ6zExamkszQ5VutGIcaQqmbD9ZTVXMQ/edit#gid=1251630045"",""articles_with_PRISMA_reasons!B2:B2113"")))-1)"),"Navaz Sarfaraz")</f>
        <v>Navaz Sarfaraz</v>
      </c>
      <c r="C1041" s="3">
        <v>2006.0</v>
      </c>
      <c r="D1041" s="5" t="str">
        <f>IFERROR(__xludf.DUMMYFUNCTION("IFS(AND(
FILTER(IMPORTRANGE(""https://docs.google.com/spreadsheets/d/1BJSV3WBYJGRhQ6zExamkszQ5VutGIcaQqmbD9ZTVXMQ/edit#gid=1251630045"",""articles_with_PRISMA_reasons!Y2:Y2113""), $A1041=IMPORTRANGE(""https://docs.google.com/spreadsheets/d/1BJSV3WBYJGRhQ6"&amp;"zExamkszQ5VutGIcaQqmbD9ZTVXMQ/edit#gid=1251630045"",""articles_with_PRISMA_reasons!B2:B2113""))&gt;=2,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$A1041=IMPORTRANGE(""https://docs.google.com/spreadsheets/d/1BJSV3WBYJGRhQ6zExamkszQ5VutGIcaQqmbD9ZTVXMQ/edit#gid=1251630045"",""articles_with_PRISMA_reasons!B2:B2113""))&lt;2),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$A1041=IMPORTRANGE(""https://docs.google.com/spreadsheets/d/1BJSV3WBYJGRhQ6zExamkszQ5VutGIcaQqmbD9ZTVXMQ/edit#gid=1251630045"",""a"&amp;"rticles_with_PRISMA_reasons!B2:B2113""))&lt;2,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$A1041=IMPORTRANGE(""https://docs.google"&amp;".com/spreadsheets/d/1BJSV3WBYJGRhQ6zExamkszQ5VutGIcaQqmbD9ZTVXMQ/edit#gid=1251630045"",""articles_with_PRISMA_reasons!B2:B2113""))&gt;=2),
""Exclude""
)"),"Exclude")</f>
        <v>Exclude</v>
      </c>
      <c r="E1041" s="5" t="str">
        <f>IFERROR(__xludf.DUMMYFUNCTION("IFS(
D1041=""Exclude"",""Exclude"",
AND(
FILTER(IMPORTRANGE(""https://docs.google.com/spreadsheets/d/1qpEmbGH0JjaJbUdp21-y2cPbobDbMjr09BbtdKROZWc/edit#gid=1444865654"",""articles_with_PRISMA_reasons!W2:W2113""), $A1041=IMPORTRANGE(""https://docs.google.co"&amp;"m/spreadsheets/d/1qpEmbGH0JjaJbUdp21-y2cPbobDbMjr09BbtdKROZWc/edit#gid=1444865654"",""articles_with_PRISMA_reasons!B2:B2113""))&gt;=2,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$A1041=IMPORTRANGE(""https://docs.google.com/spreadsheets/d/1qpEmbGH0JjaJbUdp21-y2cPbobDbMjr09BbtdKROZWc/edit#gid=1444865654"",""articles_with_PRISMA_reasons!B2:B2113""))&lt;2),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$A1041=IMPORTRANGE(""https://docs.google.com/spreadsheets/d/1qpEmbGH0JjaJbUdp21-y2cPbobDbMjr09Bbtd"&amp;"KROZWc/edit#gid=1444865654"",""articles_with_PRISMA_reasons!B2:B2113""))&lt;2,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$A1041=I"&amp;"MPORTRANGE(""https://docs.google.com/spreadsheets/d/1qpEmbGH0JjaJbUdp21-y2cPbobDbMjr09BbtdKROZWc/edit#gid=1444865654"",""articles_with_PRISMA_reasons!B2:B2113""))&gt;=2),
""Exclude""
)"),"Exclude")</f>
        <v>Exclude</v>
      </c>
      <c r="F1041" s="5" t="str">
        <f>IFERROR(__xludf.DUMMYFUNCTION("IFS(
E1041=""Exclude"",""Exclude"",
AND(
COUNTIF(
IMPORTRANGE(""https://docs.google.com/spreadsheets/d/1kGrh75X1cNR1D7_FcY9zMnHP8iPO4M5RCRjy6nZY0TY/edit#gid=0"",""Table 1: Study characteristics!B4:B171""),A1041)&gt;0,
COUNTIF(Studies!$A$2:$A$85,FILTER(IMPORT"&amp;"RANGE(""https://docs.google.com/spreadsheets/d/1kGrh75X1cNR1D7_FcY9zMnHP8iPO4M5RCRjy6nZY0TY/edit#gid=0"",""Table 1: Study characteristics!A4:A171""), $A1041=IMPORTRANGE(""https://docs.google.com/spreadsheets/d/1kGrh75X1cNR1D7_FcY9zMnHP8iPO4M5RCRjy6nZY0TY/"&amp;"edit#gid=0"",""Table 1: Study characteristics!B4:B171"")))&gt;0
),
""Include""
)"),"Exclude")</f>
        <v>Exclude</v>
      </c>
      <c r="G1041" s="2" t="s">
        <v>13</v>
      </c>
    </row>
    <row r="1042">
      <c r="A1042" s="4" t="str">
        <f>IFERROR(__xludf.DUMMYFUNCTION("""COMPUTED_VALUE"""),"Jarcho-levin syndrome (spondylocostal dysostosis) and hydrocephalia: Case report")</f>
        <v>Jarcho-levin syndrome (spondylocostal dysostosis) and hydrocephalia: Case report</v>
      </c>
      <c r="B1042" s="5" t="str">
        <f>IFERROR(__xludf.DUMMYFUNCTION("LEFT(FILTER(IMPORTRANGE(""https://docs.google.com/spreadsheets/d/1BJSV3WBYJGRhQ6zExamkszQ5VutGIcaQqmbD9ZTVXMQ/edit#gid=1251630045"",""articles_with_PRISMA_reasons!K2:K2113""), $A1042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$A1042=IMPORTRANGE(""https://docs.google.com/spreadsheets/d/1BJSV3WBYJGRhQ6zExamkszQ5VutGIcaQqmbD9ZTVXMQ/edit#gid=1251630045"",""articles_with_PRISMA_reasons!B2:B2113"")))-1)"),"Karaman")</f>
        <v>Karaman</v>
      </c>
      <c r="C1042" s="6">
        <f>IFERROR(__xludf.DUMMYFUNCTION("FILTER(IMPORTRANGE(""https://docs.google.com/spreadsheets/d/1BJSV3WBYJGRhQ6zExamkszQ5VutGIcaQqmbD9ZTVXMQ/edit#gid=1251630045"",""articles_with_PRISMA_reasons!C2:C2113""), $A1042=IMPORTRANGE(""https://docs.google.com/spreadsheets/d/1BJSV3WBYJGRhQ6zExamkszQ"&amp;"5VutGIcaQqmbD9ZTVXMQ/edit#gid=1251630045"",""articles_with_PRISMA_reasons!B2:B2113""))"),2013.0)</f>
        <v>2013</v>
      </c>
      <c r="D1042" s="5" t="str">
        <f>IFERROR(__xludf.DUMMYFUNCTION("IFS(AND(
FILTER(IMPORTRANGE(""https://docs.google.com/spreadsheets/d/1BJSV3WBYJGRhQ6zExamkszQ5VutGIcaQqmbD9ZTVXMQ/edit#gid=1251630045"",""articles_with_PRISMA_reasons!Y2:Y2113""), $A1042=IMPORTRANGE(""https://docs.google.com/spreadsheets/d/1BJSV3WBYJGRhQ6"&amp;"zExamkszQ5VutGIcaQqmbD9ZTVXMQ/edit#gid=1251630045"",""articles_with_PRISMA_reasons!B2:B2113""))&gt;=2,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$A1042=IMPORTRANGE(""https://docs.google.com/spreadsheets/d/1BJSV3WBYJGRhQ6zExamkszQ5VutGIcaQqmbD9ZTVXMQ/edit#gid=1251630045"",""articles_with_PRISMA_reasons!B2:B2113""))&lt;2),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$A1042=IMPORTRANGE(""https://docs.google.com/spreadsheets/d/1BJSV3WBYJGRhQ6zExamkszQ5VutGIcaQqmbD9ZTVXMQ/edit#gid=1251630045"",""a"&amp;"rticles_with_PRISMA_reasons!B2:B2113""))&lt;2,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$A1042=IMPORTRANGE(""https://docs.google"&amp;".com/spreadsheets/d/1BJSV3WBYJGRhQ6zExamkszQ5VutGIcaQqmbD9ZTVXMQ/edit#gid=1251630045"",""articles_with_PRISMA_reasons!B2:B2113""))&gt;=2),
""Exclude""
)"),"Exclude")</f>
        <v>Exclude</v>
      </c>
      <c r="E1042" s="5" t="str">
        <f>IFERROR(__xludf.DUMMYFUNCTION("IFS(
D1042=""Exclude"",""Exclude"",
AND(
FILTER(IMPORTRANGE(""https://docs.google.com/spreadsheets/d/1qpEmbGH0JjaJbUdp21-y2cPbobDbMjr09BbtdKROZWc/edit#gid=1444865654"",""articles_with_PRISMA_reasons!W2:W2113""), $A1042=IMPORTRANGE(""https://docs.google.co"&amp;"m/spreadsheets/d/1qpEmbGH0JjaJbUdp21-y2cPbobDbMjr09BbtdKROZWc/edit#gid=1444865654"",""articles_with_PRISMA_reasons!B2:B2113""))&gt;=2,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$A1042=IMPORTRANGE(""https://docs.google.com/spreadsheets/d/1qpEmbGH0JjaJbUdp21-y2cPbobDbMjr09BbtdKROZWc/edit#gid=1444865654"",""articles_with_PRISMA_reasons!B2:B2113""))&lt;2),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$A1042=IMPORTRANGE(""https://docs.google.com/spreadsheets/d/1qpEmbGH0JjaJbUdp21-y2cPbobDbMjr09Bbtd"&amp;"KROZWc/edit#gid=1444865654"",""articles_with_PRISMA_reasons!B2:B2113""))&lt;2,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$A1042=I"&amp;"MPORTRANGE(""https://docs.google.com/spreadsheets/d/1qpEmbGH0JjaJbUdp21-y2cPbobDbMjr09BbtdKROZWc/edit#gid=1444865654"",""articles_with_PRISMA_reasons!B2:B2113""))&gt;=2),
""Exclude""
)"),"Exclude")</f>
        <v>Exclude</v>
      </c>
      <c r="F1042" s="5" t="str">
        <f>IFERROR(__xludf.DUMMYFUNCTION("IFS(
E1042=""Exclude"",""Exclude"",
AND(
COUNTIF(
IMPORTRANGE(""https://docs.google.com/spreadsheets/d/1kGrh75X1cNR1D7_FcY9zMnHP8iPO4M5RCRjy6nZY0TY/edit#gid=0"",""Table 1: Study characteristics!B4:B171""),A1042)&gt;0,
COUNTIF(Studies!$A$2:$A$85,FILTER(IMPORT"&amp;"RANGE(""https://docs.google.com/spreadsheets/d/1kGrh75X1cNR1D7_FcY9zMnHP8iPO4M5RCRjy6nZY0TY/edit#gid=0"",""Table 1: Study characteristics!A4:A171""), $A1042=IMPORTRANGE(""https://docs.google.com/spreadsheets/d/1kGrh75X1cNR1D7_FcY9zMnHP8iPO4M5RCRjy6nZY0TY/"&amp;"edit#gid=0"",""Table 1: Study characteristics!B4:B171"")))&gt;0
),
""Include""
)"),"Exclude")</f>
        <v>Exclude</v>
      </c>
      <c r="G1042" s="5" t="str">
        <f>IFERROR(__xludf.DUMMYFUNCTION("IFS(
D1042=""Exclude"",
FILTER(IMPORTRANGE(""https://docs.google.com/spreadsheets/d/1BJSV3WBYJGRhQ6zExamkszQ5VutGIcaQqmbD9ZTVXMQ/edit#gid=1251630045"",""articles_with_PRISMA_reasons!AB2:AB2113""), $A1042=IMPORTRANGE(""https://docs.google.com/spreadsheets/"&amp;"d/1BJSV3WBYJGRhQ6zExamkszQ5VutGIcaQqmbD9ZTVXMQ/edit#gid=1251630045"",""articles_with_PRISMA_reasons!B2:B2113"")),
E1042=""Exclude"",
FILTER(IMPORTRANGE(""https://docs.google.com/spreadsheets/d/1qpEmbGH0JjaJbUdp21-y2cPbobDbMjr09BbtdKROZWc/edit#gid=14448656"&amp;"54"",""articles_with_PRISMA_reasons!Z2:Z2113""), $A1042=IMPORTRANGE(""https://docs.google.com/spreadsheets/d/1qpEmbGH0JjaJbUdp21-y2cPbobDbMjr09BbtdKROZWc/edit#gid=1444865654"",""articles_with_PRISMA_reasons!B2:B2113"")),F1042
=""Include"",FILTER(IMPORTRAN"&amp;"GE(""https://docs.google.com/spreadsheets/d/1kGrh75X1cNR1D7_FcY9zMnHP8iPO4M5RCRjy6nZY0TY/edit#gid=0"",""Table 1: Study characteristics!A4:A171""), $A1042=IMPORTRANGE(""https://docs.google.com/spreadsheets/d/1kGrh75X1cNR1D7_FcY9zMnHP8iPO4M5RCRjy6nZY0TY/edi"&amp;"t#gid=0"",""Table 1: Study characteristics!B4:B171""))
)"),"wrong publication type")</f>
        <v>wrong publication type</v>
      </c>
    </row>
    <row r="1043">
      <c r="A1043" s="4" t="str">
        <f>IFERROR(__xludf.DUMMYFUNCTION("""COMPUTED_VALUE"""),"Jarcho-Levin syndrome presenting with severe hydrocephalus: A report of three cases")</f>
        <v>Jarcho-Levin syndrome presenting with severe hydrocephalus: A report of three cases</v>
      </c>
      <c r="B1043" s="5" t="str">
        <f>IFERROR(__xludf.DUMMYFUNCTION("LEFT(FILTER(IMPORTRANGE(""https://docs.google.com/spreadsheets/d/1BJSV3WBYJGRhQ6zExamkszQ5VutGIcaQqmbD9ZTVXMQ/edit#gid=1251630045"",""articles_with_PRISMA_reasons!K2:K2113""), $A1043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$A1043=IMPORTRANGE(""https://docs.google.com/spreadsheets/d/1BJSV3WBYJGRhQ6zExamkszQ5VutGIcaQqmbD9ZTVXMQ/edit#gid=1251630045"",""articles_with_PRISMA_reasons!B2:B2113"")))-1)"),"Yurttutan")</f>
        <v>Yurttutan</v>
      </c>
      <c r="C1043" s="6">
        <f>IFERROR(__xludf.DUMMYFUNCTION("FILTER(IMPORTRANGE(""https://docs.google.com/spreadsheets/d/1BJSV3WBYJGRhQ6zExamkszQ5VutGIcaQqmbD9ZTVXMQ/edit#gid=1251630045"",""articles_with_PRISMA_reasons!C2:C2113""), $A1043=IMPORTRANGE(""https://docs.google.com/spreadsheets/d/1BJSV3WBYJGRhQ6zExamkszQ"&amp;"5VutGIcaQqmbD9ZTVXMQ/edit#gid=1251630045"",""articles_with_PRISMA_reasons!B2:B2113""))"),2013.0)</f>
        <v>2013</v>
      </c>
      <c r="D1043" s="5" t="str">
        <f>IFERROR(__xludf.DUMMYFUNCTION("IFS(AND(
FILTER(IMPORTRANGE(""https://docs.google.com/spreadsheets/d/1BJSV3WBYJGRhQ6zExamkszQ5VutGIcaQqmbD9ZTVXMQ/edit#gid=1251630045"",""articles_with_PRISMA_reasons!Y2:Y2113""), $A1043=IMPORTRANGE(""https://docs.google.com/spreadsheets/d/1BJSV3WBYJGRhQ6"&amp;"zExamkszQ5VutGIcaQqmbD9ZTVXMQ/edit#gid=1251630045"",""articles_with_PRISMA_reasons!B2:B2113""))&gt;=2,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$A1043=IMPORTRANGE(""https://docs.google.com/spreadsheets/d/1BJSV3WBYJGRhQ6zExamkszQ5VutGIcaQqmbD9ZTVXMQ/edit#gid=1251630045"",""articles_with_PRISMA_reasons!B2:B2113""))&lt;2),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$A1043=IMPORTRANGE(""https://docs.google.com/spreadsheets/d/1BJSV3WBYJGRhQ6zExamkszQ5VutGIcaQqmbD9ZTVXMQ/edit#gid=1251630045"",""a"&amp;"rticles_with_PRISMA_reasons!B2:B2113""))&lt;2,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$A1043=IMPORTRANGE(""https://docs.google"&amp;".com/spreadsheets/d/1BJSV3WBYJGRhQ6zExamkszQ5VutGIcaQqmbD9ZTVXMQ/edit#gid=1251630045"",""articles_with_PRISMA_reasons!B2:B2113""))&gt;=2),
""Exclude""
)"),"Exclude")</f>
        <v>Exclude</v>
      </c>
      <c r="E1043" s="5" t="str">
        <f>IFERROR(__xludf.DUMMYFUNCTION("IFS(
D1043=""Exclude"",""Exclude"",
AND(
FILTER(IMPORTRANGE(""https://docs.google.com/spreadsheets/d/1qpEmbGH0JjaJbUdp21-y2cPbobDbMjr09BbtdKROZWc/edit#gid=1444865654"",""articles_with_PRISMA_reasons!W2:W2113""), $A1043=IMPORTRANGE(""https://docs.google.co"&amp;"m/spreadsheets/d/1qpEmbGH0JjaJbUdp21-y2cPbobDbMjr09BbtdKROZWc/edit#gid=1444865654"",""articles_with_PRISMA_reasons!B2:B2113""))&gt;=2,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$A1043=IMPORTRANGE(""https://docs.google.com/spreadsheets/d/1qpEmbGH0JjaJbUdp21-y2cPbobDbMjr09BbtdKROZWc/edit#gid=1444865654"",""articles_with_PRISMA_reasons!B2:B2113""))&lt;2),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$A1043=IMPORTRANGE(""https://docs.google.com/spreadsheets/d/1qpEmbGH0JjaJbUdp21-y2cPbobDbMjr09Bbtd"&amp;"KROZWc/edit#gid=1444865654"",""articles_with_PRISMA_reasons!B2:B2113""))&lt;2,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$A1043=I"&amp;"MPORTRANGE(""https://docs.google.com/spreadsheets/d/1qpEmbGH0JjaJbUdp21-y2cPbobDbMjr09BbtdKROZWc/edit#gid=1444865654"",""articles_with_PRISMA_reasons!B2:B2113""))&gt;=2),
""Exclude""
)"),"Exclude")</f>
        <v>Exclude</v>
      </c>
      <c r="F1043" s="5" t="str">
        <f>IFERROR(__xludf.DUMMYFUNCTION("IFS(
E1043=""Exclude"",""Exclude"",
AND(
COUNTIF(
IMPORTRANGE(""https://docs.google.com/spreadsheets/d/1kGrh75X1cNR1D7_FcY9zMnHP8iPO4M5RCRjy6nZY0TY/edit#gid=0"",""Table 1: Study characteristics!B4:B171""),A1043)&gt;0,
COUNTIF(Studies!$A$2:$A$85,FILTER(IMPORT"&amp;"RANGE(""https://docs.google.com/spreadsheets/d/1kGrh75X1cNR1D7_FcY9zMnHP8iPO4M5RCRjy6nZY0TY/edit#gid=0"",""Table 1: Study characteristics!A4:A171""), $A1043=IMPORTRANGE(""https://docs.google.com/spreadsheets/d/1kGrh75X1cNR1D7_FcY9zMnHP8iPO4M5RCRjy6nZY0TY/"&amp;"edit#gid=0"",""Table 1: Study characteristics!B4:B171"")))&gt;0
),
""Include""
)"),"Exclude")</f>
        <v>Exclude</v>
      </c>
      <c r="G1043" s="5" t="str">
        <f>IFERROR(__xludf.DUMMYFUNCTION("IFS(
D1043=""Exclude"",
FILTER(IMPORTRANGE(""https://docs.google.com/spreadsheets/d/1BJSV3WBYJGRhQ6zExamkszQ5VutGIcaQqmbD9ZTVXMQ/edit#gid=1251630045"",""articles_with_PRISMA_reasons!AB2:AB2113""), $A1043=IMPORTRANGE(""https://docs.google.com/spreadsheets/"&amp;"d/1BJSV3WBYJGRhQ6zExamkszQ5VutGIcaQqmbD9ZTVXMQ/edit#gid=1251630045"",""articles_with_PRISMA_reasons!B2:B2113"")),
E1043=""Exclude"",
FILTER(IMPORTRANGE(""https://docs.google.com/spreadsheets/d/1qpEmbGH0JjaJbUdp21-y2cPbobDbMjr09BbtdKROZWc/edit#gid=14448656"&amp;"54"",""articles_with_PRISMA_reasons!Z2:Z2113""), $A1043=IMPORTRANGE(""https://docs.google.com/spreadsheets/d/1qpEmbGH0JjaJbUdp21-y2cPbobDbMjr09BbtdKROZWc/edit#gid=1444865654"",""articles_with_PRISMA_reasons!B2:B2113"")),F1043
=""Include"",FILTER(IMPORTRAN"&amp;"GE(""https://docs.google.com/spreadsheets/d/1kGrh75X1cNR1D7_FcY9zMnHP8iPO4M5RCRjy6nZY0TY/edit#gid=0"",""Table 1: Study characteristics!A4:A171""), $A1043=IMPORTRANGE(""https://docs.google.com/spreadsheets/d/1kGrh75X1cNR1D7_FcY9zMnHP8iPO4M5RCRjy6nZY0TY/edi"&amp;"t#gid=0"",""Table 1: Study characteristics!B4:B171""))
)"),"wrong study design")</f>
        <v>wrong study design</v>
      </c>
    </row>
    <row r="1044">
      <c r="A1044" s="4" t="str">
        <f>IFERROR(__xludf.DUMMYFUNCTION("""COMPUTED_VALUE"""),"Kabuki syndrome with chiari malformation type ii: A case report")</f>
        <v>Kabuki syndrome with chiari malformation type ii: A case report</v>
      </c>
      <c r="B1044" s="5" t="str">
        <f>IFERROR(__xludf.DUMMYFUNCTION("LEFT(FILTER(IMPORTRANGE(""https://docs.google.com/spreadsheets/d/1BJSV3WBYJGRhQ6zExamkszQ5VutGIcaQqmbD9ZTVXMQ/edit#gid=1251630045"",""articles_with_PRISMA_reasons!K2:K2113""), $A1044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$A1044=IMPORTRANGE(""https://docs.google.com/spreadsheets/d/1BJSV3WBYJGRhQ6zExamkszQ5VutGIcaQqmbD9ZTVXMQ/edit#gid=1251630045"",""articles_with_PRISMA_reasons!B2:B2113"")))-1)"),"Alqarni")</f>
        <v>Alqarni</v>
      </c>
      <c r="C1044" s="6">
        <f>IFERROR(__xludf.DUMMYFUNCTION("FILTER(IMPORTRANGE(""https://docs.google.com/spreadsheets/d/1BJSV3WBYJGRhQ6zExamkszQ5VutGIcaQqmbD9ZTVXMQ/edit#gid=1251630045"",""articles_with_PRISMA_reasons!C2:C2113""), $A1044=IMPORTRANGE(""https://docs.google.com/spreadsheets/d/1BJSV3WBYJGRhQ6zExamkszQ"&amp;"5VutGIcaQqmbD9ZTVXMQ/edit#gid=1251630045"",""articles_with_PRISMA_reasons!B2:B2113""))"),2021.0)</f>
        <v>2021</v>
      </c>
      <c r="D1044" s="5" t="str">
        <f>IFERROR(__xludf.DUMMYFUNCTION("IFS(AND(
FILTER(IMPORTRANGE(""https://docs.google.com/spreadsheets/d/1BJSV3WBYJGRhQ6zExamkszQ5VutGIcaQqmbD9ZTVXMQ/edit#gid=1251630045"",""articles_with_PRISMA_reasons!Y2:Y2113""), $A1044=IMPORTRANGE(""https://docs.google.com/spreadsheets/d/1BJSV3WBYJGRhQ6"&amp;"zExamkszQ5VutGIcaQqmbD9ZTVXMQ/edit#gid=1251630045"",""articles_with_PRISMA_reasons!B2:B2113""))&gt;=2,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$A1044=IMPORTRANGE(""https://docs.google.com/spreadsheets/d/1BJSV3WBYJGRhQ6zExamkszQ5VutGIcaQqmbD9ZTVXMQ/edit#gid=1251630045"",""articles_with_PRISMA_reasons!B2:B2113""))&lt;2),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$A1044=IMPORTRANGE(""https://docs.google.com/spreadsheets/d/1BJSV3WBYJGRhQ6zExamkszQ5VutGIcaQqmbD9ZTVXMQ/edit#gid=1251630045"",""a"&amp;"rticles_with_PRISMA_reasons!B2:B2113""))&lt;2,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$A1044=IMPORTRANGE(""https://docs.google"&amp;".com/spreadsheets/d/1BJSV3WBYJGRhQ6zExamkszQ5VutGIcaQqmbD9ZTVXMQ/edit#gid=1251630045"",""articles_with_PRISMA_reasons!B2:B2113""))&gt;=2),
""Exclude""
)"),"Exclude")</f>
        <v>Exclude</v>
      </c>
      <c r="E1044" s="5" t="str">
        <f>IFERROR(__xludf.DUMMYFUNCTION("IFS(
D1044=""Exclude"",""Exclude"",
AND(
FILTER(IMPORTRANGE(""https://docs.google.com/spreadsheets/d/1qpEmbGH0JjaJbUdp21-y2cPbobDbMjr09BbtdKROZWc/edit#gid=1444865654"",""articles_with_PRISMA_reasons!W2:W2113""), $A1044=IMPORTRANGE(""https://docs.google.co"&amp;"m/spreadsheets/d/1qpEmbGH0JjaJbUdp21-y2cPbobDbMjr09BbtdKROZWc/edit#gid=1444865654"",""articles_with_PRISMA_reasons!B2:B2113""))&gt;=2,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$A1044=IMPORTRANGE(""https://docs.google.com/spreadsheets/d/1qpEmbGH0JjaJbUdp21-y2cPbobDbMjr09BbtdKROZWc/edit#gid=1444865654"",""articles_with_PRISMA_reasons!B2:B2113""))&lt;2),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$A1044=IMPORTRANGE(""https://docs.google.com/spreadsheets/d/1qpEmbGH0JjaJbUdp21-y2cPbobDbMjr09Bbtd"&amp;"KROZWc/edit#gid=1444865654"",""articles_with_PRISMA_reasons!B2:B2113""))&lt;2,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$A1044=I"&amp;"MPORTRANGE(""https://docs.google.com/spreadsheets/d/1qpEmbGH0JjaJbUdp21-y2cPbobDbMjr09BbtdKROZWc/edit#gid=1444865654"",""articles_with_PRISMA_reasons!B2:B2113""))&gt;=2),
""Exclude""
)"),"Exclude")</f>
        <v>Exclude</v>
      </c>
      <c r="F1044" s="5" t="str">
        <f>IFERROR(__xludf.DUMMYFUNCTION("IFS(
E1044=""Exclude"",""Exclude"",
AND(
COUNTIF(
IMPORTRANGE(""https://docs.google.com/spreadsheets/d/1kGrh75X1cNR1D7_FcY9zMnHP8iPO4M5RCRjy6nZY0TY/edit#gid=0"",""Table 1: Study characteristics!B4:B171""),A1044)&gt;0,
COUNTIF(Studies!$A$2:$A$85,FILTER(IMPORT"&amp;"RANGE(""https://docs.google.com/spreadsheets/d/1kGrh75X1cNR1D7_FcY9zMnHP8iPO4M5RCRjy6nZY0TY/edit#gid=0"",""Table 1: Study characteristics!A4:A171""), $A1044=IMPORTRANGE(""https://docs.google.com/spreadsheets/d/1kGrh75X1cNR1D7_FcY9zMnHP8iPO4M5RCRjy6nZY0TY/"&amp;"edit#gid=0"",""Table 1: Study characteristics!B4:B171"")))&gt;0
),
""Include""
)"),"Exclude")</f>
        <v>Exclude</v>
      </c>
      <c r="G1044" s="5" t="str">
        <f>IFERROR(__xludf.DUMMYFUNCTION("IFS(
D1044=""Exclude"",
FILTER(IMPORTRANGE(""https://docs.google.com/spreadsheets/d/1BJSV3WBYJGRhQ6zExamkszQ5VutGIcaQqmbD9ZTVXMQ/edit#gid=1251630045"",""articles_with_PRISMA_reasons!AB2:AB2113""), $A1044=IMPORTRANGE(""https://docs.google.com/spreadsheets/"&amp;"d/1BJSV3WBYJGRhQ6zExamkszQ5VutGIcaQqmbD9ZTVXMQ/edit#gid=1251630045"",""articles_with_PRISMA_reasons!B2:B2113"")),
E1044=""Exclude"",
FILTER(IMPORTRANGE(""https://docs.google.com/spreadsheets/d/1qpEmbGH0JjaJbUdp21-y2cPbobDbMjr09BbtdKROZWc/edit#gid=14448656"&amp;"54"",""articles_with_PRISMA_reasons!Z2:Z2113""), $A1044=IMPORTRANGE(""https://docs.google.com/spreadsheets/d/1qpEmbGH0JjaJbUdp21-y2cPbobDbMjr09BbtdKROZWc/edit#gid=1444865654"",""articles_with_PRISMA_reasons!B2:B2113"")),F1044
=""Include"",FILTER(IMPORTRAN"&amp;"GE(""https://docs.google.com/spreadsheets/d/1kGrh75X1cNR1D7_FcY9zMnHP8iPO4M5RCRjy6nZY0TY/edit#gid=0"",""Table 1: Study characteristics!A4:A171""), $A1044=IMPORTRANGE(""https://docs.google.com/spreadsheets/d/1kGrh75X1cNR1D7_FcY9zMnHP8iPO4M5RCRjy6nZY0TY/edi"&amp;"t#gid=0"",""Table 1: Study characteristics!B4:B171""))
)"),"wrong publication type")</f>
        <v>wrong publication type</v>
      </c>
    </row>
    <row r="1045">
      <c r="A1045" s="4" t="str">
        <f>IFERROR(__xludf.DUMMYFUNCTION("""COMPUTED_VALUE"""),"Key points to determine a prognosis of Chiari II malformation")</f>
        <v>Key points to determine a prognosis of Chiari II malformation</v>
      </c>
      <c r="B1045" s="5" t="str">
        <f>IFERROR(__xludf.DUMMYFUNCTION("LEFT(FILTER(IMPORTRANGE(""https://docs.google.com/spreadsheets/d/1BJSV3WBYJGRhQ6zExamkszQ5VutGIcaQqmbD9ZTVXMQ/edit#gid=1251630045"",""articles_with_PRISMA_reasons!K2:K2113""), $A1045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$A1045=IMPORTRANGE(""https://docs.google.com/spreadsheets/d/1BJSV3WBYJGRhQ6zExamkszQ5VutGIcaQqmbD9ZTVXMQ/edit#gid=1251630045"",""articles_with_PRISMA_reasons!B2:B2113"")))-1)"),"Tashiro")</f>
        <v>Tashiro</v>
      </c>
      <c r="C1045" s="6">
        <f>IFERROR(__xludf.DUMMYFUNCTION("FILTER(IMPORTRANGE(""https://docs.google.com/spreadsheets/d/1BJSV3WBYJGRhQ6zExamkszQ5VutGIcaQqmbD9ZTVXMQ/edit#gid=1251630045"",""articles_with_PRISMA_reasons!C2:C2113""), $A1045=IMPORTRANGE(""https://docs.google.com/spreadsheets/d/1BJSV3WBYJGRhQ6zExamkszQ"&amp;"5VutGIcaQqmbD9ZTVXMQ/edit#gid=1251630045"",""articles_with_PRISMA_reasons!B2:B2113""))"),2015.0)</f>
        <v>2015</v>
      </c>
      <c r="D1045" s="5" t="str">
        <f>IFERROR(__xludf.DUMMYFUNCTION("IFS(AND(
FILTER(IMPORTRANGE(""https://docs.google.com/spreadsheets/d/1BJSV3WBYJGRhQ6zExamkszQ5VutGIcaQqmbD9ZTVXMQ/edit#gid=1251630045"",""articles_with_PRISMA_reasons!Y2:Y2113""), $A1045=IMPORTRANGE(""https://docs.google.com/spreadsheets/d/1BJSV3WBYJGRhQ6"&amp;"zExamkszQ5VutGIcaQqmbD9ZTVXMQ/edit#gid=1251630045"",""articles_with_PRISMA_reasons!B2:B2113""))&gt;=2,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$A1045=IMPORTRANGE(""https://docs.google.com/spreadsheets/d/1BJSV3WBYJGRhQ6zExamkszQ5VutGIcaQqmbD9ZTVXMQ/edit#gid=1251630045"",""articles_with_PRISMA_reasons!B2:B2113""))&lt;2),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$A1045=IMPORTRANGE(""https://docs.google.com/spreadsheets/d/1BJSV3WBYJGRhQ6zExamkszQ5VutGIcaQqmbD9ZTVXMQ/edit#gid=1251630045"",""a"&amp;"rticles_with_PRISMA_reasons!B2:B2113""))&lt;2,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$A1045=IMPORTRANGE(""https://docs.google"&amp;".com/spreadsheets/d/1BJSV3WBYJGRhQ6zExamkszQ5VutGIcaQqmbD9ZTVXMQ/edit#gid=1251630045"",""articles_with_PRISMA_reasons!B2:B2113""))&gt;=2),
""Exclude""
)"),"Exclude")</f>
        <v>Exclude</v>
      </c>
      <c r="E1045" s="5" t="str">
        <f>IFERROR(__xludf.DUMMYFUNCTION("IFS(
D1045=""Exclude"",""Exclude"",
AND(
FILTER(IMPORTRANGE(""https://docs.google.com/spreadsheets/d/1qpEmbGH0JjaJbUdp21-y2cPbobDbMjr09BbtdKROZWc/edit#gid=1444865654"",""articles_with_PRISMA_reasons!W2:W2113""), $A1045=IMPORTRANGE(""https://docs.google.co"&amp;"m/spreadsheets/d/1qpEmbGH0JjaJbUdp21-y2cPbobDbMjr09BbtdKROZWc/edit#gid=1444865654"",""articles_with_PRISMA_reasons!B2:B2113""))&gt;=2,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$A1045=IMPORTRANGE(""https://docs.google.com/spreadsheets/d/1qpEmbGH0JjaJbUdp21-y2cPbobDbMjr09BbtdKROZWc/edit#gid=1444865654"",""articles_with_PRISMA_reasons!B2:B2113""))&lt;2),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$A1045=IMPORTRANGE(""https://docs.google.com/spreadsheets/d/1qpEmbGH0JjaJbUdp21-y2cPbobDbMjr09Bbtd"&amp;"KROZWc/edit#gid=1444865654"",""articles_with_PRISMA_reasons!B2:B2113""))&lt;2,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$A1045=I"&amp;"MPORTRANGE(""https://docs.google.com/spreadsheets/d/1qpEmbGH0JjaJbUdp21-y2cPbobDbMjr09BbtdKROZWc/edit#gid=1444865654"",""articles_with_PRISMA_reasons!B2:B2113""))&gt;=2),
""Exclude""
)"),"Exclude")</f>
        <v>Exclude</v>
      </c>
      <c r="F1045" s="5" t="str">
        <f>IFERROR(__xludf.DUMMYFUNCTION("IFS(
E1045=""Exclude"",""Exclude"",
AND(
COUNTIF(
IMPORTRANGE(""https://docs.google.com/spreadsheets/d/1kGrh75X1cNR1D7_FcY9zMnHP8iPO4M5RCRjy6nZY0TY/edit#gid=0"",""Table 1: Study characteristics!B4:B171""),A1045)&gt;0,
COUNTIF(Studies!$A$2:$A$85,FILTER(IMPORT"&amp;"RANGE(""https://docs.google.com/spreadsheets/d/1kGrh75X1cNR1D7_FcY9zMnHP8iPO4M5RCRjy6nZY0TY/edit#gid=0"",""Table 1: Study characteristics!A4:A171""), $A1045=IMPORTRANGE(""https://docs.google.com/spreadsheets/d/1kGrh75X1cNR1D7_FcY9zMnHP8iPO4M5RCRjy6nZY0TY/"&amp;"edit#gid=0"",""Table 1: Study characteristics!B4:B171"")))&gt;0
),
""Include""
)"),"Exclude")</f>
        <v>Exclude</v>
      </c>
      <c r="G1045" s="5" t="str">
        <f>IFERROR(__xludf.DUMMYFUNCTION("IFS(
D1045=""Exclude"",
FILTER(IMPORTRANGE(""https://docs.google.com/spreadsheets/d/1BJSV3WBYJGRhQ6zExamkszQ5VutGIcaQqmbD9ZTVXMQ/edit#gid=1251630045"",""articles_with_PRISMA_reasons!AB2:AB2113""), $A1045=IMPORTRANGE(""https://docs.google.com/spreadsheets/"&amp;"d/1BJSV3WBYJGRhQ6zExamkszQ5VutGIcaQqmbD9ZTVXMQ/edit#gid=1251630045"",""articles_with_PRISMA_reasons!B2:B2113"")),
E1045=""Exclude"",
FILTER(IMPORTRANGE(""https://docs.google.com/spreadsheets/d/1qpEmbGH0JjaJbUdp21-y2cPbobDbMjr09BbtdKROZWc/edit#gid=14448656"&amp;"54"",""articles_with_PRISMA_reasons!Z2:Z2113""), $A1045=IMPORTRANGE(""https://docs.google.com/spreadsheets/d/1qpEmbGH0JjaJbUdp21-y2cPbobDbMjr09BbtdKROZWc/edit#gid=1444865654"",""articles_with_PRISMA_reasons!B2:B2113"")),F1045
=""Include"",FILTER(IMPORTRAN"&amp;"GE(""https://docs.google.com/spreadsheets/d/1kGrh75X1cNR1D7_FcY9zMnHP8iPO4M5RCRjy6nZY0TY/edit#gid=0"",""Table 1: Study characteristics!A4:A171""), $A1045=IMPORTRANGE(""https://docs.google.com/spreadsheets/d/1kGrh75X1cNR1D7_FcY9zMnHP8iPO4M5RCRjy6nZY0TY/edi"&amp;"t#gid=0"",""Table 1: Study characteristics!B4:B171""))
)"),"wrong study design")</f>
        <v>wrong study design</v>
      </c>
    </row>
    <row r="1046">
      <c r="A1046" s="4" t="str">
        <f>IFERROR(__xludf.DUMMYFUNCTION("""COMPUTED_VALUE"""),"Keystone flap: a safe coverage option in the handling of salvage for myelomeningocele")</f>
        <v>Keystone flap: a safe coverage option in the handling of salvage for myelomeningocele</v>
      </c>
      <c r="B1046" s="5" t="str">
        <f>IFERROR(__xludf.DUMMYFUNCTION("LEFT(FILTER(IMPORTRANGE(""https://docs.google.com/spreadsheets/d/1BJSV3WBYJGRhQ6zExamkszQ5VutGIcaQqmbD9ZTVXMQ/edit#gid=1251630045"",""articles_with_PRISMA_reasons!K2:K2113""), $A1046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$A1046=IMPORTRANGE(""https://docs.google.com/spreadsheets/d/1BJSV3WBYJGRhQ6zExamkszQ5VutGIcaQqmbD9ZTVXMQ/edit#gid=1251630045"",""articles_with_PRISMA_reasons!B2:B2113"")))-1)"),"Gomez")</f>
        <v>Gomez</v>
      </c>
      <c r="C1046" s="6">
        <f>IFERROR(__xludf.DUMMYFUNCTION("FILTER(IMPORTRANGE(""https://docs.google.com/spreadsheets/d/1BJSV3WBYJGRhQ6zExamkszQ5VutGIcaQqmbD9ZTVXMQ/edit#gid=1251630045"",""articles_with_PRISMA_reasons!C2:C2113""), $A1046=IMPORTRANGE(""https://docs.google.com/spreadsheets/d/1BJSV3WBYJGRhQ6zExamkszQ"&amp;"5VutGIcaQqmbD9ZTVXMQ/edit#gid=1251630045"",""articles_with_PRISMA_reasons!B2:B2113""))"),2020.0)</f>
        <v>2020</v>
      </c>
      <c r="D1046" s="5" t="str">
        <f>IFERROR(__xludf.DUMMYFUNCTION("IFS(AND(
FILTER(IMPORTRANGE(""https://docs.google.com/spreadsheets/d/1BJSV3WBYJGRhQ6zExamkszQ5VutGIcaQqmbD9ZTVXMQ/edit#gid=1251630045"",""articles_with_PRISMA_reasons!Y2:Y2113""), $A1046=IMPORTRANGE(""https://docs.google.com/spreadsheets/d/1BJSV3WBYJGRhQ6"&amp;"zExamkszQ5VutGIcaQqmbD9ZTVXMQ/edit#gid=1251630045"",""articles_with_PRISMA_reasons!B2:B2113""))&gt;=2,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$A1046=IMPORTRANGE(""https://docs.google.com/spreadsheets/d/1BJSV3WBYJGRhQ6zExamkszQ5VutGIcaQqmbD9ZTVXMQ/edit#gid=1251630045"",""articles_with_PRISMA_reasons!B2:B2113""))&lt;2),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$A1046=IMPORTRANGE(""https://docs.google.com/spreadsheets/d/1BJSV3WBYJGRhQ6zExamkszQ5VutGIcaQqmbD9ZTVXMQ/edit#gid=1251630045"",""a"&amp;"rticles_with_PRISMA_reasons!B2:B2113""))&lt;2,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$A1046=IMPORTRANGE(""https://docs.google"&amp;".com/spreadsheets/d/1BJSV3WBYJGRhQ6zExamkszQ5VutGIcaQqmbD9ZTVXMQ/edit#gid=1251630045"",""articles_with_PRISMA_reasons!B2:B2113""))&gt;=2),
""Exclude""
)"),"Exclude")</f>
        <v>Exclude</v>
      </c>
      <c r="E1046" s="5" t="str">
        <f>IFERROR(__xludf.DUMMYFUNCTION("IFS(
D1046=""Exclude"",""Exclude"",
AND(
FILTER(IMPORTRANGE(""https://docs.google.com/spreadsheets/d/1qpEmbGH0JjaJbUdp21-y2cPbobDbMjr09BbtdKROZWc/edit#gid=1444865654"",""articles_with_PRISMA_reasons!W2:W2113""), $A1046=IMPORTRANGE(""https://docs.google.co"&amp;"m/spreadsheets/d/1qpEmbGH0JjaJbUdp21-y2cPbobDbMjr09BbtdKROZWc/edit#gid=1444865654"",""articles_with_PRISMA_reasons!B2:B2113""))&gt;=2,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$A1046=IMPORTRANGE(""https://docs.google.com/spreadsheets/d/1qpEmbGH0JjaJbUdp21-y2cPbobDbMjr09BbtdKROZWc/edit#gid=1444865654"",""articles_with_PRISMA_reasons!B2:B2113""))&lt;2),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$A1046=IMPORTRANGE(""https://docs.google.com/spreadsheets/d/1qpEmbGH0JjaJbUdp21-y2cPbobDbMjr09Bbtd"&amp;"KROZWc/edit#gid=1444865654"",""articles_with_PRISMA_reasons!B2:B2113""))&lt;2,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$A1046=I"&amp;"MPORTRANGE(""https://docs.google.com/spreadsheets/d/1qpEmbGH0JjaJbUdp21-y2cPbobDbMjr09BbtdKROZWc/edit#gid=1444865654"",""articles_with_PRISMA_reasons!B2:B2113""))&gt;=2),
""Exclude""
)"),"Exclude")</f>
        <v>Exclude</v>
      </c>
      <c r="F1046" s="5" t="str">
        <f>IFERROR(__xludf.DUMMYFUNCTION("IFS(
E1046=""Exclude"",""Exclude"",
AND(
COUNTIF(
IMPORTRANGE(""https://docs.google.com/spreadsheets/d/1kGrh75X1cNR1D7_FcY9zMnHP8iPO4M5RCRjy6nZY0TY/edit#gid=0"",""Table 1: Study characteristics!B4:B171""),A1046)&gt;0,
COUNTIF(Studies!$A$2:$A$85,FILTER(IMPORT"&amp;"RANGE(""https://docs.google.com/spreadsheets/d/1kGrh75X1cNR1D7_FcY9zMnHP8iPO4M5RCRjy6nZY0TY/edit#gid=0"",""Table 1: Study characteristics!A4:A171""), $A1046=IMPORTRANGE(""https://docs.google.com/spreadsheets/d/1kGrh75X1cNR1D7_FcY9zMnHP8iPO4M5RCRjy6nZY0TY/"&amp;"edit#gid=0"",""Table 1: Study characteristics!B4:B171"")))&gt;0
),
""Include""
)"),"Exclude")</f>
        <v>Exclude</v>
      </c>
      <c r="G1046" s="5" t="str">
        <f>IFERROR(__xludf.DUMMYFUNCTION("IFS(
D1046=""Exclude"",
FILTER(IMPORTRANGE(""https://docs.google.com/spreadsheets/d/1BJSV3WBYJGRhQ6zExamkszQ5VutGIcaQqmbD9ZTVXMQ/edit#gid=1251630045"",""articles_with_PRISMA_reasons!AB2:AB2113""), $A1046=IMPORTRANGE(""https://docs.google.com/spreadsheets/"&amp;"d/1BJSV3WBYJGRhQ6zExamkszQ5VutGIcaQqmbD9ZTVXMQ/edit#gid=1251630045"",""articles_with_PRISMA_reasons!B2:B2113"")),
E1046=""Exclude"",
FILTER(IMPORTRANGE(""https://docs.google.com/spreadsheets/d/1qpEmbGH0JjaJbUdp21-y2cPbobDbMjr09BbtdKROZWc/edit#gid=14448656"&amp;"54"",""articles_with_PRISMA_reasons!Z2:Z2113""), $A1046=IMPORTRANGE(""https://docs.google.com/spreadsheets/d/1qpEmbGH0JjaJbUdp21-y2cPbobDbMjr09BbtdKROZWc/edit#gid=1444865654"",""articles_with_PRISMA_reasons!B2:B2113"")),F1046
=""Include"",FILTER(IMPORTRAN"&amp;"GE(""https://docs.google.com/spreadsheets/d/1kGrh75X1cNR1D7_FcY9zMnHP8iPO4M5RCRjy6nZY0TY/edit#gid=0"",""Table 1: Study characteristics!A4:A171""), $A1046=IMPORTRANGE(""https://docs.google.com/spreadsheets/d/1kGrh75X1cNR1D7_FcY9zMnHP8iPO4M5RCRjy6nZY0TY/edi"&amp;"t#gid=0"",""Table 1: Study characteristics!B4:B171""))
)"),"wrong population")</f>
        <v>wrong population</v>
      </c>
    </row>
    <row r="1047">
      <c r="A1047" s="4" t="str">
        <f>IFERROR(__xludf.DUMMYFUNCTION("""COMPUTED_VALUE"""),"Kluyvera meningitis in a newborn")</f>
        <v>Kluyvera meningitis in a newborn</v>
      </c>
      <c r="B1047" s="5" t="str">
        <f>IFERROR(__xludf.DUMMYFUNCTION("LEFT(FILTER(IMPORTRANGE(""https://docs.google.com/spreadsheets/d/1BJSV3WBYJGRhQ6zExamkszQ5VutGIcaQqmbD9ZTVXMQ/edit#gid=1251630045"",""articles_with_PRISMA_reasons!K2:K2113""), $A1047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$A1047=IMPORTRANGE(""https://docs.google.com/spreadsheets/d/1BJSV3WBYJGRhQ6zExamkszQ5VutGIcaQqmbD9ZTVXMQ/edit#gid=1251630045"",""articles_with_PRISMA_reasons!B2:B2113"")))-1)"),"Rojas")</f>
        <v>Rojas</v>
      </c>
      <c r="C1047" s="6">
        <f>IFERROR(__xludf.DUMMYFUNCTION("FILTER(IMPORTRANGE(""https://docs.google.com/spreadsheets/d/1BJSV3WBYJGRhQ6zExamkszQ5VutGIcaQqmbD9ZTVXMQ/edit#gid=1251630045"",""articles_with_PRISMA_reasons!C2:C2113""), $A1047=IMPORTRANGE(""https://docs.google.com/spreadsheets/d/1BJSV3WBYJGRhQ6zExamkszQ"&amp;"5VutGIcaQqmbD9ZTVXMQ/edit#gid=1251630045"",""articles_with_PRISMA_reasons!B2:B2113""))"),2007.0)</f>
        <v>2007</v>
      </c>
      <c r="D1047" s="5" t="str">
        <f>IFERROR(__xludf.DUMMYFUNCTION("IFS(AND(
FILTER(IMPORTRANGE(""https://docs.google.com/spreadsheets/d/1BJSV3WBYJGRhQ6zExamkszQ5VutGIcaQqmbD9ZTVXMQ/edit#gid=1251630045"",""articles_with_PRISMA_reasons!Y2:Y2113""), $A1047=IMPORTRANGE(""https://docs.google.com/spreadsheets/d/1BJSV3WBYJGRhQ6"&amp;"zExamkszQ5VutGIcaQqmbD9ZTVXMQ/edit#gid=1251630045"",""articles_with_PRISMA_reasons!B2:B2113""))&gt;=2,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$A1047=IMPORTRANGE(""https://docs.google.com/spreadsheets/d/1BJSV3WBYJGRhQ6zExamkszQ5VutGIcaQqmbD9ZTVXMQ/edit#gid=1251630045"",""articles_with_PRISMA_reasons!B2:B2113""))&lt;2),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$A1047=IMPORTRANGE(""https://docs.google.com/spreadsheets/d/1BJSV3WBYJGRhQ6zExamkszQ5VutGIcaQqmbD9ZTVXMQ/edit#gid=1251630045"",""a"&amp;"rticles_with_PRISMA_reasons!B2:B2113""))&lt;2,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$A1047=IMPORTRANGE(""https://docs.google"&amp;".com/spreadsheets/d/1BJSV3WBYJGRhQ6zExamkszQ5VutGIcaQqmbD9ZTVXMQ/edit#gid=1251630045"",""articles_with_PRISMA_reasons!B2:B2113""))&gt;=2),
""Exclude""
)"),"Exclude")</f>
        <v>Exclude</v>
      </c>
      <c r="E1047" s="5" t="str">
        <f>IFERROR(__xludf.DUMMYFUNCTION("IFS(
D1047=""Exclude"",""Exclude"",
AND(
FILTER(IMPORTRANGE(""https://docs.google.com/spreadsheets/d/1qpEmbGH0JjaJbUdp21-y2cPbobDbMjr09BbtdKROZWc/edit#gid=1444865654"",""articles_with_PRISMA_reasons!W2:W2113""), $A1047=IMPORTRANGE(""https://docs.google.co"&amp;"m/spreadsheets/d/1qpEmbGH0JjaJbUdp21-y2cPbobDbMjr09BbtdKROZWc/edit#gid=1444865654"",""articles_with_PRISMA_reasons!B2:B2113""))&gt;=2,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$A1047=IMPORTRANGE(""https://docs.google.com/spreadsheets/d/1qpEmbGH0JjaJbUdp21-y2cPbobDbMjr09BbtdKROZWc/edit#gid=1444865654"",""articles_with_PRISMA_reasons!B2:B2113""))&lt;2),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$A1047=IMPORTRANGE(""https://docs.google.com/spreadsheets/d/1qpEmbGH0JjaJbUdp21-y2cPbobDbMjr09Bbtd"&amp;"KROZWc/edit#gid=1444865654"",""articles_with_PRISMA_reasons!B2:B2113""))&lt;2,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$A1047=I"&amp;"MPORTRANGE(""https://docs.google.com/spreadsheets/d/1qpEmbGH0JjaJbUdp21-y2cPbobDbMjr09BbtdKROZWc/edit#gid=1444865654"",""articles_with_PRISMA_reasons!B2:B2113""))&gt;=2),
""Exclude""
)"),"Exclude")</f>
        <v>Exclude</v>
      </c>
      <c r="F1047" s="5" t="str">
        <f>IFERROR(__xludf.DUMMYFUNCTION("IFS(
E1047=""Exclude"",""Exclude"",
AND(
COUNTIF(
IMPORTRANGE(""https://docs.google.com/spreadsheets/d/1kGrh75X1cNR1D7_FcY9zMnHP8iPO4M5RCRjy6nZY0TY/edit#gid=0"",""Table 1: Study characteristics!B4:B171""),A1047)&gt;0,
COUNTIF(Studies!$A$2:$A$85,FILTER(IMPORT"&amp;"RANGE(""https://docs.google.com/spreadsheets/d/1kGrh75X1cNR1D7_FcY9zMnHP8iPO4M5RCRjy6nZY0TY/edit#gid=0"",""Table 1: Study characteristics!A4:A171""), $A1047=IMPORTRANGE(""https://docs.google.com/spreadsheets/d/1kGrh75X1cNR1D7_FcY9zMnHP8iPO4M5RCRjy6nZY0TY/"&amp;"edit#gid=0"",""Table 1: Study characteristics!B4:B171"")))&gt;0
),
""Include""
)"),"Exclude")</f>
        <v>Exclude</v>
      </c>
      <c r="G1047" s="5" t="str">
        <f>IFERROR(__xludf.DUMMYFUNCTION("IFS(
D1047=""Exclude"",
FILTER(IMPORTRANGE(""https://docs.google.com/spreadsheets/d/1BJSV3WBYJGRhQ6zExamkszQ5VutGIcaQqmbD9ZTVXMQ/edit#gid=1251630045"",""articles_with_PRISMA_reasons!AB2:AB2113""), $A1047=IMPORTRANGE(""https://docs.google.com/spreadsheets/"&amp;"d/1BJSV3WBYJGRhQ6zExamkszQ5VutGIcaQqmbD9ZTVXMQ/edit#gid=1251630045"",""articles_with_PRISMA_reasons!B2:B2113"")),
E1047=""Exclude"",
FILTER(IMPORTRANGE(""https://docs.google.com/spreadsheets/d/1qpEmbGH0JjaJbUdp21-y2cPbobDbMjr09BbtdKROZWc/edit#gid=14448656"&amp;"54"",""articles_with_PRISMA_reasons!Z2:Z2113""), $A1047=IMPORTRANGE(""https://docs.google.com/spreadsheets/d/1qpEmbGH0JjaJbUdp21-y2cPbobDbMjr09BbtdKROZWc/edit#gid=1444865654"",""articles_with_PRISMA_reasons!B2:B2113"")),F1047
=""Include"",FILTER(IMPORTRAN"&amp;"GE(""https://docs.google.com/spreadsheets/d/1kGrh75X1cNR1D7_FcY9zMnHP8iPO4M5RCRjy6nZY0TY/edit#gid=0"",""Table 1: Study characteristics!A4:A171""), $A1047=IMPORTRANGE(""https://docs.google.com/spreadsheets/d/1kGrh75X1cNR1D7_FcY9zMnHP8iPO4M5RCRjy6nZY0TY/edi"&amp;"t#gid=0"",""Table 1: Study characteristics!B4:B171""))
)"),"wrong study design")</f>
        <v>wrong study design</v>
      </c>
    </row>
    <row r="1048">
      <c r="A1048" s="4" t="str">
        <f>IFERROR(__xludf.DUMMYFUNCTION("""COMPUTED_VALUE"""),"Kousseff syndrome caused by deletion of chromosome 22q11-13")</f>
        <v>Kousseff syndrome caused by deletion of chromosome 22q11-13</v>
      </c>
      <c r="B1048" s="5" t="str">
        <f>IFERROR(__xludf.DUMMYFUNCTION("LEFT(FILTER(IMPORTRANGE(""https://docs.google.com/spreadsheets/d/1BJSV3WBYJGRhQ6zExamkszQ5VutGIcaQqmbD9ZTVXMQ/edit#gid=1251630045"",""articles_with_PRISMA_reasons!K2:K2113""), $A1048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$A1048=IMPORTRANGE(""https://docs.google.com/spreadsheets/d/1BJSV3WBYJGRhQ6zExamkszQ5VutGIcaQqmbD9ZTVXMQ/edit#gid=1251630045"",""articles_with_PRISMA_reasons!B2:B2113"")))-1)"),"Forrester")</f>
        <v>Forrester</v>
      </c>
      <c r="C1048" s="3">
        <v>2002.0</v>
      </c>
      <c r="D1048" s="5" t="str">
        <f>IFERROR(__xludf.DUMMYFUNCTION("IFS(AND(
FILTER(IMPORTRANGE(""https://docs.google.com/spreadsheets/d/1BJSV3WBYJGRhQ6zExamkszQ5VutGIcaQqmbD9ZTVXMQ/edit#gid=1251630045"",""articles_with_PRISMA_reasons!Y2:Y2113""), $A1048=IMPORTRANGE(""https://docs.google.com/spreadsheets/d/1BJSV3WBYJGRhQ6"&amp;"zExamkszQ5VutGIcaQqmbD9ZTVXMQ/edit#gid=1251630045"",""articles_with_PRISMA_reasons!B2:B2113""))&gt;=2,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$A1048=IMPORTRANGE(""https://docs.google.com/spreadsheets/d/1BJSV3WBYJGRhQ6zExamkszQ5VutGIcaQqmbD9ZTVXMQ/edit#gid=1251630045"",""articles_with_PRISMA_reasons!B2:B2113""))&lt;2),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$A1048=IMPORTRANGE(""https://docs.google.com/spreadsheets/d/1BJSV3WBYJGRhQ6zExamkszQ5VutGIcaQqmbD9ZTVXMQ/edit#gid=1251630045"",""a"&amp;"rticles_with_PRISMA_reasons!B2:B2113""))&lt;2,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$A1048=IMPORTRANGE(""https://docs.google"&amp;".com/spreadsheets/d/1BJSV3WBYJGRhQ6zExamkszQ5VutGIcaQqmbD9ZTVXMQ/edit#gid=1251630045"",""articles_with_PRISMA_reasons!B2:B2113""))&gt;=2),
""Exclude""
)"),"Exclude")</f>
        <v>Exclude</v>
      </c>
      <c r="E1048" s="5" t="str">
        <f>IFERROR(__xludf.DUMMYFUNCTION("IFS(
D1048=""Exclude"",""Exclude"",
AND(
FILTER(IMPORTRANGE(""https://docs.google.com/spreadsheets/d/1qpEmbGH0JjaJbUdp21-y2cPbobDbMjr09BbtdKROZWc/edit#gid=1444865654"",""articles_with_PRISMA_reasons!W2:W2113""), $A1048=IMPORTRANGE(""https://docs.google.co"&amp;"m/spreadsheets/d/1qpEmbGH0JjaJbUdp21-y2cPbobDbMjr09BbtdKROZWc/edit#gid=1444865654"",""articles_with_PRISMA_reasons!B2:B2113""))&gt;=2,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$A1048=IMPORTRANGE(""https://docs.google.com/spreadsheets/d/1qpEmbGH0JjaJbUdp21-y2cPbobDbMjr09BbtdKROZWc/edit#gid=1444865654"",""articles_with_PRISMA_reasons!B2:B2113""))&lt;2),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$A1048=IMPORTRANGE(""https://docs.google.com/spreadsheets/d/1qpEmbGH0JjaJbUdp21-y2cPbobDbMjr09Bbtd"&amp;"KROZWc/edit#gid=1444865654"",""articles_with_PRISMA_reasons!B2:B2113""))&lt;2,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$A1048=I"&amp;"MPORTRANGE(""https://docs.google.com/spreadsheets/d/1qpEmbGH0JjaJbUdp21-y2cPbobDbMjr09BbtdKROZWc/edit#gid=1444865654"",""articles_with_PRISMA_reasons!B2:B2113""))&gt;=2),
""Exclude""
)"),"Exclude")</f>
        <v>Exclude</v>
      </c>
      <c r="F1048" s="5" t="str">
        <f>IFERROR(__xludf.DUMMYFUNCTION("IFS(
E1048=""Exclude"",""Exclude"",
AND(
COUNTIF(
IMPORTRANGE(""https://docs.google.com/spreadsheets/d/1kGrh75X1cNR1D7_FcY9zMnHP8iPO4M5RCRjy6nZY0TY/edit#gid=0"",""Table 1: Study characteristics!B4:B171""),A1048)&gt;0,
COUNTIF(Studies!$A$2:$A$85,FILTER(IMPORT"&amp;"RANGE(""https://docs.google.com/spreadsheets/d/1kGrh75X1cNR1D7_FcY9zMnHP8iPO4M5RCRjy6nZY0TY/edit#gid=0"",""Table 1: Study characteristics!A4:A171""), $A1048=IMPORTRANGE(""https://docs.google.com/spreadsheets/d/1kGrh75X1cNR1D7_FcY9zMnHP8iPO4M5RCRjy6nZY0TY/"&amp;"edit#gid=0"",""Table 1: Study characteristics!B4:B171"")))&gt;0
),
""Include""
)"),"Exclude")</f>
        <v>Exclude</v>
      </c>
      <c r="G1048" s="5" t="s">
        <v>7</v>
      </c>
    </row>
    <row r="1049">
      <c r="A1049" s="4" t="str">
        <f>IFERROR(__xludf.DUMMYFUNCTION("""COMPUTED_VALUE"""),"Kousseff syndrome caused by deletion of chromosome 22q11-13")</f>
        <v>Kousseff syndrome caused by deletion of chromosome 22q11-13</v>
      </c>
      <c r="B1049" s="5" t="str">
        <f>IFERROR(__xludf.DUMMYFUNCTION("LEFT(FILTER(IMPORTRANGE(""https://docs.google.com/spreadsheets/d/1BJSV3WBYJGRhQ6zExamkszQ5VutGIcaQqmbD9ZTVXMQ/edit#gid=1251630045"",""articles_with_PRISMA_reasons!K2:K2113""), $A1049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$A1049=IMPORTRANGE(""https://docs.google.com/spreadsheets/d/1BJSV3WBYJGRhQ6zExamkszQ5VutGIcaQqmbD9ZTVXMQ/edit#gid=1251630045"",""articles_with_PRISMA_reasons!B2:B2113"")))-1)"),"Forrester")</f>
        <v>Forrester</v>
      </c>
      <c r="C1049" s="3">
        <v>2002.0</v>
      </c>
      <c r="D1049" s="5" t="str">
        <f>IFERROR(__xludf.DUMMYFUNCTION("IFS(AND(
FILTER(IMPORTRANGE(""https://docs.google.com/spreadsheets/d/1BJSV3WBYJGRhQ6zExamkszQ5VutGIcaQqmbD9ZTVXMQ/edit#gid=1251630045"",""articles_with_PRISMA_reasons!Y2:Y2113""), $A1049=IMPORTRANGE(""https://docs.google.com/spreadsheets/d/1BJSV3WBYJGRhQ6"&amp;"zExamkszQ5VutGIcaQqmbD9ZTVXMQ/edit#gid=1251630045"",""articles_with_PRISMA_reasons!B2:B2113""))&gt;=2,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$A1049=IMPORTRANGE(""https://docs.google.com/spreadsheets/d/1BJSV3WBYJGRhQ6zExamkszQ5VutGIcaQqmbD9ZTVXMQ/edit#gid=1251630045"",""articles_with_PRISMA_reasons!B2:B2113""))&lt;2),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$A1049=IMPORTRANGE(""https://docs.google.com/spreadsheets/d/1BJSV3WBYJGRhQ6zExamkszQ5VutGIcaQqmbD9ZTVXMQ/edit#gid=1251630045"",""a"&amp;"rticles_with_PRISMA_reasons!B2:B2113""))&lt;2,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$A1049=IMPORTRANGE(""https://docs.google"&amp;".com/spreadsheets/d/1BJSV3WBYJGRhQ6zExamkszQ5VutGIcaQqmbD9ZTVXMQ/edit#gid=1251630045"",""articles_with_PRISMA_reasons!B2:B2113""))&gt;=2),
""Exclude""
)"),"Exclude")</f>
        <v>Exclude</v>
      </c>
      <c r="E1049" s="5" t="str">
        <f>IFERROR(__xludf.DUMMYFUNCTION("IFS(
D1049=""Exclude"",""Exclude"",
AND(
FILTER(IMPORTRANGE(""https://docs.google.com/spreadsheets/d/1qpEmbGH0JjaJbUdp21-y2cPbobDbMjr09BbtdKROZWc/edit#gid=1444865654"",""articles_with_PRISMA_reasons!W2:W2113""), $A1049=IMPORTRANGE(""https://docs.google.co"&amp;"m/spreadsheets/d/1qpEmbGH0JjaJbUdp21-y2cPbobDbMjr09BbtdKROZWc/edit#gid=1444865654"",""articles_with_PRISMA_reasons!B2:B2113""))&gt;=2,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$A1049=IMPORTRANGE(""https://docs.google.com/spreadsheets/d/1qpEmbGH0JjaJbUdp21-y2cPbobDbMjr09BbtdKROZWc/edit#gid=1444865654"",""articles_with_PRISMA_reasons!B2:B2113""))&lt;2),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$A1049=IMPORTRANGE(""https://docs.google.com/spreadsheets/d/1qpEmbGH0JjaJbUdp21-y2cPbobDbMjr09Bbtd"&amp;"KROZWc/edit#gid=1444865654"",""articles_with_PRISMA_reasons!B2:B2113""))&lt;2,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$A1049=I"&amp;"MPORTRANGE(""https://docs.google.com/spreadsheets/d/1qpEmbGH0JjaJbUdp21-y2cPbobDbMjr09BbtdKROZWc/edit#gid=1444865654"",""articles_with_PRISMA_reasons!B2:B2113""))&gt;=2),
""Exclude""
)"),"Exclude")</f>
        <v>Exclude</v>
      </c>
      <c r="F1049" s="5" t="str">
        <f>IFERROR(__xludf.DUMMYFUNCTION("IFS(
E1049=""Exclude"",""Exclude"",
AND(
COUNTIF(
IMPORTRANGE(""https://docs.google.com/spreadsheets/d/1kGrh75X1cNR1D7_FcY9zMnHP8iPO4M5RCRjy6nZY0TY/edit#gid=0"",""Table 1: Study characteristics!B4:B171""),A1049)&gt;0,
COUNTIF(Studies!$A$2:$A$85,FILTER(IMPORT"&amp;"RANGE(""https://docs.google.com/spreadsheets/d/1kGrh75X1cNR1D7_FcY9zMnHP8iPO4M5RCRjy6nZY0TY/edit#gid=0"",""Table 1: Study characteristics!A4:A171""), $A1049=IMPORTRANGE(""https://docs.google.com/spreadsheets/d/1kGrh75X1cNR1D7_FcY9zMnHP8iPO4M5RCRjy6nZY0TY/"&amp;"edit#gid=0"",""Table 1: Study characteristics!B4:B171"")))&gt;0
),
""Include""
)"),"Exclude")</f>
        <v>Exclude</v>
      </c>
      <c r="G1049" s="2" t="s">
        <v>13</v>
      </c>
    </row>
    <row r="1050">
      <c r="A1050" s="4" t="str">
        <f>IFERROR(__xludf.DUMMYFUNCTION("""COMPUTED_VALUE"""),"Kousseff syndrome: a causally heterogeneous disorder")</f>
        <v>Kousseff syndrome: a causally heterogeneous disorder</v>
      </c>
      <c r="B1050" s="5" t="str">
        <f>IFERROR(__xludf.DUMMYFUNCTION("LEFT(FILTER(IMPORTRANGE(""https://docs.google.com/spreadsheets/d/1BJSV3WBYJGRhQ6zExamkszQ5VutGIcaQqmbD9ZTVXMQ/edit#gid=1251630045"",""articles_with_PRISMA_reasons!K2:K2113""), $A1050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$A1050=IMPORTRANGE(""https://docs.google.com/spreadsheets/d/1BJSV3WBYJGRhQ6zExamkszQ5VutGIcaQqmbD9ZTVXMQ/edit#gid=1251630045"",""articles_with_PRISMA_reasons!B2:B2113"")))-1)"),"Maclean")</f>
        <v>Maclean</v>
      </c>
      <c r="C1050" s="6" t="str">
        <f>IFERROR(__xludf.DUMMYFUNCTION("FILTER(IMPORTRANGE(""https://docs.google.com/spreadsheets/d/1BJSV3WBYJGRhQ6zExamkszQ5VutGIcaQqmbD9ZTVXMQ/edit#gid=1251630045"",""articles_with_PRISMA_reasons!C2:C2113""), $A1050=IMPORTRANGE(""https://docs.google.com/spreadsheets/d/1BJSV3WBYJGRhQ6zExamkszQ"&amp;"5VutGIcaQqmbD9ZTVXMQ/edit#gid=1251630045"",""articles_with_PRISMA_reasons!B2:B2113""))"),"Jan")</f>
        <v>Jan</v>
      </c>
      <c r="D1050" s="5" t="str">
        <f>IFERROR(__xludf.DUMMYFUNCTION("IFS(AND(
FILTER(IMPORTRANGE(""https://docs.google.com/spreadsheets/d/1BJSV3WBYJGRhQ6zExamkszQ5VutGIcaQqmbD9ZTVXMQ/edit#gid=1251630045"",""articles_with_PRISMA_reasons!Y2:Y2113""), $A1050=IMPORTRANGE(""https://docs.google.com/spreadsheets/d/1BJSV3WBYJGRhQ6"&amp;"zExamkszQ5VutGIcaQqmbD9ZTVXMQ/edit#gid=1251630045"",""articles_with_PRISMA_reasons!B2:B2113""))&gt;=2,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$A1050=IMPORTRANGE(""https://docs.google.com/spreadsheets/d/1BJSV3WBYJGRhQ6zExamkszQ5VutGIcaQqmbD9ZTVXMQ/edit#gid=1251630045"",""articles_with_PRISMA_reasons!B2:B2113""))&lt;2),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$A1050=IMPORTRANGE(""https://docs.google.com/spreadsheets/d/1BJSV3WBYJGRhQ6zExamkszQ5VutGIcaQqmbD9ZTVXMQ/edit#gid=1251630045"",""a"&amp;"rticles_with_PRISMA_reasons!B2:B2113""))&lt;2,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$A1050=IMPORTRANGE(""https://docs.google"&amp;".com/spreadsheets/d/1BJSV3WBYJGRhQ6zExamkszQ5VutGIcaQqmbD9ZTVXMQ/edit#gid=1251630045"",""articles_with_PRISMA_reasons!B2:B2113""))&gt;=2),
""Exclude""
)"),"Exclude")</f>
        <v>Exclude</v>
      </c>
      <c r="E1050" s="5" t="str">
        <f>IFERROR(__xludf.DUMMYFUNCTION("IFS(
D1050=""Exclude"",""Exclude"",
AND(
FILTER(IMPORTRANGE(""https://docs.google.com/spreadsheets/d/1qpEmbGH0JjaJbUdp21-y2cPbobDbMjr09BbtdKROZWc/edit#gid=1444865654"",""articles_with_PRISMA_reasons!W2:W2113""), $A1050=IMPORTRANGE(""https://docs.google.co"&amp;"m/spreadsheets/d/1qpEmbGH0JjaJbUdp21-y2cPbobDbMjr09BbtdKROZWc/edit#gid=1444865654"",""articles_with_PRISMA_reasons!B2:B2113""))&gt;=2,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$A1050=IMPORTRANGE(""https://docs.google.com/spreadsheets/d/1qpEmbGH0JjaJbUdp21-y2cPbobDbMjr09BbtdKROZWc/edit#gid=1444865654"",""articles_with_PRISMA_reasons!B2:B2113""))&lt;2),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$A1050=IMPORTRANGE(""https://docs.google.com/spreadsheets/d/1qpEmbGH0JjaJbUdp21-y2cPbobDbMjr09Bbtd"&amp;"KROZWc/edit#gid=1444865654"",""articles_with_PRISMA_reasons!B2:B2113""))&lt;2,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$A1050=I"&amp;"MPORTRANGE(""https://docs.google.com/spreadsheets/d/1qpEmbGH0JjaJbUdp21-y2cPbobDbMjr09BbtdKROZWc/edit#gid=1444865654"",""articles_with_PRISMA_reasons!B2:B2113""))&gt;=2),
""Exclude""
)"),"Exclude")</f>
        <v>Exclude</v>
      </c>
      <c r="F1050" s="5" t="str">
        <f>IFERROR(__xludf.DUMMYFUNCTION("IFS(
E1050=""Exclude"",""Exclude"",
AND(
COUNTIF(
IMPORTRANGE(""https://docs.google.com/spreadsheets/d/1kGrh75X1cNR1D7_FcY9zMnHP8iPO4M5RCRjy6nZY0TY/edit#gid=0"",""Table 1: Study characteristics!B4:B171""),A1050)&gt;0,
COUNTIF(Studies!$A$2:$A$85,FILTER(IMPORT"&amp;"RANGE(""https://docs.google.com/spreadsheets/d/1kGrh75X1cNR1D7_FcY9zMnHP8iPO4M5RCRjy6nZY0TY/edit#gid=0"",""Table 1: Study characteristics!A4:A171""), $A1050=IMPORTRANGE(""https://docs.google.com/spreadsheets/d/1kGrh75X1cNR1D7_FcY9zMnHP8iPO4M5RCRjy6nZY0TY/"&amp;"edit#gid=0"",""Table 1: Study characteristics!B4:B171"")))&gt;0
),
""Include""
)"),"Exclude")</f>
        <v>Exclude</v>
      </c>
      <c r="G1050" s="5" t="str">
        <f>IFERROR(__xludf.DUMMYFUNCTION("IFS(
D1050=""Exclude"",
FILTER(IMPORTRANGE(""https://docs.google.com/spreadsheets/d/1BJSV3WBYJGRhQ6zExamkszQ5VutGIcaQqmbD9ZTVXMQ/edit#gid=1251630045"",""articles_with_PRISMA_reasons!AB2:AB2113""), $A1050=IMPORTRANGE(""https://docs.google.com/spreadsheets/"&amp;"d/1BJSV3WBYJGRhQ6zExamkszQ5VutGIcaQqmbD9ZTVXMQ/edit#gid=1251630045"",""articles_with_PRISMA_reasons!B2:B2113"")),
E1050=""Exclude"",
FILTER(IMPORTRANGE(""https://docs.google.com/spreadsheets/d/1qpEmbGH0JjaJbUdp21-y2cPbobDbMjr09BbtdKROZWc/edit#gid=14448656"&amp;"54"",""articles_with_PRISMA_reasons!Z2:Z2113""), $A1050=IMPORTRANGE(""https://docs.google.com/spreadsheets/d/1qpEmbGH0JjaJbUdp21-y2cPbobDbMjr09BbtdKROZWc/edit#gid=1444865654"",""articles_with_PRISMA_reasons!B2:B2113"")),F1050
=""Include"",FILTER(IMPORTRAN"&amp;"GE(""https://docs.google.com/spreadsheets/d/1kGrh75X1cNR1D7_FcY9zMnHP8iPO4M5RCRjy6nZY0TY/edit#gid=0"",""Table 1: Study characteristics!A4:A171""), $A1050=IMPORTRANGE(""https://docs.google.com/spreadsheets/d/1kGrh75X1cNR1D7_FcY9zMnHP8iPO4M5RCRjy6nZY0TY/edi"&amp;"t#gid=0"",""Table 1: Study characteristics!B4:B171""))
)"),"wrong study design")</f>
        <v>wrong study design</v>
      </c>
    </row>
    <row r="1051">
      <c r="A1051" s="4" t="str">
        <f>IFERROR(__xludf.DUMMYFUNCTION("""COMPUTED_VALUE"""),"Kyphectomy and interbody fixation using lag screws in a child with myelomeningocele kyphosis: a technical case report")</f>
        <v>Kyphectomy and interbody fixation using lag screws in a child with myelomeningocele kyphosis: a technical case report</v>
      </c>
      <c r="B1051" s="5" t="str">
        <f>IFERROR(__xludf.DUMMYFUNCTION("LEFT(FILTER(IMPORTRANGE(""https://docs.google.com/spreadsheets/d/1BJSV3WBYJGRhQ6zExamkszQ5VutGIcaQqmbD9ZTVXMQ/edit#gid=1251630045"",""articles_with_PRISMA_reasons!K2:K2113""), $A1051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$A1051=IMPORTRANGE(""https://docs.google.com/spreadsheets/d/1BJSV3WBYJGRhQ6zExamkszQ5VutGIcaQqmbD9ZTVXMQ/edit#gid=1251630045"",""articles_with_PRISMA_reasons!B2:B2113"")))-1)"),"Wui")</f>
        <v>Wui</v>
      </c>
      <c r="C1051" s="6">
        <f>IFERROR(__xludf.DUMMYFUNCTION("FILTER(IMPORTRANGE(""https://docs.google.com/spreadsheets/d/1BJSV3WBYJGRhQ6zExamkszQ5VutGIcaQqmbD9ZTVXMQ/edit#gid=1251630045"",""articles_with_PRISMA_reasons!C2:C2113""), $A1051=IMPORTRANGE(""https://docs.google.com/spreadsheets/d/1BJSV3WBYJGRhQ6zExamkszQ"&amp;"5VutGIcaQqmbD9ZTVXMQ/edit#gid=1251630045"",""articles_with_PRISMA_reasons!B2:B2113""))"),2019.0)</f>
        <v>2019</v>
      </c>
      <c r="D1051" s="5" t="str">
        <f>IFERROR(__xludf.DUMMYFUNCTION("IFS(AND(
FILTER(IMPORTRANGE(""https://docs.google.com/spreadsheets/d/1BJSV3WBYJGRhQ6zExamkszQ5VutGIcaQqmbD9ZTVXMQ/edit#gid=1251630045"",""articles_with_PRISMA_reasons!Y2:Y2113""), $A1051=IMPORTRANGE(""https://docs.google.com/spreadsheets/d/1BJSV3WBYJGRhQ6"&amp;"zExamkszQ5VutGIcaQqmbD9ZTVXMQ/edit#gid=1251630045"",""articles_with_PRISMA_reasons!B2:B2113""))&gt;=2,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$A1051=IMPORTRANGE(""https://docs.google.com/spreadsheets/d/1BJSV3WBYJGRhQ6zExamkszQ5VutGIcaQqmbD9ZTVXMQ/edit#gid=1251630045"",""articles_with_PRISMA_reasons!B2:B2113""))&lt;2),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$A1051=IMPORTRANGE(""https://docs.google.com/spreadsheets/d/1BJSV3WBYJGRhQ6zExamkszQ5VutGIcaQqmbD9ZTVXMQ/edit#gid=1251630045"",""a"&amp;"rticles_with_PRISMA_reasons!B2:B2113""))&lt;2,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$A1051=IMPORTRANGE(""https://docs.google"&amp;".com/spreadsheets/d/1BJSV3WBYJGRhQ6zExamkszQ5VutGIcaQqmbD9ZTVXMQ/edit#gid=1251630045"",""articles_with_PRISMA_reasons!B2:B2113""))&gt;=2),
""Exclude""
)"),"Exclude")</f>
        <v>Exclude</v>
      </c>
      <c r="E1051" s="5" t="str">
        <f>IFERROR(__xludf.DUMMYFUNCTION("IFS(
D1051=""Exclude"",""Exclude"",
AND(
FILTER(IMPORTRANGE(""https://docs.google.com/spreadsheets/d/1qpEmbGH0JjaJbUdp21-y2cPbobDbMjr09BbtdKROZWc/edit#gid=1444865654"",""articles_with_PRISMA_reasons!W2:W2113""), $A1051=IMPORTRANGE(""https://docs.google.co"&amp;"m/spreadsheets/d/1qpEmbGH0JjaJbUdp21-y2cPbobDbMjr09BbtdKROZWc/edit#gid=1444865654"",""articles_with_PRISMA_reasons!B2:B2113""))&gt;=2,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$A1051=IMPORTRANGE(""https://docs.google.com/spreadsheets/d/1qpEmbGH0JjaJbUdp21-y2cPbobDbMjr09BbtdKROZWc/edit#gid=1444865654"",""articles_with_PRISMA_reasons!B2:B2113""))&lt;2),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$A1051=IMPORTRANGE(""https://docs.google.com/spreadsheets/d/1qpEmbGH0JjaJbUdp21-y2cPbobDbMjr09Bbtd"&amp;"KROZWc/edit#gid=1444865654"",""articles_with_PRISMA_reasons!B2:B2113""))&lt;2,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$A1051=I"&amp;"MPORTRANGE(""https://docs.google.com/spreadsheets/d/1qpEmbGH0JjaJbUdp21-y2cPbobDbMjr09BbtdKROZWc/edit#gid=1444865654"",""articles_with_PRISMA_reasons!B2:B2113""))&gt;=2),
""Exclude""
)"),"Exclude")</f>
        <v>Exclude</v>
      </c>
      <c r="F1051" s="5" t="str">
        <f>IFERROR(__xludf.DUMMYFUNCTION("IFS(
E1051=""Exclude"",""Exclude"",
AND(
COUNTIF(
IMPORTRANGE(""https://docs.google.com/spreadsheets/d/1kGrh75X1cNR1D7_FcY9zMnHP8iPO4M5RCRjy6nZY0TY/edit#gid=0"",""Table 1: Study characteristics!B4:B171""),A1051)&gt;0,
COUNTIF(Studies!$A$2:$A$85,FILTER(IMPORT"&amp;"RANGE(""https://docs.google.com/spreadsheets/d/1kGrh75X1cNR1D7_FcY9zMnHP8iPO4M5RCRjy6nZY0TY/edit#gid=0"",""Table 1: Study characteristics!A4:A171""), $A1051=IMPORTRANGE(""https://docs.google.com/spreadsheets/d/1kGrh75X1cNR1D7_FcY9zMnHP8iPO4M5RCRjy6nZY0TY/"&amp;"edit#gid=0"",""Table 1: Study characteristics!B4:B171"")))&gt;0
),
""Include""
)"),"Exclude")</f>
        <v>Exclude</v>
      </c>
      <c r="G1051" s="5" t="str">
        <f>IFERROR(__xludf.DUMMYFUNCTION("IFS(
D1051=""Exclude"",
FILTER(IMPORTRANGE(""https://docs.google.com/spreadsheets/d/1BJSV3WBYJGRhQ6zExamkszQ5VutGIcaQqmbD9ZTVXMQ/edit#gid=1251630045"",""articles_with_PRISMA_reasons!AB2:AB2113""), $A1051=IMPORTRANGE(""https://docs.google.com/spreadsheets/"&amp;"d/1BJSV3WBYJGRhQ6zExamkszQ5VutGIcaQqmbD9ZTVXMQ/edit#gid=1251630045"",""articles_with_PRISMA_reasons!B2:B2113"")),
E1051=""Exclude"",
FILTER(IMPORTRANGE(""https://docs.google.com/spreadsheets/d/1qpEmbGH0JjaJbUdp21-y2cPbobDbMjr09BbtdKROZWc/edit#gid=14448656"&amp;"54"",""articles_with_PRISMA_reasons!Z2:Z2113""), $A1051=IMPORTRANGE(""https://docs.google.com/spreadsheets/d/1qpEmbGH0JjaJbUdp21-y2cPbobDbMjr09BbtdKROZWc/edit#gid=1444865654"",""articles_with_PRISMA_reasons!B2:B2113"")),F1051
=""Include"",FILTER(IMPORTRAN"&amp;"GE(""https://docs.google.com/spreadsheets/d/1kGrh75X1cNR1D7_FcY9zMnHP8iPO4M5RCRjy6nZY0TY/edit#gid=0"",""Table 1: Study characteristics!A4:A171""), $A1051=IMPORTRANGE(""https://docs.google.com/spreadsheets/d/1kGrh75X1cNR1D7_FcY9zMnHP8iPO4M5RCRjy6nZY0TY/edi"&amp;"t#gid=0"",""Table 1: Study characteristics!B4:B171""))
)"),"wrong publication type")</f>
        <v>wrong publication type</v>
      </c>
    </row>
    <row r="1052">
      <c r="A1052" s="4" t="str">
        <f>IFERROR(__xludf.DUMMYFUNCTION("""COMPUTED_VALUE"""),"Kyphectomy in neonates with meningomyelocele")</f>
        <v>Kyphectomy in neonates with meningomyelocele</v>
      </c>
      <c r="B1052" s="5" t="str">
        <f>IFERROR(__xludf.DUMMYFUNCTION("LEFT(FILTER(IMPORTRANGE(""https://docs.google.com/spreadsheets/d/1BJSV3WBYJGRhQ6zExamkszQ5VutGIcaQqmbD9ZTVXMQ/edit#gid=1251630045"",""articles_with_PRISMA_reasons!K2:K2113""), $A1052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$A1052=IMPORTRANGE(""https://docs.google.com/spreadsheets/d/1BJSV3WBYJGRhQ6zExamkszQ5VutGIcaQqmbD9ZTVXMQ/edit#gid=1251630045"",""articles_with_PRISMA_reasons!B2:B2113"")))-1)"),"Ozdemir")</f>
        <v>Ozdemir</v>
      </c>
      <c r="C1052" s="6">
        <f>IFERROR(__xludf.DUMMYFUNCTION("FILTER(IMPORTRANGE(""https://docs.google.com/spreadsheets/d/1BJSV3WBYJGRhQ6zExamkszQ5VutGIcaQqmbD9ZTVXMQ/edit#gid=1251630045"",""articles_with_PRISMA_reasons!C2:C2113""), $A1052=IMPORTRANGE(""https://docs.google.com/spreadsheets/d/1BJSV3WBYJGRhQ6zExamkszQ"&amp;"5VutGIcaQqmbD9ZTVXMQ/edit#gid=1251630045"",""articles_with_PRISMA_reasons!B2:B2113""))"),2019.0)</f>
        <v>2019</v>
      </c>
      <c r="D1052" s="5" t="str">
        <f>IFERROR(__xludf.DUMMYFUNCTION("IFS(AND(
FILTER(IMPORTRANGE(""https://docs.google.com/spreadsheets/d/1BJSV3WBYJGRhQ6zExamkszQ5VutGIcaQqmbD9ZTVXMQ/edit#gid=1251630045"",""articles_with_PRISMA_reasons!Y2:Y2113""), $A1052=IMPORTRANGE(""https://docs.google.com/spreadsheets/d/1BJSV3WBYJGRhQ6"&amp;"zExamkszQ5VutGIcaQqmbD9ZTVXMQ/edit#gid=1251630045"",""articles_with_PRISMA_reasons!B2:B2113""))&gt;=2,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$A1052=IMPORTRANGE(""https://docs.google.com/spreadsheets/d/1BJSV3WBYJGRhQ6zExamkszQ5VutGIcaQqmbD9ZTVXMQ/edit#gid=1251630045"",""articles_with_PRISMA_reasons!B2:B2113""))&lt;2),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$A1052=IMPORTRANGE(""https://docs.google.com/spreadsheets/d/1BJSV3WBYJGRhQ6zExamkszQ5VutGIcaQqmbD9ZTVXMQ/edit#gid=1251630045"",""a"&amp;"rticles_with_PRISMA_reasons!B2:B2113""))&lt;2,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$A1052=IMPORTRANGE(""https://docs.google"&amp;".com/spreadsheets/d/1BJSV3WBYJGRhQ6zExamkszQ5VutGIcaQqmbD9ZTVXMQ/edit#gid=1251630045"",""articles_with_PRISMA_reasons!B2:B2113""))&gt;=2),
""Exclude""
)"),"Exclude")</f>
        <v>Exclude</v>
      </c>
      <c r="E1052" s="5" t="str">
        <f>IFERROR(__xludf.DUMMYFUNCTION("IFS(
D1052=""Exclude"",""Exclude"",
AND(
FILTER(IMPORTRANGE(""https://docs.google.com/spreadsheets/d/1qpEmbGH0JjaJbUdp21-y2cPbobDbMjr09BbtdKROZWc/edit#gid=1444865654"",""articles_with_PRISMA_reasons!W2:W2113""), $A1052=IMPORTRANGE(""https://docs.google.co"&amp;"m/spreadsheets/d/1qpEmbGH0JjaJbUdp21-y2cPbobDbMjr09BbtdKROZWc/edit#gid=1444865654"",""articles_with_PRISMA_reasons!B2:B2113""))&gt;=2,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$A1052=IMPORTRANGE(""https://docs.google.com/spreadsheets/d/1qpEmbGH0JjaJbUdp21-y2cPbobDbMjr09BbtdKROZWc/edit#gid=1444865654"",""articles_with_PRISMA_reasons!B2:B2113""))&lt;2),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$A1052=IMPORTRANGE(""https://docs.google.com/spreadsheets/d/1qpEmbGH0JjaJbUdp21-y2cPbobDbMjr09Bbtd"&amp;"KROZWc/edit#gid=1444865654"",""articles_with_PRISMA_reasons!B2:B2113""))&lt;2,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$A1052=I"&amp;"MPORTRANGE(""https://docs.google.com/spreadsheets/d/1qpEmbGH0JjaJbUdp21-y2cPbobDbMjr09BbtdKROZWc/edit#gid=1444865654"",""articles_with_PRISMA_reasons!B2:B2113""))&gt;=2),
""Exclude""
)"),"Exclude")</f>
        <v>Exclude</v>
      </c>
      <c r="F1052" s="5" t="str">
        <f>IFERROR(__xludf.DUMMYFUNCTION("IFS(
E1052=""Exclude"",""Exclude"",
AND(
COUNTIF(
IMPORTRANGE(""https://docs.google.com/spreadsheets/d/1kGrh75X1cNR1D7_FcY9zMnHP8iPO4M5RCRjy6nZY0TY/edit#gid=0"",""Table 1: Study characteristics!B4:B171""),A1052)&gt;0,
COUNTIF(Studies!$A$2:$A$85,FILTER(IMPORT"&amp;"RANGE(""https://docs.google.com/spreadsheets/d/1kGrh75X1cNR1D7_FcY9zMnHP8iPO4M5RCRjy6nZY0TY/edit#gid=0"",""Table 1: Study characteristics!A4:A171""), $A1052=IMPORTRANGE(""https://docs.google.com/spreadsheets/d/1kGrh75X1cNR1D7_FcY9zMnHP8iPO4M5RCRjy6nZY0TY/"&amp;"edit#gid=0"",""Table 1: Study characteristics!B4:B171"")))&gt;0
),
""Include""
)"),"Exclude")</f>
        <v>Exclude</v>
      </c>
      <c r="G1052" s="5" t="str">
        <f>IFERROR(__xludf.DUMMYFUNCTION("IFS(
D1052=""Exclude"",
FILTER(IMPORTRANGE(""https://docs.google.com/spreadsheets/d/1BJSV3WBYJGRhQ6zExamkszQ5VutGIcaQqmbD9ZTVXMQ/edit#gid=1251630045"",""articles_with_PRISMA_reasons!AB2:AB2113""), $A1052=IMPORTRANGE(""https://docs.google.com/spreadsheets/"&amp;"d/1BJSV3WBYJGRhQ6zExamkszQ5VutGIcaQqmbD9ZTVXMQ/edit#gid=1251630045"",""articles_with_PRISMA_reasons!B2:B2113"")),
E1052=""Exclude"",
FILTER(IMPORTRANGE(""https://docs.google.com/spreadsheets/d/1qpEmbGH0JjaJbUdp21-y2cPbobDbMjr09BbtdKROZWc/edit#gid=14448656"&amp;"54"",""articles_with_PRISMA_reasons!Z2:Z2113""), $A1052=IMPORTRANGE(""https://docs.google.com/spreadsheets/d/1qpEmbGH0JjaJbUdp21-y2cPbobDbMjr09BbtdKROZWc/edit#gid=1444865654"",""articles_with_PRISMA_reasons!B2:B2113"")),F1052
=""Include"",FILTER(IMPORTRAN"&amp;"GE(""https://docs.google.com/spreadsheets/d/1kGrh75X1cNR1D7_FcY9zMnHP8iPO4M5RCRjy6nZY0TY/edit#gid=0"",""Table 1: Study characteristics!A4:A171""), $A1052=IMPORTRANGE(""https://docs.google.com/spreadsheets/d/1kGrh75X1cNR1D7_FcY9zMnHP8iPO4M5RCRjy6nZY0TY/edi"&amp;"t#gid=0"",""Table 1: Study characteristics!B4:B171""))
)"),"wrong population")</f>
        <v>wrong population</v>
      </c>
    </row>
    <row r="1053">
      <c r="A1053" s="4" t="str">
        <f>IFERROR(__xludf.DUMMYFUNCTION("""COMPUTED_VALUE"""),"La chirurgie maternofoetale du spina bifida: Perspectives d'avenir")</f>
        <v>La chirurgie maternofoetale du spina bifida: Perspectives d'avenir</v>
      </c>
      <c r="B1053" s="5" t="str">
        <f>IFERROR(__xludf.DUMMYFUNCTION("LEFT(FILTER(IMPORTRANGE(""https://docs.google.com/spreadsheets/d/1BJSV3WBYJGRhQ6zExamkszQ5VutGIcaQqmbD9ZTVXMQ/edit#gid=1251630045"",""articles_with_PRISMA_reasons!K2:K2113""), $A1053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$A1053=IMPORTRANGE(""https://docs.google.com/spreadsheets/d/1BJSV3WBYJGRhQ6zExamkszQ5VutGIcaQqmbD9ZTVXMQ/edit#gid=1251630045"",""articles_with_PRISMA_reasons!B2:B2113"")))-1)"),"Joyeux")</f>
        <v>Joyeux</v>
      </c>
      <c r="C1053" s="6">
        <f>IFERROR(__xludf.DUMMYFUNCTION("FILTER(IMPORTRANGE(""https://docs.google.com/spreadsheets/d/1BJSV3WBYJGRhQ6zExamkszQ5VutGIcaQqmbD9ZTVXMQ/edit#gid=1251630045"",""articles_with_PRISMA_reasons!C2:C2113""), $A1053=IMPORTRANGE(""https://docs.google.com/spreadsheets/d/1BJSV3WBYJGRhQ6zExamkszQ"&amp;"5VutGIcaQqmbD9ZTVXMQ/edit#gid=1251630045"",""articles_with_PRISMA_reasons!B2:B2113""))"),2014.0)</f>
        <v>2014</v>
      </c>
      <c r="D1053" s="5" t="str">
        <f>IFERROR(__xludf.DUMMYFUNCTION("IFS(AND(
FILTER(IMPORTRANGE(""https://docs.google.com/spreadsheets/d/1BJSV3WBYJGRhQ6zExamkszQ5VutGIcaQqmbD9ZTVXMQ/edit#gid=1251630045"",""articles_with_PRISMA_reasons!Y2:Y2113""), $A1053=IMPORTRANGE(""https://docs.google.com/spreadsheets/d/1BJSV3WBYJGRhQ6"&amp;"zExamkszQ5VutGIcaQqmbD9ZTVXMQ/edit#gid=1251630045"",""articles_with_PRISMA_reasons!B2:B2113""))&gt;=2,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$A1053=IMPORTRANGE(""https://docs.google.com/spreadsheets/d/1BJSV3WBYJGRhQ6zExamkszQ5VutGIcaQqmbD9ZTVXMQ/edit#gid=1251630045"",""articles_with_PRISMA_reasons!B2:B2113""))&lt;2),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$A1053=IMPORTRANGE(""https://docs.google.com/spreadsheets/d/1BJSV3WBYJGRhQ6zExamkszQ5VutGIcaQqmbD9ZTVXMQ/edit#gid=1251630045"",""a"&amp;"rticles_with_PRISMA_reasons!B2:B2113""))&lt;2,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$A1053=IMPORTRANGE(""https://docs.google"&amp;".com/spreadsheets/d/1BJSV3WBYJGRhQ6zExamkszQ5VutGIcaQqmbD9ZTVXMQ/edit#gid=1251630045"",""articles_with_PRISMA_reasons!B2:B2113""))&gt;=2),
""Exclude""
)"),"Exclude")</f>
        <v>Exclude</v>
      </c>
      <c r="E1053" s="5" t="str">
        <f>IFERROR(__xludf.DUMMYFUNCTION("IFS(
D1053=""Exclude"",""Exclude"",
AND(
FILTER(IMPORTRANGE(""https://docs.google.com/spreadsheets/d/1qpEmbGH0JjaJbUdp21-y2cPbobDbMjr09BbtdKROZWc/edit#gid=1444865654"",""articles_with_PRISMA_reasons!W2:W2113""), $A1053=IMPORTRANGE(""https://docs.google.co"&amp;"m/spreadsheets/d/1qpEmbGH0JjaJbUdp21-y2cPbobDbMjr09BbtdKROZWc/edit#gid=1444865654"",""articles_with_PRISMA_reasons!B2:B2113""))&gt;=2,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$A1053=IMPORTRANGE(""https://docs.google.com/spreadsheets/d/1qpEmbGH0JjaJbUdp21-y2cPbobDbMjr09BbtdKROZWc/edit#gid=1444865654"",""articles_with_PRISMA_reasons!B2:B2113""))&lt;2),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$A1053=IMPORTRANGE(""https://docs.google.com/spreadsheets/d/1qpEmbGH0JjaJbUdp21-y2cPbobDbMjr09Bbtd"&amp;"KROZWc/edit#gid=1444865654"",""articles_with_PRISMA_reasons!B2:B2113""))&lt;2,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$A1053=I"&amp;"MPORTRANGE(""https://docs.google.com/spreadsheets/d/1qpEmbGH0JjaJbUdp21-y2cPbobDbMjr09BbtdKROZWc/edit#gid=1444865654"",""articles_with_PRISMA_reasons!B2:B2113""))&gt;=2),
""Exclude""
)"),"Exclude")</f>
        <v>Exclude</v>
      </c>
      <c r="F1053" s="5" t="str">
        <f>IFERROR(__xludf.DUMMYFUNCTION("IFS(
E1053=""Exclude"",""Exclude"",
AND(
COUNTIF(
IMPORTRANGE(""https://docs.google.com/spreadsheets/d/1kGrh75X1cNR1D7_FcY9zMnHP8iPO4M5RCRjy6nZY0TY/edit#gid=0"",""Table 1: Study characteristics!B4:B171""),A1053)&gt;0,
COUNTIF(Studies!$A$2:$A$85,FILTER(IMPORT"&amp;"RANGE(""https://docs.google.com/spreadsheets/d/1kGrh75X1cNR1D7_FcY9zMnHP8iPO4M5RCRjy6nZY0TY/edit#gid=0"",""Table 1: Study characteristics!A4:A171""), $A1053=IMPORTRANGE(""https://docs.google.com/spreadsheets/d/1kGrh75X1cNR1D7_FcY9zMnHP8iPO4M5RCRjy6nZY0TY/"&amp;"edit#gid=0"",""Table 1: Study characteristics!B4:B171"")))&gt;0
),
""Include""
)"),"Exclude")</f>
        <v>Exclude</v>
      </c>
      <c r="G1053" s="5" t="str">
        <f>IFERROR(__xludf.DUMMYFUNCTION("IFS(
D1053=""Exclude"",
FILTER(IMPORTRANGE(""https://docs.google.com/spreadsheets/d/1BJSV3WBYJGRhQ6zExamkszQ5VutGIcaQqmbD9ZTVXMQ/edit#gid=1251630045"",""articles_with_PRISMA_reasons!AB2:AB2113""), $A1053=IMPORTRANGE(""https://docs.google.com/spreadsheets/"&amp;"d/1BJSV3WBYJGRhQ6zExamkszQ5VutGIcaQqmbD9ZTVXMQ/edit#gid=1251630045"",""articles_with_PRISMA_reasons!B2:B2113"")),
E1053=""Exclude"",
FILTER(IMPORTRANGE(""https://docs.google.com/spreadsheets/d/1qpEmbGH0JjaJbUdp21-y2cPbobDbMjr09BbtdKROZWc/edit#gid=14448656"&amp;"54"",""articles_with_PRISMA_reasons!Z2:Z2113""), $A1053=IMPORTRANGE(""https://docs.google.com/spreadsheets/d/1qpEmbGH0JjaJbUdp21-y2cPbobDbMjr09BbtdKROZWc/edit#gid=1444865654"",""articles_with_PRISMA_reasons!B2:B2113"")),F1053
=""Include"",FILTER(IMPORTRAN"&amp;"GE(""https://docs.google.com/spreadsheets/d/1kGrh75X1cNR1D7_FcY9zMnHP8iPO4M5RCRjy6nZY0TY/edit#gid=0"",""Table 1: Study characteristics!A4:A171""), $A1053=IMPORTRANGE(""https://docs.google.com/spreadsheets/d/1kGrh75X1cNR1D7_FcY9zMnHP8iPO4M5RCRjy6nZY0TY/edi"&amp;"t#gid=0"",""Table 1: Study characteristics!B4:B171""))
)"),"Duplicate")</f>
        <v>Duplicate</v>
      </c>
    </row>
    <row r="1054">
      <c r="A1054" s="4" t="str">
        <f>IFERROR(__xludf.DUMMYFUNCTION("""COMPUTED_VALUE"""),"Lack of benefit of endoscopic ventriculoperitoneal shunt insertion: a multicenter randomized trial")</f>
        <v>Lack of benefit of endoscopic ventriculoperitoneal shunt insertion: a multicenter randomized trial</v>
      </c>
      <c r="B1054" s="5" t="str">
        <f>IFERROR(__xludf.DUMMYFUNCTION("LEFT(FILTER(IMPORTRANGE(""https://docs.google.com/spreadsheets/d/1BJSV3WBYJGRhQ6zExamkszQ5VutGIcaQqmbD9ZTVXMQ/edit#gid=1251630045"",""articles_with_PRISMA_reasons!K2:K2113""), $A1054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$A1054=IMPORTRANGE(""https://docs.google.com/spreadsheets/d/1BJSV3WBYJGRhQ6zExamkszQ5VutGIcaQqmbD9ZTVXMQ/edit#gid=1251630045"",""articles_with_PRISMA_reasons!B2:B2113"")))-1)"),"Kestle")</f>
        <v>Kestle</v>
      </c>
      <c r="C1054" s="6">
        <f>IFERROR(__xludf.DUMMYFUNCTION("FILTER(IMPORTRANGE(""https://docs.google.com/spreadsheets/d/1BJSV3WBYJGRhQ6zExamkszQ5VutGIcaQqmbD9ZTVXMQ/edit#gid=1251630045"",""articles_with_PRISMA_reasons!C2:C2113""), $A1054=IMPORTRANGE(""https://docs.google.com/spreadsheets/d/1BJSV3WBYJGRhQ6zExamkszQ"&amp;"5VutGIcaQqmbD9ZTVXMQ/edit#gid=1251630045"",""articles_with_PRISMA_reasons!B2:B2113""))"),2003.0)</f>
        <v>2003</v>
      </c>
      <c r="D1054" s="5" t="str">
        <f>IFERROR(__xludf.DUMMYFUNCTION("IFS(AND(
FILTER(IMPORTRANGE(""https://docs.google.com/spreadsheets/d/1BJSV3WBYJGRhQ6zExamkszQ5VutGIcaQqmbD9ZTVXMQ/edit#gid=1251630045"",""articles_with_PRISMA_reasons!Y2:Y2113""), $A1054=IMPORTRANGE(""https://docs.google.com/spreadsheets/d/1BJSV3WBYJGRhQ6"&amp;"zExamkszQ5VutGIcaQqmbD9ZTVXMQ/edit#gid=1251630045"",""articles_with_PRISMA_reasons!B2:B2113""))&gt;=2,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$A1054=IMPORTRANGE(""https://docs.google.com/spreadsheets/d/1BJSV3WBYJGRhQ6zExamkszQ5VutGIcaQqmbD9ZTVXMQ/edit#gid=1251630045"",""articles_with_PRISMA_reasons!B2:B2113""))&lt;2),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$A1054=IMPORTRANGE(""https://docs.google.com/spreadsheets/d/1BJSV3WBYJGRhQ6zExamkszQ5VutGIcaQqmbD9ZTVXMQ/edit#gid=1251630045"",""a"&amp;"rticles_with_PRISMA_reasons!B2:B2113""))&lt;2,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$A1054=IMPORTRANGE(""https://docs.google"&amp;".com/spreadsheets/d/1BJSV3WBYJGRhQ6zExamkszQ5VutGIcaQqmbD9ZTVXMQ/edit#gid=1251630045"",""articles_with_PRISMA_reasons!B2:B2113""))&gt;=2),
""Exclude""
)"),"Exclude")</f>
        <v>Exclude</v>
      </c>
      <c r="E1054" s="5" t="str">
        <f>IFERROR(__xludf.DUMMYFUNCTION("IFS(
D1054=""Exclude"",""Exclude"",
AND(
FILTER(IMPORTRANGE(""https://docs.google.com/spreadsheets/d/1qpEmbGH0JjaJbUdp21-y2cPbobDbMjr09BbtdKROZWc/edit#gid=1444865654"",""articles_with_PRISMA_reasons!W2:W2113""), $A1054=IMPORTRANGE(""https://docs.google.co"&amp;"m/spreadsheets/d/1qpEmbGH0JjaJbUdp21-y2cPbobDbMjr09BbtdKROZWc/edit#gid=1444865654"",""articles_with_PRISMA_reasons!B2:B2113""))&gt;=2,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$A1054=IMPORTRANGE(""https://docs.google.com/spreadsheets/d/1qpEmbGH0JjaJbUdp21-y2cPbobDbMjr09BbtdKROZWc/edit#gid=1444865654"",""articles_with_PRISMA_reasons!B2:B2113""))&lt;2),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$A1054=IMPORTRANGE(""https://docs.google.com/spreadsheets/d/1qpEmbGH0JjaJbUdp21-y2cPbobDbMjr09Bbtd"&amp;"KROZWc/edit#gid=1444865654"",""articles_with_PRISMA_reasons!B2:B2113""))&lt;2,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$A1054=I"&amp;"MPORTRANGE(""https://docs.google.com/spreadsheets/d/1qpEmbGH0JjaJbUdp21-y2cPbobDbMjr09BbtdKROZWc/edit#gid=1444865654"",""articles_with_PRISMA_reasons!B2:B2113""))&gt;=2),
""Exclude""
)"),"Exclude")</f>
        <v>Exclude</v>
      </c>
      <c r="F1054" s="5" t="str">
        <f>IFERROR(__xludf.DUMMYFUNCTION("IFS(
E1054=""Exclude"",""Exclude"",
AND(
COUNTIF(
IMPORTRANGE(""https://docs.google.com/spreadsheets/d/1kGrh75X1cNR1D7_FcY9zMnHP8iPO4M5RCRjy6nZY0TY/edit#gid=0"",""Table 1: Study characteristics!B4:B171""),A1054)&gt;0,
COUNTIF(Studies!$A$2:$A$85,FILTER(IMPORT"&amp;"RANGE(""https://docs.google.com/spreadsheets/d/1kGrh75X1cNR1D7_FcY9zMnHP8iPO4M5RCRjy6nZY0TY/edit#gid=0"",""Table 1: Study characteristics!A4:A171""), $A1054=IMPORTRANGE(""https://docs.google.com/spreadsheets/d/1kGrh75X1cNR1D7_FcY9zMnHP8iPO4M5RCRjy6nZY0TY/"&amp;"edit#gid=0"",""Table 1: Study characteristics!B4:B171"")))&gt;0
),
""Include""
)"),"Exclude")</f>
        <v>Exclude</v>
      </c>
      <c r="G1054" s="5" t="str">
        <f>IFERROR(__xludf.DUMMYFUNCTION("IFS(
D1054=""Exclude"",
FILTER(IMPORTRANGE(""https://docs.google.com/spreadsheets/d/1BJSV3WBYJGRhQ6zExamkszQ5VutGIcaQqmbD9ZTVXMQ/edit#gid=1251630045"",""articles_with_PRISMA_reasons!AB2:AB2113""), $A1054=IMPORTRANGE(""https://docs.google.com/spreadsheets/"&amp;"d/1BJSV3WBYJGRhQ6zExamkszQ5VutGIcaQqmbD9ZTVXMQ/edit#gid=1251630045"",""articles_with_PRISMA_reasons!B2:B2113"")),
E1054=""Exclude"",
FILTER(IMPORTRANGE(""https://docs.google.com/spreadsheets/d/1qpEmbGH0JjaJbUdp21-y2cPbobDbMjr09BbtdKROZWc/edit#gid=14448656"&amp;"54"",""articles_with_PRISMA_reasons!Z2:Z2113""), $A1054=IMPORTRANGE(""https://docs.google.com/spreadsheets/d/1qpEmbGH0JjaJbUdp21-y2cPbobDbMjr09BbtdKROZWc/edit#gid=1444865654"",""articles_with_PRISMA_reasons!B2:B2113"")),F1054
=""Include"",FILTER(IMPORTRAN"&amp;"GE(""https://docs.google.com/spreadsheets/d/1kGrh75X1cNR1D7_FcY9zMnHP8iPO4M5RCRjy6nZY0TY/edit#gid=0"",""Table 1: Study characteristics!A4:A171""), $A1054=IMPORTRANGE(""https://docs.google.com/spreadsheets/d/1kGrh75X1cNR1D7_FcY9zMnHP8iPO4M5RCRjy6nZY0TY/edi"&amp;"t#gid=0"",""Table 1: Study characteristics!B4:B171""))
)"),"Duplicate")</f>
        <v>Duplicate</v>
      </c>
    </row>
    <row r="1055">
      <c r="A1055" s="4" t="str">
        <f>IFERROR(__xludf.DUMMYFUNCTION("""COMPUTED_VALUE"""),"Lacunar skull deformity (Luckenschadel) and intelligence in myelomeningocele")</f>
        <v>Lacunar skull deformity (Luckenschadel) and intelligence in myelomeningocele</v>
      </c>
      <c r="B1055" s="5" t="str">
        <f>IFERROR(__xludf.DUMMYFUNCTION("LEFT(FILTER(IMPORTRANGE(""https://docs.google.com/spreadsheets/d/1BJSV3WBYJGRhQ6zExamkszQ5VutGIcaQqmbD9ZTVXMQ/edit#gid=1251630045"",""articles_with_PRISMA_reasons!K2:K2113""), $A1055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$A1055=IMPORTRANGE(""https://docs.google.com/spreadsheets/d/1BJSV3WBYJGRhQ6zExamkszQ5VutGIcaQqmbD9ZTVXMQ/edit#gid=1251630045"",""articles_with_PRISMA_reasons!B2:B2113"")))-1)"),"Stein")</f>
        <v>Stein</v>
      </c>
      <c r="C1055" s="6">
        <f>IFERROR(__xludf.DUMMYFUNCTION("FILTER(IMPORTRANGE(""https://docs.google.com/spreadsheets/d/1BJSV3WBYJGRhQ6zExamkszQ5VutGIcaQqmbD9ZTVXMQ/edit#gid=1251630045"",""articles_with_PRISMA_reasons!C2:C2113""), $A1055=IMPORTRANGE(""https://docs.google.com/spreadsheets/d/1BJSV3WBYJGRhQ6zExamkszQ"&amp;"5VutGIcaQqmbD9ZTVXMQ/edit#gid=1251630045"",""articles_with_PRISMA_reasons!B2:B2113""))"),1974.0)</f>
        <v>1974</v>
      </c>
      <c r="D1055" s="5" t="str">
        <f>IFERROR(__xludf.DUMMYFUNCTION("IFS(AND(
FILTER(IMPORTRANGE(""https://docs.google.com/spreadsheets/d/1BJSV3WBYJGRhQ6zExamkszQ5VutGIcaQqmbD9ZTVXMQ/edit#gid=1251630045"",""articles_with_PRISMA_reasons!Y2:Y2113""), $A1055=IMPORTRANGE(""https://docs.google.com/spreadsheets/d/1BJSV3WBYJGRhQ6"&amp;"zExamkszQ5VutGIcaQqmbD9ZTVXMQ/edit#gid=1251630045"",""articles_with_PRISMA_reasons!B2:B2113""))&gt;=2,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$A1055=IMPORTRANGE(""https://docs.google.com/spreadsheets/d/1BJSV3WBYJGRhQ6zExamkszQ5VutGIcaQqmbD9ZTVXMQ/edit#gid=1251630045"",""articles_with_PRISMA_reasons!B2:B2113""))&lt;2),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$A1055=IMPORTRANGE(""https://docs.google.com/spreadsheets/d/1BJSV3WBYJGRhQ6zExamkszQ5VutGIcaQqmbD9ZTVXMQ/edit#gid=1251630045"",""a"&amp;"rticles_with_PRISMA_reasons!B2:B2113""))&lt;2,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$A1055=IMPORTRANGE(""https://docs.google"&amp;".com/spreadsheets/d/1BJSV3WBYJGRhQ6zExamkszQ5VutGIcaQqmbD9ZTVXMQ/edit#gid=1251630045"",""articles_with_PRISMA_reasons!B2:B2113""))&gt;=2),
""Exclude""
)"),"Exclude")</f>
        <v>Exclude</v>
      </c>
      <c r="E1055" s="5" t="str">
        <f>IFERROR(__xludf.DUMMYFUNCTION("IFS(
D1055=""Exclude"",""Exclude"",
AND(
FILTER(IMPORTRANGE(""https://docs.google.com/spreadsheets/d/1qpEmbGH0JjaJbUdp21-y2cPbobDbMjr09BbtdKROZWc/edit#gid=1444865654"",""articles_with_PRISMA_reasons!W2:W2113""), $A1055=IMPORTRANGE(""https://docs.google.co"&amp;"m/spreadsheets/d/1qpEmbGH0JjaJbUdp21-y2cPbobDbMjr09BbtdKROZWc/edit#gid=1444865654"",""articles_with_PRISMA_reasons!B2:B2113""))&gt;=2,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$A1055=IMPORTRANGE(""https://docs.google.com/spreadsheets/d/1qpEmbGH0JjaJbUdp21-y2cPbobDbMjr09BbtdKROZWc/edit#gid=1444865654"",""articles_with_PRISMA_reasons!B2:B2113""))&lt;2),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$A1055=IMPORTRANGE(""https://docs.google.com/spreadsheets/d/1qpEmbGH0JjaJbUdp21-y2cPbobDbMjr09Bbtd"&amp;"KROZWc/edit#gid=1444865654"",""articles_with_PRISMA_reasons!B2:B2113""))&lt;2,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$A1055=I"&amp;"MPORTRANGE(""https://docs.google.com/spreadsheets/d/1qpEmbGH0JjaJbUdp21-y2cPbobDbMjr09BbtdKROZWc/edit#gid=1444865654"",""articles_with_PRISMA_reasons!B2:B2113""))&gt;=2),
""Exclude""
)"),"Exclude")</f>
        <v>Exclude</v>
      </c>
      <c r="F1055" s="5" t="str">
        <f>IFERROR(__xludf.DUMMYFUNCTION("IFS(
E1055=""Exclude"",""Exclude"",
AND(
COUNTIF(
IMPORTRANGE(""https://docs.google.com/spreadsheets/d/1kGrh75X1cNR1D7_FcY9zMnHP8iPO4M5RCRjy6nZY0TY/edit#gid=0"",""Table 1: Study characteristics!B4:B171""),A1055)&gt;0,
COUNTIF(Studies!$A$2:$A$85,FILTER(IMPORT"&amp;"RANGE(""https://docs.google.com/spreadsheets/d/1kGrh75X1cNR1D7_FcY9zMnHP8iPO4M5RCRjy6nZY0TY/edit#gid=0"",""Table 1: Study characteristics!A4:A171""), $A1055=IMPORTRANGE(""https://docs.google.com/spreadsheets/d/1kGrh75X1cNR1D7_FcY9zMnHP8iPO4M5RCRjy6nZY0TY/"&amp;"edit#gid=0"",""Table 1: Study characteristics!B4:B171"")))&gt;0
),
""Include""
)"),"Exclude")</f>
        <v>Exclude</v>
      </c>
      <c r="G1055" s="5" t="str">
        <f>IFERROR(__xludf.DUMMYFUNCTION("IFS(
D1055=""Exclude"",
FILTER(IMPORTRANGE(""https://docs.google.com/spreadsheets/d/1BJSV3WBYJGRhQ6zExamkszQ5VutGIcaQqmbD9ZTVXMQ/edit#gid=1251630045"",""articles_with_PRISMA_reasons!AB2:AB2113""), $A1055=IMPORTRANGE(""https://docs.google.com/spreadsheets/"&amp;"d/1BJSV3WBYJGRhQ6zExamkszQ5VutGIcaQqmbD9ZTVXMQ/edit#gid=1251630045"",""articles_with_PRISMA_reasons!B2:B2113"")),
E1055=""Exclude"",
FILTER(IMPORTRANGE(""https://docs.google.com/spreadsheets/d/1qpEmbGH0JjaJbUdp21-y2cPbobDbMjr09BbtdKROZWc/edit#gid=14448656"&amp;"54"",""articles_with_PRISMA_reasons!Z2:Z2113""), $A1055=IMPORTRANGE(""https://docs.google.com/spreadsheets/d/1qpEmbGH0JjaJbUdp21-y2cPbobDbMjr09BbtdKROZWc/edit#gid=1444865654"",""articles_with_PRISMA_reasons!B2:B2113"")),F1055
=""Include"",FILTER(IMPORTRAN"&amp;"GE(""https://docs.google.com/spreadsheets/d/1kGrh75X1cNR1D7_FcY9zMnHP8iPO4M5RCRjy6nZY0TY/edit#gid=0"",""Table 1: Study characteristics!A4:A171""), $A1055=IMPORTRANGE(""https://docs.google.com/spreadsheets/d/1kGrh75X1cNR1D7_FcY9zMnHP8iPO4M5RCRjy6nZY0TY/edi"&amp;"t#gid=0"",""Table 1: Study characteristics!B4:B171""))
)"),"wrong population")</f>
        <v>wrong population</v>
      </c>
    </row>
    <row r="1056">
      <c r="A1056" s="4" t="str">
        <f>IFERROR(__xludf.DUMMYFUNCTION("""COMPUTED_VALUE"""),"Lacunar skull deformity and hydrocephalus in infants with myelomeningocele: is lacunar skull deformity a predictor of hydrocephalus development?")</f>
        <v>Lacunar skull deformity and hydrocephalus in infants with myelomeningocele: is lacunar skull deformity a predictor of hydrocephalus development?</v>
      </c>
      <c r="B1056" s="5" t="str">
        <f>IFERROR(__xludf.DUMMYFUNCTION("LEFT(FILTER(IMPORTRANGE(""https://docs.google.com/spreadsheets/d/1BJSV3WBYJGRhQ6zExamkszQ5VutGIcaQqmbD9ZTVXMQ/edit#gid=1251630045"",""articles_with_PRISMA_reasons!K2:K2113""), $A1056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$A1056=IMPORTRANGE(""https://docs.google.com/spreadsheets/d/1BJSV3WBYJGRhQ6zExamkszQ5VutGIcaQqmbD9ZTVXMQ/edit#gid=1251630045"",""articles_with_PRISMA_reasons!B2:B2113"")))-1)"),"Nakahara")</f>
        <v>Nakahara</v>
      </c>
      <c r="C1056" s="6">
        <f>IFERROR(__xludf.DUMMYFUNCTION("FILTER(IMPORTRANGE(""https://docs.google.com/spreadsheets/d/1BJSV3WBYJGRhQ6zExamkszQ5VutGIcaQqmbD9ZTVXMQ/edit#gid=1251630045"",""articles_with_PRISMA_reasons!C2:C2113""), $A1056=IMPORTRANGE(""https://docs.google.com/spreadsheets/d/1BJSV3WBYJGRhQ6zExamkszQ"&amp;"5VutGIcaQqmbD9ZTVXMQ/edit#gid=1251630045"",""articles_with_PRISMA_reasons!B2:B2113""))"),2007.0)</f>
        <v>2007</v>
      </c>
      <c r="D1056" s="5" t="str">
        <f>IFERROR(__xludf.DUMMYFUNCTION("IFS(AND(
FILTER(IMPORTRANGE(""https://docs.google.com/spreadsheets/d/1BJSV3WBYJGRhQ6zExamkszQ5VutGIcaQqmbD9ZTVXMQ/edit#gid=1251630045"",""articles_with_PRISMA_reasons!Y2:Y2113""), $A1056=IMPORTRANGE(""https://docs.google.com/spreadsheets/d/1BJSV3WBYJGRhQ6"&amp;"zExamkszQ5VutGIcaQqmbD9ZTVXMQ/edit#gid=1251630045"",""articles_with_PRISMA_reasons!B2:B2113""))&gt;=2,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$A1056=IMPORTRANGE(""https://docs.google.com/spreadsheets/d/1BJSV3WBYJGRhQ6zExamkszQ5VutGIcaQqmbD9ZTVXMQ/edit#gid=1251630045"",""articles_with_PRISMA_reasons!B2:B2113""))&lt;2),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$A1056=IMPORTRANGE(""https://docs.google.com/spreadsheets/d/1BJSV3WBYJGRhQ6zExamkszQ5VutGIcaQqmbD9ZTVXMQ/edit#gid=1251630045"",""a"&amp;"rticles_with_PRISMA_reasons!B2:B2113""))&lt;2,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$A1056=IMPORTRANGE(""https://docs.google"&amp;".com/spreadsheets/d/1BJSV3WBYJGRhQ6zExamkszQ5VutGIcaQqmbD9ZTVXMQ/edit#gid=1251630045"",""articles_with_PRISMA_reasons!B2:B2113""))&gt;=2),
""Exclude""
)"),"Exclude")</f>
        <v>Exclude</v>
      </c>
      <c r="E1056" s="5" t="str">
        <f>IFERROR(__xludf.DUMMYFUNCTION("IFS(
D1056=""Exclude"",""Exclude"",
AND(
FILTER(IMPORTRANGE(""https://docs.google.com/spreadsheets/d/1qpEmbGH0JjaJbUdp21-y2cPbobDbMjr09BbtdKROZWc/edit#gid=1444865654"",""articles_with_PRISMA_reasons!W2:W2113""), $A1056=IMPORTRANGE(""https://docs.google.co"&amp;"m/spreadsheets/d/1qpEmbGH0JjaJbUdp21-y2cPbobDbMjr09BbtdKROZWc/edit#gid=1444865654"",""articles_with_PRISMA_reasons!B2:B2113""))&gt;=2,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$A1056=IMPORTRANGE(""https://docs.google.com/spreadsheets/d/1qpEmbGH0JjaJbUdp21-y2cPbobDbMjr09BbtdKROZWc/edit#gid=1444865654"",""articles_with_PRISMA_reasons!B2:B2113""))&lt;2),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$A1056=IMPORTRANGE(""https://docs.google.com/spreadsheets/d/1qpEmbGH0JjaJbUdp21-y2cPbobDbMjr09Bbtd"&amp;"KROZWc/edit#gid=1444865654"",""articles_with_PRISMA_reasons!B2:B2113""))&lt;2,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$A1056=I"&amp;"MPORTRANGE(""https://docs.google.com/spreadsheets/d/1qpEmbGH0JjaJbUdp21-y2cPbobDbMjr09BbtdKROZWc/edit#gid=1444865654"",""articles_with_PRISMA_reasons!B2:B2113""))&gt;=2),
""Exclude""
)"),"Exclude")</f>
        <v>Exclude</v>
      </c>
      <c r="F1056" s="5" t="str">
        <f>IFERROR(__xludf.DUMMYFUNCTION("IFS(
E1056=""Exclude"",""Exclude"",
AND(
COUNTIF(
IMPORTRANGE(""https://docs.google.com/spreadsheets/d/1kGrh75X1cNR1D7_FcY9zMnHP8iPO4M5RCRjy6nZY0TY/edit#gid=0"",""Table 1: Study characteristics!B4:B171""),A1056)&gt;0,
COUNTIF(Studies!$A$2:$A$85,FILTER(IMPORT"&amp;"RANGE(""https://docs.google.com/spreadsheets/d/1kGrh75X1cNR1D7_FcY9zMnHP8iPO4M5RCRjy6nZY0TY/edit#gid=0"",""Table 1: Study characteristics!A4:A171""), $A1056=IMPORTRANGE(""https://docs.google.com/spreadsheets/d/1kGrh75X1cNR1D7_FcY9zMnHP8iPO4M5RCRjy6nZY0TY/"&amp;"edit#gid=0"",""Table 1: Study characteristics!B4:B171"")))&gt;0
),
""Include""
)"),"Exclude")</f>
        <v>Exclude</v>
      </c>
      <c r="G1056" s="5" t="str">
        <f>IFERROR(__xludf.DUMMYFUNCTION("IFS(
D1056=""Exclude"",
FILTER(IMPORTRANGE(""https://docs.google.com/spreadsheets/d/1BJSV3WBYJGRhQ6zExamkszQ5VutGIcaQqmbD9ZTVXMQ/edit#gid=1251630045"",""articles_with_PRISMA_reasons!AB2:AB2113""), $A1056=IMPORTRANGE(""https://docs.google.com/spreadsheets/"&amp;"d/1BJSV3WBYJGRhQ6zExamkszQ5VutGIcaQqmbD9ZTVXMQ/edit#gid=1251630045"",""articles_with_PRISMA_reasons!B2:B2113"")),
E1056=""Exclude"",
FILTER(IMPORTRANGE(""https://docs.google.com/spreadsheets/d/1qpEmbGH0JjaJbUdp21-y2cPbobDbMjr09BbtdKROZWc/edit#gid=14448656"&amp;"54"",""articles_with_PRISMA_reasons!Z2:Z2113""), $A1056=IMPORTRANGE(""https://docs.google.com/spreadsheets/d/1qpEmbGH0JjaJbUdp21-y2cPbobDbMjr09BbtdKROZWc/edit#gid=1444865654"",""articles_with_PRISMA_reasons!B2:B2113"")),F1056
=""Include"",FILTER(IMPORTRAN"&amp;"GE(""https://docs.google.com/spreadsheets/d/1kGrh75X1cNR1D7_FcY9zMnHP8iPO4M5RCRjy6nZY0TY/edit#gid=0"",""Table 1: Study characteristics!A4:A171""), $A1056=IMPORTRANGE(""https://docs.google.com/spreadsheets/d/1kGrh75X1cNR1D7_FcY9zMnHP8iPO4M5RCRjy6nZY0TY/edi"&amp;"t#gid=0"",""Table 1: Study characteristics!B4:B171""))
)"),"Duplicate")</f>
        <v>Duplicate</v>
      </c>
    </row>
    <row r="1057">
      <c r="A1057" s="4" t="str">
        <f>IFERROR(__xludf.DUMMYFUNCTION("""COMPUTED_VALUE"""),"Lacunar skull deformity related to intelligence in children with myelomeningocele and hydrocephalus")</f>
        <v>Lacunar skull deformity related to intelligence in children with myelomeningocele and hydrocephalus</v>
      </c>
      <c r="B1057" s="5" t="str">
        <f>IFERROR(__xludf.DUMMYFUNCTION("LEFT(FILTER(IMPORTRANGE(""https://docs.google.com/spreadsheets/d/1BJSV3WBYJGRhQ6zExamkszQ5VutGIcaQqmbD9ZTVXMQ/edit#gid=1251630045"",""articles_with_PRISMA_reasons!K2:K2113""), $A1057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$A1057=IMPORTRANGE(""https://docs.google.com/spreadsheets/d/1BJSV3WBYJGRhQ6zExamkszQ5VutGIcaQqmbD9ZTVXMQ/edit#gid=1251630045"",""articles_with_PRISMA_reasons!B2:B2113"")))-1)"),"Lonton")</f>
        <v>Lonton</v>
      </c>
      <c r="C1057" s="6">
        <f>IFERROR(__xludf.DUMMYFUNCTION("FILTER(IMPORTRANGE(""https://docs.google.com/spreadsheets/d/1BJSV3WBYJGRhQ6zExamkszQ5VutGIcaQqmbD9ZTVXMQ/edit#gid=1251630045"",""articles_with_PRISMA_reasons!C2:C2113""), $A1057=IMPORTRANGE(""https://docs.google.com/spreadsheets/d/1BJSV3WBYJGRhQ6zExamkszQ"&amp;"5VutGIcaQqmbD9ZTVXMQ/edit#gid=1251630045"",""articles_with_PRISMA_reasons!B2:B2113""))"),1975.0)</f>
        <v>1975</v>
      </c>
      <c r="D1057" s="5" t="str">
        <f>IFERROR(__xludf.DUMMYFUNCTION("IFS(AND(
FILTER(IMPORTRANGE(""https://docs.google.com/spreadsheets/d/1BJSV3WBYJGRhQ6zExamkszQ5VutGIcaQqmbD9ZTVXMQ/edit#gid=1251630045"",""articles_with_PRISMA_reasons!Y2:Y2113""), $A1057=IMPORTRANGE(""https://docs.google.com/spreadsheets/d/1BJSV3WBYJGRhQ6"&amp;"zExamkszQ5VutGIcaQqmbD9ZTVXMQ/edit#gid=1251630045"",""articles_with_PRISMA_reasons!B2:B2113""))&gt;=2,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$A1057=IMPORTRANGE(""https://docs.google.com/spreadsheets/d/1BJSV3WBYJGRhQ6zExamkszQ5VutGIcaQqmbD9ZTVXMQ/edit#gid=1251630045"",""articles_with_PRISMA_reasons!B2:B2113""))&lt;2),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$A1057=IMPORTRANGE(""https://docs.google.com/spreadsheets/d/1BJSV3WBYJGRhQ6zExamkszQ5VutGIcaQqmbD9ZTVXMQ/edit#gid=1251630045"",""a"&amp;"rticles_with_PRISMA_reasons!B2:B2113""))&lt;2,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$A1057=IMPORTRANGE(""https://docs.google"&amp;".com/spreadsheets/d/1BJSV3WBYJGRhQ6zExamkszQ5VutGIcaQqmbD9ZTVXMQ/edit#gid=1251630045"",""articles_with_PRISMA_reasons!B2:B2113""))&gt;=2),
""Exclude""
)"),"Include")</f>
        <v>Include</v>
      </c>
      <c r="E1057" s="5" t="str">
        <f>IFERROR(__xludf.DUMMYFUNCTION("IFS(
D1057=""Exclude"",""Exclude"",
AND(
FILTER(IMPORTRANGE(""https://docs.google.com/spreadsheets/d/1qpEmbGH0JjaJbUdp21-y2cPbobDbMjr09BbtdKROZWc/edit#gid=1444865654"",""articles_with_PRISMA_reasons!W2:W2113""), $A1057=IMPORTRANGE(""https://docs.google.co"&amp;"m/spreadsheets/d/1qpEmbGH0JjaJbUdp21-y2cPbobDbMjr09BbtdKROZWc/edit#gid=1444865654"",""articles_with_PRISMA_reasons!B2:B2113""))&gt;=2,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$A1057=IMPORTRANGE(""https://docs.google.com/spreadsheets/d/1qpEmbGH0JjaJbUdp21-y2cPbobDbMjr09BbtdKROZWc/edit#gid=1444865654"",""articles_with_PRISMA_reasons!B2:B2113""))&lt;2),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$A1057=IMPORTRANGE(""https://docs.google.com/spreadsheets/d/1qpEmbGH0JjaJbUdp21-y2cPbobDbMjr09Bbtd"&amp;"KROZWc/edit#gid=1444865654"",""articles_with_PRISMA_reasons!B2:B2113""))&lt;2,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$A1057=I"&amp;"MPORTRANGE(""https://docs.google.com/spreadsheets/d/1qpEmbGH0JjaJbUdp21-y2cPbobDbMjr09BbtdKROZWc/edit#gid=1444865654"",""articles_with_PRISMA_reasons!B2:B2113""))&gt;=2),
""Exclude""
)"),"Exclude")</f>
        <v>Exclude</v>
      </c>
      <c r="F1057" s="5" t="str">
        <f>IFERROR(__xludf.DUMMYFUNCTION("IFS(
E1057=""Exclude"",""Exclude"",
AND(
COUNTIF(
IMPORTRANGE(""https://docs.google.com/spreadsheets/d/1kGrh75X1cNR1D7_FcY9zMnHP8iPO4M5RCRjy6nZY0TY/edit#gid=0"",""Table 1: Study characteristics!B4:B171""),A1057)&gt;0,
COUNTIF(Studies!$A$2:$A$85,FILTER(IMPORT"&amp;"RANGE(""https://docs.google.com/spreadsheets/d/1kGrh75X1cNR1D7_FcY9zMnHP8iPO4M5RCRjy6nZY0TY/edit#gid=0"",""Table 1: Study characteristics!A4:A171""), $A1057=IMPORTRANGE(""https://docs.google.com/spreadsheets/d/1kGrh75X1cNR1D7_FcY9zMnHP8iPO4M5RCRjy6nZY0TY/"&amp;"edit#gid=0"",""Table 1: Study characteristics!B4:B171"")))&gt;0
),
""Include""
)"),"Exclude")</f>
        <v>Exclude</v>
      </c>
      <c r="G1057" s="5" t="str">
        <f>IFERROR(__xludf.DUMMYFUNCTION("IFS(
D1057=""Exclude"",
FILTER(IMPORTRANGE(""https://docs.google.com/spreadsheets/d/1BJSV3WBYJGRhQ6zExamkszQ5VutGIcaQqmbD9ZTVXMQ/edit#gid=1251630045"",""articles_with_PRISMA_reasons!AB2:AB2113""), $A1057=IMPORTRANGE(""https://docs.google.com/spreadsheets/"&amp;"d/1BJSV3WBYJGRhQ6zExamkszQ5VutGIcaQqmbD9ZTVXMQ/edit#gid=1251630045"",""articles_with_PRISMA_reasons!B2:B2113"")),
E1057=""Exclude"",
FILTER(IMPORTRANGE(""https://docs.google.com/spreadsheets/d/1qpEmbGH0JjaJbUdp21-y2cPbobDbMjr09BbtdKROZWc/edit#gid=14448656"&amp;"54"",""articles_with_PRISMA_reasons!Z2:Z2113""), $A1057=IMPORTRANGE(""https://docs.google.com/spreadsheets/d/1qpEmbGH0JjaJbUdp21-y2cPbobDbMjr09BbtdKROZWc/edit#gid=1444865654"",""articles_with_PRISMA_reasons!B2:B2113"")),F1057
=""Include"",FILTER(IMPORTRAN"&amp;"GE(""https://docs.google.com/spreadsheets/d/1kGrh75X1cNR1D7_FcY9zMnHP8iPO4M5RCRjy6nZY0TY/edit#gid=0"",""Table 1: Study characteristics!A4:A171""), $A1057=IMPORTRANGE(""https://docs.google.com/spreadsheets/d/1kGrh75X1cNR1D7_FcY9zMnHP8iPO4M5RCRjy6nZY0TY/edi"&amp;"t#gid=0"",""Table 1: Study characteristics!B4:B171""))
)"),"wrong outcome")</f>
        <v>wrong outcome</v>
      </c>
    </row>
    <row r="1058">
      <c r="A1058" s="4" t="str">
        <f>IFERROR(__xludf.DUMMYFUNCTION("""COMPUTED_VALUE"""),"Language development in children with spina bifida")</f>
        <v>Language development in children with spina bifida</v>
      </c>
      <c r="B1058" s="5" t="str">
        <f>IFERROR(__xludf.DUMMYFUNCTION("LEFT(FILTER(IMPORTRANGE(""https://docs.google.com/spreadsheets/d/1BJSV3WBYJGRhQ6zExamkszQ5VutGIcaQqmbD9ZTVXMQ/edit#gid=1251630045"",""articles_with_PRISMA_reasons!K2:K2113""), $A1058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$A1058=IMPORTRANGE(""https://docs.google.com/spreadsheets/d/1BJSV3WBYJGRhQ6zExamkszQ5VutGIcaQqmbD9ZTVXMQ/edit#gid=1251630045"",""articles_with_PRISMA_reasons!B2:B2113"")))-1)"),"Barnes")</f>
        <v>Barnes</v>
      </c>
      <c r="C1058" s="3">
        <v>2002.0</v>
      </c>
      <c r="D1058" s="5" t="str">
        <f>IFERROR(__xludf.DUMMYFUNCTION("IFS(AND(
FILTER(IMPORTRANGE(""https://docs.google.com/spreadsheets/d/1BJSV3WBYJGRhQ6zExamkszQ5VutGIcaQqmbD9ZTVXMQ/edit#gid=1251630045"",""articles_with_PRISMA_reasons!Y2:Y2113""), $A1058=IMPORTRANGE(""https://docs.google.com/spreadsheets/d/1BJSV3WBYJGRhQ6"&amp;"zExamkszQ5VutGIcaQqmbD9ZTVXMQ/edit#gid=1251630045"",""articles_with_PRISMA_reasons!B2:B2113""))&gt;=2,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$A1058=IMPORTRANGE(""https://docs.google.com/spreadsheets/d/1BJSV3WBYJGRhQ6zExamkszQ5VutGIcaQqmbD9ZTVXMQ/edit#gid=1251630045"",""articles_with_PRISMA_reasons!B2:B2113""))&lt;2),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$A1058=IMPORTRANGE(""https://docs.google.com/spreadsheets/d/1BJSV3WBYJGRhQ6zExamkszQ5VutGIcaQqmbD9ZTVXMQ/edit#gid=1251630045"",""a"&amp;"rticles_with_PRISMA_reasons!B2:B2113""))&lt;2,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$A1058=IMPORTRANGE(""https://docs.google"&amp;".com/spreadsheets/d/1BJSV3WBYJGRhQ6zExamkszQ5VutGIcaQqmbD9ZTVXMQ/edit#gid=1251630045"",""articles_with_PRISMA_reasons!B2:B2113""))&gt;=2),
""Exclude""
)"),"Exclude")</f>
        <v>Exclude</v>
      </c>
      <c r="E1058" s="5" t="str">
        <f>IFERROR(__xludf.DUMMYFUNCTION("IFS(
D1058=""Exclude"",""Exclude"",
AND(
FILTER(IMPORTRANGE(""https://docs.google.com/spreadsheets/d/1qpEmbGH0JjaJbUdp21-y2cPbobDbMjr09BbtdKROZWc/edit#gid=1444865654"",""articles_with_PRISMA_reasons!W2:W2113""), $A1058=IMPORTRANGE(""https://docs.google.co"&amp;"m/spreadsheets/d/1qpEmbGH0JjaJbUdp21-y2cPbobDbMjr09BbtdKROZWc/edit#gid=1444865654"",""articles_with_PRISMA_reasons!B2:B2113""))&gt;=2,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$A1058=IMPORTRANGE(""https://docs.google.com/spreadsheets/d/1qpEmbGH0JjaJbUdp21-y2cPbobDbMjr09BbtdKROZWc/edit#gid=1444865654"",""articles_with_PRISMA_reasons!B2:B2113""))&lt;2),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$A1058=IMPORTRANGE(""https://docs.google.com/spreadsheets/d/1qpEmbGH0JjaJbUdp21-y2cPbobDbMjr09Bbtd"&amp;"KROZWc/edit#gid=1444865654"",""articles_with_PRISMA_reasons!B2:B2113""))&lt;2,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$A1058=I"&amp;"MPORTRANGE(""https://docs.google.com/spreadsheets/d/1qpEmbGH0JjaJbUdp21-y2cPbobDbMjr09BbtdKROZWc/edit#gid=1444865654"",""articles_with_PRISMA_reasons!B2:B2113""))&gt;=2),
""Exclude""
)"),"Exclude")</f>
        <v>Exclude</v>
      </c>
      <c r="F1058" s="5" t="str">
        <f>IFERROR(__xludf.DUMMYFUNCTION("IFS(
E1058=""Exclude"",""Exclude"",
AND(
COUNTIF(
IMPORTRANGE(""https://docs.google.com/spreadsheets/d/1kGrh75X1cNR1D7_FcY9zMnHP8iPO4M5RCRjy6nZY0TY/edit#gid=0"",""Table 1: Study characteristics!B4:B171""),A1058)&gt;0,
COUNTIF(Studies!$A$2:$A$85,FILTER(IMPORT"&amp;"RANGE(""https://docs.google.com/spreadsheets/d/1kGrh75X1cNR1D7_FcY9zMnHP8iPO4M5RCRjy6nZY0TY/edit#gid=0"",""Table 1: Study characteristics!A4:A171""), $A1058=IMPORTRANGE(""https://docs.google.com/spreadsheets/d/1kGrh75X1cNR1D7_FcY9zMnHP8iPO4M5RCRjy6nZY0TY/"&amp;"edit#gid=0"",""Table 1: Study characteristics!B4:B171"")))&gt;0
),
""Include""
)"),"Exclude")</f>
        <v>Exclude</v>
      </c>
      <c r="G1058" s="5" t="s">
        <v>15</v>
      </c>
    </row>
    <row r="1059">
      <c r="A1059" s="4" t="str">
        <f>IFERROR(__xludf.DUMMYFUNCTION("""COMPUTED_VALUE"""),"Language development in children with spina bifida")</f>
        <v>Language development in children with spina bifida</v>
      </c>
      <c r="B1059" s="5" t="str">
        <f>IFERROR(__xludf.DUMMYFUNCTION("LEFT(FILTER(IMPORTRANGE(""https://docs.google.com/spreadsheets/d/1BJSV3WBYJGRhQ6zExamkszQ5VutGIcaQqmbD9ZTVXMQ/edit#gid=1251630045"",""articles_with_PRISMA_reasons!K2:K2113""), $A1059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$A1059=IMPORTRANGE(""https://docs.google.com/spreadsheets/d/1BJSV3WBYJGRhQ6zExamkszQ5VutGIcaQqmbD9ZTVXMQ/edit#gid=1251630045"",""articles_with_PRISMA_reasons!B2:B2113"")))-1)"),"Barnes")</f>
        <v>Barnes</v>
      </c>
      <c r="C1059" s="3">
        <v>2002.0</v>
      </c>
      <c r="D1059" s="5" t="str">
        <f>IFERROR(__xludf.DUMMYFUNCTION("IFS(AND(
FILTER(IMPORTRANGE(""https://docs.google.com/spreadsheets/d/1BJSV3WBYJGRhQ6zExamkszQ5VutGIcaQqmbD9ZTVXMQ/edit#gid=1251630045"",""articles_with_PRISMA_reasons!Y2:Y2113""), $A1059=IMPORTRANGE(""https://docs.google.com/spreadsheets/d/1BJSV3WBYJGRhQ6"&amp;"zExamkszQ5VutGIcaQqmbD9ZTVXMQ/edit#gid=1251630045"",""articles_with_PRISMA_reasons!B2:B2113""))&gt;=2,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$A1059=IMPORTRANGE(""https://docs.google.com/spreadsheets/d/1BJSV3WBYJGRhQ6zExamkszQ5VutGIcaQqmbD9ZTVXMQ/edit#gid=1251630045"",""articles_with_PRISMA_reasons!B2:B2113""))&lt;2),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$A1059=IMPORTRANGE(""https://docs.google.com/spreadsheets/d/1BJSV3WBYJGRhQ6zExamkszQ5VutGIcaQqmbD9ZTVXMQ/edit#gid=1251630045"",""a"&amp;"rticles_with_PRISMA_reasons!B2:B2113""))&lt;2,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$A1059=IMPORTRANGE(""https://docs.google"&amp;".com/spreadsheets/d/1BJSV3WBYJGRhQ6zExamkszQ5VutGIcaQqmbD9ZTVXMQ/edit#gid=1251630045"",""articles_with_PRISMA_reasons!B2:B2113""))&gt;=2),
""Exclude""
)"),"Exclude")</f>
        <v>Exclude</v>
      </c>
      <c r="E1059" s="5" t="str">
        <f>IFERROR(__xludf.DUMMYFUNCTION("IFS(
D1059=""Exclude"",""Exclude"",
AND(
FILTER(IMPORTRANGE(""https://docs.google.com/spreadsheets/d/1qpEmbGH0JjaJbUdp21-y2cPbobDbMjr09BbtdKROZWc/edit#gid=1444865654"",""articles_with_PRISMA_reasons!W2:W2113""), $A1059=IMPORTRANGE(""https://docs.google.co"&amp;"m/spreadsheets/d/1qpEmbGH0JjaJbUdp21-y2cPbobDbMjr09BbtdKROZWc/edit#gid=1444865654"",""articles_with_PRISMA_reasons!B2:B2113""))&gt;=2,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$A1059=IMPORTRANGE(""https://docs.google.com/spreadsheets/d/1qpEmbGH0JjaJbUdp21-y2cPbobDbMjr09BbtdKROZWc/edit#gid=1444865654"",""articles_with_PRISMA_reasons!B2:B2113""))&lt;2),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$A1059=IMPORTRANGE(""https://docs.google.com/spreadsheets/d/1qpEmbGH0JjaJbUdp21-y2cPbobDbMjr09Bbtd"&amp;"KROZWc/edit#gid=1444865654"",""articles_with_PRISMA_reasons!B2:B2113""))&lt;2,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$A1059=I"&amp;"MPORTRANGE(""https://docs.google.com/spreadsheets/d/1qpEmbGH0JjaJbUdp21-y2cPbobDbMjr09BbtdKROZWc/edit#gid=1444865654"",""articles_with_PRISMA_reasons!B2:B2113""))&gt;=2),
""Exclude""
)"),"Exclude")</f>
        <v>Exclude</v>
      </c>
      <c r="F1059" s="5" t="str">
        <f>IFERROR(__xludf.DUMMYFUNCTION("IFS(
E1059=""Exclude"",""Exclude"",
AND(
COUNTIF(
IMPORTRANGE(""https://docs.google.com/spreadsheets/d/1kGrh75X1cNR1D7_FcY9zMnHP8iPO4M5RCRjy6nZY0TY/edit#gid=0"",""Table 1: Study characteristics!B4:B171""),A1059)&gt;0,
COUNTIF(Studies!$A$2:$A$85,FILTER(IMPORT"&amp;"RANGE(""https://docs.google.com/spreadsheets/d/1kGrh75X1cNR1D7_FcY9zMnHP8iPO4M5RCRjy6nZY0TY/edit#gid=0"",""Table 1: Study characteristics!A4:A171""), $A1059=IMPORTRANGE(""https://docs.google.com/spreadsheets/d/1kGrh75X1cNR1D7_FcY9zMnHP8iPO4M5RCRjy6nZY0TY/"&amp;"edit#gid=0"",""Table 1: Study characteristics!B4:B171"")))&gt;0
),
""Include""
)"),"Exclude")</f>
        <v>Exclude</v>
      </c>
      <c r="G1059" s="2" t="s">
        <v>13</v>
      </c>
    </row>
    <row r="1060">
      <c r="A1060" s="4" t="str">
        <f>IFERROR(__xludf.DUMMYFUNCTION("""COMPUTED_VALUE"""),"Language differences in young children with myelomeningocele and shunted hydrocephalus")</f>
        <v>Language differences in young children with myelomeningocele and shunted hydrocephalus</v>
      </c>
      <c r="B1060" s="5" t="str">
        <f>IFERROR(__xludf.DUMMYFUNCTION("LEFT(FILTER(IMPORTRANGE(""https://docs.google.com/spreadsheets/d/1BJSV3WBYJGRhQ6zExamkszQ5VutGIcaQqmbD9ZTVXMQ/edit#gid=1251630045"",""articles_with_PRISMA_reasons!K2:K2113""), $A1060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$A1060=IMPORTRANGE(""https://docs.google.com/spreadsheets/d/1BJSV3WBYJGRhQ6zExamkszQ5VutGIcaQqmbD9ZTVXMQ/edit#gid=1251630045"",""articles_with_PRISMA_reasons!B2:B2113"")))-1)"),"Adams")</f>
        <v>Adams</v>
      </c>
      <c r="C1060" s="6">
        <f>IFERROR(__xludf.DUMMYFUNCTION("FILTER(IMPORTRANGE(""https://docs.google.com/spreadsheets/d/1BJSV3WBYJGRhQ6zExamkszQ5VutGIcaQqmbD9ZTVXMQ/edit#gid=1251630045"",""articles_with_PRISMA_reasons!C2:C2113""), $A1060=IMPORTRANGE(""https://docs.google.com/spreadsheets/d/1BJSV3WBYJGRhQ6zExamkszQ"&amp;"5VutGIcaQqmbD9ZTVXMQ/edit#gid=1251630045"",""articles_with_PRISMA_reasons!B2:B2113""))"),2003.0)</f>
        <v>2003</v>
      </c>
      <c r="D1060" s="5" t="str">
        <f>IFERROR(__xludf.DUMMYFUNCTION("IFS(AND(
FILTER(IMPORTRANGE(""https://docs.google.com/spreadsheets/d/1BJSV3WBYJGRhQ6zExamkszQ5VutGIcaQqmbD9ZTVXMQ/edit#gid=1251630045"",""articles_with_PRISMA_reasons!Y2:Y2113""), $A1060=IMPORTRANGE(""https://docs.google.com/spreadsheets/d/1BJSV3WBYJGRhQ6"&amp;"zExamkszQ5VutGIcaQqmbD9ZTVXMQ/edit#gid=1251630045"",""articles_with_PRISMA_reasons!B2:B2113""))&gt;=2,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$A1060=IMPORTRANGE(""https://docs.google.com/spreadsheets/d/1BJSV3WBYJGRhQ6zExamkszQ5VutGIcaQqmbD9ZTVXMQ/edit#gid=1251630045"",""articles_with_PRISMA_reasons!B2:B2113""))&lt;2),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$A1060=IMPORTRANGE(""https://docs.google.com/spreadsheets/d/1BJSV3WBYJGRhQ6zExamkszQ5VutGIcaQqmbD9ZTVXMQ/edit#gid=1251630045"",""a"&amp;"rticles_with_PRISMA_reasons!B2:B2113""))&lt;2,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$A1060=IMPORTRANGE(""https://docs.google"&amp;".com/spreadsheets/d/1BJSV3WBYJGRhQ6zExamkszQ5VutGIcaQqmbD9ZTVXMQ/edit#gid=1251630045"",""articles_with_PRISMA_reasons!B2:B2113""))&gt;=2),
""Exclude""
)"),"Exclude")</f>
        <v>Exclude</v>
      </c>
      <c r="E1060" s="5" t="str">
        <f>IFERROR(__xludf.DUMMYFUNCTION("IFS(
D1060=""Exclude"",""Exclude"",
AND(
FILTER(IMPORTRANGE(""https://docs.google.com/spreadsheets/d/1qpEmbGH0JjaJbUdp21-y2cPbobDbMjr09BbtdKROZWc/edit#gid=1444865654"",""articles_with_PRISMA_reasons!W2:W2113""), $A1060=IMPORTRANGE(""https://docs.google.co"&amp;"m/spreadsheets/d/1qpEmbGH0JjaJbUdp21-y2cPbobDbMjr09BbtdKROZWc/edit#gid=1444865654"",""articles_with_PRISMA_reasons!B2:B2113""))&gt;=2,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$A1060=IMPORTRANGE(""https://docs.google.com/spreadsheets/d/1qpEmbGH0JjaJbUdp21-y2cPbobDbMjr09BbtdKROZWc/edit#gid=1444865654"",""articles_with_PRISMA_reasons!B2:B2113""))&lt;2),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$A1060=IMPORTRANGE(""https://docs.google.com/spreadsheets/d/1qpEmbGH0JjaJbUdp21-y2cPbobDbMjr09Bbtd"&amp;"KROZWc/edit#gid=1444865654"",""articles_with_PRISMA_reasons!B2:B2113""))&lt;2,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$A1060=I"&amp;"MPORTRANGE(""https://docs.google.com/spreadsheets/d/1qpEmbGH0JjaJbUdp21-y2cPbobDbMjr09BbtdKROZWc/edit#gid=1444865654"",""articles_with_PRISMA_reasons!B2:B2113""))&gt;=2),
""Exclude""
)"),"Exclude")</f>
        <v>Exclude</v>
      </c>
      <c r="F1060" s="5" t="str">
        <f>IFERROR(__xludf.DUMMYFUNCTION("IFS(
E1060=""Exclude"",""Exclude"",
AND(
COUNTIF(
IMPORTRANGE(""https://docs.google.com/spreadsheets/d/1kGrh75X1cNR1D7_FcY9zMnHP8iPO4M5RCRjy6nZY0TY/edit#gid=0"",""Table 1: Study characteristics!B4:B171""),A1060)&gt;0,
COUNTIF(Studies!$A$2:$A$85,FILTER(IMPORT"&amp;"RANGE(""https://docs.google.com/spreadsheets/d/1kGrh75X1cNR1D7_FcY9zMnHP8iPO4M5RCRjy6nZY0TY/edit#gid=0"",""Table 1: Study characteristics!A4:A171""), $A1060=IMPORTRANGE(""https://docs.google.com/spreadsheets/d/1kGrh75X1cNR1D7_FcY9zMnHP8iPO4M5RCRjy6nZY0TY/"&amp;"edit#gid=0"",""Table 1: Study characteristics!B4:B171"")))&gt;0
),
""Include""
)"),"Exclude")</f>
        <v>Exclude</v>
      </c>
      <c r="G1060" s="5" t="str">
        <f>IFERROR(__xludf.DUMMYFUNCTION("IFS(
D1060=""Exclude"",
FILTER(IMPORTRANGE(""https://docs.google.com/spreadsheets/d/1BJSV3WBYJGRhQ6zExamkszQ5VutGIcaQqmbD9ZTVXMQ/edit#gid=1251630045"",""articles_with_PRISMA_reasons!AB2:AB2113""), $A1060=IMPORTRANGE(""https://docs.google.com/spreadsheets/"&amp;"d/1BJSV3WBYJGRhQ6zExamkszQ5VutGIcaQqmbD9ZTVXMQ/edit#gid=1251630045"",""articles_with_PRISMA_reasons!B2:B2113"")),
E1060=""Exclude"",
FILTER(IMPORTRANGE(""https://docs.google.com/spreadsheets/d/1qpEmbGH0JjaJbUdp21-y2cPbobDbMjr09BbtdKROZWc/edit#gid=14448656"&amp;"54"",""articles_with_PRISMA_reasons!Z2:Z2113""), $A1060=IMPORTRANGE(""https://docs.google.com/spreadsheets/d/1qpEmbGH0JjaJbUdp21-y2cPbobDbMjr09BbtdKROZWc/edit#gid=1444865654"",""articles_with_PRISMA_reasons!B2:B2113"")),F1060
=""Include"",FILTER(IMPORTRAN"&amp;"GE(""https://docs.google.com/spreadsheets/d/1kGrh75X1cNR1D7_FcY9zMnHP8iPO4M5RCRjy6nZY0TY/edit#gid=0"",""Table 1: Study characteristics!A4:A171""), $A1060=IMPORTRANGE(""https://docs.google.com/spreadsheets/d/1kGrh75X1cNR1D7_FcY9zMnHP8iPO4M5RCRjy6nZY0TY/edi"&amp;"t#gid=0"",""Table 1: Study characteristics!B4:B171""))
)"),"wrong population")</f>
        <v>wrong population</v>
      </c>
    </row>
    <row r="1061">
      <c r="A1061" s="4" t="str">
        <f>IFERROR(__xludf.DUMMYFUNCTION("""COMPUTED_VALUE"""),"Language sample analysis in children with myelomeningocele and shunted hydrocephalus")</f>
        <v>Language sample analysis in children with myelomeningocele and shunted hydrocephalus</v>
      </c>
      <c r="B1061" s="5" t="str">
        <f>IFERROR(__xludf.DUMMYFUNCTION("LEFT(FILTER(IMPORTRANGE(""https://docs.google.com/spreadsheets/d/1BJSV3WBYJGRhQ6zExamkszQ5VutGIcaQqmbD9ZTVXMQ/edit#gid=1251630045"",""articles_with_PRISMA_reasons!K2:K2113""), $A1061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$A1061=IMPORTRANGE(""https://docs.google.com/spreadsheets/d/1BJSV3WBYJGRhQ6zExamkszQ5VutGIcaQqmbD9ZTVXMQ/edit#gid=1251630045"",""articles_with_PRISMA_reasons!B2:B2113"")))-1)"),"Vachha")</f>
        <v>Vachha</v>
      </c>
      <c r="C1061" s="6">
        <f>IFERROR(__xludf.DUMMYFUNCTION("FILTER(IMPORTRANGE(""https://docs.google.com/spreadsheets/d/1BJSV3WBYJGRhQ6zExamkszQ5VutGIcaQqmbD9ZTVXMQ/edit#gid=1251630045"",""articles_with_PRISMA_reasons!C2:C2113""), $A1061=IMPORTRANGE(""https://docs.google.com/spreadsheets/d/1BJSV3WBYJGRhQ6zExamkszQ"&amp;"5VutGIcaQqmbD9ZTVXMQ/edit#gid=1251630045"",""articles_with_PRISMA_reasons!B2:B2113""))"),2003.0)</f>
        <v>2003</v>
      </c>
      <c r="D1061" s="5" t="str">
        <f>IFERROR(__xludf.DUMMYFUNCTION("IFS(AND(
FILTER(IMPORTRANGE(""https://docs.google.com/spreadsheets/d/1BJSV3WBYJGRhQ6zExamkszQ5VutGIcaQqmbD9ZTVXMQ/edit#gid=1251630045"",""articles_with_PRISMA_reasons!Y2:Y2113""), $A1061=IMPORTRANGE(""https://docs.google.com/spreadsheets/d/1BJSV3WBYJGRhQ6"&amp;"zExamkszQ5VutGIcaQqmbD9ZTVXMQ/edit#gid=1251630045"",""articles_with_PRISMA_reasons!B2:B2113""))&gt;=2,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$A1061=IMPORTRANGE(""https://docs.google.com/spreadsheets/d/1BJSV3WBYJGRhQ6zExamkszQ5VutGIcaQqmbD9ZTVXMQ/edit#gid=1251630045"",""articles_with_PRISMA_reasons!B2:B2113""))&lt;2),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$A1061=IMPORTRANGE(""https://docs.google.com/spreadsheets/d/1BJSV3WBYJGRhQ6zExamkszQ5VutGIcaQqmbD9ZTVXMQ/edit#gid=1251630045"",""a"&amp;"rticles_with_PRISMA_reasons!B2:B2113""))&lt;2,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$A1061=IMPORTRANGE(""https://docs.google"&amp;".com/spreadsheets/d/1BJSV3WBYJGRhQ6zExamkszQ5VutGIcaQqmbD9ZTVXMQ/edit#gid=1251630045"",""articles_with_PRISMA_reasons!B2:B2113""))&gt;=2),
""Exclude""
)"),"Exclude")</f>
        <v>Exclude</v>
      </c>
      <c r="E1061" s="5" t="str">
        <f>IFERROR(__xludf.DUMMYFUNCTION("IFS(
D1061=""Exclude"",""Exclude"",
AND(
FILTER(IMPORTRANGE(""https://docs.google.com/spreadsheets/d/1qpEmbGH0JjaJbUdp21-y2cPbobDbMjr09BbtdKROZWc/edit#gid=1444865654"",""articles_with_PRISMA_reasons!W2:W2113""), $A1061=IMPORTRANGE(""https://docs.google.co"&amp;"m/spreadsheets/d/1qpEmbGH0JjaJbUdp21-y2cPbobDbMjr09BbtdKROZWc/edit#gid=1444865654"",""articles_with_PRISMA_reasons!B2:B2113""))&gt;=2,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$A1061=IMPORTRANGE(""https://docs.google.com/spreadsheets/d/1qpEmbGH0JjaJbUdp21-y2cPbobDbMjr09BbtdKROZWc/edit#gid=1444865654"",""articles_with_PRISMA_reasons!B2:B2113""))&lt;2),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$A1061=IMPORTRANGE(""https://docs.google.com/spreadsheets/d/1qpEmbGH0JjaJbUdp21-y2cPbobDbMjr09Bbtd"&amp;"KROZWc/edit#gid=1444865654"",""articles_with_PRISMA_reasons!B2:B2113""))&lt;2,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$A1061=I"&amp;"MPORTRANGE(""https://docs.google.com/spreadsheets/d/1qpEmbGH0JjaJbUdp21-y2cPbobDbMjr09BbtdKROZWc/edit#gid=1444865654"",""articles_with_PRISMA_reasons!B2:B2113""))&gt;=2),
""Exclude""
)"),"Exclude")</f>
        <v>Exclude</v>
      </c>
      <c r="F1061" s="5" t="str">
        <f>IFERROR(__xludf.DUMMYFUNCTION("IFS(
E1061=""Exclude"",""Exclude"",
AND(
COUNTIF(
IMPORTRANGE(""https://docs.google.com/spreadsheets/d/1kGrh75X1cNR1D7_FcY9zMnHP8iPO4M5RCRjy6nZY0TY/edit#gid=0"",""Table 1: Study characteristics!B4:B171""),A1061)&gt;0,
COUNTIF(Studies!$A$2:$A$85,FILTER(IMPORT"&amp;"RANGE(""https://docs.google.com/spreadsheets/d/1kGrh75X1cNR1D7_FcY9zMnHP8iPO4M5RCRjy6nZY0TY/edit#gid=0"",""Table 1: Study characteristics!A4:A171""), $A1061=IMPORTRANGE(""https://docs.google.com/spreadsheets/d/1kGrh75X1cNR1D7_FcY9zMnHP8iPO4M5RCRjy6nZY0TY/"&amp;"edit#gid=0"",""Table 1: Study characteristics!B4:B171"")))&gt;0
),
""Include""
)"),"Exclude")</f>
        <v>Exclude</v>
      </c>
      <c r="G1061" s="5" t="str">
        <f>IFERROR(__xludf.DUMMYFUNCTION("IFS(
D1061=""Exclude"",
FILTER(IMPORTRANGE(""https://docs.google.com/spreadsheets/d/1BJSV3WBYJGRhQ6zExamkszQ5VutGIcaQqmbD9ZTVXMQ/edit#gid=1251630045"",""articles_with_PRISMA_reasons!AB2:AB2113""), $A1061=IMPORTRANGE(""https://docs.google.com/spreadsheets/"&amp;"d/1BJSV3WBYJGRhQ6zExamkszQ5VutGIcaQqmbD9ZTVXMQ/edit#gid=1251630045"",""articles_with_PRISMA_reasons!B2:B2113"")),
E1061=""Exclude"",
FILTER(IMPORTRANGE(""https://docs.google.com/spreadsheets/d/1qpEmbGH0JjaJbUdp21-y2cPbobDbMjr09BbtdKROZWc/edit#gid=14448656"&amp;"54"",""articles_with_PRISMA_reasons!Z2:Z2113""), $A1061=IMPORTRANGE(""https://docs.google.com/spreadsheets/d/1qpEmbGH0JjaJbUdp21-y2cPbobDbMjr09BbtdKROZWc/edit#gid=1444865654"",""articles_with_PRISMA_reasons!B2:B2113"")),F1061
=""Include"",FILTER(IMPORTRAN"&amp;"GE(""https://docs.google.com/spreadsheets/d/1kGrh75X1cNR1D7_FcY9zMnHP8iPO4M5RCRjy6nZY0TY/edit#gid=0"",""Table 1: Study characteristics!A4:A171""), $A1061=IMPORTRANGE(""https://docs.google.com/spreadsheets/d/1kGrh75X1cNR1D7_FcY9zMnHP8iPO4M5RCRjy6nZY0TY/edi"&amp;"t#gid=0"",""Table 1: Study characteristics!B4:B171""))
)"),"wrong population")</f>
        <v>wrong population</v>
      </c>
    </row>
    <row r="1062">
      <c r="A1062" s="4" t="str">
        <f>IFERROR(__xludf.DUMMYFUNCTION("""COMPUTED_VALUE"""),"Laparoscopic assisted ventriculoperitoneal shunt revisions as an option for pediatric patients with previous intraabdominal complications")</f>
        <v>Laparoscopic assisted ventriculoperitoneal shunt revisions as an option for pediatric patients with previous intraabdominal complications</v>
      </c>
      <c r="B1062" s="5" t="str">
        <f>IFERROR(__xludf.DUMMYFUNCTION("LEFT(FILTER(IMPORTRANGE(""https://docs.google.com/spreadsheets/d/1BJSV3WBYJGRhQ6zExamkszQ5VutGIcaQqmbD9ZTVXMQ/edit#gid=1251630045"",""articles_with_PRISMA_reasons!K2:K2113""), $A1062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$A1062=IMPORTRANGE(""https://docs.google.com/spreadsheets/d/1BJSV3WBYJGRhQ6zExamkszQ5VutGIcaQqmbD9ZTVXMQ/edit#gid=1251630045"",""articles_with_PRISMA_reasons!B2:B2113"")))-1)"),"De Carvalho")</f>
        <v>De Carvalho</v>
      </c>
      <c r="C1062" s="6">
        <f>IFERROR(__xludf.DUMMYFUNCTION("FILTER(IMPORTRANGE(""https://docs.google.com/spreadsheets/d/1BJSV3WBYJGRhQ6zExamkszQ5VutGIcaQqmbD9ZTVXMQ/edit#gid=1251630045"",""articles_with_PRISMA_reasons!C2:C2113""), $A1062=IMPORTRANGE(""https://docs.google.com/spreadsheets/d/1BJSV3WBYJGRhQ6zExamkszQ"&amp;"5VutGIcaQqmbD9ZTVXMQ/edit#gid=1251630045"",""articles_with_PRISMA_reasons!B2:B2113""))"),2014.0)</f>
        <v>2014</v>
      </c>
      <c r="D1062" s="5" t="str">
        <f>IFERROR(__xludf.DUMMYFUNCTION("IFS(AND(
FILTER(IMPORTRANGE(""https://docs.google.com/spreadsheets/d/1BJSV3WBYJGRhQ6zExamkszQ5VutGIcaQqmbD9ZTVXMQ/edit#gid=1251630045"",""articles_with_PRISMA_reasons!Y2:Y2113""), $A1062=IMPORTRANGE(""https://docs.google.com/spreadsheets/d/1BJSV3WBYJGRhQ6"&amp;"zExamkszQ5VutGIcaQqmbD9ZTVXMQ/edit#gid=1251630045"",""articles_with_PRISMA_reasons!B2:B2113""))&gt;=2,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$A1062=IMPORTRANGE(""https://docs.google.com/spreadsheets/d/1BJSV3WBYJGRhQ6zExamkszQ5VutGIcaQqmbD9ZTVXMQ/edit#gid=1251630045"",""articles_with_PRISMA_reasons!B2:B2113""))&lt;2),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$A1062=IMPORTRANGE(""https://docs.google.com/spreadsheets/d/1BJSV3WBYJGRhQ6zExamkszQ5VutGIcaQqmbD9ZTVXMQ/edit#gid=1251630045"",""a"&amp;"rticles_with_PRISMA_reasons!B2:B2113""))&lt;2,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$A1062=IMPORTRANGE(""https://docs.google"&amp;".com/spreadsheets/d/1BJSV3WBYJGRhQ6zExamkszQ5VutGIcaQqmbD9ZTVXMQ/edit#gid=1251630045"",""articles_with_PRISMA_reasons!B2:B2113""))&gt;=2),
""Exclude""
)"),"Exclude")</f>
        <v>Exclude</v>
      </c>
      <c r="E1062" s="5" t="str">
        <f>IFERROR(__xludf.DUMMYFUNCTION("IFS(
D1062=""Exclude"",""Exclude"",
AND(
FILTER(IMPORTRANGE(""https://docs.google.com/spreadsheets/d/1qpEmbGH0JjaJbUdp21-y2cPbobDbMjr09BbtdKROZWc/edit#gid=1444865654"",""articles_with_PRISMA_reasons!W2:W2113""), $A1062=IMPORTRANGE(""https://docs.google.co"&amp;"m/spreadsheets/d/1qpEmbGH0JjaJbUdp21-y2cPbobDbMjr09BbtdKROZWc/edit#gid=1444865654"",""articles_with_PRISMA_reasons!B2:B2113""))&gt;=2,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$A1062=IMPORTRANGE(""https://docs.google.com/spreadsheets/d/1qpEmbGH0JjaJbUdp21-y2cPbobDbMjr09BbtdKROZWc/edit#gid=1444865654"",""articles_with_PRISMA_reasons!B2:B2113""))&lt;2),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$A1062=IMPORTRANGE(""https://docs.google.com/spreadsheets/d/1qpEmbGH0JjaJbUdp21-y2cPbobDbMjr09Bbtd"&amp;"KROZWc/edit#gid=1444865654"",""articles_with_PRISMA_reasons!B2:B2113""))&lt;2,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$A1062=I"&amp;"MPORTRANGE(""https://docs.google.com/spreadsheets/d/1qpEmbGH0JjaJbUdp21-y2cPbobDbMjr09BbtdKROZWc/edit#gid=1444865654"",""articles_with_PRISMA_reasons!B2:B2113""))&gt;=2),
""Exclude""
)"),"Exclude")</f>
        <v>Exclude</v>
      </c>
      <c r="F1062" s="5" t="str">
        <f>IFERROR(__xludf.DUMMYFUNCTION("IFS(
E1062=""Exclude"",""Exclude"",
AND(
COUNTIF(
IMPORTRANGE(""https://docs.google.com/spreadsheets/d/1kGrh75X1cNR1D7_FcY9zMnHP8iPO4M5RCRjy6nZY0TY/edit#gid=0"",""Table 1: Study characteristics!B4:B171""),A1062)&gt;0,
COUNTIF(Studies!$A$2:$A$85,FILTER(IMPORT"&amp;"RANGE(""https://docs.google.com/spreadsheets/d/1kGrh75X1cNR1D7_FcY9zMnHP8iPO4M5RCRjy6nZY0TY/edit#gid=0"",""Table 1: Study characteristics!A4:A171""), $A1062=IMPORTRANGE(""https://docs.google.com/spreadsheets/d/1kGrh75X1cNR1D7_FcY9zMnHP8iPO4M5RCRjy6nZY0TY/"&amp;"edit#gid=0"",""Table 1: Study characteristics!B4:B171"")))&gt;0
),
""Include""
)"),"Exclude")</f>
        <v>Exclude</v>
      </c>
      <c r="G1062" s="5" t="str">
        <f>IFERROR(__xludf.DUMMYFUNCTION("IFS(
D1062=""Exclude"",
FILTER(IMPORTRANGE(""https://docs.google.com/spreadsheets/d/1BJSV3WBYJGRhQ6zExamkszQ5VutGIcaQqmbD9ZTVXMQ/edit#gid=1251630045"",""articles_with_PRISMA_reasons!AB2:AB2113""), $A1062=IMPORTRANGE(""https://docs.google.com/spreadsheets/"&amp;"d/1BJSV3WBYJGRhQ6zExamkszQ5VutGIcaQqmbD9ZTVXMQ/edit#gid=1251630045"",""articles_with_PRISMA_reasons!B2:B2113"")),
E1062=""Exclude"",
FILTER(IMPORTRANGE(""https://docs.google.com/spreadsheets/d/1qpEmbGH0JjaJbUdp21-y2cPbobDbMjr09BbtdKROZWc/edit#gid=14448656"&amp;"54"",""articles_with_PRISMA_reasons!Z2:Z2113""), $A1062=IMPORTRANGE(""https://docs.google.com/spreadsheets/d/1qpEmbGH0JjaJbUdp21-y2cPbobDbMjr09BbtdKROZWc/edit#gid=1444865654"",""articles_with_PRISMA_reasons!B2:B2113"")),F1062
=""Include"",FILTER(IMPORTRAN"&amp;"GE(""https://docs.google.com/spreadsheets/d/1kGrh75X1cNR1D7_FcY9zMnHP8iPO4M5RCRjy6nZY0TY/edit#gid=0"",""Table 1: Study characteristics!A4:A171""), $A1062=IMPORTRANGE(""https://docs.google.com/spreadsheets/d/1kGrh75X1cNR1D7_FcY9zMnHP8iPO4M5RCRjy6nZY0TY/edi"&amp;"t#gid=0"",""Table 1: Study characteristics!B4:B171""))
)"),"wrong population")</f>
        <v>wrong population</v>
      </c>
    </row>
    <row r="1063">
      <c r="A1063" s="4" t="str">
        <f>IFERROR(__xludf.DUMMYFUNCTION("""COMPUTED_VALUE"""),"Laparoscopic management of silent colonic perforation with trans-anal protrusion of ventriculo-peritoneal shunt catheter")</f>
        <v>Laparoscopic management of silent colonic perforation with trans-anal protrusion of ventriculo-peritoneal shunt catheter</v>
      </c>
      <c r="B1063" s="5" t="str">
        <f>IFERROR(__xludf.DUMMYFUNCTION("LEFT(FILTER(IMPORTRANGE(""https://docs.google.com/spreadsheets/d/1BJSV3WBYJGRhQ6zExamkszQ5VutGIcaQqmbD9ZTVXMQ/edit#gid=1251630045"",""articles_with_PRISMA_reasons!K2:K2113""), $A1063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$A1063=IMPORTRANGE(""https://docs.google.com/spreadsheets/d/1BJSV3WBYJGRhQ6zExamkszQ5VutGIcaQqmbD9ZTVXMQ/edit#gid=1251630045"",""articles_with_PRISMA_reasons!B2:B2113"")))-1)"),"Lawther")</f>
        <v>Lawther</v>
      </c>
      <c r="C1063" s="6">
        <f>IFERROR(__xludf.DUMMYFUNCTION("FILTER(IMPORTRANGE(""https://docs.google.com/spreadsheets/d/1BJSV3WBYJGRhQ6zExamkszQ5VutGIcaQqmbD9ZTVXMQ/edit#gid=1251630045"",""articles_with_PRISMA_reasons!C2:C2113""), $A1063=IMPORTRANGE(""https://docs.google.com/spreadsheets/d/1BJSV3WBYJGRhQ6zExamkszQ"&amp;"5VutGIcaQqmbD9ZTVXMQ/edit#gid=1251630045"",""articles_with_PRISMA_reasons!B2:B2113""))"),2013.0)</f>
        <v>2013</v>
      </c>
      <c r="D1063" s="5" t="str">
        <f>IFERROR(__xludf.DUMMYFUNCTION("IFS(AND(
FILTER(IMPORTRANGE(""https://docs.google.com/spreadsheets/d/1BJSV3WBYJGRhQ6zExamkszQ5VutGIcaQqmbD9ZTVXMQ/edit#gid=1251630045"",""articles_with_PRISMA_reasons!Y2:Y2113""), $A1063=IMPORTRANGE(""https://docs.google.com/spreadsheets/d/1BJSV3WBYJGRhQ6"&amp;"zExamkszQ5VutGIcaQqmbD9ZTVXMQ/edit#gid=1251630045"",""articles_with_PRISMA_reasons!B2:B2113""))&gt;=2,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$A1063=IMPORTRANGE(""https://docs.google.com/spreadsheets/d/1BJSV3WBYJGRhQ6zExamkszQ5VutGIcaQqmbD9ZTVXMQ/edit#gid=1251630045"",""articles_with_PRISMA_reasons!B2:B2113""))&lt;2),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$A1063=IMPORTRANGE(""https://docs.google.com/spreadsheets/d/1BJSV3WBYJGRhQ6zExamkszQ5VutGIcaQqmbD9ZTVXMQ/edit#gid=1251630045"",""a"&amp;"rticles_with_PRISMA_reasons!B2:B2113""))&lt;2,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$A1063=IMPORTRANGE(""https://docs.google"&amp;".com/spreadsheets/d/1BJSV3WBYJGRhQ6zExamkszQ5VutGIcaQqmbD9ZTVXMQ/edit#gid=1251630045"",""articles_with_PRISMA_reasons!B2:B2113""))&gt;=2),
""Exclude""
)"),"Exclude")</f>
        <v>Exclude</v>
      </c>
      <c r="E1063" s="5" t="str">
        <f>IFERROR(__xludf.DUMMYFUNCTION("IFS(
D1063=""Exclude"",""Exclude"",
AND(
FILTER(IMPORTRANGE(""https://docs.google.com/spreadsheets/d/1qpEmbGH0JjaJbUdp21-y2cPbobDbMjr09BbtdKROZWc/edit#gid=1444865654"",""articles_with_PRISMA_reasons!W2:W2113""), $A1063=IMPORTRANGE(""https://docs.google.co"&amp;"m/spreadsheets/d/1qpEmbGH0JjaJbUdp21-y2cPbobDbMjr09BbtdKROZWc/edit#gid=1444865654"",""articles_with_PRISMA_reasons!B2:B2113""))&gt;=2,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$A1063=IMPORTRANGE(""https://docs.google.com/spreadsheets/d/1qpEmbGH0JjaJbUdp21-y2cPbobDbMjr09BbtdKROZWc/edit#gid=1444865654"",""articles_with_PRISMA_reasons!B2:B2113""))&lt;2),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$A1063=IMPORTRANGE(""https://docs.google.com/spreadsheets/d/1qpEmbGH0JjaJbUdp21-y2cPbobDbMjr09Bbtd"&amp;"KROZWc/edit#gid=1444865654"",""articles_with_PRISMA_reasons!B2:B2113""))&lt;2,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$A1063=I"&amp;"MPORTRANGE(""https://docs.google.com/spreadsheets/d/1qpEmbGH0JjaJbUdp21-y2cPbobDbMjr09BbtdKROZWc/edit#gid=1444865654"",""articles_with_PRISMA_reasons!B2:B2113""))&gt;=2),
""Exclude""
)"),"Exclude")</f>
        <v>Exclude</v>
      </c>
      <c r="F1063" s="5" t="str">
        <f>IFERROR(__xludf.DUMMYFUNCTION("IFS(
E1063=""Exclude"",""Exclude"",
AND(
COUNTIF(
IMPORTRANGE(""https://docs.google.com/spreadsheets/d/1kGrh75X1cNR1D7_FcY9zMnHP8iPO4M5RCRjy6nZY0TY/edit#gid=0"",""Table 1: Study characteristics!B4:B171""),A1063)&gt;0,
COUNTIF(Studies!$A$2:$A$85,FILTER(IMPORT"&amp;"RANGE(""https://docs.google.com/spreadsheets/d/1kGrh75X1cNR1D7_FcY9zMnHP8iPO4M5RCRjy6nZY0TY/edit#gid=0"",""Table 1: Study characteristics!A4:A171""), $A1063=IMPORTRANGE(""https://docs.google.com/spreadsheets/d/1kGrh75X1cNR1D7_FcY9zMnHP8iPO4M5RCRjy6nZY0TY/"&amp;"edit#gid=0"",""Table 1: Study characteristics!B4:B171"")))&gt;0
),
""Include""
)"),"Exclude")</f>
        <v>Exclude</v>
      </c>
      <c r="G1063" s="5" t="str">
        <f>IFERROR(__xludf.DUMMYFUNCTION("IFS(
D1063=""Exclude"",
FILTER(IMPORTRANGE(""https://docs.google.com/spreadsheets/d/1BJSV3WBYJGRhQ6zExamkszQ5VutGIcaQqmbD9ZTVXMQ/edit#gid=1251630045"",""articles_with_PRISMA_reasons!AB2:AB2113""), $A1063=IMPORTRANGE(""https://docs.google.com/spreadsheets/"&amp;"d/1BJSV3WBYJGRhQ6zExamkszQ5VutGIcaQqmbD9ZTVXMQ/edit#gid=1251630045"",""articles_with_PRISMA_reasons!B2:B2113"")),
E1063=""Exclude"",
FILTER(IMPORTRANGE(""https://docs.google.com/spreadsheets/d/1qpEmbGH0JjaJbUdp21-y2cPbobDbMjr09BbtdKROZWc/edit#gid=14448656"&amp;"54"",""articles_with_PRISMA_reasons!Z2:Z2113""), $A1063=IMPORTRANGE(""https://docs.google.com/spreadsheets/d/1qpEmbGH0JjaJbUdp21-y2cPbobDbMjr09BbtdKROZWc/edit#gid=1444865654"",""articles_with_PRISMA_reasons!B2:B2113"")),F1063
=""Include"",FILTER(IMPORTRAN"&amp;"GE(""https://docs.google.com/spreadsheets/d/1kGrh75X1cNR1D7_FcY9zMnHP8iPO4M5RCRjy6nZY0TY/edit#gid=0"",""Table 1: Study characteristics!A4:A171""), $A1063=IMPORTRANGE(""https://docs.google.com/spreadsheets/d/1kGrh75X1cNR1D7_FcY9zMnHP8iPO4M5RCRjy6nZY0TY/edi"&amp;"t#gid=0"",""Table 1: Study characteristics!B4:B171""))
)"),"wrong study design")</f>
        <v>wrong study design</v>
      </c>
    </row>
    <row r="1064">
      <c r="A1064" s="4" t="str">
        <f>IFERROR(__xludf.DUMMYFUNCTION("""COMPUTED_VALUE"""),"Laparoscopic surgery in a patient with a ventriculoperitoneal shunt: A new technique")</f>
        <v>Laparoscopic surgery in a patient with a ventriculoperitoneal shunt: A new technique</v>
      </c>
      <c r="B1064" s="5" t="str">
        <f>IFERROR(__xludf.DUMMYFUNCTION("LEFT(FILTER(IMPORTRANGE(""https://docs.google.com/spreadsheets/d/1BJSV3WBYJGRhQ6zExamkszQ5VutGIcaQqmbD9ZTVXMQ/edit#gid=1251630045"",""articles_with_PRISMA_reasons!K2:K2113""), $A1064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$A1064=IMPORTRANGE(""https://docs.google.com/spreadsheets/d/1BJSV3WBYJGRhQ6zExamkszQ5VutGIcaQqmbD9ZTVXMQ/edit#gid=1251630045"",""articles_with_PRISMA_reasons!B2:B2113"")))-1)"),"Marlin")</f>
        <v>Marlin</v>
      </c>
      <c r="C1064" s="6">
        <f>IFERROR(__xludf.DUMMYFUNCTION("FILTER(IMPORTRANGE(""https://docs.google.com/spreadsheets/d/1BJSV3WBYJGRhQ6zExamkszQ5VutGIcaQqmbD9ZTVXMQ/edit#gid=1251630045"",""articles_with_PRISMA_reasons!C2:C2113""), $A1064=IMPORTRANGE(""https://docs.google.com/spreadsheets/d/1BJSV3WBYJGRhQ6zExamkszQ"&amp;"5VutGIcaQqmbD9ZTVXMQ/edit#gid=1251630045"",""articles_with_PRISMA_reasons!B2:B2113""))"),1998.0)</f>
        <v>1998</v>
      </c>
      <c r="D1064" s="5" t="str">
        <f>IFERROR(__xludf.DUMMYFUNCTION("IFS(AND(
FILTER(IMPORTRANGE(""https://docs.google.com/spreadsheets/d/1BJSV3WBYJGRhQ6zExamkszQ5VutGIcaQqmbD9ZTVXMQ/edit#gid=1251630045"",""articles_with_PRISMA_reasons!Y2:Y2113""), $A1064=IMPORTRANGE(""https://docs.google.com/spreadsheets/d/1BJSV3WBYJGRhQ6"&amp;"zExamkszQ5VutGIcaQqmbD9ZTVXMQ/edit#gid=1251630045"",""articles_with_PRISMA_reasons!B2:B2113""))&gt;=2,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$A1064=IMPORTRANGE(""https://docs.google.com/spreadsheets/d/1BJSV3WBYJGRhQ6zExamkszQ5VutGIcaQqmbD9ZTVXMQ/edit#gid=1251630045"",""articles_with_PRISMA_reasons!B2:B2113""))&lt;2),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$A1064=IMPORTRANGE(""https://docs.google.com/spreadsheets/d/1BJSV3WBYJGRhQ6zExamkszQ5VutGIcaQqmbD9ZTVXMQ/edit#gid=1251630045"",""a"&amp;"rticles_with_PRISMA_reasons!B2:B2113""))&lt;2,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$A1064=IMPORTRANGE(""https://docs.google"&amp;".com/spreadsheets/d/1BJSV3WBYJGRhQ6zExamkszQ5VutGIcaQqmbD9ZTVXMQ/edit#gid=1251630045"",""articles_with_PRISMA_reasons!B2:B2113""))&gt;=2),
""Exclude""
)"),"Exclude")</f>
        <v>Exclude</v>
      </c>
      <c r="E1064" s="5" t="str">
        <f>IFERROR(__xludf.DUMMYFUNCTION("IFS(
D1064=""Exclude"",""Exclude"",
AND(
FILTER(IMPORTRANGE(""https://docs.google.com/spreadsheets/d/1qpEmbGH0JjaJbUdp21-y2cPbobDbMjr09BbtdKROZWc/edit#gid=1444865654"",""articles_with_PRISMA_reasons!W2:W2113""), $A1064=IMPORTRANGE(""https://docs.google.co"&amp;"m/spreadsheets/d/1qpEmbGH0JjaJbUdp21-y2cPbobDbMjr09BbtdKROZWc/edit#gid=1444865654"",""articles_with_PRISMA_reasons!B2:B2113""))&gt;=2,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$A1064=IMPORTRANGE(""https://docs.google.com/spreadsheets/d/1qpEmbGH0JjaJbUdp21-y2cPbobDbMjr09BbtdKROZWc/edit#gid=1444865654"",""articles_with_PRISMA_reasons!B2:B2113""))&lt;2),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$A1064=IMPORTRANGE(""https://docs.google.com/spreadsheets/d/1qpEmbGH0JjaJbUdp21-y2cPbobDbMjr09Bbtd"&amp;"KROZWc/edit#gid=1444865654"",""articles_with_PRISMA_reasons!B2:B2113""))&lt;2,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$A1064=I"&amp;"MPORTRANGE(""https://docs.google.com/spreadsheets/d/1qpEmbGH0JjaJbUdp21-y2cPbobDbMjr09BbtdKROZWc/edit#gid=1444865654"",""articles_with_PRISMA_reasons!B2:B2113""))&gt;=2),
""Exclude""
)"),"Exclude")</f>
        <v>Exclude</v>
      </c>
      <c r="F1064" s="5" t="str">
        <f>IFERROR(__xludf.DUMMYFUNCTION("IFS(
E1064=""Exclude"",""Exclude"",
AND(
COUNTIF(
IMPORTRANGE(""https://docs.google.com/spreadsheets/d/1kGrh75X1cNR1D7_FcY9zMnHP8iPO4M5RCRjy6nZY0TY/edit#gid=0"",""Table 1: Study characteristics!B4:B171""),A1064)&gt;0,
COUNTIF(Studies!$A$2:$A$85,FILTER(IMPORT"&amp;"RANGE(""https://docs.google.com/spreadsheets/d/1kGrh75X1cNR1D7_FcY9zMnHP8iPO4M5RCRjy6nZY0TY/edit#gid=0"",""Table 1: Study characteristics!A4:A171""), $A1064=IMPORTRANGE(""https://docs.google.com/spreadsheets/d/1kGrh75X1cNR1D7_FcY9zMnHP8iPO4M5RCRjy6nZY0TY/"&amp;"edit#gid=0"",""Table 1: Study characteristics!B4:B171"")))&gt;0
),
""Include""
)"),"Exclude")</f>
        <v>Exclude</v>
      </c>
      <c r="G1064" s="5" t="str">
        <f>IFERROR(__xludf.DUMMYFUNCTION("IFS(
D1064=""Exclude"",
FILTER(IMPORTRANGE(""https://docs.google.com/spreadsheets/d/1BJSV3WBYJGRhQ6zExamkszQ5VutGIcaQqmbD9ZTVXMQ/edit#gid=1251630045"",""articles_with_PRISMA_reasons!AB2:AB2113""), $A1064=IMPORTRANGE(""https://docs.google.com/spreadsheets/"&amp;"d/1BJSV3WBYJGRhQ6zExamkszQ5VutGIcaQqmbD9ZTVXMQ/edit#gid=1251630045"",""articles_with_PRISMA_reasons!B2:B2113"")),
E1064=""Exclude"",
FILTER(IMPORTRANGE(""https://docs.google.com/spreadsheets/d/1qpEmbGH0JjaJbUdp21-y2cPbobDbMjr09BbtdKROZWc/edit#gid=14448656"&amp;"54"",""articles_with_PRISMA_reasons!Z2:Z2113""), $A1064=IMPORTRANGE(""https://docs.google.com/spreadsheets/d/1qpEmbGH0JjaJbUdp21-y2cPbobDbMjr09BbtdKROZWc/edit#gid=1444865654"",""articles_with_PRISMA_reasons!B2:B2113"")),F1064
=""Include"",FILTER(IMPORTRAN"&amp;"GE(""https://docs.google.com/spreadsheets/d/1kGrh75X1cNR1D7_FcY9zMnHP8iPO4M5RCRjy6nZY0TY/edit#gid=0"",""Table 1: Study characteristics!A4:A171""), $A1064=IMPORTRANGE(""https://docs.google.com/spreadsheets/d/1kGrh75X1cNR1D7_FcY9zMnHP8iPO4M5RCRjy6nZY0TY/edi"&amp;"t#gid=0"",""Table 1: Study characteristics!B4:B171""))
)"),"wrong publication type")</f>
        <v>wrong publication type</v>
      </c>
    </row>
    <row r="1065">
      <c r="A1065" s="4" t="str">
        <f>IFERROR(__xludf.DUMMYFUNCTION("""COMPUTED_VALUE"""),"Laparoscopic-assisted placement of ventriculo-peritoneal shunt tips in children with multiple previous open abdominal ventriculo-peritoneal shunt surgeries")</f>
        <v>Laparoscopic-assisted placement of ventriculo-peritoneal shunt tips in children with multiple previous open abdominal ventriculo-peritoneal shunt surgeries</v>
      </c>
      <c r="B1065" s="5" t="str">
        <f>IFERROR(__xludf.DUMMYFUNCTION("LEFT(FILTER(IMPORTRANGE(""https://docs.google.com/spreadsheets/d/1BJSV3WBYJGRhQ6zExamkszQ5VutGIcaQqmbD9ZTVXMQ/edit#gid=1251630045"",""articles_with_PRISMA_reasons!K2:K2113""), $A1065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$A1065=IMPORTRANGE(""https://docs.google.com/spreadsheets/d/1BJSV3WBYJGRhQ6zExamkszQ5VutGIcaQqmbD9ZTVXMQ/edit#gid=1251630045"",""articles_with_PRISMA_reasons!B2:B2113"")))-1)"),"Johnson")</f>
        <v>Johnson</v>
      </c>
      <c r="C1065" s="6">
        <f>IFERROR(__xludf.DUMMYFUNCTION("FILTER(IMPORTRANGE(""https://docs.google.com/spreadsheets/d/1BJSV3WBYJGRhQ6zExamkszQ5VutGIcaQqmbD9ZTVXMQ/edit#gid=1251630045"",""articles_with_PRISMA_reasons!C2:C2113""), $A1065=IMPORTRANGE(""https://docs.google.com/spreadsheets/d/1BJSV3WBYJGRhQ6zExamkszQ"&amp;"5VutGIcaQqmbD9ZTVXMQ/edit#gid=1251630045"",""articles_with_PRISMA_reasons!B2:B2113""))"),2009.0)</f>
        <v>2009</v>
      </c>
      <c r="D1065" s="5" t="str">
        <f>IFERROR(__xludf.DUMMYFUNCTION("IFS(AND(
FILTER(IMPORTRANGE(""https://docs.google.com/spreadsheets/d/1BJSV3WBYJGRhQ6zExamkszQ5VutGIcaQqmbD9ZTVXMQ/edit#gid=1251630045"",""articles_with_PRISMA_reasons!Y2:Y2113""), $A1065=IMPORTRANGE(""https://docs.google.com/spreadsheets/d/1BJSV3WBYJGRhQ6"&amp;"zExamkszQ5VutGIcaQqmbD9ZTVXMQ/edit#gid=1251630045"",""articles_with_PRISMA_reasons!B2:B2113""))&gt;=2,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$A1065=IMPORTRANGE(""https://docs.google.com/spreadsheets/d/1BJSV3WBYJGRhQ6zExamkszQ5VutGIcaQqmbD9ZTVXMQ/edit#gid=1251630045"",""articles_with_PRISMA_reasons!B2:B2113""))&lt;2),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$A1065=IMPORTRANGE(""https://docs.google.com/spreadsheets/d/1BJSV3WBYJGRhQ6zExamkszQ5VutGIcaQqmbD9ZTVXMQ/edit#gid=1251630045"",""a"&amp;"rticles_with_PRISMA_reasons!B2:B2113""))&lt;2,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$A1065=IMPORTRANGE(""https://docs.google"&amp;".com/spreadsheets/d/1BJSV3WBYJGRhQ6zExamkszQ5VutGIcaQqmbD9ZTVXMQ/edit#gid=1251630045"",""articles_with_PRISMA_reasons!B2:B2113""))&gt;=2),
""Exclude""
)"),"Exclude")</f>
        <v>Exclude</v>
      </c>
      <c r="E1065" s="5" t="str">
        <f>IFERROR(__xludf.DUMMYFUNCTION("IFS(
D1065=""Exclude"",""Exclude"",
AND(
FILTER(IMPORTRANGE(""https://docs.google.com/spreadsheets/d/1qpEmbGH0JjaJbUdp21-y2cPbobDbMjr09BbtdKROZWc/edit#gid=1444865654"",""articles_with_PRISMA_reasons!W2:W2113""), $A1065=IMPORTRANGE(""https://docs.google.co"&amp;"m/spreadsheets/d/1qpEmbGH0JjaJbUdp21-y2cPbobDbMjr09BbtdKROZWc/edit#gid=1444865654"",""articles_with_PRISMA_reasons!B2:B2113""))&gt;=2,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$A1065=IMPORTRANGE(""https://docs.google.com/spreadsheets/d/1qpEmbGH0JjaJbUdp21-y2cPbobDbMjr09BbtdKROZWc/edit#gid=1444865654"",""articles_with_PRISMA_reasons!B2:B2113""))&lt;2),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$A1065=IMPORTRANGE(""https://docs.google.com/spreadsheets/d/1qpEmbGH0JjaJbUdp21-y2cPbobDbMjr09Bbtd"&amp;"KROZWc/edit#gid=1444865654"",""articles_with_PRISMA_reasons!B2:B2113""))&lt;2,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$A1065=I"&amp;"MPORTRANGE(""https://docs.google.com/spreadsheets/d/1qpEmbGH0JjaJbUdp21-y2cPbobDbMjr09BbtdKROZWc/edit#gid=1444865654"",""articles_with_PRISMA_reasons!B2:B2113""))&gt;=2),
""Exclude""
)"),"Exclude")</f>
        <v>Exclude</v>
      </c>
      <c r="F1065" s="5" t="str">
        <f>IFERROR(__xludf.DUMMYFUNCTION("IFS(
E1065=""Exclude"",""Exclude"",
AND(
COUNTIF(
IMPORTRANGE(""https://docs.google.com/spreadsheets/d/1kGrh75X1cNR1D7_FcY9zMnHP8iPO4M5RCRjy6nZY0TY/edit#gid=0"",""Table 1: Study characteristics!B4:B171""),A1065)&gt;0,
COUNTIF(Studies!$A$2:$A$85,FILTER(IMPORT"&amp;"RANGE(""https://docs.google.com/spreadsheets/d/1kGrh75X1cNR1D7_FcY9zMnHP8iPO4M5RCRjy6nZY0TY/edit#gid=0"",""Table 1: Study characteristics!A4:A171""), $A1065=IMPORTRANGE(""https://docs.google.com/spreadsheets/d/1kGrh75X1cNR1D7_FcY9zMnHP8iPO4M5RCRjy6nZY0TY/"&amp;"edit#gid=0"",""Table 1: Study characteristics!B4:B171"")))&gt;0
),
""Include""
)"),"Exclude")</f>
        <v>Exclude</v>
      </c>
      <c r="G1065" s="5" t="str">
        <f>IFERROR(__xludf.DUMMYFUNCTION("IFS(
D1065=""Exclude"",
FILTER(IMPORTRANGE(""https://docs.google.com/spreadsheets/d/1BJSV3WBYJGRhQ6zExamkszQ5VutGIcaQqmbD9ZTVXMQ/edit#gid=1251630045"",""articles_with_PRISMA_reasons!AB2:AB2113""), $A1065=IMPORTRANGE(""https://docs.google.com/spreadsheets/"&amp;"d/1BJSV3WBYJGRhQ6zExamkszQ5VutGIcaQqmbD9ZTVXMQ/edit#gid=1251630045"",""articles_with_PRISMA_reasons!B2:B2113"")),
E1065=""Exclude"",
FILTER(IMPORTRANGE(""https://docs.google.com/spreadsheets/d/1qpEmbGH0JjaJbUdp21-y2cPbobDbMjr09BbtdKROZWc/edit#gid=14448656"&amp;"54"",""articles_with_PRISMA_reasons!Z2:Z2113""), $A1065=IMPORTRANGE(""https://docs.google.com/spreadsheets/d/1qpEmbGH0JjaJbUdp21-y2cPbobDbMjr09BbtdKROZWc/edit#gid=1444865654"",""articles_with_PRISMA_reasons!B2:B2113"")),F1065
=""Include"",FILTER(IMPORTRAN"&amp;"GE(""https://docs.google.com/spreadsheets/d/1kGrh75X1cNR1D7_FcY9zMnHP8iPO4M5RCRjy6nZY0TY/edit#gid=0"",""Table 1: Study characteristics!A4:A171""), $A1065=IMPORTRANGE(""https://docs.google.com/spreadsheets/d/1kGrh75X1cNR1D7_FcY9zMnHP8iPO4M5RCRjy6nZY0TY/edi"&amp;"t#gid=0"",""Table 1: Study characteristics!B4:B171""))
)"),"wrong population")</f>
        <v>wrong population</v>
      </c>
    </row>
    <row r="1066">
      <c r="A1066" s="4" t="str">
        <f>IFERROR(__xludf.DUMMYFUNCTION("""COMPUTED_VALUE"""),"Laryngeal palsy in association with myelomeningocele, hydrocephalus, and the arnold-chiari malformation")</f>
        <v>Laryngeal palsy in association with myelomeningocele, hydrocephalus, and the arnold-chiari malformation</v>
      </c>
      <c r="B1066" s="5" t="str">
        <f>IFERROR(__xludf.DUMMYFUNCTION("LEFT(FILTER(IMPORTRANGE(""https://docs.google.com/spreadsheets/d/1BJSV3WBYJGRhQ6zExamkszQ5VutGIcaQqmbD9ZTVXMQ/edit#gid=1251630045"",""articles_with_PRISMA_reasons!K2:K2113""), $A1066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$A1066=IMPORTRANGE(""https://docs.google.com/spreadsheets/d/1BJSV3WBYJGRhQ6zExamkszQ5VutGIcaQqmbD9ZTVXMQ/edit#gid=1251630045"",""articles_with_PRISMA_reasons!B2:B2113"")))-1)"),"Kirsch")</f>
        <v>Kirsch</v>
      </c>
      <c r="C1066" s="6">
        <f>IFERROR(__xludf.DUMMYFUNCTION("FILTER(IMPORTRANGE(""https://docs.google.com/spreadsheets/d/1BJSV3WBYJGRhQ6zExamkszQ5VutGIcaQqmbD9ZTVXMQ/edit#gid=1251630045"",""articles_with_PRISMA_reasons!C2:C2113""), $A1066=IMPORTRANGE(""https://docs.google.com/spreadsheets/d/1BJSV3WBYJGRhQ6zExamkszQ"&amp;"5VutGIcaQqmbD9ZTVXMQ/edit#gid=1251630045"",""articles_with_PRISMA_reasons!B2:B2113""))"),1968.0)</f>
        <v>1968</v>
      </c>
      <c r="D1066" s="5" t="str">
        <f>IFERROR(__xludf.DUMMYFUNCTION("IFS(AND(
FILTER(IMPORTRANGE(""https://docs.google.com/spreadsheets/d/1BJSV3WBYJGRhQ6zExamkszQ5VutGIcaQqmbD9ZTVXMQ/edit#gid=1251630045"",""articles_with_PRISMA_reasons!Y2:Y2113""), $A1066=IMPORTRANGE(""https://docs.google.com/spreadsheets/d/1BJSV3WBYJGRhQ6"&amp;"zExamkszQ5VutGIcaQqmbD9ZTVXMQ/edit#gid=1251630045"",""articles_with_PRISMA_reasons!B2:B2113""))&gt;=2,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$A1066=IMPORTRANGE(""https://docs.google.com/spreadsheets/d/1BJSV3WBYJGRhQ6zExamkszQ5VutGIcaQqmbD9ZTVXMQ/edit#gid=1251630045"",""articles_with_PRISMA_reasons!B2:B2113""))&lt;2),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$A1066=IMPORTRANGE(""https://docs.google.com/spreadsheets/d/1BJSV3WBYJGRhQ6zExamkszQ5VutGIcaQqmbD9ZTVXMQ/edit#gid=1251630045"",""a"&amp;"rticles_with_PRISMA_reasons!B2:B2113""))&lt;2,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$A1066=IMPORTRANGE(""https://docs.google"&amp;".com/spreadsheets/d/1BJSV3WBYJGRhQ6zExamkszQ5VutGIcaQqmbD9ZTVXMQ/edit#gid=1251630045"",""articles_with_PRISMA_reasons!B2:B2113""))&gt;=2),
""Exclude""
)"),"Include")</f>
        <v>Include</v>
      </c>
      <c r="E1066" s="5" t="str">
        <f>IFERROR(__xludf.DUMMYFUNCTION("IFS(
D1066=""Exclude"",""Exclude"",
AND(
FILTER(IMPORTRANGE(""https://docs.google.com/spreadsheets/d/1qpEmbGH0JjaJbUdp21-y2cPbobDbMjr09BbtdKROZWc/edit#gid=1444865654"",""articles_with_PRISMA_reasons!W2:W2113""), $A1066=IMPORTRANGE(""https://docs.google.co"&amp;"m/spreadsheets/d/1qpEmbGH0JjaJbUdp21-y2cPbobDbMjr09BbtdKROZWc/edit#gid=1444865654"",""articles_with_PRISMA_reasons!B2:B2113""))&gt;=2,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$A1066=IMPORTRANGE(""https://docs.google.com/spreadsheets/d/1qpEmbGH0JjaJbUdp21-y2cPbobDbMjr09BbtdKROZWc/edit#gid=1444865654"",""articles_with_PRISMA_reasons!B2:B2113""))&lt;2),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$A1066=IMPORTRANGE(""https://docs.google.com/spreadsheets/d/1qpEmbGH0JjaJbUdp21-y2cPbobDbMjr09Bbtd"&amp;"KROZWc/edit#gid=1444865654"",""articles_with_PRISMA_reasons!B2:B2113""))&lt;2,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$A1066=I"&amp;"MPORTRANGE(""https://docs.google.com/spreadsheets/d/1qpEmbGH0JjaJbUdp21-y2cPbobDbMjr09BbtdKROZWc/edit#gid=1444865654"",""articles_with_PRISMA_reasons!B2:B2113""))&gt;=2),
""Exclude""
)"),"Include")</f>
        <v>Include</v>
      </c>
      <c r="F1066" s="2" t="s">
        <v>14</v>
      </c>
      <c r="G1066" s="2" t="s">
        <v>14</v>
      </c>
    </row>
    <row r="1067">
      <c r="A1067" s="4" t="str">
        <f>IFERROR(__xludf.DUMMYFUNCTION("""COMPUTED_VALUE"""),"Laryngeal stridor and respiratory obstruction associated with meningomyelocele")</f>
        <v>Laryngeal stridor and respiratory obstruction associated with meningomyelocele</v>
      </c>
      <c r="B1067" s="5" t="str">
        <f>IFERROR(__xludf.DUMMYFUNCTION("LEFT(FILTER(IMPORTRANGE(""https://docs.google.com/spreadsheets/d/1BJSV3WBYJGRhQ6zExamkszQ5VutGIcaQqmbD9ZTVXMQ/edit#gid=1251630045"",""articles_with_PRISMA_reasons!K2:K2113""), $A1067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$A1067=IMPORTRANGE(""https://docs.google.com/spreadsheets/d/1BJSV3WBYJGRhQ6zExamkszQ5VutGIcaQqmbD9ZTVXMQ/edit#gid=1251630045"",""articles_with_PRISMA_reasons!B2:B2113"")))-1)"),"Fitzsimmons")</f>
        <v>Fitzsimmons</v>
      </c>
      <c r="C1067" s="6">
        <f>IFERROR(__xludf.DUMMYFUNCTION("FILTER(IMPORTRANGE(""https://docs.google.com/spreadsheets/d/1BJSV3WBYJGRhQ6zExamkszQ5VutGIcaQqmbD9ZTVXMQ/edit#gid=1251630045"",""articles_with_PRISMA_reasons!C2:C2113""), $A1067=IMPORTRANGE(""https://docs.google.com/spreadsheets/d/1BJSV3WBYJGRhQ6zExamkszQ"&amp;"5VutGIcaQqmbD9ZTVXMQ/edit#gid=1251630045"",""articles_with_PRISMA_reasons!B2:B2113""))"),1965.0)</f>
        <v>1965</v>
      </c>
      <c r="D1067" s="5" t="str">
        <f>IFERROR(__xludf.DUMMYFUNCTION("IFS(AND(
FILTER(IMPORTRANGE(""https://docs.google.com/spreadsheets/d/1BJSV3WBYJGRhQ6zExamkszQ5VutGIcaQqmbD9ZTVXMQ/edit#gid=1251630045"",""articles_with_PRISMA_reasons!Y2:Y2113""), $A1067=IMPORTRANGE(""https://docs.google.com/spreadsheets/d/1BJSV3WBYJGRhQ6"&amp;"zExamkszQ5VutGIcaQqmbD9ZTVXMQ/edit#gid=1251630045"",""articles_with_PRISMA_reasons!B2:B2113""))&gt;=2,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$A1067=IMPORTRANGE(""https://docs.google.com/spreadsheets/d/1BJSV3WBYJGRhQ6zExamkszQ5VutGIcaQqmbD9ZTVXMQ/edit#gid=1251630045"",""articles_with_PRISMA_reasons!B2:B2113""))&lt;2),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$A1067=IMPORTRANGE(""https://docs.google.com/spreadsheets/d/1BJSV3WBYJGRhQ6zExamkszQ5VutGIcaQqmbD9ZTVXMQ/edit#gid=1251630045"",""a"&amp;"rticles_with_PRISMA_reasons!B2:B2113""))&lt;2,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$A1067=IMPORTRANGE(""https://docs.google"&amp;".com/spreadsheets/d/1BJSV3WBYJGRhQ6zExamkszQ5VutGIcaQqmbD9ZTVXMQ/edit#gid=1251630045"",""articles_with_PRISMA_reasons!B2:B2113""))&gt;=2),
""Exclude""
)"),"Exclude")</f>
        <v>Exclude</v>
      </c>
      <c r="E1067" s="5" t="str">
        <f>IFERROR(__xludf.DUMMYFUNCTION("IFS(
D1067=""Exclude"",""Exclude"",
AND(
FILTER(IMPORTRANGE(""https://docs.google.com/spreadsheets/d/1qpEmbGH0JjaJbUdp21-y2cPbobDbMjr09BbtdKROZWc/edit#gid=1444865654"",""articles_with_PRISMA_reasons!W2:W2113""), $A1067=IMPORTRANGE(""https://docs.google.co"&amp;"m/spreadsheets/d/1qpEmbGH0JjaJbUdp21-y2cPbobDbMjr09BbtdKROZWc/edit#gid=1444865654"",""articles_with_PRISMA_reasons!B2:B2113""))&gt;=2,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$A1067=IMPORTRANGE(""https://docs.google.com/spreadsheets/d/1qpEmbGH0JjaJbUdp21-y2cPbobDbMjr09BbtdKROZWc/edit#gid=1444865654"",""articles_with_PRISMA_reasons!B2:B2113""))&lt;2),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$A1067=IMPORTRANGE(""https://docs.google.com/spreadsheets/d/1qpEmbGH0JjaJbUdp21-y2cPbobDbMjr09Bbtd"&amp;"KROZWc/edit#gid=1444865654"",""articles_with_PRISMA_reasons!B2:B2113""))&lt;2,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$A1067=I"&amp;"MPORTRANGE(""https://docs.google.com/spreadsheets/d/1qpEmbGH0JjaJbUdp21-y2cPbobDbMjr09BbtdKROZWc/edit#gid=1444865654"",""articles_with_PRISMA_reasons!B2:B2113""))&gt;=2),
""Exclude""
)"),"Exclude")</f>
        <v>Exclude</v>
      </c>
      <c r="F1067" s="5" t="str">
        <f>IFERROR(__xludf.DUMMYFUNCTION("IFS(
E1067=""Exclude"",""Exclude"",
AND(
COUNTIF(
IMPORTRANGE(""https://docs.google.com/spreadsheets/d/1kGrh75X1cNR1D7_FcY9zMnHP8iPO4M5RCRjy6nZY0TY/edit#gid=0"",""Table 1: Study characteristics!B4:B171""),A1067)&gt;0,
COUNTIF(Studies!$A$2:$A$85,FILTER(IMPORT"&amp;"RANGE(""https://docs.google.com/spreadsheets/d/1kGrh75X1cNR1D7_FcY9zMnHP8iPO4M5RCRjy6nZY0TY/edit#gid=0"",""Table 1: Study characteristics!A4:A171""), $A1067=IMPORTRANGE(""https://docs.google.com/spreadsheets/d/1kGrh75X1cNR1D7_FcY9zMnHP8iPO4M5RCRjy6nZY0TY/"&amp;"edit#gid=0"",""Table 1: Study characteristics!B4:B171"")))&gt;0
),
""Include""
)"),"Exclude")</f>
        <v>Exclude</v>
      </c>
      <c r="G1067" s="5" t="str">
        <f>IFERROR(__xludf.DUMMYFUNCTION("IFS(
D1067=""Exclude"",
FILTER(IMPORTRANGE(""https://docs.google.com/spreadsheets/d/1BJSV3WBYJGRhQ6zExamkszQ5VutGIcaQqmbD9ZTVXMQ/edit#gid=1251630045"",""articles_with_PRISMA_reasons!AB2:AB2113""), $A1067=IMPORTRANGE(""https://docs.google.com/spreadsheets/"&amp;"d/1BJSV3WBYJGRhQ6zExamkszQ5VutGIcaQqmbD9ZTVXMQ/edit#gid=1251630045"",""articles_with_PRISMA_reasons!B2:B2113"")),
E1067=""Exclude"",
FILTER(IMPORTRANGE(""https://docs.google.com/spreadsheets/d/1qpEmbGH0JjaJbUdp21-y2cPbobDbMjr09BbtdKROZWc/edit#gid=14448656"&amp;"54"",""articles_with_PRISMA_reasons!Z2:Z2113""), $A1067=IMPORTRANGE(""https://docs.google.com/spreadsheets/d/1qpEmbGH0JjaJbUdp21-y2cPbobDbMjr09BbtdKROZWc/edit#gid=1444865654"",""articles_with_PRISMA_reasons!B2:B2113"")),F1067
=""Include"",FILTER(IMPORTRAN"&amp;"GE(""https://docs.google.com/spreadsheets/d/1kGrh75X1cNR1D7_FcY9zMnHP8iPO4M5RCRjy6nZY0TY/edit#gid=0"",""Table 1: Study characteristics!A4:A171""), $A1067=IMPORTRANGE(""https://docs.google.com/spreadsheets/d/1kGrh75X1cNR1D7_FcY9zMnHP8iPO4M5RCRjy6nZY0TY/edi"&amp;"t#gid=0"",""Table 1: Study characteristics!B4:B171""))
)"),"wrong study design")</f>
        <v>wrong study design</v>
      </c>
    </row>
    <row r="1068">
      <c r="A1068" s="4" t="str">
        <f>IFERROR(__xludf.DUMMYFUNCTION("""COMPUTED_VALUE"""),"Laser-assisted endoscopic third ventriculostomy: Long-term results in a series of 202 patients")</f>
        <v>Laser-assisted endoscopic third ventriculostomy: Long-term results in a series of 202 patients</v>
      </c>
      <c r="B1068" s="5" t="str">
        <f>IFERROR(__xludf.DUMMYFUNCTION("LEFT(FILTER(IMPORTRANGE(""https://docs.google.com/spreadsheets/d/1BJSV3WBYJGRhQ6zExamkszQ5VutGIcaQqmbD9ZTVXMQ/edit#gid=1251630045"",""articles_with_PRISMA_reasons!K2:K2113""), $A1068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$A1068=IMPORTRANGE(""https://docs.google.com/spreadsheets/d/1BJSV3WBYJGRhQ6zExamkszQ5VutGIcaQqmbD9ZTVXMQ/edit#gid=1251630045"",""articles_with_PRISMA_reasons!B2:B2113"")))-1)"),"Hanlo")</f>
        <v>Hanlo</v>
      </c>
      <c r="C1068" s="6">
        <f>IFERROR(__xludf.DUMMYFUNCTION("FILTER(IMPORTRANGE(""https://docs.google.com/spreadsheets/d/1BJSV3WBYJGRhQ6zExamkszQ5VutGIcaQqmbD9ZTVXMQ/edit#gid=1251630045"",""articles_with_PRISMA_reasons!C2:C2113""), $A1068=IMPORTRANGE(""https://docs.google.com/spreadsheets/d/1BJSV3WBYJGRhQ6zExamkszQ"&amp;"5VutGIcaQqmbD9ZTVXMQ/edit#gid=1251630045"",""articles_with_PRISMA_reasons!B2:B2113""))"),2008.0)</f>
        <v>2008</v>
      </c>
      <c r="D1068" s="5" t="str">
        <f>IFERROR(__xludf.DUMMYFUNCTION("IFS(AND(
FILTER(IMPORTRANGE(""https://docs.google.com/spreadsheets/d/1BJSV3WBYJGRhQ6zExamkszQ5VutGIcaQqmbD9ZTVXMQ/edit#gid=1251630045"",""articles_with_PRISMA_reasons!Y2:Y2113""), $A1068=IMPORTRANGE(""https://docs.google.com/spreadsheets/d/1BJSV3WBYJGRhQ6"&amp;"zExamkszQ5VutGIcaQqmbD9ZTVXMQ/edit#gid=1251630045"",""articles_with_PRISMA_reasons!B2:B2113""))&gt;=2,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$A1068=IMPORTRANGE(""https://docs.google.com/spreadsheets/d/1BJSV3WBYJGRhQ6zExamkszQ5VutGIcaQqmbD9ZTVXMQ/edit#gid=1251630045"",""articles_with_PRISMA_reasons!B2:B2113""))&lt;2),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$A1068=IMPORTRANGE(""https://docs.google.com/spreadsheets/d/1BJSV3WBYJGRhQ6zExamkszQ5VutGIcaQqmbD9ZTVXMQ/edit#gid=1251630045"",""a"&amp;"rticles_with_PRISMA_reasons!B2:B2113""))&lt;2,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$A1068=IMPORTRANGE(""https://docs.google"&amp;".com/spreadsheets/d/1BJSV3WBYJGRhQ6zExamkszQ5VutGIcaQqmbD9ZTVXMQ/edit#gid=1251630045"",""articles_with_PRISMA_reasons!B2:B2113""))&gt;=2),
""Exclude""
)"),"Exclude")</f>
        <v>Exclude</v>
      </c>
      <c r="E1068" s="5" t="str">
        <f>IFERROR(__xludf.DUMMYFUNCTION("IFS(
D1068=""Exclude"",""Exclude"",
AND(
FILTER(IMPORTRANGE(""https://docs.google.com/spreadsheets/d/1qpEmbGH0JjaJbUdp21-y2cPbobDbMjr09BbtdKROZWc/edit#gid=1444865654"",""articles_with_PRISMA_reasons!W2:W2113""), $A1068=IMPORTRANGE(""https://docs.google.co"&amp;"m/spreadsheets/d/1qpEmbGH0JjaJbUdp21-y2cPbobDbMjr09BbtdKROZWc/edit#gid=1444865654"",""articles_with_PRISMA_reasons!B2:B2113""))&gt;=2,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$A1068=IMPORTRANGE(""https://docs.google.com/spreadsheets/d/1qpEmbGH0JjaJbUdp21-y2cPbobDbMjr09BbtdKROZWc/edit#gid=1444865654"",""articles_with_PRISMA_reasons!B2:B2113""))&lt;2),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$A1068=IMPORTRANGE(""https://docs.google.com/spreadsheets/d/1qpEmbGH0JjaJbUdp21-y2cPbobDbMjr09Bbtd"&amp;"KROZWc/edit#gid=1444865654"",""articles_with_PRISMA_reasons!B2:B2113""))&lt;2,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$A1068=I"&amp;"MPORTRANGE(""https://docs.google.com/spreadsheets/d/1qpEmbGH0JjaJbUdp21-y2cPbobDbMjr09BbtdKROZWc/edit#gid=1444865654"",""articles_with_PRISMA_reasons!B2:B2113""))&gt;=2),
""Exclude""
)"),"Exclude")</f>
        <v>Exclude</v>
      </c>
      <c r="F1068" s="5" t="str">
        <f>IFERROR(__xludf.DUMMYFUNCTION("IFS(
E1068=""Exclude"",""Exclude"",
AND(
COUNTIF(
IMPORTRANGE(""https://docs.google.com/spreadsheets/d/1kGrh75X1cNR1D7_FcY9zMnHP8iPO4M5RCRjy6nZY0TY/edit#gid=0"",""Table 1: Study characteristics!B4:B171""),A1068)&gt;0,
COUNTIF(Studies!$A$2:$A$85,FILTER(IMPORT"&amp;"RANGE(""https://docs.google.com/spreadsheets/d/1kGrh75X1cNR1D7_FcY9zMnHP8iPO4M5RCRjy6nZY0TY/edit#gid=0"",""Table 1: Study characteristics!A4:A171""), $A1068=IMPORTRANGE(""https://docs.google.com/spreadsheets/d/1kGrh75X1cNR1D7_FcY9zMnHP8iPO4M5RCRjy6nZY0TY/"&amp;"edit#gid=0"",""Table 1: Study characteristics!B4:B171"")))&gt;0
),
""Include""
)"),"Exclude")</f>
        <v>Exclude</v>
      </c>
      <c r="G1068" s="5" t="str">
        <f>IFERROR(__xludf.DUMMYFUNCTION("IFS(
D1068=""Exclude"",
FILTER(IMPORTRANGE(""https://docs.google.com/spreadsheets/d/1BJSV3WBYJGRhQ6zExamkszQ5VutGIcaQqmbD9ZTVXMQ/edit#gid=1251630045"",""articles_with_PRISMA_reasons!AB2:AB2113""), $A1068=IMPORTRANGE(""https://docs.google.com/spreadsheets/"&amp;"d/1BJSV3WBYJGRhQ6zExamkszQ5VutGIcaQqmbD9ZTVXMQ/edit#gid=1251630045"",""articles_with_PRISMA_reasons!B2:B2113"")),
E1068=""Exclude"",
FILTER(IMPORTRANGE(""https://docs.google.com/spreadsheets/d/1qpEmbGH0JjaJbUdp21-y2cPbobDbMjr09BbtdKROZWc/edit#gid=14448656"&amp;"54"",""articles_with_PRISMA_reasons!Z2:Z2113""), $A1068=IMPORTRANGE(""https://docs.google.com/spreadsheets/d/1qpEmbGH0JjaJbUdp21-y2cPbobDbMjr09BbtdKROZWc/edit#gid=1444865654"",""articles_with_PRISMA_reasons!B2:B2113"")),F1068
=""Include"",FILTER(IMPORTRAN"&amp;"GE(""https://docs.google.com/spreadsheets/d/1kGrh75X1cNR1D7_FcY9zMnHP8iPO4M5RCRjy6nZY0TY/edit#gid=0"",""Table 1: Study characteristics!A4:A171""), $A1068=IMPORTRANGE(""https://docs.google.com/spreadsheets/d/1kGrh75X1cNR1D7_FcY9zMnHP8iPO4M5RCRjy6nZY0TY/edi"&amp;"t#gid=0"",""Table 1: Study characteristics!B4:B171""))
)"),"wrong population")</f>
        <v>wrong population</v>
      </c>
    </row>
    <row r="1069">
      <c r="A1069" s="4" t="str">
        <f>IFERROR(__xludf.DUMMYFUNCTION("""COMPUTED_VALUE"""),"Late cardiopulmonary complication of ventriculo-atrial shunt")</f>
        <v>Late cardiopulmonary complication of ventriculo-atrial shunt</v>
      </c>
      <c r="B1069" s="5" t="str">
        <f>IFERROR(__xludf.DUMMYFUNCTION("LEFT(FILTER(IMPORTRANGE(""https://docs.google.com/spreadsheets/d/1BJSV3WBYJGRhQ6zExamkszQ5VutGIcaQqmbD9ZTVXMQ/edit#gid=1251630045"",""articles_with_PRISMA_reasons!K2:K2113""), $A1069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$A1069=IMPORTRANGE(""https://docs.google.com/spreadsheets/d/1BJSV3WBYJGRhQ6zExamkszQ5VutGIcaQqmbD9ZTVXMQ/edit#gid=1251630045"",""articles_with_PRISMA_reasons!B2:B2113"")))-1)"),"Milton")</f>
        <v>Milton</v>
      </c>
      <c r="C1069" s="6">
        <f>IFERROR(__xludf.DUMMYFUNCTION("FILTER(IMPORTRANGE(""https://docs.google.com/spreadsheets/d/1BJSV3WBYJGRhQ6zExamkszQ5VutGIcaQqmbD9ZTVXMQ/edit#gid=1251630045"",""articles_with_PRISMA_reasons!C2:C2113""), $A1069=IMPORTRANGE(""https://docs.google.com/spreadsheets/d/1BJSV3WBYJGRhQ6zExamkszQ"&amp;"5VutGIcaQqmbD9ZTVXMQ/edit#gid=1251630045"",""articles_with_PRISMA_reasons!B2:B2113""))"),2001.0)</f>
        <v>2001</v>
      </c>
      <c r="D1069" s="5" t="str">
        <f>IFERROR(__xludf.DUMMYFUNCTION("IFS(AND(
FILTER(IMPORTRANGE(""https://docs.google.com/spreadsheets/d/1BJSV3WBYJGRhQ6zExamkszQ5VutGIcaQqmbD9ZTVXMQ/edit#gid=1251630045"",""articles_with_PRISMA_reasons!Y2:Y2113""), $A1069=IMPORTRANGE(""https://docs.google.com/spreadsheets/d/1BJSV3WBYJGRhQ6"&amp;"zExamkszQ5VutGIcaQqmbD9ZTVXMQ/edit#gid=1251630045"",""articles_with_PRISMA_reasons!B2:B2113""))&gt;=2,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$A1069=IMPORTRANGE(""https://docs.google.com/spreadsheets/d/1BJSV3WBYJGRhQ6zExamkszQ5VutGIcaQqmbD9ZTVXMQ/edit#gid=1251630045"",""articles_with_PRISMA_reasons!B2:B2113""))&lt;2),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$A1069=IMPORTRANGE(""https://docs.google.com/spreadsheets/d/1BJSV3WBYJGRhQ6zExamkszQ5VutGIcaQqmbD9ZTVXMQ/edit#gid=1251630045"",""a"&amp;"rticles_with_PRISMA_reasons!B2:B2113""))&lt;2,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$A1069=IMPORTRANGE(""https://docs.google"&amp;".com/spreadsheets/d/1BJSV3WBYJGRhQ6zExamkszQ5VutGIcaQqmbD9ZTVXMQ/edit#gid=1251630045"",""articles_with_PRISMA_reasons!B2:B2113""))&gt;=2),
""Exclude""
)"),"Exclude")</f>
        <v>Exclude</v>
      </c>
      <c r="E1069" s="5" t="str">
        <f>IFERROR(__xludf.DUMMYFUNCTION("IFS(
D1069=""Exclude"",""Exclude"",
AND(
FILTER(IMPORTRANGE(""https://docs.google.com/spreadsheets/d/1qpEmbGH0JjaJbUdp21-y2cPbobDbMjr09BbtdKROZWc/edit#gid=1444865654"",""articles_with_PRISMA_reasons!W2:W2113""), $A1069=IMPORTRANGE(""https://docs.google.co"&amp;"m/spreadsheets/d/1qpEmbGH0JjaJbUdp21-y2cPbobDbMjr09BbtdKROZWc/edit#gid=1444865654"",""articles_with_PRISMA_reasons!B2:B2113""))&gt;=2,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$A1069=IMPORTRANGE(""https://docs.google.com/spreadsheets/d/1qpEmbGH0JjaJbUdp21-y2cPbobDbMjr09BbtdKROZWc/edit#gid=1444865654"",""articles_with_PRISMA_reasons!B2:B2113""))&lt;2),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$A1069=IMPORTRANGE(""https://docs.google.com/spreadsheets/d/1qpEmbGH0JjaJbUdp21-y2cPbobDbMjr09Bbtd"&amp;"KROZWc/edit#gid=1444865654"",""articles_with_PRISMA_reasons!B2:B2113""))&lt;2,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$A1069=I"&amp;"MPORTRANGE(""https://docs.google.com/spreadsheets/d/1qpEmbGH0JjaJbUdp21-y2cPbobDbMjr09BbtdKROZWc/edit#gid=1444865654"",""articles_with_PRISMA_reasons!B2:B2113""))&gt;=2),
""Exclude""
)"),"Exclude")</f>
        <v>Exclude</v>
      </c>
      <c r="F1069" s="5" t="str">
        <f>IFERROR(__xludf.DUMMYFUNCTION("IFS(
E1069=""Exclude"",""Exclude"",
AND(
COUNTIF(
IMPORTRANGE(""https://docs.google.com/spreadsheets/d/1kGrh75X1cNR1D7_FcY9zMnHP8iPO4M5RCRjy6nZY0TY/edit#gid=0"",""Table 1: Study characteristics!B4:B171""),A1069)&gt;0,
COUNTIF(Studies!$A$2:$A$85,FILTER(IMPORT"&amp;"RANGE(""https://docs.google.com/spreadsheets/d/1kGrh75X1cNR1D7_FcY9zMnHP8iPO4M5RCRjy6nZY0TY/edit#gid=0"",""Table 1: Study characteristics!A4:A171""), $A1069=IMPORTRANGE(""https://docs.google.com/spreadsheets/d/1kGrh75X1cNR1D7_FcY9zMnHP8iPO4M5RCRjy6nZY0TY/"&amp;"edit#gid=0"",""Table 1: Study characteristics!B4:B171"")))&gt;0
),
""Include""
)"),"Exclude")</f>
        <v>Exclude</v>
      </c>
      <c r="G1069" s="5" t="str">
        <f>IFERROR(__xludf.DUMMYFUNCTION("IFS(
D1069=""Exclude"",
FILTER(IMPORTRANGE(""https://docs.google.com/spreadsheets/d/1BJSV3WBYJGRhQ6zExamkszQ5VutGIcaQqmbD9ZTVXMQ/edit#gid=1251630045"",""articles_with_PRISMA_reasons!AB2:AB2113""), $A1069=IMPORTRANGE(""https://docs.google.com/spreadsheets/"&amp;"d/1BJSV3WBYJGRhQ6zExamkszQ5VutGIcaQqmbD9ZTVXMQ/edit#gid=1251630045"",""articles_with_PRISMA_reasons!B2:B2113"")),
E1069=""Exclude"",
FILTER(IMPORTRANGE(""https://docs.google.com/spreadsheets/d/1qpEmbGH0JjaJbUdp21-y2cPbobDbMjr09BbtdKROZWc/edit#gid=14448656"&amp;"54"",""articles_with_PRISMA_reasons!Z2:Z2113""), $A1069=IMPORTRANGE(""https://docs.google.com/spreadsheets/d/1qpEmbGH0JjaJbUdp21-y2cPbobDbMjr09BbtdKROZWc/edit#gid=1444865654"",""articles_with_PRISMA_reasons!B2:B2113"")),F1069
=""Include"",FILTER(IMPORTRAN"&amp;"GE(""https://docs.google.com/spreadsheets/d/1kGrh75X1cNR1D7_FcY9zMnHP8iPO4M5RCRjy6nZY0TY/edit#gid=0"",""Table 1: Study characteristics!A4:A171""), $A1069=IMPORTRANGE(""https://docs.google.com/spreadsheets/d/1kGrh75X1cNR1D7_FcY9zMnHP8iPO4M5RCRjy6nZY0TY/edi"&amp;"t#gid=0"",""Table 1: Study characteristics!B4:B171""))
)"),"wrong study design")</f>
        <v>wrong study design</v>
      </c>
    </row>
    <row r="1070">
      <c r="A1070" s="4" t="str">
        <f>IFERROR(__xludf.DUMMYFUNCTION("""COMPUTED_VALUE"""),"Late follow-up in spina bifida cystica")</f>
        <v>Late follow-up in spina bifida cystica</v>
      </c>
      <c r="B1070" s="5" t="str">
        <f>IFERROR(__xludf.DUMMYFUNCTION("LEFT(FILTER(IMPORTRANGE(""https://docs.google.com/spreadsheets/d/1BJSV3WBYJGRhQ6zExamkszQ5VutGIcaQqmbD9ZTVXMQ/edit#gid=1251630045"",""articles_with_PRISMA_reasons!K2:K2113""), $A1070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$A1070=IMPORTRANGE(""https://docs.google.com/spreadsheets/d/1BJSV3WBYJGRhQ6zExamkszQ5VutGIcaQqmbD9ZTVXMQ/edit#gid=1251630045"",""articles_with_PRISMA_reasons!B2:B2113"")))-1)"),"Dougall")</f>
        <v>Dougall</v>
      </c>
      <c r="C1070" s="6">
        <f>IFERROR(__xludf.DUMMYFUNCTION("FILTER(IMPORTRANGE(""https://docs.google.com/spreadsheets/d/1BJSV3WBYJGRhQ6zExamkszQ5VutGIcaQqmbD9ZTVXMQ/edit#gid=1251630045"",""articles_with_PRISMA_reasons!C2:C2113""), $A1070=IMPORTRANGE(""https://docs.google.com/spreadsheets/d/1BJSV3WBYJGRhQ6zExamkszQ"&amp;"5VutGIcaQqmbD9ZTVXMQ/edit#gid=1251630045"",""articles_with_PRISMA_reasons!B2:B2113""))"),1975.0)</f>
        <v>1975</v>
      </c>
      <c r="D1070" s="5" t="str">
        <f>IFERROR(__xludf.DUMMYFUNCTION("IFS(AND(
FILTER(IMPORTRANGE(""https://docs.google.com/spreadsheets/d/1BJSV3WBYJGRhQ6zExamkszQ5VutGIcaQqmbD9ZTVXMQ/edit#gid=1251630045"",""articles_with_PRISMA_reasons!Y2:Y2113""), $A1070=IMPORTRANGE(""https://docs.google.com/spreadsheets/d/1BJSV3WBYJGRhQ6"&amp;"zExamkszQ5VutGIcaQqmbD9ZTVXMQ/edit#gid=1251630045"",""articles_with_PRISMA_reasons!B2:B2113""))&gt;=2,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$A1070=IMPORTRANGE(""https://docs.google.com/spreadsheets/d/1BJSV3WBYJGRhQ6zExamkszQ5VutGIcaQqmbD9ZTVXMQ/edit#gid=1251630045"",""articles_with_PRISMA_reasons!B2:B2113""))&lt;2),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$A1070=IMPORTRANGE(""https://docs.google.com/spreadsheets/d/1BJSV3WBYJGRhQ6zExamkszQ5VutGIcaQqmbD9ZTVXMQ/edit#gid=1251630045"",""a"&amp;"rticles_with_PRISMA_reasons!B2:B2113""))&lt;2,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$A1070=IMPORTRANGE(""https://docs.google"&amp;".com/spreadsheets/d/1BJSV3WBYJGRhQ6zExamkszQ5VutGIcaQqmbD9ZTVXMQ/edit#gid=1251630045"",""articles_with_PRISMA_reasons!B2:B2113""))&gt;=2),
""Exclude""
)"),"Exclude")</f>
        <v>Exclude</v>
      </c>
      <c r="E1070" s="5" t="str">
        <f>IFERROR(__xludf.DUMMYFUNCTION("IFS(
D1070=""Exclude"",""Exclude"",
AND(
FILTER(IMPORTRANGE(""https://docs.google.com/spreadsheets/d/1qpEmbGH0JjaJbUdp21-y2cPbobDbMjr09BbtdKROZWc/edit#gid=1444865654"",""articles_with_PRISMA_reasons!W2:W2113""), $A1070=IMPORTRANGE(""https://docs.google.co"&amp;"m/spreadsheets/d/1qpEmbGH0JjaJbUdp21-y2cPbobDbMjr09BbtdKROZWc/edit#gid=1444865654"",""articles_with_PRISMA_reasons!B2:B2113""))&gt;=2,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$A1070=IMPORTRANGE(""https://docs.google.com/spreadsheets/d/1qpEmbGH0JjaJbUdp21-y2cPbobDbMjr09BbtdKROZWc/edit#gid=1444865654"",""articles_with_PRISMA_reasons!B2:B2113""))&lt;2),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$A1070=IMPORTRANGE(""https://docs.google.com/spreadsheets/d/1qpEmbGH0JjaJbUdp21-y2cPbobDbMjr09Bbtd"&amp;"KROZWc/edit#gid=1444865654"",""articles_with_PRISMA_reasons!B2:B2113""))&lt;2,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$A1070=I"&amp;"MPORTRANGE(""https://docs.google.com/spreadsheets/d/1qpEmbGH0JjaJbUdp21-y2cPbobDbMjr09BbtdKROZWc/edit#gid=1444865654"",""articles_with_PRISMA_reasons!B2:B2113""))&gt;=2),
""Exclude""
)"),"Exclude")</f>
        <v>Exclude</v>
      </c>
      <c r="F1070" s="5" t="str">
        <f>IFERROR(__xludf.DUMMYFUNCTION("IFS(
E1070=""Exclude"",""Exclude"",
AND(
COUNTIF(
IMPORTRANGE(""https://docs.google.com/spreadsheets/d/1kGrh75X1cNR1D7_FcY9zMnHP8iPO4M5RCRjy6nZY0TY/edit#gid=0"",""Table 1: Study characteristics!B4:B171""),A1070)&gt;0,
COUNTIF(Studies!$A$2:$A$85,FILTER(IMPORT"&amp;"RANGE(""https://docs.google.com/spreadsheets/d/1kGrh75X1cNR1D7_FcY9zMnHP8iPO4M5RCRjy6nZY0TY/edit#gid=0"",""Table 1: Study characteristics!A4:A171""), $A1070=IMPORTRANGE(""https://docs.google.com/spreadsheets/d/1kGrh75X1cNR1D7_FcY9zMnHP8iPO4M5RCRjy6nZY0TY/"&amp;"edit#gid=0"",""Table 1: Study characteristics!B4:B171"")))&gt;0
),
""Include""
)"),"Exclude")</f>
        <v>Exclude</v>
      </c>
      <c r="G1070" s="5" t="str">
        <f>IFERROR(__xludf.DUMMYFUNCTION("IFS(
D1070=""Exclude"",
FILTER(IMPORTRANGE(""https://docs.google.com/spreadsheets/d/1BJSV3WBYJGRhQ6zExamkszQ5VutGIcaQqmbD9ZTVXMQ/edit#gid=1251630045"",""articles_with_PRISMA_reasons!AB2:AB2113""), $A1070=IMPORTRANGE(""https://docs.google.com/spreadsheets/"&amp;"d/1BJSV3WBYJGRhQ6zExamkszQ5VutGIcaQqmbD9ZTVXMQ/edit#gid=1251630045"",""articles_with_PRISMA_reasons!B2:B2113"")),
E1070=""Exclude"",
FILTER(IMPORTRANGE(""https://docs.google.com/spreadsheets/d/1qpEmbGH0JjaJbUdp21-y2cPbobDbMjr09BbtdKROZWc/edit#gid=14448656"&amp;"54"",""articles_with_PRISMA_reasons!Z2:Z2113""), $A1070=IMPORTRANGE(""https://docs.google.com/spreadsheets/d/1qpEmbGH0JjaJbUdp21-y2cPbobDbMjr09BbtdKROZWc/edit#gid=1444865654"",""articles_with_PRISMA_reasons!B2:B2113"")),F1070
=""Include"",FILTER(IMPORTRAN"&amp;"GE(""https://docs.google.com/spreadsheets/d/1kGrh75X1cNR1D7_FcY9zMnHP8iPO4M5RCRjy6nZY0TY/edit#gid=0"",""Table 1: Study characteristics!A4:A171""), $A1070=IMPORTRANGE(""https://docs.google.com/spreadsheets/d/1kGrh75X1cNR1D7_FcY9zMnHP8iPO4M5RCRjy6nZY0TY/edi"&amp;"t#gid=0"",""Table 1: Study characteristics!B4:B171""))
)"),"wrong population")</f>
        <v>wrong population</v>
      </c>
    </row>
    <row r="1071">
      <c r="A1071" s="4" t="str">
        <f>IFERROR(__xludf.DUMMYFUNCTION("""COMPUTED_VALUE"""),"Late gestational intrauterine myelomeningocele repair does not improve lower extremity function")</f>
        <v>Late gestational intrauterine myelomeningocele repair does not improve lower extremity function</v>
      </c>
      <c r="B1071" s="5" t="str">
        <f>IFERROR(__xludf.DUMMYFUNCTION("LEFT(FILTER(IMPORTRANGE(""https://docs.google.com/spreadsheets/d/1BJSV3WBYJGRhQ6zExamkszQ5VutGIcaQqmbD9ZTVXMQ/edit#gid=1251630045"",""articles_with_PRISMA_reasons!K2:K2113""), $A1071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$A1071=IMPORTRANGE(""https://docs.google.com/spreadsheets/d/1BJSV3WBYJGRhQ6zExamkszQ5VutGIcaQqmbD9ZTVXMQ/edit#gid=1251630045"",""articles_with_PRISMA_reasons!B2:B2113"")))-1)"),"Bartolucci")</f>
        <v>Bartolucci</v>
      </c>
      <c r="C1071" s="3">
        <v>2003.0</v>
      </c>
      <c r="D1071" s="5" t="str">
        <f>IFERROR(__xludf.DUMMYFUNCTION("IFS(AND(
FILTER(IMPORTRANGE(""https://docs.google.com/spreadsheets/d/1BJSV3WBYJGRhQ6zExamkszQ5VutGIcaQqmbD9ZTVXMQ/edit#gid=1251630045"",""articles_with_PRISMA_reasons!Y2:Y2113""), $A1071=IMPORTRANGE(""https://docs.google.com/spreadsheets/d/1BJSV3WBYJGRhQ6"&amp;"zExamkszQ5VutGIcaQqmbD9ZTVXMQ/edit#gid=1251630045"",""articles_with_PRISMA_reasons!B2:B2113""))&gt;=2,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$A1071=IMPORTRANGE(""https://docs.google.com/spreadsheets/d/1BJSV3WBYJGRhQ6zExamkszQ5VutGIcaQqmbD9ZTVXMQ/edit#gid=1251630045"",""articles_with_PRISMA_reasons!B2:B2113""))&lt;2),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$A1071=IMPORTRANGE(""https://docs.google.com/spreadsheets/d/1BJSV3WBYJGRhQ6zExamkszQ5VutGIcaQqmbD9ZTVXMQ/edit#gid=1251630045"",""a"&amp;"rticles_with_PRISMA_reasons!B2:B2113""))&lt;2,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$A1071=IMPORTRANGE(""https://docs.google"&amp;".com/spreadsheets/d/1BJSV3WBYJGRhQ6zExamkszQ5VutGIcaQqmbD9ZTVXMQ/edit#gid=1251630045"",""articles_with_PRISMA_reasons!B2:B2113""))&gt;=2),
""Exclude""
)"),"Exclude")</f>
        <v>Exclude</v>
      </c>
      <c r="E1071" s="5" t="str">
        <f>IFERROR(__xludf.DUMMYFUNCTION("IFS(
D1071=""Exclude"",""Exclude"",
AND(
FILTER(IMPORTRANGE(""https://docs.google.com/spreadsheets/d/1qpEmbGH0JjaJbUdp21-y2cPbobDbMjr09BbtdKROZWc/edit#gid=1444865654"",""articles_with_PRISMA_reasons!W2:W2113""), $A1071=IMPORTRANGE(""https://docs.google.co"&amp;"m/spreadsheets/d/1qpEmbGH0JjaJbUdp21-y2cPbobDbMjr09BbtdKROZWc/edit#gid=1444865654"",""articles_with_PRISMA_reasons!B2:B2113""))&gt;=2,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$A1071=IMPORTRANGE(""https://docs.google.com/spreadsheets/d/1qpEmbGH0JjaJbUdp21-y2cPbobDbMjr09BbtdKROZWc/edit#gid=1444865654"",""articles_with_PRISMA_reasons!B2:B2113""))&lt;2),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$A1071=IMPORTRANGE(""https://docs.google.com/spreadsheets/d/1qpEmbGH0JjaJbUdp21-y2cPbobDbMjr09Bbtd"&amp;"KROZWc/edit#gid=1444865654"",""articles_with_PRISMA_reasons!B2:B2113""))&lt;2,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$A1071=I"&amp;"MPORTRANGE(""https://docs.google.com/spreadsheets/d/1qpEmbGH0JjaJbUdp21-y2cPbobDbMjr09BbtdKROZWc/edit#gid=1444865654"",""articles_with_PRISMA_reasons!B2:B2113""))&gt;=2),
""Exclude""
)"),"Exclude")</f>
        <v>Exclude</v>
      </c>
      <c r="F1071" s="5" t="str">
        <f>IFERROR(__xludf.DUMMYFUNCTION("IFS(
E1071=""Exclude"",""Exclude"",
AND(
COUNTIF(
IMPORTRANGE(""https://docs.google.com/spreadsheets/d/1kGrh75X1cNR1D7_FcY9zMnHP8iPO4M5RCRjy6nZY0TY/edit#gid=0"",""Table 1: Study characteristics!B4:B171""),A1071)&gt;0,
COUNTIF(Studies!$A$2:$A$85,FILTER(IMPORT"&amp;"RANGE(""https://docs.google.com/spreadsheets/d/1kGrh75X1cNR1D7_FcY9zMnHP8iPO4M5RCRjy6nZY0TY/edit#gid=0"",""Table 1: Study characteristics!A4:A171""), $A1071=IMPORTRANGE(""https://docs.google.com/spreadsheets/d/1kGrh75X1cNR1D7_FcY9zMnHP8iPO4M5RCRjy6nZY0TY/"&amp;"edit#gid=0"",""Table 1: Study characteristics!B4:B171"")))&gt;0
),
""Include""
)"),"Exclude")</f>
        <v>Exclude</v>
      </c>
      <c r="G1071" s="5" t="s">
        <v>15</v>
      </c>
    </row>
    <row r="1072">
      <c r="A1072" s="4" t="str">
        <f>IFERROR(__xludf.DUMMYFUNCTION("""COMPUTED_VALUE"""),"Late gestational intrauterine myelomeningocele repair does not improve lower extremity function")</f>
        <v>Late gestational intrauterine myelomeningocele repair does not improve lower extremity function</v>
      </c>
      <c r="B1072" s="5" t="str">
        <f>IFERROR(__xludf.DUMMYFUNCTION("LEFT(FILTER(IMPORTRANGE(""https://docs.google.com/spreadsheets/d/1BJSV3WBYJGRhQ6zExamkszQ5VutGIcaQqmbD9ZTVXMQ/edit#gid=1251630045"",""articles_with_PRISMA_reasons!K2:K2113""), $A1072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$A1072=IMPORTRANGE(""https://docs.google.com/spreadsheets/d/1BJSV3WBYJGRhQ6zExamkszQ5VutGIcaQqmbD9ZTVXMQ/edit#gid=1251630045"",""articles_with_PRISMA_reasons!B2:B2113"")))-1)"),"Bartolucci")</f>
        <v>Bartolucci</v>
      </c>
      <c r="C1072" s="3">
        <v>2003.0</v>
      </c>
      <c r="D1072" s="5" t="str">
        <f>IFERROR(__xludf.DUMMYFUNCTION("IFS(AND(
FILTER(IMPORTRANGE(""https://docs.google.com/spreadsheets/d/1BJSV3WBYJGRhQ6zExamkszQ5VutGIcaQqmbD9ZTVXMQ/edit#gid=1251630045"",""articles_with_PRISMA_reasons!Y2:Y2113""), $A1072=IMPORTRANGE(""https://docs.google.com/spreadsheets/d/1BJSV3WBYJGRhQ6"&amp;"zExamkszQ5VutGIcaQqmbD9ZTVXMQ/edit#gid=1251630045"",""articles_with_PRISMA_reasons!B2:B2113""))&gt;=2,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$A1072=IMPORTRANGE(""https://docs.google.com/spreadsheets/d/1BJSV3WBYJGRhQ6zExamkszQ5VutGIcaQqmbD9ZTVXMQ/edit#gid=1251630045"",""articles_with_PRISMA_reasons!B2:B2113""))&lt;2),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$A1072=IMPORTRANGE(""https://docs.google.com/spreadsheets/d/1BJSV3WBYJGRhQ6zExamkszQ5VutGIcaQqmbD9ZTVXMQ/edit#gid=1251630045"",""a"&amp;"rticles_with_PRISMA_reasons!B2:B2113""))&lt;2,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$A1072=IMPORTRANGE(""https://docs.google"&amp;".com/spreadsheets/d/1BJSV3WBYJGRhQ6zExamkszQ5VutGIcaQqmbD9ZTVXMQ/edit#gid=1251630045"",""articles_with_PRISMA_reasons!B2:B2113""))&gt;=2),
""Exclude""
)"),"Exclude")</f>
        <v>Exclude</v>
      </c>
      <c r="E1072" s="5" t="str">
        <f>IFERROR(__xludf.DUMMYFUNCTION("IFS(
D1072=""Exclude"",""Exclude"",
AND(
FILTER(IMPORTRANGE(""https://docs.google.com/spreadsheets/d/1qpEmbGH0JjaJbUdp21-y2cPbobDbMjr09BbtdKROZWc/edit#gid=1444865654"",""articles_with_PRISMA_reasons!W2:W2113""), $A1072=IMPORTRANGE(""https://docs.google.co"&amp;"m/spreadsheets/d/1qpEmbGH0JjaJbUdp21-y2cPbobDbMjr09BbtdKROZWc/edit#gid=1444865654"",""articles_with_PRISMA_reasons!B2:B2113""))&gt;=2,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$A1072=IMPORTRANGE(""https://docs.google.com/spreadsheets/d/1qpEmbGH0JjaJbUdp21-y2cPbobDbMjr09BbtdKROZWc/edit#gid=1444865654"",""articles_with_PRISMA_reasons!B2:B2113""))&lt;2),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$A1072=IMPORTRANGE(""https://docs.google.com/spreadsheets/d/1qpEmbGH0JjaJbUdp21-y2cPbobDbMjr09Bbtd"&amp;"KROZWc/edit#gid=1444865654"",""articles_with_PRISMA_reasons!B2:B2113""))&lt;2,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$A1072=I"&amp;"MPORTRANGE(""https://docs.google.com/spreadsheets/d/1qpEmbGH0JjaJbUdp21-y2cPbobDbMjr09BbtdKROZWc/edit#gid=1444865654"",""articles_with_PRISMA_reasons!B2:B2113""))&gt;=2),
""Exclude""
)"),"Exclude")</f>
        <v>Exclude</v>
      </c>
      <c r="F1072" s="5" t="str">
        <f>IFERROR(__xludf.DUMMYFUNCTION("IFS(
E1072=""Exclude"",""Exclude"",
AND(
COUNTIF(
IMPORTRANGE(""https://docs.google.com/spreadsheets/d/1kGrh75X1cNR1D7_FcY9zMnHP8iPO4M5RCRjy6nZY0TY/edit#gid=0"",""Table 1: Study characteristics!B4:B171""),A1072)&gt;0,
COUNTIF(Studies!$A$2:$A$85,FILTER(IMPORT"&amp;"RANGE(""https://docs.google.com/spreadsheets/d/1kGrh75X1cNR1D7_FcY9zMnHP8iPO4M5RCRjy6nZY0TY/edit#gid=0"",""Table 1: Study characteristics!A4:A171""), $A1072=IMPORTRANGE(""https://docs.google.com/spreadsheets/d/1kGrh75X1cNR1D7_FcY9zMnHP8iPO4M5RCRjy6nZY0TY/"&amp;"edit#gid=0"",""Table 1: Study characteristics!B4:B171"")))&gt;0
),
""Include""
)"),"Exclude")</f>
        <v>Exclude</v>
      </c>
      <c r="G1072" s="2" t="s">
        <v>13</v>
      </c>
    </row>
    <row r="1073">
      <c r="A1073" s="4" t="str">
        <f>IFERROR(__xludf.DUMMYFUNCTION("""COMPUTED_VALUE"""),"Late results following hydrocephalus operations")</f>
        <v>Late results following hydrocephalus operations</v>
      </c>
      <c r="B1073" s="5" t="str">
        <f>IFERROR(__xludf.DUMMYFUNCTION("LEFT(FILTER(IMPORTRANGE(""https://docs.google.com/spreadsheets/d/1BJSV3WBYJGRhQ6zExamkszQ5VutGIcaQqmbD9ZTVXMQ/edit#gid=1251630045"",""articles_with_PRISMA_reasons!K2:K2113""), $A1073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$A1073=IMPORTRANGE(""https://docs.google.com/spreadsheets/d/1BJSV3WBYJGRhQ6zExamkszQ5VutGIcaQqmbD9ZTVXMQ/edit#gid=1251630045"",""articles_with_PRISMA_reasons!B2:B2113"")))-1)"),"Hopner")</f>
        <v>Hopner</v>
      </c>
      <c r="C1073" s="6">
        <f>IFERROR(__xludf.DUMMYFUNCTION("FILTER(IMPORTRANGE(""https://docs.google.com/spreadsheets/d/1BJSV3WBYJGRhQ6zExamkszQ5VutGIcaQqmbD9ZTVXMQ/edit#gid=1251630045"",""articles_with_PRISMA_reasons!C2:C2113""), $A1073=IMPORTRANGE(""https://docs.google.com/spreadsheets/d/1BJSV3WBYJGRhQ6zExamkszQ"&amp;"5VutGIcaQqmbD9ZTVXMQ/edit#gid=1251630045"",""articles_with_PRISMA_reasons!B2:B2113""))"),1984.0)</f>
        <v>1984</v>
      </c>
      <c r="D1073" s="5" t="str">
        <f>IFERROR(__xludf.DUMMYFUNCTION("IFS(AND(
FILTER(IMPORTRANGE(""https://docs.google.com/spreadsheets/d/1BJSV3WBYJGRhQ6zExamkszQ5VutGIcaQqmbD9ZTVXMQ/edit#gid=1251630045"",""articles_with_PRISMA_reasons!Y2:Y2113""), $A1073=IMPORTRANGE(""https://docs.google.com/spreadsheets/d/1BJSV3WBYJGRhQ6"&amp;"zExamkszQ5VutGIcaQqmbD9ZTVXMQ/edit#gid=1251630045"",""articles_with_PRISMA_reasons!B2:B2113""))&gt;=2,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$A1073=IMPORTRANGE(""https://docs.google.com/spreadsheets/d/1BJSV3WBYJGRhQ6zExamkszQ5VutGIcaQqmbD9ZTVXMQ/edit#gid=1251630045"",""articles_with_PRISMA_reasons!B2:B2113""))&lt;2),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$A1073=IMPORTRANGE(""https://docs.google.com/spreadsheets/d/1BJSV3WBYJGRhQ6zExamkszQ5VutGIcaQqmbD9ZTVXMQ/edit#gid=1251630045"",""a"&amp;"rticles_with_PRISMA_reasons!B2:B2113""))&lt;2,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$A1073=IMPORTRANGE(""https://docs.google"&amp;".com/spreadsheets/d/1BJSV3WBYJGRhQ6zExamkszQ5VutGIcaQqmbD9ZTVXMQ/edit#gid=1251630045"",""articles_with_PRISMA_reasons!B2:B2113""))&gt;=2),
""Exclude""
)"),"Exclude")</f>
        <v>Exclude</v>
      </c>
      <c r="E1073" s="5" t="str">
        <f>IFERROR(__xludf.DUMMYFUNCTION("IFS(
D1073=""Exclude"",""Exclude"",
AND(
FILTER(IMPORTRANGE(""https://docs.google.com/spreadsheets/d/1qpEmbGH0JjaJbUdp21-y2cPbobDbMjr09BbtdKROZWc/edit#gid=1444865654"",""articles_with_PRISMA_reasons!W2:W2113""), $A1073=IMPORTRANGE(""https://docs.google.co"&amp;"m/spreadsheets/d/1qpEmbGH0JjaJbUdp21-y2cPbobDbMjr09BbtdKROZWc/edit#gid=1444865654"",""articles_with_PRISMA_reasons!B2:B2113""))&gt;=2,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$A1073=IMPORTRANGE(""https://docs.google.com/spreadsheets/d/1qpEmbGH0JjaJbUdp21-y2cPbobDbMjr09BbtdKROZWc/edit#gid=1444865654"",""articles_with_PRISMA_reasons!B2:B2113""))&lt;2),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$A1073=IMPORTRANGE(""https://docs.google.com/spreadsheets/d/1qpEmbGH0JjaJbUdp21-y2cPbobDbMjr09Bbtd"&amp;"KROZWc/edit#gid=1444865654"",""articles_with_PRISMA_reasons!B2:B2113""))&lt;2,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$A1073=I"&amp;"MPORTRANGE(""https://docs.google.com/spreadsheets/d/1qpEmbGH0JjaJbUdp21-y2cPbobDbMjr09BbtdKROZWc/edit#gid=1444865654"",""articles_with_PRISMA_reasons!B2:B2113""))&gt;=2),
""Exclude""
)"),"Exclude")</f>
        <v>Exclude</v>
      </c>
      <c r="F1073" s="5" t="str">
        <f>IFERROR(__xludf.DUMMYFUNCTION("IFS(
E1073=""Exclude"",""Exclude"",
AND(
COUNTIF(
IMPORTRANGE(""https://docs.google.com/spreadsheets/d/1kGrh75X1cNR1D7_FcY9zMnHP8iPO4M5RCRjy6nZY0TY/edit#gid=0"",""Table 1: Study characteristics!B4:B171""),A1073)&gt;0,
COUNTIF(Studies!$A$2:$A$85,FILTER(IMPORT"&amp;"RANGE(""https://docs.google.com/spreadsheets/d/1kGrh75X1cNR1D7_FcY9zMnHP8iPO4M5RCRjy6nZY0TY/edit#gid=0"",""Table 1: Study characteristics!A4:A171""), $A1073=IMPORTRANGE(""https://docs.google.com/spreadsheets/d/1kGrh75X1cNR1D7_FcY9zMnHP8iPO4M5RCRjy6nZY0TY/"&amp;"edit#gid=0"",""Table 1: Study characteristics!B4:B171"")))&gt;0
),
""Include""
)"),"Exclude")</f>
        <v>Exclude</v>
      </c>
      <c r="G1073" s="5" t="str">
        <f>IFERROR(__xludf.DUMMYFUNCTION("IFS(
D1073=""Exclude"",
FILTER(IMPORTRANGE(""https://docs.google.com/spreadsheets/d/1BJSV3WBYJGRhQ6zExamkszQ5VutGIcaQqmbD9ZTVXMQ/edit#gid=1251630045"",""articles_with_PRISMA_reasons!AB2:AB2113""), $A1073=IMPORTRANGE(""https://docs.google.com/spreadsheets/"&amp;"d/1BJSV3WBYJGRhQ6zExamkszQ5VutGIcaQqmbD9ZTVXMQ/edit#gid=1251630045"",""articles_with_PRISMA_reasons!B2:B2113"")),
E1073=""Exclude"",
FILTER(IMPORTRANGE(""https://docs.google.com/spreadsheets/d/1qpEmbGH0JjaJbUdp21-y2cPbobDbMjr09BbtdKROZWc/edit#gid=14448656"&amp;"54"",""articles_with_PRISMA_reasons!Z2:Z2113""), $A1073=IMPORTRANGE(""https://docs.google.com/spreadsheets/d/1qpEmbGH0JjaJbUdp21-y2cPbobDbMjr09BbtdKROZWc/edit#gid=1444865654"",""articles_with_PRISMA_reasons!B2:B2113"")),F1073
=""Include"",FILTER(IMPORTRAN"&amp;"GE(""https://docs.google.com/spreadsheets/d/1kGrh75X1cNR1D7_FcY9zMnHP8iPO4M5RCRjy6nZY0TY/edit#gid=0"",""Table 1: Study characteristics!A4:A171""), $A1073=IMPORTRANGE(""https://docs.google.com/spreadsheets/d/1kGrh75X1cNR1D7_FcY9zMnHP8iPO4M5RCRjy6nZY0TY/edi"&amp;"t#gid=0"",""Table 1: Study characteristics!B4:B171""))
)"),"wrong outcome")</f>
        <v>wrong outcome</v>
      </c>
    </row>
    <row r="1074">
      <c r="A1074" s="4" t="str">
        <f>IFERROR(__xludf.DUMMYFUNCTION("""COMPUTED_VALUE"""),"Late-onset erythema along a sterile functioning ventriculoperitoneal shunt: Case report and review of the literature")</f>
        <v>Late-onset erythema along a sterile functioning ventriculoperitoneal shunt: Case report and review of the literature</v>
      </c>
      <c r="B1074" s="5" t="str">
        <f>IFERROR(__xludf.DUMMYFUNCTION("LEFT(FILTER(IMPORTRANGE(""https://docs.google.com/spreadsheets/d/1BJSV3WBYJGRhQ6zExamkszQ5VutGIcaQqmbD9ZTVXMQ/edit#gid=1251630045"",""articles_with_PRISMA_reasons!K2:K2113""), $A1074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$A1074=IMPORTRANGE(""https://docs.google.com/spreadsheets/d/1BJSV3WBYJGRhQ6zExamkszQ5VutGIcaQqmbD9ZTVXMQ/edit#gid=1251630045"",""articles_with_PRISMA_reasons!B2:B2113"")))-1)"),"AbdelAziz")</f>
        <v>AbdelAziz</v>
      </c>
      <c r="C1074" s="6">
        <f>IFERROR(__xludf.DUMMYFUNCTION("FILTER(IMPORTRANGE(""https://docs.google.com/spreadsheets/d/1BJSV3WBYJGRhQ6zExamkszQ5VutGIcaQqmbD9ZTVXMQ/edit#gid=1251630045"",""articles_with_PRISMA_reasons!C2:C2113""), $A1074=IMPORTRANGE(""https://docs.google.com/spreadsheets/d/1BJSV3WBYJGRhQ6zExamkszQ"&amp;"5VutGIcaQqmbD9ZTVXMQ/edit#gid=1251630045"",""articles_with_PRISMA_reasons!B2:B2113""))"),2002.0)</f>
        <v>2002</v>
      </c>
      <c r="D1074" s="5" t="str">
        <f>IFERROR(__xludf.DUMMYFUNCTION("IFS(AND(
FILTER(IMPORTRANGE(""https://docs.google.com/spreadsheets/d/1BJSV3WBYJGRhQ6zExamkszQ5VutGIcaQqmbD9ZTVXMQ/edit#gid=1251630045"",""articles_with_PRISMA_reasons!Y2:Y2113""), $A1074=IMPORTRANGE(""https://docs.google.com/spreadsheets/d/1BJSV3WBYJGRhQ6"&amp;"zExamkszQ5VutGIcaQqmbD9ZTVXMQ/edit#gid=1251630045"",""articles_with_PRISMA_reasons!B2:B2113""))&gt;=2,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$A1074=IMPORTRANGE(""https://docs.google.com/spreadsheets/d/1BJSV3WBYJGRhQ6zExamkszQ5VutGIcaQqmbD9ZTVXMQ/edit#gid=1251630045"",""articles_with_PRISMA_reasons!B2:B2113""))&lt;2),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$A1074=IMPORTRANGE(""https://docs.google.com/spreadsheets/d/1BJSV3WBYJGRhQ6zExamkszQ5VutGIcaQqmbD9ZTVXMQ/edit#gid=1251630045"",""a"&amp;"rticles_with_PRISMA_reasons!B2:B2113""))&lt;2,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$A1074=IMPORTRANGE(""https://docs.google"&amp;".com/spreadsheets/d/1BJSV3WBYJGRhQ6zExamkszQ5VutGIcaQqmbD9ZTVXMQ/edit#gid=1251630045"",""articles_with_PRISMA_reasons!B2:B2113""))&gt;=2),
""Exclude""
)"),"Exclude")</f>
        <v>Exclude</v>
      </c>
      <c r="E1074" s="5" t="str">
        <f>IFERROR(__xludf.DUMMYFUNCTION("IFS(
D1074=""Exclude"",""Exclude"",
AND(
FILTER(IMPORTRANGE(""https://docs.google.com/spreadsheets/d/1qpEmbGH0JjaJbUdp21-y2cPbobDbMjr09BbtdKROZWc/edit#gid=1444865654"",""articles_with_PRISMA_reasons!W2:W2113""), $A1074=IMPORTRANGE(""https://docs.google.co"&amp;"m/spreadsheets/d/1qpEmbGH0JjaJbUdp21-y2cPbobDbMjr09BbtdKROZWc/edit#gid=1444865654"",""articles_with_PRISMA_reasons!B2:B2113""))&gt;=2,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$A1074=IMPORTRANGE(""https://docs.google.com/spreadsheets/d/1qpEmbGH0JjaJbUdp21-y2cPbobDbMjr09BbtdKROZWc/edit#gid=1444865654"",""articles_with_PRISMA_reasons!B2:B2113""))&lt;2),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$A1074=IMPORTRANGE(""https://docs.google.com/spreadsheets/d/1qpEmbGH0JjaJbUdp21-y2cPbobDbMjr09Bbtd"&amp;"KROZWc/edit#gid=1444865654"",""articles_with_PRISMA_reasons!B2:B2113""))&lt;2,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$A1074=I"&amp;"MPORTRANGE(""https://docs.google.com/spreadsheets/d/1qpEmbGH0JjaJbUdp21-y2cPbobDbMjr09BbtdKROZWc/edit#gid=1444865654"",""articles_with_PRISMA_reasons!B2:B2113""))&gt;=2),
""Exclude""
)"),"Exclude")</f>
        <v>Exclude</v>
      </c>
      <c r="F1074" s="5" t="str">
        <f>IFERROR(__xludf.DUMMYFUNCTION("IFS(
E1074=""Exclude"",""Exclude"",
AND(
COUNTIF(
IMPORTRANGE(""https://docs.google.com/spreadsheets/d/1kGrh75X1cNR1D7_FcY9zMnHP8iPO4M5RCRjy6nZY0TY/edit#gid=0"",""Table 1: Study characteristics!B4:B171""),A1074)&gt;0,
COUNTIF(Studies!$A$2:$A$85,FILTER(IMPORT"&amp;"RANGE(""https://docs.google.com/spreadsheets/d/1kGrh75X1cNR1D7_FcY9zMnHP8iPO4M5RCRjy6nZY0TY/edit#gid=0"",""Table 1: Study characteristics!A4:A171""), $A1074=IMPORTRANGE(""https://docs.google.com/spreadsheets/d/1kGrh75X1cNR1D7_FcY9zMnHP8iPO4M5RCRjy6nZY0TY/"&amp;"edit#gid=0"",""Table 1: Study characteristics!B4:B171"")))&gt;0
),
""Include""
)"),"Exclude")</f>
        <v>Exclude</v>
      </c>
      <c r="G1074" s="5" t="str">
        <f>IFERROR(__xludf.DUMMYFUNCTION("IFS(
D1074=""Exclude"",
FILTER(IMPORTRANGE(""https://docs.google.com/spreadsheets/d/1BJSV3WBYJGRhQ6zExamkszQ5VutGIcaQqmbD9ZTVXMQ/edit#gid=1251630045"",""articles_with_PRISMA_reasons!AB2:AB2113""), $A1074=IMPORTRANGE(""https://docs.google.com/spreadsheets/"&amp;"d/1BJSV3WBYJGRhQ6zExamkszQ5VutGIcaQqmbD9ZTVXMQ/edit#gid=1251630045"",""articles_with_PRISMA_reasons!B2:B2113"")),
E1074=""Exclude"",
FILTER(IMPORTRANGE(""https://docs.google.com/spreadsheets/d/1qpEmbGH0JjaJbUdp21-y2cPbobDbMjr09BbtdKROZWc/edit#gid=14448656"&amp;"54"",""articles_with_PRISMA_reasons!Z2:Z2113""), $A1074=IMPORTRANGE(""https://docs.google.com/spreadsheets/d/1qpEmbGH0JjaJbUdp21-y2cPbobDbMjr09BbtdKROZWc/edit#gid=1444865654"",""articles_with_PRISMA_reasons!B2:B2113"")),F1074
=""Include"",FILTER(IMPORTRAN"&amp;"GE(""https://docs.google.com/spreadsheets/d/1kGrh75X1cNR1D7_FcY9zMnHP8iPO4M5RCRjy6nZY0TY/edit#gid=0"",""Table 1: Study characteristics!A4:A171""), $A1074=IMPORTRANGE(""https://docs.google.com/spreadsheets/d/1kGrh75X1cNR1D7_FcY9zMnHP8iPO4M5RCRjy6nZY0TY/edi"&amp;"t#gid=0"",""Table 1: Study characteristics!B4:B171""))
)"),"wrong publication type")</f>
        <v>wrong publication type</v>
      </c>
    </row>
    <row r="1075">
      <c r="A1075" s="4" t="str">
        <f>IFERROR(__xludf.DUMMYFUNCTION("""COMPUTED_VALUE"""),"Latex allergy in spina bifida patients: Prevention and treatment")</f>
        <v>Latex allergy in spina bifida patients: Prevention and treatment</v>
      </c>
      <c r="B1075" s="5" t="str">
        <f>IFERROR(__xludf.DUMMYFUNCTION("LEFT(FILTER(IMPORTRANGE(""https://docs.google.com/spreadsheets/d/1BJSV3WBYJGRhQ6zExamkszQ5VutGIcaQqmbD9ZTVXMQ/edit#gid=1251630045"",""articles_with_PRISMA_reasons!K2:K2113""), $A1075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$A1075=IMPORTRANGE(""https://docs.google.com/spreadsheets/d/1BJSV3WBYJGRhQ6zExamkszQ5VutGIcaQqmbD9ZTVXMQ/edit#gid=1251630045"",""articles_with_PRISMA_reasons!B2:B2113"")))-1)"),"Martinez-Lage")</f>
        <v>Martinez-Lage</v>
      </c>
      <c r="C1075" s="6">
        <f>IFERROR(__xludf.DUMMYFUNCTION("FILTER(IMPORTRANGE(""https://docs.google.com/spreadsheets/d/1BJSV3WBYJGRhQ6zExamkszQ5VutGIcaQqmbD9ZTVXMQ/edit#gid=1251630045"",""articles_with_PRISMA_reasons!C2:C2113""), $A1075=IMPORTRANGE(""https://docs.google.com/spreadsheets/d/1BJSV3WBYJGRhQ6zExamkszQ"&amp;"5VutGIcaQqmbD9ZTVXMQ/edit#gid=1251630045"",""articles_with_PRISMA_reasons!B2:B2113""))"),2001.0)</f>
        <v>2001</v>
      </c>
      <c r="D1075" s="5" t="str">
        <f>IFERROR(__xludf.DUMMYFUNCTION("IFS(AND(
FILTER(IMPORTRANGE(""https://docs.google.com/spreadsheets/d/1BJSV3WBYJGRhQ6zExamkszQ5VutGIcaQqmbD9ZTVXMQ/edit#gid=1251630045"",""articles_with_PRISMA_reasons!Y2:Y2113""), $A1075=IMPORTRANGE(""https://docs.google.com/spreadsheets/d/1BJSV3WBYJGRhQ6"&amp;"zExamkszQ5VutGIcaQqmbD9ZTVXMQ/edit#gid=1251630045"",""articles_with_PRISMA_reasons!B2:B2113""))&gt;=2,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$A1075=IMPORTRANGE(""https://docs.google.com/spreadsheets/d/1BJSV3WBYJGRhQ6zExamkszQ5VutGIcaQqmbD9ZTVXMQ/edit#gid=1251630045"",""articles_with_PRISMA_reasons!B2:B2113""))&lt;2),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$A1075=IMPORTRANGE(""https://docs.google.com/spreadsheets/d/1BJSV3WBYJGRhQ6zExamkszQ5VutGIcaQqmbD9ZTVXMQ/edit#gid=1251630045"",""a"&amp;"rticles_with_PRISMA_reasons!B2:B2113""))&lt;2,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$A1075=IMPORTRANGE(""https://docs.google"&amp;".com/spreadsheets/d/1BJSV3WBYJGRhQ6zExamkszQ5VutGIcaQqmbD9ZTVXMQ/edit#gid=1251630045"",""articles_with_PRISMA_reasons!B2:B2113""))&gt;=2),
""Exclude""
)"),"Exclude")</f>
        <v>Exclude</v>
      </c>
      <c r="E1075" s="5" t="str">
        <f>IFERROR(__xludf.DUMMYFUNCTION("IFS(
D1075=""Exclude"",""Exclude"",
AND(
FILTER(IMPORTRANGE(""https://docs.google.com/spreadsheets/d/1qpEmbGH0JjaJbUdp21-y2cPbobDbMjr09BbtdKROZWc/edit#gid=1444865654"",""articles_with_PRISMA_reasons!W2:W2113""), $A1075=IMPORTRANGE(""https://docs.google.co"&amp;"m/spreadsheets/d/1qpEmbGH0JjaJbUdp21-y2cPbobDbMjr09BbtdKROZWc/edit#gid=1444865654"",""articles_with_PRISMA_reasons!B2:B2113""))&gt;=2,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$A1075=IMPORTRANGE(""https://docs.google.com/spreadsheets/d/1qpEmbGH0JjaJbUdp21-y2cPbobDbMjr09BbtdKROZWc/edit#gid=1444865654"",""articles_with_PRISMA_reasons!B2:B2113""))&lt;2),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$A1075=IMPORTRANGE(""https://docs.google.com/spreadsheets/d/1qpEmbGH0JjaJbUdp21-y2cPbobDbMjr09Bbtd"&amp;"KROZWc/edit#gid=1444865654"",""articles_with_PRISMA_reasons!B2:B2113""))&lt;2,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$A1075=I"&amp;"MPORTRANGE(""https://docs.google.com/spreadsheets/d/1qpEmbGH0JjaJbUdp21-y2cPbobDbMjr09BbtdKROZWc/edit#gid=1444865654"",""articles_with_PRISMA_reasons!B2:B2113""))&gt;=2),
""Exclude""
)"),"Exclude")</f>
        <v>Exclude</v>
      </c>
      <c r="F1075" s="5" t="str">
        <f>IFERROR(__xludf.DUMMYFUNCTION("IFS(
E1075=""Exclude"",""Exclude"",
AND(
COUNTIF(
IMPORTRANGE(""https://docs.google.com/spreadsheets/d/1kGrh75X1cNR1D7_FcY9zMnHP8iPO4M5RCRjy6nZY0TY/edit#gid=0"",""Table 1: Study characteristics!B4:B171""),A1075)&gt;0,
COUNTIF(Studies!$A$2:$A$85,FILTER(IMPORT"&amp;"RANGE(""https://docs.google.com/spreadsheets/d/1kGrh75X1cNR1D7_FcY9zMnHP8iPO4M5RCRjy6nZY0TY/edit#gid=0"",""Table 1: Study characteristics!A4:A171""), $A1075=IMPORTRANGE(""https://docs.google.com/spreadsheets/d/1kGrh75X1cNR1D7_FcY9zMnHP8iPO4M5RCRjy6nZY0TY/"&amp;"edit#gid=0"",""Table 1: Study characteristics!B4:B171"")))&gt;0
),
""Include""
)"),"Exclude")</f>
        <v>Exclude</v>
      </c>
      <c r="G1075" s="5" t="str">
        <f>IFERROR(__xludf.DUMMYFUNCTION("IFS(
D1075=""Exclude"",
FILTER(IMPORTRANGE(""https://docs.google.com/spreadsheets/d/1BJSV3WBYJGRhQ6zExamkszQ5VutGIcaQqmbD9ZTVXMQ/edit#gid=1251630045"",""articles_with_PRISMA_reasons!AB2:AB2113""), $A1075=IMPORTRANGE(""https://docs.google.com/spreadsheets/"&amp;"d/1BJSV3WBYJGRhQ6zExamkszQ5VutGIcaQqmbD9ZTVXMQ/edit#gid=1251630045"",""articles_with_PRISMA_reasons!B2:B2113"")),
E1075=""Exclude"",
FILTER(IMPORTRANGE(""https://docs.google.com/spreadsheets/d/1qpEmbGH0JjaJbUdp21-y2cPbobDbMjr09BbtdKROZWc/edit#gid=14448656"&amp;"54"",""articles_with_PRISMA_reasons!Z2:Z2113""), $A1075=IMPORTRANGE(""https://docs.google.com/spreadsheets/d/1qpEmbGH0JjaJbUdp21-y2cPbobDbMjr09BbtdKROZWc/edit#gid=1444865654"",""articles_with_PRISMA_reasons!B2:B2113"")),F1075
=""Include"",FILTER(IMPORTRAN"&amp;"GE(""https://docs.google.com/spreadsheets/d/1kGrh75X1cNR1D7_FcY9zMnHP8iPO4M5RCRjy6nZY0TY/edit#gid=0"",""Table 1: Study characteristics!A4:A171""), $A1075=IMPORTRANGE(""https://docs.google.com/spreadsheets/d/1kGrh75X1cNR1D7_FcY9zMnHP8iPO4M5RCRjy6nZY0TY/edi"&amp;"t#gid=0"",""Table 1: Study characteristics!B4:B171""))
)"),"wrong population")</f>
        <v>wrong population</v>
      </c>
    </row>
    <row r="1076">
      <c r="A1076" s="4" t="str">
        <f>IFERROR(__xludf.DUMMYFUNCTION("""COMPUTED_VALUE"""),"Latex allergy: Children's Hospital, San Diego - 12/17/93")</f>
        <v>Latex allergy: Children's Hospital, San Diego - 12/17/93</v>
      </c>
      <c r="B1076" s="5" t="str">
        <f>IFERROR(__xludf.DUMMYFUNCTION("LEFT(FILTER(IMPORTRANGE(""https://docs.google.com/spreadsheets/d/1BJSV3WBYJGRhQ6zExamkszQ5VutGIcaQqmbD9ZTVXMQ/edit#gid=1251630045"",""articles_with_PRISMA_reasons!K2:K2113""), $A1076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$A1076=IMPORTRANGE(""https://docs.google.com/spreadsheets/d/1BJSV3WBYJGRhQ6zExamkszQ5VutGIcaQqmbD9ZTVXMQ/edit#gid=1251630045"",""articles_with_PRISMA_reasons!B2:B2113"")))-1)"),"Welch")</f>
        <v>Welch</v>
      </c>
      <c r="C1076" s="6">
        <f>IFERROR(__xludf.DUMMYFUNCTION("FILTER(IMPORTRANGE(""https://docs.google.com/spreadsheets/d/1BJSV3WBYJGRhQ6zExamkszQ5VutGIcaQqmbD9ZTVXMQ/edit#gid=1251630045"",""articles_with_PRISMA_reasons!C2:C2113""), $A1076=IMPORTRANGE(""https://docs.google.com/spreadsheets/d/1BJSV3WBYJGRhQ6zExamkszQ"&amp;"5VutGIcaQqmbD9ZTVXMQ/edit#gid=1251630045"",""articles_with_PRISMA_reasons!B2:B2113""))"),1994.0)</f>
        <v>1994</v>
      </c>
      <c r="D1076" s="5" t="str">
        <f>IFERROR(__xludf.DUMMYFUNCTION("IFS(AND(
FILTER(IMPORTRANGE(""https://docs.google.com/spreadsheets/d/1BJSV3WBYJGRhQ6zExamkszQ5VutGIcaQqmbD9ZTVXMQ/edit#gid=1251630045"",""articles_with_PRISMA_reasons!Y2:Y2113""), $A1076=IMPORTRANGE(""https://docs.google.com/spreadsheets/d/1BJSV3WBYJGRhQ6"&amp;"zExamkszQ5VutGIcaQqmbD9ZTVXMQ/edit#gid=1251630045"",""articles_with_PRISMA_reasons!B2:B2113""))&gt;=2,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$A1076=IMPORTRANGE(""https://docs.google.com/spreadsheets/d/1BJSV3WBYJGRhQ6zExamkszQ5VutGIcaQqmbD9ZTVXMQ/edit#gid=1251630045"",""articles_with_PRISMA_reasons!B2:B2113""))&lt;2),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$A1076=IMPORTRANGE(""https://docs.google.com/spreadsheets/d/1BJSV3WBYJGRhQ6zExamkszQ5VutGIcaQqmbD9ZTVXMQ/edit#gid=1251630045"",""a"&amp;"rticles_with_PRISMA_reasons!B2:B2113""))&lt;2,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$A1076=IMPORTRANGE(""https://docs.google"&amp;".com/spreadsheets/d/1BJSV3WBYJGRhQ6zExamkszQ5VutGIcaQqmbD9ZTVXMQ/edit#gid=1251630045"",""articles_with_PRISMA_reasons!B2:B2113""))&gt;=2),
""Exclude""
)"),"Exclude")</f>
        <v>Exclude</v>
      </c>
      <c r="E1076" s="5" t="str">
        <f>IFERROR(__xludf.DUMMYFUNCTION("IFS(
D1076=""Exclude"",""Exclude"",
AND(
FILTER(IMPORTRANGE(""https://docs.google.com/spreadsheets/d/1qpEmbGH0JjaJbUdp21-y2cPbobDbMjr09BbtdKROZWc/edit#gid=1444865654"",""articles_with_PRISMA_reasons!W2:W2113""), $A1076=IMPORTRANGE(""https://docs.google.co"&amp;"m/spreadsheets/d/1qpEmbGH0JjaJbUdp21-y2cPbobDbMjr09BbtdKROZWc/edit#gid=1444865654"",""articles_with_PRISMA_reasons!B2:B2113""))&gt;=2,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$A1076=IMPORTRANGE(""https://docs.google.com/spreadsheets/d/1qpEmbGH0JjaJbUdp21-y2cPbobDbMjr09BbtdKROZWc/edit#gid=1444865654"",""articles_with_PRISMA_reasons!B2:B2113""))&lt;2),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$A1076=IMPORTRANGE(""https://docs.google.com/spreadsheets/d/1qpEmbGH0JjaJbUdp21-y2cPbobDbMjr09Bbtd"&amp;"KROZWc/edit#gid=1444865654"",""articles_with_PRISMA_reasons!B2:B2113""))&lt;2,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$A1076=I"&amp;"MPORTRANGE(""https://docs.google.com/spreadsheets/d/1qpEmbGH0JjaJbUdp21-y2cPbobDbMjr09BbtdKROZWc/edit#gid=1444865654"",""articles_with_PRISMA_reasons!B2:B2113""))&gt;=2),
""Exclude""
)"),"Exclude")</f>
        <v>Exclude</v>
      </c>
      <c r="F1076" s="5" t="str">
        <f>IFERROR(__xludf.DUMMYFUNCTION("IFS(
E1076=""Exclude"",""Exclude"",
AND(
COUNTIF(
IMPORTRANGE(""https://docs.google.com/spreadsheets/d/1kGrh75X1cNR1D7_FcY9zMnHP8iPO4M5RCRjy6nZY0TY/edit#gid=0"",""Table 1: Study characteristics!B4:B171""),A1076)&gt;0,
COUNTIF(Studies!$A$2:$A$85,FILTER(IMPORT"&amp;"RANGE(""https://docs.google.com/spreadsheets/d/1kGrh75X1cNR1D7_FcY9zMnHP8iPO4M5RCRjy6nZY0TY/edit#gid=0"",""Table 1: Study characteristics!A4:A171""), $A1076=IMPORTRANGE(""https://docs.google.com/spreadsheets/d/1kGrh75X1cNR1D7_FcY9zMnHP8iPO4M5RCRjy6nZY0TY/"&amp;"edit#gid=0"",""Table 1: Study characteristics!B4:B171"")))&gt;0
),
""Include""
)"),"Exclude")</f>
        <v>Exclude</v>
      </c>
      <c r="G1076" s="5" t="str">
        <f>IFERROR(__xludf.DUMMYFUNCTION("IFS(
D1076=""Exclude"",
FILTER(IMPORTRANGE(""https://docs.google.com/spreadsheets/d/1BJSV3WBYJGRhQ6zExamkszQ5VutGIcaQqmbD9ZTVXMQ/edit#gid=1251630045"",""articles_with_PRISMA_reasons!AB2:AB2113""), $A1076=IMPORTRANGE(""https://docs.google.com/spreadsheets/"&amp;"d/1BJSV3WBYJGRhQ6zExamkszQ5VutGIcaQqmbD9ZTVXMQ/edit#gid=1251630045"",""articles_with_PRISMA_reasons!B2:B2113"")),
E1076=""Exclude"",
FILTER(IMPORTRANGE(""https://docs.google.com/spreadsheets/d/1qpEmbGH0JjaJbUdp21-y2cPbobDbMjr09BbtdKROZWc/edit#gid=14448656"&amp;"54"",""articles_with_PRISMA_reasons!Z2:Z2113""), $A1076=IMPORTRANGE(""https://docs.google.com/spreadsheets/d/1qpEmbGH0JjaJbUdp21-y2cPbobDbMjr09BbtdKROZWc/edit#gid=1444865654"",""articles_with_PRISMA_reasons!B2:B2113"")),F1076
=""Include"",FILTER(IMPORTRAN"&amp;"GE(""https://docs.google.com/spreadsheets/d/1kGrh75X1cNR1D7_FcY9zMnHP8iPO4M5RCRjy6nZY0TY/edit#gid=0"",""Table 1: Study characteristics!A4:A171""), $A1076=IMPORTRANGE(""https://docs.google.com/spreadsheets/d/1kGrh75X1cNR1D7_FcY9zMnHP8iPO4M5RCRjy6nZY0TY/edi"&amp;"t#gid=0"",""Table 1: Study characteristics!B4:B171""))
)"),"wrong study design")</f>
        <v>wrong study design</v>
      </c>
    </row>
    <row r="1077">
      <c r="A1077" s="4" t="str">
        <f>IFERROR(__xludf.DUMMYFUNCTION("""COMPUTED_VALUE"""),"Learning disabilities in a population-based group of children with hydrocephalus")</f>
        <v>Learning disabilities in a population-based group of children with hydrocephalus</v>
      </c>
      <c r="B1077" s="5" t="str">
        <f>IFERROR(__xludf.DUMMYFUNCTION("LEFT(FILTER(IMPORTRANGE(""https://docs.google.com/spreadsheets/d/1BJSV3WBYJGRhQ6zExamkszQ5VutGIcaQqmbD9ZTVXMQ/edit#gid=1251630045"",""articles_with_PRISMA_reasons!K2:K2113""), $A1077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$A1077=IMPORTRANGE(""https://docs.google.com/spreadsheets/d/1BJSV3WBYJGRhQ6zExamkszQ5VutGIcaQqmbD9ZTVXMQ/edit#gid=1251630045"",""articles_with_PRISMA_reasons!B2:B2113"")))-1)"),"Lindquist")</f>
        <v>Lindquist</v>
      </c>
      <c r="C1077" s="6">
        <f>IFERROR(__xludf.DUMMYFUNCTION("FILTER(IMPORTRANGE(""https://docs.google.com/spreadsheets/d/1BJSV3WBYJGRhQ6zExamkszQ5VutGIcaQqmbD9ZTVXMQ/edit#gid=1251630045"",""articles_with_PRISMA_reasons!C2:C2113""), $A1077=IMPORTRANGE(""https://docs.google.com/spreadsheets/d/1BJSV3WBYJGRhQ6zExamkszQ"&amp;"5VutGIcaQqmbD9ZTVXMQ/edit#gid=1251630045"",""articles_with_PRISMA_reasons!B2:B2113""))"),2005.0)</f>
        <v>2005</v>
      </c>
      <c r="D1077" s="5" t="str">
        <f>IFERROR(__xludf.DUMMYFUNCTION("IFS(AND(
FILTER(IMPORTRANGE(""https://docs.google.com/spreadsheets/d/1BJSV3WBYJGRhQ6zExamkszQ5VutGIcaQqmbD9ZTVXMQ/edit#gid=1251630045"",""articles_with_PRISMA_reasons!Y2:Y2113""), $A1077=IMPORTRANGE(""https://docs.google.com/spreadsheets/d/1BJSV3WBYJGRhQ6"&amp;"zExamkszQ5VutGIcaQqmbD9ZTVXMQ/edit#gid=1251630045"",""articles_with_PRISMA_reasons!B2:B2113""))&gt;=2,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$A1077=IMPORTRANGE(""https://docs.google.com/spreadsheets/d/1BJSV3WBYJGRhQ6zExamkszQ5VutGIcaQqmbD9ZTVXMQ/edit#gid=1251630045"",""articles_with_PRISMA_reasons!B2:B2113""))&lt;2),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$A1077=IMPORTRANGE(""https://docs.google.com/spreadsheets/d/1BJSV3WBYJGRhQ6zExamkszQ5VutGIcaQqmbD9ZTVXMQ/edit#gid=1251630045"",""a"&amp;"rticles_with_PRISMA_reasons!B2:B2113""))&lt;2,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$A1077=IMPORTRANGE(""https://docs.google"&amp;".com/spreadsheets/d/1BJSV3WBYJGRhQ6zExamkszQ5VutGIcaQqmbD9ZTVXMQ/edit#gid=1251630045"",""articles_with_PRISMA_reasons!B2:B2113""))&gt;=2),
""Exclude""
)"),"Exclude")</f>
        <v>Exclude</v>
      </c>
      <c r="E1077" s="5" t="str">
        <f>IFERROR(__xludf.DUMMYFUNCTION("IFS(
D1077=""Exclude"",""Exclude"",
AND(
FILTER(IMPORTRANGE(""https://docs.google.com/spreadsheets/d/1qpEmbGH0JjaJbUdp21-y2cPbobDbMjr09BbtdKROZWc/edit#gid=1444865654"",""articles_with_PRISMA_reasons!W2:W2113""), $A1077=IMPORTRANGE(""https://docs.google.co"&amp;"m/spreadsheets/d/1qpEmbGH0JjaJbUdp21-y2cPbobDbMjr09BbtdKROZWc/edit#gid=1444865654"",""articles_with_PRISMA_reasons!B2:B2113""))&gt;=2,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$A1077=IMPORTRANGE(""https://docs.google.com/spreadsheets/d/1qpEmbGH0JjaJbUdp21-y2cPbobDbMjr09BbtdKROZWc/edit#gid=1444865654"",""articles_with_PRISMA_reasons!B2:B2113""))&lt;2),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$A1077=IMPORTRANGE(""https://docs.google.com/spreadsheets/d/1qpEmbGH0JjaJbUdp21-y2cPbobDbMjr09Bbtd"&amp;"KROZWc/edit#gid=1444865654"",""articles_with_PRISMA_reasons!B2:B2113""))&lt;2,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$A1077=I"&amp;"MPORTRANGE(""https://docs.google.com/spreadsheets/d/1qpEmbGH0JjaJbUdp21-y2cPbobDbMjr09BbtdKROZWc/edit#gid=1444865654"",""articles_with_PRISMA_reasons!B2:B2113""))&gt;=2),
""Exclude""
)"),"Exclude")</f>
        <v>Exclude</v>
      </c>
      <c r="F1077" s="5" t="str">
        <f>IFERROR(__xludf.DUMMYFUNCTION("IFS(
E1077=""Exclude"",""Exclude"",
AND(
COUNTIF(
IMPORTRANGE(""https://docs.google.com/spreadsheets/d/1kGrh75X1cNR1D7_FcY9zMnHP8iPO4M5RCRjy6nZY0TY/edit#gid=0"",""Table 1: Study characteristics!B4:B171""),A1077)&gt;0,
COUNTIF(Studies!$A$2:$A$85,FILTER(IMPORT"&amp;"RANGE(""https://docs.google.com/spreadsheets/d/1kGrh75X1cNR1D7_FcY9zMnHP8iPO4M5RCRjy6nZY0TY/edit#gid=0"",""Table 1: Study characteristics!A4:A171""), $A1077=IMPORTRANGE(""https://docs.google.com/spreadsheets/d/1kGrh75X1cNR1D7_FcY9zMnHP8iPO4M5RCRjy6nZY0TY/"&amp;"edit#gid=0"",""Table 1: Study characteristics!B4:B171"")))&gt;0
),
""Include""
)"),"Exclude")</f>
        <v>Exclude</v>
      </c>
      <c r="G1077" s="5" t="str">
        <f>IFERROR(__xludf.DUMMYFUNCTION("IFS(
D1077=""Exclude"",
FILTER(IMPORTRANGE(""https://docs.google.com/spreadsheets/d/1BJSV3WBYJGRhQ6zExamkszQ5VutGIcaQqmbD9ZTVXMQ/edit#gid=1251630045"",""articles_with_PRISMA_reasons!AB2:AB2113""), $A1077=IMPORTRANGE(""https://docs.google.com/spreadsheets/"&amp;"d/1BJSV3WBYJGRhQ6zExamkszQ5VutGIcaQqmbD9ZTVXMQ/edit#gid=1251630045"",""articles_with_PRISMA_reasons!B2:B2113"")),
E1077=""Exclude"",
FILTER(IMPORTRANGE(""https://docs.google.com/spreadsheets/d/1qpEmbGH0JjaJbUdp21-y2cPbobDbMjr09BbtdKROZWc/edit#gid=14448656"&amp;"54"",""articles_with_PRISMA_reasons!Z2:Z2113""), $A1077=IMPORTRANGE(""https://docs.google.com/spreadsheets/d/1qpEmbGH0JjaJbUdp21-y2cPbobDbMjr09BbtdKROZWc/edit#gid=1444865654"",""articles_with_PRISMA_reasons!B2:B2113"")),F1077
=""Include"",FILTER(IMPORTRAN"&amp;"GE(""https://docs.google.com/spreadsheets/d/1kGrh75X1cNR1D7_FcY9zMnHP8iPO4M5RCRjy6nZY0TY/edit#gid=0"",""Table 1: Study characteristics!A4:A171""), $A1077=IMPORTRANGE(""https://docs.google.com/spreadsheets/d/1kGrh75X1cNR1D7_FcY9zMnHP8iPO4M5RCRjy6nZY0TY/edi"&amp;"t#gid=0"",""Table 1: Study characteristics!B4:B171""))
)"),"wrong population")</f>
        <v>wrong population</v>
      </c>
    </row>
    <row r="1078">
      <c r="A1078" s="4" t="str">
        <f>IFERROR(__xludf.DUMMYFUNCTION("""COMPUTED_VALUE"""),"Learning, memory and executive functions in children with hydrocephalus")</f>
        <v>Learning, memory and executive functions in children with hydrocephalus</v>
      </c>
      <c r="B1078" s="5" t="str">
        <f>IFERROR(__xludf.DUMMYFUNCTION("LEFT(FILTER(IMPORTRANGE(""https://docs.google.com/spreadsheets/d/1BJSV3WBYJGRhQ6zExamkszQ5VutGIcaQqmbD9ZTVXMQ/edit#gid=1251630045"",""articles_with_PRISMA_reasons!K2:K2113""), $A1078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$A1078=IMPORTRANGE(""https://docs.google.com/spreadsheets/d/1BJSV3WBYJGRhQ6zExamkszQ5VutGIcaQqmbD9ZTVXMQ/edit#gid=1251630045"",""articles_with_PRISMA_reasons!B2:B2113"")))-1)"),"Lindquist")</f>
        <v>Lindquist</v>
      </c>
      <c r="C1078" s="6" t="str">
        <f>IFERROR(__xludf.DUMMYFUNCTION("FILTER(IMPORTRANGE(""https://docs.google.com/spreadsheets/d/1BJSV3WBYJGRhQ6zExamkszQ5VutGIcaQqmbD9ZTVXMQ/edit#gid=1251630045"",""articles_with_PRISMA_reasons!C2:C2113""), $A1078=IMPORTRANGE(""https://docs.google.com/spreadsheets/d/1BJSV3WBYJGRhQ6zExamkszQ"&amp;"5VutGIcaQqmbD9ZTVXMQ/edit#gid=1251630045"",""articles_with_PRISMA_reasons!B2:B2113""))"),"May")</f>
        <v>May</v>
      </c>
      <c r="D1078" s="5" t="str">
        <f>IFERROR(__xludf.DUMMYFUNCTION("IFS(AND(
FILTER(IMPORTRANGE(""https://docs.google.com/spreadsheets/d/1BJSV3WBYJGRhQ6zExamkszQ5VutGIcaQqmbD9ZTVXMQ/edit#gid=1251630045"",""articles_with_PRISMA_reasons!Y2:Y2113""), $A1078=IMPORTRANGE(""https://docs.google.com/spreadsheets/d/1BJSV3WBYJGRhQ6"&amp;"zExamkszQ5VutGIcaQqmbD9ZTVXMQ/edit#gid=1251630045"",""articles_with_PRISMA_reasons!B2:B2113""))&gt;=2,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$A1078=IMPORTRANGE(""https://docs.google.com/spreadsheets/d/1BJSV3WBYJGRhQ6zExamkszQ5VutGIcaQqmbD9ZTVXMQ/edit#gid=1251630045"",""articles_with_PRISMA_reasons!B2:B2113""))&lt;2),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$A1078=IMPORTRANGE(""https://docs.google.com/spreadsheets/d/1BJSV3WBYJGRhQ6zExamkszQ5VutGIcaQqmbD9ZTVXMQ/edit#gid=1251630045"",""a"&amp;"rticles_with_PRISMA_reasons!B2:B2113""))&lt;2,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$A1078=IMPORTRANGE(""https://docs.google"&amp;".com/spreadsheets/d/1BJSV3WBYJGRhQ6zExamkszQ5VutGIcaQqmbD9ZTVXMQ/edit#gid=1251630045"",""articles_with_PRISMA_reasons!B2:B2113""))&gt;=2),
""Exclude""
)"),"Exclude")</f>
        <v>Exclude</v>
      </c>
      <c r="E1078" s="5" t="str">
        <f>IFERROR(__xludf.DUMMYFUNCTION("IFS(
D1078=""Exclude"",""Exclude"",
AND(
FILTER(IMPORTRANGE(""https://docs.google.com/spreadsheets/d/1qpEmbGH0JjaJbUdp21-y2cPbobDbMjr09BbtdKROZWc/edit#gid=1444865654"",""articles_with_PRISMA_reasons!W2:W2113""), $A1078=IMPORTRANGE(""https://docs.google.co"&amp;"m/spreadsheets/d/1qpEmbGH0JjaJbUdp21-y2cPbobDbMjr09BbtdKROZWc/edit#gid=1444865654"",""articles_with_PRISMA_reasons!B2:B2113""))&gt;=2,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$A1078=IMPORTRANGE(""https://docs.google.com/spreadsheets/d/1qpEmbGH0JjaJbUdp21-y2cPbobDbMjr09BbtdKROZWc/edit#gid=1444865654"",""articles_with_PRISMA_reasons!B2:B2113""))&lt;2),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$A1078=IMPORTRANGE(""https://docs.google.com/spreadsheets/d/1qpEmbGH0JjaJbUdp21-y2cPbobDbMjr09Bbtd"&amp;"KROZWc/edit#gid=1444865654"",""articles_with_PRISMA_reasons!B2:B2113""))&lt;2,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$A1078=I"&amp;"MPORTRANGE(""https://docs.google.com/spreadsheets/d/1qpEmbGH0JjaJbUdp21-y2cPbobDbMjr09BbtdKROZWc/edit#gid=1444865654"",""articles_with_PRISMA_reasons!B2:B2113""))&gt;=2),
""Exclude""
)"),"Exclude")</f>
        <v>Exclude</v>
      </c>
      <c r="F1078" s="5" t="str">
        <f>IFERROR(__xludf.DUMMYFUNCTION("IFS(
E1078=""Exclude"",""Exclude"",
AND(
COUNTIF(
IMPORTRANGE(""https://docs.google.com/spreadsheets/d/1kGrh75X1cNR1D7_FcY9zMnHP8iPO4M5RCRjy6nZY0TY/edit#gid=0"",""Table 1: Study characteristics!B4:B171""),A1078)&gt;0,
COUNTIF(Studies!$A$2:$A$85,FILTER(IMPORT"&amp;"RANGE(""https://docs.google.com/spreadsheets/d/1kGrh75X1cNR1D7_FcY9zMnHP8iPO4M5RCRjy6nZY0TY/edit#gid=0"",""Table 1: Study characteristics!A4:A171""), $A1078=IMPORTRANGE(""https://docs.google.com/spreadsheets/d/1kGrh75X1cNR1D7_FcY9zMnHP8iPO4M5RCRjy6nZY0TY/"&amp;"edit#gid=0"",""Table 1: Study characteristics!B4:B171"")))&gt;0
),
""Include""
)"),"Exclude")</f>
        <v>Exclude</v>
      </c>
      <c r="G1078" s="5" t="str">
        <f>IFERROR(__xludf.DUMMYFUNCTION("IFS(
D1078=""Exclude"",
FILTER(IMPORTRANGE(""https://docs.google.com/spreadsheets/d/1BJSV3WBYJGRhQ6zExamkszQ5VutGIcaQqmbD9ZTVXMQ/edit#gid=1251630045"",""articles_with_PRISMA_reasons!AB2:AB2113""), $A1078=IMPORTRANGE(""https://docs.google.com/spreadsheets/"&amp;"d/1BJSV3WBYJGRhQ6zExamkszQ5VutGIcaQqmbD9ZTVXMQ/edit#gid=1251630045"",""articles_with_PRISMA_reasons!B2:B2113"")),
E1078=""Exclude"",
FILTER(IMPORTRANGE(""https://docs.google.com/spreadsheets/d/1qpEmbGH0JjaJbUdp21-y2cPbobDbMjr09BbtdKROZWc/edit#gid=14448656"&amp;"54"",""articles_with_PRISMA_reasons!Z2:Z2113""), $A1078=IMPORTRANGE(""https://docs.google.com/spreadsheets/d/1qpEmbGH0JjaJbUdp21-y2cPbobDbMjr09BbtdKROZWc/edit#gid=1444865654"",""articles_with_PRISMA_reasons!B2:B2113"")),F1078
=""Include"",FILTER(IMPORTRAN"&amp;"GE(""https://docs.google.com/spreadsheets/d/1kGrh75X1cNR1D7_FcY9zMnHP8iPO4M5RCRjy6nZY0TY/edit#gid=0"",""Table 1: Study characteristics!A4:A171""), $A1078=IMPORTRANGE(""https://docs.google.com/spreadsheets/d/1kGrh75X1cNR1D7_FcY9zMnHP8iPO4M5RCRjy6nZY0TY/edi"&amp;"t#gid=0"",""Table 1: Study characteristics!B4:B171""))
)"),"Duplicate")</f>
        <v>Duplicate</v>
      </c>
    </row>
    <row r="1079">
      <c r="A1079" s="4" t="str">
        <f>IFERROR(__xludf.DUMMYFUNCTION("""COMPUTED_VALUE"""),"Lethal Congenital Malformations in Fetuses-Antenatal Ultrasound or Perinatal Autopsy")</f>
        <v>Lethal Congenital Malformations in Fetuses-Antenatal Ultrasound or Perinatal Autopsy</v>
      </c>
      <c r="B1079" s="5" t="str">
        <f>IFERROR(__xludf.DUMMYFUNCTION("LEFT(FILTER(IMPORTRANGE(""https://docs.google.com/spreadsheets/d/1BJSV3WBYJGRhQ6zExamkszQ5VutGIcaQqmbD9ZTVXMQ/edit#gid=1251630045"",""articles_with_PRISMA_reasons!K2:K2113""), $A1079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$A1079=IMPORTRANGE(""https://docs.google.com/spreadsheets/d/1BJSV3WBYJGRhQ6zExamkszQ5VutGIcaQqmbD9ZTVXMQ/edit#gid=1251630045"",""articles_with_PRISMA_reasons!B2:B2113"")))-1)"),"Grover")</f>
        <v>Grover</v>
      </c>
      <c r="C1079" s="6">
        <f>IFERROR(__xludf.DUMMYFUNCTION("FILTER(IMPORTRANGE(""https://docs.google.com/spreadsheets/d/1BJSV3WBYJGRhQ6zExamkszQ5VutGIcaQqmbD9ZTVXMQ/edit#gid=1251630045"",""articles_with_PRISMA_reasons!C2:C2113""), $A1079=IMPORTRANGE(""https://docs.google.com/spreadsheets/d/1BJSV3WBYJGRhQ6zExamkszQ"&amp;"5VutGIcaQqmbD9ZTVXMQ/edit#gid=1251630045"",""articles_with_PRISMA_reasons!B2:B2113""))"),2017.0)</f>
        <v>2017</v>
      </c>
      <c r="D1079" s="5" t="str">
        <f>IFERROR(__xludf.DUMMYFUNCTION("IFS(AND(
FILTER(IMPORTRANGE(""https://docs.google.com/spreadsheets/d/1BJSV3WBYJGRhQ6zExamkszQ5VutGIcaQqmbD9ZTVXMQ/edit#gid=1251630045"",""articles_with_PRISMA_reasons!Y2:Y2113""), $A1079=IMPORTRANGE(""https://docs.google.com/spreadsheets/d/1BJSV3WBYJGRhQ6"&amp;"zExamkszQ5VutGIcaQqmbD9ZTVXMQ/edit#gid=1251630045"",""articles_with_PRISMA_reasons!B2:B2113""))&gt;=2,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$A1079=IMPORTRANGE(""https://docs.google.com/spreadsheets/d/1BJSV3WBYJGRhQ6zExamkszQ5VutGIcaQqmbD9ZTVXMQ/edit#gid=1251630045"",""articles_with_PRISMA_reasons!B2:B2113""))&lt;2),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$A1079=IMPORTRANGE(""https://docs.google.com/spreadsheets/d/1BJSV3WBYJGRhQ6zExamkszQ5VutGIcaQqmbD9ZTVXMQ/edit#gid=1251630045"",""a"&amp;"rticles_with_PRISMA_reasons!B2:B2113""))&lt;2,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$A1079=IMPORTRANGE(""https://docs.google"&amp;".com/spreadsheets/d/1BJSV3WBYJGRhQ6zExamkszQ5VutGIcaQqmbD9ZTVXMQ/edit#gid=1251630045"",""articles_with_PRISMA_reasons!B2:B2113""))&gt;=2),
""Exclude""
)"),"Exclude")</f>
        <v>Exclude</v>
      </c>
      <c r="E1079" s="5" t="str">
        <f>IFERROR(__xludf.DUMMYFUNCTION("IFS(
D1079=""Exclude"",""Exclude"",
AND(
FILTER(IMPORTRANGE(""https://docs.google.com/spreadsheets/d/1qpEmbGH0JjaJbUdp21-y2cPbobDbMjr09BbtdKROZWc/edit#gid=1444865654"",""articles_with_PRISMA_reasons!W2:W2113""), $A1079=IMPORTRANGE(""https://docs.google.co"&amp;"m/spreadsheets/d/1qpEmbGH0JjaJbUdp21-y2cPbobDbMjr09BbtdKROZWc/edit#gid=1444865654"",""articles_with_PRISMA_reasons!B2:B2113""))&gt;=2,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$A1079=IMPORTRANGE(""https://docs.google.com/spreadsheets/d/1qpEmbGH0JjaJbUdp21-y2cPbobDbMjr09BbtdKROZWc/edit#gid=1444865654"",""articles_with_PRISMA_reasons!B2:B2113""))&lt;2),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$A1079=IMPORTRANGE(""https://docs.google.com/spreadsheets/d/1qpEmbGH0JjaJbUdp21-y2cPbobDbMjr09Bbtd"&amp;"KROZWc/edit#gid=1444865654"",""articles_with_PRISMA_reasons!B2:B2113""))&lt;2,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$A1079=I"&amp;"MPORTRANGE(""https://docs.google.com/spreadsheets/d/1qpEmbGH0JjaJbUdp21-y2cPbobDbMjr09BbtdKROZWc/edit#gid=1444865654"",""articles_with_PRISMA_reasons!B2:B2113""))&gt;=2),
""Exclude""
)"),"Exclude")</f>
        <v>Exclude</v>
      </c>
      <c r="F1079" s="5" t="str">
        <f>IFERROR(__xludf.DUMMYFUNCTION("IFS(
E1079=""Exclude"",""Exclude"",
AND(
COUNTIF(
IMPORTRANGE(""https://docs.google.com/spreadsheets/d/1kGrh75X1cNR1D7_FcY9zMnHP8iPO4M5RCRjy6nZY0TY/edit#gid=0"",""Table 1: Study characteristics!B4:B171""),A1079)&gt;0,
COUNTIF(Studies!$A$2:$A$85,FILTER(IMPORT"&amp;"RANGE(""https://docs.google.com/spreadsheets/d/1kGrh75X1cNR1D7_FcY9zMnHP8iPO4M5RCRjy6nZY0TY/edit#gid=0"",""Table 1: Study characteristics!A4:A171""), $A1079=IMPORTRANGE(""https://docs.google.com/spreadsheets/d/1kGrh75X1cNR1D7_FcY9zMnHP8iPO4M5RCRjy6nZY0TY/"&amp;"edit#gid=0"",""Table 1: Study characteristics!B4:B171"")))&gt;0
),
""Include""
)"),"Exclude")</f>
        <v>Exclude</v>
      </c>
      <c r="G1079" s="5" t="str">
        <f>IFERROR(__xludf.DUMMYFUNCTION("IFS(
D1079=""Exclude"",
FILTER(IMPORTRANGE(""https://docs.google.com/spreadsheets/d/1BJSV3WBYJGRhQ6zExamkszQ5VutGIcaQqmbD9ZTVXMQ/edit#gid=1251630045"",""articles_with_PRISMA_reasons!AB2:AB2113""), $A1079=IMPORTRANGE(""https://docs.google.com/spreadsheets/"&amp;"d/1BJSV3WBYJGRhQ6zExamkszQ5VutGIcaQqmbD9ZTVXMQ/edit#gid=1251630045"",""articles_with_PRISMA_reasons!B2:B2113"")),
E1079=""Exclude"",
FILTER(IMPORTRANGE(""https://docs.google.com/spreadsheets/d/1qpEmbGH0JjaJbUdp21-y2cPbobDbMjr09BbtdKROZWc/edit#gid=14448656"&amp;"54"",""articles_with_PRISMA_reasons!Z2:Z2113""), $A1079=IMPORTRANGE(""https://docs.google.com/spreadsheets/d/1qpEmbGH0JjaJbUdp21-y2cPbobDbMjr09BbtdKROZWc/edit#gid=1444865654"",""articles_with_PRISMA_reasons!B2:B2113"")),F1079
=""Include"",FILTER(IMPORTRAN"&amp;"GE(""https://docs.google.com/spreadsheets/d/1kGrh75X1cNR1D7_FcY9zMnHP8iPO4M5RCRjy6nZY0TY/edit#gid=0"",""Table 1: Study characteristics!A4:A171""), $A1079=IMPORTRANGE(""https://docs.google.com/spreadsheets/d/1kGrh75X1cNR1D7_FcY9zMnHP8iPO4M5RCRjy6nZY0TY/edi"&amp;"t#gid=0"",""Table 1: Study characteristics!B4:B171""))
)"),"wrong population")</f>
        <v>wrong population</v>
      </c>
    </row>
    <row r="1080">
      <c r="A1080" s="4" t="str">
        <f>IFERROR(__xludf.DUMMYFUNCTION("""COMPUTED_VALUE"""),"Letter to the Editor Regarding: ""Functional Motor Skills in Children that Underwent Fetal Myelomeningocele Repair: Does Anatomic Level Matter?""")</f>
        <v>Letter to the Editor Regarding: "Functional Motor Skills in Children that Underwent Fetal Myelomeningocele Repair: Does Anatomic Level Matter?"</v>
      </c>
      <c r="B1080" s="5" t="str">
        <f>IFERROR(__xludf.DUMMYFUNCTION("LEFT(FILTER(IMPORTRANGE(""https://docs.google.com/spreadsheets/d/1BJSV3WBYJGRhQ6zExamkszQ5VutGIcaQqmbD9ZTVXMQ/edit#gid=1251630045"",""articles_with_PRISMA_reasons!K2:K2113""), $A1080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$A1080=IMPORTRANGE(""https://docs.google.com/spreadsheets/d/1BJSV3WBYJGRhQ6zExamkszQ5VutGIcaQqmbD9ZTVXMQ/edit#gid=1251630045"",""articles_with_PRISMA_reasons!B2:B2113"")))-1)"),"Murlimanju")</f>
        <v>Murlimanju</v>
      </c>
      <c r="C1080" s="6">
        <f>IFERROR(__xludf.DUMMYFUNCTION("FILTER(IMPORTRANGE(""https://docs.google.com/spreadsheets/d/1BJSV3WBYJGRhQ6zExamkszQ5VutGIcaQqmbD9ZTVXMQ/edit#gid=1251630045"",""articles_with_PRISMA_reasons!C2:C2113""), $A1080=IMPORTRANGE(""https://docs.google.com/spreadsheets/d/1BJSV3WBYJGRhQ6zExamkszQ"&amp;"5VutGIcaQqmbD9ZTVXMQ/edit#gid=1251630045"",""articles_with_PRISMA_reasons!B2:B2113""))"),2021.0)</f>
        <v>2021</v>
      </c>
      <c r="D1080" s="5" t="str">
        <f>IFERROR(__xludf.DUMMYFUNCTION("IFS(AND(
FILTER(IMPORTRANGE(""https://docs.google.com/spreadsheets/d/1BJSV3WBYJGRhQ6zExamkszQ5VutGIcaQqmbD9ZTVXMQ/edit#gid=1251630045"",""articles_with_PRISMA_reasons!Y2:Y2113""), $A1080=IMPORTRANGE(""https://docs.google.com/spreadsheets/d/1BJSV3WBYJGRhQ6"&amp;"zExamkszQ5VutGIcaQqmbD9ZTVXMQ/edit#gid=1251630045"",""articles_with_PRISMA_reasons!B2:B2113""))&gt;=2,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$A1080=IMPORTRANGE(""https://docs.google.com/spreadsheets/d/1BJSV3WBYJGRhQ6zExamkszQ5VutGIcaQqmbD9ZTVXMQ/edit#gid=1251630045"",""articles_with_PRISMA_reasons!B2:B2113""))&lt;2),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$A1080=IMPORTRANGE(""https://docs.google.com/spreadsheets/d/1BJSV3WBYJGRhQ6zExamkszQ5VutGIcaQqmbD9ZTVXMQ/edit#gid=1251630045"",""a"&amp;"rticles_with_PRISMA_reasons!B2:B2113""))&lt;2,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$A1080=IMPORTRANGE(""https://docs.google"&amp;".com/spreadsheets/d/1BJSV3WBYJGRhQ6zExamkszQ5VutGIcaQqmbD9ZTVXMQ/edit#gid=1251630045"",""articles_with_PRISMA_reasons!B2:B2113""))&gt;=2),
""Exclude""
)"),"Exclude")</f>
        <v>Exclude</v>
      </c>
      <c r="E1080" s="5" t="str">
        <f>IFERROR(__xludf.DUMMYFUNCTION("IFS(
D1080=""Exclude"",""Exclude"",
AND(
FILTER(IMPORTRANGE(""https://docs.google.com/spreadsheets/d/1qpEmbGH0JjaJbUdp21-y2cPbobDbMjr09BbtdKROZWc/edit#gid=1444865654"",""articles_with_PRISMA_reasons!W2:W2113""), $A1080=IMPORTRANGE(""https://docs.google.co"&amp;"m/spreadsheets/d/1qpEmbGH0JjaJbUdp21-y2cPbobDbMjr09BbtdKROZWc/edit#gid=1444865654"",""articles_with_PRISMA_reasons!B2:B2113""))&gt;=2,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$A1080=IMPORTRANGE(""https://docs.google.com/spreadsheets/d/1qpEmbGH0JjaJbUdp21-y2cPbobDbMjr09BbtdKROZWc/edit#gid=1444865654"",""articles_with_PRISMA_reasons!B2:B2113""))&lt;2),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$A1080=IMPORTRANGE(""https://docs.google.com/spreadsheets/d/1qpEmbGH0JjaJbUdp21-y2cPbobDbMjr09Bbtd"&amp;"KROZWc/edit#gid=1444865654"",""articles_with_PRISMA_reasons!B2:B2113""))&lt;2,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$A1080=I"&amp;"MPORTRANGE(""https://docs.google.com/spreadsheets/d/1qpEmbGH0JjaJbUdp21-y2cPbobDbMjr09BbtdKROZWc/edit#gid=1444865654"",""articles_with_PRISMA_reasons!B2:B2113""))&gt;=2),
""Exclude""
)"),"Exclude")</f>
        <v>Exclude</v>
      </c>
      <c r="F1080" s="5" t="str">
        <f>IFERROR(__xludf.DUMMYFUNCTION("IFS(
E1080=""Exclude"",""Exclude"",
AND(
COUNTIF(
IMPORTRANGE(""https://docs.google.com/spreadsheets/d/1kGrh75X1cNR1D7_FcY9zMnHP8iPO4M5RCRjy6nZY0TY/edit#gid=0"",""Table 1: Study characteristics!B4:B171""),A1080)&gt;0,
COUNTIF(Studies!$A$2:$A$85,FILTER(IMPORT"&amp;"RANGE(""https://docs.google.com/spreadsheets/d/1kGrh75X1cNR1D7_FcY9zMnHP8iPO4M5RCRjy6nZY0TY/edit#gid=0"",""Table 1: Study characteristics!A4:A171""), $A1080=IMPORTRANGE(""https://docs.google.com/spreadsheets/d/1kGrh75X1cNR1D7_FcY9zMnHP8iPO4M5RCRjy6nZY0TY/"&amp;"edit#gid=0"",""Table 1: Study characteristics!B4:B171"")))&gt;0
),
""Include""
)"),"Exclude")</f>
        <v>Exclude</v>
      </c>
      <c r="G1080" s="5" t="str">
        <f>IFERROR(__xludf.DUMMYFUNCTION("IFS(
D1080=""Exclude"",
FILTER(IMPORTRANGE(""https://docs.google.com/spreadsheets/d/1BJSV3WBYJGRhQ6zExamkszQ5VutGIcaQqmbD9ZTVXMQ/edit#gid=1251630045"",""articles_with_PRISMA_reasons!AB2:AB2113""), $A1080=IMPORTRANGE(""https://docs.google.com/spreadsheets/"&amp;"d/1BJSV3WBYJGRhQ6zExamkszQ5VutGIcaQqmbD9ZTVXMQ/edit#gid=1251630045"",""articles_with_PRISMA_reasons!B2:B2113"")),
E1080=""Exclude"",
FILTER(IMPORTRANGE(""https://docs.google.com/spreadsheets/d/1qpEmbGH0JjaJbUdp21-y2cPbobDbMjr09BbtdKROZWc/edit#gid=14448656"&amp;"54"",""articles_with_PRISMA_reasons!Z2:Z2113""), $A1080=IMPORTRANGE(""https://docs.google.com/spreadsheets/d/1qpEmbGH0JjaJbUdp21-y2cPbobDbMjr09BbtdKROZWc/edit#gid=1444865654"",""articles_with_PRISMA_reasons!B2:B2113"")),F1080
=""Include"",FILTER(IMPORTRAN"&amp;"GE(""https://docs.google.com/spreadsheets/d/1kGrh75X1cNR1D7_FcY9zMnHP8iPO4M5RCRjy6nZY0TY/edit#gid=0"",""Table 1: Study characteristics!A4:A171""), $A1080=IMPORTRANGE(""https://docs.google.com/spreadsheets/d/1kGrh75X1cNR1D7_FcY9zMnHP8iPO4M5RCRjy6nZY0TY/edi"&amp;"t#gid=0"",""Table 1: Study characteristics!B4:B171""))
)"),"wrong study design")</f>
        <v>wrong study design</v>
      </c>
    </row>
    <row r="1081">
      <c r="A1081" s="4" t="str">
        <f>IFERROR(__xludf.DUMMYFUNCTION("""COMPUTED_VALUE"""),"Letter: Hydrocephalus treated by compressive head wrapping")</f>
        <v>Letter: Hydrocephalus treated by compressive head wrapping</v>
      </c>
      <c r="B1081" s="5" t="str">
        <f>IFERROR(__xludf.DUMMYFUNCTION("LEFT(FILTER(IMPORTRANGE(""https://docs.google.com/spreadsheets/d/1BJSV3WBYJGRhQ6zExamkszQ5VutGIcaQqmbD9ZTVXMQ/edit#gid=1251630045"",""articles_with_PRISMA_reasons!K2:K2113""), $A1081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$A1081=IMPORTRANGE(""https://docs.google.com/spreadsheets/d/1BJSV3WBYJGRhQ6zExamkszQ5VutGIcaQqmbD9ZTVXMQ/edit#gid=1251630045"",""articles_with_PRISMA_reasons!B2:B2113"")))-1)"),"Boltshauser")</f>
        <v>Boltshauser</v>
      </c>
      <c r="C1081" s="6">
        <f>IFERROR(__xludf.DUMMYFUNCTION("FILTER(IMPORTRANGE(""https://docs.google.com/spreadsheets/d/1BJSV3WBYJGRhQ6zExamkszQ5VutGIcaQqmbD9ZTVXMQ/edit#gid=1251630045"",""articles_with_PRISMA_reasons!C2:C2113""), $A1081=IMPORTRANGE(""https://docs.google.com/spreadsheets/d/1BJSV3WBYJGRhQ6zExamkszQ"&amp;"5VutGIcaQqmbD9ZTVXMQ/edit#gid=1251630045"",""articles_with_PRISMA_reasons!B2:B2113""))"),1976.0)</f>
        <v>1976</v>
      </c>
      <c r="D1081" s="5" t="str">
        <f>IFERROR(__xludf.DUMMYFUNCTION("IFS(AND(
FILTER(IMPORTRANGE(""https://docs.google.com/spreadsheets/d/1BJSV3WBYJGRhQ6zExamkszQ5VutGIcaQqmbD9ZTVXMQ/edit#gid=1251630045"",""articles_with_PRISMA_reasons!Y2:Y2113""), $A1081=IMPORTRANGE(""https://docs.google.com/spreadsheets/d/1BJSV3WBYJGRhQ6"&amp;"zExamkszQ5VutGIcaQqmbD9ZTVXMQ/edit#gid=1251630045"",""articles_with_PRISMA_reasons!B2:B2113""))&gt;=2,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$A1081=IMPORTRANGE(""https://docs.google.com/spreadsheets/d/1BJSV3WBYJGRhQ6zExamkszQ5VutGIcaQqmbD9ZTVXMQ/edit#gid=1251630045"",""articles_with_PRISMA_reasons!B2:B2113""))&lt;2),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$A1081=IMPORTRANGE(""https://docs.google.com/spreadsheets/d/1BJSV3WBYJGRhQ6zExamkszQ5VutGIcaQqmbD9ZTVXMQ/edit#gid=1251630045"",""a"&amp;"rticles_with_PRISMA_reasons!B2:B2113""))&lt;2,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$A1081=IMPORTRANGE(""https://docs.google"&amp;".com/spreadsheets/d/1BJSV3WBYJGRhQ6zExamkszQ5VutGIcaQqmbD9ZTVXMQ/edit#gid=1251630045"",""articles_with_PRISMA_reasons!B2:B2113""))&gt;=2),
""Exclude""
)"),"Exclude")</f>
        <v>Exclude</v>
      </c>
      <c r="E1081" s="5" t="str">
        <f>IFERROR(__xludf.DUMMYFUNCTION("IFS(
D1081=""Exclude"",""Exclude"",
AND(
FILTER(IMPORTRANGE(""https://docs.google.com/spreadsheets/d/1qpEmbGH0JjaJbUdp21-y2cPbobDbMjr09BbtdKROZWc/edit#gid=1444865654"",""articles_with_PRISMA_reasons!W2:W2113""), $A1081=IMPORTRANGE(""https://docs.google.co"&amp;"m/spreadsheets/d/1qpEmbGH0JjaJbUdp21-y2cPbobDbMjr09BbtdKROZWc/edit#gid=1444865654"",""articles_with_PRISMA_reasons!B2:B2113""))&gt;=2,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$A1081=IMPORTRANGE(""https://docs.google.com/spreadsheets/d/1qpEmbGH0JjaJbUdp21-y2cPbobDbMjr09BbtdKROZWc/edit#gid=1444865654"",""articles_with_PRISMA_reasons!B2:B2113""))&lt;2),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$A1081=IMPORTRANGE(""https://docs.google.com/spreadsheets/d/1qpEmbGH0JjaJbUdp21-y2cPbobDbMjr09Bbtd"&amp;"KROZWc/edit#gid=1444865654"",""articles_with_PRISMA_reasons!B2:B2113""))&lt;2,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$A1081=I"&amp;"MPORTRANGE(""https://docs.google.com/spreadsheets/d/1qpEmbGH0JjaJbUdp21-y2cPbobDbMjr09BbtdKROZWc/edit#gid=1444865654"",""articles_with_PRISMA_reasons!B2:B2113""))&gt;=2),
""Exclude""
)"),"Exclude")</f>
        <v>Exclude</v>
      </c>
      <c r="F1081" s="5" t="str">
        <f>IFERROR(__xludf.DUMMYFUNCTION("IFS(
E1081=""Exclude"",""Exclude"",
AND(
COUNTIF(
IMPORTRANGE(""https://docs.google.com/spreadsheets/d/1kGrh75X1cNR1D7_FcY9zMnHP8iPO4M5RCRjy6nZY0TY/edit#gid=0"",""Table 1: Study characteristics!B4:B171""),A1081)&gt;0,
COUNTIF(Studies!$A$2:$A$85,FILTER(IMPORT"&amp;"RANGE(""https://docs.google.com/spreadsheets/d/1kGrh75X1cNR1D7_FcY9zMnHP8iPO4M5RCRjy6nZY0TY/edit#gid=0"",""Table 1: Study characteristics!A4:A171""), $A1081=IMPORTRANGE(""https://docs.google.com/spreadsheets/d/1kGrh75X1cNR1D7_FcY9zMnHP8iPO4M5RCRjy6nZY0TY/"&amp;"edit#gid=0"",""Table 1: Study characteristics!B4:B171"")))&gt;0
),
""Include""
)"),"Exclude")</f>
        <v>Exclude</v>
      </c>
      <c r="G1081" s="5" t="str">
        <f>IFERROR(__xludf.DUMMYFUNCTION("IFS(
D1081=""Exclude"",
FILTER(IMPORTRANGE(""https://docs.google.com/spreadsheets/d/1BJSV3WBYJGRhQ6zExamkszQ5VutGIcaQqmbD9ZTVXMQ/edit#gid=1251630045"",""articles_with_PRISMA_reasons!AB2:AB2113""), $A1081=IMPORTRANGE(""https://docs.google.com/spreadsheets/"&amp;"d/1BJSV3WBYJGRhQ6zExamkszQ5VutGIcaQqmbD9ZTVXMQ/edit#gid=1251630045"",""articles_with_PRISMA_reasons!B2:B2113"")),
E1081=""Exclude"",
FILTER(IMPORTRANGE(""https://docs.google.com/spreadsheets/d/1qpEmbGH0JjaJbUdp21-y2cPbobDbMjr09BbtdKROZWc/edit#gid=14448656"&amp;"54"",""articles_with_PRISMA_reasons!Z2:Z2113""), $A1081=IMPORTRANGE(""https://docs.google.com/spreadsheets/d/1qpEmbGH0JjaJbUdp21-y2cPbobDbMjr09BbtdKROZWc/edit#gid=1444865654"",""articles_with_PRISMA_reasons!B2:B2113"")),F1081
=""Include"",FILTER(IMPORTRAN"&amp;"GE(""https://docs.google.com/spreadsheets/d/1kGrh75X1cNR1D7_FcY9zMnHP8iPO4M5RCRjy6nZY0TY/edit#gid=0"",""Table 1: Study characteristics!A4:A171""), $A1081=IMPORTRANGE(""https://docs.google.com/spreadsheets/d/1kGrh75X1cNR1D7_FcY9zMnHP8iPO4M5RCRjy6nZY0TY/edi"&amp;"t#gid=0"",""Table 1: Study characteristics!B4:B171""))
)"),"wrong study design")</f>
        <v>wrong study design</v>
      </c>
    </row>
    <row r="1082">
      <c r="A1082" s="4" t="str">
        <f>IFERROR(__xludf.DUMMYFUNCTION("""COMPUTED_VALUE"""),"Life conditions of adolescents with myelomeningocele")</f>
        <v>Life conditions of adolescents with myelomeningocele</v>
      </c>
      <c r="B1082" s="5" t="str">
        <f>IFERROR(__xludf.DUMMYFUNCTION("LEFT(FILTER(IMPORTRANGE(""https://docs.google.com/spreadsheets/d/1BJSV3WBYJGRhQ6zExamkszQ5VutGIcaQqmbD9ZTVXMQ/edit#gid=1251630045"",""articles_with_PRISMA_reasons!K2:K2113""), $A1082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$A1082=IMPORTRANGE(""https://docs.google.com/spreadsheets/d/1BJSV3WBYJGRhQ6zExamkszQ5VutGIcaQqmbD9ZTVXMQ/edit#gid=1251630045"",""articles_with_PRISMA_reasons!B2:B2113"")))-1)"),"Borjeson")</f>
        <v>Borjeson</v>
      </c>
      <c r="C1082" s="6">
        <f>IFERROR(__xludf.DUMMYFUNCTION("FILTER(IMPORTRANGE(""https://docs.google.com/spreadsheets/d/1BJSV3WBYJGRhQ6zExamkszQ5VutGIcaQqmbD9ZTVXMQ/edit#gid=1251630045"",""articles_with_PRISMA_reasons!C2:C2113""), $A1082=IMPORTRANGE(""https://docs.google.com/spreadsheets/d/1BJSV3WBYJGRhQ6zExamkszQ"&amp;"5VutGIcaQqmbD9ZTVXMQ/edit#gid=1251630045"",""articles_with_PRISMA_reasons!B2:B2113""))"),1990.0)</f>
        <v>1990</v>
      </c>
      <c r="D1082" s="5" t="str">
        <f>IFERROR(__xludf.DUMMYFUNCTION("IFS(AND(
FILTER(IMPORTRANGE(""https://docs.google.com/spreadsheets/d/1BJSV3WBYJGRhQ6zExamkszQ5VutGIcaQqmbD9ZTVXMQ/edit#gid=1251630045"",""articles_with_PRISMA_reasons!Y2:Y2113""), $A1082=IMPORTRANGE(""https://docs.google.com/spreadsheets/d/1BJSV3WBYJGRhQ6"&amp;"zExamkszQ5VutGIcaQqmbD9ZTVXMQ/edit#gid=1251630045"",""articles_with_PRISMA_reasons!B2:B2113""))&gt;=2,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$A1082=IMPORTRANGE(""https://docs.google.com/spreadsheets/d/1BJSV3WBYJGRhQ6zExamkszQ5VutGIcaQqmbD9ZTVXMQ/edit#gid=1251630045"",""articles_with_PRISMA_reasons!B2:B2113""))&lt;2),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$A1082=IMPORTRANGE(""https://docs.google.com/spreadsheets/d/1BJSV3WBYJGRhQ6zExamkszQ5VutGIcaQqmbD9ZTVXMQ/edit#gid=1251630045"",""a"&amp;"rticles_with_PRISMA_reasons!B2:B2113""))&lt;2,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$A1082=IMPORTRANGE(""https://docs.google"&amp;".com/spreadsheets/d/1BJSV3WBYJGRhQ6zExamkszQ5VutGIcaQqmbD9ZTVXMQ/edit#gid=1251630045"",""articles_with_PRISMA_reasons!B2:B2113""))&gt;=2),
""Exclude""
)"),"Exclude")</f>
        <v>Exclude</v>
      </c>
      <c r="E1082" s="5" t="str">
        <f>IFERROR(__xludf.DUMMYFUNCTION("IFS(
D1082=""Exclude"",""Exclude"",
AND(
FILTER(IMPORTRANGE(""https://docs.google.com/spreadsheets/d/1qpEmbGH0JjaJbUdp21-y2cPbobDbMjr09BbtdKROZWc/edit#gid=1444865654"",""articles_with_PRISMA_reasons!W2:W2113""), $A1082=IMPORTRANGE(""https://docs.google.co"&amp;"m/spreadsheets/d/1qpEmbGH0JjaJbUdp21-y2cPbobDbMjr09BbtdKROZWc/edit#gid=1444865654"",""articles_with_PRISMA_reasons!B2:B2113""))&gt;=2,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$A1082=IMPORTRANGE(""https://docs.google.com/spreadsheets/d/1qpEmbGH0JjaJbUdp21-y2cPbobDbMjr09BbtdKROZWc/edit#gid=1444865654"",""articles_with_PRISMA_reasons!B2:B2113""))&lt;2),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$A1082=IMPORTRANGE(""https://docs.google.com/spreadsheets/d/1qpEmbGH0JjaJbUdp21-y2cPbobDbMjr09Bbtd"&amp;"KROZWc/edit#gid=1444865654"",""articles_with_PRISMA_reasons!B2:B2113""))&lt;2,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$A1082=I"&amp;"MPORTRANGE(""https://docs.google.com/spreadsheets/d/1qpEmbGH0JjaJbUdp21-y2cPbobDbMjr09BbtdKROZWc/edit#gid=1444865654"",""articles_with_PRISMA_reasons!B2:B2113""))&gt;=2),
""Exclude""
)"),"Exclude")</f>
        <v>Exclude</v>
      </c>
      <c r="F1082" s="5" t="str">
        <f>IFERROR(__xludf.DUMMYFUNCTION("IFS(
E1082=""Exclude"",""Exclude"",
AND(
COUNTIF(
IMPORTRANGE(""https://docs.google.com/spreadsheets/d/1kGrh75X1cNR1D7_FcY9zMnHP8iPO4M5RCRjy6nZY0TY/edit#gid=0"",""Table 1: Study characteristics!B4:B171""),A1082)&gt;0,
COUNTIF(Studies!$A$2:$A$85,FILTER(IMPORT"&amp;"RANGE(""https://docs.google.com/spreadsheets/d/1kGrh75X1cNR1D7_FcY9zMnHP8iPO4M5RCRjy6nZY0TY/edit#gid=0"",""Table 1: Study characteristics!A4:A171""), $A1082=IMPORTRANGE(""https://docs.google.com/spreadsheets/d/1kGrh75X1cNR1D7_FcY9zMnHP8iPO4M5RCRjy6nZY0TY/"&amp;"edit#gid=0"",""Table 1: Study characteristics!B4:B171"")))&gt;0
),
""Include""
)"),"Exclude")</f>
        <v>Exclude</v>
      </c>
      <c r="G1082" s="5" t="str">
        <f>IFERROR(__xludf.DUMMYFUNCTION("IFS(
D1082=""Exclude"",
FILTER(IMPORTRANGE(""https://docs.google.com/spreadsheets/d/1BJSV3WBYJGRhQ6zExamkszQ5VutGIcaQqmbD9ZTVXMQ/edit#gid=1251630045"",""articles_with_PRISMA_reasons!AB2:AB2113""), $A1082=IMPORTRANGE(""https://docs.google.com/spreadsheets/"&amp;"d/1BJSV3WBYJGRhQ6zExamkszQ5VutGIcaQqmbD9ZTVXMQ/edit#gid=1251630045"",""articles_with_PRISMA_reasons!B2:B2113"")),
E1082=""Exclude"",
FILTER(IMPORTRANGE(""https://docs.google.com/spreadsheets/d/1qpEmbGH0JjaJbUdp21-y2cPbobDbMjr09BbtdKROZWc/edit#gid=14448656"&amp;"54"",""articles_with_PRISMA_reasons!Z2:Z2113""), $A1082=IMPORTRANGE(""https://docs.google.com/spreadsheets/d/1qpEmbGH0JjaJbUdp21-y2cPbobDbMjr09BbtdKROZWc/edit#gid=1444865654"",""articles_with_PRISMA_reasons!B2:B2113"")),F1082
=""Include"",FILTER(IMPORTRAN"&amp;"GE(""https://docs.google.com/spreadsheets/d/1kGrh75X1cNR1D7_FcY9zMnHP8iPO4M5RCRjy6nZY0TY/edit#gid=0"",""Table 1: Study characteristics!A4:A171""), $A1082=IMPORTRANGE(""https://docs.google.com/spreadsheets/d/1kGrh75X1cNR1D7_FcY9zMnHP8iPO4M5RCRjy6nZY0TY/edi"&amp;"t#gid=0"",""Table 1: Study characteristics!B4:B171""))
)"),"wrong population")</f>
        <v>wrong population</v>
      </c>
    </row>
    <row r="1083">
      <c r="A1083" s="4" t="str">
        <f>IFERROR(__xludf.DUMMYFUNCTION("""COMPUTED_VALUE"""),"Life expectancy of ventriculosubgaleal shunt revisions")</f>
        <v>Life expectancy of ventriculosubgaleal shunt revisions</v>
      </c>
      <c r="B1083" s="5" t="str">
        <f>IFERROR(__xludf.DUMMYFUNCTION("LEFT(FILTER(IMPORTRANGE(""https://docs.google.com/spreadsheets/d/1BJSV3WBYJGRhQ6zExamkszQ5VutGIcaQqmbD9ZTVXMQ/edit#gid=1251630045"",""articles_with_PRISMA_reasons!K2:K2113""), $A1083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$A1083=IMPORTRANGE(""https://docs.google.com/spreadsheets/d/1BJSV3WBYJGRhQ6zExamkszQ5VutGIcaQqmbD9ZTVXMQ/edit#gid=1251630045"",""articles_with_PRISMA_reasons!B2:B2113"")))-1)"),"Smyth")</f>
        <v>Smyth</v>
      </c>
      <c r="C1083" s="6">
        <f>IFERROR(__xludf.DUMMYFUNCTION("FILTER(IMPORTRANGE(""https://docs.google.com/spreadsheets/d/1BJSV3WBYJGRhQ6zExamkszQ5VutGIcaQqmbD9ZTVXMQ/edit#gid=1251630045"",""articles_with_PRISMA_reasons!C2:C2113""), $A1083=IMPORTRANGE(""https://docs.google.com/spreadsheets/d/1BJSV3WBYJGRhQ6zExamkszQ"&amp;"5VutGIcaQqmbD9ZTVXMQ/edit#gid=1251630045"",""articles_with_PRISMA_reasons!B2:B2113""))"),2003.0)</f>
        <v>2003</v>
      </c>
      <c r="D1083" s="5" t="str">
        <f>IFERROR(__xludf.DUMMYFUNCTION("IFS(AND(
FILTER(IMPORTRANGE(""https://docs.google.com/spreadsheets/d/1BJSV3WBYJGRhQ6zExamkszQ5VutGIcaQqmbD9ZTVXMQ/edit#gid=1251630045"",""articles_with_PRISMA_reasons!Y2:Y2113""), $A1083=IMPORTRANGE(""https://docs.google.com/spreadsheets/d/1BJSV3WBYJGRhQ6"&amp;"zExamkszQ5VutGIcaQqmbD9ZTVXMQ/edit#gid=1251630045"",""articles_with_PRISMA_reasons!B2:B2113""))&gt;=2,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$A1083=IMPORTRANGE(""https://docs.google.com/spreadsheets/d/1BJSV3WBYJGRhQ6zExamkszQ5VutGIcaQqmbD9ZTVXMQ/edit#gid=1251630045"",""articles_with_PRISMA_reasons!B2:B2113""))&lt;2),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$A1083=IMPORTRANGE(""https://docs.google.com/spreadsheets/d/1BJSV3WBYJGRhQ6zExamkszQ5VutGIcaQqmbD9ZTVXMQ/edit#gid=1251630045"",""a"&amp;"rticles_with_PRISMA_reasons!B2:B2113""))&lt;2,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$A1083=IMPORTRANGE(""https://docs.google"&amp;".com/spreadsheets/d/1BJSV3WBYJGRhQ6zExamkszQ5VutGIcaQqmbD9ZTVXMQ/edit#gid=1251630045"",""articles_with_PRISMA_reasons!B2:B2113""))&gt;=2),
""Exclude""
)"),"Exclude")</f>
        <v>Exclude</v>
      </c>
      <c r="E1083" s="5" t="str">
        <f>IFERROR(__xludf.DUMMYFUNCTION("IFS(
D1083=""Exclude"",""Exclude"",
AND(
FILTER(IMPORTRANGE(""https://docs.google.com/spreadsheets/d/1qpEmbGH0JjaJbUdp21-y2cPbobDbMjr09BbtdKROZWc/edit#gid=1444865654"",""articles_with_PRISMA_reasons!W2:W2113""), $A1083=IMPORTRANGE(""https://docs.google.co"&amp;"m/spreadsheets/d/1qpEmbGH0JjaJbUdp21-y2cPbobDbMjr09BbtdKROZWc/edit#gid=1444865654"",""articles_with_PRISMA_reasons!B2:B2113""))&gt;=2,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$A1083=IMPORTRANGE(""https://docs.google.com/spreadsheets/d/1qpEmbGH0JjaJbUdp21-y2cPbobDbMjr09BbtdKROZWc/edit#gid=1444865654"",""articles_with_PRISMA_reasons!B2:B2113""))&lt;2),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$A1083=IMPORTRANGE(""https://docs.google.com/spreadsheets/d/1qpEmbGH0JjaJbUdp21-y2cPbobDbMjr09Bbtd"&amp;"KROZWc/edit#gid=1444865654"",""articles_with_PRISMA_reasons!B2:B2113""))&lt;2,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$A1083=I"&amp;"MPORTRANGE(""https://docs.google.com/spreadsheets/d/1qpEmbGH0JjaJbUdp21-y2cPbobDbMjr09BbtdKROZWc/edit#gid=1444865654"",""articles_with_PRISMA_reasons!B2:B2113""))&gt;=2),
""Exclude""
)"),"Exclude")</f>
        <v>Exclude</v>
      </c>
      <c r="F1083" s="5" t="str">
        <f>IFERROR(__xludf.DUMMYFUNCTION("IFS(
E1083=""Exclude"",""Exclude"",
AND(
COUNTIF(
IMPORTRANGE(""https://docs.google.com/spreadsheets/d/1kGrh75X1cNR1D7_FcY9zMnHP8iPO4M5RCRjy6nZY0TY/edit#gid=0"",""Table 1: Study characteristics!B4:B171""),A1083)&gt;0,
COUNTIF(Studies!$A$2:$A$85,FILTER(IMPORT"&amp;"RANGE(""https://docs.google.com/spreadsheets/d/1kGrh75X1cNR1D7_FcY9zMnHP8iPO4M5RCRjy6nZY0TY/edit#gid=0"",""Table 1: Study characteristics!A4:A171""), $A1083=IMPORTRANGE(""https://docs.google.com/spreadsheets/d/1kGrh75X1cNR1D7_FcY9zMnHP8iPO4M5RCRjy6nZY0TY/"&amp;"edit#gid=0"",""Table 1: Study characteristics!B4:B171"")))&gt;0
),
""Include""
)"),"Exclude")</f>
        <v>Exclude</v>
      </c>
      <c r="G1083" s="5" t="str">
        <f>IFERROR(__xludf.DUMMYFUNCTION("IFS(
D1083=""Exclude"",
FILTER(IMPORTRANGE(""https://docs.google.com/spreadsheets/d/1BJSV3WBYJGRhQ6zExamkszQ5VutGIcaQqmbD9ZTVXMQ/edit#gid=1251630045"",""articles_with_PRISMA_reasons!AB2:AB2113""), $A1083=IMPORTRANGE(""https://docs.google.com/spreadsheets/"&amp;"d/1BJSV3WBYJGRhQ6zExamkszQ5VutGIcaQqmbD9ZTVXMQ/edit#gid=1251630045"",""articles_with_PRISMA_reasons!B2:B2113"")),
E1083=""Exclude"",
FILTER(IMPORTRANGE(""https://docs.google.com/spreadsheets/d/1qpEmbGH0JjaJbUdp21-y2cPbobDbMjr09BbtdKROZWc/edit#gid=14448656"&amp;"54"",""articles_with_PRISMA_reasons!Z2:Z2113""), $A1083=IMPORTRANGE(""https://docs.google.com/spreadsheets/d/1qpEmbGH0JjaJbUdp21-y2cPbobDbMjr09BbtdKROZWc/edit#gid=1444865654"",""articles_with_PRISMA_reasons!B2:B2113"")),F1083
=""Include"",FILTER(IMPORTRAN"&amp;"GE(""https://docs.google.com/spreadsheets/d/1kGrh75X1cNR1D7_FcY9zMnHP8iPO4M5RCRjy6nZY0TY/edit#gid=0"",""Table 1: Study characteristics!A4:A171""), $A1083=IMPORTRANGE(""https://docs.google.com/spreadsheets/d/1kGrh75X1cNR1D7_FcY9zMnHP8iPO4M5RCRjy6nZY0TY/edi"&amp;"t#gid=0"",""Table 1: Study characteristics!B4:B171""))
)"),"wrong population")</f>
        <v>wrong population</v>
      </c>
    </row>
    <row r="1084">
      <c r="A1084" s="4" t="str">
        <f>IFERROR(__xludf.DUMMYFUNCTION("""COMPUTED_VALUE"""),"Lifestyle, participation, and health-related quality of life in adolescents and young adults with myelomeningocele")</f>
        <v>Lifestyle, participation, and health-related quality of life in adolescents and young adults with myelomeningocele</v>
      </c>
      <c r="B1084" s="5" t="str">
        <f>IFERROR(__xludf.DUMMYFUNCTION("LEFT(FILTER(IMPORTRANGE(""https://docs.google.com/spreadsheets/d/1BJSV3WBYJGRhQ6zExamkszQ5VutGIcaQqmbD9ZTVXMQ/edit#gid=1251630045"",""articles_with_PRISMA_reasons!K2:K2113""), $A1084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$A1084=IMPORTRANGE(""https://docs.google.com/spreadsheets/d/1BJSV3WBYJGRhQ6zExamkszQ5VutGIcaQqmbD9ZTVXMQ/edit#gid=1251630045"",""articles_with_PRISMA_reasons!B2:B2113"")))-1)"),"Buffart")</f>
        <v>Buffart</v>
      </c>
      <c r="C1084" s="6" t="str">
        <f>IFERROR(__xludf.DUMMYFUNCTION("FILTER(IMPORTRANGE(""https://docs.google.com/spreadsheets/d/1BJSV3WBYJGRhQ6zExamkszQ5VutGIcaQqmbD9ZTVXMQ/edit#gid=1251630045"",""articles_with_PRISMA_reasons!C2:C2113""), $A1084=IMPORTRANGE(""https://docs.google.com/spreadsheets/d/1BJSV3WBYJGRhQ6zExamkszQ"&amp;"5VutGIcaQqmbD9ZTVXMQ/edit#gid=1251630045"",""articles_with_PRISMA_reasons!B2:B2113""))"),"Nov")</f>
        <v>Nov</v>
      </c>
      <c r="D1084" s="5" t="str">
        <f>IFERROR(__xludf.DUMMYFUNCTION("IFS(AND(
FILTER(IMPORTRANGE(""https://docs.google.com/spreadsheets/d/1BJSV3WBYJGRhQ6zExamkszQ5VutGIcaQqmbD9ZTVXMQ/edit#gid=1251630045"",""articles_with_PRISMA_reasons!Y2:Y2113""), $A1084=IMPORTRANGE(""https://docs.google.com/spreadsheets/d/1BJSV3WBYJGRhQ6"&amp;"zExamkszQ5VutGIcaQqmbD9ZTVXMQ/edit#gid=1251630045"",""articles_with_PRISMA_reasons!B2:B2113""))&gt;=2,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$A1084=IMPORTRANGE(""https://docs.google.com/spreadsheets/d/1BJSV3WBYJGRhQ6zExamkszQ5VutGIcaQqmbD9ZTVXMQ/edit#gid=1251630045"",""articles_with_PRISMA_reasons!B2:B2113""))&lt;2),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$A1084=IMPORTRANGE(""https://docs.google.com/spreadsheets/d/1BJSV3WBYJGRhQ6zExamkszQ5VutGIcaQqmbD9ZTVXMQ/edit#gid=1251630045"",""a"&amp;"rticles_with_PRISMA_reasons!B2:B2113""))&lt;2,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$A1084=IMPORTRANGE(""https://docs.google"&amp;".com/spreadsheets/d/1BJSV3WBYJGRhQ6zExamkszQ5VutGIcaQqmbD9ZTVXMQ/edit#gid=1251630045"",""articles_with_PRISMA_reasons!B2:B2113""))&gt;=2),
""Exclude""
)"),"Exclude")</f>
        <v>Exclude</v>
      </c>
      <c r="E1084" s="5" t="str">
        <f>IFERROR(__xludf.DUMMYFUNCTION("IFS(
D1084=""Exclude"",""Exclude"",
AND(
FILTER(IMPORTRANGE(""https://docs.google.com/spreadsheets/d/1qpEmbGH0JjaJbUdp21-y2cPbobDbMjr09BbtdKROZWc/edit#gid=1444865654"",""articles_with_PRISMA_reasons!W2:W2113""), $A1084=IMPORTRANGE(""https://docs.google.co"&amp;"m/spreadsheets/d/1qpEmbGH0JjaJbUdp21-y2cPbobDbMjr09BbtdKROZWc/edit#gid=1444865654"",""articles_with_PRISMA_reasons!B2:B2113""))&gt;=2,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$A1084=IMPORTRANGE(""https://docs.google.com/spreadsheets/d/1qpEmbGH0JjaJbUdp21-y2cPbobDbMjr09BbtdKROZWc/edit#gid=1444865654"",""articles_with_PRISMA_reasons!B2:B2113""))&lt;2),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$A1084=IMPORTRANGE(""https://docs.google.com/spreadsheets/d/1qpEmbGH0JjaJbUdp21-y2cPbobDbMjr09Bbtd"&amp;"KROZWc/edit#gid=1444865654"",""articles_with_PRISMA_reasons!B2:B2113""))&lt;2,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$A1084=I"&amp;"MPORTRANGE(""https://docs.google.com/spreadsheets/d/1qpEmbGH0JjaJbUdp21-y2cPbobDbMjr09BbtdKROZWc/edit#gid=1444865654"",""articles_with_PRISMA_reasons!B2:B2113""))&gt;=2),
""Exclude""
)"),"Exclude")</f>
        <v>Exclude</v>
      </c>
      <c r="F1084" s="5" t="str">
        <f>IFERROR(__xludf.DUMMYFUNCTION("IFS(
E1084=""Exclude"",""Exclude"",
AND(
COUNTIF(
IMPORTRANGE(""https://docs.google.com/spreadsheets/d/1kGrh75X1cNR1D7_FcY9zMnHP8iPO4M5RCRjy6nZY0TY/edit#gid=0"",""Table 1: Study characteristics!B4:B171""),A1084)&gt;0,
COUNTIF(Studies!$A$2:$A$85,FILTER(IMPORT"&amp;"RANGE(""https://docs.google.com/spreadsheets/d/1kGrh75X1cNR1D7_FcY9zMnHP8iPO4M5RCRjy6nZY0TY/edit#gid=0"",""Table 1: Study characteristics!A4:A171""), $A1084=IMPORTRANGE(""https://docs.google.com/spreadsheets/d/1kGrh75X1cNR1D7_FcY9zMnHP8iPO4M5RCRjy6nZY0TY/"&amp;"edit#gid=0"",""Table 1: Study characteristics!B4:B171"")))&gt;0
),
""Include""
)"),"Exclude")</f>
        <v>Exclude</v>
      </c>
      <c r="G1084" s="5" t="str">
        <f>IFERROR(__xludf.DUMMYFUNCTION("IFS(
D1084=""Exclude"",
FILTER(IMPORTRANGE(""https://docs.google.com/spreadsheets/d/1BJSV3WBYJGRhQ6zExamkszQ5VutGIcaQqmbD9ZTVXMQ/edit#gid=1251630045"",""articles_with_PRISMA_reasons!AB2:AB2113""), $A1084=IMPORTRANGE(""https://docs.google.com/spreadsheets/"&amp;"d/1BJSV3WBYJGRhQ6zExamkszQ5VutGIcaQqmbD9ZTVXMQ/edit#gid=1251630045"",""articles_with_PRISMA_reasons!B2:B2113"")),
E1084=""Exclude"",
FILTER(IMPORTRANGE(""https://docs.google.com/spreadsheets/d/1qpEmbGH0JjaJbUdp21-y2cPbobDbMjr09BbtdKROZWc/edit#gid=14448656"&amp;"54"",""articles_with_PRISMA_reasons!Z2:Z2113""), $A1084=IMPORTRANGE(""https://docs.google.com/spreadsheets/d/1qpEmbGH0JjaJbUdp21-y2cPbobDbMjr09BbtdKROZWc/edit#gid=1444865654"",""articles_with_PRISMA_reasons!B2:B2113"")),F1084
=""Include"",FILTER(IMPORTRAN"&amp;"GE(""https://docs.google.com/spreadsheets/d/1kGrh75X1cNR1D7_FcY9zMnHP8iPO4M5RCRjy6nZY0TY/edit#gid=0"",""Table 1: Study characteristics!A4:A171""), $A1084=IMPORTRANGE(""https://docs.google.com/spreadsheets/d/1kGrh75X1cNR1D7_FcY9zMnHP8iPO4M5RCRjy6nZY0TY/edi"&amp;"t#gid=0"",""Table 1: Study characteristics!B4:B171""))
)"),"Duplicate")</f>
        <v>Duplicate</v>
      </c>
    </row>
    <row r="1085">
      <c r="A1085" s="4" t="str">
        <f>IFERROR(__xludf.DUMMYFUNCTION("""COMPUTED_VALUE"""),"Limitations of neuroendoscopic treatment for pediatric hydrocephalus and considerations from future perspectives")</f>
        <v>Limitations of neuroendoscopic treatment for pediatric hydrocephalus and considerations from future perspectives</v>
      </c>
      <c r="B1085" s="5" t="str">
        <f>IFERROR(__xludf.DUMMYFUNCTION("LEFT(FILTER(IMPORTRANGE(""https://docs.google.com/spreadsheets/d/1BJSV3WBYJGRhQ6zExamkszQ5VutGIcaQqmbD9ZTVXMQ/edit#gid=1251630045"",""articles_with_PRISMA_reasons!K2:K2113""), $A1085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$A1085=IMPORTRANGE(""https://docs.google.com/spreadsheets/d/1BJSV3WBYJGRhQ6zExamkszQ5VutGIcaQqmbD9ZTVXMQ/edit#gid=1251630045"",""articles_with_PRISMA_reasons!B2:B2113"")))-1)"),"Nishiyama")</f>
        <v>Nishiyama</v>
      </c>
      <c r="C1085" s="6">
        <f>IFERROR(__xludf.DUMMYFUNCTION("FILTER(IMPORTRANGE(""https://docs.google.com/spreadsheets/d/1BJSV3WBYJGRhQ6zExamkszQ5VutGIcaQqmbD9ZTVXMQ/edit#gid=1251630045"",""articles_with_PRISMA_reasons!C2:C2113""), $A1085=IMPORTRANGE(""https://docs.google.com/spreadsheets/d/1BJSV3WBYJGRhQ6zExamkszQ"&amp;"5VutGIcaQqmbD9ZTVXMQ/edit#gid=1251630045"",""articles_with_PRISMA_reasons!B2:B2113""))"),2015.0)</f>
        <v>2015</v>
      </c>
      <c r="D1085" s="5" t="str">
        <f>IFERROR(__xludf.DUMMYFUNCTION("IFS(AND(
FILTER(IMPORTRANGE(""https://docs.google.com/spreadsheets/d/1BJSV3WBYJGRhQ6zExamkszQ5VutGIcaQqmbD9ZTVXMQ/edit#gid=1251630045"",""articles_with_PRISMA_reasons!Y2:Y2113""), $A1085=IMPORTRANGE(""https://docs.google.com/spreadsheets/d/1BJSV3WBYJGRhQ6"&amp;"zExamkszQ5VutGIcaQqmbD9ZTVXMQ/edit#gid=1251630045"",""articles_with_PRISMA_reasons!B2:B2113""))&gt;=2,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$A1085=IMPORTRANGE(""https://docs.google.com/spreadsheets/d/1BJSV3WBYJGRhQ6zExamkszQ5VutGIcaQqmbD9ZTVXMQ/edit#gid=1251630045"",""articles_with_PRISMA_reasons!B2:B2113""))&lt;2),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$A1085=IMPORTRANGE(""https://docs.google.com/spreadsheets/d/1BJSV3WBYJGRhQ6zExamkszQ5VutGIcaQqmbD9ZTVXMQ/edit#gid=1251630045"",""a"&amp;"rticles_with_PRISMA_reasons!B2:B2113""))&lt;2,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$A1085=IMPORTRANGE(""https://docs.google"&amp;".com/spreadsheets/d/1BJSV3WBYJGRhQ6zExamkszQ5VutGIcaQqmbD9ZTVXMQ/edit#gid=1251630045"",""articles_with_PRISMA_reasons!B2:B2113""))&gt;=2),
""Exclude""
)"),"Exclude")</f>
        <v>Exclude</v>
      </c>
      <c r="E1085" s="5" t="str">
        <f>IFERROR(__xludf.DUMMYFUNCTION("IFS(
D1085=""Exclude"",""Exclude"",
AND(
FILTER(IMPORTRANGE(""https://docs.google.com/spreadsheets/d/1qpEmbGH0JjaJbUdp21-y2cPbobDbMjr09BbtdKROZWc/edit#gid=1444865654"",""articles_with_PRISMA_reasons!W2:W2113""), $A1085=IMPORTRANGE(""https://docs.google.co"&amp;"m/spreadsheets/d/1qpEmbGH0JjaJbUdp21-y2cPbobDbMjr09BbtdKROZWc/edit#gid=1444865654"",""articles_with_PRISMA_reasons!B2:B2113""))&gt;=2,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$A1085=IMPORTRANGE(""https://docs.google.com/spreadsheets/d/1qpEmbGH0JjaJbUdp21-y2cPbobDbMjr09BbtdKROZWc/edit#gid=1444865654"",""articles_with_PRISMA_reasons!B2:B2113""))&lt;2),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$A1085=IMPORTRANGE(""https://docs.google.com/spreadsheets/d/1qpEmbGH0JjaJbUdp21-y2cPbobDbMjr09Bbtd"&amp;"KROZWc/edit#gid=1444865654"",""articles_with_PRISMA_reasons!B2:B2113""))&lt;2,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$A1085=I"&amp;"MPORTRANGE(""https://docs.google.com/spreadsheets/d/1qpEmbGH0JjaJbUdp21-y2cPbobDbMjr09BbtdKROZWc/edit#gid=1444865654"",""articles_with_PRISMA_reasons!B2:B2113""))&gt;=2),
""Exclude""
)"),"Exclude")</f>
        <v>Exclude</v>
      </c>
      <c r="F1085" s="5" t="str">
        <f>IFERROR(__xludf.DUMMYFUNCTION("IFS(
E1085=""Exclude"",""Exclude"",
AND(
COUNTIF(
IMPORTRANGE(""https://docs.google.com/spreadsheets/d/1kGrh75X1cNR1D7_FcY9zMnHP8iPO4M5RCRjy6nZY0TY/edit#gid=0"",""Table 1: Study characteristics!B4:B171""),A1085)&gt;0,
COUNTIF(Studies!$A$2:$A$85,FILTER(IMPORT"&amp;"RANGE(""https://docs.google.com/spreadsheets/d/1kGrh75X1cNR1D7_FcY9zMnHP8iPO4M5RCRjy6nZY0TY/edit#gid=0"",""Table 1: Study characteristics!A4:A171""), $A1085=IMPORTRANGE(""https://docs.google.com/spreadsheets/d/1kGrh75X1cNR1D7_FcY9zMnHP8iPO4M5RCRjy6nZY0TY/"&amp;"edit#gid=0"",""Table 1: Study characteristics!B4:B171"")))&gt;0
),
""Include""
)"),"Exclude")</f>
        <v>Exclude</v>
      </c>
      <c r="G1085" s="5" t="str">
        <f>IFERROR(__xludf.DUMMYFUNCTION("IFS(
D1085=""Exclude"",
FILTER(IMPORTRANGE(""https://docs.google.com/spreadsheets/d/1BJSV3WBYJGRhQ6zExamkszQ5VutGIcaQqmbD9ZTVXMQ/edit#gid=1251630045"",""articles_with_PRISMA_reasons!AB2:AB2113""), $A1085=IMPORTRANGE(""https://docs.google.com/spreadsheets/"&amp;"d/1BJSV3WBYJGRhQ6zExamkszQ5VutGIcaQqmbD9ZTVXMQ/edit#gid=1251630045"",""articles_with_PRISMA_reasons!B2:B2113"")),
E1085=""Exclude"",
FILTER(IMPORTRANGE(""https://docs.google.com/spreadsheets/d/1qpEmbGH0JjaJbUdp21-y2cPbobDbMjr09BbtdKROZWc/edit#gid=14448656"&amp;"54"",""articles_with_PRISMA_reasons!Z2:Z2113""), $A1085=IMPORTRANGE(""https://docs.google.com/spreadsheets/d/1qpEmbGH0JjaJbUdp21-y2cPbobDbMjr09BbtdKROZWc/edit#gid=1444865654"",""articles_with_PRISMA_reasons!B2:B2113"")),F1085
=""Include"",FILTER(IMPORTRAN"&amp;"GE(""https://docs.google.com/spreadsheets/d/1kGrh75X1cNR1D7_FcY9zMnHP8iPO4M5RCRjy6nZY0TY/edit#gid=0"",""Table 1: Study characteristics!A4:A171""), $A1085=IMPORTRANGE(""https://docs.google.com/spreadsheets/d/1kGrh75X1cNR1D7_FcY9zMnHP8iPO4M5RCRjy6nZY0TY/edi"&amp;"t#gid=0"",""Table 1: Study characteristics!B4:B171""))
)"),"background article")</f>
        <v>background article</v>
      </c>
    </row>
    <row r="1086">
      <c r="A1086" s="4" t="str">
        <f>IFERROR(__xludf.DUMMYFUNCTION("""COMPUTED_VALUE"""),"Limited Dorsal Myeloschisis: A Diagnostic Pitfall in the Prenatal Ultrasound of Fetal Dysraphism")</f>
        <v>Limited Dorsal Myeloschisis: A Diagnostic Pitfall in the Prenatal Ultrasound of Fetal Dysraphism</v>
      </c>
      <c r="B1086" s="5" t="str">
        <f>IFERROR(__xludf.DUMMYFUNCTION("LEFT(FILTER(IMPORTRANGE(""https://docs.google.com/spreadsheets/d/1BJSV3WBYJGRhQ6zExamkszQ5VutGIcaQqmbD9ZTVXMQ/edit#gid=1251630045"",""articles_with_PRISMA_reasons!K2:K2113""), $A1086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$A1086=IMPORTRANGE(""https://docs.google.com/spreadsheets/d/1BJSV3WBYJGRhQ6zExamkszQ5VutGIcaQqmbD9ZTVXMQ/edit#gid=1251630045"",""articles_with_PRISMA_reasons!B2:B2113"")))-1)"),"Friszer")</f>
        <v>Friszer</v>
      </c>
      <c r="C1086" s="6">
        <f>IFERROR(__xludf.DUMMYFUNCTION("FILTER(IMPORTRANGE(""https://docs.google.com/spreadsheets/d/1BJSV3WBYJGRhQ6zExamkszQ5VutGIcaQqmbD9ZTVXMQ/edit#gid=1251630045"",""articles_with_PRISMA_reasons!C2:C2113""), $A1086=IMPORTRANGE(""https://docs.google.com/spreadsheets/d/1BJSV3WBYJGRhQ6zExamkszQ"&amp;"5VutGIcaQqmbD9ZTVXMQ/edit#gid=1251630045"",""articles_with_PRISMA_reasons!B2:B2113""))"),2017.0)</f>
        <v>2017</v>
      </c>
      <c r="D1086" s="5" t="str">
        <f>IFERROR(__xludf.DUMMYFUNCTION("IFS(AND(
FILTER(IMPORTRANGE(""https://docs.google.com/spreadsheets/d/1BJSV3WBYJGRhQ6zExamkszQ5VutGIcaQqmbD9ZTVXMQ/edit#gid=1251630045"",""articles_with_PRISMA_reasons!Y2:Y2113""), $A1086=IMPORTRANGE(""https://docs.google.com/spreadsheets/d/1BJSV3WBYJGRhQ6"&amp;"zExamkszQ5VutGIcaQqmbD9ZTVXMQ/edit#gid=1251630045"",""articles_with_PRISMA_reasons!B2:B2113""))&gt;=2,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$A1086=IMPORTRANGE(""https://docs.google.com/spreadsheets/d/1BJSV3WBYJGRhQ6zExamkszQ5VutGIcaQqmbD9ZTVXMQ/edit#gid=1251630045"",""articles_with_PRISMA_reasons!B2:B2113""))&lt;2),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$A1086=IMPORTRANGE(""https://docs.google.com/spreadsheets/d/1BJSV3WBYJGRhQ6zExamkszQ5VutGIcaQqmbD9ZTVXMQ/edit#gid=1251630045"",""a"&amp;"rticles_with_PRISMA_reasons!B2:B2113""))&lt;2,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$A1086=IMPORTRANGE(""https://docs.google"&amp;".com/spreadsheets/d/1BJSV3WBYJGRhQ6zExamkszQ5VutGIcaQqmbD9ZTVXMQ/edit#gid=1251630045"",""articles_with_PRISMA_reasons!B2:B2113""))&gt;=2),
""Exclude""
)"),"Exclude")</f>
        <v>Exclude</v>
      </c>
      <c r="E1086" s="5" t="str">
        <f>IFERROR(__xludf.DUMMYFUNCTION("IFS(
D1086=""Exclude"",""Exclude"",
AND(
FILTER(IMPORTRANGE(""https://docs.google.com/spreadsheets/d/1qpEmbGH0JjaJbUdp21-y2cPbobDbMjr09BbtdKROZWc/edit#gid=1444865654"",""articles_with_PRISMA_reasons!W2:W2113""), $A1086=IMPORTRANGE(""https://docs.google.co"&amp;"m/spreadsheets/d/1qpEmbGH0JjaJbUdp21-y2cPbobDbMjr09BbtdKROZWc/edit#gid=1444865654"",""articles_with_PRISMA_reasons!B2:B2113""))&gt;=2,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$A1086=IMPORTRANGE(""https://docs.google.com/spreadsheets/d/1qpEmbGH0JjaJbUdp21-y2cPbobDbMjr09BbtdKROZWc/edit#gid=1444865654"",""articles_with_PRISMA_reasons!B2:B2113""))&lt;2),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$A1086=IMPORTRANGE(""https://docs.google.com/spreadsheets/d/1qpEmbGH0JjaJbUdp21-y2cPbobDbMjr09Bbtd"&amp;"KROZWc/edit#gid=1444865654"",""articles_with_PRISMA_reasons!B2:B2113""))&lt;2,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$A1086=I"&amp;"MPORTRANGE(""https://docs.google.com/spreadsheets/d/1qpEmbGH0JjaJbUdp21-y2cPbobDbMjr09BbtdKROZWc/edit#gid=1444865654"",""articles_with_PRISMA_reasons!B2:B2113""))&gt;=2),
""Exclude""
)"),"Exclude")</f>
        <v>Exclude</v>
      </c>
      <c r="F1086" s="5" t="str">
        <f>IFERROR(__xludf.DUMMYFUNCTION("IFS(
E1086=""Exclude"",""Exclude"",
AND(
COUNTIF(
IMPORTRANGE(""https://docs.google.com/spreadsheets/d/1kGrh75X1cNR1D7_FcY9zMnHP8iPO4M5RCRjy6nZY0TY/edit#gid=0"",""Table 1: Study characteristics!B4:B171""),A1086)&gt;0,
COUNTIF(Studies!$A$2:$A$85,FILTER(IMPORT"&amp;"RANGE(""https://docs.google.com/spreadsheets/d/1kGrh75X1cNR1D7_FcY9zMnHP8iPO4M5RCRjy6nZY0TY/edit#gid=0"",""Table 1: Study characteristics!A4:A171""), $A1086=IMPORTRANGE(""https://docs.google.com/spreadsheets/d/1kGrh75X1cNR1D7_FcY9zMnHP8iPO4M5RCRjy6nZY0TY/"&amp;"edit#gid=0"",""Table 1: Study characteristics!B4:B171"")))&gt;0
),
""Include""
)"),"Exclude")</f>
        <v>Exclude</v>
      </c>
      <c r="G1086" s="5" t="str">
        <f>IFERROR(__xludf.DUMMYFUNCTION("IFS(
D1086=""Exclude"",
FILTER(IMPORTRANGE(""https://docs.google.com/spreadsheets/d/1BJSV3WBYJGRhQ6zExamkszQ5VutGIcaQqmbD9ZTVXMQ/edit#gid=1251630045"",""articles_with_PRISMA_reasons!AB2:AB2113""), $A1086=IMPORTRANGE(""https://docs.google.com/spreadsheets/"&amp;"d/1BJSV3WBYJGRhQ6zExamkszQ5VutGIcaQqmbD9ZTVXMQ/edit#gid=1251630045"",""articles_with_PRISMA_reasons!B2:B2113"")),
E1086=""Exclude"",
FILTER(IMPORTRANGE(""https://docs.google.com/spreadsheets/d/1qpEmbGH0JjaJbUdp21-y2cPbobDbMjr09BbtdKROZWc/edit#gid=14448656"&amp;"54"",""articles_with_PRISMA_reasons!Z2:Z2113""), $A1086=IMPORTRANGE(""https://docs.google.com/spreadsheets/d/1qpEmbGH0JjaJbUdp21-y2cPbobDbMjr09BbtdKROZWc/edit#gid=1444865654"",""articles_with_PRISMA_reasons!B2:B2113"")),F1086
=""Include"",FILTER(IMPORTRAN"&amp;"GE(""https://docs.google.com/spreadsheets/d/1kGrh75X1cNR1D7_FcY9zMnHP8iPO4M5RCRjy6nZY0TY/edit#gid=0"",""Table 1: Study characteristics!A4:A171""), $A1086=IMPORTRANGE(""https://docs.google.com/spreadsheets/d/1kGrh75X1cNR1D7_FcY9zMnHP8iPO4M5RCRjy6nZY0TY/edi"&amp;"t#gid=0"",""Table 1: Study characteristics!B4:B171""))
)"),"wrong population")</f>
        <v>wrong population</v>
      </c>
    </row>
    <row r="1087">
      <c r="A1087" s="4" t="str">
        <f>IFERROR(__xludf.DUMMYFUNCTION("""COMPUTED_VALUE"""),"Lithium in pregnancy: The need to treat, the duty to ensure safety")</f>
        <v>Lithium in pregnancy: The need to treat, the duty to ensure safety</v>
      </c>
      <c r="B1087" s="5" t="str">
        <f>IFERROR(__xludf.DUMMYFUNCTION("LEFT(FILTER(IMPORTRANGE(""https://docs.google.com/spreadsheets/d/1BJSV3WBYJGRhQ6zExamkszQ5VutGIcaQqmbD9ZTVXMQ/edit#gid=1251630045"",""articles_with_PRISMA_reasons!K2:K2113""), $A1087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$A1087=IMPORTRANGE(""https://docs.google.com/spreadsheets/d/1BJSV3WBYJGRhQ6zExamkszQ5VutGIcaQqmbD9ZTVXMQ/edit#gid=1251630045"",""articles_with_PRISMA_reasons!B2:B2113"")))-1)"),"Gentile")</f>
        <v>Gentile</v>
      </c>
      <c r="C1087" s="6">
        <f>IFERROR(__xludf.DUMMYFUNCTION("FILTER(IMPORTRANGE(""https://docs.google.com/spreadsheets/d/1BJSV3WBYJGRhQ6zExamkszQ5VutGIcaQqmbD9ZTVXMQ/edit#gid=1251630045"",""articles_with_PRISMA_reasons!C2:C2113""), $A1087=IMPORTRANGE(""https://docs.google.com/spreadsheets/d/1BJSV3WBYJGRhQ6zExamkszQ"&amp;"5VutGIcaQqmbD9ZTVXMQ/edit#gid=1251630045"",""articles_with_PRISMA_reasons!B2:B2113""))"),2012.0)</f>
        <v>2012</v>
      </c>
      <c r="D1087" s="5" t="str">
        <f>IFERROR(__xludf.DUMMYFUNCTION("IFS(AND(
FILTER(IMPORTRANGE(""https://docs.google.com/spreadsheets/d/1BJSV3WBYJGRhQ6zExamkszQ5VutGIcaQqmbD9ZTVXMQ/edit#gid=1251630045"",""articles_with_PRISMA_reasons!Y2:Y2113""), $A1087=IMPORTRANGE(""https://docs.google.com/spreadsheets/d/1BJSV3WBYJGRhQ6"&amp;"zExamkszQ5VutGIcaQqmbD9ZTVXMQ/edit#gid=1251630045"",""articles_with_PRISMA_reasons!B2:B2113""))&gt;=2,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$A1087=IMPORTRANGE(""https://docs.google.com/spreadsheets/d/1BJSV3WBYJGRhQ6zExamkszQ5VutGIcaQqmbD9ZTVXMQ/edit#gid=1251630045"",""articles_with_PRISMA_reasons!B2:B2113""))&lt;2),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$A1087=IMPORTRANGE(""https://docs.google.com/spreadsheets/d/1BJSV3WBYJGRhQ6zExamkszQ5VutGIcaQqmbD9ZTVXMQ/edit#gid=1251630045"",""a"&amp;"rticles_with_PRISMA_reasons!B2:B2113""))&lt;2,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$A1087=IMPORTRANGE(""https://docs.google"&amp;".com/spreadsheets/d/1BJSV3WBYJGRhQ6zExamkszQ5VutGIcaQqmbD9ZTVXMQ/edit#gid=1251630045"",""articles_with_PRISMA_reasons!B2:B2113""))&gt;=2),
""Exclude""
)"),"Exclude")</f>
        <v>Exclude</v>
      </c>
      <c r="E1087" s="5" t="str">
        <f>IFERROR(__xludf.DUMMYFUNCTION("IFS(
D1087=""Exclude"",""Exclude"",
AND(
FILTER(IMPORTRANGE(""https://docs.google.com/spreadsheets/d/1qpEmbGH0JjaJbUdp21-y2cPbobDbMjr09BbtdKROZWc/edit#gid=1444865654"",""articles_with_PRISMA_reasons!W2:W2113""), $A1087=IMPORTRANGE(""https://docs.google.co"&amp;"m/spreadsheets/d/1qpEmbGH0JjaJbUdp21-y2cPbobDbMjr09BbtdKROZWc/edit#gid=1444865654"",""articles_with_PRISMA_reasons!B2:B2113""))&gt;=2,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$A1087=IMPORTRANGE(""https://docs.google.com/spreadsheets/d/1qpEmbGH0JjaJbUdp21-y2cPbobDbMjr09BbtdKROZWc/edit#gid=1444865654"",""articles_with_PRISMA_reasons!B2:B2113""))&lt;2),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$A1087=IMPORTRANGE(""https://docs.google.com/spreadsheets/d/1qpEmbGH0JjaJbUdp21-y2cPbobDbMjr09Bbtd"&amp;"KROZWc/edit#gid=1444865654"",""articles_with_PRISMA_reasons!B2:B2113""))&lt;2,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$A1087=I"&amp;"MPORTRANGE(""https://docs.google.com/spreadsheets/d/1qpEmbGH0JjaJbUdp21-y2cPbobDbMjr09BbtdKROZWc/edit#gid=1444865654"",""articles_with_PRISMA_reasons!B2:B2113""))&gt;=2),
""Exclude""
)"),"Exclude")</f>
        <v>Exclude</v>
      </c>
      <c r="F1087" s="5" t="str">
        <f>IFERROR(__xludf.DUMMYFUNCTION("IFS(
E1087=""Exclude"",""Exclude"",
AND(
COUNTIF(
IMPORTRANGE(""https://docs.google.com/spreadsheets/d/1kGrh75X1cNR1D7_FcY9zMnHP8iPO4M5RCRjy6nZY0TY/edit#gid=0"",""Table 1: Study characteristics!B4:B171""),A1087)&gt;0,
COUNTIF(Studies!$A$2:$A$85,FILTER(IMPORT"&amp;"RANGE(""https://docs.google.com/spreadsheets/d/1kGrh75X1cNR1D7_FcY9zMnHP8iPO4M5RCRjy6nZY0TY/edit#gid=0"",""Table 1: Study characteristics!A4:A171""), $A1087=IMPORTRANGE(""https://docs.google.com/spreadsheets/d/1kGrh75X1cNR1D7_FcY9zMnHP8iPO4M5RCRjy6nZY0TY/"&amp;"edit#gid=0"",""Table 1: Study characteristics!B4:B171"")))&gt;0
),
""Include""
)"),"Exclude")</f>
        <v>Exclude</v>
      </c>
      <c r="G1087" s="5" t="str">
        <f>IFERROR(__xludf.DUMMYFUNCTION("IFS(
D1087=""Exclude"",
FILTER(IMPORTRANGE(""https://docs.google.com/spreadsheets/d/1BJSV3WBYJGRhQ6zExamkszQ5VutGIcaQqmbD9ZTVXMQ/edit#gid=1251630045"",""articles_with_PRISMA_reasons!AB2:AB2113""), $A1087=IMPORTRANGE(""https://docs.google.com/spreadsheets/"&amp;"d/1BJSV3WBYJGRhQ6zExamkszQ5VutGIcaQqmbD9ZTVXMQ/edit#gid=1251630045"",""articles_with_PRISMA_reasons!B2:B2113"")),
E1087=""Exclude"",
FILTER(IMPORTRANGE(""https://docs.google.com/spreadsheets/d/1qpEmbGH0JjaJbUdp21-y2cPbobDbMjr09BbtdKROZWc/edit#gid=14448656"&amp;"54"",""articles_with_PRISMA_reasons!Z2:Z2113""), $A1087=IMPORTRANGE(""https://docs.google.com/spreadsheets/d/1qpEmbGH0JjaJbUdp21-y2cPbobDbMjr09BbtdKROZWc/edit#gid=1444865654"",""articles_with_PRISMA_reasons!B2:B2113"")),F1087
=""Include"",FILTER(IMPORTRAN"&amp;"GE(""https://docs.google.com/spreadsheets/d/1kGrh75X1cNR1D7_FcY9zMnHP8iPO4M5RCRjy6nZY0TY/edit#gid=0"",""Table 1: Study characteristics!A4:A171""), $A1087=IMPORTRANGE(""https://docs.google.com/spreadsheets/d/1kGrh75X1cNR1D7_FcY9zMnHP8iPO4M5RCRjy6nZY0TY/edi"&amp;"t#gid=0"",""Table 1: Study characteristics!B4:B171""))
)"),"wrong study design")</f>
        <v>wrong study design</v>
      </c>
    </row>
    <row r="1088">
      <c r="A1088" s="4" t="str">
        <f>IFERROR(__xludf.DUMMYFUNCTION("""COMPUTED_VALUE"""),"Live births with neural tube defects at National Institute of Perinatology in Mexico City: Demographic and epidemiological characteristics")</f>
        <v>Live births with neural tube defects at National Institute of Perinatology in Mexico City: Demographic and epidemiological characteristics</v>
      </c>
      <c r="B1088" s="5" t="str">
        <f>IFERROR(__xludf.DUMMYFUNCTION("LEFT(FILTER(IMPORTRANGE(""https://docs.google.com/spreadsheets/d/1BJSV3WBYJGRhQ6zExamkszQ5VutGIcaQqmbD9ZTVXMQ/edit#gid=1251630045"",""articles_with_PRISMA_reasons!K2:K2113""), $A1088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$A1088=IMPORTRANGE(""https://docs.google.com/spreadsheets/d/1BJSV3WBYJGRhQ6zExamkszQ5VutGIcaQqmbD9ZTVXMQ/edit#gid=1251630045"",""articles_with_PRISMA_reasons!B2:B2113"")))-1)"),"Coronado-Zarco")</f>
        <v>Coronado-Zarco</v>
      </c>
      <c r="C1088" s="6">
        <f>IFERROR(__xludf.DUMMYFUNCTION("FILTER(IMPORTRANGE(""https://docs.google.com/spreadsheets/d/1BJSV3WBYJGRhQ6zExamkszQ5VutGIcaQqmbD9ZTVXMQ/edit#gid=1251630045"",""articles_with_PRISMA_reasons!C2:C2113""), $A1088=IMPORTRANGE(""https://docs.google.com/spreadsheets/d/1BJSV3WBYJGRhQ6zExamkszQ"&amp;"5VutGIcaQqmbD9ZTVXMQ/edit#gid=1251630045"",""articles_with_PRISMA_reasons!B2:B2113""))"),2018.0)</f>
        <v>2018</v>
      </c>
      <c r="D1088" s="5" t="str">
        <f>IFERROR(__xludf.DUMMYFUNCTION("IFS(AND(
FILTER(IMPORTRANGE(""https://docs.google.com/spreadsheets/d/1BJSV3WBYJGRhQ6zExamkszQ5VutGIcaQqmbD9ZTVXMQ/edit#gid=1251630045"",""articles_with_PRISMA_reasons!Y2:Y2113""), $A1088=IMPORTRANGE(""https://docs.google.com/spreadsheets/d/1BJSV3WBYJGRhQ6"&amp;"zExamkszQ5VutGIcaQqmbD9ZTVXMQ/edit#gid=1251630045"",""articles_with_PRISMA_reasons!B2:B2113""))&gt;=2,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$A1088=IMPORTRANGE(""https://docs.google.com/spreadsheets/d/1BJSV3WBYJGRhQ6zExamkszQ5VutGIcaQqmbD9ZTVXMQ/edit#gid=1251630045"",""articles_with_PRISMA_reasons!B2:B2113""))&lt;2),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$A1088=IMPORTRANGE(""https://docs.google.com/spreadsheets/d/1BJSV3WBYJGRhQ6zExamkszQ5VutGIcaQqmbD9ZTVXMQ/edit#gid=1251630045"",""a"&amp;"rticles_with_PRISMA_reasons!B2:B2113""))&lt;2,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$A1088=IMPORTRANGE(""https://docs.google"&amp;".com/spreadsheets/d/1BJSV3WBYJGRhQ6zExamkszQ5VutGIcaQqmbD9ZTVXMQ/edit#gid=1251630045"",""articles_with_PRISMA_reasons!B2:B2113""))&gt;=2),
""Exclude""
)"),"Exclude")</f>
        <v>Exclude</v>
      </c>
      <c r="E1088" s="5" t="str">
        <f>IFERROR(__xludf.DUMMYFUNCTION("IFS(
D1088=""Exclude"",""Exclude"",
AND(
FILTER(IMPORTRANGE(""https://docs.google.com/spreadsheets/d/1qpEmbGH0JjaJbUdp21-y2cPbobDbMjr09BbtdKROZWc/edit#gid=1444865654"",""articles_with_PRISMA_reasons!W2:W2113""), $A1088=IMPORTRANGE(""https://docs.google.co"&amp;"m/spreadsheets/d/1qpEmbGH0JjaJbUdp21-y2cPbobDbMjr09BbtdKROZWc/edit#gid=1444865654"",""articles_with_PRISMA_reasons!B2:B2113""))&gt;=2,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$A1088=IMPORTRANGE(""https://docs.google.com/spreadsheets/d/1qpEmbGH0JjaJbUdp21-y2cPbobDbMjr09BbtdKROZWc/edit#gid=1444865654"",""articles_with_PRISMA_reasons!B2:B2113""))&lt;2),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$A1088=IMPORTRANGE(""https://docs.google.com/spreadsheets/d/1qpEmbGH0JjaJbUdp21-y2cPbobDbMjr09Bbtd"&amp;"KROZWc/edit#gid=1444865654"",""articles_with_PRISMA_reasons!B2:B2113""))&lt;2,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$A1088=I"&amp;"MPORTRANGE(""https://docs.google.com/spreadsheets/d/1qpEmbGH0JjaJbUdp21-y2cPbobDbMjr09BbtdKROZWc/edit#gid=1444865654"",""articles_with_PRISMA_reasons!B2:B2113""))&gt;=2),
""Exclude""
)"),"Exclude")</f>
        <v>Exclude</v>
      </c>
      <c r="F1088" s="5" t="str">
        <f>IFERROR(__xludf.DUMMYFUNCTION("IFS(
E1088=""Exclude"",""Exclude"",
AND(
COUNTIF(
IMPORTRANGE(""https://docs.google.com/spreadsheets/d/1kGrh75X1cNR1D7_FcY9zMnHP8iPO4M5RCRjy6nZY0TY/edit#gid=0"",""Table 1: Study characteristics!B4:B171""),A1088)&gt;0,
COUNTIF(Studies!$A$2:$A$85,FILTER(IMPORT"&amp;"RANGE(""https://docs.google.com/spreadsheets/d/1kGrh75X1cNR1D7_FcY9zMnHP8iPO4M5RCRjy6nZY0TY/edit#gid=0"",""Table 1: Study characteristics!A4:A171""), $A1088=IMPORTRANGE(""https://docs.google.com/spreadsheets/d/1kGrh75X1cNR1D7_FcY9zMnHP8iPO4M5RCRjy6nZY0TY/"&amp;"edit#gid=0"",""Table 1: Study characteristics!B4:B171"")))&gt;0
),
""Include""
)"),"Exclude")</f>
        <v>Exclude</v>
      </c>
      <c r="G1088" s="5" t="str">
        <f>IFERROR(__xludf.DUMMYFUNCTION("IFS(
D1088=""Exclude"",
FILTER(IMPORTRANGE(""https://docs.google.com/spreadsheets/d/1BJSV3WBYJGRhQ6zExamkszQ5VutGIcaQqmbD9ZTVXMQ/edit#gid=1251630045"",""articles_with_PRISMA_reasons!AB2:AB2113""), $A1088=IMPORTRANGE(""https://docs.google.com/spreadsheets/"&amp;"d/1BJSV3WBYJGRhQ6zExamkszQ5VutGIcaQqmbD9ZTVXMQ/edit#gid=1251630045"",""articles_with_PRISMA_reasons!B2:B2113"")),
E1088=""Exclude"",
FILTER(IMPORTRANGE(""https://docs.google.com/spreadsheets/d/1qpEmbGH0JjaJbUdp21-y2cPbobDbMjr09BbtdKROZWc/edit#gid=14448656"&amp;"54"",""articles_with_PRISMA_reasons!Z2:Z2113""), $A1088=IMPORTRANGE(""https://docs.google.com/spreadsheets/d/1qpEmbGH0JjaJbUdp21-y2cPbobDbMjr09BbtdKROZWc/edit#gid=1444865654"",""articles_with_PRISMA_reasons!B2:B2113"")),F1088
=""Include"",FILTER(IMPORTRAN"&amp;"GE(""https://docs.google.com/spreadsheets/d/1kGrh75X1cNR1D7_FcY9zMnHP8iPO4M5RCRjy6nZY0TY/edit#gid=0"",""Table 1: Study characteristics!A4:A171""), $A1088=IMPORTRANGE(""https://docs.google.com/spreadsheets/d/1kGrh75X1cNR1D7_FcY9zMnHP8iPO4M5RCRjy6nZY0TY/edi"&amp;"t#gid=0"",""Table 1: Study characteristics!B4:B171""))
)"),"background article")</f>
        <v>background article</v>
      </c>
    </row>
    <row r="1089">
      <c r="A1089" s="4" t="str">
        <f>IFERROR(__xludf.DUMMYFUNCTION("""COMPUTED_VALUE"""),"Living with spina bifida: A historical perspective")</f>
        <v>Living with spina bifida: A historical perspective</v>
      </c>
      <c r="B1089" s="5" t="str">
        <f>IFERROR(__xludf.DUMMYFUNCTION("LEFT(FILTER(IMPORTRANGE(""https://docs.google.com/spreadsheets/d/1BJSV3WBYJGRhQ6zExamkszQ5VutGIcaQqmbD9ZTVXMQ/edit#gid=1251630045"",""articles_with_PRISMA_reasons!K2:K2113""), $A1089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$A1089=IMPORTRANGE(""https://docs.google.com/spreadsheets/d/1BJSV3WBYJGRhQ6zExamkszQ5VutGIcaQqmbD9ZTVXMQ/edit#gid=1251630045"",""articles_with_PRISMA_reasons!B2:B2113"")))-1)"),"Pruitt")</f>
        <v>Pruitt</v>
      </c>
      <c r="C1089" s="6">
        <f>IFERROR(__xludf.DUMMYFUNCTION("FILTER(IMPORTRANGE(""https://docs.google.com/spreadsheets/d/1BJSV3WBYJGRhQ6zExamkszQ5VutGIcaQqmbD9ZTVXMQ/edit#gid=1251630045"",""articles_with_PRISMA_reasons!C2:C2113""), $A1089=IMPORTRANGE(""https://docs.google.com/spreadsheets/d/1BJSV3WBYJGRhQ6zExamkszQ"&amp;"5VutGIcaQqmbD9ZTVXMQ/edit#gid=1251630045"",""articles_with_PRISMA_reasons!B2:B2113""))"),2012.0)</f>
        <v>2012</v>
      </c>
      <c r="D1089" s="5" t="str">
        <f>IFERROR(__xludf.DUMMYFUNCTION("IFS(AND(
FILTER(IMPORTRANGE(""https://docs.google.com/spreadsheets/d/1BJSV3WBYJGRhQ6zExamkszQ5VutGIcaQqmbD9ZTVXMQ/edit#gid=1251630045"",""articles_with_PRISMA_reasons!Y2:Y2113""), $A1089=IMPORTRANGE(""https://docs.google.com/spreadsheets/d/1BJSV3WBYJGRhQ6"&amp;"zExamkszQ5VutGIcaQqmbD9ZTVXMQ/edit#gid=1251630045"",""articles_with_PRISMA_reasons!B2:B2113""))&gt;=2,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$A1089=IMPORTRANGE(""https://docs.google.com/spreadsheets/d/1BJSV3WBYJGRhQ6zExamkszQ5VutGIcaQqmbD9ZTVXMQ/edit#gid=1251630045"",""articles_with_PRISMA_reasons!B2:B2113""))&lt;2),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$A1089=IMPORTRANGE(""https://docs.google.com/spreadsheets/d/1BJSV3WBYJGRhQ6zExamkszQ5VutGIcaQqmbD9ZTVXMQ/edit#gid=1251630045"",""a"&amp;"rticles_with_PRISMA_reasons!B2:B2113""))&lt;2,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$A1089=IMPORTRANGE(""https://docs.google"&amp;".com/spreadsheets/d/1BJSV3WBYJGRhQ6zExamkszQ5VutGIcaQqmbD9ZTVXMQ/edit#gid=1251630045"",""articles_with_PRISMA_reasons!B2:B2113""))&gt;=2),
""Exclude""
)"),"Exclude")</f>
        <v>Exclude</v>
      </c>
      <c r="E1089" s="5" t="str">
        <f>IFERROR(__xludf.DUMMYFUNCTION("IFS(
D1089=""Exclude"",""Exclude"",
AND(
FILTER(IMPORTRANGE(""https://docs.google.com/spreadsheets/d/1qpEmbGH0JjaJbUdp21-y2cPbobDbMjr09BbtdKROZWc/edit#gid=1444865654"",""articles_with_PRISMA_reasons!W2:W2113""), $A1089=IMPORTRANGE(""https://docs.google.co"&amp;"m/spreadsheets/d/1qpEmbGH0JjaJbUdp21-y2cPbobDbMjr09BbtdKROZWc/edit#gid=1444865654"",""articles_with_PRISMA_reasons!B2:B2113""))&gt;=2,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$A1089=IMPORTRANGE(""https://docs.google.com/spreadsheets/d/1qpEmbGH0JjaJbUdp21-y2cPbobDbMjr09BbtdKROZWc/edit#gid=1444865654"",""articles_with_PRISMA_reasons!B2:B2113""))&lt;2),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$A1089=IMPORTRANGE(""https://docs.google.com/spreadsheets/d/1qpEmbGH0JjaJbUdp21-y2cPbobDbMjr09Bbtd"&amp;"KROZWc/edit#gid=1444865654"",""articles_with_PRISMA_reasons!B2:B2113""))&lt;2,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$A1089=I"&amp;"MPORTRANGE(""https://docs.google.com/spreadsheets/d/1qpEmbGH0JjaJbUdp21-y2cPbobDbMjr09BbtdKROZWc/edit#gid=1444865654"",""articles_with_PRISMA_reasons!B2:B2113""))&gt;=2),
""Exclude""
)"),"Exclude")</f>
        <v>Exclude</v>
      </c>
      <c r="F1089" s="5" t="str">
        <f>IFERROR(__xludf.DUMMYFUNCTION("IFS(
E1089=""Exclude"",""Exclude"",
AND(
COUNTIF(
IMPORTRANGE(""https://docs.google.com/spreadsheets/d/1kGrh75X1cNR1D7_FcY9zMnHP8iPO4M5RCRjy6nZY0TY/edit#gid=0"",""Table 1: Study characteristics!B4:B171""),A1089)&gt;0,
COUNTIF(Studies!$A$2:$A$85,FILTER(IMPORT"&amp;"RANGE(""https://docs.google.com/spreadsheets/d/1kGrh75X1cNR1D7_FcY9zMnHP8iPO4M5RCRjy6nZY0TY/edit#gid=0"",""Table 1: Study characteristics!A4:A171""), $A1089=IMPORTRANGE(""https://docs.google.com/spreadsheets/d/1kGrh75X1cNR1D7_FcY9zMnHP8iPO4M5RCRjy6nZY0TY/"&amp;"edit#gid=0"",""Table 1: Study characteristics!B4:B171"")))&gt;0
),
""Include""
)"),"Exclude")</f>
        <v>Exclude</v>
      </c>
      <c r="G1089" s="5" t="str">
        <f>IFERROR(__xludf.DUMMYFUNCTION("IFS(
D1089=""Exclude"",
FILTER(IMPORTRANGE(""https://docs.google.com/spreadsheets/d/1BJSV3WBYJGRhQ6zExamkszQ5VutGIcaQqmbD9ZTVXMQ/edit#gid=1251630045"",""articles_with_PRISMA_reasons!AB2:AB2113""), $A1089=IMPORTRANGE(""https://docs.google.com/spreadsheets/"&amp;"d/1BJSV3WBYJGRhQ6zExamkszQ5VutGIcaQqmbD9ZTVXMQ/edit#gid=1251630045"",""articles_with_PRISMA_reasons!B2:B2113"")),
E1089=""Exclude"",
FILTER(IMPORTRANGE(""https://docs.google.com/spreadsheets/d/1qpEmbGH0JjaJbUdp21-y2cPbobDbMjr09BbtdKROZWc/edit#gid=14448656"&amp;"54"",""articles_with_PRISMA_reasons!Z2:Z2113""), $A1089=IMPORTRANGE(""https://docs.google.com/spreadsheets/d/1qpEmbGH0JjaJbUdp21-y2cPbobDbMjr09BbtdKROZWc/edit#gid=1444865654"",""articles_with_PRISMA_reasons!B2:B2113"")),F1089
=""Include"",FILTER(IMPORTRAN"&amp;"GE(""https://docs.google.com/spreadsheets/d/1kGrh75X1cNR1D7_FcY9zMnHP8iPO4M5RCRjy6nZY0TY/edit#gid=0"",""Table 1: Study characteristics!A4:A171""), $A1089=IMPORTRANGE(""https://docs.google.com/spreadsheets/d/1kGrh75X1cNR1D7_FcY9zMnHP8iPO4M5RCRjy6nZY0TY/edi"&amp;"t#gid=0"",""Table 1: Study characteristics!B4:B171""))
)"),"background article")</f>
        <v>background article</v>
      </c>
    </row>
    <row r="1090">
      <c r="A1090" s="4" t="str">
        <f>IFERROR(__xludf.DUMMYFUNCTION("""COMPUTED_VALUE"""),"Local African Concerns on Multi-Institutional Neurosurgical Training Initiative at a Tertiary Referral Center in Mwanza, Tanzania")</f>
        <v>Local African Concerns on Multi-Institutional Neurosurgical Training Initiative at a Tertiary Referral Center in Mwanza, Tanzania</v>
      </c>
      <c r="B1090" s="5" t="str">
        <f>IFERROR(__xludf.DUMMYFUNCTION("LEFT(FILTER(IMPORTRANGE(""https://docs.google.com/spreadsheets/d/1BJSV3WBYJGRhQ6zExamkszQ5VutGIcaQqmbD9ZTVXMQ/edit#gid=1251630045"",""articles_with_PRISMA_reasons!K2:K2113""), $A1090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$A1090=IMPORTRANGE(""https://docs.google.com/spreadsheets/d/1BJSV3WBYJGRhQ6zExamkszQ5VutGIcaQqmbD9ZTVXMQ/edit#gid=1251630045"",""articles_with_PRISMA_reasons!B2:B2113"")))-1)"),"El-Fiki")</f>
        <v>El-Fiki</v>
      </c>
      <c r="C1090" s="6">
        <f>IFERROR(__xludf.DUMMYFUNCTION("FILTER(IMPORTRANGE(""https://docs.google.com/spreadsheets/d/1BJSV3WBYJGRhQ6zExamkszQ5VutGIcaQqmbD9ZTVXMQ/edit#gid=1251630045"",""articles_with_PRISMA_reasons!C2:C2113""), $A1090=IMPORTRANGE(""https://docs.google.com/spreadsheets/d/1BJSV3WBYJGRhQ6zExamkszQ"&amp;"5VutGIcaQqmbD9ZTVXMQ/edit#gid=1251630045"",""articles_with_PRISMA_reasons!B2:B2113""))"),2014.0)</f>
        <v>2014</v>
      </c>
      <c r="D1090" s="5" t="str">
        <f>IFERROR(__xludf.DUMMYFUNCTION("IFS(AND(
FILTER(IMPORTRANGE(""https://docs.google.com/spreadsheets/d/1BJSV3WBYJGRhQ6zExamkszQ5VutGIcaQqmbD9ZTVXMQ/edit#gid=1251630045"",""articles_with_PRISMA_reasons!Y2:Y2113""), $A1090=IMPORTRANGE(""https://docs.google.com/spreadsheets/d/1BJSV3WBYJGRhQ6"&amp;"zExamkszQ5VutGIcaQqmbD9ZTVXMQ/edit#gid=1251630045"",""articles_with_PRISMA_reasons!B2:B2113""))&gt;=2,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$A1090=IMPORTRANGE(""https://docs.google.com/spreadsheets/d/1BJSV3WBYJGRhQ6zExamkszQ5VutGIcaQqmbD9ZTVXMQ/edit#gid=1251630045"",""articles_with_PRISMA_reasons!B2:B2113""))&lt;2),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$A1090=IMPORTRANGE(""https://docs.google.com/spreadsheets/d/1BJSV3WBYJGRhQ6zExamkszQ5VutGIcaQqmbD9ZTVXMQ/edit#gid=1251630045"",""a"&amp;"rticles_with_PRISMA_reasons!B2:B2113""))&lt;2,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$A1090=IMPORTRANGE(""https://docs.google"&amp;".com/spreadsheets/d/1BJSV3WBYJGRhQ6zExamkszQ5VutGIcaQqmbD9ZTVXMQ/edit#gid=1251630045"",""articles_with_PRISMA_reasons!B2:B2113""))&gt;=2),
""Exclude""
)"),"Exclude")</f>
        <v>Exclude</v>
      </c>
      <c r="E1090" s="5" t="str">
        <f>IFERROR(__xludf.DUMMYFUNCTION("IFS(
D1090=""Exclude"",""Exclude"",
AND(
FILTER(IMPORTRANGE(""https://docs.google.com/spreadsheets/d/1qpEmbGH0JjaJbUdp21-y2cPbobDbMjr09BbtdKROZWc/edit#gid=1444865654"",""articles_with_PRISMA_reasons!W2:W2113""), $A1090=IMPORTRANGE(""https://docs.google.co"&amp;"m/spreadsheets/d/1qpEmbGH0JjaJbUdp21-y2cPbobDbMjr09BbtdKROZWc/edit#gid=1444865654"",""articles_with_PRISMA_reasons!B2:B2113""))&gt;=2,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$A1090=IMPORTRANGE(""https://docs.google.com/spreadsheets/d/1qpEmbGH0JjaJbUdp21-y2cPbobDbMjr09BbtdKROZWc/edit#gid=1444865654"",""articles_with_PRISMA_reasons!B2:B2113""))&lt;2),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$A1090=IMPORTRANGE(""https://docs.google.com/spreadsheets/d/1qpEmbGH0JjaJbUdp21-y2cPbobDbMjr09Bbtd"&amp;"KROZWc/edit#gid=1444865654"",""articles_with_PRISMA_reasons!B2:B2113""))&lt;2,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$A1090=I"&amp;"MPORTRANGE(""https://docs.google.com/spreadsheets/d/1qpEmbGH0JjaJbUdp21-y2cPbobDbMjr09BbtdKROZWc/edit#gid=1444865654"",""articles_with_PRISMA_reasons!B2:B2113""))&gt;=2),
""Exclude""
)"),"Exclude")</f>
        <v>Exclude</v>
      </c>
      <c r="F1090" s="5" t="str">
        <f>IFERROR(__xludf.DUMMYFUNCTION("IFS(
E1090=""Exclude"",""Exclude"",
AND(
COUNTIF(
IMPORTRANGE(""https://docs.google.com/spreadsheets/d/1kGrh75X1cNR1D7_FcY9zMnHP8iPO4M5RCRjy6nZY0TY/edit#gid=0"",""Table 1: Study characteristics!B4:B171""),A1090)&gt;0,
COUNTIF(Studies!$A$2:$A$85,FILTER(IMPORT"&amp;"RANGE(""https://docs.google.com/spreadsheets/d/1kGrh75X1cNR1D7_FcY9zMnHP8iPO4M5RCRjy6nZY0TY/edit#gid=0"",""Table 1: Study characteristics!A4:A171""), $A1090=IMPORTRANGE(""https://docs.google.com/spreadsheets/d/1kGrh75X1cNR1D7_FcY9zMnHP8iPO4M5RCRjy6nZY0TY/"&amp;"edit#gid=0"",""Table 1: Study characteristics!B4:B171"")))&gt;0
),
""Include""
)"),"Exclude")</f>
        <v>Exclude</v>
      </c>
      <c r="G1090" s="5" t="str">
        <f>IFERROR(__xludf.DUMMYFUNCTION("IFS(
D1090=""Exclude"",
FILTER(IMPORTRANGE(""https://docs.google.com/spreadsheets/d/1BJSV3WBYJGRhQ6zExamkszQ5VutGIcaQqmbD9ZTVXMQ/edit#gid=1251630045"",""articles_with_PRISMA_reasons!AB2:AB2113""), $A1090=IMPORTRANGE(""https://docs.google.com/spreadsheets/"&amp;"d/1BJSV3WBYJGRhQ6zExamkszQ5VutGIcaQqmbD9ZTVXMQ/edit#gid=1251630045"",""articles_with_PRISMA_reasons!B2:B2113"")),
E1090=""Exclude"",
FILTER(IMPORTRANGE(""https://docs.google.com/spreadsheets/d/1qpEmbGH0JjaJbUdp21-y2cPbobDbMjr09BbtdKROZWc/edit#gid=14448656"&amp;"54"",""articles_with_PRISMA_reasons!Z2:Z2113""), $A1090=IMPORTRANGE(""https://docs.google.com/spreadsheets/d/1qpEmbGH0JjaJbUdp21-y2cPbobDbMjr09BbtdKROZWc/edit#gid=1444865654"",""articles_with_PRISMA_reasons!B2:B2113"")),F1090
=""Include"",FILTER(IMPORTRAN"&amp;"GE(""https://docs.google.com/spreadsheets/d/1kGrh75X1cNR1D7_FcY9zMnHP8iPO4M5RCRjy6nZY0TY/edit#gid=0"",""Table 1: Study characteristics!A4:A171""), $A1090=IMPORTRANGE(""https://docs.google.com/spreadsheets/d/1kGrh75X1cNR1D7_FcY9zMnHP8iPO4M5RCRjy6nZY0TY/edi"&amp;"t#gid=0"",""Table 1: Study characteristics!B4:B171""))
)"),"background article")</f>
        <v>background article</v>
      </c>
    </row>
    <row r="1091">
      <c r="A1091" s="4" t="str">
        <f>IFERROR(__xludf.DUMMYFUNCTION("""COMPUTED_VALUE"""),"Locomotor and educational achievements of children with myelomeningocele")</f>
        <v>Locomotor and educational achievements of children with myelomeningocele</v>
      </c>
      <c r="B1091" s="5" t="str">
        <f>IFERROR(__xludf.DUMMYFUNCTION("LEFT(FILTER(IMPORTRANGE(""https://docs.google.com/spreadsheets/d/1BJSV3WBYJGRhQ6zExamkszQ5VutGIcaQqmbD9ZTVXMQ/edit#gid=1251630045"",""articles_with_PRISMA_reasons!K2:K2113""), $A1091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$A1091=IMPORTRANGE(""https://docs.google.com/spreadsheets/d/1BJSV3WBYJGRhQ6zExamkszQ5VutGIcaQqmbD9ZTVXMQ/edit#gid=1251630045"",""articles_with_PRISMA_reasons!B2:B2113"")))-1)"),"Richings")</f>
        <v>Richings</v>
      </c>
      <c r="C1091" s="6">
        <f>IFERROR(__xludf.DUMMYFUNCTION("FILTER(IMPORTRANGE(""https://docs.google.com/spreadsheets/d/1BJSV3WBYJGRhQ6zExamkszQ5VutGIcaQqmbD9ZTVXMQ/edit#gid=1251630045"",""articles_with_PRISMA_reasons!C2:C2113""), $A1091=IMPORTRANGE(""https://docs.google.com/spreadsheets/d/1BJSV3WBYJGRhQ6zExamkszQ"&amp;"5VutGIcaQqmbD9ZTVXMQ/edit#gid=1251630045"",""articles_with_PRISMA_reasons!B2:B2113""))"),1970.0)</f>
        <v>1970</v>
      </c>
      <c r="D1091" s="5" t="str">
        <f>IFERROR(__xludf.DUMMYFUNCTION("IFS(AND(
FILTER(IMPORTRANGE(""https://docs.google.com/spreadsheets/d/1BJSV3WBYJGRhQ6zExamkszQ5VutGIcaQqmbD9ZTVXMQ/edit#gid=1251630045"",""articles_with_PRISMA_reasons!Y2:Y2113""), $A1091=IMPORTRANGE(""https://docs.google.com/spreadsheets/d/1BJSV3WBYJGRhQ6"&amp;"zExamkszQ5VutGIcaQqmbD9ZTVXMQ/edit#gid=1251630045"",""articles_with_PRISMA_reasons!B2:B2113""))&gt;=2,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$A1091=IMPORTRANGE(""https://docs.google.com/spreadsheets/d/1BJSV3WBYJGRhQ6zExamkszQ5VutGIcaQqmbD9ZTVXMQ/edit#gid=1251630045"",""articles_with_PRISMA_reasons!B2:B2113""))&lt;2),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$A1091=IMPORTRANGE(""https://docs.google.com/spreadsheets/d/1BJSV3WBYJGRhQ6zExamkszQ5VutGIcaQqmbD9ZTVXMQ/edit#gid=1251630045"",""a"&amp;"rticles_with_PRISMA_reasons!B2:B2113""))&lt;2,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$A1091=IMPORTRANGE(""https://docs.google"&amp;".com/spreadsheets/d/1BJSV3WBYJGRhQ6zExamkszQ5VutGIcaQqmbD9ZTVXMQ/edit#gid=1251630045"",""articles_with_PRISMA_reasons!B2:B2113""))&gt;=2),
""Exclude""
)"),"Exclude")</f>
        <v>Exclude</v>
      </c>
      <c r="E1091" s="5" t="str">
        <f>IFERROR(__xludf.DUMMYFUNCTION("IFS(
D1091=""Exclude"",""Exclude"",
AND(
FILTER(IMPORTRANGE(""https://docs.google.com/spreadsheets/d/1qpEmbGH0JjaJbUdp21-y2cPbobDbMjr09BbtdKROZWc/edit#gid=1444865654"",""articles_with_PRISMA_reasons!W2:W2113""), $A1091=IMPORTRANGE(""https://docs.google.co"&amp;"m/spreadsheets/d/1qpEmbGH0JjaJbUdp21-y2cPbobDbMjr09BbtdKROZWc/edit#gid=1444865654"",""articles_with_PRISMA_reasons!B2:B2113""))&gt;=2,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$A1091=IMPORTRANGE(""https://docs.google.com/spreadsheets/d/1qpEmbGH0JjaJbUdp21-y2cPbobDbMjr09BbtdKROZWc/edit#gid=1444865654"",""articles_with_PRISMA_reasons!B2:B2113""))&lt;2),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$A1091=IMPORTRANGE(""https://docs.google.com/spreadsheets/d/1qpEmbGH0JjaJbUdp21-y2cPbobDbMjr09Bbtd"&amp;"KROZWc/edit#gid=1444865654"",""articles_with_PRISMA_reasons!B2:B2113""))&lt;2,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$A1091=I"&amp;"MPORTRANGE(""https://docs.google.com/spreadsheets/d/1qpEmbGH0JjaJbUdp21-y2cPbobDbMjr09BbtdKROZWc/edit#gid=1444865654"",""articles_with_PRISMA_reasons!B2:B2113""))&gt;=2),
""Exclude""
)"),"Exclude")</f>
        <v>Exclude</v>
      </c>
      <c r="F1091" s="5" t="str">
        <f>IFERROR(__xludf.DUMMYFUNCTION("IFS(
E1091=""Exclude"",""Exclude"",
AND(
COUNTIF(
IMPORTRANGE(""https://docs.google.com/spreadsheets/d/1kGrh75X1cNR1D7_FcY9zMnHP8iPO4M5RCRjy6nZY0TY/edit#gid=0"",""Table 1: Study characteristics!B4:B171""),A1091)&gt;0,
COUNTIF(Studies!$A$2:$A$85,FILTER(IMPORT"&amp;"RANGE(""https://docs.google.com/spreadsheets/d/1kGrh75X1cNR1D7_FcY9zMnHP8iPO4M5RCRjy6nZY0TY/edit#gid=0"",""Table 1: Study characteristics!A4:A171""), $A1091=IMPORTRANGE(""https://docs.google.com/spreadsheets/d/1kGrh75X1cNR1D7_FcY9zMnHP8iPO4M5RCRjy6nZY0TY/"&amp;"edit#gid=0"",""Table 1: Study characteristics!B4:B171"")))&gt;0
),
""Include""
)"),"Exclude")</f>
        <v>Exclude</v>
      </c>
      <c r="G1091" s="5" t="str">
        <f>IFERROR(__xludf.DUMMYFUNCTION("IFS(
D1091=""Exclude"",
FILTER(IMPORTRANGE(""https://docs.google.com/spreadsheets/d/1BJSV3WBYJGRhQ6zExamkszQ5VutGIcaQqmbD9ZTVXMQ/edit#gid=1251630045"",""articles_with_PRISMA_reasons!AB2:AB2113""), $A1091=IMPORTRANGE(""https://docs.google.com/spreadsheets/"&amp;"d/1BJSV3WBYJGRhQ6zExamkszQ5VutGIcaQqmbD9ZTVXMQ/edit#gid=1251630045"",""articles_with_PRISMA_reasons!B2:B2113"")),
E1091=""Exclude"",
FILTER(IMPORTRANGE(""https://docs.google.com/spreadsheets/d/1qpEmbGH0JjaJbUdp21-y2cPbobDbMjr09BbtdKROZWc/edit#gid=14448656"&amp;"54"",""articles_with_PRISMA_reasons!Z2:Z2113""), $A1091=IMPORTRANGE(""https://docs.google.com/spreadsheets/d/1qpEmbGH0JjaJbUdp21-y2cPbobDbMjr09BbtdKROZWc/edit#gid=1444865654"",""articles_with_PRISMA_reasons!B2:B2113"")),F1091
=""Include"",FILTER(IMPORTRAN"&amp;"GE(""https://docs.google.com/spreadsheets/d/1kGrh75X1cNR1D7_FcY9zMnHP8iPO4M5RCRjy6nZY0TY/edit#gid=0"",""Table 1: Study characteristics!A4:A171""), $A1091=IMPORTRANGE(""https://docs.google.com/spreadsheets/d/1kGrh75X1cNR1D7_FcY9zMnHP8iPO4M5RCRjy6nZY0TY/edi"&amp;"t#gid=0"",""Table 1: Study characteristics!B4:B171""))
)"),"wrong study design")</f>
        <v>wrong study design</v>
      </c>
    </row>
    <row r="1092">
      <c r="A1092" s="4" t="str">
        <f>IFERROR(__xludf.DUMMYFUNCTION("""COMPUTED_VALUE"""),"Long term follow-up of Spina Bifida-neurosurgical management of myelomeningocele after infancy")</f>
        <v>Long term follow-up of Spina Bifida-neurosurgical management of myelomeningocele after infancy</v>
      </c>
      <c r="B1092" s="5" t="str">
        <f>IFERROR(__xludf.DUMMYFUNCTION("LEFT(FILTER(IMPORTRANGE(""https://docs.google.com/spreadsheets/d/1BJSV3WBYJGRhQ6zExamkszQ5VutGIcaQqmbD9ZTVXMQ/edit#gid=1251630045"",""articles_with_PRISMA_reasons!K2:K2113""), $A1092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$A1092=IMPORTRANGE(""https://docs.google.com/spreadsheets/d/1BJSV3WBYJGRhQ6zExamkszQ5VutGIcaQqmbD9ZTVXMQ/edit#gid=1251630045"",""articles_with_PRISMA_reasons!B2:B2113"")))-1)"),"Morota")</f>
        <v>Morota</v>
      </c>
      <c r="C1092" s="6">
        <f>IFERROR(__xludf.DUMMYFUNCTION("FILTER(IMPORTRANGE(""https://docs.google.com/spreadsheets/d/1BJSV3WBYJGRhQ6zExamkszQ5VutGIcaQqmbD9ZTVXMQ/edit#gid=1251630045"",""articles_with_PRISMA_reasons!C2:C2113""), $A1092=IMPORTRANGE(""https://docs.google.com/spreadsheets/d/1BJSV3WBYJGRhQ6zExamkszQ"&amp;"5VutGIcaQqmbD9ZTVXMQ/edit#gid=1251630045"",""articles_with_PRISMA_reasons!B2:B2113""))"),2011.0)</f>
        <v>2011</v>
      </c>
      <c r="D1092" s="5" t="str">
        <f>IFERROR(__xludf.DUMMYFUNCTION("IFS(AND(
FILTER(IMPORTRANGE(""https://docs.google.com/spreadsheets/d/1BJSV3WBYJGRhQ6zExamkszQ5VutGIcaQqmbD9ZTVXMQ/edit#gid=1251630045"",""articles_with_PRISMA_reasons!Y2:Y2113""), $A1092=IMPORTRANGE(""https://docs.google.com/spreadsheets/d/1BJSV3WBYJGRhQ6"&amp;"zExamkszQ5VutGIcaQqmbD9ZTVXMQ/edit#gid=1251630045"",""articles_with_PRISMA_reasons!B2:B2113""))&gt;=2,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$A1092=IMPORTRANGE(""https://docs.google.com/spreadsheets/d/1BJSV3WBYJGRhQ6zExamkszQ5VutGIcaQqmbD9ZTVXMQ/edit#gid=1251630045"",""articles_with_PRISMA_reasons!B2:B2113""))&lt;2),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$A1092=IMPORTRANGE(""https://docs.google.com/spreadsheets/d/1BJSV3WBYJGRhQ6zExamkszQ5VutGIcaQqmbD9ZTVXMQ/edit#gid=1251630045"",""a"&amp;"rticles_with_PRISMA_reasons!B2:B2113""))&lt;2,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$A1092=IMPORTRANGE(""https://docs.google"&amp;".com/spreadsheets/d/1BJSV3WBYJGRhQ6zExamkszQ5VutGIcaQqmbD9ZTVXMQ/edit#gid=1251630045"",""articles_with_PRISMA_reasons!B2:B2113""))&gt;=2),
""Exclude""
)"),"Exclude")</f>
        <v>Exclude</v>
      </c>
      <c r="E1092" s="5" t="str">
        <f>IFERROR(__xludf.DUMMYFUNCTION("IFS(
D1092=""Exclude"",""Exclude"",
AND(
FILTER(IMPORTRANGE(""https://docs.google.com/spreadsheets/d/1qpEmbGH0JjaJbUdp21-y2cPbobDbMjr09BbtdKROZWc/edit#gid=1444865654"",""articles_with_PRISMA_reasons!W2:W2113""), $A1092=IMPORTRANGE(""https://docs.google.co"&amp;"m/spreadsheets/d/1qpEmbGH0JjaJbUdp21-y2cPbobDbMjr09BbtdKROZWc/edit#gid=1444865654"",""articles_with_PRISMA_reasons!B2:B2113""))&gt;=2,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$A1092=IMPORTRANGE(""https://docs.google.com/spreadsheets/d/1qpEmbGH0JjaJbUdp21-y2cPbobDbMjr09BbtdKROZWc/edit#gid=1444865654"",""articles_with_PRISMA_reasons!B2:B2113""))&lt;2),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$A1092=IMPORTRANGE(""https://docs.google.com/spreadsheets/d/1qpEmbGH0JjaJbUdp21-y2cPbobDbMjr09Bbtd"&amp;"KROZWc/edit#gid=1444865654"",""articles_with_PRISMA_reasons!B2:B2113""))&lt;2,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$A1092=I"&amp;"MPORTRANGE(""https://docs.google.com/spreadsheets/d/1qpEmbGH0JjaJbUdp21-y2cPbobDbMjr09BbtdKROZWc/edit#gid=1444865654"",""articles_with_PRISMA_reasons!B2:B2113""))&gt;=2),
""Exclude""
)"),"Exclude")</f>
        <v>Exclude</v>
      </c>
      <c r="F1092" s="5" t="str">
        <f>IFERROR(__xludf.DUMMYFUNCTION("IFS(
E1092=""Exclude"",""Exclude"",
AND(
COUNTIF(
IMPORTRANGE(""https://docs.google.com/spreadsheets/d/1kGrh75X1cNR1D7_FcY9zMnHP8iPO4M5RCRjy6nZY0TY/edit#gid=0"",""Table 1: Study characteristics!B4:B171""),A1092)&gt;0,
COUNTIF(Studies!$A$2:$A$85,FILTER(IMPORT"&amp;"RANGE(""https://docs.google.com/spreadsheets/d/1kGrh75X1cNR1D7_FcY9zMnHP8iPO4M5RCRjy6nZY0TY/edit#gid=0"",""Table 1: Study characteristics!A4:A171""), $A1092=IMPORTRANGE(""https://docs.google.com/spreadsheets/d/1kGrh75X1cNR1D7_FcY9zMnHP8iPO4M5RCRjy6nZY0TY/"&amp;"edit#gid=0"",""Table 1: Study characteristics!B4:B171"")))&gt;0
),
""Include""
)"),"Exclude")</f>
        <v>Exclude</v>
      </c>
      <c r="G1092" s="5" t="str">
        <f>IFERROR(__xludf.DUMMYFUNCTION("IFS(
D1092=""Exclude"",
FILTER(IMPORTRANGE(""https://docs.google.com/spreadsheets/d/1BJSV3WBYJGRhQ6zExamkszQ5VutGIcaQqmbD9ZTVXMQ/edit#gid=1251630045"",""articles_with_PRISMA_reasons!AB2:AB2113""), $A1092=IMPORTRANGE(""https://docs.google.com/spreadsheets/"&amp;"d/1BJSV3WBYJGRhQ6zExamkszQ5VutGIcaQqmbD9ZTVXMQ/edit#gid=1251630045"",""articles_with_PRISMA_reasons!B2:B2113"")),
E1092=""Exclude"",
FILTER(IMPORTRANGE(""https://docs.google.com/spreadsheets/d/1qpEmbGH0JjaJbUdp21-y2cPbobDbMjr09BbtdKROZWc/edit#gid=14448656"&amp;"54"",""articles_with_PRISMA_reasons!Z2:Z2113""), $A1092=IMPORTRANGE(""https://docs.google.com/spreadsheets/d/1qpEmbGH0JjaJbUdp21-y2cPbobDbMjr09BbtdKROZWc/edit#gid=1444865654"",""articles_with_PRISMA_reasons!B2:B2113"")),F1092
=""Include"",FILTER(IMPORTRAN"&amp;"GE(""https://docs.google.com/spreadsheets/d/1kGrh75X1cNR1D7_FcY9zMnHP8iPO4M5RCRjy6nZY0TY/edit#gid=0"",""Table 1: Study characteristics!A4:A171""), $A1092=IMPORTRANGE(""https://docs.google.com/spreadsheets/d/1kGrh75X1cNR1D7_FcY9zMnHP8iPO4M5RCRjy6nZY0TY/edi"&amp;"t#gid=0"",""Table 1: Study characteristics!B4:B171""))
)"),"wrong study design")</f>
        <v>wrong study design</v>
      </c>
    </row>
    <row r="1093">
      <c r="A1093" s="4" t="str">
        <f>IFERROR(__xludf.DUMMYFUNCTION("""COMPUTED_VALUE"""),"Long term outcome of meylomeningocele: Pain due to tethered cord and its treatment")</f>
        <v>Long term outcome of meylomeningocele: Pain due to tethered cord and its treatment</v>
      </c>
      <c r="B1093" s="5" t="str">
        <f>IFERROR(__xludf.DUMMYFUNCTION("LEFT(FILTER(IMPORTRANGE(""https://docs.google.com/spreadsheets/d/1BJSV3WBYJGRhQ6zExamkszQ5VutGIcaQqmbD9ZTVXMQ/edit#gid=1251630045"",""articles_with_PRISMA_reasons!K2:K2113""), $A1093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$A1093=IMPORTRANGE(""https://docs.google.com/spreadsheets/d/1BJSV3WBYJGRhQ6zExamkszQ5VutGIcaQqmbD9ZTVXMQ/edit#gid=1251630045"",""articles_with_PRISMA_reasons!B2:B2113"")))-1)"),"Nonaka")</f>
        <v>Nonaka</v>
      </c>
      <c r="C1093" s="6">
        <f>IFERROR(__xludf.DUMMYFUNCTION("FILTER(IMPORTRANGE(""https://docs.google.com/spreadsheets/d/1BJSV3WBYJGRhQ6zExamkszQ5VutGIcaQqmbD9ZTVXMQ/edit#gid=1251630045"",""articles_with_PRISMA_reasons!C2:C2113""), $A1093=IMPORTRANGE(""https://docs.google.com/spreadsheets/d/1BJSV3WBYJGRhQ6zExamkszQ"&amp;"5VutGIcaQqmbD9ZTVXMQ/edit#gid=1251630045"",""articles_with_PRISMA_reasons!B2:B2113""))"),2020.0)</f>
        <v>2020</v>
      </c>
      <c r="D1093" s="5" t="str">
        <f>IFERROR(__xludf.DUMMYFUNCTION("IFS(AND(
FILTER(IMPORTRANGE(""https://docs.google.com/spreadsheets/d/1BJSV3WBYJGRhQ6zExamkszQ5VutGIcaQqmbD9ZTVXMQ/edit#gid=1251630045"",""articles_with_PRISMA_reasons!Y2:Y2113""), $A1093=IMPORTRANGE(""https://docs.google.com/spreadsheets/d/1BJSV3WBYJGRhQ6"&amp;"zExamkszQ5VutGIcaQqmbD9ZTVXMQ/edit#gid=1251630045"",""articles_with_PRISMA_reasons!B2:B2113""))&gt;=2,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$A1093=IMPORTRANGE(""https://docs.google.com/spreadsheets/d/1BJSV3WBYJGRhQ6zExamkszQ5VutGIcaQqmbD9ZTVXMQ/edit#gid=1251630045"",""articles_with_PRISMA_reasons!B2:B2113""))&lt;2),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$A1093=IMPORTRANGE(""https://docs.google.com/spreadsheets/d/1BJSV3WBYJGRhQ6zExamkszQ5VutGIcaQqmbD9ZTVXMQ/edit#gid=1251630045"",""a"&amp;"rticles_with_PRISMA_reasons!B2:B2113""))&lt;2,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$A1093=IMPORTRANGE(""https://docs.google"&amp;".com/spreadsheets/d/1BJSV3WBYJGRhQ6zExamkszQ5VutGIcaQqmbD9ZTVXMQ/edit#gid=1251630045"",""articles_with_PRISMA_reasons!B2:B2113""))&gt;=2),
""Exclude""
)"),"Exclude")</f>
        <v>Exclude</v>
      </c>
      <c r="E1093" s="5" t="str">
        <f>IFERROR(__xludf.DUMMYFUNCTION("IFS(
D1093=""Exclude"",""Exclude"",
AND(
FILTER(IMPORTRANGE(""https://docs.google.com/spreadsheets/d/1qpEmbGH0JjaJbUdp21-y2cPbobDbMjr09BbtdKROZWc/edit#gid=1444865654"",""articles_with_PRISMA_reasons!W2:W2113""), $A1093=IMPORTRANGE(""https://docs.google.co"&amp;"m/spreadsheets/d/1qpEmbGH0JjaJbUdp21-y2cPbobDbMjr09BbtdKROZWc/edit#gid=1444865654"",""articles_with_PRISMA_reasons!B2:B2113""))&gt;=2,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$A1093=IMPORTRANGE(""https://docs.google.com/spreadsheets/d/1qpEmbGH0JjaJbUdp21-y2cPbobDbMjr09BbtdKROZWc/edit#gid=1444865654"",""articles_with_PRISMA_reasons!B2:B2113""))&lt;2),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$A1093=IMPORTRANGE(""https://docs.google.com/spreadsheets/d/1qpEmbGH0JjaJbUdp21-y2cPbobDbMjr09Bbtd"&amp;"KROZWc/edit#gid=1444865654"",""articles_with_PRISMA_reasons!B2:B2113""))&lt;2,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$A1093=I"&amp;"MPORTRANGE(""https://docs.google.com/spreadsheets/d/1qpEmbGH0JjaJbUdp21-y2cPbobDbMjr09BbtdKROZWc/edit#gid=1444865654"",""articles_with_PRISMA_reasons!B2:B2113""))&gt;=2),
""Exclude""
)"),"Exclude")</f>
        <v>Exclude</v>
      </c>
      <c r="F1093" s="5" t="str">
        <f>IFERROR(__xludf.DUMMYFUNCTION("IFS(
E1093=""Exclude"",""Exclude"",
AND(
COUNTIF(
IMPORTRANGE(""https://docs.google.com/spreadsheets/d/1kGrh75X1cNR1D7_FcY9zMnHP8iPO4M5RCRjy6nZY0TY/edit#gid=0"",""Table 1: Study characteristics!B4:B171""),A1093)&gt;0,
COUNTIF(Studies!$A$2:$A$85,FILTER(IMPORT"&amp;"RANGE(""https://docs.google.com/spreadsheets/d/1kGrh75X1cNR1D7_FcY9zMnHP8iPO4M5RCRjy6nZY0TY/edit#gid=0"",""Table 1: Study characteristics!A4:A171""), $A1093=IMPORTRANGE(""https://docs.google.com/spreadsheets/d/1kGrh75X1cNR1D7_FcY9zMnHP8iPO4M5RCRjy6nZY0TY/"&amp;"edit#gid=0"",""Table 1: Study characteristics!B4:B171"")))&gt;0
),
""Include""
)"),"Exclude")</f>
        <v>Exclude</v>
      </c>
      <c r="G1093" s="5" t="str">
        <f>IFERROR(__xludf.DUMMYFUNCTION("IFS(
D1093=""Exclude"",
FILTER(IMPORTRANGE(""https://docs.google.com/spreadsheets/d/1BJSV3WBYJGRhQ6zExamkszQ5VutGIcaQqmbD9ZTVXMQ/edit#gid=1251630045"",""articles_with_PRISMA_reasons!AB2:AB2113""), $A1093=IMPORTRANGE(""https://docs.google.com/spreadsheets/"&amp;"d/1BJSV3WBYJGRhQ6zExamkszQ5VutGIcaQqmbD9ZTVXMQ/edit#gid=1251630045"",""articles_with_PRISMA_reasons!B2:B2113"")),
E1093=""Exclude"",
FILTER(IMPORTRANGE(""https://docs.google.com/spreadsheets/d/1qpEmbGH0JjaJbUdp21-y2cPbobDbMjr09BbtdKROZWc/edit#gid=14448656"&amp;"54"",""articles_with_PRISMA_reasons!Z2:Z2113""), $A1093=IMPORTRANGE(""https://docs.google.com/spreadsheets/d/1qpEmbGH0JjaJbUdp21-y2cPbobDbMjr09BbtdKROZWc/edit#gid=1444865654"",""articles_with_PRISMA_reasons!B2:B2113"")),F1093
=""Include"",FILTER(IMPORTRAN"&amp;"GE(""https://docs.google.com/spreadsheets/d/1kGrh75X1cNR1D7_FcY9zMnHP8iPO4M5RCRjy6nZY0TY/edit#gid=0"",""Table 1: Study characteristics!A4:A171""), $A1093=IMPORTRANGE(""https://docs.google.com/spreadsheets/d/1kGrh75X1cNR1D7_FcY9zMnHP8iPO4M5RCRjy6nZY0TY/edi"&amp;"t#gid=0"",""Table 1: Study characteristics!B4:B171""))
)"),"wrong population")</f>
        <v>wrong population</v>
      </c>
    </row>
    <row r="1094">
      <c r="A1094" s="4" t="str">
        <f>IFERROR(__xludf.DUMMYFUNCTION("""COMPUTED_VALUE"""),"Long term outcome of prenatally diagnosed neurosurgical diseases")</f>
        <v>Long term outcome of prenatally diagnosed neurosurgical diseases</v>
      </c>
      <c r="B1094" s="5" t="str">
        <f>IFERROR(__xludf.DUMMYFUNCTION("LEFT(FILTER(IMPORTRANGE(""https://docs.google.com/spreadsheets/d/1BJSV3WBYJGRhQ6zExamkszQ5VutGIcaQqmbD9ZTVXMQ/edit#gid=1251630045"",""articles_with_PRISMA_reasons!K2:K2113""), $A1094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$A1094=IMPORTRANGE(""https://docs.google.com/spreadsheets/d/1BJSV3WBYJGRhQ6zExamkszQ5VutGIcaQqmbD9ZTVXMQ/edit#gid=1251630045"",""articles_with_PRISMA_reasons!B2:B2113"")))-1)"),"Nonaka")</f>
        <v>Nonaka</v>
      </c>
      <c r="C1094" s="6">
        <f>IFERROR(__xludf.DUMMYFUNCTION("FILTER(IMPORTRANGE(""https://docs.google.com/spreadsheets/d/1BJSV3WBYJGRhQ6zExamkszQ5VutGIcaQqmbD9ZTVXMQ/edit#gid=1251630045"",""articles_with_PRISMA_reasons!C2:C2113""), $A1094=IMPORTRANGE(""https://docs.google.com/spreadsheets/d/1BJSV3WBYJGRhQ6zExamkszQ"&amp;"5VutGIcaQqmbD9ZTVXMQ/edit#gid=1251630045"",""articles_with_PRISMA_reasons!B2:B2113""))"),2017.0)</f>
        <v>2017</v>
      </c>
      <c r="D1094" s="5" t="str">
        <f>IFERROR(__xludf.DUMMYFUNCTION("IFS(AND(
FILTER(IMPORTRANGE(""https://docs.google.com/spreadsheets/d/1BJSV3WBYJGRhQ6zExamkszQ5VutGIcaQqmbD9ZTVXMQ/edit#gid=1251630045"",""articles_with_PRISMA_reasons!Y2:Y2113""), $A1094=IMPORTRANGE(""https://docs.google.com/spreadsheets/d/1BJSV3WBYJGRhQ6"&amp;"zExamkszQ5VutGIcaQqmbD9ZTVXMQ/edit#gid=1251630045"",""articles_with_PRISMA_reasons!B2:B2113""))&gt;=2,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$A1094=IMPORTRANGE(""https://docs.google.com/spreadsheets/d/1BJSV3WBYJGRhQ6zExamkszQ5VutGIcaQqmbD9ZTVXMQ/edit#gid=1251630045"",""articles_with_PRISMA_reasons!B2:B2113""))&lt;2),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$A1094=IMPORTRANGE(""https://docs.google.com/spreadsheets/d/1BJSV3WBYJGRhQ6zExamkszQ5VutGIcaQqmbD9ZTVXMQ/edit#gid=1251630045"",""a"&amp;"rticles_with_PRISMA_reasons!B2:B2113""))&lt;2,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$A1094=IMPORTRANGE(""https://docs.google"&amp;".com/spreadsheets/d/1BJSV3WBYJGRhQ6zExamkszQ5VutGIcaQqmbD9ZTVXMQ/edit#gid=1251630045"",""articles_with_PRISMA_reasons!B2:B2113""))&gt;=2),
""Exclude""
)"),"Exclude")</f>
        <v>Exclude</v>
      </c>
      <c r="E1094" s="5" t="str">
        <f>IFERROR(__xludf.DUMMYFUNCTION("IFS(
D1094=""Exclude"",""Exclude"",
AND(
FILTER(IMPORTRANGE(""https://docs.google.com/spreadsheets/d/1qpEmbGH0JjaJbUdp21-y2cPbobDbMjr09BbtdKROZWc/edit#gid=1444865654"",""articles_with_PRISMA_reasons!W2:W2113""), $A1094=IMPORTRANGE(""https://docs.google.co"&amp;"m/spreadsheets/d/1qpEmbGH0JjaJbUdp21-y2cPbobDbMjr09BbtdKROZWc/edit#gid=1444865654"",""articles_with_PRISMA_reasons!B2:B2113""))&gt;=2,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$A1094=IMPORTRANGE(""https://docs.google.com/spreadsheets/d/1qpEmbGH0JjaJbUdp21-y2cPbobDbMjr09BbtdKROZWc/edit#gid=1444865654"",""articles_with_PRISMA_reasons!B2:B2113""))&lt;2),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$A1094=IMPORTRANGE(""https://docs.google.com/spreadsheets/d/1qpEmbGH0JjaJbUdp21-y2cPbobDbMjr09Bbtd"&amp;"KROZWc/edit#gid=1444865654"",""articles_with_PRISMA_reasons!B2:B2113""))&lt;2,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$A1094=I"&amp;"MPORTRANGE(""https://docs.google.com/spreadsheets/d/1qpEmbGH0JjaJbUdp21-y2cPbobDbMjr09BbtdKROZWc/edit#gid=1444865654"",""articles_with_PRISMA_reasons!B2:B2113""))&gt;=2),
""Exclude""
)"),"Exclude")</f>
        <v>Exclude</v>
      </c>
      <c r="F1094" s="5" t="str">
        <f>IFERROR(__xludf.DUMMYFUNCTION("IFS(
E1094=""Exclude"",""Exclude"",
AND(
COUNTIF(
IMPORTRANGE(""https://docs.google.com/spreadsheets/d/1kGrh75X1cNR1D7_FcY9zMnHP8iPO4M5RCRjy6nZY0TY/edit#gid=0"",""Table 1: Study characteristics!B4:B171""),A1094)&gt;0,
COUNTIF(Studies!$A$2:$A$85,FILTER(IMPORT"&amp;"RANGE(""https://docs.google.com/spreadsheets/d/1kGrh75X1cNR1D7_FcY9zMnHP8iPO4M5RCRjy6nZY0TY/edit#gid=0"",""Table 1: Study characteristics!A4:A171""), $A1094=IMPORTRANGE(""https://docs.google.com/spreadsheets/d/1kGrh75X1cNR1D7_FcY9zMnHP8iPO4M5RCRjy6nZY0TY/"&amp;"edit#gid=0"",""Table 1: Study characteristics!B4:B171"")))&gt;0
),
""Include""
)"),"Exclude")</f>
        <v>Exclude</v>
      </c>
      <c r="G1094" s="5" t="str">
        <f>IFERROR(__xludf.DUMMYFUNCTION("IFS(
D1094=""Exclude"",
FILTER(IMPORTRANGE(""https://docs.google.com/spreadsheets/d/1BJSV3WBYJGRhQ6zExamkszQ5VutGIcaQqmbD9ZTVXMQ/edit#gid=1251630045"",""articles_with_PRISMA_reasons!AB2:AB2113""), $A1094=IMPORTRANGE(""https://docs.google.com/spreadsheets/"&amp;"d/1BJSV3WBYJGRhQ6zExamkszQ5VutGIcaQqmbD9ZTVXMQ/edit#gid=1251630045"",""articles_with_PRISMA_reasons!B2:B2113"")),
E1094=""Exclude"",
FILTER(IMPORTRANGE(""https://docs.google.com/spreadsheets/d/1qpEmbGH0JjaJbUdp21-y2cPbobDbMjr09BbtdKROZWc/edit#gid=14448656"&amp;"54"",""articles_with_PRISMA_reasons!Z2:Z2113""), $A1094=IMPORTRANGE(""https://docs.google.com/spreadsheets/d/1qpEmbGH0JjaJbUdp21-y2cPbobDbMjr09BbtdKROZWc/edit#gid=1444865654"",""articles_with_PRISMA_reasons!B2:B2113"")),F1094
=""Include"",FILTER(IMPORTRAN"&amp;"GE(""https://docs.google.com/spreadsheets/d/1kGrh75X1cNR1D7_FcY9zMnHP8iPO4M5RCRjy6nZY0TY/edit#gid=0"",""Table 1: Study characteristics!A4:A171""), $A1094=IMPORTRANGE(""https://docs.google.com/spreadsheets/d/1kGrh75X1cNR1D7_FcY9zMnHP8iPO4M5RCRjy6nZY0TY/edi"&amp;"t#gid=0"",""Table 1: Study characteristics!B4:B171""))
)"),"background article")</f>
        <v>background article</v>
      </c>
    </row>
    <row r="1095">
      <c r="A1095" s="4" t="str">
        <f>IFERROR(__xludf.DUMMYFUNCTION("""COMPUTED_VALUE"""),"Long-term follow-up for patients with infantile hydrocephalus treated by choroid plexus coagulation")</f>
        <v>Long-term follow-up for patients with infantile hydrocephalus treated by choroid plexus coagulation</v>
      </c>
      <c r="B1095" s="5" t="str">
        <f>IFERROR(__xludf.DUMMYFUNCTION("LEFT(FILTER(IMPORTRANGE(""https://docs.google.com/spreadsheets/d/1BJSV3WBYJGRhQ6zExamkszQ5VutGIcaQqmbD9ZTVXMQ/edit#gid=1251630045"",""articles_with_PRISMA_reasons!K2:K2113""), $A1095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$A1095=IMPORTRANGE(""https://docs.google.com/spreadsheets/d/1BJSV3WBYJGRhQ6zExamkszQ5VutGIcaQqmbD9ZTVXMQ/edit#gid=1251630045"",""articles_with_PRISMA_reasons!B2:B2113"")))-1)"),"Okano")</f>
        <v>Okano</v>
      </c>
      <c r="C1095" s="6">
        <f>IFERROR(__xludf.DUMMYFUNCTION("FILTER(IMPORTRANGE(""https://docs.google.com/spreadsheets/d/1BJSV3WBYJGRhQ6zExamkszQ5VutGIcaQqmbD9ZTVXMQ/edit#gid=1251630045"",""articles_with_PRISMA_reasons!C2:C2113""), $A1095=IMPORTRANGE(""https://docs.google.com/spreadsheets/d/1BJSV3WBYJGRhQ6zExamkszQ"&amp;"5VutGIcaQqmbD9ZTVXMQ/edit#gid=1251630045"",""articles_with_PRISMA_reasons!B2:B2113""))"),2018.0)</f>
        <v>2018</v>
      </c>
      <c r="D1095" s="5" t="str">
        <f>IFERROR(__xludf.DUMMYFUNCTION("IFS(AND(
FILTER(IMPORTRANGE(""https://docs.google.com/spreadsheets/d/1BJSV3WBYJGRhQ6zExamkszQ5VutGIcaQqmbD9ZTVXMQ/edit#gid=1251630045"",""articles_with_PRISMA_reasons!Y2:Y2113""), $A1095=IMPORTRANGE(""https://docs.google.com/spreadsheets/d/1BJSV3WBYJGRhQ6"&amp;"zExamkszQ5VutGIcaQqmbD9ZTVXMQ/edit#gid=1251630045"",""articles_with_PRISMA_reasons!B2:B2113""))&gt;=2,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$A1095=IMPORTRANGE(""https://docs.google.com/spreadsheets/d/1BJSV3WBYJGRhQ6zExamkszQ5VutGIcaQqmbD9ZTVXMQ/edit#gid=1251630045"",""articles_with_PRISMA_reasons!B2:B2113""))&lt;2),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$A1095=IMPORTRANGE(""https://docs.google.com/spreadsheets/d/1BJSV3WBYJGRhQ6zExamkszQ5VutGIcaQqmbD9ZTVXMQ/edit#gid=1251630045"",""a"&amp;"rticles_with_PRISMA_reasons!B2:B2113""))&lt;2,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$A1095=IMPORTRANGE(""https://docs.google"&amp;".com/spreadsheets/d/1BJSV3WBYJGRhQ6zExamkszQ5VutGIcaQqmbD9ZTVXMQ/edit#gid=1251630045"",""articles_with_PRISMA_reasons!B2:B2113""))&gt;=2),
""Exclude""
)"),"Exclude")</f>
        <v>Exclude</v>
      </c>
      <c r="E1095" s="5" t="str">
        <f>IFERROR(__xludf.DUMMYFUNCTION("IFS(
D1095=""Exclude"",""Exclude"",
AND(
FILTER(IMPORTRANGE(""https://docs.google.com/spreadsheets/d/1qpEmbGH0JjaJbUdp21-y2cPbobDbMjr09BbtdKROZWc/edit#gid=1444865654"",""articles_with_PRISMA_reasons!W2:W2113""), $A1095=IMPORTRANGE(""https://docs.google.co"&amp;"m/spreadsheets/d/1qpEmbGH0JjaJbUdp21-y2cPbobDbMjr09BbtdKROZWc/edit#gid=1444865654"",""articles_with_PRISMA_reasons!B2:B2113""))&gt;=2,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$A1095=IMPORTRANGE(""https://docs.google.com/spreadsheets/d/1qpEmbGH0JjaJbUdp21-y2cPbobDbMjr09BbtdKROZWc/edit#gid=1444865654"",""articles_with_PRISMA_reasons!B2:B2113""))&lt;2),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$A1095=IMPORTRANGE(""https://docs.google.com/spreadsheets/d/1qpEmbGH0JjaJbUdp21-y2cPbobDbMjr09Bbtd"&amp;"KROZWc/edit#gid=1444865654"",""articles_with_PRISMA_reasons!B2:B2113""))&lt;2,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$A1095=I"&amp;"MPORTRANGE(""https://docs.google.com/spreadsheets/d/1qpEmbGH0JjaJbUdp21-y2cPbobDbMjr09BbtdKROZWc/edit#gid=1444865654"",""articles_with_PRISMA_reasons!B2:B2113""))&gt;=2),
""Exclude""
)"),"Exclude")</f>
        <v>Exclude</v>
      </c>
      <c r="F1095" s="5" t="str">
        <f>IFERROR(__xludf.DUMMYFUNCTION("IFS(
E1095=""Exclude"",""Exclude"",
AND(
COUNTIF(
IMPORTRANGE(""https://docs.google.com/spreadsheets/d/1kGrh75X1cNR1D7_FcY9zMnHP8iPO4M5RCRjy6nZY0TY/edit#gid=0"",""Table 1: Study characteristics!B4:B171""),A1095)&gt;0,
COUNTIF(Studies!$A$2:$A$85,FILTER(IMPORT"&amp;"RANGE(""https://docs.google.com/spreadsheets/d/1kGrh75X1cNR1D7_FcY9zMnHP8iPO4M5RCRjy6nZY0TY/edit#gid=0"",""Table 1: Study characteristics!A4:A171""), $A1095=IMPORTRANGE(""https://docs.google.com/spreadsheets/d/1kGrh75X1cNR1D7_FcY9zMnHP8iPO4M5RCRjy6nZY0TY/"&amp;"edit#gid=0"",""Table 1: Study characteristics!B4:B171"")))&gt;0
),
""Include""
)"),"Exclude")</f>
        <v>Exclude</v>
      </c>
      <c r="G1095" s="5" t="str">
        <f>IFERROR(__xludf.DUMMYFUNCTION("IFS(
D1095=""Exclude"",
FILTER(IMPORTRANGE(""https://docs.google.com/spreadsheets/d/1BJSV3WBYJGRhQ6zExamkszQ5VutGIcaQqmbD9ZTVXMQ/edit#gid=1251630045"",""articles_with_PRISMA_reasons!AB2:AB2113""), $A1095=IMPORTRANGE(""https://docs.google.com/spreadsheets/"&amp;"d/1BJSV3WBYJGRhQ6zExamkszQ5VutGIcaQqmbD9ZTVXMQ/edit#gid=1251630045"",""articles_with_PRISMA_reasons!B2:B2113"")),
E1095=""Exclude"",
FILTER(IMPORTRANGE(""https://docs.google.com/spreadsheets/d/1qpEmbGH0JjaJbUdp21-y2cPbobDbMjr09BbtdKROZWc/edit#gid=14448656"&amp;"54"",""articles_with_PRISMA_reasons!Z2:Z2113""), $A1095=IMPORTRANGE(""https://docs.google.com/spreadsheets/d/1qpEmbGH0JjaJbUdp21-y2cPbobDbMjr09BbtdKROZWc/edit#gid=1444865654"",""articles_with_PRISMA_reasons!B2:B2113"")),F1095
=""Include"",FILTER(IMPORTRAN"&amp;"GE(""https://docs.google.com/spreadsheets/d/1kGrh75X1cNR1D7_FcY9zMnHP8iPO4M5RCRjy6nZY0TY/edit#gid=0"",""Table 1: Study characteristics!A4:A171""), $A1095=IMPORTRANGE(""https://docs.google.com/spreadsheets/d/1kGrh75X1cNR1D7_FcY9zMnHP8iPO4M5RCRjy6nZY0TY/edi"&amp;"t#gid=0"",""Table 1: Study characteristics!B4:B171""))
)"),"wrong population")</f>
        <v>wrong population</v>
      </c>
    </row>
    <row r="1096">
      <c r="A1096" s="4" t="str">
        <f>IFERROR(__xludf.DUMMYFUNCTION("""COMPUTED_VALUE"""),"Long-term follow-up of children and adolescents with meningomyelocele. Concept and results of an interdisciplinary cooperation")</f>
        <v>Long-term follow-up of children and adolescents with meningomyelocele. Concept and results of an interdisciplinary cooperation</v>
      </c>
      <c r="B1096" s="5" t="str">
        <f>IFERROR(__xludf.DUMMYFUNCTION("LEFT(FILTER(IMPORTRANGE(""https://docs.google.com/spreadsheets/d/1BJSV3WBYJGRhQ6zExamkszQ5VutGIcaQqmbD9ZTVXMQ/edit#gid=1251630045"",""articles_with_PRISMA_reasons!K2:K2113""), $A1096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$A1096=IMPORTRANGE(""https://docs.google.com/spreadsheets/d/1BJSV3WBYJGRhQ6zExamkszQ5VutGIcaQqmbD9ZTVXMQ/edit#gid=1251630045"",""articles_with_PRISMA_reasons!B2:B2113"")))-1)"),"Trollmann")</f>
        <v>Trollmann</v>
      </c>
      <c r="C1096" s="6">
        <f>IFERROR(__xludf.DUMMYFUNCTION("FILTER(IMPORTRANGE(""https://docs.google.com/spreadsheets/d/1BJSV3WBYJGRhQ6zExamkszQ5VutGIcaQqmbD9ZTVXMQ/edit#gid=1251630045"",""articles_with_PRISMA_reasons!C2:C2113""), $A1096=IMPORTRANGE(""https://docs.google.com/spreadsheets/d/1BJSV3WBYJGRhQ6zExamkszQ"&amp;"5VutGIcaQqmbD9ZTVXMQ/edit#gid=1251630045"",""articles_with_PRISMA_reasons!B2:B2113""))"),1995.0)</f>
        <v>1995</v>
      </c>
      <c r="D1096" s="5" t="str">
        <f>IFERROR(__xludf.DUMMYFUNCTION("IFS(AND(
FILTER(IMPORTRANGE(""https://docs.google.com/spreadsheets/d/1BJSV3WBYJGRhQ6zExamkszQ5VutGIcaQqmbD9ZTVXMQ/edit#gid=1251630045"",""articles_with_PRISMA_reasons!Y2:Y2113""), $A1096=IMPORTRANGE(""https://docs.google.com/spreadsheets/d/1BJSV3WBYJGRhQ6"&amp;"zExamkszQ5VutGIcaQqmbD9ZTVXMQ/edit#gid=1251630045"",""articles_with_PRISMA_reasons!B2:B2113""))&gt;=2,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$A1096=IMPORTRANGE(""https://docs.google.com/spreadsheets/d/1BJSV3WBYJGRhQ6zExamkszQ5VutGIcaQqmbD9ZTVXMQ/edit#gid=1251630045"",""articles_with_PRISMA_reasons!B2:B2113""))&lt;2),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$A1096=IMPORTRANGE(""https://docs.google.com/spreadsheets/d/1BJSV3WBYJGRhQ6zExamkszQ5VutGIcaQqmbD9ZTVXMQ/edit#gid=1251630045"",""a"&amp;"rticles_with_PRISMA_reasons!B2:B2113""))&lt;2,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$A1096=IMPORTRANGE(""https://docs.google"&amp;".com/spreadsheets/d/1BJSV3WBYJGRhQ6zExamkszQ5VutGIcaQqmbD9ZTVXMQ/edit#gid=1251630045"",""articles_with_PRISMA_reasons!B2:B2113""))&gt;=2),
""Exclude""
)"),"Include")</f>
        <v>Include</v>
      </c>
      <c r="E1096" s="5" t="str">
        <f>IFERROR(__xludf.DUMMYFUNCTION("IFS(
D1096=""Exclude"",""Exclude"",
AND(
FILTER(IMPORTRANGE(""https://docs.google.com/spreadsheets/d/1qpEmbGH0JjaJbUdp21-y2cPbobDbMjr09BbtdKROZWc/edit#gid=1444865654"",""articles_with_PRISMA_reasons!W2:W2113""), $A1096=IMPORTRANGE(""https://docs.google.co"&amp;"m/spreadsheets/d/1qpEmbGH0JjaJbUdp21-y2cPbobDbMjr09BbtdKROZWc/edit#gid=1444865654"",""articles_with_PRISMA_reasons!B2:B2113""))&gt;=2,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$A1096=IMPORTRANGE(""https://docs.google.com/spreadsheets/d/1qpEmbGH0JjaJbUdp21-y2cPbobDbMjr09BbtdKROZWc/edit#gid=1444865654"",""articles_with_PRISMA_reasons!B2:B2113""))&lt;2),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$A1096=IMPORTRANGE(""https://docs.google.com/spreadsheets/d/1qpEmbGH0JjaJbUdp21-y2cPbobDbMjr09Bbtd"&amp;"KROZWc/edit#gid=1444865654"",""articles_with_PRISMA_reasons!B2:B2113""))&lt;2,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$A1096=I"&amp;"MPORTRANGE(""https://docs.google.com/spreadsheets/d/1qpEmbGH0JjaJbUdp21-y2cPbobDbMjr09BbtdKROZWc/edit#gid=1444865654"",""articles_with_PRISMA_reasons!B2:B2113""))&gt;=2),
""Exclude""
)"),"Exclude")</f>
        <v>Exclude</v>
      </c>
      <c r="F1096" s="5" t="str">
        <f>IFERROR(__xludf.DUMMYFUNCTION("IFS(
E1096=""Exclude"",""Exclude"",
AND(
COUNTIF(
IMPORTRANGE(""https://docs.google.com/spreadsheets/d/1kGrh75X1cNR1D7_FcY9zMnHP8iPO4M5RCRjy6nZY0TY/edit#gid=0"",""Table 1: Study characteristics!B4:B171""),A1096)&gt;0,
COUNTIF(Studies!$A$2:$A$85,FILTER(IMPORT"&amp;"RANGE(""https://docs.google.com/spreadsheets/d/1kGrh75X1cNR1D7_FcY9zMnHP8iPO4M5RCRjy6nZY0TY/edit#gid=0"",""Table 1: Study characteristics!A4:A171""), $A1096=IMPORTRANGE(""https://docs.google.com/spreadsheets/d/1kGrh75X1cNR1D7_FcY9zMnHP8iPO4M5RCRjy6nZY0TY/"&amp;"edit#gid=0"",""Table 1: Study characteristics!B4:B171"")))&gt;0
),
""Include""
)"),"Exclude")</f>
        <v>Exclude</v>
      </c>
      <c r="G1096" s="5" t="str">
        <f>IFERROR(__xludf.DUMMYFUNCTION("IFS(
D1096=""Exclude"",
FILTER(IMPORTRANGE(""https://docs.google.com/spreadsheets/d/1BJSV3WBYJGRhQ6zExamkszQ5VutGIcaQqmbD9ZTVXMQ/edit#gid=1251630045"",""articles_with_PRISMA_reasons!AB2:AB2113""), $A1096=IMPORTRANGE(""https://docs.google.com/spreadsheets/"&amp;"d/1BJSV3WBYJGRhQ6zExamkszQ5VutGIcaQqmbD9ZTVXMQ/edit#gid=1251630045"",""articles_with_PRISMA_reasons!B2:B2113"")),
E1096=""Exclude"",
FILTER(IMPORTRANGE(""https://docs.google.com/spreadsheets/d/1qpEmbGH0JjaJbUdp21-y2cPbobDbMjr09BbtdKROZWc/edit#gid=14448656"&amp;"54"",""articles_with_PRISMA_reasons!Z2:Z2113""), $A1096=IMPORTRANGE(""https://docs.google.com/spreadsheets/d/1qpEmbGH0JjaJbUdp21-y2cPbobDbMjr09BbtdKROZWc/edit#gid=1444865654"",""articles_with_PRISMA_reasons!B2:B2113"")),F1096
=""Include"",FILTER(IMPORTRAN"&amp;"GE(""https://docs.google.com/spreadsheets/d/1kGrh75X1cNR1D7_FcY9zMnHP8iPO4M5RCRjy6nZY0TY/edit#gid=0"",""Table 1: Study characteristics!A4:A171""), $A1096=IMPORTRANGE(""https://docs.google.com/spreadsheets/d/1kGrh75X1cNR1D7_FcY9zMnHP8iPO4M5RCRjy6nZY0TY/edi"&amp;"t#gid=0"",""Table 1: Study characteristics!B4:B171""))
)"),"text not accessible")</f>
        <v>text not accessible</v>
      </c>
    </row>
    <row r="1097">
      <c r="A1097" s="4" t="str">
        <f>IFERROR(__xludf.DUMMYFUNCTION("""COMPUTED_VALUE"""),"Long-term functional evaluation of congenital hydrocephalus in infants and children")</f>
        <v>Long-term functional evaluation of congenital hydrocephalus in infants and children</v>
      </c>
      <c r="B1097" s="5" t="str">
        <f>IFERROR(__xludf.DUMMYFUNCTION("LEFT(FILTER(IMPORTRANGE(""https://docs.google.com/spreadsheets/d/1BJSV3WBYJGRhQ6zExamkszQ5VutGIcaQqmbD9ZTVXMQ/edit#gid=1251630045"",""articles_with_PRISMA_reasons!K2:K2113""), $A1097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$A1097=IMPORTRANGE(""https://docs.google.com/spreadsheets/d/1BJSV3WBYJGRhQ6zExamkszQ5VutGIcaQqmbD9ZTVXMQ/edit#gid=1251630045"",""articles_with_PRISMA_reasons!B2:B2113"")))-1)"),"Hayashi")</f>
        <v>Hayashi</v>
      </c>
      <c r="C1097" s="3">
        <v>2002.0</v>
      </c>
      <c r="D1097" s="5" t="str">
        <f>IFERROR(__xludf.DUMMYFUNCTION("IFS(AND(
FILTER(IMPORTRANGE(""https://docs.google.com/spreadsheets/d/1BJSV3WBYJGRhQ6zExamkszQ5VutGIcaQqmbD9ZTVXMQ/edit#gid=1251630045"",""articles_with_PRISMA_reasons!Y2:Y2113""), $A1097=IMPORTRANGE(""https://docs.google.com/spreadsheets/d/1BJSV3WBYJGRhQ6"&amp;"zExamkszQ5VutGIcaQqmbD9ZTVXMQ/edit#gid=1251630045"",""articles_with_PRISMA_reasons!B2:B2113""))&gt;=2,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$A1097=IMPORTRANGE(""https://docs.google.com/spreadsheets/d/1BJSV3WBYJGRhQ6zExamkszQ5VutGIcaQqmbD9ZTVXMQ/edit#gid=1251630045"",""articles_with_PRISMA_reasons!B2:B2113""))&lt;2),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$A1097=IMPORTRANGE(""https://docs.google.com/spreadsheets/d/1BJSV3WBYJGRhQ6zExamkszQ5VutGIcaQqmbD9ZTVXMQ/edit#gid=1251630045"",""a"&amp;"rticles_with_PRISMA_reasons!B2:B2113""))&lt;2,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$A1097=IMPORTRANGE(""https://docs.google"&amp;".com/spreadsheets/d/1BJSV3WBYJGRhQ6zExamkszQ5VutGIcaQqmbD9ZTVXMQ/edit#gid=1251630045"",""articles_with_PRISMA_reasons!B2:B2113""))&gt;=2),
""Exclude""
)"),"Include")</f>
        <v>Include</v>
      </c>
      <c r="E1097" s="5" t="str">
        <f>IFERROR(__xludf.DUMMYFUNCTION("IFS(
D1097=""Exclude"",""Exclude"",
AND(
FILTER(IMPORTRANGE(""https://docs.google.com/spreadsheets/d/1qpEmbGH0JjaJbUdp21-y2cPbobDbMjr09BbtdKROZWc/edit#gid=1444865654"",""articles_with_PRISMA_reasons!W2:W2113""), $A1097=IMPORTRANGE(""https://docs.google.co"&amp;"m/spreadsheets/d/1qpEmbGH0JjaJbUdp21-y2cPbobDbMjr09BbtdKROZWc/edit#gid=1444865654"",""articles_with_PRISMA_reasons!B2:B2113""))&gt;=2,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$A1097=IMPORTRANGE(""https://docs.google.com/spreadsheets/d/1qpEmbGH0JjaJbUdp21-y2cPbobDbMjr09BbtdKROZWc/edit#gid=1444865654"",""articles_with_PRISMA_reasons!B2:B2113""))&lt;2),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$A1097=IMPORTRANGE(""https://docs.google.com/spreadsheets/d/1qpEmbGH0JjaJbUdp21-y2cPbobDbMjr09Bbtd"&amp;"KROZWc/edit#gid=1444865654"",""articles_with_PRISMA_reasons!B2:B2113""))&lt;2,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$A1097=I"&amp;"MPORTRANGE(""https://docs.google.com/spreadsheets/d/1qpEmbGH0JjaJbUdp21-y2cPbobDbMjr09BbtdKROZWc/edit#gid=1444865654"",""articles_with_PRISMA_reasons!B2:B2113""))&gt;=2),
""Exclude""
)"),"Include")</f>
        <v>Include</v>
      </c>
      <c r="F1097" s="2" t="s">
        <v>8</v>
      </c>
      <c r="G1097" s="2" t="s">
        <v>16</v>
      </c>
    </row>
    <row r="1098">
      <c r="A1098" s="4" t="str">
        <f>IFERROR(__xludf.DUMMYFUNCTION("""COMPUTED_VALUE"""),"Long-term functional evaluation of congenital hydrocephalus in infants and children")</f>
        <v>Long-term functional evaluation of congenital hydrocephalus in infants and children</v>
      </c>
      <c r="B1098" s="5" t="str">
        <f>IFERROR(__xludf.DUMMYFUNCTION("LEFT(FILTER(IMPORTRANGE(""https://docs.google.com/spreadsheets/d/1BJSV3WBYJGRhQ6zExamkszQ5VutGIcaQqmbD9ZTVXMQ/edit#gid=1251630045"",""articles_with_PRISMA_reasons!K2:K2113""), $A1098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$A1098=IMPORTRANGE(""https://docs.google.com/spreadsheets/d/1BJSV3WBYJGRhQ6zExamkszQ5VutGIcaQqmbD9ZTVXMQ/edit#gid=1251630045"",""articles_with_PRISMA_reasons!B2:B2113"")))-1)"),"Hayashi")</f>
        <v>Hayashi</v>
      </c>
      <c r="C1098" s="3">
        <v>2002.0</v>
      </c>
      <c r="D1098" s="5" t="str">
        <f>IFERROR(__xludf.DUMMYFUNCTION("IFS(AND(
FILTER(IMPORTRANGE(""https://docs.google.com/spreadsheets/d/1BJSV3WBYJGRhQ6zExamkszQ5VutGIcaQqmbD9ZTVXMQ/edit#gid=1251630045"",""articles_with_PRISMA_reasons!Y2:Y2113""), $A1098=IMPORTRANGE(""https://docs.google.com/spreadsheets/d/1BJSV3WBYJGRhQ6"&amp;"zExamkszQ5VutGIcaQqmbD9ZTVXMQ/edit#gid=1251630045"",""articles_with_PRISMA_reasons!B2:B2113""))&gt;=2,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$A1098=IMPORTRANGE(""https://docs.google.com/spreadsheets/d/1BJSV3WBYJGRhQ6zExamkszQ5VutGIcaQqmbD9ZTVXMQ/edit#gid=1251630045"",""articles_with_PRISMA_reasons!B2:B2113""))&lt;2),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$A1098=IMPORTRANGE(""https://docs.google.com/spreadsheets/d/1BJSV3WBYJGRhQ6zExamkszQ5VutGIcaQqmbD9ZTVXMQ/edit#gid=1251630045"",""a"&amp;"rticles_with_PRISMA_reasons!B2:B2113""))&lt;2,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$A1098=IMPORTRANGE(""https://docs.google"&amp;".com/spreadsheets/d/1BJSV3WBYJGRhQ6zExamkszQ5VutGIcaQqmbD9ZTVXMQ/edit#gid=1251630045"",""articles_with_PRISMA_reasons!B2:B2113""))&gt;=2),
""Exclude""
)"),"Include")</f>
        <v>Include</v>
      </c>
      <c r="E1098" s="5" t="str">
        <f>IFERROR(__xludf.DUMMYFUNCTION("IFS(
D1098=""Exclude"",""Exclude"",
AND(
FILTER(IMPORTRANGE(""https://docs.google.com/spreadsheets/d/1qpEmbGH0JjaJbUdp21-y2cPbobDbMjr09BbtdKROZWc/edit#gid=1444865654"",""articles_with_PRISMA_reasons!W2:W2113""), $A1098=IMPORTRANGE(""https://docs.google.co"&amp;"m/spreadsheets/d/1qpEmbGH0JjaJbUdp21-y2cPbobDbMjr09BbtdKROZWc/edit#gid=1444865654"",""articles_with_PRISMA_reasons!B2:B2113""))&gt;=2,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$A1098=IMPORTRANGE(""https://docs.google.com/spreadsheets/d/1qpEmbGH0JjaJbUdp21-y2cPbobDbMjr09BbtdKROZWc/edit#gid=1444865654"",""articles_with_PRISMA_reasons!B2:B2113""))&lt;2),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$A1098=IMPORTRANGE(""https://docs.google.com/spreadsheets/d/1qpEmbGH0JjaJbUdp21-y2cPbobDbMjr09Bbtd"&amp;"KROZWc/edit#gid=1444865654"",""articles_with_PRISMA_reasons!B2:B2113""))&lt;2,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$A1098=I"&amp;"MPORTRANGE(""https://docs.google.com/spreadsheets/d/1qpEmbGH0JjaJbUdp21-y2cPbobDbMjr09BbtdKROZWc/edit#gid=1444865654"",""articles_with_PRISMA_reasons!B2:B2113""))&gt;=2),
""Exclude""
)"),"Include")</f>
        <v>Include</v>
      </c>
      <c r="F1098" s="2" t="s">
        <v>8</v>
      </c>
      <c r="G1098" s="2" t="s">
        <v>13</v>
      </c>
    </row>
    <row r="1099">
      <c r="A1099" s="4" t="str">
        <f>IFERROR(__xludf.DUMMYFUNCTION("""COMPUTED_VALUE"""),"Long-Term Intellectual and Fine Motor Outcomes in Spina Bifida Are Related to Myelomeningocele Repair and Shunt Intervention History")</f>
        <v>Long-Term Intellectual and Fine Motor Outcomes in Spina Bifida Are Related to Myelomeningocele Repair and Shunt Intervention History</v>
      </c>
      <c r="B1099" s="5" t="str">
        <f>IFERROR(__xludf.DUMMYFUNCTION("LEFT(FILTER(IMPORTRANGE(""https://docs.google.com/spreadsheets/d/1BJSV3WBYJGRhQ6zExamkszQ5VutGIcaQqmbD9ZTVXMQ/edit#gid=1251630045"",""articles_with_PRISMA_reasons!K2:K2113""), $A1099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$A1099=IMPORTRANGE(""https://docs.google.com/spreadsheets/d/1BJSV3WBYJGRhQ6zExamkszQ5VutGIcaQqmbD9ZTVXMQ/edit#gid=1251630045"",""articles_with_PRISMA_reasons!B2:B2113"")))-1)"),"Ware")</f>
        <v>Ware</v>
      </c>
      <c r="C1099" s="6">
        <f>IFERROR(__xludf.DUMMYFUNCTION("FILTER(IMPORTRANGE(""https://docs.google.com/spreadsheets/d/1BJSV3WBYJGRhQ6zExamkszQ5VutGIcaQqmbD9ZTVXMQ/edit#gid=1251630045"",""articles_with_PRISMA_reasons!C2:C2113""), $A1099=IMPORTRANGE(""https://docs.google.com/spreadsheets/d/1BJSV3WBYJGRhQ6zExamkszQ"&amp;"5VutGIcaQqmbD9ZTVXMQ/edit#gid=1251630045"",""articles_with_PRISMA_reasons!B2:B2113""))"),2020.0)</f>
        <v>2020</v>
      </c>
      <c r="D1099" s="5" t="str">
        <f>IFERROR(__xludf.DUMMYFUNCTION("IFS(AND(
FILTER(IMPORTRANGE(""https://docs.google.com/spreadsheets/d/1BJSV3WBYJGRhQ6zExamkszQ5VutGIcaQqmbD9ZTVXMQ/edit#gid=1251630045"",""articles_with_PRISMA_reasons!Y2:Y2113""), $A1099=IMPORTRANGE(""https://docs.google.com/spreadsheets/d/1BJSV3WBYJGRhQ6"&amp;"zExamkszQ5VutGIcaQqmbD9ZTVXMQ/edit#gid=1251630045"",""articles_with_PRISMA_reasons!B2:B2113""))&gt;=2,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$A1099=IMPORTRANGE(""https://docs.google.com/spreadsheets/d/1BJSV3WBYJGRhQ6zExamkszQ5VutGIcaQqmbD9ZTVXMQ/edit#gid=1251630045"",""articles_with_PRISMA_reasons!B2:B2113""))&lt;2),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$A1099=IMPORTRANGE(""https://docs.google.com/spreadsheets/d/1BJSV3WBYJGRhQ6zExamkszQ5VutGIcaQqmbD9ZTVXMQ/edit#gid=1251630045"",""a"&amp;"rticles_with_PRISMA_reasons!B2:B2113""))&lt;2,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$A1099=IMPORTRANGE(""https://docs.google"&amp;".com/spreadsheets/d/1BJSV3WBYJGRhQ6zExamkszQ5VutGIcaQqmbD9ZTVXMQ/edit#gid=1251630045"",""articles_with_PRISMA_reasons!B2:B2113""))&gt;=2),
""Exclude""
)"),"Exclude")</f>
        <v>Exclude</v>
      </c>
      <c r="E1099" s="5" t="str">
        <f>IFERROR(__xludf.DUMMYFUNCTION("IFS(
D1099=""Exclude"",""Exclude"",
AND(
FILTER(IMPORTRANGE(""https://docs.google.com/spreadsheets/d/1qpEmbGH0JjaJbUdp21-y2cPbobDbMjr09BbtdKROZWc/edit#gid=1444865654"",""articles_with_PRISMA_reasons!W2:W2113""), $A1099=IMPORTRANGE(""https://docs.google.co"&amp;"m/spreadsheets/d/1qpEmbGH0JjaJbUdp21-y2cPbobDbMjr09BbtdKROZWc/edit#gid=1444865654"",""articles_with_PRISMA_reasons!B2:B2113""))&gt;=2,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$A1099=IMPORTRANGE(""https://docs.google.com/spreadsheets/d/1qpEmbGH0JjaJbUdp21-y2cPbobDbMjr09BbtdKROZWc/edit#gid=1444865654"",""articles_with_PRISMA_reasons!B2:B2113""))&lt;2),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$A1099=IMPORTRANGE(""https://docs.google.com/spreadsheets/d/1qpEmbGH0JjaJbUdp21-y2cPbobDbMjr09Bbtd"&amp;"KROZWc/edit#gid=1444865654"",""articles_with_PRISMA_reasons!B2:B2113""))&lt;2,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$A1099=I"&amp;"MPORTRANGE(""https://docs.google.com/spreadsheets/d/1qpEmbGH0JjaJbUdp21-y2cPbobDbMjr09BbtdKROZWc/edit#gid=1444865654"",""articles_with_PRISMA_reasons!B2:B2113""))&gt;=2),
""Exclude""
)"),"Exclude")</f>
        <v>Exclude</v>
      </c>
      <c r="F1099" s="5" t="str">
        <f>IFERROR(__xludf.DUMMYFUNCTION("IFS(
E1099=""Exclude"",""Exclude"",
AND(
COUNTIF(
IMPORTRANGE(""https://docs.google.com/spreadsheets/d/1kGrh75X1cNR1D7_FcY9zMnHP8iPO4M5RCRjy6nZY0TY/edit#gid=0"",""Table 1: Study characteristics!B4:B171""),A1099)&gt;0,
COUNTIF(Studies!$A$2:$A$85,FILTER(IMPORT"&amp;"RANGE(""https://docs.google.com/spreadsheets/d/1kGrh75X1cNR1D7_FcY9zMnHP8iPO4M5RCRjy6nZY0TY/edit#gid=0"",""Table 1: Study characteristics!A4:A171""), $A1099=IMPORTRANGE(""https://docs.google.com/spreadsheets/d/1kGrh75X1cNR1D7_FcY9zMnHP8iPO4M5RCRjy6nZY0TY/"&amp;"edit#gid=0"",""Table 1: Study characteristics!B4:B171"")))&gt;0
),
""Include""
)"),"Exclude")</f>
        <v>Exclude</v>
      </c>
      <c r="G1099" s="5" t="str">
        <f>IFERROR(__xludf.DUMMYFUNCTION("IFS(
D1099=""Exclude"",
FILTER(IMPORTRANGE(""https://docs.google.com/spreadsheets/d/1BJSV3WBYJGRhQ6zExamkszQ5VutGIcaQqmbD9ZTVXMQ/edit#gid=1251630045"",""articles_with_PRISMA_reasons!AB2:AB2113""), $A1099=IMPORTRANGE(""https://docs.google.com/spreadsheets/"&amp;"d/1BJSV3WBYJGRhQ6zExamkszQ5VutGIcaQqmbD9ZTVXMQ/edit#gid=1251630045"",""articles_with_PRISMA_reasons!B2:B2113"")),
E1099=""Exclude"",
FILTER(IMPORTRANGE(""https://docs.google.com/spreadsheets/d/1qpEmbGH0JjaJbUdp21-y2cPbobDbMjr09BbtdKROZWc/edit#gid=14448656"&amp;"54"",""articles_with_PRISMA_reasons!Z2:Z2113""), $A1099=IMPORTRANGE(""https://docs.google.com/spreadsheets/d/1qpEmbGH0JjaJbUdp21-y2cPbobDbMjr09BbtdKROZWc/edit#gid=1444865654"",""articles_with_PRISMA_reasons!B2:B2113"")),F1099
=""Include"",FILTER(IMPORTRAN"&amp;"GE(""https://docs.google.com/spreadsheets/d/1kGrh75X1cNR1D7_FcY9zMnHP8iPO4M5RCRjy6nZY0TY/edit#gid=0"",""Table 1: Study characteristics!A4:A171""), $A1099=IMPORTRANGE(""https://docs.google.com/spreadsheets/d/1kGrh75X1cNR1D7_FcY9zMnHP8iPO4M5RCRjy6nZY0TY/edi"&amp;"t#gid=0"",""Table 1: Study characteristics!B4:B171""))
)"),"wrong population")</f>
        <v>wrong population</v>
      </c>
    </row>
    <row r="1100">
      <c r="A1100" s="4" t="str">
        <f>IFERROR(__xludf.DUMMYFUNCTION("""COMPUTED_VALUE"""),"Long-term mortality rates in pediatric hydrocephalus-a retrospective single-center study")</f>
        <v>Long-term mortality rates in pediatric hydrocephalus-a retrospective single-center study</v>
      </c>
      <c r="B1100" s="5" t="str">
        <f>IFERROR(__xludf.DUMMYFUNCTION("LEFT(FILTER(IMPORTRANGE(""https://docs.google.com/spreadsheets/d/1BJSV3WBYJGRhQ6zExamkszQ5VutGIcaQqmbD9ZTVXMQ/edit#gid=1251630045"",""articles_with_PRISMA_reasons!K2:K2113""), $A1100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$A1100=IMPORTRANGE(""https://docs.google.com/spreadsheets/d/1BJSV3WBYJGRhQ6zExamkszQ5VutGIcaQqmbD9ZTVXMQ/edit#gid=1251630045"",""articles_with_PRISMA_reasons!B2:B2113"")))-1)"),"Gmeiner")</f>
        <v>Gmeiner</v>
      </c>
      <c r="C1100" s="6" t="str">
        <f>IFERROR(__xludf.DUMMYFUNCTION("FILTER(IMPORTRANGE(""https://docs.google.com/spreadsheets/d/1BJSV3WBYJGRhQ6zExamkszQ5VutGIcaQqmbD9ZTVXMQ/edit#gid=1251630045"",""articles_with_PRISMA_reasons!C2:C2113""), $A1100=IMPORTRANGE(""https://docs.google.com/spreadsheets/d/1BJSV3WBYJGRhQ6zExamkszQ"&amp;"5VutGIcaQqmbD9ZTVXMQ/edit#gid=1251630045"",""articles_with_PRISMA_reasons!B2:B2113""))"),"Jan")</f>
        <v>Jan</v>
      </c>
      <c r="D1100" s="5" t="str">
        <f>IFERROR(__xludf.DUMMYFUNCTION("IFS(AND(
FILTER(IMPORTRANGE(""https://docs.google.com/spreadsheets/d/1BJSV3WBYJGRhQ6zExamkszQ5VutGIcaQqmbD9ZTVXMQ/edit#gid=1251630045"",""articles_with_PRISMA_reasons!Y2:Y2113""), $A1100=IMPORTRANGE(""https://docs.google.com/spreadsheets/d/1BJSV3WBYJGRhQ6"&amp;"zExamkszQ5VutGIcaQqmbD9ZTVXMQ/edit#gid=1251630045"",""articles_with_PRISMA_reasons!B2:B2113""))&gt;=2,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$A1100=IMPORTRANGE(""https://docs.google"&amp;".com/spreadsheets/d/1BJSV3WBYJGRhQ6zExamkszQ5VutGIcaQqmbD9ZTVXMQ/edit#gid=1251630045"",""articles_with_PRISMA_reasons!B2:B2113""))&gt;=2),
""Exclude""
)"),"Include")</f>
        <v>Include</v>
      </c>
      <c r="E1100" s="2" t="s">
        <v>14</v>
      </c>
      <c r="F1100" s="2" t="s">
        <v>14</v>
      </c>
      <c r="G1100" s="2" t="s">
        <v>31</v>
      </c>
    </row>
    <row r="1101">
      <c r="A1101" s="4" t="str">
        <f>IFERROR(__xludf.DUMMYFUNCTION("""COMPUTED_VALUE"""),"Long-term outcome and complications of children born with meningomyelocele")</f>
        <v>Long-term outcome and complications of children born with meningomyelocele</v>
      </c>
      <c r="B1101" s="5" t="str">
        <f>IFERROR(__xludf.DUMMYFUNCTION("LEFT(FILTER(IMPORTRANGE(""https://docs.google.com/spreadsheets/d/1BJSV3WBYJGRhQ6zExamkszQ5VutGIcaQqmbD9ZTVXMQ/edit#gid=1251630045"",""articles_with_PRISMA_reasons!K2:K2113""), $A1101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$A1101=IMPORTRANGE(""https://docs.google.com/spreadsheets/d/1BJSV3WBYJGRhQ6zExamkszQ5VutGIcaQqmbD9ZTVXMQ/edit#gid=1251630045"",""articles_with_PRISMA_reasons!B2:B2113"")))-1)"),"Steinbok")</f>
        <v>Steinbok</v>
      </c>
      <c r="C1101" s="1">
        <v>1992.0</v>
      </c>
      <c r="D1101" s="5" t="str">
        <f>IFERROR(__xludf.DUMMYFUNCTION("IFS(AND(
FILTER(IMPORTRANGE(""https://docs.google.com/spreadsheets/d/1BJSV3WBYJGRhQ6zExamkszQ5VutGIcaQqmbD9ZTVXMQ/edit#gid=1251630045"",""articles_with_PRISMA_reasons!Y2:Y2113""), $A1101=IMPORTRANGE(""https://docs.google.com/spreadsheets/d/1BJSV3WBYJGRhQ6"&amp;"zExamkszQ5VutGIcaQqmbD9ZTVXMQ/edit#gid=1251630045"",""articles_with_PRISMA_reasons!B2:B2113""))&gt;=2,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$A1101=IMPORTRANGE(""https://docs.google"&amp;".com/spreadsheets/d/1BJSV3WBYJGRhQ6zExamkszQ5VutGIcaQqmbD9ZTVXMQ/edit#gid=1251630045"",""articles_with_PRISMA_reasons!B2:B2113""))&gt;=2),
""Exclude""
)"),"Include")</f>
        <v>Include</v>
      </c>
      <c r="E1101" s="2" t="s">
        <v>14</v>
      </c>
      <c r="F1101" s="2" t="s">
        <v>14</v>
      </c>
      <c r="G1101" s="2" t="s">
        <v>32</v>
      </c>
    </row>
    <row r="1102">
      <c r="A1102" s="4" t="str">
        <f>IFERROR(__xludf.DUMMYFUNCTION("""COMPUTED_VALUE"""),"Long-term outcome and complications of children born with meningomyelocele")</f>
        <v>Long-term outcome and complications of children born with meningomyelocele</v>
      </c>
      <c r="B1102" s="5" t="str">
        <f>IFERROR(__xludf.DUMMYFUNCTION("LEFT(FILTER(IMPORTRANGE(""https://docs.google.com/spreadsheets/d/1BJSV3WBYJGRhQ6zExamkszQ5VutGIcaQqmbD9ZTVXMQ/edit#gid=1251630045"",""articles_with_PRISMA_reasons!K2:K2113""), $A1102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$A1102=IMPORTRANGE(""https://docs.google.com/spreadsheets/d/1BJSV3WBYJGRhQ6zExamkszQ5VutGIcaQqmbD9ZTVXMQ/edit#gid=1251630045"",""articles_with_PRISMA_reasons!B2:B2113"")))-1)"),"Steinbok")</f>
        <v>Steinbok</v>
      </c>
      <c r="C1102" s="1">
        <v>1992.0</v>
      </c>
      <c r="D1102" s="2" t="s">
        <v>8</v>
      </c>
      <c r="E1102" s="5" t="str">
        <f>IFERROR(__xludf.DUMMYFUNCTION("IFS(
D1102=""Exclude"",""Exclude"",
AND(
FILTER(IMPORTRANGE(""https://docs.google.com/spreadsheets/d/1qpEmbGH0JjaJbUdp21-y2cPbobDbMjr09BbtdKROZWc/edit#gid=1444865654"",""articles_with_PRISMA_reasons!W2:W2113""), $A1102=IMPORTRANGE(""https://docs.google.co"&amp;"m/spreadsheets/d/1qpEmbGH0JjaJbUdp21-y2cPbobDbMjr09BbtdKROZWc/edit#gid=1444865654"",""articles_with_PRISMA_reasons!B2:B2113""))&gt;=2,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$A1102=I"&amp;"MPORTRANGE(""https://docs.google.com/spreadsheets/d/1qpEmbGH0JjaJbUdp21-y2cPbobDbMjr09BbtdKROZWc/edit#gid=1444865654"",""articles_with_PRISMA_reasons!B2:B2113""))&gt;=2),
""Exclude""
)"),"Exclude")</f>
        <v>Exclude</v>
      </c>
      <c r="F1102" s="5" t="str">
        <f>IFERROR(__xludf.DUMMYFUNCTION("IFS(
E1102=""Exclude"",""Exclude"",
AND(
COUNTIF(
IMPORTRANGE(""https://docs.google.com/spreadsheets/d/1kGrh75X1cNR1D7_FcY9zMnHP8iPO4M5RCRjy6nZY0TY/edit#gid=0"",""Table 1: Study characteristics!B4:B171""),A1102)&gt;0,
COUNTIF(Studies!$A$2:$A$85,FILTER(IMPORT"&amp;"RANGE(""https://docs.google.com/spreadsheets/d/1kGrh75X1cNR1D7_FcY9zMnHP8iPO4M5RCRjy6nZY0TY/edit#gid=0"",""Table 1: Study characteristics!A4:A171""), $A1102=IMPORTRANGE(""https://docs.google.com/spreadsheets/d/1kGrh75X1cNR1D7_FcY9zMnHP8iPO4M5RCRjy6nZY0TY/"&amp;"edit#gid=0"",""Table 1: Study characteristics!B4:B171"")))&gt;0
),
""Include""
)"),"Exclude")</f>
        <v>Exclude</v>
      </c>
      <c r="G1102" s="1" t="s">
        <v>13</v>
      </c>
    </row>
    <row r="1103">
      <c r="A1103" s="4" t="str">
        <f>IFERROR(__xludf.DUMMYFUNCTION("""COMPUTED_VALUE"""),"Long-term outcome for endoscopic third ventriculostomy alone or in combination with choroid plexus cauterization for congenital aqueductal stenosis in African infants")</f>
        <v>Long-term outcome for endoscopic third ventriculostomy alone or in combination with choroid plexus cauterization for congenital aqueductal stenosis in African infants</v>
      </c>
      <c r="B1103" s="5" t="str">
        <f>IFERROR(__xludf.DUMMYFUNCTION("LEFT(FILTER(IMPORTRANGE(""https://docs.google.com/spreadsheets/d/1BJSV3WBYJGRhQ6zExamkszQ5VutGIcaQqmbD9ZTVXMQ/edit#gid=1251630045"",""articles_with_PRISMA_reasons!K2:K2113""), $A1103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$A1103=IMPORTRANGE(""https://docs.google.com/spreadsheets/d/1BJSV3WBYJGRhQ6zExamkszQ5VutGIcaQqmbD9ZTVXMQ/edit#gid=1251630045"",""articles_with_PRISMA_reasons!B2:B2113"")))-1)"),"Warf")</f>
        <v>Warf</v>
      </c>
      <c r="C1103" s="6">
        <f>IFERROR(__xludf.DUMMYFUNCTION("FILTER(IMPORTRANGE(""https://docs.google.com/spreadsheets/d/1BJSV3WBYJGRhQ6zExamkszQ5VutGIcaQqmbD9ZTVXMQ/edit#gid=1251630045"",""articles_with_PRISMA_reasons!C2:C2113""), $A1103=IMPORTRANGE(""https://docs.google.com/spreadsheets/d/1BJSV3WBYJGRhQ6zExamkszQ"&amp;"5VutGIcaQqmbD9ZTVXMQ/edit#gid=1251630045"",""articles_with_PRISMA_reasons!B2:B2113""))"),2012.0)</f>
        <v>2012</v>
      </c>
      <c r="D1103" s="5" t="str">
        <f>IFERROR(__xludf.DUMMYFUNCTION("IFS(AND(
FILTER(IMPORTRANGE(""https://docs.google.com/spreadsheets/d/1BJSV3WBYJGRhQ6zExamkszQ5VutGIcaQqmbD9ZTVXMQ/edit#gid=1251630045"",""articles_with_PRISMA_reasons!Y2:Y2113""), $A1103=IMPORTRANGE(""https://docs.google.com/spreadsheets/d/1BJSV3WBYJGRhQ6"&amp;"zExamkszQ5VutGIcaQqmbD9ZTVXMQ/edit#gid=1251630045"",""articles_with_PRISMA_reasons!B2:B2113""))&gt;=2,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$A1103=IMPORTRANGE(""https://docs.google"&amp;".com/spreadsheets/d/1BJSV3WBYJGRhQ6zExamkszQ5VutGIcaQqmbD9ZTVXMQ/edit#gid=1251630045"",""articles_with_PRISMA_reasons!B2:B2113""))&gt;=2),
""Exclude""
)"),"Exclude")</f>
        <v>Exclude</v>
      </c>
      <c r="E1103" s="5" t="str">
        <f>IFERROR(__xludf.DUMMYFUNCTION("IFS(
D1103=""Exclude"",""Exclude"",
AND(
FILTER(IMPORTRANGE(""https://docs.google.com/spreadsheets/d/1qpEmbGH0JjaJbUdp21-y2cPbobDbMjr09BbtdKROZWc/edit#gid=1444865654"",""articles_with_PRISMA_reasons!W2:W2113""), $A1103=IMPORTRANGE(""https://docs.google.co"&amp;"m/spreadsheets/d/1qpEmbGH0JjaJbUdp21-y2cPbobDbMjr09BbtdKROZWc/edit#gid=1444865654"",""articles_with_PRISMA_reasons!B2:B2113""))&gt;=2,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$A1103=I"&amp;"MPORTRANGE(""https://docs.google.com/spreadsheets/d/1qpEmbGH0JjaJbUdp21-y2cPbobDbMjr09BbtdKROZWc/edit#gid=1444865654"",""articles_with_PRISMA_reasons!B2:B2113""))&gt;=2),
""Exclude""
)"),"Exclude")</f>
        <v>Exclude</v>
      </c>
      <c r="F1103" s="5" t="str">
        <f>IFERROR(__xludf.DUMMYFUNCTION("IFS(
E1103=""Exclude"",""Exclude"",
AND(
COUNTIF(
IMPORTRANGE(""https://docs.google.com/spreadsheets/d/1kGrh75X1cNR1D7_FcY9zMnHP8iPO4M5RCRjy6nZY0TY/edit#gid=0"",""Table 1: Study characteristics!B4:B171""),A1103)&gt;0,
COUNTIF(Studies!$A$2:$A$85,FILTER(IMPORT"&amp;"RANGE(""https://docs.google.com/spreadsheets/d/1kGrh75X1cNR1D7_FcY9zMnHP8iPO4M5RCRjy6nZY0TY/edit#gid=0"",""Table 1: Study characteristics!A4:A171""), $A1103=IMPORTRANGE(""https://docs.google.com/spreadsheets/d/1kGrh75X1cNR1D7_FcY9zMnHP8iPO4M5RCRjy6nZY0TY/"&amp;"edit#gid=0"",""Table 1: Study characteristics!B4:B171"")))&gt;0
),
""Include""
)"),"Exclude")</f>
        <v>Exclude</v>
      </c>
      <c r="G1103" s="5" t="str">
        <f>IFERROR(__xludf.DUMMYFUNCTION("IFS(
D1103=""Exclude"",
FILTER(IMPORTRANGE(""https://docs.google.com/spreadsheets/d/1BJSV3WBYJGRhQ6zExamkszQ5VutGIcaQqmbD9ZTVXMQ/edit#gid=1251630045"",""articles_with_PRISMA_reasons!AB2:AB2113""), $A1103=IMPORTRANGE(""https://docs.google.com/spreadsheets/"&amp;"d/1BJSV3WBYJGRhQ6zExamkszQ5VutGIcaQqmbD9ZTVXMQ/edit#gid=1251630045"",""articles_with_PRISMA_reasons!B2:B2113"")),
E1103=""Exclude"",
FILTER(IMPORTRANGE(""https://docs.google.com/spreadsheets/d/1qpEmbGH0JjaJbUdp21-y2cPbobDbMjr09BbtdKROZWc/edit#gid=14448656"&amp;"54"",""articles_with_PRISMA_reasons!Z2:Z2113""), $A1103=IMPORTRANGE(""https://docs.google.com/spreadsheets/d/1qpEmbGH0JjaJbUdp21-y2cPbobDbMjr09BbtdKROZWc/edit#gid=1444865654"",""articles_with_PRISMA_reasons!B2:B2113"")),F1103
=""Include"",FILTER(IMPORTRAN"&amp;"GE(""https://docs.google.com/spreadsheets/d/1kGrh75X1cNR1D7_FcY9zMnHP8iPO4M5RCRjy6nZY0TY/edit#gid=0"",""Table 1: Study characteristics!A4:A171""), $A1103=IMPORTRANGE(""https://docs.google.com/spreadsheets/d/1kGrh75X1cNR1D7_FcY9zMnHP8iPO4M5RCRjy6nZY0TY/edi"&amp;"t#gid=0"",""Table 1: Study characteristics!B4:B171""))
)"),"Duplicate")</f>
        <v>Duplicate</v>
      </c>
    </row>
    <row r="1104">
      <c r="A1104" s="4" t="str">
        <f>IFERROR(__xludf.DUMMYFUNCTION("""COMPUTED_VALUE"""),"Long-term outcome in surgically treated spina bifida cystica")</f>
        <v>Long-term outcome in surgically treated spina bifida cystica</v>
      </c>
      <c r="B1104" s="5" t="str">
        <f>IFERROR(__xludf.DUMMYFUNCTION("LEFT(FILTER(IMPORTRANGE(""https://docs.google.com/spreadsheets/d/1BJSV3WBYJGRhQ6zExamkszQ5VutGIcaQqmbD9ZTVXMQ/edit#gid=1251630045"",""articles_with_PRISMA_reasons!K2:K2113""), $A1104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$A1104=IMPORTRANGE(""https://docs.google.com/spreadsheets/d/1BJSV3WBYJGRhQ6zExamkszQ5VutGIcaQqmbD9ZTVXMQ/edit#gid=1251630045"",""articles_with_PRISMA_reasons!B2:B2113"")))-1)"),"Date")</f>
        <v>Date</v>
      </c>
      <c r="C1104" s="6">
        <f>IFERROR(__xludf.DUMMYFUNCTION("FILTER(IMPORTRANGE(""https://docs.google.com/spreadsheets/d/1BJSV3WBYJGRhQ6zExamkszQ5VutGIcaQqmbD9ZTVXMQ/edit#gid=1251630045"",""articles_with_PRISMA_reasons!C2:C2113""), $A1104=IMPORTRANGE(""https://docs.google.com/spreadsheets/d/1BJSV3WBYJGRhQ6zExamkszQ"&amp;"5VutGIcaQqmbD9ZTVXMQ/edit#gid=1251630045"",""articles_with_PRISMA_reasons!B2:B2113""))"),1993.0)</f>
        <v>1993</v>
      </c>
      <c r="D1104" s="5" t="str">
        <f>IFERROR(__xludf.DUMMYFUNCTION("IFS(AND(
FILTER(IMPORTRANGE(""https://docs.google.com/spreadsheets/d/1BJSV3WBYJGRhQ6zExamkszQ5VutGIcaQqmbD9ZTVXMQ/edit#gid=1251630045"",""articles_with_PRISMA_reasons!Y2:Y2113""), $A1104=IMPORTRANGE(""https://docs.google.com/spreadsheets/d/1BJSV3WBYJGRhQ6"&amp;"zExamkszQ5VutGIcaQqmbD9ZTVXMQ/edit#gid=1251630045"",""articles_with_PRISMA_reasons!B2:B2113""))&gt;=2,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$A1104=IMPORTRANGE(""https://docs.google"&amp;".com/spreadsheets/d/1BJSV3WBYJGRhQ6zExamkszQ5VutGIcaQqmbD9ZTVXMQ/edit#gid=1251630045"",""articles_with_PRISMA_reasons!B2:B2113""))&gt;=2),
""Exclude""
)"),"Include")</f>
        <v>Include</v>
      </c>
      <c r="E1104" s="5" t="str">
        <f>IFERROR(__xludf.DUMMYFUNCTION("IFS(
D1104=""Exclude"",""Exclude"",
AND(
FILTER(IMPORTRANGE(""https://docs.google.com/spreadsheets/d/1qpEmbGH0JjaJbUdp21-y2cPbobDbMjr09BbtdKROZWc/edit#gid=1444865654"",""articles_with_PRISMA_reasons!W2:W2113""), $A1104=IMPORTRANGE(""https://docs.google.co"&amp;"m/spreadsheets/d/1qpEmbGH0JjaJbUdp21-y2cPbobDbMjr09BbtdKROZWc/edit#gid=1444865654"",""articles_with_PRISMA_reasons!B2:B2113""))&gt;=2,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$A1104=I"&amp;"MPORTRANGE(""https://docs.google.com/spreadsheets/d/1qpEmbGH0JjaJbUdp21-y2cPbobDbMjr09BbtdKROZWc/edit#gid=1444865654"",""articles_with_PRISMA_reasons!B2:B2113""))&gt;=2),
""Exclude""
)"),"Exclude")</f>
        <v>Exclude</v>
      </c>
      <c r="F1104" s="5" t="str">
        <f>IFERROR(__xludf.DUMMYFUNCTION("IFS(
E1104=""Exclude"",""Exclude"",
AND(
COUNTIF(
IMPORTRANGE(""https://docs.google.com/spreadsheets/d/1kGrh75X1cNR1D7_FcY9zMnHP8iPO4M5RCRjy6nZY0TY/edit#gid=0"",""Table 1: Study characteristics!B4:B171""),A1104)&gt;0,
COUNTIF(Studies!$A$2:$A$85,FILTER(IMPORT"&amp;"RANGE(""https://docs.google.com/spreadsheets/d/1kGrh75X1cNR1D7_FcY9zMnHP8iPO4M5RCRjy6nZY0TY/edit#gid=0"",""Table 1: Study characteristics!A4:A171""), $A1104=IMPORTRANGE(""https://docs.google.com/spreadsheets/d/1kGrh75X1cNR1D7_FcY9zMnHP8iPO4M5RCRjy6nZY0TY/"&amp;"edit#gid=0"",""Table 1: Study characteristics!B4:B171"")))&gt;0
),
""Include""
)"),"Exclude")</f>
        <v>Exclude</v>
      </c>
      <c r="G1104" s="5" t="str">
        <f>IFERROR(__xludf.DUMMYFUNCTION("IFS(
D1104=""Exclude"",
FILTER(IMPORTRANGE(""https://docs.google.com/spreadsheets/d/1BJSV3WBYJGRhQ6zExamkszQ5VutGIcaQqmbD9ZTVXMQ/edit#gid=1251630045"",""articles_with_PRISMA_reasons!AB2:AB2113""), $A1104=IMPORTRANGE(""https://docs.google.com/spreadsheets/"&amp;"d/1BJSV3WBYJGRhQ6zExamkszQ5VutGIcaQqmbD9ZTVXMQ/edit#gid=1251630045"",""articles_with_PRISMA_reasons!B2:B2113"")),
E1104=""Exclude"",
FILTER(IMPORTRANGE(""https://docs.google.com/spreadsheets/d/1qpEmbGH0JjaJbUdp21-y2cPbobDbMjr09BbtdKROZWc/edit#gid=14448656"&amp;"54"",""articles_with_PRISMA_reasons!Z2:Z2113""), $A1104=IMPORTRANGE(""https://docs.google.com/spreadsheets/d/1qpEmbGH0JjaJbUdp21-y2cPbobDbMjr09BbtdKROZWc/edit#gid=1444865654"",""articles_with_PRISMA_reasons!B2:B2113"")),F1104
=""Include"",FILTER(IMPORTRAN"&amp;"GE(""https://docs.google.com/spreadsheets/d/1kGrh75X1cNR1D7_FcY9zMnHP8iPO4M5RCRjy6nZY0TY/edit#gid=0"",""Table 1: Study characteristics!A4:A171""), $A1104=IMPORTRANGE(""https://docs.google.com/spreadsheets/d/1kGrh75X1cNR1D7_FcY9zMnHP8iPO4M5RCRjy6nZY0TY/edi"&amp;"t#gid=0"",""Table 1: Study characteristics!B4:B171""))
)"),"wrong population")</f>
        <v>wrong population</v>
      </c>
    </row>
    <row r="1105">
      <c r="A1105" s="4" t="str">
        <f>IFERROR(__xludf.DUMMYFUNCTION("""COMPUTED_VALUE"""),"Long-term outcome of hydrocephalus management in myelomeningoceles")</f>
        <v>Long-term outcome of hydrocephalus management in myelomeningoceles</v>
      </c>
      <c r="B1105" s="5" t="str">
        <f>IFERROR(__xludf.DUMMYFUNCTION("LEFT(FILTER(IMPORTRANGE(""https://docs.google.com/spreadsheets/d/1BJSV3WBYJGRhQ6zExamkszQ5VutGIcaQqmbD9ZTVXMQ/edit#gid=1251630045"",""articles_with_PRISMA_reasons!K2:K2113""), $A1105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$A1105=IMPORTRANGE(""https://docs.google.com/spreadsheets/d/1BJSV3WBYJGRhQ6zExamkszQ5VutGIcaQqmbD9ZTVXMQ/edit#gid=1251630045"",""articles_with_PRISMA_reasons!B2:B2113"")))-1)"),"Tuli")</f>
        <v>Tuli</v>
      </c>
      <c r="C1105" s="6">
        <f>IFERROR(__xludf.DUMMYFUNCTION("FILTER(IMPORTRANGE(""https://docs.google.com/spreadsheets/d/1BJSV3WBYJGRhQ6zExamkszQ5VutGIcaQqmbD9ZTVXMQ/edit#gid=1251630045"",""articles_with_PRISMA_reasons!C2:C2113""), $A1105=IMPORTRANGE(""https://docs.google.com/spreadsheets/d/1BJSV3WBYJGRhQ6zExamkszQ"&amp;"5VutGIcaQqmbD9ZTVXMQ/edit#gid=1251630045"",""articles_with_PRISMA_reasons!B2:B2113""))"),2003.0)</f>
        <v>2003</v>
      </c>
      <c r="D1105" s="5" t="str">
        <f>IFERROR(__xludf.DUMMYFUNCTION("IFS(AND(
FILTER(IMPORTRANGE(""https://docs.google.com/spreadsheets/d/1BJSV3WBYJGRhQ6zExamkszQ5VutGIcaQqmbD9ZTVXMQ/edit#gid=1251630045"",""articles_with_PRISMA_reasons!Y2:Y2113""), $A1105=IMPORTRANGE(""https://docs.google.com/spreadsheets/d/1BJSV3WBYJGRhQ6"&amp;"zExamkszQ5VutGIcaQqmbD9ZTVXMQ/edit#gid=1251630045"",""articles_with_PRISMA_reasons!B2:B2113""))&gt;=2,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$A1105=IMPORTRANGE(""https://docs.google"&amp;".com/spreadsheets/d/1BJSV3WBYJGRhQ6zExamkszQ5VutGIcaQqmbD9ZTVXMQ/edit#gid=1251630045"",""articles_with_PRISMA_reasons!B2:B2113""))&gt;=2),
""Exclude""
)"),"Include")</f>
        <v>Include</v>
      </c>
      <c r="E1105" s="5" t="str">
        <f>IFERROR(__xludf.DUMMYFUNCTION("IFS(
D1105=""Exclude"",""Exclude"",
AND(
FILTER(IMPORTRANGE(""https://docs.google.com/spreadsheets/d/1qpEmbGH0JjaJbUdp21-y2cPbobDbMjr09BbtdKROZWc/edit#gid=1444865654"",""articles_with_PRISMA_reasons!W2:W2113""), $A1105=IMPORTRANGE(""https://docs.google.co"&amp;"m/spreadsheets/d/1qpEmbGH0JjaJbUdp21-y2cPbobDbMjr09BbtdKROZWc/edit#gid=1444865654"",""articles_with_PRISMA_reasons!B2:B2113""))&gt;=2,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$A1105=I"&amp;"MPORTRANGE(""https://docs.google.com/spreadsheets/d/1qpEmbGH0JjaJbUdp21-y2cPbobDbMjr09BbtdKROZWc/edit#gid=1444865654"",""articles_with_PRISMA_reasons!B2:B2113""))&gt;=2),
""Exclude""
)"),"Include")</f>
        <v>Include</v>
      </c>
      <c r="F1105" s="5" t="str">
        <f>IFERROR(__xludf.DUMMYFUNCTION("IFS(
E1105=""Exclude"",""Exclude"",
AND(
COUNTIF(
IMPORTRANGE(""https://docs.google.com/spreadsheets/d/1kGrh75X1cNR1D7_FcY9zMnHP8iPO4M5RCRjy6nZY0TY/edit#gid=0"",""Table 1: Study characteristics!B4:B171""),A1105)&gt;0,
COUNTIF(Studies!$A$2:$A$85,FILTER(IMPORT"&amp;"RANGE(""https://docs.google.com/spreadsheets/d/1kGrh75X1cNR1D7_FcY9zMnHP8iPO4M5RCRjy6nZY0TY/edit#gid=0"",""Table 1: Study characteristics!A4:A171""), $A1105=IMPORTRANGE(""https://docs.google.com/spreadsheets/d/1kGrh75X1cNR1D7_FcY9zMnHP8iPO4M5RCRjy6nZY0TY/"&amp;"edit#gid=0"",""Table 1: Study characteristics!B4:B171"")))&gt;0
),
""Include""
)"),"Include")</f>
        <v>Include</v>
      </c>
      <c r="G1105" s="5" t="str">
        <f>IFERROR(__xludf.DUMMYFUNCTION("IFS(
D1105=""Exclude"",
FILTER(IMPORTRANGE(""https://docs.google.com/spreadsheets/d/1BJSV3WBYJGRhQ6zExamkszQ5VutGIcaQqmbD9ZTVXMQ/edit#gid=1251630045"",""articles_with_PRISMA_reasons!AB2:AB2113""), $A1105=IMPORTRANGE(""https://docs.google.com/spreadsheets/"&amp;"d/1BJSV3WBYJGRhQ6zExamkszQ5VutGIcaQqmbD9ZTVXMQ/edit#gid=1251630045"",""articles_with_PRISMA_reasons!B2:B2113"")),
E1105=""Exclude"",
FILTER(IMPORTRANGE(""https://docs.google.com/spreadsheets/d/1qpEmbGH0JjaJbUdp21-y2cPbobDbMjr09BbtdKROZWc/edit#gid=14448656"&amp;"54"",""articles_with_PRISMA_reasons!Z2:Z2113""), $A1105=IMPORTRANGE(""https://docs.google.com/spreadsheets/d/1qpEmbGH0JjaJbUdp21-y2cPbobDbMjr09BbtdKROZWc/edit#gid=1444865654"",""articles_with_PRISMA_reasons!B2:B2113"")),F1105
=""Include"",FILTER(IMPORTRAN"&amp;"GE(""https://docs.google.com/spreadsheets/d/1kGrh75X1cNR1D7_FcY9zMnHP8iPO4M5RCRjy6nZY0TY/edit#gid=0"",""Table 1: Study characteristics!A4:A171""), $A1105=IMPORTRANGE(""https://docs.google.com/spreadsheets/d/1kGrh75X1cNR1D7_FcY9zMnHP8iPO4M5RCRjy6nZY0TY/edi"&amp;"t#gid=0"",""Table 1: Study characteristics!B4:B171""))
)"),"ID 84")</f>
        <v>ID 84</v>
      </c>
    </row>
    <row r="1106">
      <c r="A1106" s="4" t="str">
        <f>IFERROR(__xludf.DUMMYFUNCTION("""COMPUTED_VALUE"""),"Long-term outcome of terminal myelocystocele patients")</f>
        <v>Long-term outcome of terminal myelocystocele patients</v>
      </c>
      <c r="B1106" s="5" t="str">
        <f>IFERROR(__xludf.DUMMYFUNCTION("LEFT(FILTER(IMPORTRANGE(""https://docs.google.com/spreadsheets/d/1BJSV3WBYJGRhQ6zExamkszQ5VutGIcaQqmbD9ZTVXMQ/edit#gid=1251630045"",""articles_with_PRISMA_reasons!K2:K2113""), $A1106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$A1106=IMPORTRANGE(""https://docs.google.com/spreadsheets/d/1BJSV3WBYJGRhQ6zExamkszQ5VutGIcaQqmbD9ZTVXMQ/edit#gid=1251630045"",""articles_with_PRISMA_reasons!B2:B2113"")))-1)"),"Choi")</f>
        <v>Choi</v>
      </c>
      <c r="C1106" s="6">
        <f>IFERROR(__xludf.DUMMYFUNCTION("FILTER(IMPORTRANGE(""https://docs.google.com/spreadsheets/d/1BJSV3WBYJGRhQ6zExamkszQ5VutGIcaQqmbD9ZTVXMQ/edit#gid=1251630045"",""articles_with_PRISMA_reasons!C2:C2113""), $A1106=IMPORTRANGE(""https://docs.google.com/spreadsheets/d/1BJSV3WBYJGRhQ6zExamkszQ"&amp;"5VutGIcaQqmbD9ZTVXMQ/edit#gid=1251630045"",""articles_with_PRISMA_reasons!B2:B2113""))"),2000.0)</f>
        <v>2000</v>
      </c>
      <c r="D1106" s="5" t="str">
        <f>IFERROR(__xludf.DUMMYFUNCTION("IFS(AND(
FILTER(IMPORTRANGE(""https://docs.google.com/spreadsheets/d/1BJSV3WBYJGRhQ6zExamkszQ5VutGIcaQqmbD9ZTVXMQ/edit#gid=1251630045"",""articles_with_PRISMA_reasons!Y2:Y2113""), $A1106=IMPORTRANGE(""https://docs.google.com/spreadsheets/d/1BJSV3WBYJGRhQ6"&amp;"zExamkszQ5VutGIcaQqmbD9ZTVXMQ/edit#gid=1251630045"",""articles_with_PRISMA_reasons!B2:B2113""))&gt;=2,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$A1106=IMPORTRANGE(""https://docs.google"&amp;".com/spreadsheets/d/1BJSV3WBYJGRhQ6zExamkszQ5VutGIcaQqmbD9ZTVXMQ/edit#gid=1251630045"",""articles_with_PRISMA_reasons!B2:B2113""))&gt;=2),
""Exclude""
)"),"Exclude")</f>
        <v>Exclude</v>
      </c>
      <c r="E1106" s="5" t="str">
        <f>IFERROR(__xludf.DUMMYFUNCTION("IFS(
D1106=""Exclude"",""Exclude"",
AND(
FILTER(IMPORTRANGE(""https://docs.google.com/spreadsheets/d/1qpEmbGH0JjaJbUdp21-y2cPbobDbMjr09BbtdKROZWc/edit#gid=1444865654"",""articles_with_PRISMA_reasons!W2:W2113""), $A1106=IMPORTRANGE(""https://docs.google.co"&amp;"m/spreadsheets/d/1qpEmbGH0JjaJbUdp21-y2cPbobDbMjr09BbtdKROZWc/edit#gid=1444865654"",""articles_with_PRISMA_reasons!B2:B2113""))&gt;=2,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$A1106=I"&amp;"MPORTRANGE(""https://docs.google.com/spreadsheets/d/1qpEmbGH0JjaJbUdp21-y2cPbobDbMjr09BbtdKROZWc/edit#gid=1444865654"",""articles_with_PRISMA_reasons!B2:B2113""))&gt;=2),
""Exclude""
)"),"Exclude")</f>
        <v>Exclude</v>
      </c>
      <c r="F1106" s="5" t="str">
        <f>IFERROR(__xludf.DUMMYFUNCTION("IFS(
E1106=""Exclude"",""Exclude"",
AND(
COUNTIF(
IMPORTRANGE(""https://docs.google.com/spreadsheets/d/1kGrh75X1cNR1D7_FcY9zMnHP8iPO4M5RCRjy6nZY0TY/edit#gid=0"",""Table 1: Study characteristics!B4:B171""),A1106)&gt;0,
COUNTIF(Studies!$A$2:$A$85,FILTER(IMPORT"&amp;"RANGE(""https://docs.google.com/spreadsheets/d/1kGrh75X1cNR1D7_FcY9zMnHP8iPO4M5RCRjy6nZY0TY/edit#gid=0"",""Table 1: Study characteristics!A4:A171""), $A1106=IMPORTRANGE(""https://docs.google.com/spreadsheets/d/1kGrh75X1cNR1D7_FcY9zMnHP8iPO4M5RCRjy6nZY0TY/"&amp;"edit#gid=0"",""Table 1: Study characteristics!B4:B171"")))&gt;0
),
""Include""
)"),"Exclude")</f>
        <v>Exclude</v>
      </c>
      <c r="G1106" s="5" t="str">
        <f>IFERROR(__xludf.DUMMYFUNCTION("IFS(
D1106=""Exclude"",
FILTER(IMPORTRANGE(""https://docs.google.com/spreadsheets/d/1BJSV3WBYJGRhQ6zExamkszQ5VutGIcaQqmbD9ZTVXMQ/edit#gid=1251630045"",""articles_with_PRISMA_reasons!AB2:AB2113""), $A1106=IMPORTRANGE(""https://docs.google.com/spreadsheets/"&amp;"d/1BJSV3WBYJGRhQ6zExamkszQ5VutGIcaQqmbD9ZTVXMQ/edit#gid=1251630045"",""articles_with_PRISMA_reasons!B2:B2113"")),
E1106=""Exclude"",
FILTER(IMPORTRANGE(""https://docs.google.com/spreadsheets/d/1qpEmbGH0JjaJbUdp21-y2cPbobDbMjr09BbtdKROZWc/edit#gid=14448656"&amp;"54"",""articles_with_PRISMA_reasons!Z2:Z2113""), $A1106=IMPORTRANGE(""https://docs.google.com/spreadsheets/d/1qpEmbGH0JjaJbUdp21-y2cPbobDbMjr09BbtdKROZWc/edit#gid=1444865654"",""articles_with_PRISMA_reasons!B2:B2113"")),F1106
=""Include"",FILTER(IMPORTRAN"&amp;"GE(""https://docs.google.com/spreadsheets/d/1kGrh75X1cNR1D7_FcY9zMnHP8iPO4M5RCRjy6nZY0TY/edit#gid=0"",""Table 1: Study characteristics!A4:A171""), $A1106=IMPORTRANGE(""https://docs.google.com/spreadsheets/d/1kGrh75X1cNR1D7_FcY9zMnHP8iPO4M5RCRjy6nZY0TY/edi"&amp;"t#gid=0"",""Table 1: Study characteristics!B4:B171""))
)"),"wrong study design")</f>
        <v>wrong study design</v>
      </c>
    </row>
    <row r="1107">
      <c r="A1107" s="4" t="str">
        <f>IFERROR(__xludf.DUMMYFUNCTION("""COMPUTED_VALUE"""),"Long-term reliability of endoscopic third ventriculostomy")</f>
        <v>Long-term reliability of endoscopic third ventriculostomy</v>
      </c>
      <c r="B1107" s="5" t="str">
        <f>IFERROR(__xludf.DUMMYFUNCTION("LEFT(FILTER(IMPORTRANGE(""https://docs.google.com/spreadsheets/d/1BJSV3WBYJGRhQ6zExamkszQ5VutGIcaQqmbD9ZTVXMQ/edit#gid=1251630045"",""articles_with_PRISMA_reasons!K2:K2113""), $A1107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$A1107=IMPORTRANGE(""https://docs.google.com/spreadsheets/d/1BJSV3WBYJGRhQ6zExamkszQ5VutGIcaQqmbD9ZTVXMQ/edit#gid=1251630045"",""articles_with_PRISMA_reasons!B2:B2113"")))-1)"),"Kadrian")</f>
        <v>Kadrian</v>
      </c>
      <c r="C1107" s="6">
        <f>IFERROR(__xludf.DUMMYFUNCTION("FILTER(IMPORTRANGE(""https://docs.google.com/spreadsheets/d/1BJSV3WBYJGRhQ6zExamkszQ5VutGIcaQqmbD9ZTVXMQ/edit#gid=1251630045"",""articles_with_PRISMA_reasons!C2:C2113""), $A1107=IMPORTRANGE(""https://docs.google.com/spreadsheets/d/1BJSV3WBYJGRhQ6zExamkszQ"&amp;"5VutGIcaQqmbD9ZTVXMQ/edit#gid=1251630045"",""articles_with_PRISMA_reasons!B2:B2113""))"),2005.0)</f>
        <v>2005</v>
      </c>
      <c r="D1107" s="5" t="str">
        <f>IFERROR(__xludf.DUMMYFUNCTION("IFS(AND(
FILTER(IMPORTRANGE(""https://docs.google.com/spreadsheets/d/1BJSV3WBYJGRhQ6zExamkszQ5VutGIcaQqmbD9ZTVXMQ/edit#gid=1251630045"",""articles_with_PRISMA_reasons!Y2:Y2113""), $A1107=IMPORTRANGE(""https://docs.google.com/spreadsheets/d/1BJSV3WBYJGRhQ6"&amp;"zExamkszQ5VutGIcaQqmbD9ZTVXMQ/edit#gid=1251630045"",""articles_with_PRISMA_reasons!B2:B2113""))&gt;=2,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$A1107=IMPORTRANGE(""https://docs.google"&amp;".com/spreadsheets/d/1BJSV3WBYJGRhQ6zExamkszQ5VutGIcaQqmbD9ZTVXMQ/edit#gid=1251630045"",""articles_with_PRISMA_reasons!B2:B2113""))&gt;=2),
""Exclude""
)"),"Include")</f>
        <v>Include</v>
      </c>
      <c r="E1107" s="5" t="str">
        <f>IFERROR(__xludf.DUMMYFUNCTION("IFS(
D1107=""Exclude"",""Exclude"",
AND(
FILTER(IMPORTRANGE(""https://docs.google.com/spreadsheets/d/1qpEmbGH0JjaJbUdp21-y2cPbobDbMjr09BbtdKROZWc/edit#gid=1444865654"",""articles_with_PRISMA_reasons!W2:W2113""), $A1107=IMPORTRANGE(""https://docs.google.co"&amp;"m/spreadsheets/d/1qpEmbGH0JjaJbUdp21-y2cPbobDbMjr09BbtdKROZWc/edit#gid=1444865654"",""articles_with_PRISMA_reasons!B2:B2113""))&gt;=2,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$A1107=I"&amp;"MPORTRANGE(""https://docs.google.com/spreadsheets/d/1qpEmbGH0JjaJbUdp21-y2cPbobDbMjr09BbtdKROZWc/edit#gid=1444865654"",""articles_with_PRISMA_reasons!B2:B2113""))&gt;=2),
""Exclude""
)"),"Include")</f>
        <v>Include</v>
      </c>
      <c r="F1107" s="2" t="s">
        <v>8</v>
      </c>
      <c r="G1107" s="2" t="s">
        <v>17</v>
      </c>
    </row>
    <row r="1108">
      <c r="A1108" s="4" t="str">
        <f>IFERROR(__xludf.DUMMYFUNCTION("""COMPUTED_VALUE"""),"Long-term reliability of endoscopic third ventriculostomy: Comments")</f>
        <v>Long-term reliability of endoscopic third ventriculostomy: Comments</v>
      </c>
      <c r="B1108" s="5" t="str">
        <f>IFERROR(__xludf.DUMMYFUNCTION("LEFT(FILTER(IMPORTRANGE(""https://docs.google.com/spreadsheets/d/1BJSV3WBYJGRhQ6zExamkszQ5VutGIcaQqmbD9ZTVXMQ/edit#gid=1251630045"",""articles_with_PRISMA_reasons!K2:K2113""), $A1108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$A1108=IMPORTRANGE(""https://docs.google.com/spreadsheets/d/1BJSV3WBYJGRhQ6zExamkszQ5VutGIcaQqmbD9ZTVXMQ/edit#gid=1251630045"",""articles_with_PRISMA_reasons!B2:B2113"")))-1)"),"Drake")</f>
        <v>Drake</v>
      </c>
      <c r="C1108" s="6">
        <f>IFERROR(__xludf.DUMMYFUNCTION("FILTER(IMPORTRANGE(""https://docs.google.com/spreadsheets/d/1BJSV3WBYJGRhQ6zExamkszQ5VutGIcaQqmbD9ZTVXMQ/edit#gid=1251630045"",""articles_with_PRISMA_reasons!C2:C2113""), $A1108=IMPORTRANGE(""https://docs.google.com/spreadsheets/d/1BJSV3WBYJGRhQ6zExamkszQ"&amp;"5VutGIcaQqmbD9ZTVXMQ/edit#gid=1251630045"",""articles_with_PRISMA_reasons!B2:B2113""))"),2005.0)</f>
        <v>2005</v>
      </c>
      <c r="D1108" s="5" t="str">
        <f>IFERROR(__xludf.DUMMYFUNCTION("IFS(AND(
FILTER(IMPORTRANGE(""https://docs.google.com/spreadsheets/d/1BJSV3WBYJGRhQ6zExamkszQ5VutGIcaQqmbD9ZTVXMQ/edit#gid=1251630045"",""articles_with_PRISMA_reasons!Y2:Y2113""), $A1108=IMPORTRANGE(""https://docs.google.com/spreadsheets/d/1BJSV3WBYJGRhQ6"&amp;"zExamkszQ5VutGIcaQqmbD9ZTVXMQ/edit#gid=1251630045"",""articles_with_PRISMA_reasons!B2:B2113""))&gt;=2,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$A1108=IMPORTRANGE(""https://docs.google"&amp;".com/spreadsheets/d/1BJSV3WBYJGRhQ6zExamkszQ5VutGIcaQqmbD9ZTVXMQ/edit#gid=1251630045"",""articles_with_PRISMA_reasons!B2:B2113""))&gt;=2),
""Exclude""
)"),"Exclude")</f>
        <v>Exclude</v>
      </c>
      <c r="E1108" s="5" t="str">
        <f>IFERROR(__xludf.DUMMYFUNCTION("IFS(
D1108=""Exclude"",""Exclude"",
AND(
FILTER(IMPORTRANGE(""https://docs.google.com/spreadsheets/d/1qpEmbGH0JjaJbUdp21-y2cPbobDbMjr09BbtdKROZWc/edit#gid=1444865654"",""articles_with_PRISMA_reasons!W2:W2113""), $A1108=IMPORTRANGE(""https://docs.google.co"&amp;"m/spreadsheets/d/1qpEmbGH0JjaJbUdp21-y2cPbobDbMjr09BbtdKROZWc/edit#gid=1444865654"",""articles_with_PRISMA_reasons!B2:B2113""))&gt;=2,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$A1108=I"&amp;"MPORTRANGE(""https://docs.google.com/spreadsheets/d/1qpEmbGH0JjaJbUdp21-y2cPbobDbMjr09BbtdKROZWc/edit#gid=1444865654"",""articles_with_PRISMA_reasons!B2:B2113""))&gt;=2),
""Exclude""
)"),"Exclude")</f>
        <v>Exclude</v>
      </c>
      <c r="F1108" s="5" t="str">
        <f>IFERROR(__xludf.DUMMYFUNCTION("IFS(
E1108=""Exclude"",""Exclude"",
AND(
COUNTIF(
IMPORTRANGE(""https://docs.google.com/spreadsheets/d/1kGrh75X1cNR1D7_FcY9zMnHP8iPO4M5RCRjy6nZY0TY/edit#gid=0"",""Table 1: Study characteristics!B4:B171""),A1108)&gt;0,
COUNTIF(Studies!$A$2:$A$85,FILTER(IMPORT"&amp;"RANGE(""https://docs.google.com/spreadsheets/d/1kGrh75X1cNR1D7_FcY9zMnHP8iPO4M5RCRjy6nZY0TY/edit#gid=0"",""Table 1: Study characteristics!A4:A171""), $A1108=IMPORTRANGE(""https://docs.google.com/spreadsheets/d/1kGrh75X1cNR1D7_FcY9zMnHP8iPO4M5RCRjy6nZY0TY/"&amp;"edit#gid=0"",""Table 1: Study characteristics!B4:B171"")))&gt;0
),
""Include""
)"),"Exclude")</f>
        <v>Exclude</v>
      </c>
      <c r="G1108" s="5" t="str">
        <f>IFERROR(__xludf.DUMMYFUNCTION("IFS(
D1108=""Exclude"",
FILTER(IMPORTRANGE(""https://docs.google.com/spreadsheets/d/1BJSV3WBYJGRhQ6zExamkszQ5VutGIcaQqmbD9ZTVXMQ/edit#gid=1251630045"",""articles_with_PRISMA_reasons!AB2:AB2113""), $A1108=IMPORTRANGE(""https://docs.google.com/spreadsheets/"&amp;"d/1BJSV3WBYJGRhQ6zExamkszQ5VutGIcaQqmbD9ZTVXMQ/edit#gid=1251630045"",""articles_with_PRISMA_reasons!B2:B2113"")),
E1108=""Exclude"",
FILTER(IMPORTRANGE(""https://docs.google.com/spreadsheets/d/1qpEmbGH0JjaJbUdp21-y2cPbobDbMjr09BbtdKROZWc/edit#gid=14448656"&amp;"54"",""articles_with_PRISMA_reasons!Z2:Z2113""), $A1108=IMPORTRANGE(""https://docs.google.com/spreadsheets/d/1qpEmbGH0JjaJbUdp21-y2cPbobDbMjr09BbtdKROZWc/edit#gid=1444865654"",""articles_with_PRISMA_reasons!B2:B2113"")),F1108
=""Include"",FILTER(IMPORTRAN"&amp;"GE(""https://docs.google.com/spreadsheets/d/1kGrh75X1cNR1D7_FcY9zMnHP8iPO4M5RCRjy6nZY0TY/edit#gid=0"",""Table 1: Study characteristics!A4:A171""), $A1108=IMPORTRANGE(""https://docs.google.com/spreadsheets/d/1kGrh75X1cNR1D7_FcY9zMnHP8iPO4M5RCRjy6nZY0TY/edi"&amp;"t#gid=0"",""Table 1: Study characteristics!B4:B171""))
)"),"wrong study design")</f>
        <v>wrong study design</v>
      </c>
    </row>
    <row r="1109">
      <c r="A1109" s="4" t="str">
        <f>IFERROR(__xludf.DUMMYFUNCTION("""COMPUTED_VALUE"""),"Long-term results of hydrocephalus with myelomeningocele")</f>
        <v>Long-term results of hydrocephalus with myelomeningocele</v>
      </c>
      <c r="B1109" s="5" t="str">
        <f>IFERROR(__xludf.DUMMYFUNCTION("LEFT(FILTER(IMPORTRANGE(""https://docs.google.com/spreadsheets/d/1BJSV3WBYJGRhQ6zExamkszQ5VutGIcaQqmbD9ZTVXMQ/edit#gid=1251630045"",""articles_with_PRISMA_reasons!K2:K2113""), $A1109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$A1109=IMPORTRANGE(""https://docs.google.com/spreadsheets/d/1BJSV3WBYJGRhQ6zExamkszQ5VutGIcaQqmbD9ZTVXMQ/edit#gid=1251630045"",""articles_with_PRISMA_reasons!B2:B2113"")))-1)"),"Kojima")</f>
        <v>Kojima</v>
      </c>
      <c r="C1109" s="6">
        <f>IFERROR(__xludf.DUMMYFUNCTION("FILTER(IMPORTRANGE(""https://docs.google.com/spreadsheets/d/1BJSV3WBYJGRhQ6zExamkszQ5VutGIcaQqmbD9ZTVXMQ/edit#gid=1251630045"",""articles_with_PRISMA_reasons!C2:C2113""), $A1109=IMPORTRANGE(""https://docs.google.com/spreadsheets/d/1BJSV3WBYJGRhQ6zExamkszQ"&amp;"5VutGIcaQqmbD9ZTVXMQ/edit#gid=1251630045"",""articles_with_PRISMA_reasons!B2:B2113""))"),1990.0)</f>
        <v>1990</v>
      </c>
      <c r="D1109" s="5" t="str">
        <f>IFERROR(__xludf.DUMMYFUNCTION("IFS(AND(
FILTER(IMPORTRANGE(""https://docs.google.com/spreadsheets/d/1BJSV3WBYJGRhQ6zExamkszQ5VutGIcaQqmbD9ZTVXMQ/edit#gid=1251630045"",""articles_with_PRISMA_reasons!Y2:Y2113""), $A1109=IMPORTRANGE(""https://docs.google.com/spreadsheets/d/1BJSV3WBYJGRhQ6"&amp;"zExamkszQ5VutGIcaQqmbD9ZTVXMQ/edit#gid=1251630045"",""articles_with_PRISMA_reasons!B2:B2113""))&gt;=2,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$A1109=IMPORTRANGE(""https://docs.google"&amp;".com/spreadsheets/d/1BJSV3WBYJGRhQ6zExamkszQ5VutGIcaQqmbD9ZTVXMQ/edit#gid=1251630045"",""articles_with_PRISMA_reasons!B2:B2113""))&gt;=2),
""Exclude""
)"),"Include")</f>
        <v>Include</v>
      </c>
      <c r="E1109" s="5" t="str">
        <f>IFERROR(__xludf.DUMMYFUNCTION("IFS(
D1109=""Exclude"",""Exclude"",
AND(
FILTER(IMPORTRANGE(""https://docs.google.com/spreadsheets/d/1qpEmbGH0JjaJbUdp21-y2cPbobDbMjr09BbtdKROZWc/edit#gid=1444865654"",""articles_with_PRISMA_reasons!W2:W2113""), $A1109=IMPORTRANGE(""https://docs.google.co"&amp;"m/spreadsheets/d/1qpEmbGH0JjaJbUdp21-y2cPbobDbMjr09BbtdKROZWc/edit#gid=1444865654"",""articles_with_PRISMA_reasons!B2:B2113""))&gt;=2,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$A1109=I"&amp;"MPORTRANGE(""https://docs.google.com/spreadsheets/d/1qpEmbGH0JjaJbUdp21-y2cPbobDbMjr09BbtdKROZWc/edit#gid=1444865654"",""articles_with_PRISMA_reasons!B2:B2113""))&gt;=2),
""Exclude""
)"),"Exclude")</f>
        <v>Exclude</v>
      </c>
      <c r="F1109" s="5" t="str">
        <f>IFERROR(__xludf.DUMMYFUNCTION("IFS(
E1109=""Exclude"",""Exclude"",
AND(
COUNTIF(
IMPORTRANGE(""https://docs.google.com/spreadsheets/d/1kGrh75X1cNR1D7_FcY9zMnHP8iPO4M5RCRjy6nZY0TY/edit#gid=0"",""Table 1: Study characteristics!B4:B171""),A1109)&gt;0,
COUNTIF(Studies!$A$2:$A$85,FILTER(IMPORT"&amp;"RANGE(""https://docs.google.com/spreadsheets/d/1kGrh75X1cNR1D7_FcY9zMnHP8iPO4M5RCRjy6nZY0TY/edit#gid=0"",""Table 1: Study characteristics!A4:A171""), $A1109=IMPORTRANGE(""https://docs.google.com/spreadsheets/d/1kGrh75X1cNR1D7_FcY9zMnHP8iPO4M5RCRjy6nZY0TY/"&amp;"edit#gid=0"",""Table 1: Study characteristics!B4:B171"")))&gt;0
),
""Include""
)"),"Exclude")</f>
        <v>Exclude</v>
      </c>
      <c r="G1109" s="5" t="str">
        <f>IFERROR(__xludf.DUMMYFUNCTION("IFS(
D1109=""Exclude"",
FILTER(IMPORTRANGE(""https://docs.google.com/spreadsheets/d/1BJSV3WBYJGRhQ6zExamkszQ5VutGIcaQqmbD9ZTVXMQ/edit#gid=1251630045"",""articles_with_PRISMA_reasons!AB2:AB2113""), $A1109=IMPORTRANGE(""https://docs.google.com/spreadsheets/"&amp;"d/1BJSV3WBYJGRhQ6zExamkszQ5VutGIcaQqmbD9ZTVXMQ/edit#gid=1251630045"",""articles_with_PRISMA_reasons!B2:B2113"")),
E1109=""Exclude"",
FILTER(IMPORTRANGE(""https://docs.google.com/spreadsheets/d/1qpEmbGH0JjaJbUdp21-y2cPbobDbMjr09BbtdKROZWc/edit#gid=14448656"&amp;"54"",""articles_with_PRISMA_reasons!Z2:Z2113""), $A1109=IMPORTRANGE(""https://docs.google.com/spreadsheets/d/1qpEmbGH0JjaJbUdp21-y2cPbobDbMjr09BbtdKROZWc/edit#gid=1444865654"",""articles_with_PRISMA_reasons!B2:B2113"")),F1109
=""Include"",FILTER(IMPORTRAN"&amp;"GE(""https://docs.google.com/spreadsheets/d/1kGrh75X1cNR1D7_FcY9zMnHP8iPO4M5RCRjy6nZY0TY/edit#gid=0"",""Table 1: Study characteristics!A4:A171""), $A1109=IMPORTRANGE(""https://docs.google.com/spreadsheets/d/1kGrh75X1cNR1D7_FcY9zMnHP8iPO4M5RCRjy6nZY0TY/edi"&amp;"t#gid=0"",""Table 1: Study characteristics!B4:B171""))
)"),"text not accessible")</f>
        <v>text not accessible</v>
      </c>
    </row>
    <row r="1110">
      <c r="A1110" s="4" t="str">
        <f>IFERROR(__xludf.DUMMYFUNCTION("""COMPUTED_VALUE"""),"Long-term survival of individuals with myelomeningocele")</f>
        <v>Long-term survival of individuals with myelomeningocele</v>
      </c>
      <c r="B1110" s="5" t="str">
        <f>IFERROR(__xludf.DUMMYFUNCTION("LEFT(FILTER(IMPORTRANGE(""https://docs.google.com/spreadsheets/d/1BJSV3WBYJGRhQ6zExamkszQ5VutGIcaQqmbD9ZTVXMQ/edit#gid=1251630045"",""articles_with_PRISMA_reasons!K2:K2113""), $A1110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$A1110=IMPORTRANGE(""https://docs.google.com/spreadsheets/d/1BJSV3WBYJGRhQ6zExamkszQ5VutGIcaQqmbD9ZTVXMQ/edit#gid=1251630045"",""articles_with_PRISMA_reasons!B2:B2113"")))-1)"),"Davis")</f>
        <v>Davis</v>
      </c>
      <c r="C1110" s="6">
        <f>IFERROR(__xludf.DUMMYFUNCTION("FILTER(IMPORTRANGE(""https://docs.google.com/spreadsheets/d/1BJSV3WBYJGRhQ6zExamkszQ5VutGIcaQqmbD9ZTVXMQ/edit#gid=1251630045"",""articles_with_PRISMA_reasons!C2:C2113""), $A1110=IMPORTRANGE(""https://docs.google.com/spreadsheets/d/1BJSV3WBYJGRhQ6zExamkszQ"&amp;"5VutGIcaQqmbD9ZTVXMQ/edit#gid=1251630045"",""articles_with_PRISMA_reasons!B2:B2113""))"),2005.0)</f>
        <v>2005</v>
      </c>
      <c r="D1110" s="5" t="str">
        <f>IFERROR(__xludf.DUMMYFUNCTION("IFS(AND(
FILTER(IMPORTRANGE(""https://docs.google.com/spreadsheets/d/1BJSV3WBYJGRhQ6zExamkszQ5VutGIcaQqmbD9ZTVXMQ/edit#gid=1251630045"",""articles_with_PRISMA_reasons!Y2:Y2113""), $A1110=IMPORTRANGE(""https://docs.google.com/spreadsheets/d/1BJSV3WBYJGRhQ6"&amp;"zExamkszQ5VutGIcaQqmbD9ZTVXMQ/edit#gid=1251630045"",""articles_with_PRISMA_reasons!B2:B2113""))&gt;=2,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$A1110=IMPORTRANGE(""https://docs.google"&amp;".com/spreadsheets/d/1BJSV3WBYJGRhQ6zExamkszQ5VutGIcaQqmbD9ZTVXMQ/edit#gid=1251630045"",""articles_with_PRISMA_reasons!B2:B2113""))&gt;=2),
""Exclude""
)"),"Exclude")</f>
        <v>Exclude</v>
      </c>
      <c r="E1110" s="5" t="str">
        <f>IFERROR(__xludf.DUMMYFUNCTION("IFS(
D1110=""Exclude"",""Exclude"",
AND(
FILTER(IMPORTRANGE(""https://docs.google.com/spreadsheets/d/1qpEmbGH0JjaJbUdp21-y2cPbobDbMjr09BbtdKROZWc/edit#gid=1444865654"",""articles_with_PRISMA_reasons!W2:W2113""), $A1110=IMPORTRANGE(""https://docs.google.co"&amp;"m/spreadsheets/d/1qpEmbGH0JjaJbUdp21-y2cPbobDbMjr09BbtdKROZWc/edit#gid=1444865654"",""articles_with_PRISMA_reasons!B2:B2113""))&gt;=2,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$A1110=I"&amp;"MPORTRANGE(""https://docs.google.com/spreadsheets/d/1qpEmbGH0JjaJbUdp21-y2cPbobDbMjr09BbtdKROZWc/edit#gid=1444865654"",""articles_with_PRISMA_reasons!B2:B2113""))&gt;=2),
""Exclude""
)"),"Exclude")</f>
        <v>Exclude</v>
      </c>
      <c r="F1110" s="5" t="str">
        <f>IFERROR(__xludf.DUMMYFUNCTION("IFS(
E1110=""Exclude"",""Exclude"",
AND(
COUNTIF(
IMPORTRANGE(""https://docs.google.com/spreadsheets/d/1kGrh75X1cNR1D7_FcY9zMnHP8iPO4M5RCRjy6nZY0TY/edit#gid=0"",""Table 1: Study characteristics!B4:B171""),A1110)&gt;0,
COUNTIF(Studies!$A$2:$A$85,FILTER(IMPORT"&amp;"RANGE(""https://docs.google.com/spreadsheets/d/1kGrh75X1cNR1D7_FcY9zMnHP8iPO4M5RCRjy6nZY0TY/edit#gid=0"",""Table 1: Study characteristics!A4:A171""), $A1110=IMPORTRANGE(""https://docs.google.com/spreadsheets/d/1kGrh75X1cNR1D7_FcY9zMnHP8iPO4M5RCRjy6nZY0TY/"&amp;"edit#gid=0"",""Table 1: Study characteristics!B4:B171"")))&gt;0
),
""Include""
)"),"Exclude")</f>
        <v>Exclude</v>
      </c>
      <c r="G1110" s="5" t="str">
        <f>IFERROR(__xludf.DUMMYFUNCTION("IFS(
D1110=""Exclude"",
FILTER(IMPORTRANGE(""https://docs.google.com/spreadsheets/d/1BJSV3WBYJGRhQ6zExamkszQ5VutGIcaQqmbD9ZTVXMQ/edit#gid=1251630045"",""articles_with_PRISMA_reasons!AB2:AB2113""), $A1110=IMPORTRANGE(""https://docs.google.com/spreadsheets/"&amp;"d/1BJSV3WBYJGRhQ6zExamkszQ5VutGIcaQqmbD9ZTVXMQ/edit#gid=1251630045"",""articles_with_PRISMA_reasons!B2:B2113"")),
E1110=""Exclude"",
FILTER(IMPORTRANGE(""https://docs.google.com/spreadsheets/d/1qpEmbGH0JjaJbUdp21-y2cPbobDbMjr09BbtdKROZWc/edit#gid=14448656"&amp;"54"",""articles_with_PRISMA_reasons!Z2:Z2113""), $A1110=IMPORTRANGE(""https://docs.google.com/spreadsheets/d/1qpEmbGH0JjaJbUdp21-y2cPbobDbMjr09BbtdKROZWc/edit#gid=1444865654"",""articles_with_PRISMA_reasons!B2:B2113"")),F1110
=""Include"",FILTER(IMPORTRAN"&amp;"GE(""https://docs.google.com/spreadsheets/d/1kGrh75X1cNR1D7_FcY9zMnHP8iPO4M5RCRjy6nZY0TY/edit#gid=0"",""Table 1: Study characteristics!A4:A171""), $A1110=IMPORTRANGE(""https://docs.google.com/spreadsheets/d/1kGrh75X1cNR1D7_FcY9zMnHP8iPO4M5RCRjy6nZY0TY/edi"&amp;"t#gid=0"",""Table 1: Study characteristics!B4:B171""))
)"),"Duplicate")</f>
        <v>Duplicate</v>
      </c>
    </row>
    <row r="1111">
      <c r="A1111" s="4" t="str">
        <f>IFERROR(__xludf.DUMMYFUNCTION("""COMPUTED_VALUE"""),"Long-term survival rates of gravity-assisted, adjustable differential pressure valves in infants with hydrocephalus")</f>
        <v>Long-term survival rates of gravity-assisted, adjustable differential pressure valves in infants with hydrocephalus</v>
      </c>
      <c r="B1111" s="5" t="str">
        <f>IFERROR(__xludf.DUMMYFUNCTION("LEFT(FILTER(IMPORTRANGE(""https://docs.google.com/spreadsheets/d/1BJSV3WBYJGRhQ6zExamkszQ5VutGIcaQqmbD9ZTVXMQ/edit#gid=1251630045"",""articles_with_PRISMA_reasons!K2:K2113""), $A1111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$A1111=IMPORTRANGE(""https://docs.google.com/spreadsheets/d/1BJSV3WBYJGRhQ6zExamkszQ5VutGIcaQqmbD9ZTVXMQ/edit#gid=1251630045"",""articles_with_PRISMA_reasons!B2:B2113"")))-1)"),"Gebert")</f>
        <v>Gebert</v>
      </c>
      <c r="C1111" s="6">
        <f>IFERROR(__xludf.DUMMYFUNCTION("FILTER(IMPORTRANGE(""https://docs.google.com/spreadsheets/d/1BJSV3WBYJGRhQ6zExamkszQ5VutGIcaQqmbD9ZTVXMQ/edit#gid=1251630045"",""articles_with_PRISMA_reasons!C2:C2113""), $A1111=IMPORTRANGE(""https://docs.google.com/spreadsheets/d/1BJSV3WBYJGRhQ6zExamkszQ"&amp;"5VutGIcaQqmbD9ZTVXMQ/edit#gid=1251630045"",""articles_with_PRISMA_reasons!B2:B2113""))"),2016.0)</f>
        <v>2016</v>
      </c>
      <c r="D1111" s="5" t="str">
        <f>IFERROR(__xludf.DUMMYFUNCTION("IFS(AND(
FILTER(IMPORTRANGE(""https://docs.google.com/spreadsheets/d/1BJSV3WBYJGRhQ6zExamkszQ5VutGIcaQqmbD9ZTVXMQ/edit#gid=1251630045"",""articles_with_PRISMA_reasons!Y2:Y2113""), $A1111=IMPORTRANGE(""https://docs.google.com/spreadsheets/d/1BJSV3WBYJGRhQ6"&amp;"zExamkszQ5VutGIcaQqmbD9ZTVXMQ/edit#gid=1251630045"",""articles_with_PRISMA_reasons!B2:B2113""))&gt;=2,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$A1111=IMPORTRANGE(""https://docs.google"&amp;".com/spreadsheets/d/1BJSV3WBYJGRhQ6zExamkszQ5VutGIcaQqmbD9ZTVXMQ/edit#gid=1251630045"",""articles_with_PRISMA_reasons!B2:B2113""))&gt;=2),
""Exclude""
)"),"Include")</f>
        <v>Include</v>
      </c>
      <c r="E1111" s="5" t="str">
        <f>IFERROR(__xludf.DUMMYFUNCTION("IFS(
D1111=""Exclude"",""Exclude"",
AND(
FILTER(IMPORTRANGE(""https://docs.google.com/spreadsheets/d/1qpEmbGH0JjaJbUdp21-y2cPbobDbMjr09BbtdKROZWc/edit#gid=1444865654"",""articles_with_PRISMA_reasons!W2:W2113""), $A1111=IMPORTRANGE(""https://docs.google.co"&amp;"m/spreadsheets/d/1qpEmbGH0JjaJbUdp21-y2cPbobDbMjr09BbtdKROZWc/edit#gid=1444865654"",""articles_with_PRISMA_reasons!B2:B2113""))&gt;=2,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$A1111=I"&amp;"MPORTRANGE(""https://docs.google.com/spreadsheets/d/1qpEmbGH0JjaJbUdp21-y2cPbobDbMjr09BbtdKROZWc/edit#gid=1444865654"",""articles_with_PRISMA_reasons!B2:B2113""))&gt;=2),
""Exclude""
)"),"Exclude")</f>
        <v>Exclude</v>
      </c>
      <c r="F1111" s="5" t="str">
        <f>IFERROR(__xludf.DUMMYFUNCTION("IFS(
E1111=""Exclude"",""Exclude"",
AND(
COUNTIF(
IMPORTRANGE(""https://docs.google.com/spreadsheets/d/1kGrh75X1cNR1D7_FcY9zMnHP8iPO4M5RCRjy6nZY0TY/edit#gid=0"",""Table 1: Study characteristics!B4:B171""),A1111)&gt;0,
COUNTIF(Studies!$A$2:$A$85,FILTER(IMPORT"&amp;"RANGE(""https://docs.google.com/spreadsheets/d/1kGrh75X1cNR1D7_FcY9zMnHP8iPO4M5RCRjy6nZY0TY/edit#gid=0"",""Table 1: Study characteristics!A4:A171""), $A1111=IMPORTRANGE(""https://docs.google.com/spreadsheets/d/1kGrh75X1cNR1D7_FcY9zMnHP8iPO4M5RCRjy6nZY0TY/"&amp;"edit#gid=0"",""Table 1: Study characteristics!B4:B171"")))&gt;0
),
""Include""
)"),"Exclude")</f>
        <v>Exclude</v>
      </c>
      <c r="G1111" s="5" t="str">
        <f>IFERROR(__xludf.DUMMYFUNCTION("IFS(
D1111=""Exclude"",
FILTER(IMPORTRANGE(""https://docs.google.com/spreadsheets/d/1BJSV3WBYJGRhQ6zExamkszQ5VutGIcaQqmbD9ZTVXMQ/edit#gid=1251630045"",""articles_with_PRISMA_reasons!AB2:AB2113""), $A1111=IMPORTRANGE(""https://docs.google.com/spreadsheets/"&amp;"d/1BJSV3WBYJGRhQ6zExamkszQ5VutGIcaQqmbD9ZTVXMQ/edit#gid=1251630045"",""articles_with_PRISMA_reasons!B2:B2113"")),
E1111=""Exclude"",
FILTER(IMPORTRANGE(""https://docs.google.com/spreadsheets/d/1qpEmbGH0JjaJbUdp21-y2cPbobDbMjr09BbtdKROZWc/edit#gid=14448656"&amp;"54"",""articles_with_PRISMA_reasons!Z2:Z2113""), $A1111=IMPORTRANGE(""https://docs.google.com/spreadsheets/d/1qpEmbGH0JjaJbUdp21-y2cPbobDbMjr09BbtdKROZWc/edit#gid=1444865654"",""articles_with_PRISMA_reasons!B2:B2113"")),F1111
=""Include"",FILTER(IMPORTRAN"&amp;"GE(""https://docs.google.com/spreadsheets/d/1kGrh75X1cNR1D7_FcY9zMnHP8iPO4M5RCRjy6nZY0TY/edit#gid=0"",""Table 1: Study characteristics!A4:A171""), $A1111=IMPORTRANGE(""https://docs.google.com/spreadsheets/d/1kGrh75X1cNR1D7_FcY9zMnHP8iPO4M5RCRjy6nZY0TY/edi"&amp;"t#gid=0"",""Table 1: Study characteristics!B4:B171""))
)"),"wrong population")</f>
        <v>wrong population</v>
      </c>
    </row>
    <row r="1112">
      <c r="A1112" s="4" t="str">
        <f>IFERROR(__xludf.DUMMYFUNCTION("""COMPUTED_VALUE"""),"Longevity of patients born with myelomeningocele")</f>
        <v>Longevity of patients born with myelomeningocele</v>
      </c>
      <c r="B1112" s="5" t="str">
        <f>IFERROR(__xludf.DUMMYFUNCTION("LEFT(FILTER(IMPORTRANGE(""https://docs.google.com/spreadsheets/d/1BJSV3WBYJGRhQ6zExamkszQ5VutGIcaQqmbD9ZTVXMQ/edit#gid=1251630045"",""articles_with_PRISMA_reasons!K2:K2113""), $A1112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$A1112=IMPORTRANGE(""https://docs.google.com/spreadsheets/d/1BJSV3WBYJGRhQ6zExamkszQ5VutGIcaQqmbD9ZTVXMQ/edit#gid=1251630045"",""articles_with_PRISMA_reasons!B2:B2113"")))-1)"),"Dillon")</f>
        <v>Dillon</v>
      </c>
      <c r="C1112" s="6">
        <f>IFERROR(__xludf.DUMMYFUNCTION("FILTER(IMPORTRANGE(""https://docs.google.com/spreadsheets/d/1BJSV3WBYJGRhQ6zExamkszQ5VutGIcaQqmbD9ZTVXMQ/edit#gid=1251630045"",""articles_with_PRISMA_reasons!C2:C2113""), $A1112=IMPORTRANGE(""https://docs.google.com/spreadsheets/d/1BJSV3WBYJGRhQ6zExamkszQ"&amp;"5VutGIcaQqmbD9ZTVXMQ/edit#gid=1251630045"",""articles_with_PRISMA_reasons!B2:B2113""))"),2000.0)</f>
        <v>2000</v>
      </c>
      <c r="D1112" s="5" t="str">
        <f>IFERROR(__xludf.DUMMYFUNCTION("IFS(AND(
FILTER(IMPORTRANGE(""https://docs.google.com/spreadsheets/d/1BJSV3WBYJGRhQ6zExamkszQ5VutGIcaQqmbD9ZTVXMQ/edit#gid=1251630045"",""articles_with_PRISMA_reasons!Y2:Y2113""), $A1112=IMPORTRANGE(""https://docs.google.com/spreadsheets/d/1BJSV3WBYJGRhQ6"&amp;"zExamkszQ5VutGIcaQqmbD9ZTVXMQ/edit#gid=1251630045"",""articles_with_PRISMA_reasons!B2:B2113""))&gt;=2,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$A1112=IMPORTRANGE(""https://docs.google"&amp;".com/spreadsheets/d/1BJSV3WBYJGRhQ6zExamkszQ5VutGIcaQqmbD9ZTVXMQ/edit#gid=1251630045"",""articles_with_PRISMA_reasons!B2:B2113""))&gt;=2),
""Exclude""
)"),"Exclude")</f>
        <v>Exclude</v>
      </c>
      <c r="E1112" s="5" t="str">
        <f>IFERROR(__xludf.DUMMYFUNCTION("IFS(
D1112=""Exclude"",""Exclude"",
AND(
FILTER(IMPORTRANGE(""https://docs.google.com/spreadsheets/d/1qpEmbGH0JjaJbUdp21-y2cPbobDbMjr09BbtdKROZWc/edit#gid=1444865654"",""articles_with_PRISMA_reasons!W2:W2113""), $A1112=IMPORTRANGE(""https://docs.google.co"&amp;"m/spreadsheets/d/1qpEmbGH0JjaJbUdp21-y2cPbobDbMjr09BbtdKROZWc/edit#gid=1444865654"",""articles_with_PRISMA_reasons!B2:B2113""))&gt;=2,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$A1112=I"&amp;"MPORTRANGE(""https://docs.google.com/spreadsheets/d/1qpEmbGH0JjaJbUdp21-y2cPbobDbMjr09BbtdKROZWc/edit#gid=1444865654"",""articles_with_PRISMA_reasons!B2:B2113""))&gt;=2),
""Exclude""
)"),"Exclude")</f>
        <v>Exclude</v>
      </c>
      <c r="F1112" s="5" t="str">
        <f>IFERROR(__xludf.DUMMYFUNCTION("IFS(
E1112=""Exclude"",""Exclude"",
AND(
COUNTIF(
IMPORTRANGE(""https://docs.google.com/spreadsheets/d/1kGrh75X1cNR1D7_FcY9zMnHP8iPO4M5RCRjy6nZY0TY/edit#gid=0"",""Table 1: Study characteristics!B4:B171""),A1112)&gt;0,
COUNTIF(Studies!$A$2:$A$85,FILTER(IMPORT"&amp;"RANGE(""https://docs.google.com/spreadsheets/d/1kGrh75X1cNR1D7_FcY9zMnHP8iPO4M5RCRjy6nZY0TY/edit#gid=0"",""Table 1: Study characteristics!A4:A171""), $A1112=IMPORTRANGE(""https://docs.google.com/spreadsheets/d/1kGrh75X1cNR1D7_FcY9zMnHP8iPO4M5RCRjy6nZY0TY/"&amp;"edit#gid=0"",""Table 1: Study characteristics!B4:B171"")))&gt;0
),
""Include""
)"),"Exclude")</f>
        <v>Exclude</v>
      </c>
      <c r="G1112" s="5" t="str">
        <f>IFERROR(__xludf.DUMMYFUNCTION("IFS(
D1112=""Exclude"",
FILTER(IMPORTRANGE(""https://docs.google.com/spreadsheets/d/1BJSV3WBYJGRhQ6zExamkszQ5VutGIcaQqmbD9ZTVXMQ/edit#gid=1251630045"",""articles_with_PRISMA_reasons!AB2:AB2113""), $A1112=IMPORTRANGE(""https://docs.google.com/spreadsheets/"&amp;"d/1BJSV3WBYJGRhQ6zExamkszQ5VutGIcaQqmbD9ZTVXMQ/edit#gid=1251630045"",""articles_with_PRISMA_reasons!B2:B2113"")),
E1112=""Exclude"",
FILTER(IMPORTRANGE(""https://docs.google.com/spreadsheets/d/1qpEmbGH0JjaJbUdp21-y2cPbobDbMjr09BbtdKROZWc/edit#gid=14448656"&amp;"54"",""articles_with_PRISMA_reasons!Z2:Z2113""), $A1112=IMPORTRANGE(""https://docs.google.com/spreadsheets/d/1qpEmbGH0JjaJbUdp21-y2cPbobDbMjr09BbtdKROZWc/edit#gid=1444865654"",""articles_with_PRISMA_reasons!B2:B2113"")),F1112
=""Include"",FILTER(IMPORTRAN"&amp;"GE(""https://docs.google.com/spreadsheets/d/1kGrh75X1cNR1D7_FcY9zMnHP8iPO4M5RCRjy6nZY0TY/edit#gid=0"",""Table 1: Study characteristics!A4:A171""), $A1112=IMPORTRANGE(""https://docs.google.com/spreadsheets/d/1kGrh75X1cNR1D7_FcY9zMnHP8iPO4M5RCRjy6nZY0TY/edi"&amp;"t#gid=0"",""Table 1: Study characteristics!B4:B171""))
)"),"wrong population")</f>
        <v>wrong population</v>
      </c>
    </row>
    <row r="1113">
      <c r="A1113" s="4" t="str">
        <f>IFERROR(__xludf.DUMMYFUNCTION("""COMPUTED_VALUE"""),"Longterm oculomotor and visual function in spina bifida cystica: A population-based study")</f>
        <v>Longterm oculomotor and visual function in spina bifida cystica: A population-based study</v>
      </c>
      <c r="B1113" s="5" t="str">
        <f>IFERROR(__xludf.DUMMYFUNCTION("LEFT(FILTER(IMPORTRANGE(""https://docs.google.com/spreadsheets/d/1BJSV3WBYJGRhQ6zExamkszQ5VutGIcaQqmbD9ZTVXMQ/edit#gid=1251630045"",""articles_with_PRISMA_reasons!K2:K2113""), $A1113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$A1113=IMPORTRANGE(""https://docs.google.com/spreadsheets/d/1BJSV3WBYJGRhQ6zExamkszQ5VutGIcaQqmbD9ZTVXMQ/edit#gid=1251630045"",""articles_with_PRISMA_reasons!B2:B2113"")))-1)"),"Caines")</f>
        <v>Caines</v>
      </c>
      <c r="C1113" s="6">
        <f>IFERROR(__xludf.DUMMYFUNCTION("FILTER(IMPORTRANGE(""https://docs.google.com/spreadsheets/d/1BJSV3WBYJGRhQ6zExamkszQ5VutGIcaQqmbD9ZTVXMQ/edit#gid=1251630045"",""articles_with_PRISMA_reasons!C2:C2113""), $A1113=IMPORTRANGE(""https://docs.google.com/spreadsheets/d/1BJSV3WBYJGRhQ6zExamkszQ"&amp;"5VutGIcaQqmbD9ZTVXMQ/edit#gid=1251630045"",""articles_with_PRISMA_reasons!B2:B2113""))"),2007.0)</f>
        <v>2007</v>
      </c>
      <c r="D1113" s="5" t="str">
        <f>IFERROR(__xludf.DUMMYFUNCTION("IFS(AND(
FILTER(IMPORTRANGE(""https://docs.google.com/spreadsheets/d/1BJSV3WBYJGRhQ6zExamkszQ5VutGIcaQqmbD9ZTVXMQ/edit#gid=1251630045"",""articles_with_PRISMA_reasons!Y2:Y2113""), $A1113=IMPORTRANGE(""https://docs.google.com/spreadsheets/d/1BJSV3WBYJGRhQ6"&amp;"zExamkszQ5VutGIcaQqmbD9ZTVXMQ/edit#gid=1251630045"",""articles_with_PRISMA_reasons!B2:B2113""))&gt;=2,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$A1113=IMPORTRANGE(""https://docs.google"&amp;".com/spreadsheets/d/1BJSV3WBYJGRhQ6zExamkszQ5VutGIcaQqmbD9ZTVXMQ/edit#gid=1251630045"",""articles_with_PRISMA_reasons!B2:B2113""))&gt;=2),
""Exclude""
)"),"Exclude")</f>
        <v>Exclude</v>
      </c>
      <c r="E1113" s="5" t="str">
        <f>IFERROR(__xludf.DUMMYFUNCTION("IFS(
D1113=""Exclude"",""Exclude"",
AND(
FILTER(IMPORTRANGE(""https://docs.google.com/spreadsheets/d/1qpEmbGH0JjaJbUdp21-y2cPbobDbMjr09BbtdKROZWc/edit#gid=1444865654"",""articles_with_PRISMA_reasons!W2:W2113""), $A1113=IMPORTRANGE(""https://docs.google.co"&amp;"m/spreadsheets/d/1qpEmbGH0JjaJbUdp21-y2cPbobDbMjr09BbtdKROZWc/edit#gid=1444865654"",""articles_with_PRISMA_reasons!B2:B2113""))&gt;=2,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$A1113=I"&amp;"MPORTRANGE(""https://docs.google.com/spreadsheets/d/1qpEmbGH0JjaJbUdp21-y2cPbobDbMjr09BbtdKROZWc/edit#gid=1444865654"",""articles_with_PRISMA_reasons!B2:B2113""))&gt;=2),
""Exclude""
)"),"Exclude")</f>
        <v>Exclude</v>
      </c>
      <c r="F1113" s="5" t="str">
        <f>IFERROR(__xludf.DUMMYFUNCTION("IFS(
E1113=""Exclude"",""Exclude"",
AND(
COUNTIF(
IMPORTRANGE(""https://docs.google.com/spreadsheets/d/1kGrh75X1cNR1D7_FcY9zMnHP8iPO4M5RCRjy6nZY0TY/edit#gid=0"",""Table 1: Study characteristics!B4:B171""),A1113)&gt;0,
COUNTIF(Studies!$A$2:$A$85,FILTER(IMPORT"&amp;"RANGE(""https://docs.google.com/spreadsheets/d/1kGrh75X1cNR1D7_FcY9zMnHP8iPO4M5RCRjy6nZY0TY/edit#gid=0"",""Table 1: Study characteristics!A4:A171""), $A1113=IMPORTRANGE(""https://docs.google.com/spreadsheets/d/1kGrh75X1cNR1D7_FcY9zMnHP8iPO4M5RCRjy6nZY0TY/"&amp;"edit#gid=0"",""Table 1: Study characteristics!B4:B171"")))&gt;0
),
""Include""
)"),"Exclude")</f>
        <v>Exclude</v>
      </c>
      <c r="G1113" s="5" t="str">
        <f>IFERROR(__xludf.DUMMYFUNCTION("IFS(
D1113=""Exclude"",
FILTER(IMPORTRANGE(""https://docs.google.com/spreadsheets/d/1BJSV3WBYJGRhQ6zExamkszQ5VutGIcaQqmbD9ZTVXMQ/edit#gid=1251630045"",""articles_with_PRISMA_reasons!AB2:AB2113""), $A1113=IMPORTRANGE(""https://docs.google.com/spreadsheets/"&amp;"d/1BJSV3WBYJGRhQ6zExamkszQ5VutGIcaQqmbD9ZTVXMQ/edit#gid=1251630045"",""articles_with_PRISMA_reasons!B2:B2113"")),
E1113=""Exclude"",
FILTER(IMPORTRANGE(""https://docs.google.com/spreadsheets/d/1qpEmbGH0JjaJbUdp21-y2cPbobDbMjr09BbtdKROZWc/edit#gid=14448656"&amp;"54"",""articles_with_PRISMA_reasons!Z2:Z2113""), $A1113=IMPORTRANGE(""https://docs.google.com/spreadsheets/d/1qpEmbGH0JjaJbUdp21-y2cPbobDbMjr09BbtdKROZWc/edit#gid=1444865654"",""articles_with_PRISMA_reasons!B2:B2113"")),F1113
=""Include"",FILTER(IMPORTRAN"&amp;"GE(""https://docs.google.com/spreadsheets/d/1kGrh75X1cNR1D7_FcY9zMnHP8iPO4M5RCRjy6nZY0TY/edit#gid=0"",""Table 1: Study characteristics!A4:A171""), $A1113=IMPORTRANGE(""https://docs.google.com/spreadsheets/d/1kGrh75X1cNR1D7_FcY9zMnHP8iPO4M5RCRjy6nZY0TY/edi"&amp;"t#gid=0"",""Table 1: Study characteristics!B4:B171""))
)"),"wrong study design")</f>
        <v>wrong study design</v>
      </c>
    </row>
    <row r="1114">
      <c r="A1114" s="4" t="str">
        <f>IFERROR(__xludf.DUMMYFUNCTION("""COMPUTED_VALUE"""),"Loss-of-function de novo mutations play an important role in severe human neural tube defects")</f>
        <v>Loss-of-function de novo mutations play an important role in severe human neural tube defects</v>
      </c>
      <c r="B1114" s="5" t="str">
        <f>IFERROR(__xludf.DUMMYFUNCTION("LEFT(FILTER(IMPORTRANGE(""https://docs.google.com/spreadsheets/d/1BJSV3WBYJGRhQ6zExamkszQ5VutGIcaQqmbD9ZTVXMQ/edit#gid=1251630045"",""articles_with_PRISMA_reasons!K2:K2113""), $A1114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$A1114=IMPORTRANGE(""https://docs.google.com/spreadsheets/d/1BJSV3WBYJGRhQ6zExamkszQ5VutGIcaQqmbD9ZTVXMQ/edit#gid=1251630045"",""articles_with_PRISMA_reasons!B2:B2113"")))-1)"),"Lemay")</f>
        <v>Lemay</v>
      </c>
      <c r="C1114" s="6">
        <f>IFERROR(__xludf.DUMMYFUNCTION("FILTER(IMPORTRANGE(""https://docs.google.com/spreadsheets/d/1BJSV3WBYJGRhQ6zExamkszQ5VutGIcaQqmbD9ZTVXMQ/edit#gid=1251630045"",""articles_with_PRISMA_reasons!C2:C2113""), $A1114=IMPORTRANGE(""https://docs.google.com/spreadsheets/d/1BJSV3WBYJGRhQ6zExamkszQ"&amp;"5VutGIcaQqmbD9ZTVXMQ/edit#gid=1251630045"",""articles_with_PRISMA_reasons!B2:B2113""))"),2015.0)</f>
        <v>2015</v>
      </c>
      <c r="D1114" s="5" t="str">
        <f>IFERROR(__xludf.DUMMYFUNCTION("IFS(AND(
FILTER(IMPORTRANGE(""https://docs.google.com/spreadsheets/d/1BJSV3WBYJGRhQ6zExamkszQ5VutGIcaQqmbD9ZTVXMQ/edit#gid=1251630045"",""articles_with_PRISMA_reasons!Y2:Y2113""), $A1114=IMPORTRANGE(""https://docs.google.com/spreadsheets/d/1BJSV3WBYJGRhQ6"&amp;"zExamkszQ5VutGIcaQqmbD9ZTVXMQ/edit#gid=1251630045"",""articles_with_PRISMA_reasons!B2:B2113""))&gt;=2,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$A1114=IMPORTRANGE(""https://docs.google.com/spreadsheets/d/1BJSV3WBYJGRhQ6zExamkszQ5VutGIcaQqmbD9ZTVXMQ/edit#gid=1251630045"",""articles_with_PRISMA_reasons!B2:B2113""))&lt;2),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$A1114=IMPORTRANGE(""https://docs.google.com/spreadsheets/d/1BJSV3WBYJGRhQ6zExamkszQ5VutGIcaQqmbD9ZTVXMQ/edit#gid=1251630045"",""a"&amp;"rticles_with_PRISMA_reasons!B2:B2113""))&lt;2,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$A1114=IMPORTRANGE(""https://docs.google"&amp;".com/spreadsheets/d/1BJSV3WBYJGRhQ6zExamkszQ5VutGIcaQqmbD9ZTVXMQ/edit#gid=1251630045"",""articles_with_PRISMA_reasons!B2:B2113""))&gt;=2),
""Exclude""
)"),"Exclude")</f>
        <v>Exclude</v>
      </c>
      <c r="E1114" s="5" t="str">
        <f>IFERROR(__xludf.DUMMYFUNCTION("IFS(
D1114=""Exclude"",""Exclude"",
AND(
FILTER(IMPORTRANGE(""https://docs.google.com/spreadsheets/d/1qpEmbGH0JjaJbUdp21-y2cPbobDbMjr09BbtdKROZWc/edit#gid=1444865654"",""articles_with_PRISMA_reasons!W2:W2113""), $A1114=IMPORTRANGE(""https://docs.google.co"&amp;"m/spreadsheets/d/1qpEmbGH0JjaJbUdp21-y2cPbobDbMjr09BbtdKROZWc/edit#gid=1444865654"",""articles_with_PRISMA_reasons!B2:B2113""))&gt;=2,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$A1114=IMPORTRANGE(""https://docs.google.com/spreadsheets/d/1qpEmbGH0JjaJbUdp21-y2cPbobDbMjr09BbtdKROZWc/edit#gid=1444865654"",""articles_with_PRISMA_reasons!B2:B2113""))&lt;2),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$A1114=IMPORTRANGE(""https://docs.google.com/spreadsheets/d/1qpEmbGH0JjaJbUdp21-y2cPbobDbMjr09Bbtd"&amp;"KROZWc/edit#gid=1444865654"",""articles_with_PRISMA_reasons!B2:B2113""))&lt;2,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$A1114=I"&amp;"MPORTRANGE(""https://docs.google.com/spreadsheets/d/1qpEmbGH0JjaJbUdp21-y2cPbobDbMjr09BbtdKROZWc/edit#gid=1444865654"",""articles_with_PRISMA_reasons!B2:B2113""))&gt;=2),
""Exclude""
)"),"Exclude")</f>
        <v>Exclude</v>
      </c>
      <c r="F1114" s="5" t="str">
        <f>IFERROR(__xludf.DUMMYFUNCTION("IFS(
E1114=""Exclude"",""Exclude"",
AND(
COUNTIF(
IMPORTRANGE(""https://docs.google.com/spreadsheets/d/1kGrh75X1cNR1D7_FcY9zMnHP8iPO4M5RCRjy6nZY0TY/edit#gid=0"",""Table 1: Study characteristics!B4:B171""),A1114)&gt;0,
COUNTIF(Studies!$A$2:$A$85,FILTER(IMPORT"&amp;"RANGE(""https://docs.google.com/spreadsheets/d/1kGrh75X1cNR1D7_FcY9zMnHP8iPO4M5RCRjy6nZY0TY/edit#gid=0"",""Table 1: Study characteristics!A4:A171""), $A1114=IMPORTRANGE(""https://docs.google.com/spreadsheets/d/1kGrh75X1cNR1D7_FcY9zMnHP8iPO4M5RCRjy6nZY0TY/"&amp;"edit#gid=0"",""Table 1: Study characteristics!B4:B171"")))&gt;0
),
""Include""
)"),"Exclude")</f>
        <v>Exclude</v>
      </c>
      <c r="G1114" s="5" t="str">
        <f>IFERROR(__xludf.DUMMYFUNCTION("IFS(
D1114=""Exclude"",
FILTER(IMPORTRANGE(""https://docs.google.com/spreadsheets/d/1BJSV3WBYJGRhQ6zExamkszQ5VutGIcaQqmbD9ZTVXMQ/edit#gid=1251630045"",""articles_with_PRISMA_reasons!AB2:AB2113""), $A1114=IMPORTRANGE(""https://docs.google.com/spreadsheets/"&amp;"d/1BJSV3WBYJGRhQ6zExamkszQ5VutGIcaQqmbD9ZTVXMQ/edit#gid=1251630045"",""articles_with_PRISMA_reasons!B2:B2113"")),
E1114=""Exclude"",
FILTER(IMPORTRANGE(""https://docs.google.com/spreadsheets/d/1qpEmbGH0JjaJbUdp21-y2cPbobDbMjr09BbtdKROZWc/edit#gid=14448656"&amp;"54"",""articles_with_PRISMA_reasons!Z2:Z2113""), $A1114=IMPORTRANGE(""https://docs.google.com/spreadsheets/d/1qpEmbGH0JjaJbUdp21-y2cPbobDbMjr09BbtdKROZWc/edit#gid=1444865654"",""articles_with_PRISMA_reasons!B2:B2113"")),F1114
=""Include"",FILTER(IMPORTRAN"&amp;"GE(""https://docs.google.com/spreadsheets/d/1kGrh75X1cNR1D7_FcY9zMnHP8iPO4M5RCRjy6nZY0TY/edit#gid=0"",""Table 1: Study characteristics!A4:A171""), $A1114=IMPORTRANGE(""https://docs.google.com/spreadsheets/d/1kGrh75X1cNR1D7_FcY9zMnHP8iPO4M5RCRjy6nZY0TY/edi"&amp;"t#gid=0"",""Table 1: Study characteristics!B4:B171""))
)"),"wrong study design")</f>
        <v>wrong study design</v>
      </c>
    </row>
    <row r="1115">
      <c r="A1115" s="4" t="str">
        <f>IFERROR(__xludf.DUMMYFUNCTION("""COMPUTED_VALUE"""),"Low-pressure valves in hydrocephalic children: A retrospective analysis")</f>
        <v>Low-pressure valves in hydrocephalic children: A retrospective analysis</v>
      </c>
      <c r="B1115" s="5" t="str">
        <f>IFERROR(__xludf.DUMMYFUNCTION("LEFT(FILTER(IMPORTRANGE(""https://docs.google.com/spreadsheets/d/1BJSV3WBYJGRhQ6zExamkszQ5VutGIcaQqmbD9ZTVXMQ/edit#gid=1251630045"",""articles_with_PRISMA_reasons!K2:K2113""), $A1115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$A1115=IMPORTRANGE(""https://docs.google.com/spreadsheets/d/1BJSV3WBYJGRhQ6zExamkszQ5VutGIcaQqmbD9ZTVXMQ/edit#gid=1251630045"",""articles_with_PRISMA_reasons!B2:B2113"")))-1)"),"Breimer")</f>
        <v>Breimer</v>
      </c>
      <c r="C1115" s="6">
        <f>IFERROR(__xludf.DUMMYFUNCTION("FILTER(IMPORTRANGE(""https://docs.google.com/spreadsheets/d/1BJSV3WBYJGRhQ6zExamkszQ5VutGIcaQqmbD9ZTVXMQ/edit#gid=1251630045"",""articles_with_PRISMA_reasons!C2:C2113""), $A1115=IMPORTRANGE(""https://docs.google.com/spreadsheets/d/1BJSV3WBYJGRhQ6zExamkszQ"&amp;"5VutGIcaQqmbD9ZTVXMQ/edit#gid=1251630045"",""articles_with_PRISMA_reasons!B2:B2113""))"),2012.0)</f>
        <v>2012</v>
      </c>
      <c r="D1115" s="5" t="str">
        <f>IFERROR(__xludf.DUMMYFUNCTION("IFS(AND(
FILTER(IMPORTRANGE(""https://docs.google.com/spreadsheets/d/1BJSV3WBYJGRhQ6zExamkszQ5VutGIcaQqmbD9ZTVXMQ/edit#gid=1251630045"",""articles_with_PRISMA_reasons!Y2:Y2113""), $A1115=IMPORTRANGE(""https://docs.google.com/spreadsheets/d/1BJSV3WBYJGRhQ6"&amp;"zExamkszQ5VutGIcaQqmbD9ZTVXMQ/edit#gid=1251630045"",""articles_with_PRISMA_reasons!B2:B2113""))&gt;=2,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$A1115=IMPORTRANGE(""https://docs.google.com/spreadsheets/d/1BJSV3WBYJGRhQ6zExamkszQ5VutGIcaQqmbD9ZTVXMQ/edit#gid=1251630045"",""articles_with_PRISMA_reasons!B2:B2113""))&lt;2),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$A1115=IMPORTRANGE(""https://docs.google.com/spreadsheets/d/1BJSV3WBYJGRhQ6zExamkszQ5VutGIcaQqmbD9ZTVXMQ/edit#gid=1251630045"",""a"&amp;"rticles_with_PRISMA_reasons!B2:B2113""))&lt;2,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$A1115=IMPORTRANGE(""https://docs.google"&amp;".com/spreadsheets/d/1BJSV3WBYJGRhQ6zExamkszQ5VutGIcaQqmbD9ZTVXMQ/edit#gid=1251630045"",""articles_with_PRISMA_reasons!B2:B2113""))&gt;=2),
""Exclude""
)"),"Include")</f>
        <v>Include</v>
      </c>
      <c r="E1115" s="5" t="str">
        <f>IFERROR(__xludf.DUMMYFUNCTION("IFS(
D1115=""Exclude"",""Exclude"",
AND(
FILTER(IMPORTRANGE(""https://docs.google.com/spreadsheets/d/1qpEmbGH0JjaJbUdp21-y2cPbobDbMjr09BbtdKROZWc/edit#gid=1444865654"",""articles_with_PRISMA_reasons!W2:W2113""), $A1115=IMPORTRANGE(""https://docs.google.co"&amp;"m/spreadsheets/d/1qpEmbGH0JjaJbUdp21-y2cPbobDbMjr09BbtdKROZWc/edit#gid=1444865654"",""articles_with_PRISMA_reasons!B2:B2113""))&gt;=2,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$A1115=IMPORTRANGE(""https://docs.google.com/spreadsheets/d/1qpEmbGH0JjaJbUdp21-y2cPbobDbMjr09BbtdKROZWc/edit#gid=1444865654"",""articles_with_PRISMA_reasons!B2:B2113""))&lt;2),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$A1115=IMPORTRANGE(""https://docs.google.com/spreadsheets/d/1qpEmbGH0JjaJbUdp21-y2cPbobDbMjr09Bbtd"&amp;"KROZWc/edit#gid=1444865654"",""articles_with_PRISMA_reasons!B2:B2113""))&lt;2,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$A1115=I"&amp;"MPORTRANGE(""https://docs.google.com/spreadsheets/d/1qpEmbGH0JjaJbUdp21-y2cPbobDbMjr09BbtdKROZWc/edit#gid=1444865654"",""articles_with_PRISMA_reasons!B2:B2113""))&gt;=2),
""Exclude""
)"),"Include")</f>
        <v>Include</v>
      </c>
      <c r="F1115" s="2" t="s">
        <v>8</v>
      </c>
      <c r="G1115" s="2" t="s">
        <v>17</v>
      </c>
    </row>
    <row r="1116">
      <c r="A1116" s="4" t="str">
        <f>IFERROR(__xludf.DUMMYFUNCTION("""COMPUTED_VALUE"""),"Luckenschadel Associated with Chiari Type II Malformation: An Autopsy Case Report")</f>
        <v>Luckenschadel Associated with Chiari Type II Malformation: An Autopsy Case Report</v>
      </c>
      <c r="B1116" s="5" t="str">
        <f>IFERROR(__xludf.DUMMYFUNCTION("LEFT(FILTER(IMPORTRANGE(""https://docs.google.com/spreadsheets/d/1BJSV3WBYJGRhQ6zExamkszQ5VutGIcaQqmbD9ZTVXMQ/edit#gid=1251630045"",""articles_with_PRISMA_reasons!K2:K2113""), $A1116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$A1116=IMPORTRANGE(""https://docs.google.com/spreadsheets/d/1BJSV3WBYJGRhQ6zExamkszQ5VutGIcaQqmbD9ZTVXMQ/edit#gid=1251630045"",""articles_with_PRISMA_reasons!B2:B2113"")))-1)"),"Darouich")</f>
        <v>Darouich</v>
      </c>
      <c r="C1116" s="6">
        <f>IFERROR(__xludf.DUMMYFUNCTION("FILTER(IMPORTRANGE(""https://docs.google.com/spreadsheets/d/1BJSV3WBYJGRhQ6zExamkszQ5VutGIcaQqmbD9ZTVXMQ/edit#gid=1251630045"",""articles_with_PRISMA_reasons!C2:C2113""), $A1116=IMPORTRANGE(""https://docs.google.com/spreadsheets/d/1BJSV3WBYJGRhQ6zExamkszQ"&amp;"5VutGIcaQqmbD9ZTVXMQ/edit#gid=1251630045"",""articles_with_PRISMA_reasons!B2:B2113""))"),2020.0)</f>
        <v>2020</v>
      </c>
      <c r="D1116" s="5" t="str">
        <f>IFERROR(__xludf.DUMMYFUNCTION("IFS(AND(
FILTER(IMPORTRANGE(""https://docs.google.com/spreadsheets/d/1BJSV3WBYJGRhQ6zExamkszQ5VutGIcaQqmbD9ZTVXMQ/edit#gid=1251630045"",""articles_with_PRISMA_reasons!Y2:Y2113""), $A1116=IMPORTRANGE(""https://docs.google.com/spreadsheets/d/1BJSV3WBYJGRhQ6"&amp;"zExamkszQ5VutGIcaQqmbD9ZTVXMQ/edit#gid=1251630045"",""articles_with_PRISMA_reasons!B2:B2113""))&gt;=2,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$A1116=IMPORTRANGE(""https://docs.google.com/spreadsheets/d/1BJSV3WBYJGRhQ6zExamkszQ5VutGIcaQqmbD9ZTVXMQ/edit#gid=1251630045"",""articles_with_PRISMA_reasons!B2:B2113""))&lt;2),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$A1116=IMPORTRANGE(""https://docs.google.com/spreadsheets/d/1BJSV3WBYJGRhQ6zExamkszQ5VutGIcaQqmbD9ZTVXMQ/edit#gid=1251630045"",""a"&amp;"rticles_with_PRISMA_reasons!B2:B2113""))&lt;2,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$A1116=IMPORTRANGE(""https://docs.google"&amp;".com/spreadsheets/d/1BJSV3WBYJGRhQ6zExamkszQ5VutGIcaQqmbD9ZTVXMQ/edit#gid=1251630045"",""articles_with_PRISMA_reasons!B2:B2113""))&gt;=2),
""Exclude""
)"),"Exclude")</f>
        <v>Exclude</v>
      </c>
      <c r="E1116" s="5" t="str">
        <f>IFERROR(__xludf.DUMMYFUNCTION("IFS(
D1116=""Exclude"",""Exclude"",
AND(
FILTER(IMPORTRANGE(""https://docs.google.com/spreadsheets/d/1qpEmbGH0JjaJbUdp21-y2cPbobDbMjr09BbtdKROZWc/edit#gid=1444865654"",""articles_with_PRISMA_reasons!W2:W2113""), $A1116=IMPORTRANGE(""https://docs.google.co"&amp;"m/spreadsheets/d/1qpEmbGH0JjaJbUdp21-y2cPbobDbMjr09BbtdKROZWc/edit#gid=1444865654"",""articles_with_PRISMA_reasons!B2:B2113""))&gt;=2,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$A1116=IMPORTRANGE(""https://docs.google.com/spreadsheets/d/1qpEmbGH0JjaJbUdp21-y2cPbobDbMjr09BbtdKROZWc/edit#gid=1444865654"",""articles_with_PRISMA_reasons!B2:B2113""))&lt;2),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$A1116=IMPORTRANGE(""https://docs.google.com/spreadsheets/d/1qpEmbGH0JjaJbUdp21-y2cPbobDbMjr09Bbtd"&amp;"KROZWc/edit#gid=1444865654"",""articles_with_PRISMA_reasons!B2:B2113""))&lt;2,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$A1116=I"&amp;"MPORTRANGE(""https://docs.google.com/spreadsheets/d/1qpEmbGH0JjaJbUdp21-y2cPbobDbMjr09BbtdKROZWc/edit#gid=1444865654"",""articles_with_PRISMA_reasons!B2:B2113""))&gt;=2),
""Exclude""
)"),"Exclude")</f>
        <v>Exclude</v>
      </c>
      <c r="F1116" s="5" t="str">
        <f>IFERROR(__xludf.DUMMYFUNCTION("IFS(
E1116=""Exclude"",""Exclude"",
AND(
COUNTIF(
IMPORTRANGE(""https://docs.google.com/spreadsheets/d/1kGrh75X1cNR1D7_FcY9zMnHP8iPO4M5RCRjy6nZY0TY/edit#gid=0"",""Table 1: Study characteristics!B4:B171""),A1116)&gt;0,
COUNTIF(Studies!$A$2:$A$85,FILTER(IMPORT"&amp;"RANGE(""https://docs.google.com/spreadsheets/d/1kGrh75X1cNR1D7_FcY9zMnHP8iPO4M5RCRjy6nZY0TY/edit#gid=0"",""Table 1: Study characteristics!A4:A171""), $A1116=IMPORTRANGE(""https://docs.google.com/spreadsheets/d/1kGrh75X1cNR1D7_FcY9zMnHP8iPO4M5RCRjy6nZY0TY/"&amp;"edit#gid=0"",""Table 1: Study characteristics!B4:B171"")))&gt;0
),
""Include""
)"),"Exclude")</f>
        <v>Exclude</v>
      </c>
      <c r="G1116" s="5" t="str">
        <f>IFERROR(__xludf.DUMMYFUNCTION("IFS(
D1116=""Exclude"",
FILTER(IMPORTRANGE(""https://docs.google.com/spreadsheets/d/1BJSV3WBYJGRhQ6zExamkszQ5VutGIcaQqmbD9ZTVXMQ/edit#gid=1251630045"",""articles_with_PRISMA_reasons!AB2:AB2113""), $A1116=IMPORTRANGE(""https://docs.google.com/spreadsheets/"&amp;"d/1BJSV3WBYJGRhQ6zExamkszQ5VutGIcaQqmbD9ZTVXMQ/edit#gid=1251630045"",""articles_with_PRISMA_reasons!B2:B2113"")),
E1116=""Exclude"",
FILTER(IMPORTRANGE(""https://docs.google.com/spreadsheets/d/1qpEmbGH0JjaJbUdp21-y2cPbobDbMjr09BbtdKROZWc/edit#gid=14448656"&amp;"54"",""articles_with_PRISMA_reasons!Z2:Z2113""), $A1116=IMPORTRANGE(""https://docs.google.com/spreadsheets/d/1qpEmbGH0JjaJbUdp21-y2cPbobDbMjr09BbtdKROZWc/edit#gid=1444865654"",""articles_with_PRISMA_reasons!B2:B2113"")),F1116
=""Include"",FILTER(IMPORTRAN"&amp;"GE(""https://docs.google.com/spreadsheets/d/1kGrh75X1cNR1D7_FcY9zMnHP8iPO4M5RCRjy6nZY0TY/edit#gid=0"",""Table 1: Study characteristics!A4:A171""), $A1116=IMPORTRANGE(""https://docs.google.com/spreadsheets/d/1kGrh75X1cNR1D7_FcY9zMnHP8iPO4M5RCRjy6nZY0TY/edi"&amp;"t#gid=0"",""Table 1: Study characteristics!B4:B171""))
)"),"wrong publication type")</f>
        <v>wrong publication type</v>
      </c>
    </row>
    <row r="1117">
      <c r="A1117" s="4" t="str">
        <f>IFERROR(__xludf.DUMMYFUNCTION("""COMPUTED_VALUE"""),"Lumbosacral lipomas: In utero diagnosis and prognosis")</f>
        <v>Lumbosacral lipomas: In utero diagnosis and prognosis</v>
      </c>
      <c r="B1117" s="5" t="str">
        <f>IFERROR(__xludf.DUMMYFUNCTION("LEFT(FILTER(IMPORTRANGE(""https://docs.google.com/spreadsheets/d/1BJSV3WBYJGRhQ6zExamkszQ5VutGIcaQqmbD9ZTVXMQ/edit#gid=1251630045"",""articles_with_PRISMA_reasons!K2:K2113""), $A1117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$A1117=IMPORTRANGE(""https://docs.google.com/spreadsheets/d/1BJSV3WBYJGRhQ6zExamkszQ5VutGIcaQqmbD9ZTVXMQ/edit#gid=1251630045"",""articles_with_PRISMA_reasons!B2:B2113"")))-1)"),"Pierre-Kahn")</f>
        <v>Pierre-Kahn</v>
      </c>
      <c r="C1117" s="6">
        <f>IFERROR(__xludf.DUMMYFUNCTION("FILTER(IMPORTRANGE(""https://docs.google.com/spreadsheets/d/1BJSV3WBYJGRhQ6zExamkszQ5VutGIcaQqmbD9ZTVXMQ/edit#gid=1251630045"",""articles_with_PRISMA_reasons!C2:C2113""), $A1117=IMPORTRANGE(""https://docs.google.com/spreadsheets/d/1BJSV3WBYJGRhQ6zExamkszQ"&amp;"5VutGIcaQqmbD9ZTVXMQ/edit#gid=1251630045"",""articles_with_PRISMA_reasons!B2:B2113""))"),2003.0)</f>
        <v>2003</v>
      </c>
      <c r="D1117" s="5" t="str">
        <f>IFERROR(__xludf.DUMMYFUNCTION("IFS(AND(
FILTER(IMPORTRANGE(""https://docs.google.com/spreadsheets/d/1BJSV3WBYJGRhQ6zExamkszQ5VutGIcaQqmbD9ZTVXMQ/edit#gid=1251630045"",""articles_with_PRISMA_reasons!Y2:Y2113""), $A1117=IMPORTRANGE(""https://docs.google.com/spreadsheets/d/1BJSV3WBYJGRhQ6"&amp;"zExamkszQ5VutGIcaQqmbD9ZTVXMQ/edit#gid=1251630045"",""articles_with_PRISMA_reasons!B2:B2113""))&gt;=2,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$A1117=IMPORTRANGE(""https://docs.google.com/spreadsheets/d/1BJSV3WBYJGRhQ6zExamkszQ5VutGIcaQqmbD9ZTVXMQ/edit#gid=1251630045"",""articles_with_PRISMA_reasons!B2:B2113""))&lt;2),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$A1117=IMPORTRANGE(""https://docs.google.com/spreadsheets/d/1BJSV3WBYJGRhQ6zExamkszQ5VutGIcaQqmbD9ZTVXMQ/edit#gid=1251630045"",""a"&amp;"rticles_with_PRISMA_reasons!B2:B2113""))&lt;2,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$A1117=IMPORTRANGE(""https://docs.google"&amp;".com/spreadsheets/d/1BJSV3WBYJGRhQ6zExamkszQ5VutGIcaQqmbD9ZTVXMQ/edit#gid=1251630045"",""articles_with_PRISMA_reasons!B2:B2113""))&gt;=2),
""Exclude""
)"),"Exclude")</f>
        <v>Exclude</v>
      </c>
      <c r="E1117" s="5" t="str">
        <f>IFERROR(__xludf.DUMMYFUNCTION("IFS(
D1117=""Exclude"",""Exclude"",
AND(
FILTER(IMPORTRANGE(""https://docs.google.com/spreadsheets/d/1qpEmbGH0JjaJbUdp21-y2cPbobDbMjr09BbtdKROZWc/edit#gid=1444865654"",""articles_with_PRISMA_reasons!W2:W2113""), $A1117=IMPORTRANGE(""https://docs.google.co"&amp;"m/spreadsheets/d/1qpEmbGH0JjaJbUdp21-y2cPbobDbMjr09BbtdKROZWc/edit#gid=1444865654"",""articles_with_PRISMA_reasons!B2:B2113""))&gt;=2,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$A1117=IMPORTRANGE(""https://docs.google.com/spreadsheets/d/1qpEmbGH0JjaJbUdp21-y2cPbobDbMjr09BbtdKROZWc/edit#gid=1444865654"",""articles_with_PRISMA_reasons!B2:B2113""))&lt;2),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$A1117=IMPORTRANGE(""https://docs.google.com/spreadsheets/d/1qpEmbGH0JjaJbUdp21-y2cPbobDbMjr09Bbtd"&amp;"KROZWc/edit#gid=1444865654"",""articles_with_PRISMA_reasons!B2:B2113""))&lt;2,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$A1117=I"&amp;"MPORTRANGE(""https://docs.google.com/spreadsheets/d/1qpEmbGH0JjaJbUdp21-y2cPbobDbMjr09BbtdKROZWc/edit#gid=1444865654"",""articles_with_PRISMA_reasons!B2:B2113""))&gt;=2),
""Exclude""
)"),"Exclude")</f>
        <v>Exclude</v>
      </c>
      <c r="F1117" s="5" t="str">
        <f>IFERROR(__xludf.DUMMYFUNCTION("IFS(
E1117=""Exclude"",""Exclude"",
AND(
COUNTIF(
IMPORTRANGE(""https://docs.google.com/spreadsheets/d/1kGrh75X1cNR1D7_FcY9zMnHP8iPO4M5RCRjy6nZY0TY/edit#gid=0"",""Table 1: Study characteristics!B4:B171""),A1117)&gt;0,
COUNTIF(Studies!$A$2:$A$85,FILTER(IMPORT"&amp;"RANGE(""https://docs.google.com/spreadsheets/d/1kGrh75X1cNR1D7_FcY9zMnHP8iPO4M5RCRjy6nZY0TY/edit#gid=0"",""Table 1: Study characteristics!A4:A171""), $A1117=IMPORTRANGE(""https://docs.google.com/spreadsheets/d/1kGrh75X1cNR1D7_FcY9zMnHP8iPO4M5RCRjy6nZY0TY/"&amp;"edit#gid=0"",""Table 1: Study characteristics!B4:B171"")))&gt;0
),
""Include""
)"),"Exclude")</f>
        <v>Exclude</v>
      </c>
      <c r="G1117" s="5" t="str">
        <f>IFERROR(__xludf.DUMMYFUNCTION("IFS(
D1117=""Exclude"",
FILTER(IMPORTRANGE(""https://docs.google.com/spreadsheets/d/1BJSV3WBYJGRhQ6zExamkszQ5VutGIcaQqmbD9ZTVXMQ/edit#gid=1251630045"",""articles_with_PRISMA_reasons!AB2:AB2113""), $A1117=IMPORTRANGE(""https://docs.google.com/spreadsheets/"&amp;"d/1BJSV3WBYJGRhQ6zExamkszQ5VutGIcaQqmbD9ZTVXMQ/edit#gid=1251630045"",""articles_with_PRISMA_reasons!B2:B2113"")),
E1117=""Exclude"",
FILTER(IMPORTRANGE(""https://docs.google.com/spreadsheets/d/1qpEmbGH0JjaJbUdp21-y2cPbobDbMjr09BbtdKROZWc/edit#gid=14448656"&amp;"54"",""articles_with_PRISMA_reasons!Z2:Z2113""), $A1117=IMPORTRANGE(""https://docs.google.com/spreadsheets/d/1qpEmbGH0JjaJbUdp21-y2cPbobDbMjr09BbtdKROZWc/edit#gid=1444865654"",""articles_with_PRISMA_reasons!B2:B2113"")),F1117
=""Include"",FILTER(IMPORTRAN"&amp;"GE(""https://docs.google.com/spreadsheets/d/1kGrh75X1cNR1D7_FcY9zMnHP8iPO4M5RCRjy6nZY0TY/edit#gid=0"",""Table 1: Study characteristics!A4:A171""), $A1117=IMPORTRANGE(""https://docs.google.com/spreadsheets/d/1kGrh75X1cNR1D7_FcY9zMnHP8iPO4M5RCRjy6nZY0TY/edi"&amp;"t#gid=0"",""Table 1: Study characteristics!B4:B171""))
)"),"wrong population")</f>
        <v>wrong population</v>
      </c>
    </row>
    <row r="1118">
      <c r="A1118" s="4" t="str">
        <f>IFERROR(__xludf.DUMMYFUNCTION("""COMPUTED_VALUE"""),"Lumbosacral myelomeningocele before and after in utero repair")</f>
        <v>Lumbosacral myelomeningocele before and after in utero repair</v>
      </c>
      <c r="B1118" s="5" t="str">
        <f>IFERROR(__xludf.DUMMYFUNCTION("LEFT(FILTER(IMPORTRANGE(""https://docs.google.com/spreadsheets/d/1BJSV3WBYJGRhQ6zExamkszQ5VutGIcaQqmbD9ZTVXMQ/edit#gid=1251630045"",""articles_with_PRISMA_reasons!K2:K2113""), $A1118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$A1118=IMPORTRANGE(""https://docs.google.com/spreadsheets/d/1BJSV3WBYJGRhQ6zExamkszQ5VutGIcaQqmbD9ZTVXMQ/edit#gid=1251630045"",""articles_with_PRISMA_reasons!B2:B2113"")))-1)"),"Hui")</f>
        <v>Hui</v>
      </c>
      <c r="C1118" s="6">
        <f>IFERROR(__xludf.DUMMYFUNCTION("FILTER(IMPORTRANGE(""https://docs.google.com/spreadsheets/d/1BJSV3WBYJGRhQ6zExamkszQ5VutGIcaQqmbD9ZTVXMQ/edit#gid=1251630045"",""articles_with_PRISMA_reasons!C2:C2113""), $A1118=IMPORTRANGE(""https://docs.google.com/spreadsheets/d/1BJSV3WBYJGRhQ6zExamkszQ"&amp;"5VutGIcaQqmbD9ZTVXMQ/edit#gid=1251630045"",""articles_with_PRISMA_reasons!B2:B2113""))"),2021.0)</f>
        <v>2021</v>
      </c>
      <c r="D1118" s="5" t="str">
        <f>IFERROR(__xludf.DUMMYFUNCTION("IFS(AND(
FILTER(IMPORTRANGE(""https://docs.google.com/spreadsheets/d/1BJSV3WBYJGRhQ6zExamkszQ5VutGIcaQqmbD9ZTVXMQ/edit#gid=1251630045"",""articles_with_PRISMA_reasons!Y2:Y2113""), $A1118=IMPORTRANGE(""https://docs.google.com/spreadsheets/d/1BJSV3WBYJGRhQ6"&amp;"zExamkszQ5VutGIcaQqmbD9ZTVXMQ/edit#gid=1251630045"",""articles_with_PRISMA_reasons!B2:B2113""))&gt;=2,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$A1118=IMPORTRANGE(""https://docs.google.com/spreadsheets/d/1BJSV3WBYJGRhQ6zExamkszQ5VutGIcaQqmbD9ZTVXMQ/edit#gid=1251630045"",""articles_with_PRISMA_reasons!B2:B2113""))&lt;2),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$A1118=IMPORTRANGE(""https://docs.google.com/spreadsheets/d/1BJSV3WBYJGRhQ6zExamkszQ5VutGIcaQqmbD9ZTVXMQ/edit#gid=1251630045"",""a"&amp;"rticles_with_PRISMA_reasons!B2:B2113""))&lt;2,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$A1118=IMPORTRANGE(""https://docs.google"&amp;".com/spreadsheets/d/1BJSV3WBYJGRhQ6zExamkszQ5VutGIcaQqmbD9ZTVXMQ/edit#gid=1251630045"",""articles_with_PRISMA_reasons!B2:B2113""))&gt;=2),
""Exclude""
)"),"Exclude")</f>
        <v>Exclude</v>
      </c>
      <c r="E1118" s="5" t="str">
        <f>IFERROR(__xludf.DUMMYFUNCTION("IFS(
D1118=""Exclude"",""Exclude"",
AND(
FILTER(IMPORTRANGE(""https://docs.google.com/spreadsheets/d/1qpEmbGH0JjaJbUdp21-y2cPbobDbMjr09BbtdKROZWc/edit#gid=1444865654"",""articles_with_PRISMA_reasons!W2:W2113""), $A1118=IMPORTRANGE(""https://docs.google.co"&amp;"m/spreadsheets/d/1qpEmbGH0JjaJbUdp21-y2cPbobDbMjr09BbtdKROZWc/edit#gid=1444865654"",""articles_with_PRISMA_reasons!B2:B2113""))&gt;=2,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$A1118=IMPORTRANGE(""https://docs.google.com/spreadsheets/d/1qpEmbGH0JjaJbUdp21-y2cPbobDbMjr09BbtdKROZWc/edit#gid=1444865654"",""articles_with_PRISMA_reasons!B2:B2113""))&lt;2),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$A1118=IMPORTRANGE(""https://docs.google.com/spreadsheets/d/1qpEmbGH0JjaJbUdp21-y2cPbobDbMjr09Bbtd"&amp;"KROZWc/edit#gid=1444865654"",""articles_with_PRISMA_reasons!B2:B2113""))&lt;2,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$A1118=I"&amp;"MPORTRANGE(""https://docs.google.com/spreadsheets/d/1qpEmbGH0JjaJbUdp21-y2cPbobDbMjr09BbtdKROZWc/edit#gid=1444865654"",""articles_with_PRISMA_reasons!B2:B2113""))&gt;=2),
""Exclude""
)"),"Exclude")</f>
        <v>Exclude</v>
      </c>
      <c r="F1118" s="5" t="str">
        <f>IFERROR(__xludf.DUMMYFUNCTION("IFS(
E1118=""Exclude"",""Exclude"",
AND(
COUNTIF(
IMPORTRANGE(""https://docs.google.com/spreadsheets/d/1kGrh75X1cNR1D7_FcY9zMnHP8iPO4M5RCRjy6nZY0TY/edit#gid=0"",""Table 1: Study characteristics!B4:B171""),A1118)&gt;0,
COUNTIF(Studies!$A$2:$A$85,FILTER(IMPORT"&amp;"RANGE(""https://docs.google.com/spreadsheets/d/1kGrh75X1cNR1D7_FcY9zMnHP8iPO4M5RCRjy6nZY0TY/edit#gid=0"",""Table 1: Study characteristics!A4:A171""), $A1118=IMPORTRANGE(""https://docs.google.com/spreadsheets/d/1kGrh75X1cNR1D7_FcY9zMnHP8iPO4M5RCRjy6nZY0TY/"&amp;"edit#gid=0"",""Table 1: Study characteristics!B4:B171"")))&gt;0
),
""Include""
)"),"Exclude")</f>
        <v>Exclude</v>
      </c>
      <c r="G1118" s="5" t="str">
        <f>IFERROR(__xludf.DUMMYFUNCTION("IFS(
D1118=""Exclude"",
FILTER(IMPORTRANGE(""https://docs.google.com/spreadsheets/d/1BJSV3WBYJGRhQ6zExamkszQ5VutGIcaQqmbD9ZTVXMQ/edit#gid=1251630045"",""articles_with_PRISMA_reasons!AB2:AB2113""), $A1118=IMPORTRANGE(""https://docs.google.com/spreadsheets/"&amp;"d/1BJSV3WBYJGRhQ6zExamkszQ5VutGIcaQqmbD9ZTVXMQ/edit#gid=1251630045"",""articles_with_PRISMA_reasons!B2:B2113"")),
E1118=""Exclude"",
FILTER(IMPORTRANGE(""https://docs.google.com/spreadsheets/d/1qpEmbGH0JjaJbUdp21-y2cPbobDbMjr09BbtdKROZWc/edit#gid=14448656"&amp;"54"",""articles_with_PRISMA_reasons!Z2:Z2113""), $A1118=IMPORTRANGE(""https://docs.google.com/spreadsheets/d/1qpEmbGH0JjaJbUdp21-y2cPbobDbMjr09BbtdKROZWc/edit#gid=1444865654"",""articles_with_PRISMA_reasons!B2:B2113"")),F1118
=""Include"",FILTER(IMPORTRAN"&amp;"GE(""https://docs.google.com/spreadsheets/d/1kGrh75X1cNR1D7_FcY9zMnHP8iPO4M5RCRjy6nZY0TY/edit#gid=0"",""Table 1: Study characteristics!A4:A171""), $A1118=IMPORTRANGE(""https://docs.google.com/spreadsheets/d/1kGrh75X1cNR1D7_FcY9zMnHP8iPO4M5RCRjy6nZY0TY/edi"&amp;"t#gid=0"",""Table 1: Study characteristics!B4:B171""))
)"),"Ante-natal intervention")</f>
        <v>Ante-natal intervention</v>
      </c>
    </row>
    <row r="1119">
      <c r="A1119" s="4" t="str">
        <f>IFERROR(__xludf.DUMMYFUNCTION("""COMPUTED_VALUE"""),"Lung destruction secondary to intrapulmonary migration of a ventriculoperitoneal shunt catheter: report of an unusual case and literature review")</f>
        <v>Lung destruction secondary to intrapulmonary migration of a ventriculoperitoneal shunt catheter: report of an unusual case and literature review</v>
      </c>
      <c r="B1119" s="5" t="str">
        <f>IFERROR(__xludf.DUMMYFUNCTION("LEFT(FILTER(IMPORTRANGE(""https://docs.google.com/spreadsheets/d/1BJSV3WBYJGRhQ6zExamkszQ5VutGIcaQqmbD9ZTVXMQ/edit#gid=1251630045"",""articles_with_PRISMA_reasons!K2:K2113""), $A1119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$A1119=IMPORTRANGE(""https://docs.google.com/spreadsheets/d/1BJSV3WBYJGRhQ6zExamkszQ5VutGIcaQqmbD9ZTVXMQ/edit#gid=1251630045"",""articles_with_PRISMA_reasons!B2:B2113"")))-1)"),"Ruiz Johnson")</f>
        <v>Ruiz Johnson</v>
      </c>
      <c r="C1119" s="6">
        <f>IFERROR(__xludf.DUMMYFUNCTION("FILTER(IMPORTRANGE(""https://docs.google.com/spreadsheets/d/1BJSV3WBYJGRhQ6zExamkszQ5VutGIcaQqmbD9ZTVXMQ/edit#gid=1251630045"",""articles_with_PRISMA_reasons!C2:C2113""), $A1119=IMPORTRANGE(""https://docs.google.com/spreadsheets/d/1BJSV3WBYJGRhQ6zExamkszQ"&amp;"5VutGIcaQqmbD9ZTVXMQ/edit#gid=1251630045"",""articles_with_PRISMA_reasons!B2:B2113""))"),2021.0)</f>
        <v>2021</v>
      </c>
      <c r="D1119" s="5" t="str">
        <f>IFERROR(__xludf.DUMMYFUNCTION("IFS(AND(
FILTER(IMPORTRANGE(""https://docs.google.com/spreadsheets/d/1BJSV3WBYJGRhQ6zExamkszQ5VutGIcaQqmbD9ZTVXMQ/edit#gid=1251630045"",""articles_with_PRISMA_reasons!Y2:Y2113""), $A1119=IMPORTRANGE(""https://docs.google.com/spreadsheets/d/1BJSV3WBYJGRhQ6"&amp;"zExamkszQ5VutGIcaQqmbD9ZTVXMQ/edit#gid=1251630045"",""articles_with_PRISMA_reasons!B2:B2113""))&gt;=2,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$A1119=IMPORTRANGE(""https://docs.google.com/spreadsheets/d/1BJSV3WBYJGRhQ6zExamkszQ5VutGIcaQqmbD9ZTVXMQ/edit#gid=1251630045"",""articles_with_PRISMA_reasons!B2:B2113""))&lt;2),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$A1119=IMPORTRANGE(""https://docs.google.com/spreadsheets/d/1BJSV3WBYJGRhQ6zExamkszQ5VutGIcaQqmbD9ZTVXMQ/edit#gid=1251630045"",""a"&amp;"rticles_with_PRISMA_reasons!B2:B2113""))&lt;2,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$A1119=IMPORTRANGE(""https://docs.google"&amp;".com/spreadsheets/d/1BJSV3WBYJGRhQ6zExamkszQ5VutGIcaQqmbD9ZTVXMQ/edit#gid=1251630045"",""articles_with_PRISMA_reasons!B2:B2113""))&gt;=2),
""Exclude""
)"),"Exclude")</f>
        <v>Exclude</v>
      </c>
      <c r="E1119" s="5" t="str">
        <f>IFERROR(__xludf.DUMMYFUNCTION("IFS(
D1119=""Exclude"",""Exclude"",
AND(
FILTER(IMPORTRANGE(""https://docs.google.com/spreadsheets/d/1qpEmbGH0JjaJbUdp21-y2cPbobDbMjr09BbtdKROZWc/edit#gid=1444865654"",""articles_with_PRISMA_reasons!W2:W2113""), $A1119=IMPORTRANGE(""https://docs.google.co"&amp;"m/spreadsheets/d/1qpEmbGH0JjaJbUdp21-y2cPbobDbMjr09BbtdKROZWc/edit#gid=1444865654"",""articles_with_PRISMA_reasons!B2:B2113""))&gt;=2,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$A1119=IMPORTRANGE(""https://docs.google.com/spreadsheets/d/1qpEmbGH0JjaJbUdp21-y2cPbobDbMjr09BbtdKROZWc/edit#gid=1444865654"",""articles_with_PRISMA_reasons!B2:B2113""))&lt;2),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$A1119=IMPORTRANGE(""https://docs.google.com/spreadsheets/d/1qpEmbGH0JjaJbUdp21-y2cPbobDbMjr09Bbtd"&amp;"KROZWc/edit#gid=1444865654"",""articles_with_PRISMA_reasons!B2:B2113""))&lt;2,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$A1119=I"&amp;"MPORTRANGE(""https://docs.google.com/spreadsheets/d/1qpEmbGH0JjaJbUdp21-y2cPbobDbMjr09BbtdKROZWc/edit#gid=1444865654"",""articles_with_PRISMA_reasons!B2:B2113""))&gt;=2),
""Exclude""
)"),"Exclude")</f>
        <v>Exclude</v>
      </c>
      <c r="F1119" s="5" t="str">
        <f>IFERROR(__xludf.DUMMYFUNCTION("IFS(
E1119=""Exclude"",""Exclude"",
AND(
COUNTIF(
IMPORTRANGE(""https://docs.google.com/spreadsheets/d/1kGrh75X1cNR1D7_FcY9zMnHP8iPO4M5RCRjy6nZY0TY/edit#gid=0"",""Table 1: Study characteristics!B4:B171""),A1119)&gt;0,
COUNTIF(Studies!$A$2:$A$85,FILTER(IMPORT"&amp;"RANGE(""https://docs.google.com/spreadsheets/d/1kGrh75X1cNR1D7_FcY9zMnHP8iPO4M5RCRjy6nZY0TY/edit#gid=0"",""Table 1: Study characteristics!A4:A171""), $A1119=IMPORTRANGE(""https://docs.google.com/spreadsheets/d/1kGrh75X1cNR1D7_FcY9zMnHP8iPO4M5RCRjy6nZY0TY/"&amp;"edit#gid=0"",""Table 1: Study characteristics!B4:B171"")))&gt;0
),
""Include""
)"),"Exclude")</f>
        <v>Exclude</v>
      </c>
      <c r="G1119" s="5" t="str">
        <f>IFERROR(__xludf.DUMMYFUNCTION("IFS(
D1119=""Exclude"",
FILTER(IMPORTRANGE(""https://docs.google.com/spreadsheets/d/1BJSV3WBYJGRhQ6zExamkszQ5VutGIcaQqmbD9ZTVXMQ/edit#gid=1251630045"",""articles_with_PRISMA_reasons!AB2:AB2113""), $A1119=IMPORTRANGE(""https://docs.google.com/spreadsheets/"&amp;"d/1BJSV3WBYJGRhQ6zExamkszQ5VutGIcaQqmbD9ZTVXMQ/edit#gid=1251630045"",""articles_with_PRISMA_reasons!B2:B2113"")),
E1119=""Exclude"",
FILTER(IMPORTRANGE(""https://docs.google.com/spreadsheets/d/1qpEmbGH0JjaJbUdp21-y2cPbobDbMjr09BbtdKROZWc/edit#gid=14448656"&amp;"54"",""articles_with_PRISMA_reasons!Z2:Z2113""), $A1119=IMPORTRANGE(""https://docs.google.com/spreadsheets/d/1qpEmbGH0JjaJbUdp21-y2cPbobDbMjr09BbtdKROZWc/edit#gid=1444865654"",""articles_with_PRISMA_reasons!B2:B2113"")),F1119
=""Include"",FILTER(IMPORTRAN"&amp;"GE(""https://docs.google.com/spreadsheets/d/1kGrh75X1cNR1D7_FcY9zMnHP8iPO4M5RCRjy6nZY0TY/edit#gid=0"",""Table 1: Study characteristics!A4:A171""), $A1119=IMPORTRANGE(""https://docs.google.com/spreadsheets/d/1kGrh75X1cNR1D7_FcY9zMnHP8iPO4M5RCRjy6nZY0TY/edi"&amp;"t#gid=0"",""Table 1: Study characteristics!B4:B171""))
)"),"wrong study design")</f>
        <v>wrong study design</v>
      </c>
    </row>
    <row r="1120">
      <c r="A1120" s="4" t="str">
        <f>IFERROR(__xludf.DUMMYFUNCTION("""COMPUTED_VALUE"""),"Magnetic resonance imaging and computerized tomography in central hypoventilation")</f>
        <v>Magnetic resonance imaging and computerized tomography in central hypoventilation</v>
      </c>
      <c r="B1120" s="5" t="str">
        <f>IFERROR(__xludf.DUMMYFUNCTION("LEFT(FILTER(IMPORTRANGE(""https://docs.google.com/spreadsheets/d/1BJSV3WBYJGRhQ6zExamkszQ5VutGIcaQqmbD9ZTVXMQ/edit#gid=1251630045"",""articles_with_PRISMA_reasons!K2:K2113""), $A1120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$A1120=IMPORTRANGE(""https://docs.google.com/spreadsheets/d/1BJSV3WBYJGRhQ6zExamkszQ5VutGIcaQqmbD9ZTVXMQ/edit#gid=1251630045"",""articles_with_PRISMA_reasons!B2:B2113"")))-1)"),"Weese-Mayer")</f>
        <v>Weese-Mayer</v>
      </c>
      <c r="C1120" s="6">
        <f>IFERROR(__xludf.DUMMYFUNCTION("FILTER(IMPORTRANGE(""https://docs.google.com/spreadsheets/d/1BJSV3WBYJGRhQ6zExamkszQ5VutGIcaQqmbD9ZTVXMQ/edit#gid=1251630045"",""articles_with_PRISMA_reasons!C2:C2113""), $A1120=IMPORTRANGE(""https://docs.google.com/spreadsheets/d/1BJSV3WBYJGRhQ6zExamkszQ"&amp;"5VutGIcaQqmbD9ZTVXMQ/edit#gid=1251630045"",""articles_with_PRISMA_reasons!B2:B2113""))"),1988.0)</f>
        <v>1988</v>
      </c>
      <c r="D1120" s="5" t="str">
        <f>IFERROR(__xludf.DUMMYFUNCTION("IFS(AND(
FILTER(IMPORTRANGE(""https://docs.google.com/spreadsheets/d/1BJSV3WBYJGRhQ6zExamkszQ5VutGIcaQqmbD9ZTVXMQ/edit#gid=1251630045"",""articles_with_PRISMA_reasons!Y2:Y2113""), $A1120=IMPORTRANGE(""https://docs.google.com/spreadsheets/d/1BJSV3WBYJGRhQ6"&amp;"zExamkszQ5VutGIcaQqmbD9ZTVXMQ/edit#gid=1251630045"",""articles_with_PRISMA_reasons!B2:B2113""))&gt;=2,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$A1120=IMPORTRANGE(""https://docs.google.com/spreadsheets/d/1BJSV3WBYJGRhQ6zExamkszQ5VutGIcaQqmbD9ZTVXMQ/edit#gid=1251630045"",""articles_with_PRISMA_reasons!B2:B2113""))&lt;2),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$A1120=IMPORTRANGE(""https://docs.google.com/spreadsheets/d/1BJSV3WBYJGRhQ6zExamkszQ5VutGIcaQqmbD9ZTVXMQ/edit#gid=1251630045"",""a"&amp;"rticles_with_PRISMA_reasons!B2:B2113""))&lt;2,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$A1120=IMPORTRANGE(""https://docs.google"&amp;".com/spreadsheets/d/1BJSV3WBYJGRhQ6zExamkszQ5VutGIcaQqmbD9ZTVXMQ/edit#gid=1251630045"",""articles_with_PRISMA_reasons!B2:B2113""))&gt;=2),
""Exclude""
)"),"Exclude")</f>
        <v>Exclude</v>
      </c>
      <c r="E1120" s="5" t="str">
        <f>IFERROR(__xludf.DUMMYFUNCTION("IFS(
D1120=""Exclude"",""Exclude"",
AND(
FILTER(IMPORTRANGE(""https://docs.google.com/spreadsheets/d/1qpEmbGH0JjaJbUdp21-y2cPbobDbMjr09BbtdKROZWc/edit#gid=1444865654"",""articles_with_PRISMA_reasons!W2:W2113""), $A1120=IMPORTRANGE(""https://docs.google.co"&amp;"m/spreadsheets/d/1qpEmbGH0JjaJbUdp21-y2cPbobDbMjr09BbtdKROZWc/edit#gid=1444865654"",""articles_with_PRISMA_reasons!B2:B2113""))&gt;=2,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$A1120=IMPORTRANGE(""https://docs.google.com/spreadsheets/d/1qpEmbGH0JjaJbUdp21-y2cPbobDbMjr09BbtdKROZWc/edit#gid=1444865654"",""articles_with_PRISMA_reasons!B2:B2113""))&lt;2),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$A1120=IMPORTRANGE(""https://docs.google.com/spreadsheets/d/1qpEmbGH0JjaJbUdp21-y2cPbobDbMjr09Bbtd"&amp;"KROZWc/edit#gid=1444865654"",""articles_with_PRISMA_reasons!B2:B2113""))&lt;2,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$A1120=I"&amp;"MPORTRANGE(""https://docs.google.com/spreadsheets/d/1qpEmbGH0JjaJbUdp21-y2cPbobDbMjr09BbtdKROZWc/edit#gid=1444865654"",""articles_with_PRISMA_reasons!B2:B2113""))&gt;=2),
""Exclude""
)"),"Exclude")</f>
        <v>Exclude</v>
      </c>
      <c r="F1120" s="5" t="str">
        <f>IFERROR(__xludf.DUMMYFUNCTION("IFS(
E1120=""Exclude"",""Exclude"",
AND(
COUNTIF(
IMPORTRANGE(""https://docs.google.com/spreadsheets/d/1kGrh75X1cNR1D7_FcY9zMnHP8iPO4M5RCRjy6nZY0TY/edit#gid=0"",""Table 1: Study characteristics!B4:B171""),A1120)&gt;0,
COUNTIF(Studies!$A$2:$A$85,FILTER(IMPORT"&amp;"RANGE(""https://docs.google.com/spreadsheets/d/1kGrh75X1cNR1D7_FcY9zMnHP8iPO4M5RCRjy6nZY0TY/edit#gid=0"",""Table 1: Study characteristics!A4:A171""), $A1120=IMPORTRANGE(""https://docs.google.com/spreadsheets/d/1kGrh75X1cNR1D7_FcY9zMnHP8iPO4M5RCRjy6nZY0TY/"&amp;"edit#gid=0"",""Table 1: Study characteristics!B4:B171"")))&gt;0
),
""Include""
)"),"Exclude")</f>
        <v>Exclude</v>
      </c>
      <c r="G1120" s="5" t="str">
        <f>IFERROR(__xludf.DUMMYFUNCTION("IFS(
D1120=""Exclude"",
FILTER(IMPORTRANGE(""https://docs.google.com/spreadsheets/d/1BJSV3WBYJGRhQ6zExamkszQ5VutGIcaQqmbD9ZTVXMQ/edit#gid=1251630045"",""articles_with_PRISMA_reasons!AB2:AB2113""), $A1120=IMPORTRANGE(""https://docs.google.com/spreadsheets/"&amp;"d/1BJSV3WBYJGRhQ6zExamkszQ5VutGIcaQqmbD9ZTVXMQ/edit#gid=1251630045"",""articles_with_PRISMA_reasons!B2:B2113"")),
E1120=""Exclude"",
FILTER(IMPORTRANGE(""https://docs.google.com/spreadsheets/d/1qpEmbGH0JjaJbUdp21-y2cPbobDbMjr09BbtdKROZWc/edit#gid=14448656"&amp;"54"",""articles_with_PRISMA_reasons!Z2:Z2113""), $A1120=IMPORTRANGE(""https://docs.google.com/spreadsheets/d/1qpEmbGH0JjaJbUdp21-y2cPbobDbMjr09BbtdKROZWc/edit#gid=1444865654"",""articles_with_PRISMA_reasons!B2:B2113"")),F1120
=""Include"",FILTER(IMPORTRAN"&amp;"GE(""https://docs.google.com/spreadsheets/d/1kGrh75X1cNR1D7_FcY9zMnHP8iPO4M5RCRjy6nZY0TY/edit#gid=0"",""Table 1: Study characteristics!A4:A171""), $A1120=IMPORTRANGE(""https://docs.google.com/spreadsheets/d/1kGrh75X1cNR1D7_FcY9zMnHP8iPO4M5RCRjy6nZY0TY/edi"&amp;"t#gid=0"",""Table 1: Study characteristics!B4:B171""))
)"),"background article")</f>
        <v>background article</v>
      </c>
    </row>
    <row r="1121">
      <c r="A1121" s="4" t="str">
        <f>IFERROR(__xludf.DUMMYFUNCTION("""COMPUTED_VALUE"""),"Magnetic resonance imaging of spinal dysraphism")</f>
        <v>Magnetic resonance imaging of spinal dysraphism</v>
      </c>
      <c r="B1121" s="5" t="str">
        <f>IFERROR(__xludf.DUMMYFUNCTION("LEFT(FILTER(IMPORTRANGE(""https://docs.google.com/spreadsheets/d/1BJSV3WBYJGRhQ6zExamkszQ5VutGIcaQqmbD9ZTVXMQ/edit#gid=1251630045"",""articles_with_PRISMA_reasons!K2:K2113""), $A1121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$A1121=IMPORTRANGE(""https://docs.google.com/spreadsheets/d/1BJSV3WBYJGRhQ6zExamkszQ5VutGIcaQqmbD9ZTVXMQ/edit#gid=1251630045"",""articles_with_PRISMA_reasons!B2:B2113"")))-1)"),"Akino")</f>
        <v>Akino</v>
      </c>
      <c r="C1121" s="6">
        <f>IFERROR(__xludf.DUMMYFUNCTION("FILTER(IMPORTRANGE(""https://docs.google.com/spreadsheets/d/1BJSV3WBYJGRhQ6zExamkszQ5VutGIcaQqmbD9ZTVXMQ/edit#gid=1251630045"",""articles_with_PRISMA_reasons!C2:C2113""), $A1121=IMPORTRANGE(""https://docs.google.com/spreadsheets/d/1BJSV3WBYJGRhQ6zExamkszQ"&amp;"5VutGIcaQqmbD9ZTVXMQ/edit#gid=1251630045"",""articles_with_PRISMA_reasons!B2:B2113""))"),1988.0)</f>
        <v>1988</v>
      </c>
      <c r="D1121" s="5" t="str">
        <f>IFERROR(__xludf.DUMMYFUNCTION("IFS(AND(
FILTER(IMPORTRANGE(""https://docs.google.com/spreadsheets/d/1BJSV3WBYJGRhQ6zExamkszQ5VutGIcaQqmbD9ZTVXMQ/edit#gid=1251630045"",""articles_with_PRISMA_reasons!Y2:Y2113""), $A1121=IMPORTRANGE(""https://docs.google.com/spreadsheets/d/1BJSV3WBYJGRhQ6"&amp;"zExamkszQ5VutGIcaQqmbD9ZTVXMQ/edit#gid=1251630045"",""articles_with_PRISMA_reasons!B2:B2113""))&gt;=2,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$A1121=IMPORTRANGE(""https://docs.google.com/spreadsheets/d/1BJSV3WBYJGRhQ6zExamkszQ5VutGIcaQqmbD9ZTVXMQ/edit#gid=1251630045"",""articles_with_PRISMA_reasons!B2:B2113""))&lt;2),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$A1121=IMPORTRANGE(""https://docs.google.com/spreadsheets/d/1BJSV3WBYJGRhQ6zExamkszQ5VutGIcaQqmbD9ZTVXMQ/edit#gid=1251630045"",""a"&amp;"rticles_with_PRISMA_reasons!B2:B2113""))&lt;2,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$A1121=IMPORTRANGE(""https://docs.google"&amp;".com/spreadsheets/d/1BJSV3WBYJGRhQ6zExamkszQ5VutGIcaQqmbD9ZTVXMQ/edit#gid=1251630045"",""articles_with_PRISMA_reasons!B2:B2113""))&gt;=2),
""Exclude""
)"),"Exclude")</f>
        <v>Exclude</v>
      </c>
      <c r="E1121" s="5" t="str">
        <f>IFERROR(__xludf.DUMMYFUNCTION("IFS(
D1121=""Exclude"",""Exclude"",
AND(
FILTER(IMPORTRANGE(""https://docs.google.com/spreadsheets/d/1qpEmbGH0JjaJbUdp21-y2cPbobDbMjr09BbtdKROZWc/edit#gid=1444865654"",""articles_with_PRISMA_reasons!W2:W2113""), $A1121=IMPORTRANGE(""https://docs.google.co"&amp;"m/spreadsheets/d/1qpEmbGH0JjaJbUdp21-y2cPbobDbMjr09BbtdKROZWc/edit#gid=1444865654"",""articles_with_PRISMA_reasons!B2:B2113""))&gt;=2,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$A1121=IMPORTRANGE(""https://docs.google.com/spreadsheets/d/1qpEmbGH0JjaJbUdp21-y2cPbobDbMjr09BbtdKROZWc/edit#gid=1444865654"",""articles_with_PRISMA_reasons!B2:B2113""))&lt;2),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$A1121=IMPORTRANGE(""https://docs.google.com/spreadsheets/d/1qpEmbGH0JjaJbUdp21-y2cPbobDbMjr09Bbtd"&amp;"KROZWc/edit#gid=1444865654"",""articles_with_PRISMA_reasons!B2:B2113""))&lt;2,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$A1121=I"&amp;"MPORTRANGE(""https://docs.google.com/spreadsheets/d/1qpEmbGH0JjaJbUdp21-y2cPbobDbMjr09BbtdKROZWc/edit#gid=1444865654"",""articles_with_PRISMA_reasons!B2:B2113""))&gt;=2),
""Exclude""
)"),"Exclude")</f>
        <v>Exclude</v>
      </c>
      <c r="F1121" s="5" t="str">
        <f>IFERROR(__xludf.DUMMYFUNCTION("IFS(
E1121=""Exclude"",""Exclude"",
AND(
COUNTIF(
IMPORTRANGE(""https://docs.google.com/spreadsheets/d/1kGrh75X1cNR1D7_FcY9zMnHP8iPO4M5RCRjy6nZY0TY/edit#gid=0"",""Table 1: Study characteristics!B4:B171""),A1121)&gt;0,
COUNTIF(Studies!$A$2:$A$85,FILTER(IMPORT"&amp;"RANGE(""https://docs.google.com/spreadsheets/d/1kGrh75X1cNR1D7_FcY9zMnHP8iPO4M5RCRjy6nZY0TY/edit#gid=0"",""Table 1: Study characteristics!A4:A171""), $A1121=IMPORTRANGE(""https://docs.google.com/spreadsheets/d/1kGrh75X1cNR1D7_FcY9zMnHP8iPO4M5RCRjy6nZY0TY/"&amp;"edit#gid=0"",""Table 1: Study characteristics!B4:B171"")))&gt;0
),
""Include""
)"),"Exclude")</f>
        <v>Exclude</v>
      </c>
      <c r="G1121" s="5" t="str">
        <f>IFERROR(__xludf.DUMMYFUNCTION("IFS(
D1121=""Exclude"",
FILTER(IMPORTRANGE(""https://docs.google.com/spreadsheets/d/1BJSV3WBYJGRhQ6zExamkszQ5VutGIcaQqmbD9ZTVXMQ/edit#gid=1251630045"",""articles_with_PRISMA_reasons!AB2:AB2113""), $A1121=IMPORTRANGE(""https://docs.google.com/spreadsheets/"&amp;"d/1BJSV3WBYJGRhQ6zExamkszQ5VutGIcaQqmbD9ZTVXMQ/edit#gid=1251630045"",""articles_with_PRISMA_reasons!B2:B2113"")),
E1121=""Exclude"",
FILTER(IMPORTRANGE(""https://docs.google.com/spreadsheets/d/1qpEmbGH0JjaJbUdp21-y2cPbobDbMjr09BbtdKROZWc/edit#gid=14448656"&amp;"54"",""articles_with_PRISMA_reasons!Z2:Z2113""), $A1121=IMPORTRANGE(""https://docs.google.com/spreadsheets/d/1qpEmbGH0JjaJbUdp21-y2cPbobDbMjr09BbtdKROZWc/edit#gid=1444865654"",""articles_with_PRISMA_reasons!B2:B2113"")),F1121
=""Include"",FILTER(IMPORTRAN"&amp;"GE(""https://docs.google.com/spreadsheets/d/1kGrh75X1cNR1D7_FcY9zMnHP8iPO4M5RCRjy6nZY0TY/edit#gid=0"",""Table 1: Study characteristics!A4:A171""), $A1121=IMPORTRANGE(""https://docs.google.com/spreadsheets/d/1kGrh75X1cNR1D7_FcY9zMnHP8iPO4M5RCRjy6nZY0TY/edi"&amp;"t#gid=0"",""Table 1: Study characteristics!B4:B171""))
)"),"wrong study design")</f>
        <v>wrong study design</v>
      </c>
    </row>
    <row r="1122">
      <c r="A1122" s="4" t="str">
        <f>IFERROR(__xludf.DUMMYFUNCTION("""COMPUTED_VALUE"""),"Magnetic resonance imaging of the fetal brain")</f>
        <v>Magnetic resonance imaging of the fetal brain</v>
      </c>
      <c r="B1122" s="5" t="str">
        <f>IFERROR(__xludf.DUMMYFUNCTION("LEFT(FILTER(IMPORTRANGE(""https://docs.google.com/spreadsheets/d/1BJSV3WBYJGRhQ6zExamkszQ5VutGIcaQqmbD9ZTVXMQ/edit#gid=1251630045"",""articles_with_PRISMA_reasons!K2:K2113""), $A1122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$A1122=IMPORTRANGE(""https://docs.google.com/spreadsheets/d/1BJSV3WBYJGRhQ6zExamkszQ5VutGIcaQqmbD9ZTVXMQ/edit#gid=1251630045"",""articles_with_PRISMA_reasons!B2:B2113"")))-1)"),"Bilaniuk")</f>
        <v>Bilaniuk</v>
      </c>
      <c r="C1122" s="6">
        <f>IFERROR(__xludf.DUMMYFUNCTION("FILTER(IMPORTRANGE(""https://docs.google.com/spreadsheets/d/1BJSV3WBYJGRhQ6zExamkszQ5VutGIcaQqmbD9ZTVXMQ/edit#gid=1251630045"",""articles_with_PRISMA_reasons!C2:C2113""), $A1122=IMPORTRANGE(""https://docs.google.com/spreadsheets/d/1BJSV3WBYJGRhQ6zExamkszQ"&amp;"5VutGIcaQqmbD9ZTVXMQ/edit#gid=1251630045"",""articles_with_PRISMA_reasons!B2:B2113""))"),1999.0)</f>
        <v>1999</v>
      </c>
      <c r="D1122" s="5" t="str">
        <f>IFERROR(__xludf.DUMMYFUNCTION("IFS(AND(
FILTER(IMPORTRANGE(""https://docs.google.com/spreadsheets/d/1BJSV3WBYJGRhQ6zExamkszQ5VutGIcaQqmbD9ZTVXMQ/edit#gid=1251630045"",""articles_with_PRISMA_reasons!Y2:Y2113""), $A1122=IMPORTRANGE(""https://docs.google.com/spreadsheets/d/1BJSV3WBYJGRhQ6"&amp;"zExamkszQ5VutGIcaQqmbD9ZTVXMQ/edit#gid=1251630045"",""articles_with_PRISMA_reasons!B2:B2113""))&gt;=2,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$A1122=IMPORTRANGE(""https://docs.google.com/spreadsheets/d/1BJSV3WBYJGRhQ6zExamkszQ5VutGIcaQqmbD9ZTVXMQ/edit#gid=1251630045"",""articles_with_PRISMA_reasons!B2:B2113""))&lt;2),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$A1122=IMPORTRANGE(""https://docs.google.com/spreadsheets/d/1BJSV3WBYJGRhQ6zExamkszQ5VutGIcaQqmbD9ZTVXMQ/edit#gid=1251630045"",""a"&amp;"rticles_with_PRISMA_reasons!B2:B2113""))&lt;2,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$A1122=IMPORTRANGE(""https://docs.google"&amp;".com/spreadsheets/d/1BJSV3WBYJGRhQ6zExamkszQ5VutGIcaQqmbD9ZTVXMQ/edit#gid=1251630045"",""articles_with_PRISMA_reasons!B2:B2113""))&gt;=2),
""Exclude""
)"),"Exclude")</f>
        <v>Exclude</v>
      </c>
      <c r="E1122" s="5" t="str">
        <f>IFERROR(__xludf.DUMMYFUNCTION("IFS(
D1122=""Exclude"",""Exclude"",
AND(
FILTER(IMPORTRANGE(""https://docs.google.com/spreadsheets/d/1qpEmbGH0JjaJbUdp21-y2cPbobDbMjr09BbtdKROZWc/edit#gid=1444865654"",""articles_with_PRISMA_reasons!W2:W2113""), $A1122=IMPORTRANGE(""https://docs.google.co"&amp;"m/spreadsheets/d/1qpEmbGH0JjaJbUdp21-y2cPbobDbMjr09BbtdKROZWc/edit#gid=1444865654"",""articles_with_PRISMA_reasons!B2:B2113""))&gt;=2,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$A1122=IMPORTRANGE(""https://docs.google.com/spreadsheets/d/1qpEmbGH0JjaJbUdp21-y2cPbobDbMjr09BbtdKROZWc/edit#gid=1444865654"",""articles_with_PRISMA_reasons!B2:B2113""))&lt;2),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$A1122=IMPORTRANGE(""https://docs.google.com/spreadsheets/d/1qpEmbGH0JjaJbUdp21-y2cPbobDbMjr09Bbtd"&amp;"KROZWc/edit#gid=1444865654"",""articles_with_PRISMA_reasons!B2:B2113""))&lt;2,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$A1122=I"&amp;"MPORTRANGE(""https://docs.google.com/spreadsheets/d/1qpEmbGH0JjaJbUdp21-y2cPbobDbMjr09BbtdKROZWc/edit#gid=1444865654"",""articles_with_PRISMA_reasons!B2:B2113""))&gt;=2),
""Exclude""
)"),"Exclude")</f>
        <v>Exclude</v>
      </c>
      <c r="F1122" s="5" t="str">
        <f>IFERROR(__xludf.DUMMYFUNCTION("IFS(
E1122=""Exclude"",""Exclude"",
AND(
COUNTIF(
IMPORTRANGE(""https://docs.google.com/spreadsheets/d/1kGrh75X1cNR1D7_FcY9zMnHP8iPO4M5RCRjy6nZY0TY/edit#gid=0"",""Table 1: Study characteristics!B4:B171""),A1122)&gt;0,
COUNTIF(Studies!$A$2:$A$85,FILTER(IMPORT"&amp;"RANGE(""https://docs.google.com/spreadsheets/d/1kGrh75X1cNR1D7_FcY9zMnHP8iPO4M5RCRjy6nZY0TY/edit#gid=0"",""Table 1: Study characteristics!A4:A171""), $A1122=IMPORTRANGE(""https://docs.google.com/spreadsheets/d/1kGrh75X1cNR1D7_FcY9zMnHP8iPO4M5RCRjy6nZY0TY/"&amp;"edit#gid=0"",""Table 1: Study characteristics!B4:B171"")))&gt;0
),
""Include""
)"),"Exclude")</f>
        <v>Exclude</v>
      </c>
      <c r="G1122" s="5" t="str">
        <f>IFERROR(__xludf.DUMMYFUNCTION("IFS(
D1122=""Exclude"",
FILTER(IMPORTRANGE(""https://docs.google.com/spreadsheets/d/1BJSV3WBYJGRhQ6zExamkszQ5VutGIcaQqmbD9ZTVXMQ/edit#gid=1251630045"",""articles_with_PRISMA_reasons!AB2:AB2113""), $A1122=IMPORTRANGE(""https://docs.google.com/spreadsheets/"&amp;"d/1BJSV3WBYJGRhQ6zExamkszQ5VutGIcaQqmbD9ZTVXMQ/edit#gid=1251630045"",""articles_with_PRISMA_reasons!B2:B2113"")),
E1122=""Exclude"",
FILTER(IMPORTRANGE(""https://docs.google.com/spreadsheets/d/1qpEmbGH0JjaJbUdp21-y2cPbobDbMjr09BbtdKROZWc/edit#gid=14448656"&amp;"54"",""articles_with_PRISMA_reasons!Z2:Z2113""), $A1122=IMPORTRANGE(""https://docs.google.com/spreadsheets/d/1qpEmbGH0JjaJbUdp21-y2cPbobDbMjr09BbtdKROZWc/edit#gid=1444865654"",""articles_with_PRISMA_reasons!B2:B2113"")),F1122
=""Include"",FILTER(IMPORTRAN"&amp;"GE(""https://docs.google.com/spreadsheets/d/1kGrh75X1cNR1D7_FcY9zMnHP8iPO4M5RCRjy6nZY0TY/edit#gid=0"",""Table 1: Study characteristics!A4:A171""), $A1122=IMPORTRANGE(""https://docs.google.com/spreadsheets/d/1kGrh75X1cNR1D7_FcY9zMnHP8iPO4M5RCRjy6nZY0TY/edi"&amp;"t#gid=0"",""Table 1: Study characteristics!B4:B171""))
)"),"wrong study design")</f>
        <v>wrong study design</v>
      </c>
    </row>
    <row r="1123">
      <c r="A1123" s="4" t="str">
        <f>IFERROR(__xludf.DUMMYFUNCTION("""COMPUTED_VALUE"""),"Magnetic resonance imaging of the fetal central nervous system in Singapore")</f>
        <v>Magnetic resonance imaging of the fetal central nervous system in Singapore</v>
      </c>
      <c r="B1123" s="5" t="str">
        <f>IFERROR(__xludf.DUMMYFUNCTION("LEFT(FILTER(IMPORTRANGE(""https://docs.google.com/spreadsheets/d/1BJSV3WBYJGRhQ6zExamkszQ5VutGIcaQqmbD9ZTVXMQ/edit#gid=1251630045"",""articles_with_PRISMA_reasons!K2:K2113""), $A1123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$A1123=IMPORTRANGE(""https://docs.google.com/spreadsheets/d/1BJSV3WBYJGRhQ6zExamkszQ5VutGIcaQqmbD9ZTVXMQ/edit#gid=1251630045"",""articles_with_PRISMA_reasons!B2:B2113"")))-1)"),"Phua")</f>
        <v>Phua</v>
      </c>
      <c r="C1123" s="6">
        <f>IFERROR(__xludf.DUMMYFUNCTION("FILTER(IMPORTRANGE(""https://docs.google.com/spreadsheets/d/1BJSV3WBYJGRhQ6zExamkszQ5VutGIcaQqmbD9ZTVXMQ/edit#gid=1251630045"",""articles_with_PRISMA_reasons!C2:C2113""), $A1123=IMPORTRANGE(""https://docs.google.com/spreadsheets/d/1BJSV3WBYJGRhQ6zExamkszQ"&amp;"5VutGIcaQqmbD9ZTVXMQ/edit#gid=1251630045"",""articles_with_PRISMA_reasons!B2:B2113""))"),2009.0)</f>
        <v>2009</v>
      </c>
      <c r="D1123" s="5" t="str">
        <f>IFERROR(__xludf.DUMMYFUNCTION("IFS(AND(
FILTER(IMPORTRANGE(""https://docs.google.com/spreadsheets/d/1BJSV3WBYJGRhQ6zExamkszQ5VutGIcaQqmbD9ZTVXMQ/edit#gid=1251630045"",""articles_with_PRISMA_reasons!Y2:Y2113""), $A1123=IMPORTRANGE(""https://docs.google.com/spreadsheets/d/1BJSV3WBYJGRhQ6"&amp;"zExamkszQ5VutGIcaQqmbD9ZTVXMQ/edit#gid=1251630045"",""articles_with_PRISMA_reasons!B2:B2113""))&gt;=2,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$A1123=IMPORTRANGE(""https://docs.google.com/spreadsheets/d/1BJSV3WBYJGRhQ6zExamkszQ5VutGIcaQqmbD9ZTVXMQ/edit#gid=1251630045"",""articles_with_PRISMA_reasons!B2:B2113""))&lt;2),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$A1123=IMPORTRANGE(""https://docs.google.com/spreadsheets/d/1BJSV3WBYJGRhQ6zExamkszQ5VutGIcaQqmbD9ZTVXMQ/edit#gid=1251630045"",""a"&amp;"rticles_with_PRISMA_reasons!B2:B2113""))&lt;2,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$A1123=IMPORTRANGE(""https://docs.google"&amp;".com/spreadsheets/d/1BJSV3WBYJGRhQ6zExamkszQ5VutGIcaQqmbD9ZTVXMQ/edit#gid=1251630045"",""articles_with_PRISMA_reasons!B2:B2113""))&gt;=2),
""Exclude""
)"),"Exclude")</f>
        <v>Exclude</v>
      </c>
      <c r="E1123" s="5" t="str">
        <f>IFERROR(__xludf.DUMMYFUNCTION("IFS(
D1123=""Exclude"",""Exclude"",
AND(
FILTER(IMPORTRANGE(""https://docs.google.com/spreadsheets/d/1qpEmbGH0JjaJbUdp21-y2cPbobDbMjr09BbtdKROZWc/edit#gid=1444865654"",""articles_with_PRISMA_reasons!W2:W2113""), $A1123=IMPORTRANGE(""https://docs.google.co"&amp;"m/spreadsheets/d/1qpEmbGH0JjaJbUdp21-y2cPbobDbMjr09BbtdKROZWc/edit#gid=1444865654"",""articles_with_PRISMA_reasons!B2:B2113""))&gt;=2,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$A1123=IMPORTRANGE(""https://docs.google.com/spreadsheets/d/1qpEmbGH0JjaJbUdp21-y2cPbobDbMjr09BbtdKROZWc/edit#gid=1444865654"",""articles_with_PRISMA_reasons!B2:B2113""))&lt;2),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$A1123=IMPORTRANGE(""https://docs.google.com/spreadsheets/d/1qpEmbGH0JjaJbUdp21-y2cPbobDbMjr09Bbtd"&amp;"KROZWc/edit#gid=1444865654"",""articles_with_PRISMA_reasons!B2:B2113""))&lt;2,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$A1123=I"&amp;"MPORTRANGE(""https://docs.google.com/spreadsheets/d/1qpEmbGH0JjaJbUdp21-y2cPbobDbMjr09BbtdKROZWc/edit#gid=1444865654"",""articles_with_PRISMA_reasons!B2:B2113""))&gt;=2),
""Exclude""
)"),"Exclude")</f>
        <v>Exclude</v>
      </c>
      <c r="F1123" s="5" t="str">
        <f>IFERROR(__xludf.DUMMYFUNCTION("IFS(
E1123=""Exclude"",""Exclude"",
AND(
COUNTIF(
IMPORTRANGE(""https://docs.google.com/spreadsheets/d/1kGrh75X1cNR1D7_FcY9zMnHP8iPO4M5RCRjy6nZY0TY/edit#gid=0"",""Table 1: Study characteristics!B4:B171""),A1123)&gt;0,
COUNTIF(Studies!$A$2:$A$85,FILTER(IMPORT"&amp;"RANGE(""https://docs.google.com/spreadsheets/d/1kGrh75X1cNR1D7_FcY9zMnHP8iPO4M5RCRjy6nZY0TY/edit#gid=0"",""Table 1: Study characteristics!A4:A171""), $A1123=IMPORTRANGE(""https://docs.google.com/spreadsheets/d/1kGrh75X1cNR1D7_FcY9zMnHP8iPO4M5RCRjy6nZY0TY/"&amp;"edit#gid=0"",""Table 1: Study characteristics!B4:B171"")))&gt;0
),
""Include""
)"),"Exclude")</f>
        <v>Exclude</v>
      </c>
      <c r="G1123" s="5" t="str">
        <f>IFERROR(__xludf.DUMMYFUNCTION("IFS(
D1123=""Exclude"",
FILTER(IMPORTRANGE(""https://docs.google.com/spreadsheets/d/1BJSV3WBYJGRhQ6zExamkszQ5VutGIcaQqmbD9ZTVXMQ/edit#gid=1251630045"",""articles_with_PRISMA_reasons!AB2:AB2113""), $A1123=IMPORTRANGE(""https://docs.google.com/spreadsheets/"&amp;"d/1BJSV3WBYJGRhQ6zExamkszQ5VutGIcaQqmbD9ZTVXMQ/edit#gid=1251630045"",""articles_with_PRISMA_reasons!B2:B2113"")),
E1123=""Exclude"",
FILTER(IMPORTRANGE(""https://docs.google.com/spreadsheets/d/1qpEmbGH0JjaJbUdp21-y2cPbobDbMjr09BbtdKROZWc/edit#gid=14448656"&amp;"54"",""articles_with_PRISMA_reasons!Z2:Z2113""), $A1123=IMPORTRANGE(""https://docs.google.com/spreadsheets/d/1qpEmbGH0JjaJbUdp21-y2cPbobDbMjr09BbtdKROZWc/edit#gid=1444865654"",""articles_with_PRISMA_reasons!B2:B2113"")),F1123
=""Include"",FILTER(IMPORTRAN"&amp;"GE(""https://docs.google.com/spreadsheets/d/1kGrh75X1cNR1D7_FcY9zMnHP8iPO4M5RCRjy6nZY0TY/edit#gid=0"",""Table 1: Study characteristics!A4:A171""), $A1123=IMPORTRANGE(""https://docs.google.com/spreadsheets/d/1kGrh75X1cNR1D7_FcY9zMnHP8iPO4M5RCRjy6nZY0TY/edi"&amp;"t#gid=0"",""Table 1: Study characteristics!B4:B171""))
)"),"wrong population")</f>
        <v>wrong population</v>
      </c>
    </row>
    <row r="1124">
      <c r="A1124" s="4" t="str">
        <f>IFERROR(__xludf.DUMMYFUNCTION("""COMPUTED_VALUE"""),"Major congenital malformations in neonates at U.T.H. Lusaka Zambia")</f>
        <v>Major congenital malformations in neonates at U.T.H. Lusaka Zambia</v>
      </c>
      <c r="B1124" s="5" t="str">
        <f>IFERROR(__xludf.DUMMYFUNCTION("LEFT(FILTER(IMPORTRANGE(""https://docs.google.com/spreadsheets/d/1BJSV3WBYJGRhQ6zExamkszQ5VutGIcaQqmbD9ZTVXMQ/edit#gid=1251630045"",""articles_with_PRISMA_reasons!K2:K2113""), $A1124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$A1124=IMPORTRANGE(""https://docs.google.com/spreadsheets/d/1BJSV3WBYJGRhQ6zExamkszQ5VutGIcaQqmbD9ZTVXMQ/edit#gid=1251630045"",""articles_with_PRISMA_reasons!B2:B2113"")))-1)"),"Sukhani")</f>
        <v>Sukhani</v>
      </c>
      <c r="C1124" s="6" t="str">
        <f>IFERROR(__xludf.DUMMYFUNCTION("FILTER(IMPORTRANGE(""https://docs.google.com/spreadsheets/d/1BJSV3WBYJGRhQ6zExamkszQ5VutGIcaQqmbD9ZTVXMQ/edit#gid=1251630045"",""articles_with_PRISMA_reasons!C2:C2113""), $A1124=IMPORTRANGE(""https://docs.google.com/spreadsheets/d/1BJSV3WBYJGRhQ6zExamkszQ"&amp;"5VutGIcaQqmbD9ZTVXMQ/edit#gid=1251630045"",""articles_with_PRISMA_reasons!B2:B2113""))"),"Oct")</f>
        <v>Oct</v>
      </c>
      <c r="D1124" s="5" t="str">
        <f>IFERROR(__xludf.DUMMYFUNCTION("IFS(AND(
FILTER(IMPORTRANGE(""https://docs.google.com/spreadsheets/d/1BJSV3WBYJGRhQ6zExamkszQ5VutGIcaQqmbD9ZTVXMQ/edit#gid=1251630045"",""articles_with_PRISMA_reasons!Y2:Y2113""), $A1124=IMPORTRANGE(""https://docs.google.com/spreadsheets/d/1BJSV3WBYJGRhQ6"&amp;"zExamkszQ5VutGIcaQqmbD9ZTVXMQ/edit#gid=1251630045"",""articles_with_PRISMA_reasons!B2:B2113""))&gt;=2,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$A1124=IMPORTRANGE(""https://docs.google.com/spreadsheets/d/1BJSV3WBYJGRhQ6zExamkszQ5VutGIcaQqmbD9ZTVXMQ/edit#gid=1251630045"",""articles_with_PRISMA_reasons!B2:B2113""))&lt;2),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$A1124=IMPORTRANGE(""https://docs.google.com/spreadsheets/d/1BJSV3WBYJGRhQ6zExamkszQ5VutGIcaQqmbD9ZTVXMQ/edit#gid=1251630045"",""a"&amp;"rticles_with_PRISMA_reasons!B2:B2113""))&lt;2,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$A1124=IMPORTRANGE(""https://docs.google"&amp;".com/spreadsheets/d/1BJSV3WBYJGRhQ6zExamkszQ5VutGIcaQqmbD9ZTVXMQ/edit#gid=1251630045"",""articles_with_PRISMA_reasons!B2:B2113""))&gt;=2),
""Exclude""
)"),"Exclude")</f>
        <v>Exclude</v>
      </c>
      <c r="E1124" s="5" t="str">
        <f>IFERROR(__xludf.DUMMYFUNCTION("IFS(
D1124=""Exclude"",""Exclude"",
AND(
FILTER(IMPORTRANGE(""https://docs.google.com/spreadsheets/d/1qpEmbGH0JjaJbUdp21-y2cPbobDbMjr09BbtdKROZWc/edit#gid=1444865654"",""articles_with_PRISMA_reasons!W2:W2113""), $A1124=IMPORTRANGE(""https://docs.google.co"&amp;"m/spreadsheets/d/1qpEmbGH0JjaJbUdp21-y2cPbobDbMjr09BbtdKROZWc/edit#gid=1444865654"",""articles_with_PRISMA_reasons!B2:B2113""))&gt;=2,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$A1124=IMPORTRANGE(""https://docs.google.com/spreadsheets/d/1qpEmbGH0JjaJbUdp21-y2cPbobDbMjr09BbtdKROZWc/edit#gid=1444865654"",""articles_with_PRISMA_reasons!B2:B2113""))&lt;2),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$A1124=IMPORTRANGE(""https://docs.google.com/spreadsheets/d/1qpEmbGH0JjaJbUdp21-y2cPbobDbMjr09Bbtd"&amp;"KROZWc/edit#gid=1444865654"",""articles_with_PRISMA_reasons!B2:B2113""))&lt;2,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$A1124=I"&amp;"MPORTRANGE(""https://docs.google.com/spreadsheets/d/1qpEmbGH0JjaJbUdp21-y2cPbobDbMjr09BbtdKROZWc/edit#gid=1444865654"",""articles_with_PRISMA_reasons!B2:B2113""))&gt;=2),
""Exclude""
)"),"Exclude")</f>
        <v>Exclude</v>
      </c>
      <c r="F1124" s="5" t="str">
        <f>IFERROR(__xludf.DUMMYFUNCTION("IFS(
E1124=""Exclude"",""Exclude"",
AND(
COUNTIF(
IMPORTRANGE(""https://docs.google.com/spreadsheets/d/1kGrh75X1cNR1D7_FcY9zMnHP8iPO4M5RCRjy6nZY0TY/edit#gid=0"",""Table 1: Study characteristics!B4:B171""),A1124)&gt;0,
COUNTIF(Studies!$A$2:$A$85,FILTER(IMPORT"&amp;"RANGE(""https://docs.google.com/spreadsheets/d/1kGrh75X1cNR1D7_FcY9zMnHP8iPO4M5RCRjy6nZY0TY/edit#gid=0"",""Table 1: Study characteristics!A4:A171""), $A1124=IMPORTRANGE(""https://docs.google.com/spreadsheets/d/1kGrh75X1cNR1D7_FcY9zMnHP8iPO4M5RCRjy6nZY0TY/"&amp;"edit#gid=0"",""Table 1: Study characteristics!B4:B171"")))&gt;0
),
""Include""
)"),"Exclude")</f>
        <v>Exclude</v>
      </c>
      <c r="G1124" s="5" t="str">
        <f>IFERROR(__xludf.DUMMYFUNCTION("IFS(
D1124=""Exclude"",
FILTER(IMPORTRANGE(""https://docs.google.com/spreadsheets/d/1BJSV3WBYJGRhQ6zExamkszQ5VutGIcaQqmbD9ZTVXMQ/edit#gid=1251630045"",""articles_with_PRISMA_reasons!AB2:AB2113""), $A1124=IMPORTRANGE(""https://docs.google.com/spreadsheets/"&amp;"d/1BJSV3WBYJGRhQ6zExamkszQ5VutGIcaQqmbD9ZTVXMQ/edit#gid=1251630045"",""articles_with_PRISMA_reasons!B2:B2113"")),
E1124=""Exclude"",
FILTER(IMPORTRANGE(""https://docs.google.com/spreadsheets/d/1qpEmbGH0JjaJbUdp21-y2cPbobDbMjr09BbtdKROZWc/edit#gid=14448656"&amp;"54"",""articles_with_PRISMA_reasons!Z2:Z2113""), $A1124=IMPORTRANGE(""https://docs.google.com/spreadsheets/d/1qpEmbGH0JjaJbUdp21-y2cPbobDbMjr09BbtdKROZWc/edit#gid=1444865654"",""articles_with_PRISMA_reasons!B2:B2113"")),F1124
=""Include"",FILTER(IMPORTRAN"&amp;"GE(""https://docs.google.com/spreadsheets/d/1kGrh75X1cNR1D7_FcY9zMnHP8iPO4M5RCRjy6nZY0TY/edit#gid=0"",""Table 1: Study characteristics!A4:A171""), $A1124=IMPORTRANGE(""https://docs.google.com/spreadsheets/d/1kGrh75X1cNR1D7_FcY9zMnHP8iPO4M5RCRjy6nZY0TY/edi"&amp;"t#gid=0"",""Table 1: Study characteristics!B4:B171""))
)"),"background article")</f>
        <v>background article</v>
      </c>
    </row>
    <row r="1125">
      <c r="A1125" s="4" t="str">
        <f>IFERROR(__xludf.DUMMYFUNCTION("""COMPUTED_VALUE"""),"Making pediatric neuroanesthesia safer")</f>
        <v>Making pediatric neuroanesthesia safer</v>
      </c>
      <c r="B1125" s="5" t="str">
        <f>IFERROR(__xludf.DUMMYFUNCTION("LEFT(FILTER(IMPORTRANGE(""https://docs.google.com/spreadsheets/d/1BJSV3WBYJGRhQ6zExamkszQ5VutGIcaQqmbD9ZTVXMQ/edit#gid=1251630045"",""articles_with_PRISMA_reasons!K2:K2113""), $A1125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$A1125=IMPORTRANGE(""https://docs.google.com/spreadsheets/d/1BJSV3WBYJGRhQ6zExamkszQ5VutGIcaQqmbD9ZTVXMQ/edit#gid=1251630045"",""articles_with_PRISMA_reasons!B2:B2113"")))-1)"),"Kalita")</f>
        <v>Kalita</v>
      </c>
      <c r="C1125" s="6">
        <f>IFERROR(__xludf.DUMMYFUNCTION("FILTER(IMPORTRANGE(""https://docs.google.com/spreadsheets/d/1BJSV3WBYJGRhQ6zExamkszQ5VutGIcaQqmbD9ZTVXMQ/edit#gid=1251630045"",""articles_with_PRISMA_reasons!C2:C2113""), $A1125=IMPORTRANGE(""https://docs.google.com/spreadsheets/d/1BJSV3WBYJGRhQ6zExamkszQ"&amp;"5VutGIcaQqmbD9ZTVXMQ/edit#gid=1251630045"",""articles_with_PRISMA_reasons!B2:B2113""))"),2017.0)</f>
        <v>2017</v>
      </c>
      <c r="D1125" s="5" t="str">
        <f>IFERROR(__xludf.DUMMYFUNCTION("IFS(AND(
FILTER(IMPORTRANGE(""https://docs.google.com/spreadsheets/d/1BJSV3WBYJGRhQ6zExamkszQ5VutGIcaQqmbD9ZTVXMQ/edit#gid=1251630045"",""articles_with_PRISMA_reasons!Y2:Y2113""), $A1125=IMPORTRANGE(""https://docs.google.com/spreadsheets/d/1BJSV3WBYJGRhQ6"&amp;"zExamkszQ5VutGIcaQqmbD9ZTVXMQ/edit#gid=1251630045"",""articles_with_PRISMA_reasons!B2:B2113""))&gt;=2,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$A1125=IMPORTRANGE(""https://docs.google.com/spreadsheets/d/1BJSV3WBYJGRhQ6zExamkszQ5VutGIcaQqmbD9ZTVXMQ/edit#gid=1251630045"",""articles_with_PRISMA_reasons!B2:B2113""))&lt;2),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$A1125=IMPORTRANGE(""https://docs.google.com/spreadsheets/d/1BJSV3WBYJGRhQ6zExamkszQ5VutGIcaQqmbD9ZTVXMQ/edit#gid=1251630045"",""a"&amp;"rticles_with_PRISMA_reasons!B2:B2113""))&lt;2,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$A1125=IMPORTRANGE(""https://docs.google"&amp;".com/spreadsheets/d/1BJSV3WBYJGRhQ6zExamkszQ5VutGIcaQqmbD9ZTVXMQ/edit#gid=1251630045"",""articles_with_PRISMA_reasons!B2:B2113""))&gt;=2),
""Exclude""
)"),"Exclude")</f>
        <v>Exclude</v>
      </c>
      <c r="E1125" s="5" t="str">
        <f>IFERROR(__xludf.DUMMYFUNCTION("IFS(
D1125=""Exclude"",""Exclude"",
AND(
FILTER(IMPORTRANGE(""https://docs.google.com/spreadsheets/d/1qpEmbGH0JjaJbUdp21-y2cPbobDbMjr09BbtdKROZWc/edit#gid=1444865654"",""articles_with_PRISMA_reasons!W2:W2113""), $A1125=IMPORTRANGE(""https://docs.google.co"&amp;"m/spreadsheets/d/1qpEmbGH0JjaJbUdp21-y2cPbobDbMjr09BbtdKROZWc/edit#gid=1444865654"",""articles_with_PRISMA_reasons!B2:B2113""))&gt;=2,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$A1125=IMPORTRANGE(""https://docs.google.com/spreadsheets/d/1qpEmbGH0JjaJbUdp21-y2cPbobDbMjr09BbtdKROZWc/edit#gid=1444865654"",""articles_with_PRISMA_reasons!B2:B2113""))&lt;2),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$A1125=IMPORTRANGE(""https://docs.google.com/spreadsheets/d/1qpEmbGH0JjaJbUdp21-y2cPbobDbMjr09Bbtd"&amp;"KROZWc/edit#gid=1444865654"",""articles_with_PRISMA_reasons!B2:B2113""))&lt;2,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$A1125=I"&amp;"MPORTRANGE(""https://docs.google.com/spreadsheets/d/1qpEmbGH0JjaJbUdp21-y2cPbobDbMjr09BbtdKROZWc/edit#gid=1444865654"",""articles_with_PRISMA_reasons!B2:B2113""))&gt;=2),
""Exclude""
)"),"Exclude")</f>
        <v>Exclude</v>
      </c>
      <c r="F1125" s="5" t="str">
        <f>IFERROR(__xludf.DUMMYFUNCTION("IFS(
E1125=""Exclude"",""Exclude"",
AND(
COUNTIF(
IMPORTRANGE(""https://docs.google.com/spreadsheets/d/1kGrh75X1cNR1D7_FcY9zMnHP8iPO4M5RCRjy6nZY0TY/edit#gid=0"",""Table 1: Study characteristics!B4:B171""),A1125)&gt;0,
COUNTIF(Studies!$A$2:$A$85,FILTER(IMPORT"&amp;"RANGE(""https://docs.google.com/spreadsheets/d/1kGrh75X1cNR1D7_FcY9zMnHP8iPO4M5RCRjy6nZY0TY/edit#gid=0"",""Table 1: Study characteristics!A4:A171""), $A1125=IMPORTRANGE(""https://docs.google.com/spreadsheets/d/1kGrh75X1cNR1D7_FcY9zMnHP8iPO4M5RCRjy6nZY0TY/"&amp;"edit#gid=0"",""Table 1: Study characteristics!B4:B171"")))&gt;0
),
""Include""
)"),"Exclude")</f>
        <v>Exclude</v>
      </c>
      <c r="G1125" s="5" t="str">
        <f>IFERROR(__xludf.DUMMYFUNCTION("IFS(
D1125=""Exclude"",
FILTER(IMPORTRANGE(""https://docs.google.com/spreadsheets/d/1BJSV3WBYJGRhQ6zExamkszQ5VutGIcaQqmbD9ZTVXMQ/edit#gid=1251630045"",""articles_with_PRISMA_reasons!AB2:AB2113""), $A1125=IMPORTRANGE(""https://docs.google.com/spreadsheets/"&amp;"d/1BJSV3WBYJGRhQ6zExamkszQ5VutGIcaQqmbD9ZTVXMQ/edit#gid=1251630045"",""articles_with_PRISMA_reasons!B2:B2113"")),
E1125=""Exclude"",
FILTER(IMPORTRANGE(""https://docs.google.com/spreadsheets/d/1qpEmbGH0JjaJbUdp21-y2cPbobDbMjr09BbtdKROZWc/edit#gid=14448656"&amp;"54"",""articles_with_PRISMA_reasons!Z2:Z2113""), $A1125=IMPORTRANGE(""https://docs.google.com/spreadsheets/d/1qpEmbGH0JjaJbUdp21-y2cPbobDbMjr09BbtdKROZWc/edit#gid=1444865654"",""articles_with_PRISMA_reasons!B2:B2113"")),F1125
=""Include"",FILTER(IMPORTRAN"&amp;"GE(""https://docs.google.com/spreadsheets/d/1kGrh75X1cNR1D7_FcY9zMnHP8iPO4M5RCRjy6nZY0TY/edit#gid=0"",""Table 1: Study characteristics!A4:A171""), $A1125=IMPORTRANGE(""https://docs.google.com/spreadsheets/d/1kGrh75X1cNR1D7_FcY9zMnHP8iPO4M5RCRjy6nZY0TY/edi"&amp;"t#gid=0"",""Table 1: Study characteristics!B4:B171""))
)"),"wrong population")</f>
        <v>wrong population</v>
      </c>
    </row>
    <row r="1126">
      <c r="A1126" s="4" t="str">
        <f>IFERROR(__xludf.DUMMYFUNCTION("""COMPUTED_VALUE"""),"Malformação de Chiari do tipo II sintomática")</f>
        <v>Malformação de Chiari do tipo II sintomática</v>
      </c>
      <c r="B1126" s="5" t="str">
        <f>IFERROR(__xludf.DUMMYFUNCTION("LEFT(FILTER(IMPORTRANGE(""https://docs.google.com/spreadsheets/d/1BJSV3WBYJGRhQ6zExamkszQ5VutGIcaQqmbD9ZTVXMQ/edit#gid=1251630045"",""articles_with_PRISMA_reasons!K2:K2113""), $A1126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$A1126=IMPORTRANGE(""https://docs.google.com/spreadsheets/d/1BJSV3WBYJGRhQ6zExamkszQ5VutGIcaQqmbD9ZTVXMQ/edit#gid=1251630045"",""articles_with_PRISMA_reasons!B2:B2113"")))-1)"),"SalomÃO")</f>
        <v>SalomÃO</v>
      </c>
      <c r="C1126" s="6">
        <f>IFERROR(__xludf.DUMMYFUNCTION("FILTER(IMPORTRANGE(""https://docs.google.com/spreadsheets/d/1BJSV3WBYJGRhQ6zExamkszQ5VutGIcaQqmbD9ZTVXMQ/edit#gid=1251630045"",""articles_with_PRISMA_reasons!C2:C2113""), $A1126=IMPORTRANGE(""https://docs.google.com/spreadsheets/d/1BJSV3WBYJGRhQ6zExamkszQ"&amp;"5VutGIcaQqmbD9ZTVXMQ/edit#gid=1251630045"",""articles_with_PRISMA_reasons!B2:B2113""))"),1998.0)</f>
        <v>1998</v>
      </c>
      <c r="D1126" s="5" t="str">
        <f>IFERROR(__xludf.DUMMYFUNCTION("IFS(AND(
FILTER(IMPORTRANGE(""https://docs.google.com/spreadsheets/d/1BJSV3WBYJGRhQ6zExamkszQ5VutGIcaQqmbD9ZTVXMQ/edit#gid=1251630045"",""articles_with_PRISMA_reasons!Y2:Y2113""), $A1126=IMPORTRANGE(""https://docs.google.com/spreadsheets/d/1BJSV3WBYJGRhQ6"&amp;"zExamkszQ5VutGIcaQqmbD9ZTVXMQ/edit#gid=1251630045"",""articles_with_PRISMA_reasons!B2:B2113""))&gt;=2,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$A1126=IMPORTRANGE(""https://docs.google.com/spreadsheets/d/1BJSV3WBYJGRhQ6zExamkszQ5VutGIcaQqmbD9ZTVXMQ/edit#gid=1251630045"",""articles_with_PRISMA_reasons!B2:B2113""))&lt;2),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$A1126=IMPORTRANGE(""https://docs.google.com/spreadsheets/d/1BJSV3WBYJGRhQ6zExamkszQ5VutGIcaQqmbD9ZTVXMQ/edit#gid=1251630045"",""a"&amp;"rticles_with_PRISMA_reasons!B2:B2113""))&lt;2,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$A1126=IMPORTRANGE(""https://docs.google"&amp;".com/spreadsheets/d/1BJSV3WBYJGRhQ6zExamkszQ5VutGIcaQqmbD9ZTVXMQ/edit#gid=1251630045"",""articles_with_PRISMA_reasons!B2:B2113""))&gt;=2),
""Exclude""
)"),"Exclude")</f>
        <v>Exclude</v>
      </c>
      <c r="E1126" s="5" t="str">
        <f>IFERROR(__xludf.DUMMYFUNCTION("IFS(
D1126=""Exclude"",""Exclude"",
AND(
FILTER(IMPORTRANGE(""https://docs.google.com/spreadsheets/d/1qpEmbGH0JjaJbUdp21-y2cPbobDbMjr09BbtdKROZWc/edit#gid=1444865654"",""articles_with_PRISMA_reasons!W2:W2113""), $A1126=IMPORTRANGE(""https://docs.google.co"&amp;"m/spreadsheets/d/1qpEmbGH0JjaJbUdp21-y2cPbobDbMjr09BbtdKROZWc/edit#gid=1444865654"",""articles_with_PRISMA_reasons!B2:B2113""))&gt;=2,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$A1126=IMPORTRANGE(""https://docs.google.com/spreadsheets/d/1qpEmbGH0JjaJbUdp21-y2cPbobDbMjr09BbtdKROZWc/edit#gid=1444865654"",""articles_with_PRISMA_reasons!B2:B2113""))&lt;2),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$A1126=IMPORTRANGE(""https://docs.google.com/spreadsheets/d/1qpEmbGH0JjaJbUdp21-y2cPbobDbMjr09Bbtd"&amp;"KROZWc/edit#gid=1444865654"",""articles_with_PRISMA_reasons!B2:B2113""))&lt;2,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$A1126=I"&amp;"MPORTRANGE(""https://docs.google.com/spreadsheets/d/1qpEmbGH0JjaJbUdp21-y2cPbobDbMjr09BbtdKROZWc/edit#gid=1444865654"",""articles_with_PRISMA_reasons!B2:B2113""))&gt;=2),
""Exclude""
)"),"Exclude")</f>
        <v>Exclude</v>
      </c>
      <c r="F1126" s="5" t="str">
        <f>IFERROR(__xludf.DUMMYFUNCTION("IFS(
E1126=""Exclude"",""Exclude"",
AND(
COUNTIF(
IMPORTRANGE(""https://docs.google.com/spreadsheets/d/1kGrh75X1cNR1D7_FcY9zMnHP8iPO4M5RCRjy6nZY0TY/edit#gid=0"",""Table 1: Study characteristics!B4:B171""),A1126)&gt;0,
COUNTIF(Studies!$A$2:$A$85,FILTER(IMPORT"&amp;"RANGE(""https://docs.google.com/spreadsheets/d/1kGrh75X1cNR1D7_FcY9zMnHP8iPO4M5RCRjy6nZY0TY/edit#gid=0"",""Table 1: Study characteristics!A4:A171""), $A1126=IMPORTRANGE(""https://docs.google.com/spreadsheets/d/1kGrh75X1cNR1D7_FcY9zMnHP8iPO4M5RCRjy6nZY0TY/"&amp;"edit#gid=0"",""Table 1: Study characteristics!B4:B171"")))&gt;0
),
""Include""
)"),"Exclude")</f>
        <v>Exclude</v>
      </c>
      <c r="G1126" s="5" t="str">
        <f>IFERROR(__xludf.DUMMYFUNCTION("IFS(
D1126=""Exclude"",
FILTER(IMPORTRANGE(""https://docs.google.com/spreadsheets/d/1BJSV3WBYJGRhQ6zExamkszQ5VutGIcaQqmbD9ZTVXMQ/edit#gid=1251630045"",""articles_with_PRISMA_reasons!AB2:AB2113""), $A1126=IMPORTRANGE(""https://docs.google.com/spreadsheets/"&amp;"d/1BJSV3WBYJGRhQ6zExamkszQ5VutGIcaQqmbD9ZTVXMQ/edit#gid=1251630045"",""articles_with_PRISMA_reasons!B2:B2113"")),
E1126=""Exclude"",
FILTER(IMPORTRANGE(""https://docs.google.com/spreadsheets/d/1qpEmbGH0JjaJbUdp21-y2cPbobDbMjr09BbtdKROZWc/edit#gid=14448656"&amp;"54"",""articles_with_PRISMA_reasons!Z2:Z2113""), $A1126=IMPORTRANGE(""https://docs.google.com/spreadsheets/d/1qpEmbGH0JjaJbUdp21-y2cPbobDbMjr09BbtdKROZWc/edit#gid=1444865654"",""articles_with_PRISMA_reasons!B2:B2113"")),F1126
=""Include"",FILTER(IMPORTRAN"&amp;"GE(""https://docs.google.com/spreadsheets/d/1kGrh75X1cNR1D7_FcY9zMnHP8iPO4M5RCRjy6nZY0TY/edit#gid=0"",""Table 1: Study characteristics!A4:A171""), $A1126=IMPORTRANGE(""https://docs.google.com/spreadsheets/d/1kGrh75X1cNR1D7_FcY9zMnHP8iPO4M5RCRjy6nZY0TY/edi"&amp;"t#gid=0"",""Table 1: Study characteristics!B4:B171""))
)"),"wrong population")</f>
        <v>wrong population</v>
      </c>
    </row>
    <row r="1127">
      <c r="A1127" s="4" t="str">
        <f>IFERROR(__xludf.DUMMYFUNCTION("""COMPUTED_VALUE"""),"Malformações do sistema nervoso central e malformações associadas diagnosticadas pela ultrassonografia obstétrica")</f>
        <v>Malformações do sistema nervoso central e malformações associadas diagnosticadas pela ultrassonografia obstétrica</v>
      </c>
      <c r="B1127" s="5" t="str">
        <f>IFERROR(__xludf.DUMMYFUNCTION("LEFT(FILTER(IMPORTRANGE(""https://docs.google.com/spreadsheets/d/1BJSV3WBYJGRhQ6zExamkszQ5VutGIcaQqmbD9ZTVXMQ/edit#gid=1251630045"",""articles_with_PRISMA_reasons!K2:K2113""), $A1127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$A1127=IMPORTRANGE(""https://docs.google.com/spreadsheets/d/1BJSV3WBYJGRhQ6zExamkszQ5VutGIcaQqmbD9ZTVXMQ/edit#gid=1251630045"",""articles_with_PRISMA_reasons!B2:B2113"")))-1)"),"Barros")</f>
        <v>Barros</v>
      </c>
      <c r="C1127" s="6">
        <f>IFERROR(__xludf.DUMMYFUNCTION("FILTER(IMPORTRANGE(""https://docs.google.com/spreadsheets/d/1BJSV3WBYJGRhQ6zExamkszQ5VutGIcaQqmbD9ZTVXMQ/edit#gid=1251630045"",""articles_with_PRISMA_reasons!C2:C2113""), $A1127=IMPORTRANGE(""https://docs.google.com/spreadsheets/d/1BJSV3WBYJGRhQ6zExamkszQ"&amp;"5VutGIcaQqmbD9ZTVXMQ/edit#gid=1251630045"",""articles_with_PRISMA_reasons!B2:B2113""))"),2012.0)</f>
        <v>2012</v>
      </c>
      <c r="D1127" s="5" t="str">
        <f>IFERROR(__xludf.DUMMYFUNCTION("IFS(AND(
FILTER(IMPORTRANGE(""https://docs.google.com/spreadsheets/d/1BJSV3WBYJGRhQ6zExamkszQ5VutGIcaQqmbD9ZTVXMQ/edit#gid=1251630045"",""articles_with_PRISMA_reasons!Y2:Y2113""), $A1127=IMPORTRANGE(""https://docs.google.com/spreadsheets/d/1BJSV3WBYJGRhQ6"&amp;"zExamkszQ5VutGIcaQqmbD9ZTVXMQ/edit#gid=1251630045"",""articles_with_PRISMA_reasons!B2:B2113""))&gt;=2,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$A1127=IMPORTRANGE(""https://docs.google.com/spreadsheets/d/1BJSV3WBYJGRhQ6zExamkszQ5VutGIcaQqmbD9ZTVXMQ/edit#gid=1251630045"",""articles_with_PRISMA_reasons!B2:B2113""))&lt;2),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$A1127=IMPORTRANGE(""https://docs.google.com/spreadsheets/d/1BJSV3WBYJGRhQ6zExamkszQ5VutGIcaQqmbD9ZTVXMQ/edit#gid=1251630045"",""a"&amp;"rticles_with_PRISMA_reasons!B2:B2113""))&lt;2,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$A1127=IMPORTRANGE(""https://docs.google"&amp;".com/spreadsheets/d/1BJSV3WBYJGRhQ6zExamkszQ5VutGIcaQqmbD9ZTVXMQ/edit#gid=1251630045"",""articles_with_PRISMA_reasons!B2:B2113""))&gt;=2),
""Exclude""
)"),"Exclude")</f>
        <v>Exclude</v>
      </c>
      <c r="E1127" s="5" t="str">
        <f>IFERROR(__xludf.DUMMYFUNCTION("IFS(
D1127=""Exclude"",""Exclude"",
AND(
FILTER(IMPORTRANGE(""https://docs.google.com/spreadsheets/d/1qpEmbGH0JjaJbUdp21-y2cPbobDbMjr09BbtdKROZWc/edit#gid=1444865654"",""articles_with_PRISMA_reasons!W2:W2113""), $A1127=IMPORTRANGE(""https://docs.google.co"&amp;"m/spreadsheets/d/1qpEmbGH0JjaJbUdp21-y2cPbobDbMjr09BbtdKROZWc/edit#gid=1444865654"",""articles_with_PRISMA_reasons!B2:B2113""))&gt;=2,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$A1127=IMPORTRANGE(""https://docs.google.com/spreadsheets/d/1qpEmbGH0JjaJbUdp21-y2cPbobDbMjr09BbtdKROZWc/edit#gid=1444865654"",""articles_with_PRISMA_reasons!B2:B2113""))&lt;2),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$A1127=IMPORTRANGE(""https://docs.google.com/spreadsheets/d/1qpEmbGH0JjaJbUdp21-y2cPbobDbMjr09Bbtd"&amp;"KROZWc/edit#gid=1444865654"",""articles_with_PRISMA_reasons!B2:B2113""))&lt;2,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$A1127=I"&amp;"MPORTRANGE(""https://docs.google.com/spreadsheets/d/1qpEmbGH0JjaJbUdp21-y2cPbobDbMjr09BbtdKROZWc/edit#gid=1444865654"",""articles_with_PRISMA_reasons!B2:B2113""))&gt;=2),
""Exclude""
)"),"Exclude")</f>
        <v>Exclude</v>
      </c>
      <c r="F1127" s="5" t="str">
        <f>IFERROR(__xludf.DUMMYFUNCTION("IFS(
E1127=""Exclude"",""Exclude"",
AND(
COUNTIF(
IMPORTRANGE(""https://docs.google.com/spreadsheets/d/1kGrh75X1cNR1D7_FcY9zMnHP8iPO4M5RCRjy6nZY0TY/edit#gid=0"",""Table 1: Study characteristics!B4:B171""),A1127)&gt;0,
COUNTIF(Studies!$A$2:$A$85,FILTER(IMPORT"&amp;"RANGE(""https://docs.google.com/spreadsheets/d/1kGrh75X1cNR1D7_FcY9zMnHP8iPO4M5RCRjy6nZY0TY/edit#gid=0"",""Table 1: Study characteristics!A4:A171""), $A1127=IMPORTRANGE(""https://docs.google.com/spreadsheets/d/1kGrh75X1cNR1D7_FcY9zMnHP8iPO4M5RCRjy6nZY0TY/"&amp;"edit#gid=0"",""Table 1: Study characteristics!B4:B171"")))&gt;0
),
""Include""
)"),"Exclude")</f>
        <v>Exclude</v>
      </c>
      <c r="G1127" s="5" t="str">
        <f>IFERROR(__xludf.DUMMYFUNCTION("IFS(
D1127=""Exclude"",
FILTER(IMPORTRANGE(""https://docs.google.com/spreadsheets/d/1BJSV3WBYJGRhQ6zExamkszQ5VutGIcaQqmbD9ZTVXMQ/edit#gid=1251630045"",""articles_with_PRISMA_reasons!AB2:AB2113""), $A1127=IMPORTRANGE(""https://docs.google.com/spreadsheets/"&amp;"d/1BJSV3WBYJGRhQ6zExamkszQ5VutGIcaQqmbD9ZTVXMQ/edit#gid=1251630045"",""articles_with_PRISMA_reasons!B2:B2113"")),
E1127=""Exclude"",
FILTER(IMPORTRANGE(""https://docs.google.com/spreadsheets/d/1qpEmbGH0JjaJbUdp21-y2cPbobDbMjr09BbtdKROZWc/edit#gid=14448656"&amp;"54"",""articles_with_PRISMA_reasons!Z2:Z2113""), $A1127=IMPORTRANGE(""https://docs.google.com/spreadsheets/d/1qpEmbGH0JjaJbUdp21-y2cPbobDbMjr09BbtdKROZWc/edit#gid=1444865654"",""articles_with_PRISMA_reasons!B2:B2113"")),F1127
=""Include"",FILTER(IMPORTRAN"&amp;"GE(""https://docs.google.com/spreadsheets/d/1kGrh75X1cNR1D7_FcY9zMnHP8iPO4M5RCRjy6nZY0TY/edit#gid=0"",""Table 1: Study characteristics!A4:A171""), $A1127=IMPORTRANGE(""https://docs.google.com/spreadsheets/d/1kGrh75X1cNR1D7_FcY9zMnHP8iPO4M5RCRjy6nZY0TY/edi"&amp;"t#gid=0"",""Table 1: Study characteristics!B4:B171""))
)"),"wrong population")</f>
        <v>wrong population</v>
      </c>
    </row>
    <row r="1128">
      <c r="A1128" s="4" t="str">
        <f>IFERROR(__xludf.DUMMYFUNCTION("""COMPUTED_VALUE"""),"Malformations of central nervous system: General issues")</f>
        <v>Malformations of central nervous system: General issues</v>
      </c>
      <c r="B1128" s="5" t="str">
        <f>IFERROR(__xludf.DUMMYFUNCTION("LEFT(FILTER(IMPORTRANGE(""https://docs.google.com/spreadsheets/d/1BJSV3WBYJGRhQ6zExamkszQ5VutGIcaQqmbD9ZTVXMQ/edit#gid=1251630045"",""articles_with_PRISMA_reasons!K2:K2113""), $A1128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$A1128=IMPORTRANGE(""https://docs.google.com/spreadsheets/d/1BJSV3WBYJGRhQ6zExamkszQ5VutGIcaQqmbD9ZTVXMQ/edit#gid=1251630045"",""articles_with_PRISMA_reasons!B2:B2113"")))-1)"),"Piro")</f>
        <v>Piro</v>
      </c>
      <c r="C1128" s="6">
        <f>IFERROR(__xludf.DUMMYFUNCTION("FILTER(IMPORTRANGE(""https://docs.google.com/spreadsheets/d/1BJSV3WBYJGRhQ6zExamkszQ5VutGIcaQqmbD9ZTVXMQ/edit#gid=1251630045"",""articles_with_PRISMA_reasons!C2:C2113""), $A1128=IMPORTRANGE(""https://docs.google.com/spreadsheets/d/1BJSV3WBYJGRhQ6zExamkszQ"&amp;"5VutGIcaQqmbD9ZTVXMQ/edit#gid=1251630045"",""articles_with_PRISMA_reasons!B2:B2113""))"),2013.0)</f>
        <v>2013</v>
      </c>
      <c r="D1128" s="5" t="str">
        <f>IFERROR(__xludf.DUMMYFUNCTION("IFS(AND(
FILTER(IMPORTRANGE(""https://docs.google.com/spreadsheets/d/1BJSV3WBYJGRhQ6zExamkszQ5VutGIcaQqmbD9ZTVXMQ/edit#gid=1251630045"",""articles_with_PRISMA_reasons!Y2:Y2113""), $A1128=IMPORTRANGE(""https://docs.google.com/spreadsheets/d/1BJSV3WBYJGRhQ6"&amp;"zExamkszQ5VutGIcaQqmbD9ZTVXMQ/edit#gid=1251630045"",""articles_with_PRISMA_reasons!B2:B2113""))&gt;=2,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$A1128=IMPORTRANGE(""https://docs.google.com/spreadsheets/d/1BJSV3WBYJGRhQ6zExamkszQ5VutGIcaQqmbD9ZTVXMQ/edit#gid=1251630045"",""articles_with_PRISMA_reasons!B2:B2113""))&lt;2),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$A1128=IMPORTRANGE(""https://docs.google.com/spreadsheets/d/1BJSV3WBYJGRhQ6zExamkszQ5VutGIcaQqmbD9ZTVXMQ/edit#gid=1251630045"",""a"&amp;"rticles_with_PRISMA_reasons!B2:B2113""))&lt;2,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$A1128=IMPORTRANGE(""https://docs.google"&amp;".com/spreadsheets/d/1BJSV3WBYJGRhQ6zExamkszQ5VutGIcaQqmbD9ZTVXMQ/edit#gid=1251630045"",""articles_with_PRISMA_reasons!B2:B2113""))&gt;=2),
""Exclude""
)"),"Exclude")</f>
        <v>Exclude</v>
      </c>
      <c r="E1128" s="5" t="str">
        <f>IFERROR(__xludf.DUMMYFUNCTION("IFS(
D1128=""Exclude"",""Exclude"",
AND(
FILTER(IMPORTRANGE(""https://docs.google.com/spreadsheets/d/1qpEmbGH0JjaJbUdp21-y2cPbobDbMjr09BbtdKROZWc/edit#gid=1444865654"",""articles_with_PRISMA_reasons!W2:W2113""), $A1128=IMPORTRANGE(""https://docs.google.co"&amp;"m/spreadsheets/d/1qpEmbGH0JjaJbUdp21-y2cPbobDbMjr09BbtdKROZWc/edit#gid=1444865654"",""articles_with_PRISMA_reasons!B2:B2113""))&gt;=2,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$A1128=IMPORTRANGE(""https://docs.google.com/spreadsheets/d/1qpEmbGH0JjaJbUdp21-y2cPbobDbMjr09BbtdKROZWc/edit#gid=1444865654"",""articles_with_PRISMA_reasons!B2:B2113""))&lt;2),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$A1128=IMPORTRANGE(""https://docs.google.com/spreadsheets/d/1qpEmbGH0JjaJbUdp21-y2cPbobDbMjr09Bbtd"&amp;"KROZWc/edit#gid=1444865654"",""articles_with_PRISMA_reasons!B2:B2113""))&lt;2,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$A1128=I"&amp;"MPORTRANGE(""https://docs.google.com/spreadsheets/d/1qpEmbGH0JjaJbUdp21-y2cPbobDbMjr09BbtdKROZWc/edit#gid=1444865654"",""articles_with_PRISMA_reasons!B2:B2113""))&gt;=2),
""Exclude""
)"),"Exclude")</f>
        <v>Exclude</v>
      </c>
      <c r="F1128" s="5" t="str">
        <f>IFERROR(__xludf.DUMMYFUNCTION("IFS(
E1128=""Exclude"",""Exclude"",
AND(
COUNTIF(
IMPORTRANGE(""https://docs.google.com/spreadsheets/d/1kGrh75X1cNR1D7_FcY9zMnHP8iPO4M5RCRjy6nZY0TY/edit#gid=0"",""Table 1: Study characteristics!B4:B171""),A1128)&gt;0,
COUNTIF(Studies!$A$2:$A$85,FILTER(IMPORT"&amp;"RANGE(""https://docs.google.com/spreadsheets/d/1kGrh75X1cNR1D7_FcY9zMnHP8iPO4M5RCRjy6nZY0TY/edit#gid=0"",""Table 1: Study characteristics!A4:A171""), $A1128=IMPORTRANGE(""https://docs.google.com/spreadsheets/d/1kGrh75X1cNR1D7_FcY9zMnHP8iPO4M5RCRjy6nZY0TY/"&amp;"edit#gid=0"",""Table 1: Study characteristics!B4:B171"")))&gt;0
),
""Include""
)"),"Exclude")</f>
        <v>Exclude</v>
      </c>
      <c r="G1128" s="5" t="str">
        <f>IFERROR(__xludf.DUMMYFUNCTION("IFS(
D1128=""Exclude"",
FILTER(IMPORTRANGE(""https://docs.google.com/spreadsheets/d/1BJSV3WBYJGRhQ6zExamkszQ5VutGIcaQqmbD9ZTVXMQ/edit#gid=1251630045"",""articles_with_PRISMA_reasons!AB2:AB2113""), $A1128=IMPORTRANGE(""https://docs.google.com/spreadsheets/"&amp;"d/1BJSV3WBYJGRhQ6zExamkszQ5VutGIcaQqmbD9ZTVXMQ/edit#gid=1251630045"",""articles_with_PRISMA_reasons!B2:B2113"")),
E1128=""Exclude"",
FILTER(IMPORTRANGE(""https://docs.google.com/spreadsheets/d/1qpEmbGH0JjaJbUdp21-y2cPbobDbMjr09BbtdKROZWc/edit#gid=14448656"&amp;"54"",""articles_with_PRISMA_reasons!Z2:Z2113""), $A1128=IMPORTRANGE(""https://docs.google.com/spreadsheets/d/1qpEmbGH0JjaJbUdp21-y2cPbobDbMjr09BbtdKROZWc/edit#gid=1444865654"",""articles_with_PRISMA_reasons!B2:B2113"")),F1128
=""Include"",FILTER(IMPORTRAN"&amp;"GE(""https://docs.google.com/spreadsheets/d/1kGrh75X1cNR1D7_FcY9zMnHP8iPO4M5RCRjy6nZY0TY/edit#gid=0"",""Table 1: Study characteristics!A4:A171""), $A1128=IMPORTRANGE(""https://docs.google.com/spreadsheets/d/1kGrh75X1cNR1D7_FcY9zMnHP8iPO4M5RCRjy6nZY0TY/edi"&amp;"t#gid=0"",""Table 1: Study characteristics!B4:B171""))
)"),"background article")</f>
        <v>background article</v>
      </c>
    </row>
    <row r="1129">
      <c r="A1129" s="4" t="str">
        <f>IFERROR(__xludf.DUMMYFUNCTION("""COMPUTED_VALUE"""),"Malformations of the brain")</f>
        <v>Malformations of the brain</v>
      </c>
      <c r="B1129" s="5" t="str">
        <f>IFERROR(__xludf.DUMMYFUNCTION("LEFT(FILTER(IMPORTRANGE(""https://docs.google.com/spreadsheets/d/1BJSV3WBYJGRhQ6zExamkszQ5VutGIcaQqmbD9ZTVXMQ/edit#gid=1251630045"",""articles_with_PRISMA_reasons!K2:K2113""), $A1129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$A1129=IMPORTRANGE(""https://docs.google.com/spreadsheets/d/1BJSV3WBYJGRhQ6zExamkszQ5VutGIcaQqmbD9ZTVXMQ/edit#gid=1251630045"",""articles_with_PRISMA_reasons!B2:B2113"")))-1)"),"Norman")</f>
        <v>Norman</v>
      </c>
      <c r="C1129" s="6">
        <f>IFERROR(__xludf.DUMMYFUNCTION("FILTER(IMPORTRANGE(""https://docs.google.com/spreadsheets/d/1BJSV3WBYJGRhQ6zExamkszQ5VutGIcaQqmbD9ZTVXMQ/edit#gid=1251630045"",""articles_with_PRISMA_reasons!C2:C2113""), $A1129=IMPORTRANGE(""https://docs.google.com/spreadsheets/d/1BJSV3WBYJGRhQ6zExamkszQ"&amp;"5VutGIcaQqmbD9ZTVXMQ/edit#gid=1251630045"",""articles_with_PRISMA_reasons!B2:B2113""))"),1996.0)</f>
        <v>1996</v>
      </c>
      <c r="D1129" s="5" t="str">
        <f>IFERROR(__xludf.DUMMYFUNCTION("IFS(AND(
FILTER(IMPORTRANGE(""https://docs.google.com/spreadsheets/d/1BJSV3WBYJGRhQ6zExamkszQ5VutGIcaQqmbD9ZTVXMQ/edit#gid=1251630045"",""articles_with_PRISMA_reasons!Y2:Y2113""), $A1129=IMPORTRANGE(""https://docs.google.com/spreadsheets/d/1BJSV3WBYJGRhQ6"&amp;"zExamkszQ5VutGIcaQqmbD9ZTVXMQ/edit#gid=1251630045"",""articles_with_PRISMA_reasons!B2:B2113""))&gt;=2,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$A1129=IMPORTRANGE(""https://docs.google.com/spreadsheets/d/1BJSV3WBYJGRhQ6zExamkszQ5VutGIcaQqmbD9ZTVXMQ/edit#gid=1251630045"",""articles_with_PRISMA_reasons!B2:B2113""))&lt;2),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$A1129=IMPORTRANGE(""https://docs.google.com/spreadsheets/d/1BJSV3WBYJGRhQ6zExamkszQ5VutGIcaQqmbD9ZTVXMQ/edit#gid=1251630045"",""a"&amp;"rticles_with_PRISMA_reasons!B2:B2113""))&lt;2,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$A1129=IMPORTRANGE(""https://docs.google"&amp;".com/spreadsheets/d/1BJSV3WBYJGRhQ6zExamkszQ5VutGIcaQqmbD9ZTVXMQ/edit#gid=1251630045"",""articles_with_PRISMA_reasons!B2:B2113""))&gt;=2),
""Exclude""
)"),"Exclude")</f>
        <v>Exclude</v>
      </c>
      <c r="E1129" s="5" t="str">
        <f>IFERROR(__xludf.DUMMYFUNCTION("IFS(
D1129=""Exclude"",""Exclude"",
AND(
FILTER(IMPORTRANGE(""https://docs.google.com/spreadsheets/d/1qpEmbGH0JjaJbUdp21-y2cPbobDbMjr09BbtdKROZWc/edit#gid=1444865654"",""articles_with_PRISMA_reasons!W2:W2113""), $A1129=IMPORTRANGE(""https://docs.google.co"&amp;"m/spreadsheets/d/1qpEmbGH0JjaJbUdp21-y2cPbobDbMjr09BbtdKROZWc/edit#gid=1444865654"",""articles_with_PRISMA_reasons!B2:B2113""))&gt;=2,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$A1129=IMPORTRANGE(""https://docs.google.com/spreadsheets/d/1qpEmbGH0JjaJbUdp21-y2cPbobDbMjr09BbtdKROZWc/edit#gid=1444865654"",""articles_with_PRISMA_reasons!B2:B2113""))&lt;2),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$A1129=IMPORTRANGE(""https://docs.google.com/spreadsheets/d/1qpEmbGH0JjaJbUdp21-y2cPbobDbMjr09Bbtd"&amp;"KROZWc/edit#gid=1444865654"",""articles_with_PRISMA_reasons!B2:B2113""))&lt;2,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$A1129=I"&amp;"MPORTRANGE(""https://docs.google.com/spreadsheets/d/1qpEmbGH0JjaJbUdp21-y2cPbobDbMjr09BbtdKROZWc/edit#gid=1444865654"",""articles_with_PRISMA_reasons!B2:B2113""))&gt;=2),
""Exclude""
)"),"Exclude")</f>
        <v>Exclude</v>
      </c>
      <c r="F1129" s="5" t="str">
        <f>IFERROR(__xludf.DUMMYFUNCTION("IFS(
E1129=""Exclude"",""Exclude"",
AND(
COUNTIF(
IMPORTRANGE(""https://docs.google.com/spreadsheets/d/1kGrh75X1cNR1D7_FcY9zMnHP8iPO4M5RCRjy6nZY0TY/edit#gid=0"",""Table 1: Study characteristics!B4:B171""),A1129)&gt;0,
COUNTIF(Studies!$A$2:$A$85,FILTER(IMPORT"&amp;"RANGE(""https://docs.google.com/spreadsheets/d/1kGrh75X1cNR1D7_FcY9zMnHP8iPO4M5RCRjy6nZY0TY/edit#gid=0"",""Table 1: Study characteristics!A4:A171""), $A1129=IMPORTRANGE(""https://docs.google.com/spreadsheets/d/1kGrh75X1cNR1D7_FcY9zMnHP8iPO4M5RCRjy6nZY0TY/"&amp;"edit#gid=0"",""Table 1: Study characteristics!B4:B171"")))&gt;0
),
""Include""
)"),"Exclude")</f>
        <v>Exclude</v>
      </c>
      <c r="G1129" s="5" t="str">
        <f>IFERROR(__xludf.DUMMYFUNCTION("IFS(
D1129=""Exclude"",
FILTER(IMPORTRANGE(""https://docs.google.com/spreadsheets/d/1BJSV3WBYJGRhQ6zExamkszQ5VutGIcaQqmbD9ZTVXMQ/edit#gid=1251630045"",""articles_with_PRISMA_reasons!AB2:AB2113""), $A1129=IMPORTRANGE(""https://docs.google.com/spreadsheets/"&amp;"d/1BJSV3WBYJGRhQ6zExamkszQ5VutGIcaQqmbD9ZTVXMQ/edit#gid=1251630045"",""articles_with_PRISMA_reasons!B2:B2113"")),
E1129=""Exclude"",
FILTER(IMPORTRANGE(""https://docs.google.com/spreadsheets/d/1qpEmbGH0JjaJbUdp21-y2cPbobDbMjr09BbtdKROZWc/edit#gid=14448656"&amp;"54"",""articles_with_PRISMA_reasons!Z2:Z2113""), $A1129=IMPORTRANGE(""https://docs.google.com/spreadsheets/d/1qpEmbGH0JjaJbUdp21-y2cPbobDbMjr09BbtdKROZWc/edit#gid=1444865654"",""articles_with_PRISMA_reasons!B2:B2113"")),F1129
=""Include"",FILTER(IMPORTRAN"&amp;"GE(""https://docs.google.com/spreadsheets/d/1kGrh75X1cNR1D7_FcY9zMnHP8iPO4M5RCRjy6nZY0TY/edit#gid=0"",""Table 1: Study characteristics!A4:A171""), $A1129=IMPORTRANGE(""https://docs.google.com/spreadsheets/d/1kGrh75X1cNR1D7_FcY9zMnHP8iPO4M5RCRjy6nZY0TY/edi"&amp;"t#gid=0"",""Table 1: Study characteristics!B4:B171""))
)"),"background article")</f>
        <v>background article</v>
      </c>
    </row>
    <row r="1130">
      <c r="A1130" s="4" t="str">
        <f>IFERROR(__xludf.DUMMYFUNCTION("""COMPUTED_VALUE"""),"Malignant hyperthermia")</f>
        <v>Malignant hyperthermia</v>
      </c>
      <c r="B1130" s="5" t="str">
        <f>IFERROR(__xludf.DUMMYFUNCTION("LEFT(FILTER(IMPORTRANGE(""https://docs.google.com/spreadsheets/d/1BJSV3WBYJGRhQ6zExamkszQ5VutGIcaQqmbD9ZTVXMQ/edit#gid=1251630045"",""articles_with_PRISMA_reasons!K2:K2113""), $A1130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$A1130=IMPORTRANGE(""https://docs.google.com/spreadsheets/d/1BJSV3WBYJGRhQ6zExamkszQ5VutGIcaQqmbD9ZTVXMQ/edit#gid=1251630045"",""articles_with_PRISMA_reasons!B2:B2113"")))-1)"),"Rush")</f>
        <v>Rush</v>
      </c>
      <c r="C1130" s="6">
        <f>IFERROR(__xludf.DUMMYFUNCTION("FILTER(IMPORTRANGE(""https://docs.google.com/spreadsheets/d/1BJSV3WBYJGRhQ6zExamkszQ5VutGIcaQqmbD9ZTVXMQ/edit#gid=1251630045"",""articles_with_PRISMA_reasons!C2:C2113""), $A1130=IMPORTRANGE(""https://docs.google.com/spreadsheets/d/1BJSV3WBYJGRhQ6zExamkszQ"&amp;"5VutGIcaQqmbD9ZTVXMQ/edit#gid=1251630045"",""articles_with_PRISMA_reasons!B2:B2113""))"),1977.0)</f>
        <v>1977</v>
      </c>
      <c r="D1130" s="5" t="str">
        <f>IFERROR(__xludf.DUMMYFUNCTION("IFS(AND(
FILTER(IMPORTRANGE(""https://docs.google.com/spreadsheets/d/1BJSV3WBYJGRhQ6zExamkszQ5VutGIcaQqmbD9ZTVXMQ/edit#gid=1251630045"",""articles_with_PRISMA_reasons!Y2:Y2113""), $A1130=IMPORTRANGE(""https://docs.google.com/spreadsheets/d/1BJSV3WBYJGRhQ6"&amp;"zExamkszQ5VutGIcaQqmbD9ZTVXMQ/edit#gid=1251630045"",""articles_with_PRISMA_reasons!B2:B2113""))&gt;=2,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$A1130=IMPORTRANGE(""https://docs.google.com/spreadsheets/d/1BJSV3WBYJGRhQ6zExamkszQ5VutGIcaQqmbD9ZTVXMQ/edit#gid=1251630045"",""articles_with_PRISMA_reasons!B2:B2113""))&lt;2),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$A1130=IMPORTRANGE(""https://docs.google.com/spreadsheets/d/1BJSV3WBYJGRhQ6zExamkszQ5VutGIcaQqmbD9ZTVXMQ/edit#gid=1251630045"",""a"&amp;"rticles_with_PRISMA_reasons!B2:B2113""))&lt;2,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$A1130=IMPORTRANGE(""https://docs.google"&amp;".com/spreadsheets/d/1BJSV3WBYJGRhQ6zExamkszQ5VutGIcaQqmbD9ZTVXMQ/edit#gid=1251630045"",""articles_with_PRISMA_reasons!B2:B2113""))&gt;=2),
""Exclude""
)"),"Exclude")</f>
        <v>Exclude</v>
      </c>
      <c r="E1130" s="5" t="str">
        <f>IFERROR(__xludf.DUMMYFUNCTION("IFS(
D1130=""Exclude"",""Exclude"",
AND(
FILTER(IMPORTRANGE(""https://docs.google.com/spreadsheets/d/1qpEmbGH0JjaJbUdp21-y2cPbobDbMjr09BbtdKROZWc/edit#gid=1444865654"",""articles_with_PRISMA_reasons!W2:W2113""), $A1130=IMPORTRANGE(""https://docs.google.co"&amp;"m/spreadsheets/d/1qpEmbGH0JjaJbUdp21-y2cPbobDbMjr09BbtdKROZWc/edit#gid=1444865654"",""articles_with_PRISMA_reasons!B2:B2113""))&gt;=2,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$A1130=IMPORTRANGE(""https://docs.google.com/spreadsheets/d/1qpEmbGH0JjaJbUdp21-y2cPbobDbMjr09BbtdKROZWc/edit#gid=1444865654"",""articles_with_PRISMA_reasons!B2:B2113""))&lt;2),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$A1130=IMPORTRANGE(""https://docs.google.com/spreadsheets/d/1qpEmbGH0JjaJbUdp21-y2cPbobDbMjr09Bbtd"&amp;"KROZWc/edit#gid=1444865654"",""articles_with_PRISMA_reasons!B2:B2113""))&lt;2,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$A1130=I"&amp;"MPORTRANGE(""https://docs.google.com/spreadsheets/d/1qpEmbGH0JjaJbUdp21-y2cPbobDbMjr09BbtdKROZWc/edit#gid=1444865654"",""articles_with_PRISMA_reasons!B2:B2113""))&gt;=2),
""Exclude""
)"),"Exclude")</f>
        <v>Exclude</v>
      </c>
      <c r="F1130" s="5" t="str">
        <f>IFERROR(__xludf.DUMMYFUNCTION("IFS(
E1130=""Exclude"",""Exclude"",
AND(
COUNTIF(
IMPORTRANGE(""https://docs.google.com/spreadsheets/d/1kGrh75X1cNR1D7_FcY9zMnHP8iPO4M5RCRjy6nZY0TY/edit#gid=0"",""Table 1: Study characteristics!B4:B171""),A1130)&gt;0,
COUNTIF(Studies!$A$2:$A$85,FILTER(IMPORT"&amp;"RANGE(""https://docs.google.com/spreadsheets/d/1kGrh75X1cNR1D7_FcY9zMnHP8iPO4M5RCRjy6nZY0TY/edit#gid=0"",""Table 1: Study characteristics!A4:A171""), $A1130=IMPORTRANGE(""https://docs.google.com/spreadsheets/d/1kGrh75X1cNR1D7_FcY9zMnHP8iPO4M5RCRjy6nZY0TY/"&amp;"edit#gid=0"",""Table 1: Study characteristics!B4:B171"")))&gt;0
),
""Include""
)"),"Exclude")</f>
        <v>Exclude</v>
      </c>
      <c r="G1130" s="5" t="str">
        <f>IFERROR(__xludf.DUMMYFUNCTION("IFS(
D1130=""Exclude"",
FILTER(IMPORTRANGE(""https://docs.google.com/spreadsheets/d/1BJSV3WBYJGRhQ6zExamkszQ5VutGIcaQqmbD9ZTVXMQ/edit#gid=1251630045"",""articles_with_PRISMA_reasons!AB2:AB2113""), $A1130=IMPORTRANGE(""https://docs.google.com/spreadsheets/"&amp;"d/1BJSV3WBYJGRhQ6zExamkszQ5VutGIcaQqmbD9ZTVXMQ/edit#gid=1251630045"",""articles_with_PRISMA_reasons!B2:B2113"")),
E1130=""Exclude"",
FILTER(IMPORTRANGE(""https://docs.google.com/spreadsheets/d/1qpEmbGH0JjaJbUdp21-y2cPbobDbMjr09BbtdKROZWc/edit#gid=14448656"&amp;"54"",""articles_with_PRISMA_reasons!Z2:Z2113""), $A1130=IMPORTRANGE(""https://docs.google.com/spreadsheets/d/1qpEmbGH0JjaJbUdp21-y2cPbobDbMjr09BbtdKROZWc/edit#gid=1444865654"",""articles_with_PRISMA_reasons!B2:B2113"")),F1130
=""Include"",FILTER(IMPORTRAN"&amp;"GE(""https://docs.google.com/spreadsheets/d/1kGrh75X1cNR1D7_FcY9zMnHP8iPO4M5RCRjy6nZY0TY/edit#gid=0"",""Table 1: Study characteristics!A4:A171""), $A1130=IMPORTRANGE(""https://docs.google.com/spreadsheets/d/1kGrh75X1cNR1D7_FcY9zMnHP8iPO4M5RCRjy6nZY0TY/edi"&amp;"t#gid=0"",""Table 1: Study characteristics!B4:B171""))
)"),"wrong study design")</f>
        <v>wrong study design</v>
      </c>
    </row>
    <row r="1131">
      <c r="A1131" s="4" t="str">
        <f>IFERROR(__xludf.DUMMYFUNCTION("""COMPUTED_VALUE"""),"Management and outcome of infantile hydrocephalus in a tertiary health institution in Nigeria")</f>
        <v>Management and outcome of infantile hydrocephalus in a tertiary health institution in Nigeria</v>
      </c>
      <c r="B1131" s="5" t="str">
        <f>IFERROR(__xludf.DUMMYFUNCTION("LEFT(FILTER(IMPORTRANGE(""https://docs.google.com/spreadsheets/d/1BJSV3WBYJGRhQ6zExamkszQ5VutGIcaQqmbD9ZTVXMQ/edit#gid=1251630045"",""articles_with_PRISMA_reasons!K2:K2113""), $A1131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$A1131=IMPORTRANGE(""https://docs.google.com/spreadsheets/d/1BJSV3WBYJGRhQ6zExamkszQ5VutGIcaQqmbD9ZTVXMQ/edit#gid=1251630045"",""articles_with_PRISMA_reasons!B2:B2113"")))-1)"),"Yusuf")</f>
        <v>Yusuf</v>
      </c>
      <c r="C1131" s="6">
        <f>IFERROR(__xludf.DUMMYFUNCTION("FILTER(IMPORTRANGE(""https://docs.google.com/spreadsheets/d/1BJSV3WBYJGRhQ6zExamkszQ5VutGIcaQqmbD9ZTVXMQ/edit#gid=1251630045"",""articles_with_PRISMA_reasons!C2:C2113""), $A1131=IMPORTRANGE(""https://docs.google.com/spreadsheets/d/1BJSV3WBYJGRhQ6zExamkszQ"&amp;"5VutGIcaQqmbD9ZTVXMQ/edit#gid=1251630045"",""articles_with_PRISMA_reasons!B2:B2113""))"),2017.0)</f>
        <v>2017</v>
      </c>
      <c r="D1131" s="5" t="str">
        <f>IFERROR(__xludf.DUMMYFUNCTION("IFS(AND(
FILTER(IMPORTRANGE(""https://docs.google.com/spreadsheets/d/1BJSV3WBYJGRhQ6zExamkszQ5VutGIcaQqmbD9ZTVXMQ/edit#gid=1251630045"",""articles_with_PRISMA_reasons!Y2:Y2113""), $A1131=IMPORTRANGE(""https://docs.google.com/spreadsheets/d/1BJSV3WBYJGRhQ6"&amp;"zExamkszQ5VutGIcaQqmbD9ZTVXMQ/edit#gid=1251630045"",""articles_with_PRISMA_reasons!B2:B2113""))&gt;=2,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$A1131=IMPORTRANGE(""https://docs.google.com/spreadsheets/d/1BJSV3WBYJGRhQ6zExamkszQ5VutGIcaQqmbD9ZTVXMQ/edit#gid=1251630045"",""articles_with_PRISMA_reasons!B2:B2113""))&lt;2),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$A1131=IMPORTRANGE(""https://docs.google.com/spreadsheets/d/1BJSV3WBYJGRhQ6zExamkszQ5VutGIcaQqmbD9ZTVXMQ/edit#gid=1251630045"",""a"&amp;"rticles_with_PRISMA_reasons!B2:B2113""))&lt;2,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$A1131=IMPORTRANGE(""https://docs.google"&amp;".com/spreadsheets/d/1BJSV3WBYJGRhQ6zExamkszQ5VutGIcaQqmbD9ZTVXMQ/edit#gid=1251630045"",""articles_with_PRISMA_reasons!B2:B2113""))&gt;=2),
""Exclude""
)"),"Include")</f>
        <v>Include</v>
      </c>
      <c r="E1131" s="5" t="str">
        <f>IFERROR(__xludf.DUMMYFUNCTION("IFS(
D1131=""Exclude"",""Exclude"",
AND(
FILTER(IMPORTRANGE(""https://docs.google.com/spreadsheets/d/1qpEmbGH0JjaJbUdp21-y2cPbobDbMjr09BbtdKROZWc/edit#gid=1444865654"",""articles_with_PRISMA_reasons!W2:W2113""), $A1131=IMPORTRANGE(""https://docs.google.co"&amp;"m/spreadsheets/d/1qpEmbGH0JjaJbUdp21-y2cPbobDbMjr09BbtdKROZWc/edit#gid=1444865654"",""articles_with_PRISMA_reasons!B2:B2113""))&gt;=2,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$A1131=IMPORTRANGE(""https://docs.google.com/spreadsheets/d/1qpEmbGH0JjaJbUdp21-y2cPbobDbMjr09BbtdKROZWc/edit#gid=1444865654"",""articles_with_PRISMA_reasons!B2:B2113""))&lt;2),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$A1131=IMPORTRANGE(""https://docs.google.com/spreadsheets/d/1qpEmbGH0JjaJbUdp21-y2cPbobDbMjr09Bbtd"&amp;"KROZWc/edit#gid=1444865654"",""articles_with_PRISMA_reasons!B2:B2113""))&lt;2,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$A1131=I"&amp;"MPORTRANGE(""https://docs.google.com/spreadsheets/d/1qpEmbGH0JjaJbUdp21-y2cPbobDbMjr09BbtdKROZWc/edit#gid=1444865654"",""articles_with_PRISMA_reasons!B2:B2113""))&gt;=2),
""Exclude""
)"),"Include")</f>
        <v>Include</v>
      </c>
      <c r="F1131" s="2" t="s">
        <v>8</v>
      </c>
      <c r="G1131" s="2" t="s">
        <v>17</v>
      </c>
    </row>
    <row r="1132">
      <c r="A1132" s="4" t="str">
        <f>IFERROR(__xludf.DUMMYFUNCTION("""COMPUTED_VALUE"""),"Management and prognosis of neural tube defects")</f>
        <v>Management and prognosis of neural tube defects</v>
      </c>
      <c r="B1132" s="5" t="str">
        <f>IFERROR(__xludf.DUMMYFUNCTION("LEFT(FILTER(IMPORTRANGE(""https://docs.google.com/spreadsheets/d/1BJSV3WBYJGRhQ6zExamkszQ5VutGIcaQqmbD9ZTVXMQ/edit#gid=1251630045"",""articles_with_PRISMA_reasons!K2:K2113""), $A1132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$A1132=IMPORTRANGE(""https://docs.google.com/spreadsheets/d/1BJSV3WBYJGRhQ6zExamkszQ5VutGIcaQqmbD9ZTVXMQ/edit#gid=1251630045"",""articles_with_PRISMA_reasons!B2:B2113"")))-1)"),"Mori")</f>
        <v>Mori</v>
      </c>
      <c r="C1132" s="6">
        <f>IFERROR(__xludf.DUMMYFUNCTION("FILTER(IMPORTRANGE(""https://docs.google.com/spreadsheets/d/1BJSV3WBYJGRhQ6zExamkszQ5VutGIcaQqmbD9ZTVXMQ/edit#gid=1251630045"",""articles_with_PRISMA_reasons!C2:C2113""), $A1132=IMPORTRANGE(""https://docs.google.com/spreadsheets/d/1BJSV3WBYJGRhQ6zExamkszQ"&amp;"5VutGIcaQqmbD9ZTVXMQ/edit#gid=1251630045"",""articles_with_PRISMA_reasons!B2:B2113""))"),1988.0)</f>
        <v>1988</v>
      </c>
      <c r="D1132" s="5" t="str">
        <f>IFERROR(__xludf.DUMMYFUNCTION("IFS(AND(
FILTER(IMPORTRANGE(""https://docs.google.com/spreadsheets/d/1BJSV3WBYJGRhQ6zExamkszQ5VutGIcaQqmbD9ZTVXMQ/edit#gid=1251630045"",""articles_with_PRISMA_reasons!Y2:Y2113""), $A1132=IMPORTRANGE(""https://docs.google.com/spreadsheets/d/1BJSV3WBYJGRhQ6"&amp;"zExamkszQ5VutGIcaQqmbD9ZTVXMQ/edit#gid=1251630045"",""articles_with_PRISMA_reasons!B2:B2113""))&gt;=2,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$A1132=IMPORTRANGE(""https://docs.google.com/spreadsheets/d/1BJSV3WBYJGRhQ6zExamkszQ5VutGIcaQqmbD9ZTVXMQ/edit#gid=1251630045"",""articles_with_PRISMA_reasons!B2:B2113""))&lt;2),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$A1132=IMPORTRANGE(""https://docs.google.com/spreadsheets/d/1BJSV3WBYJGRhQ6zExamkszQ5VutGIcaQqmbD9ZTVXMQ/edit#gid=1251630045"",""a"&amp;"rticles_with_PRISMA_reasons!B2:B2113""))&lt;2,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$A1132=IMPORTRANGE(""https://docs.google"&amp;".com/spreadsheets/d/1BJSV3WBYJGRhQ6zExamkszQ5VutGIcaQqmbD9ZTVXMQ/edit#gid=1251630045"",""articles_with_PRISMA_reasons!B2:B2113""))&gt;=2),
""Exclude""
)"),"Exclude")</f>
        <v>Exclude</v>
      </c>
      <c r="E1132" s="5" t="str">
        <f>IFERROR(__xludf.DUMMYFUNCTION("IFS(
D1132=""Exclude"",""Exclude"",
AND(
FILTER(IMPORTRANGE(""https://docs.google.com/spreadsheets/d/1qpEmbGH0JjaJbUdp21-y2cPbobDbMjr09BbtdKROZWc/edit#gid=1444865654"",""articles_with_PRISMA_reasons!W2:W2113""), $A1132=IMPORTRANGE(""https://docs.google.co"&amp;"m/spreadsheets/d/1qpEmbGH0JjaJbUdp21-y2cPbobDbMjr09BbtdKROZWc/edit#gid=1444865654"",""articles_with_PRISMA_reasons!B2:B2113""))&gt;=2,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$A1132=IMPORTRANGE(""https://docs.google.com/spreadsheets/d/1qpEmbGH0JjaJbUdp21-y2cPbobDbMjr09BbtdKROZWc/edit#gid=1444865654"",""articles_with_PRISMA_reasons!B2:B2113""))&lt;2),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$A1132=IMPORTRANGE(""https://docs.google.com/spreadsheets/d/1qpEmbGH0JjaJbUdp21-y2cPbobDbMjr09Bbtd"&amp;"KROZWc/edit#gid=1444865654"",""articles_with_PRISMA_reasons!B2:B2113""))&lt;2,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$A1132=I"&amp;"MPORTRANGE(""https://docs.google.com/spreadsheets/d/1qpEmbGH0JjaJbUdp21-y2cPbobDbMjr09BbtdKROZWc/edit#gid=1444865654"",""articles_with_PRISMA_reasons!B2:B2113""))&gt;=2),
""Exclude""
)"),"Exclude")</f>
        <v>Exclude</v>
      </c>
      <c r="F1132" s="5" t="str">
        <f>IFERROR(__xludf.DUMMYFUNCTION("IFS(
E1132=""Exclude"",""Exclude"",
AND(
COUNTIF(
IMPORTRANGE(""https://docs.google.com/spreadsheets/d/1kGrh75X1cNR1D7_FcY9zMnHP8iPO4M5RCRjy6nZY0TY/edit#gid=0"",""Table 1: Study characteristics!B4:B171""),A1132)&gt;0,
COUNTIF(Studies!$A$2:$A$85,FILTER(IMPORT"&amp;"RANGE(""https://docs.google.com/spreadsheets/d/1kGrh75X1cNR1D7_FcY9zMnHP8iPO4M5RCRjy6nZY0TY/edit#gid=0"",""Table 1: Study characteristics!A4:A171""), $A1132=IMPORTRANGE(""https://docs.google.com/spreadsheets/d/1kGrh75X1cNR1D7_FcY9zMnHP8iPO4M5RCRjy6nZY0TY/"&amp;"edit#gid=0"",""Table 1: Study characteristics!B4:B171"")))&gt;0
),
""Include""
)"),"Exclude")</f>
        <v>Exclude</v>
      </c>
      <c r="G1132" s="5" t="str">
        <f>IFERROR(__xludf.DUMMYFUNCTION("IFS(
D1132=""Exclude"",
FILTER(IMPORTRANGE(""https://docs.google.com/spreadsheets/d/1BJSV3WBYJGRhQ6zExamkszQ5VutGIcaQqmbD9ZTVXMQ/edit#gid=1251630045"",""articles_with_PRISMA_reasons!AB2:AB2113""), $A1132=IMPORTRANGE(""https://docs.google.com/spreadsheets/"&amp;"d/1BJSV3WBYJGRhQ6zExamkszQ5VutGIcaQqmbD9ZTVXMQ/edit#gid=1251630045"",""articles_with_PRISMA_reasons!B2:B2113"")),
E1132=""Exclude"",
FILTER(IMPORTRANGE(""https://docs.google.com/spreadsheets/d/1qpEmbGH0JjaJbUdp21-y2cPbobDbMjr09BbtdKROZWc/edit#gid=14448656"&amp;"54"",""articles_with_PRISMA_reasons!Z2:Z2113""), $A1132=IMPORTRANGE(""https://docs.google.com/spreadsheets/d/1qpEmbGH0JjaJbUdp21-y2cPbobDbMjr09BbtdKROZWc/edit#gid=1444865654"",""articles_with_PRISMA_reasons!B2:B2113"")),F1132
=""Include"",FILTER(IMPORTRAN"&amp;"GE(""https://docs.google.com/spreadsheets/d/1kGrh75X1cNR1D7_FcY9zMnHP8iPO4M5RCRjy6nZY0TY/edit#gid=0"",""Table 1: Study characteristics!A4:A171""), $A1132=IMPORTRANGE(""https://docs.google.com/spreadsheets/d/1kGrh75X1cNR1D7_FcY9zMnHP8iPO4M5RCRjy6nZY0TY/edi"&amp;"t#gid=0"",""Table 1: Study characteristics!B4:B171""))
)"),"background article")</f>
        <v>background article</v>
      </c>
    </row>
    <row r="1133">
      <c r="A1133" s="4" t="str">
        <f>IFERROR(__xludf.DUMMYFUNCTION("""COMPUTED_VALUE"""),"Management of a child on CAPD with a ventriculoperitoneal shunt")</f>
        <v>Management of a child on CAPD with a ventriculoperitoneal shunt</v>
      </c>
      <c r="B1133" s="5" t="str">
        <f>IFERROR(__xludf.DUMMYFUNCTION("LEFT(FILTER(IMPORTRANGE(""https://docs.google.com/spreadsheets/d/1BJSV3WBYJGRhQ6zExamkszQ5VutGIcaQqmbD9ZTVXMQ/edit#gid=1251630045"",""articles_with_PRISMA_reasons!K2:K2113""), $A1133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$A1133=IMPORTRANGE(""https://docs.google.com/spreadsheets/d/1BJSV3WBYJGRhQ6zExamkszQ5VutGIcaQqmbD9ZTVXMQ/edit#gid=1251630045"",""articles_with_PRISMA_reasons!B2:B2113"")))-1)"),"Kazee")</f>
        <v>Kazee</v>
      </c>
      <c r="C1133" s="6">
        <f>IFERROR(__xludf.DUMMYFUNCTION("FILTER(IMPORTRANGE(""https://docs.google.com/spreadsheets/d/1BJSV3WBYJGRhQ6zExamkszQ5VutGIcaQqmbD9ZTVXMQ/edit#gid=1251630045"",""articles_with_PRISMA_reasons!C2:C2113""), $A1133=IMPORTRANGE(""https://docs.google.com/spreadsheets/d/1BJSV3WBYJGRhQ6zExamkszQ"&amp;"5VutGIcaQqmbD9ZTVXMQ/edit#gid=1251630045"",""articles_with_PRISMA_reasons!B2:B2113""))"),1990.0)</f>
        <v>1990</v>
      </c>
      <c r="D1133" s="5" t="str">
        <f>IFERROR(__xludf.DUMMYFUNCTION("IFS(AND(
FILTER(IMPORTRANGE(""https://docs.google.com/spreadsheets/d/1BJSV3WBYJGRhQ6zExamkszQ5VutGIcaQqmbD9ZTVXMQ/edit#gid=1251630045"",""articles_with_PRISMA_reasons!Y2:Y2113""), $A1133=IMPORTRANGE(""https://docs.google.com/spreadsheets/d/1BJSV3WBYJGRhQ6"&amp;"zExamkszQ5VutGIcaQqmbD9ZTVXMQ/edit#gid=1251630045"",""articles_with_PRISMA_reasons!B2:B2113""))&gt;=2,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$A1133=IMPORTRANGE(""https://docs.google.com/spreadsheets/d/1BJSV3WBYJGRhQ6zExamkszQ5VutGIcaQqmbD9ZTVXMQ/edit#gid=1251630045"",""articles_with_PRISMA_reasons!B2:B2113""))&lt;2),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$A1133=IMPORTRANGE(""https://docs.google.com/spreadsheets/d/1BJSV3WBYJGRhQ6zExamkszQ5VutGIcaQqmbD9ZTVXMQ/edit#gid=1251630045"",""a"&amp;"rticles_with_PRISMA_reasons!B2:B2113""))&lt;2,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$A1133=IMPORTRANGE(""https://docs.google"&amp;".com/spreadsheets/d/1BJSV3WBYJGRhQ6zExamkszQ5VutGIcaQqmbD9ZTVXMQ/edit#gid=1251630045"",""articles_with_PRISMA_reasons!B2:B2113""))&gt;=2),
""Exclude""
)"),"Exclude")</f>
        <v>Exclude</v>
      </c>
      <c r="E1133" s="5" t="str">
        <f>IFERROR(__xludf.DUMMYFUNCTION("IFS(
D1133=""Exclude"",""Exclude"",
AND(
FILTER(IMPORTRANGE(""https://docs.google.com/spreadsheets/d/1qpEmbGH0JjaJbUdp21-y2cPbobDbMjr09BbtdKROZWc/edit#gid=1444865654"",""articles_with_PRISMA_reasons!W2:W2113""), $A1133=IMPORTRANGE(""https://docs.google.co"&amp;"m/spreadsheets/d/1qpEmbGH0JjaJbUdp21-y2cPbobDbMjr09BbtdKROZWc/edit#gid=1444865654"",""articles_with_PRISMA_reasons!B2:B2113""))&gt;=2,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$A1133=IMPORTRANGE(""https://docs.google.com/spreadsheets/d/1qpEmbGH0JjaJbUdp21-y2cPbobDbMjr09BbtdKROZWc/edit#gid=1444865654"",""articles_with_PRISMA_reasons!B2:B2113""))&lt;2),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$A1133=IMPORTRANGE(""https://docs.google.com/spreadsheets/d/1qpEmbGH0JjaJbUdp21-y2cPbobDbMjr09Bbtd"&amp;"KROZWc/edit#gid=1444865654"",""articles_with_PRISMA_reasons!B2:B2113""))&lt;2,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$A1133=I"&amp;"MPORTRANGE(""https://docs.google.com/spreadsheets/d/1qpEmbGH0JjaJbUdp21-y2cPbobDbMjr09BbtdKROZWc/edit#gid=1444865654"",""articles_with_PRISMA_reasons!B2:B2113""))&gt;=2),
""Exclude""
)"),"Exclude")</f>
        <v>Exclude</v>
      </c>
      <c r="F1133" s="5" t="str">
        <f>IFERROR(__xludf.DUMMYFUNCTION("IFS(
E1133=""Exclude"",""Exclude"",
AND(
COUNTIF(
IMPORTRANGE(""https://docs.google.com/spreadsheets/d/1kGrh75X1cNR1D7_FcY9zMnHP8iPO4M5RCRjy6nZY0TY/edit#gid=0"",""Table 1: Study characteristics!B4:B171""),A1133)&gt;0,
COUNTIF(Studies!$A$2:$A$85,FILTER(IMPORT"&amp;"RANGE(""https://docs.google.com/spreadsheets/d/1kGrh75X1cNR1D7_FcY9zMnHP8iPO4M5RCRjy6nZY0TY/edit#gid=0"",""Table 1: Study characteristics!A4:A171""), $A1133=IMPORTRANGE(""https://docs.google.com/spreadsheets/d/1kGrh75X1cNR1D7_FcY9zMnHP8iPO4M5RCRjy6nZY0TY/"&amp;"edit#gid=0"",""Table 1: Study characteristics!B4:B171"")))&gt;0
),
""Include""
)"),"Exclude")</f>
        <v>Exclude</v>
      </c>
      <c r="G1133" s="5" t="str">
        <f>IFERROR(__xludf.DUMMYFUNCTION("IFS(
D1133=""Exclude"",
FILTER(IMPORTRANGE(""https://docs.google.com/spreadsheets/d/1BJSV3WBYJGRhQ6zExamkszQ5VutGIcaQqmbD9ZTVXMQ/edit#gid=1251630045"",""articles_with_PRISMA_reasons!AB2:AB2113""), $A1133=IMPORTRANGE(""https://docs.google.com/spreadsheets/"&amp;"d/1BJSV3WBYJGRhQ6zExamkszQ5VutGIcaQqmbD9ZTVXMQ/edit#gid=1251630045"",""articles_with_PRISMA_reasons!B2:B2113"")),
E1133=""Exclude"",
FILTER(IMPORTRANGE(""https://docs.google.com/spreadsheets/d/1qpEmbGH0JjaJbUdp21-y2cPbobDbMjr09BbtdKROZWc/edit#gid=14448656"&amp;"54"",""articles_with_PRISMA_reasons!Z2:Z2113""), $A1133=IMPORTRANGE(""https://docs.google.com/spreadsheets/d/1qpEmbGH0JjaJbUdp21-y2cPbobDbMjr09BbtdKROZWc/edit#gid=1444865654"",""articles_with_PRISMA_reasons!B2:B2113"")),F1133
=""Include"",FILTER(IMPORTRAN"&amp;"GE(""https://docs.google.com/spreadsheets/d/1kGrh75X1cNR1D7_FcY9zMnHP8iPO4M5RCRjy6nZY0TY/edit#gid=0"",""Table 1: Study characteristics!A4:A171""), $A1133=IMPORTRANGE(""https://docs.google.com/spreadsheets/d/1kGrh75X1cNR1D7_FcY9zMnHP8iPO4M5RCRjy6nZY0TY/edi"&amp;"t#gid=0"",""Table 1: Study characteristics!B4:B171""))
)"),"Duplicate")</f>
        <v>Duplicate</v>
      </c>
    </row>
    <row r="1134">
      <c r="A1134" s="4" t="str">
        <f>IFERROR(__xludf.DUMMYFUNCTION("""COMPUTED_VALUE"""),"Management of hydrocephalus by endoscopic third ventriculostomy in patients with myelomeningocele")</f>
        <v>Management of hydrocephalus by endoscopic third ventriculostomy in patients with myelomeningocele</v>
      </c>
      <c r="B1134" s="5" t="str">
        <f>IFERROR(__xludf.DUMMYFUNCTION("LEFT(FILTER(IMPORTRANGE(""https://docs.google.com/spreadsheets/d/1BJSV3WBYJGRhQ6zExamkszQ5VutGIcaQqmbD9ZTVXMQ/edit#gid=1251630045"",""articles_with_PRISMA_reasons!K2:K2113""), $A1134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$A1134=IMPORTRANGE(""https://docs.google.com/spreadsheets/d/1BJSV3WBYJGRhQ6zExamkszQ5VutGIcaQqmbD9ZTVXMQ/edit#gid=1251630045"",""articles_with_PRISMA_reasons!B2:B2113"")))-1)"),"Teo")</f>
        <v>Teo</v>
      </c>
      <c r="C1134" s="6" t="str">
        <f>IFERROR(__xludf.DUMMYFUNCTION("FILTER(IMPORTRANGE(""https://docs.google.com/spreadsheets/d/1BJSV3WBYJGRhQ6zExamkszQ5VutGIcaQqmbD9ZTVXMQ/edit#gid=1251630045"",""articles_with_PRISMA_reasons!C2:C2113""), $A1134=IMPORTRANGE(""https://docs.google.com/spreadsheets/d/1BJSV3WBYJGRhQ6zExamkszQ"&amp;"5VutGIcaQqmbD9ZTVXMQ/edit#gid=1251630045"",""articles_with_PRISMA_reasons!B2:B2113""))"),"Aug")</f>
        <v>Aug</v>
      </c>
      <c r="D1134" s="5" t="str">
        <f>IFERROR(__xludf.DUMMYFUNCTION("IFS(AND(
FILTER(IMPORTRANGE(""https://docs.google.com/spreadsheets/d/1BJSV3WBYJGRhQ6zExamkszQ5VutGIcaQqmbD9ZTVXMQ/edit#gid=1251630045"",""articles_with_PRISMA_reasons!Y2:Y2113""), $A1134=IMPORTRANGE(""https://docs.google.com/spreadsheets/d/1BJSV3WBYJGRhQ6"&amp;"zExamkszQ5VutGIcaQqmbD9ZTVXMQ/edit#gid=1251630045"",""articles_with_PRISMA_reasons!B2:B2113""))&gt;=2,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$A1134=IMPORTRANGE(""https://docs.google.com/spreadsheets/d/1BJSV3WBYJGRhQ6zExamkszQ5VutGIcaQqmbD9ZTVXMQ/edit#gid=1251630045"",""articles_with_PRISMA_reasons!B2:B2113""))&lt;2),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$A1134=IMPORTRANGE(""https://docs.google.com/spreadsheets/d/1BJSV3WBYJGRhQ6zExamkszQ5VutGIcaQqmbD9ZTVXMQ/edit#gid=1251630045"",""a"&amp;"rticles_with_PRISMA_reasons!B2:B2113""))&lt;2,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$A1134=IMPORTRANGE(""https://docs.google"&amp;".com/spreadsheets/d/1BJSV3WBYJGRhQ6zExamkszQ5VutGIcaQqmbD9ZTVXMQ/edit#gid=1251630045"",""articles_with_PRISMA_reasons!B2:B2113""))&gt;=2),
""Exclude""
)"),"Exclude")</f>
        <v>Exclude</v>
      </c>
      <c r="E1134" s="5" t="str">
        <f>IFERROR(__xludf.DUMMYFUNCTION("IFS(
D1134=""Exclude"",""Exclude"",
AND(
FILTER(IMPORTRANGE(""https://docs.google.com/spreadsheets/d/1qpEmbGH0JjaJbUdp21-y2cPbobDbMjr09BbtdKROZWc/edit#gid=1444865654"",""articles_with_PRISMA_reasons!W2:W2113""), $A1134=IMPORTRANGE(""https://docs.google.co"&amp;"m/spreadsheets/d/1qpEmbGH0JjaJbUdp21-y2cPbobDbMjr09BbtdKROZWc/edit#gid=1444865654"",""articles_with_PRISMA_reasons!B2:B2113""))&gt;=2,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$A1134=IMPORTRANGE(""https://docs.google.com/spreadsheets/d/1qpEmbGH0JjaJbUdp21-y2cPbobDbMjr09BbtdKROZWc/edit#gid=1444865654"",""articles_with_PRISMA_reasons!B2:B2113""))&lt;2),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$A1134=IMPORTRANGE(""https://docs.google.com/spreadsheets/d/1qpEmbGH0JjaJbUdp21-y2cPbobDbMjr09Bbtd"&amp;"KROZWc/edit#gid=1444865654"",""articles_with_PRISMA_reasons!B2:B2113""))&lt;2,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$A1134=I"&amp;"MPORTRANGE(""https://docs.google.com/spreadsheets/d/1qpEmbGH0JjaJbUdp21-y2cPbobDbMjr09BbtdKROZWc/edit#gid=1444865654"",""articles_with_PRISMA_reasons!B2:B2113""))&gt;=2),
""Exclude""
)"),"Exclude")</f>
        <v>Exclude</v>
      </c>
      <c r="F1134" s="5" t="str">
        <f>IFERROR(__xludf.DUMMYFUNCTION("IFS(
E1134=""Exclude"",""Exclude"",
AND(
COUNTIF(
IMPORTRANGE(""https://docs.google.com/spreadsheets/d/1kGrh75X1cNR1D7_FcY9zMnHP8iPO4M5RCRjy6nZY0TY/edit#gid=0"",""Table 1: Study characteristics!B4:B171""),A1134)&gt;0,
COUNTIF(Studies!$A$2:$A$85,FILTER(IMPORT"&amp;"RANGE(""https://docs.google.com/spreadsheets/d/1kGrh75X1cNR1D7_FcY9zMnHP8iPO4M5RCRjy6nZY0TY/edit#gid=0"",""Table 1: Study characteristics!A4:A171""), $A1134=IMPORTRANGE(""https://docs.google.com/spreadsheets/d/1kGrh75X1cNR1D7_FcY9zMnHP8iPO4M5RCRjy6nZY0TY/"&amp;"edit#gid=0"",""Table 1: Study characteristics!B4:B171"")))&gt;0
),
""Include""
)"),"Exclude")</f>
        <v>Exclude</v>
      </c>
      <c r="G1134" s="5" t="str">
        <f>IFERROR(__xludf.DUMMYFUNCTION("IFS(
D1134=""Exclude"",
FILTER(IMPORTRANGE(""https://docs.google.com/spreadsheets/d/1BJSV3WBYJGRhQ6zExamkszQ5VutGIcaQqmbD9ZTVXMQ/edit#gid=1251630045"",""articles_with_PRISMA_reasons!AB2:AB2113""), $A1134=IMPORTRANGE(""https://docs.google.com/spreadsheets/"&amp;"d/1BJSV3WBYJGRhQ6zExamkszQ5VutGIcaQqmbD9ZTVXMQ/edit#gid=1251630045"",""articles_with_PRISMA_reasons!B2:B2113"")),
E1134=""Exclude"",
FILTER(IMPORTRANGE(""https://docs.google.com/spreadsheets/d/1qpEmbGH0JjaJbUdp21-y2cPbobDbMjr09BbtdKROZWc/edit#gid=14448656"&amp;"54"",""articles_with_PRISMA_reasons!Z2:Z2113""), $A1134=IMPORTRANGE(""https://docs.google.com/spreadsheets/d/1qpEmbGH0JjaJbUdp21-y2cPbobDbMjr09BbtdKROZWc/edit#gid=1444865654"",""articles_with_PRISMA_reasons!B2:B2113"")),F1134
=""Include"",FILTER(IMPORTRAN"&amp;"GE(""https://docs.google.com/spreadsheets/d/1kGrh75X1cNR1D7_FcY9zMnHP8iPO4M5RCRjy6nZY0TY/edit#gid=0"",""Table 1: Study characteristics!A4:A171""), $A1134=IMPORTRANGE(""https://docs.google.com/spreadsheets/d/1kGrh75X1cNR1D7_FcY9zMnHP8iPO4M5RCRjy6nZY0TY/edi"&amp;"t#gid=0"",""Table 1: Study characteristics!B4:B171""))
)"),"Duplicate")</f>
        <v>Duplicate</v>
      </c>
    </row>
    <row r="1135">
      <c r="A1135" s="4" t="str">
        <f>IFERROR(__xludf.DUMMYFUNCTION("""COMPUTED_VALUE"""),"Management of hydrocephalus in children: Anatomic imaging appearances of csf shunts and their complications")</f>
        <v>Management of hydrocephalus in children: Anatomic imaging appearances of csf shunts and their complications</v>
      </c>
      <c r="B1135" s="5" t="str">
        <f>IFERROR(__xludf.DUMMYFUNCTION("LEFT(FILTER(IMPORTRANGE(""https://docs.google.com/spreadsheets/d/1BJSV3WBYJGRhQ6zExamkszQ5VutGIcaQqmbD9ZTVXMQ/edit#gid=1251630045"",""articles_with_PRISMA_reasons!K2:K2113""), $A1135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$A1135=IMPORTRANGE(""https://docs.google.com/spreadsheets/d/1BJSV3WBYJGRhQ6zExamkszQ5VutGIcaQqmbD9ZTVXMQ/edit#gid=1251630045"",""articles_with_PRISMA_reasons!B2:B2113"")))-1)"),"Khalatbari")</f>
        <v>Khalatbari</v>
      </c>
      <c r="C1135" s="6">
        <f>IFERROR(__xludf.DUMMYFUNCTION("FILTER(IMPORTRANGE(""https://docs.google.com/spreadsheets/d/1BJSV3WBYJGRhQ6zExamkszQ5VutGIcaQqmbD9ZTVXMQ/edit#gid=1251630045"",""articles_with_PRISMA_reasons!C2:C2113""), $A1135=IMPORTRANGE(""https://docs.google.com/spreadsheets/d/1BJSV3WBYJGRhQ6zExamkszQ"&amp;"5VutGIcaQqmbD9ZTVXMQ/edit#gid=1251630045"",""articles_with_PRISMA_reasons!B2:B2113""))"),2021.0)</f>
        <v>2021</v>
      </c>
      <c r="D1135" s="5" t="str">
        <f>IFERROR(__xludf.DUMMYFUNCTION("IFS(AND(
FILTER(IMPORTRANGE(""https://docs.google.com/spreadsheets/d/1BJSV3WBYJGRhQ6zExamkszQ5VutGIcaQqmbD9ZTVXMQ/edit#gid=1251630045"",""articles_with_PRISMA_reasons!Y2:Y2113""), $A1135=IMPORTRANGE(""https://docs.google.com/spreadsheets/d/1BJSV3WBYJGRhQ6"&amp;"zExamkszQ5VutGIcaQqmbD9ZTVXMQ/edit#gid=1251630045"",""articles_with_PRISMA_reasons!B2:B2113""))&gt;=2,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$A1135=IMPORTRANGE(""https://docs.google.com/spreadsheets/d/1BJSV3WBYJGRhQ6zExamkszQ5VutGIcaQqmbD9ZTVXMQ/edit#gid=1251630045"",""articles_with_PRISMA_reasons!B2:B2113""))&lt;2),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$A1135=IMPORTRANGE(""https://docs.google.com/spreadsheets/d/1BJSV3WBYJGRhQ6zExamkszQ5VutGIcaQqmbD9ZTVXMQ/edit#gid=1251630045"",""a"&amp;"rticles_with_PRISMA_reasons!B2:B2113""))&lt;2,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$A1135=IMPORTRANGE(""https://docs.google"&amp;".com/spreadsheets/d/1BJSV3WBYJGRhQ6zExamkszQ5VutGIcaQqmbD9ZTVXMQ/edit#gid=1251630045"",""articles_with_PRISMA_reasons!B2:B2113""))&gt;=2),
""Exclude""
)"),"Exclude")</f>
        <v>Exclude</v>
      </c>
      <c r="E1135" s="5" t="str">
        <f>IFERROR(__xludf.DUMMYFUNCTION("IFS(
D1135=""Exclude"",""Exclude"",
AND(
FILTER(IMPORTRANGE(""https://docs.google.com/spreadsheets/d/1qpEmbGH0JjaJbUdp21-y2cPbobDbMjr09BbtdKROZWc/edit#gid=1444865654"",""articles_with_PRISMA_reasons!W2:W2113""), $A1135=IMPORTRANGE(""https://docs.google.co"&amp;"m/spreadsheets/d/1qpEmbGH0JjaJbUdp21-y2cPbobDbMjr09BbtdKROZWc/edit#gid=1444865654"",""articles_with_PRISMA_reasons!B2:B2113""))&gt;=2,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$A1135=IMPORTRANGE(""https://docs.google.com/spreadsheets/d/1qpEmbGH0JjaJbUdp21-y2cPbobDbMjr09BbtdKROZWc/edit#gid=1444865654"",""articles_with_PRISMA_reasons!B2:B2113""))&lt;2),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$A1135=IMPORTRANGE(""https://docs.google.com/spreadsheets/d/1qpEmbGH0JjaJbUdp21-y2cPbobDbMjr09Bbtd"&amp;"KROZWc/edit#gid=1444865654"",""articles_with_PRISMA_reasons!B2:B2113""))&lt;2,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$A1135=I"&amp;"MPORTRANGE(""https://docs.google.com/spreadsheets/d/1qpEmbGH0JjaJbUdp21-y2cPbobDbMjr09BbtdKROZWc/edit#gid=1444865654"",""articles_with_PRISMA_reasons!B2:B2113""))&gt;=2),
""Exclude""
)"),"Exclude")</f>
        <v>Exclude</v>
      </c>
      <c r="F1135" s="5" t="str">
        <f>IFERROR(__xludf.DUMMYFUNCTION("IFS(
E1135=""Exclude"",""Exclude"",
AND(
COUNTIF(
IMPORTRANGE(""https://docs.google.com/spreadsheets/d/1kGrh75X1cNR1D7_FcY9zMnHP8iPO4M5RCRjy6nZY0TY/edit#gid=0"",""Table 1: Study characteristics!B4:B171""),A1135)&gt;0,
COUNTIF(Studies!$A$2:$A$85,FILTER(IMPORT"&amp;"RANGE(""https://docs.google.com/spreadsheets/d/1kGrh75X1cNR1D7_FcY9zMnHP8iPO4M5RCRjy6nZY0TY/edit#gid=0"",""Table 1: Study characteristics!A4:A171""), $A1135=IMPORTRANGE(""https://docs.google.com/spreadsheets/d/1kGrh75X1cNR1D7_FcY9zMnHP8iPO4M5RCRjy6nZY0TY/"&amp;"edit#gid=0"",""Table 1: Study characteristics!B4:B171"")))&gt;0
),
""Include""
)"),"Exclude")</f>
        <v>Exclude</v>
      </c>
      <c r="G1135" s="5" t="str">
        <f>IFERROR(__xludf.DUMMYFUNCTION("IFS(
D1135=""Exclude"",
FILTER(IMPORTRANGE(""https://docs.google.com/spreadsheets/d/1BJSV3WBYJGRhQ6zExamkszQ5VutGIcaQqmbD9ZTVXMQ/edit#gid=1251630045"",""articles_with_PRISMA_reasons!AB2:AB2113""), $A1135=IMPORTRANGE(""https://docs.google.com/spreadsheets/"&amp;"d/1BJSV3WBYJGRhQ6zExamkszQ5VutGIcaQqmbD9ZTVXMQ/edit#gid=1251630045"",""articles_with_PRISMA_reasons!B2:B2113"")),
E1135=""Exclude"",
FILTER(IMPORTRANGE(""https://docs.google.com/spreadsheets/d/1qpEmbGH0JjaJbUdp21-y2cPbobDbMjr09BbtdKROZWc/edit#gid=14448656"&amp;"54"",""articles_with_PRISMA_reasons!Z2:Z2113""), $A1135=IMPORTRANGE(""https://docs.google.com/spreadsheets/d/1qpEmbGH0JjaJbUdp21-y2cPbobDbMjr09BbtdKROZWc/edit#gid=1444865654"",""articles_with_PRISMA_reasons!B2:B2113"")),F1135
=""Include"",FILTER(IMPORTRAN"&amp;"GE(""https://docs.google.com/spreadsheets/d/1kGrh75X1cNR1D7_FcY9zMnHP8iPO4M5RCRjy6nZY0TY/edit#gid=0"",""Table 1: Study characteristics!A4:A171""), $A1135=IMPORTRANGE(""https://docs.google.com/spreadsheets/d/1kGrh75X1cNR1D7_FcY9zMnHP8iPO4M5RCRjy6nZY0TY/edi"&amp;"t#gid=0"",""Table 1: Study characteristics!B4:B171""))
)"),"wrong population")</f>
        <v>wrong population</v>
      </c>
    </row>
    <row r="1136">
      <c r="A1136" s="4" t="str">
        <f>IFERROR(__xludf.DUMMYFUNCTION("""COMPUTED_VALUE"""),"Management of hydrocephalus in the patient with myelomeningocele: an argument against third ventriculostomy")</f>
        <v>Management of hydrocephalus in the patient with myelomeningocele: an argument against third ventriculostomy</v>
      </c>
      <c r="B1136" s="5" t="str">
        <f>IFERROR(__xludf.DUMMYFUNCTION("LEFT(FILTER(IMPORTRANGE(""https://docs.google.com/spreadsheets/d/1BJSV3WBYJGRhQ6zExamkszQ5VutGIcaQqmbD9ZTVXMQ/edit#gid=1251630045"",""articles_with_PRISMA_reasons!K2:K2113""), $A1136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$A1136=IMPORTRANGE(""https://docs.google.com/spreadsheets/d/1BJSV3WBYJGRhQ6zExamkszQ5VutGIcaQqmbD9ZTVXMQ/edit#gid=1251630045"",""articles_with_PRISMA_reasons!B2:B2113"")))-1)"),"Marlin")</f>
        <v>Marlin</v>
      </c>
      <c r="C1136" s="6">
        <f>IFERROR(__xludf.DUMMYFUNCTION("FILTER(IMPORTRANGE(""https://docs.google.com/spreadsheets/d/1BJSV3WBYJGRhQ6zExamkszQ5VutGIcaQqmbD9ZTVXMQ/edit#gid=1251630045"",""articles_with_PRISMA_reasons!C2:C2113""), $A1136=IMPORTRANGE(""https://docs.google.com/spreadsheets/d/1BJSV3WBYJGRhQ6zExamkszQ"&amp;"5VutGIcaQqmbD9ZTVXMQ/edit#gid=1251630045"",""articles_with_PRISMA_reasons!B2:B2113""))"),2004.0)</f>
        <v>2004</v>
      </c>
      <c r="D1136" s="5" t="str">
        <f>IFERROR(__xludf.DUMMYFUNCTION("IFS(AND(
FILTER(IMPORTRANGE(""https://docs.google.com/spreadsheets/d/1BJSV3WBYJGRhQ6zExamkszQ5VutGIcaQqmbD9ZTVXMQ/edit#gid=1251630045"",""articles_with_PRISMA_reasons!Y2:Y2113""), $A1136=IMPORTRANGE(""https://docs.google.com/spreadsheets/d/1BJSV3WBYJGRhQ6"&amp;"zExamkszQ5VutGIcaQqmbD9ZTVXMQ/edit#gid=1251630045"",""articles_with_PRISMA_reasons!B2:B2113""))&gt;=2,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$A1136=IMPORTRANGE(""https://docs.google.com/spreadsheets/d/1BJSV3WBYJGRhQ6zExamkszQ5VutGIcaQqmbD9ZTVXMQ/edit#gid=1251630045"",""articles_with_PRISMA_reasons!B2:B2113""))&lt;2),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$A1136=IMPORTRANGE(""https://docs.google.com/spreadsheets/d/1BJSV3WBYJGRhQ6zExamkszQ5VutGIcaQqmbD9ZTVXMQ/edit#gid=1251630045"",""a"&amp;"rticles_with_PRISMA_reasons!B2:B2113""))&lt;2,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$A1136=IMPORTRANGE(""https://docs.google"&amp;".com/spreadsheets/d/1BJSV3WBYJGRhQ6zExamkszQ5VutGIcaQqmbD9ZTVXMQ/edit#gid=1251630045"",""articles_with_PRISMA_reasons!B2:B2113""))&gt;=2),
""Exclude""
)"),"Exclude")</f>
        <v>Exclude</v>
      </c>
      <c r="E1136" s="5" t="str">
        <f>IFERROR(__xludf.DUMMYFUNCTION("IFS(
D1136=""Exclude"",""Exclude"",
AND(
FILTER(IMPORTRANGE(""https://docs.google.com/spreadsheets/d/1qpEmbGH0JjaJbUdp21-y2cPbobDbMjr09BbtdKROZWc/edit#gid=1444865654"",""articles_with_PRISMA_reasons!W2:W2113""), $A1136=IMPORTRANGE(""https://docs.google.co"&amp;"m/spreadsheets/d/1qpEmbGH0JjaJbUdp21-y2cPbobDbMjr09BbtdKROZWc/edit#gid=1444865654"",""articles_with_PRISMA_reasons!B2:B2113""))&gt;=2,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$A1136=IMPORTRANGE(""https://docs.google.com/spreadsheets/d/1qpEmbGH0JjaJbUdp21-y2cPbobDbMjr09BbtdKROZWc/edit#gid=1444865654"",""articles_with_PRISMA_reasons!B2:B2113""))&lt;2),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$A1136=IMPORTRANGE(""https://docs.google.com/spreadsheets/d/1qpEmbGH0JjaJbUdp21-y2cPbobDbMjr09Bbtd"&amp;"KROZWc/edit#gid=1444865654"",""articles_with_PRISMA_reasons!B2:B2113""))&lt;2,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$A1136=I"&amp;"MPORTRANGE(""https://docs.google.com/spreadsheets/d/1qpEmbGH0JjaJbUdp21-y2cPbobDbMjr09BbtdKROZWc/edit#gid=1444865654"",""articles_with_PRISMA_reasons!B2:B2113""))&gt;=2),
""Exclude""
)"),"Exclude")</f>
        <v>Exclude</v>
      </c>
      <c r="F1136" s="5" t="str">
        <f>IFERROR(__xludf.DUMMYFUNCTION("IFS(
E1136=""Exclude"",""Exclude"",
AND(
COUNTIF(
IMPORTRANGE(""https://docs.google.com/spreadsheets/d/1kGrh75X1cNR1D7_FcY9zMnHP8iPO4M5RCRjy6nZY0TY/edit#gid=0"",""Table 1: Study characteristics!B4:B171""),A1136)&gt;0,
COUNTIF(Studies!$A$2:$A$85,FILTER(IMPORT"&amp;"RANGE(""https://docs.google.com/spreadsheets/d/1kGrh75X1cNR1D7_FcY9zMnHP8iPO4M5RCRjy6nZY0TY/edit#gid=0"",""Table 1: Study characteristics!A4:A171""), $A1136=IMPORTRANGE(""https://docs.google.com/spreadsheets/d/1kGrh75X1cNR1D7_FcY9zMnHP8iPO4M5RCRjy6nZY0TY/"&amp;"edit#gid=0"",""Table 1: Study characteristics!B4:B171"")))&gt;0
),
""Include""
)"),"Exclude")</f>
        <v>Exclude</v>
      </c>
      <c r="G1136" s="5" t="str">
        <f>IFERROR(__xludf.DUMMYFUNCTION("IFS(
D1136=""Exclude"",
FILTER(IMPORTRANGE(""https://docs.google.com/spreadsheets/d/1BJSV3WBYJGRhQ6zExamkszQ5VutGIcaQqmbD9ZTVXMQ/edit#gid=1251630045"",""articles_with_PRISMA_reasons!AB2:AB2113""), $A1136=IMPORTRANGE(""https://docs.google.com/spreadsheets/"&amp;"d/1BJSV3WBYJGRhQ6zExamkszQ5VutGIcaQqmbD9ZTVXMQ/edit#gid=1251630045"",""articles_with_PRISMA_reasons!B2:B2113"")),
E1136=""Exclude"",
FILTER(IMPORTRANGE(""https://docs.google.com/spreadsheets/d/1qpEmbGH0JjaJbUdp21-y2cPbobDbMjr09BbtdKROZWc/edit#gid=14448656"&amp;"54"",""articles_with_PRISMA_reasons!Z2:Z2113""), $A1136=IMPORTRANGE(""https://docs.google.com/spreadsheets/d/1qpEmbGH0JjaJbUdp21-y2cPbobDbMjr09BbtdKROZWc/edit#gid=1444865654"",""articles_with_PRISMA_reasons!B2:B2113"")),F1136
=""Include"",FILTER(IMPORTRAN"&amp;"GE(""https://docs.google.com/spreadsheets/d/1kGrh75X1cNR1D7_FcY9zMnHP8iPO4M5RCRjy6nZY0TY/edit#gid=0"",""Table 1: Study characteristics!A4:A171""), $A1136=IMPORTRANGE(""https://docs.google.com/spreadsheets/d/1kGrh75X1cNR1D7_FcY9zMnHP8iPO4M5RCRjy6nZY0TY/edi"&amp;"t#gid=0"",""Table 1: Study characteristics!B4:B171""))
)"),"wrong publication type")</f>
        <v>wrong publication type</v>
      </c>
    </row>
    <row r="1137">
      <c r="A1137" s="4" t="str">
        <f>IFERROR(__xludf.DUMMYFUNCTION("""COMPUTED_VALUE"""),"Management of myelomeningocele")</f>
        <v>Management of myelomeningocele</v>
      </c>
      <c r="B1137" s="5" t="str">
        <f>IFERROR(__xludf.DUMMYFUNCTION("LEFT(FILTER(IMPORTRANGE(""https://docs.google.com/spreadsheets/d/1BJSV3WBYJGRhQ6zExamkszQ5VutGIcaQqmbD9ZTVXMQ/edit#gid=1251630045"",""articles_with_PRISMA_reasons!K2:K2113""), $A1137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$A1137=IMPORTRANGE(""https://docs.google.com/spreadsheets/d/1BJSV3WBYJGRhQ6zExamkszQ5VutGIcaQqmbD9ZTVXMQ/edit#gid=1251630045"",""articles_with_PRISMA_reasons!B2:B2113"")))-1)"),"A. Sattar M")</f>
        <v>A. Sattar M</v>
      </c>
      <c r="C1137" s="3">
        <v>2008.0</v>
      </c>
      <c r="D1137" s="5" t="str">
        <f>IFERROR(__xludf.DUMMYFUNCTION("IFS(AND(
FILTER(IMPORTRANGE(""https://docs.google.com/spreadsheets/d/1BJSV3WBYJGRhQ6zExamkszQ5VutGIcaQqmbD9ZTVXMQ/edit#gid=1251630045"",""articles_with_PRISMA_reasons!Y2:Y2113""), $A1137=IMPORTRANGE(""https://docs.google.com/spreadsheets/d/1BJSV3WBYJGRhQ6"&amp;"zExamkszQ5VutGIcaQqmbD9ZTVXMQ/edit#gid=1251630045"",""articles_with_PRISMA_reasons!B2:B2113""))&gt;=2,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$A1137=IMPORTRANGE(""https://docs.google.com/spreadsheets/d/1BJSV3WBYJGRhQ6zExamkszQ5VutGIcaQqmbD9ZTVXMQ/edit#gid=1251630045"",""articles_with_PRISMA_reasons!B2:B2113""))&lt;2),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$A1137=IMPORTRANGE(""https://docs.google.com/spreadsheets/d/1BJSV3WBYJGRhQ6zExamkszQ5VutGIcaQqmbD9ZTVXMQ/edit#gid=1251630045"",""a"&amp;"rticles_with_PRISMA_reasons!B2:B2113""))&lt;2,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$A1137=IMPORTRANGE(""https://docs.google"&amp;".com/spreadsheets/d/1BJSV3WBYJGRhQ6zExamkszQ5VutGIcaQqmbD9ZTVXMQ/edit#gid=1251630045"",""articles_with_PRISMA_reasons!B2:B2113""))&gt;=2),
""Exclude""
)"),"Include")</f>
        <v>Include</v>
      </c>
      <c r="E1137" s="5" t="str">
        <f>IFERROR(__xludf.DUMMYFUNCTION("IFS(
D1137=""Exclude"",""Exclude"",
AND(
FILTER(IMPORTRANGE(""https://docs.google.com/spreadsheets/d/1qpEmbGH0JjaJbUdp21-y2cPbobDbMjr09BbtdKROZWc/edit#gid=1444865654"",""articles_with_PRISMA_reasons!W2:W2113""), $A1137=IMPORTRANGE(""https://docs.google.co"&amp;"m/spreadsheets/d/1qpEmbGH0JjaJbUdp21-y2cPbobDbMjr09BbtdKROZWc/edit#gid=1444865654"",""articles_with_PRISMA_reasons!B2:B2113""))&gt;=2,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$A1137=IMPORTRANGE(""https://docs.google.com/spreadsheets/d/1qpEmbGH0JjaJbUdp21-y2cPbobDbMjr09BbtdKROZWc/edit#gid=1444865654"",""articles_with_PRISMA_reasons!B2:B2113""))&lt;2),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$A1137=IMPORTRANGE(""https://docs.google.com/spreadsheets/d/1qpEmbGH0JjaJbUdp21-y2cPbobDbMjr09Bbtd"&amp;"KROZWc/edit#gid=1444865654"",""articles_with_PRISMA_reasons!B2:B2113""))&lt;2,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$A1137=I"&amp;"MPORTRANGE(""https://docs.google.com/spreadsheets/d/1qpEmbGH0JjaJbUdp21-y2cPbobDbMjr09BbtdKROZWc/edit#gid=1444865654"",""articles_with_PRISMA_reasons!B2:B2113""))&gt;=2),
""Exclude""
)"),"Include")</f>
        <v>Include</v>
      </c>
      <c r="F1137" s="5" t="str">
        <f>IFERROR(__xludf.DUMMYFUNCTION("IFS(
E1137=""Exclude"",""Exclude"",
AND(
COUNTIF(
IMPORTRANGE(""https://docs.google.com/spreadsheets/d/1kGrh75X1cNR1D7_FcY9zMnHP8iPO4M5RCRjy6nZY0TY/edit#gid=0"",""Table 1: Study characteristics!B4:B171""),A1137)&gt;0,
COUNTIF(Studies!$A$2:$A$85,FILTER(IMPORT"&amp;"RANGE(""https://docs.google.com/spreadsheets/d/1kGrh75X1cNR1D7_FcY9zMnHP8iPO4M5RCRjy6nZY0TY/edit#gid=0"",""Table 1: Study characteristics!A4:A171""), $A1137=IMPORTRANGE(""https://docs.google.com/spreadsheets/d/1kGrh75X1cNR1D7_FcY9zMnHP8iPO4M5RCRjy6nZY0TY/"&amp;"edit#gid=0"",""Table 1: Study characteristics!B4:B171"")))&gt;0
),
""Include""
)"),"Include")</f>
        <v>Include</v>
      </c>
      <c r="G1137" s="5" t="str">
        <f>IFERROR(__xludf.DUMMYFUNCTION("IFS(
D1137=""Exclude"",
FILTER(IMPORTRANGE(""https://docs.google.com/spreadsheets/d/1BJSV3WBYJGRhQ6zExamkszQ5VutGIcaQqmbD9ZTVXMQ/edit#gid=1251630045"",""articles_with_PRISMA_reasons!AB2:AB2113""), $A1137=IMPORTRANGE(""https://docs.google.com/spreadsheets/"&amp;"d/1BJSV3WBYJGRhQ6zExamkszQ5VutGIcaQqmbD9ZTVXMQ/edit#gid=1251630045"",""articles_with_PRISMA_reasons!B2:B2113"")),
E1137=""Exclude"",
FILTER(IMPORTRANGE(""https://docs.google.com/spreadsheets/d/1qpEmbGH0JjaJbUdp21-y2cPbobDbMjr09BbtdKROZWc/edit#gid=14448656"&amp;"54"",""articles_with_PRISMA_reasons!Z2:Z2113""), $A1137=IMPORTRANGE(""https://docs.google.com/spreadsheets/d/1qpEmbGH0JjaJbUdp21-y2cPbobDbMjr09BbtdKROZWc/edit#gid=1444865654"",""articles_with_PRISMA_reasons!B2:B2113"")),F1137
=""Include"",FILTER(IMPORTRAN"&amp;"GE(""https://docs.google.com/spreadsheets/d/1kGrh75X1cNR1D7_FcY9zMnHP8iPO4M5RCRjy6nZY0TY/edit#gid=0"",""Table 1: Study characteristics!A4:A171""), $A1137=IMPORTRANGE(""https://docs.google.com/spreadsheets/d/1kGrh75X1cNR1D7_FcY9zMnHP8iPO4M5RCRjy6nZY0TY/edi"&amp;"t#gid=0"",""Table 1: Study characteristics!B4:B171""))
)"),"ID 86")</f>
        <v>ID 86</v>
      </c>
    </row>
    <row r="1138">
      <c r="A1138" s="4" t="str">
        <f>IFERROR(__xludf.DUMMYFUNCTION("""COMPUTED_VALUE"""),"Management of myelomeningocele")</f>
        <v>Management of myelomeningocele</v>
      </c>
      <c r="B1138" s="5" t="str">
        <f>IFERROR(__xludf.DUMMYFUNCTION("LEFT(FILTER(IMPORTRANGE(""https://docs.google.com/spreadsheets/d/1BJSV3WBYJGRhQ6zExamkszQ5VutGIcaQqmbD9ZTVXMQ/edit#gid=1251630045"",""articles_with_PRISMA_reasons!K2:K2113""), $A1138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$A1138=IMPORTRANGE(""https://docs.google.com/spreadsheets/d/1BJSV3WBYJGRhQ6zExamkszQ5VutGIcaQqmbD9ZTVXMQ/edit#gid=1251630045"",""articles_with_PRISMA_reasons!B2:B2113"")))-1)"),"A. Sattar M")</f>
        <v>A. Sattar M</v>
      </c>
      <c r="C1138" s="3">
        <v>2008.0</v>
      </c>
      <c r="D1138" s="2" t="s">
        <v>8</v>
      </c>
      <c r="E1138" s="5" t="str">
        <f>IFERROR(__xludf.DUMMYFUNCTION("IFS(
D1138=""Exclude"",""Exclude"",
AND(
FILTER(IMPORTRANGE(""https://docs.google.com/spreadsheets/d/1qpEmbGH0JjaJbUdp21-y2cPbobDbMjr09BbtdKROZWc/edit#gid=1444865654"",""articles_with_PRISMA_reasons!W2:W2113""), $A1138=IMPORTRANGE(""https://docs.google.co"&amp;"m/spreadsheets/d/1qpEmbGH0JjaJbUdp21-y2cPbobDbMjr09BbtdKROZWc/edit#gid=1444865654"",""articles_with_PRISMA_reasons!B2:B2113""))&gt;=2,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$A1138=IMPORTRANGE(""https://docs.google.com/spreadsheets/d/1qpEmbGH0JjaJbUdp21-y2cPbobDbMjr09BbtdKROZWc/edit#gid=1444865654"",""articles_with_PRISMA_reasons!B2:B2113""))&lt;2),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$A1138=IMPORTRANGE(""https://docs.google.com/spreadsheets/d/1qpEmbGH0JjaJbUdp21-y2cPbobDbMjr09Bbtd"&amp;"KROZWc/edit#gid=1444865654"",""articles_with_PRISMA_reasons!B2:B2113""))&lt;2,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$A1138=I"&amp;"MPORTRANGE(""https://docs.google.com/spreadsheets/d/1qpEmbGH0JjaJbUdp21-y2cPbobDbMjr09BbtdKROZWc/edit#gid=1444865654"",""articles_with_PRISMA_reasons!B2:B2113""))&gt;=2),
""Exclude""
)"),"Exclude")</f>
        <v>Exclude</v>
      </c>
      <c r="F1138" s="5" t="str">
        <f>IFERROR(__xludf.DUMMYFUNCTION("IFS(
E1138=""Exclude"",""Exclude"",
AND(
COUNTIF(
IMPORTRANGE(""https://docs.google.com/spreadsheets/d/1kGrh75X1cNR1D7_FcY9zMnHP8iPO4M5RCRjy6nZY0TY/edit#gid=0"",""Table 1: Study characteristics!B4:B171""),A1138)&gt;0,
COUNTIF(Studies!$A$2:$A$85,FILTER(IMPORT"&amp;"RANGE(""https://docs.google.com/spreadsheets/d/1kGrh75X1cNR1D7_FcY9zMnHP8iPO4M5RCRjy6nZY0TY/edit#gid=0"",""Table 1: Study characteristics!A4:A171""), $A1138=IMPORTRANGE(""https://docs.google.com/spreadsheets/d/1kGrh75X1cNR1D7_FcY9zMnHP8iPO4M5RCRjy6nZY0TY/"&amp;"edit#gid=0"",""Table 1: Study characteristics!B4:B171"")))&gt;0
),
""Include""
)"),"Exclude")</f>
        <v>Exclude</v>
      </c>
      <c r="G1138" s="2" t="s">
        <v>13</v>
      </c>
    </row>
    <row r="1139">
      <c r="A1139" s="4" t="str">
        <f>IFERROR(__xludf.DUMMYFUNCTION("""COMPUTED_VALUE"""),"Management of myelomeningocele in the Caribbean; A plastic surgery perspective")</f>
        <v>Management of myelomeningocele in the Caribbean; A plastic surgery perspective</v>
      </c>
      <c r="B1139" s="5" t="str">
        <f>IFERROR(__xludf.DUMMYFUNCTION("LEFT(FILTER(IMPORTRANGE(""https://docs.google.com/spreadsheets/d/1BJSV3WBYJGRhQ6zExamkszQ5VutGIcaQqmbD9ZTVXMQ/edit#gid=1251630045"",""articles_with_PRISMA_reasons!K2:K2113""), $A1139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$A1139=IMPORTRANGE(""https://docs.google.com/spreadsheets/d/1BJSV3WBYJGRhQ6zExamkszQ5VutGIcaQqmbD9ZTVXMQ/edit#gid=1251630045"",""articles_with_PRISMA_reasons!B2:B2113"")))-1)"),"Lawrence")</f>
        <v>Lawrence</v>
      </c>
      <c r="C1139" s="6">
        <f>IFERROR(__xludf.DUMMYFUNCTION("FILTER(IMPORTRANGE(""https://docs.google.com/spreadsheets/d/1BJSV3WBYJGRhQ6zExamkszQ5VutGIcaQqmbD9ZTVXMQ/edit#gid=1251630045"",""articles_with_PRISMA_reasons!C2:C2113""), $A1139=IMPORTRANGE(""https://docs.google.com/spreadsheets/d/1BJSV3WBYJGRhQ6zExamkszQ"&amp;"5VutGIcaQqmbD9ZTVXMQ/edit#gid=1251630045"",""articles_with_PRISMA_reasons!B2:B2113""))"),2020.0)</f>
        <v>2020</v>
      </c>
      <c r="D1139" s="5" t="str">
        <f>IFERROR(__xludf.DUMMYFUNCTION("IFS(AND(
FILTER(IMPORTRANGE(""https://docs.google.com/spreadsheets/d/1BJSV3WBYJGRhQ6zExamkszQ5VutGIcaQqmbD9ZTVXMQ/edit#gid=1251630045"",""articles_with_PRISMA_reasons!Y2:Y2113""), $A1139=IMPORTRANGE(""https://docs.google.com/spreadsheets/d/1BJSV3WBYJGRhQ6"&amp;"zExamkszQ5VutGIcaQqmbD9ZTVXMQ/edit#gid=1251630045"",""articles_with_PRISMA_reasons!B2:B2113""))&gt;=2,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$A1139=IMPORTRANGE(""https://docs.google.com/spreadsheets/d/1BJSV3WBYJGRhQ6zExamkszQ5VutGIcaQqmbD9ZTVXMQ/edit#gid=1251630045"",""articles_with_PRISMA_reasons!B2:B2113""))&lt;2),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$A1139=IMPORTRANGE(""https://docs.google.com/spreadsheets/d/1BJSV3WBYJGRhQ6zExamkszQ5VutGIcaQqmbD9ZTVXMQ/edit#gid=1251630045"",""a"&amp;"rticles_with_PRISMA_reasons!B2:B2113""))&lt;2,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$A1139=IMPORTRANGE(""https://docs.google"&amp;".com/spreadsheets/d/1BJSV3WBYJGRhQ6zExamkszQ5VutGIcaQqmbD9ZTVXMQ/edit#gid=1251630045"",""articles_with_PRISMA_reasons!B2:B2113""))&gt;=2),
""Exclude""
)"),"Exclude")</f>
        <v>Exclude</v>
      </c>
      <c r="E1139" s="5" t="str">
        <f>IFERROR(__xludf.DUMMYFUNCTION("IFS(
D1139=""Exclude"",""Exclude"",
AND(
FILTER(IMPORTRANGE(""https://docs.google.com/spreadsheets/d/1qpEmbGH0JjaJbUdp21-y2cPbobDbMjr09BbtdKROZWc/edit#gid=1444865654"",""articles_with_PRISMA_reasons!W2:W2113""), $A1139=IMPORTRANGE(""https://docs.google.co"&amp;"m/spreadsheets/d/1qpEmbGH0JjaJbUdp21-y2cPbobDbMjr09BbtdKROZWc/edit#gid=1444865654"",""articles_with_PRISMA_reasons!B2:B2113""))&gt;=2,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$A1139=IMPORTRANGE(""https://docs.google.com/spreadsheets/d/1qpEmbGH0JjaJbUdp21-y2cPbobDbMjr09BbtdKROZWc/edit#gid=1444865654"",""articles_with_PRISMA_reasons!B2:B2113""))&lt;2),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$A1139=IMPORTRANGE(""https://docs.google.com/spreadsheets/d/1qpEmbGH0JjaJbUdp21-y2cPbobDbMjr09Bbtd"&amp;"KROZWc/edit#gid=1444865654"",""articles_with_PRISMA_reasons!B2:B2113""))&lt;2,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$A1139=I"&amp;"MPORTRANGE(""https://docs.google.com/spreadsheets/d/1qpEmbGH0JjaJbUdp21-y2cPbobDbMjr09BbtdKROZWc/edit#gid=1444865654"",""articles_with_PRISMA_reasons!B2:B2113""))&gt;=2),
""Exclude""
)"),"Exclude")</f>
        <v>Exclude</v>
      </c>
      <c r="F1139" s="5" t="str">
        <f>IFERROR(__xludf.DUMMYFUNCTION("IFS(
E1139=""Exclude"",""Exclude"",
AND(
COUNTIF(
IMPORTRANGE(""https://docs.google.com/spreadsheets/d/1kGrh75X1cNR1D7_FcY9zMnHP8iPO4M5RCRjy6nZY0TY/edit#gid=0"",""Table 1: Study characteristics!B4:B171""),A1139)&gt;0,
COUNTIF(Studies!$A$2:$A$85,FILTER(IMPORT"&amp;"RANGE(""https://docs.google.com/spreadsheets/d/1kGrh75X1cNR1D7_FcY9zMnHP8iPO4M5RCRjy6nZY0TY/edit#gid=0"",""Table 1: Study characteristics!A4:A171""), $A1139=IMPORTRANGE(""https://docs.google.com/spreadsheets/d/1kGrh75X1cNR1D7_FcY9zMnHP8iPO4M5RCRjy6nZY0TY/"&amp;"edit#gid=0"",""Table 1: Study characteristics!B4:B171"")))&gt;0
),
""Include""
)"),"Exclude")</f>
        <v>Exclude</v>
      </c>
      <c r="G1139" s="5" t="str">
        <f>IFERROR(__xludf.DUMMYFUNCTION("IFS(
D1139=""Exclude"",
FILTER(IMPORTRANGE(""https://docs.google.com/spreadsheets/d/1BJSV3WBYJGRhQ6zExamkszQ5VutGIcaQqmbD9ZTVXMQ/edit#gid=1251630045"",""articles_with_PRISMA_reasons!AB2:AB2113""), $A1139=IMPORTRANGE(""https://docs.google.com/spreadsheets/"&amp;"d/1BJSV3WBYJGRhQ6zExamkszQ5VutGIcaQqmbD9ZTVXMQ/edit#gid=1251630045"",""articles_with_PRISMA_reasons!B2:B2113"")),
E1139=""Exclude"",
FILTER(IMPORTRANGE(""https://docs.google.com/spreadsheets/d/1qpEmbGH0JjaJbUdp21-y2cPbobDbMjr09BbtdKROZWc/edit#gid=14448656"&amp;"54"",""articles_with_PRISMA_reasons!Z2:Z2113""), $A1139=IMPORTRANGE(""https://docs.google.com/spreadsheets/d/1qpEmbGH0JjaJbUdp21-y2cPbobDbMjr09BbtdKROZWc/edit#gid=1444865654"",""articles_with_PRISMA_reasons!B2:B2113"")),F1139
=""Include"",FILTER(IMPORTRAN"&amp;"GE(""https://docs.google.com/spreadsheets/d/1kGrh75X1cNR1D7_FcY9zMnHP8iPO4M5RCRjy6nZY0TY/edit#gid=0"",""Table 1: Study characteristics!A4:A171""), $A1139=IMPORTRANGE(""https://docs.google.com/spreadsheets/d/1kGrh75X1cNR1D7_FcY9zMnHP8iPO4M5RCRjy6nZY0TY/edi"&amp;"t#gid=0"",""Table 1: Study characteristics!B4:B171""))
)"),"wrong study design")</f>
        <v>wrong study design</v>
      </c>
    </row>
    <row r="1140">
      <c r="A1140" s="4" t="str">
        <f>IFERROR(__xludf.DUMMYFUNCTION("""COMPUTED_VALUE"""),"Management of neural tube defects in a Sub-Saharan African country: The situation in Yaounde, Cameroon")</f>
        <v>Management of neural tube defects in a Sub-Saharan African country: The situation in Yaounde, Cameroon</v>
      </c>
      <c r="B1140" s="5" t="str">
        <f>IFERROR(__xludf.DUMMYFUNCTION("LEFT(FILTER(IMPORTRANGE(""https://docs.google.com/spreadsheets/d/1BJSV3WBYJGRhQ6zExamkszQ5VutGIcaQqmbD9ZTVXMQ/edit#gid=1251630045"",""articles_with_PRISMA_reasons!K2:K2113""), $A1140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$A1140=IMPORTRANGE(""https://docs.google.com/spreadsheets/d/1BJSV3WBYJGRhQ6zExamkszQ5VutGIcaQqmbD9ZTVXMQ/edit#gid=1251630045"",""articles_with_PRISMA_reasons!B2:B2113"")))-1)"),"Djientcheu")</f>
        <v>Djientcheu</v>
      </c>
      <c r="C1140" s="6">
        <f>IFERROR(__xludf.DUMMYFUNCTION("FILTER(IMPORTRANGE(""https://docs.google.com/spreadsheets/d/1BJSV3WBYJGRhQ6zExamkszQ5VutGIcaQqmbD9ZTVXMQ/edit#gid=1251630045"",""articles_with_PRISMA_reasons!C2:C2113""), $A1140=IMPORTRANGE(""https://docs.google.com/spreadsheets/d/1BJSV3WBYJGRhQ6zExamkszQ"&amp;"5VutGIcaQqmbD9ZTVXMQ/edit#gid=1251630045"",""articles_with_PRISMA_reasons!B2:B2113""))"),2008.0)</f>
        <v>2008</v>
      </c>
      <c r="D1140" s="5" t="str">
        <f>IFERROR(__xludf.DUMMYFUNCTION("IFS(AND(
FILTER(IMPORTRANGE(""https://docs.google.com/spreadsheets/d/1BJSV3WBYJGRhQ6zExamkszQ5VutGIcaQqmbD9ZTVXMQ/edit#gid=1251630045"",""articles_with_PRISMA_reasons!Y2:Y2113""), $A1140=IMPORTRANGE(""https://docs.google.com/spreadsheets/d/1BJSV3WBYJGRhQ6"&amp;"zExamkszQ5VutGIcaQqmbD9ZTVXMQ/edit#gid=1251630045"",""articles_with_PRISMA_reasons!B2:B2113""))&gt;=2,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$A1140=IMPORTRANGE(""https://docs.google.com/spreadsheets/d/1BJSV3WBYJGRhQ6zExamkszQ5VutGIcaQqmbD9ZTVXMQ/edit#gid=1251630045"",""articles_with_PRISMA_reasons!B2:B2113""))&lt;2),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$A1140=IMPORTRANGE(""https://docs.google.com/spreadsheets/d/1BJSV3WBYJGRhQ6zExamkszQ5VutGIcaQqmbD9ZTVXMQ/edit#gid=1251630045"",""a"&amp;"rticles_with_PRISMA_reasons!B2:B2113""))&lt;2,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$A1140=IMPORTRANGE(""https://docs.google"&amp;".com/spreadsheets/d/1BJSV3WBYJGRhQ6zExamkszQ5VutGIcaQqmbD9ZTVXMQ/edit#gid=1251630045"",""articles_with_PRISMA_reasons!B2:B2113""))&gt;=2),
""Exclude""
)"),"Include")</f>
        <v>Include</v>
      </c>
      <c r="E1140" s="5" t="str">
        <f>IFERROR(__xludf.DUMMYFUNCTION("IFS(
D1140=""Exclude"",""Exclude"",
AND(
FILTER(IMPORTRANGE(""https://docs.google.com/spreadsheets/d/1qpEmbGH0JjaJbUdp21-y2cPbobDbMjr09BbtdKROZWc/edit#gid=1444865654"",""articles_with_PRISMA_reasons!W2:W2113""), $A1140=IMPORTRANGE(""https://docs.google.co"&amp;"m/spreadsheets/d/1qpEmbGH0JjaJbUdp21-y2cPbobDbMjr09BbtdKROZWc/edit#gid=1444865654"",""articles_with_PRISMA_reasons!B2:B2113""))&gt;=2,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$A1140=IMPORTRANGE(""https://docs.google.com/spreadsheets/d/1qpEmbGH0JjaJbUdp21-y2cPbobDbMjr09BbtdKROZWc/edit#gid=1444865654"",""articles_with_PRISMA_reasons!B2:B2113""))&lt;2),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$A1140=IMPORTRANGE(""https://docs.google.com/spreadsheets/d/1qpEmbGH0JjaJbUdp21-y2cPbobDbMjr09Bbtd"&amp;"KROZWc/edit#gid=1444865654"",""articles_with_PRISMA_reasons!B2:B2113""))&lt;2,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$A1140=I"&amp;"MPORTRANGE(""https://docs.google.com/spreadsheets/d/1qpEmbGH0JjaJbUdp21-y2cPbobDbMjr09BbtdKROZWc/edit#gid=1444865654"",""articles_with_PRISMA_reasons!B2:B2113""))&gt;=2),
""Exclude""
)"),"Include")</f>
        <v>Include</v>
      </c>
      <c r="F1140" s="2" t="s">
        <v>8</v>
      </c>
      <c r="G1140" s="2" t="s">
        <v>17</v>
      </c>
    </row>
    <row r="1141">
      <c r="A1141" s="4" t="str">
        <f>IFERROR(__xludf.DUMMYFUNCTION("""COMPUTED_VALUE"""),"Management of patients with developmental and hereditary spinal cord disorders")</f>
        <v>Management of patients with developmental and hereditary spinal cord disorders</v>
      </c>
      <c r="B1141" s="5" t="str">
        <f>IFERROR(__xludf.DUMMYFUNCTION("LEFT(FILTER(IMPORTRANGE(""https://docs.google.com/spreadsheets/d/1BJSV3WBYJGRhQ6zExamkszQ5VutGIcaQqmbD9ZTVXMQ/edit#gid=1251630045"",""articles_with_PRISMA_reasons!K2:K2113""), $A1141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$A1141=IMPORTRANGE(""https://docs.google.com/spreadsheets/d/1BJSV3WBYJGRhQ6zExamkszQ5VutGIcaQqmbD9ZTVXMQ/edit#gid=1251630045"",""articles_with_PRISMA_reasons!B2:B2113"")))-1)"),"Vogel")</f>
        <v>Vogel</v>
      </c>
      <c r="C1141" s="6">
        <f>IFERROR(__xludf.DUMMYFUNCTION("FILTER(IMPORTRANGE(""https://docs.google.com/spreadsheets/d/1BJSV3WBYJGRhQ6zExamkszQ5VutGIcaQqmbD9ZTVXMQ/edit#gid=1251630045"",""articles_with_PRISMA_reasons!C2:C2113""), $A1141=IMPORTRANGE(""https://docs.google.com/spreadsheets/d/1BJSV3WBYJGRhQ6zExamkszQ"&amp;"5VutGIcaQqmbD9ZTVXMQ/edit#gid=1251630045"",""articles_with_PRISMA_reasons!B2:B2113""))"),2008.0)</f>
        <v>2008</v>
      </c>
      <c r="D1141" s="5" t="str">
        <f>IFERROR(__xludf.DUMMYFUNCTION("IFS(AND(
FILTER(IMPORTRANGE(""https://docs.google.com/spreadsheets/d/1BJSV3WBYJGRhQ6zExamkszQ5VutGIcaQqmbD9ZTVXMQ/edit#gid=1251630045"",""articles_with_PRISMA_reasons!Y2:Y2113""), $A1141=IMPORTRANGE(""https://docs.google.com/spreadsheets/d/1BJSV3WBYJGRhQ6"&amp;"zExamkszQ5VutGIcaQqmbD9ZTVXMQ/edit#gid=1251630045"",""articles_with_PRISMA_reasons!B2:B2113""))&gt;=2,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$A1141=IMPORTRANGE(""https://docs.google.com/spreadsheets/d/1BJSV3WBYJGRhQ6zExamkszQ5VutGIcaQqmbD9ZTVXMQ/edit#gid=1251630045"",""articles_with_PRISMA_reasons!B2:B2113""))&lt;2),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$A1141=IMPORTRANGE(""https://docs.google.com/spreadsheets/d/1BJSV3WBYJGRhQ6zExamkszQ5VutGIcaQqmbD9ZTVXMQ/edit#gid=1251630045"",""a"&amp;"rticles_with_PRISMA_reasons!B2:B2113""))&lt;2,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$A1141=IMPORTRANGE(""https://docs.google"&amp;".com/spreadsheets/d/1BJSV3WBYJGRhQ6zExamkszQ5VutGIcaQqmbD9ZTVXMQ/edit#gid=1251630045"",""articles_with_PRISMA_reasons!B2:B2113""))&gt;=2),
""Exclude""
)"),"Exclude")</f>
        <v>Exclude</v>
      </c>
      <c r="E1141" s="5" t="str">
        <f>IFERROR(__xludf.DUMMYFUNCTION("IFS(
D1141=""Exclude"",""Exclude"",
AND(
FILTER(IMPORTRANGE(""https://docs.google.com/spreadsheets/d/1qpEmbGH0JjaJbUdp21-y2cPbobDbMjr09BbtdKROZWc/edit#gid=1444865654"",""articles_with_PRISMA_reasons!W2:W2113""), $A1141=IMPORTRANGE(""https://docs.google.co"&amp;"m/spreadsheets/d/1qpEmbGH0JjaJbUdp21-y2cPbobDbMjr09BbtdKROZWc/edit#gid=1444865654"",""articles_with_PRISMA_reasons!B2:B2113""))&gt;=2,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$A1141=IMPORTRANGE(""https://docs.google.com/spreadsheets/d/1qpEmbGH0JjaJbUdp21-y2cPbobDbMjr09BbtdKROZWc/edit#gid=1444865654"",""articles_with_PRISMA_reasons!B2:B2113""))&lt;2),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$A1141=IMPORTRANGE(""https://docs.google.com/spreadsheets/d/1qpEmbGH0JjaJbUdp21-y2cPbobDbMjr09Bbtd"&amp;"KROZWc/edit#gid=1444865654"",""articles_with_PRISMA_reasons!B2:B2113""))&lt;2,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$A1141=I"&amp;"MPORTRANGE(""https://docs.google.com/spreadsheets/d/1qpEmbGH0JjaJbUdp21-y2cPbobDbMjr09BbtdKROZWc/edit#gid=1444865654"",""articles_with_PRISMA_reasons!B2:B2113""))&gt;=2),
""Exclude""
)"),"Exclude")</f>
        <v>Exclude</v>
      </c>
      <c r="F1141" s="5" t="str">
        <f>IFERROR(__xludf.DUMMYFUNCTION("IFS(
E1141=""Exclude"",""Exclude"",
AND(
COUNTIF(
IMPORTRANGE(""https://docs.google.com/spreadsheets/d/1kGrh75X1cNR1D7_FcY9zMnHP8iPO4M5RCRjy6nZY0TY/edit#gid=0"",""Table 1: Study characteristics!B4:B171""),A1141)&gt;0,
COUNTIF(Studies!$A$2:$A$85,FILTER(IMPORT"&amp;"RANGE(""https://docs.google.com/spreadsheets/d/1kGrh75X1cNR1D7_FcY9zMnHP8iPO4M5RCRjy6nZY0TY/edit#gid=0"",""Table 1: Study characteristics!A4:A171""), $A1141=IMPORTRANGE(""https://docs.google.com/spreadsheets/d/1kGrh75X1cNR1D7_FcY9zMnHP8iPO4M5RCRjy6nZY0TY/"&amp;"edit#gid=0"",""Table 1: Study characteristics!B4:B171"")))&gt;0
),
""Include""
)"),"Exclude")</f>
        <v>Exclude</v>
      </c>
      <c r="G1141" s="5" t="str">
        <f>IFERROR(__xludf.DUMMYFUNCTION("IFS(
D1141=""Exclude"",
FILTER(IMPORTRANGE(""https://docs.google.com/spreadsheets/d/1BJSV3WBYJGRhQ6zExamkszQ5VutGIcaQqmbD9ZTVXMQ/edit#gid=1251630045"",""articles_with_PRISMA_reasons!AB2:AB2113""), $A1141=IMPORTRANGE(""https://docs.google.com/spreadsheets/"&amp;"d/1BJSV3WBYJGRhQ6zExamkszQ5VutGIcaQqmbD9ZTVXMQ/edit#gid=1251630045"",""articles_with_PRISMA_reasons!B2:B2113"")),
E1141=""Exclude"",
FILTER(IMPORTRANGE(""https://docs.google.com/spreadsheets/d/1qpEmbGH0JjaJbUdp21-y2cPbobDbMjr09BbtdKROZWc/edit#gid=14448656"&amp;"54"",""articles_with_PRISMA_reasons!Z2:Z2113""), $A1141=IMPORTRANGE(""https://docs.google.com/spreadsheets/d/1qpEmbGH0JjaJbUdp21-y2cPbobDbMjr09BbtdKROZWc/edit#gid=1444865654"",""articles_with_PRISMA_reasons!B2:B2113"")),F1141
=""Include"",FILTER(IMPORTRAN"&amp;"GE(""https://docs.google.com/spreadsheets/d/1kGrh75X1cNR1D7_FcY9zMnHP8iPO4M5RCRjy6nZY0TY/edit#gid=0"",""Table 1: Study characteristics!A4:A171""), $A1141=IMPORTRANGE(""https://docs.google.com/spreadsheets/d/1kGrh75X1cNR1D7_FcY9zMnHP8iPO4M5RCRjy6nZY0TY/edi"&amp;"t#gid=0"",""Table 1: Study characteristics!B4:B171""))
)"),"background article")</f>
        <v>background article</v>
      </c>
    </row>
    <row r="1142">
      <c r="A1142" s="4" t="str">
        <f>IFERROR(__xludf.DUMMYFUNCTION("""COMPUTED_VALUE"""),"Management of primary headaches during pregnancy, postpartum, and breastfeeding: A systematic review")</f>
        <v>Management of primary headaches during pregnancy, postpartum, and breastfeeding: A systematic review</v>
      </c>
      <c r="B1142" s="5" t="str">
        <f>IFERROR(__xludf.DUMMYFUNCTION("LEFT(FILTER(IMPORTRANGE(""https://docs.google.com/spreadsheets/d/1BJSV3WBYJGRhQ6zExamkszQ5VutGIcaQqmbD9ZTVXMQ/edit#gid=1251630045"",""articles_with_PRISMA_reasons!K2:K2113""), $A1142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$A1142=IMPORTRANGE(""https://docs.google.com/spreadsheets/d/1BJSV3WBYJGRhQ6zExamkszQ5VutGIcaQqmbD9ZTVXMQ/edit#gid=1251630045"",""articles_with_PRISMA_reasons!B2:B2113"")))-1)"),"Saldanha")</f>
        <v>Saldanha</v>
      </c>
      <c r="C1142" s="6">
        <f>IFERROR(__xludf.DUMMYFUNCTION("FILTER(IMPORTRANGE(""https://docs.google.com/spreadsheets/d/1BJSV3WBYJGRhQ6zExamkszQ5VutGIcaQqmbD9ZTVXMQ/edit#gid=1251630045"",""articles_with_PRISMA_reasons!C2:C2113""), $A1142=IMPORTRANGE(""https://docs.google.com/spreadsheets/d/1BJSV3WBYJGRhQ6zExamkszQ"&amp;"5VutGIcaQqmbD9ZTVXMQ/edit#gid=1251630045"",""articles_with_PRISMA_reasons!B2:B2113""))"),2021.0)</f>
        <v>2021</v>
      </c>
      <c r="D1142" s="5" t="str">
        <f>IFERROR(__xludf.DUMMYFUNCTION("IFS(AND(
FILTER(IMPORTRANGE(""https://docs.google.com/spreadsheets/d/1BJSV3WBYJGRhQ6zExamkszQ5VutGIcaQqmbD9ZTVXMQ/edit#gid=1251630045"",""articles_with_PRISMA_reasons!Y2:Y2113""), $A1142=IMPORTRANGE(""https://docs.google.com/spreadsheets/d/1BJSV3WBYJGRhQ6"&amp;"zExamkszQ5VutGIcaQqmbD9ZTVXMQ/edit#gid=1251630045"",""articles_with_PRISMA_reasons!B2:B2113""))&gt;=2,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$A1142=IMPORTRANGE(""https://docs.google.com/spreadsheets/d/1BJSV3WBYJGRhQ6zExamkszQ5VutGIcaQqmbD9ZTVXMQ/edit#gid=1251630045"",""articles_with_PRISMA_reasons!B2:B2113""))&lt;2),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$A1142=IMPORTRANGE(""https://docs.google.com/spreadsheets/d/1BJSV3WBYJGRhQ6zExamkszQ5VutGIcaQqmbD9ZTVXMQ/edit#gid=1251630045"",""a"&amp;"rticles_with_PRISMA_reasons!B2:B2113""))&lt;2,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$A1142=IMPORTRANGE(""https://docs.google"&amp;".com/spreadsheets/d/1BJSV3WBYJGRhQ6zExamkszQ5VutGIcaQqmbD9ZTVXMQ/edit#gid=1251630045"",""articles_with_PRISMA_reasons!B2:B2113""))&gt;=2),
""Exclude""
)"),"Exclude")</f>
        <v>Exclude</v>
      </c>
      <c r="E1142" s="5" t="str">
        <f>IFERROR(__xludf.DUMMYFUNCTION("IFS(
D1142=""Exclude"",""Exclude"",
AND(
FILTER(IMPORTRANGE(""https://docs.google.com/spreadsheets/d/1qpEmbGH0JjaJbUdp21-y2cPbobDbMjr09BbtdKROZWc/edit#gid=1444865654"",""articles_with_PRISMA_reasons!W2:W2113""), $A1142=IMPORTRANGE(""https://docs.google.co"&amp;"m/spreadsheets/d/1qpEmbGH0JjaJbUdp21-y2cPbobDbMjr09BbtdKROZWc/edit#gid=1444865654"",""articles_with_PRISMA_reasons!B2:B2113""))&gt;=2,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$A1142=IMPORTRANGE(""https://docs.google.com/spreadsheets/d/1qpEmbGH0JjaJbUdp21-y2cPbobDbMjr09BbtdKROZWc/edit#gid=1444865654"",""articles_with_PRISMA_reasons!B2:B2113""))&lt;2),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$A1142=IMPORTRANGE(""https://docs.google.com/spreadsheets/d/1qpEmbGH0JjaJbUdp21-y2cPbobDbMjr09Bbtd"&amp;"KROZWc/edit#gid=1444865654"",""articles_with_PRISMA_reasons!B2:B2113""))&lt;2,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$A1142=I"&amp;"MPORTRANGE(""https://docs.google.com/spreadsheets/d/1qpEmbGH0JjaJbUdp21-y2cPbobDbMjr09BbtdKROZWc/edit#gid=1444865654"",""articles_with_PRISMA_reasons!B2:B2113""))&gt;=2),
""Exclude""
)"),"Exclude")</f>
        <v>Exclude</v>
      </c>
      <c r="F1142" s="5" t="str">
        <f>IFERROR(__xludf.DUMMYFUNCTION("IFS(
E1142=""Exclude"",""Exclude"",
AND(
COUNTIF(
IMPORTRANGE(""https://docs.google.com/spreadsheets/d/1kGrh75X1cNR1D7_FcY9zMnHP8iPO4M5RCRjy6nZY0TY/edit#gid=0"",""Table 1: Study characteristics!B4:B171""),A1142)&gt;0,
COUNTIF(Studies!$A$2:$A$85,FILTER(IMPORT"&amp;"RANGE(""https://docs.google.com/spreadsheets/d/1kGrh75X1cNR1D7_FcY9zMnHP8iPO4M5RCRjy6nZY0TY/edit#gid=0"",""Table 1: Study characteristics!A4:A171""), $A1142=IMPORTRANGE(""https://docs.google.com/spreadsheets/d/1kGrh75X1cNR1D7_FcY9zMnHP8iPO4M5RCRjy6nZY0TY/"&amp;"edit#gid=0"",""Table 1: Study characteristics!B4:B171"")))&gt;0
),
""Include""
)"),"Exclude")</f>
        <v>Exclude</v>
      </c>
      <c r="G1142" s="5" t="str">
        <f>IFERROR(__xludf.DUMMYFUNCTION("IFS(
D1142=""Exclude"",
FILTER(IMPORTRANGE(""https://docs.google.com/spreadsheets/d/1BJSV3WBYJGRhQ6zExamkszQ5VutGIcaQqmbD9ZTVXMQ/edit#gid=1251630045"",""articles_with_PRISMA_reasons!AB2:AB2113""), $A1142=IMPORTRANGE(""https://docs.google.com/spreadsheets/"&amp;"d/1BJSV3WBYJGRhQ6zExamkszQ5VutGIcaQqmbD9ZTVXMQ/edit#gid=1251630045"",""articles_with_PRISMA_reasons!B2:B2113"")),
E1142=""Exclude"",
FILTER(IMPORTRANGE(""https://docs.google.com/spreadsheets/d/1qpEmbGH0JjaJbUdp21-y2cPbobDbMjr09BbtdKROZWc/edit#gid=14448656"&amp;"54"",""articles_with_PRISMA_reasons!Z2:Z2113""), $A1142=IMPORTRANGE(""https://docs.google.com/spreadsheets/d/1qpEmbGH0JjaJbUdp21-y2cPbobDbMjr09BbtdKROZWc/edit#gid=1444865654"",""articles_with_PRISMA_reasons!B2:B2113"")),F1142
=""Include"",FILTER(IMPORTRAN"&amp;"GE(""https://docs.google.com/spreadsheets/d/1kGrh75X1cNR1D7_FcY9zMnHP8iPO4M5RCRjy6nZY0TY/edit#gid=0"",""Table 1: Study characteristics!A4:A171""), $A1142=IMPORTRANGE(""https://docs.google.com/spreadsheets/d/1kGrh75X1cNR1D7_FcY9zMnHP8iPO4M5RCRjy6nZY0TY/edi"&amp;"t#gid=0"",""Table 1: Study characteristics!B4:B171""))
)"),"wrong study design")</f>
        <v>wrong study design</v>
      </c>
    </row>
    <row r="1143">
      <c r="A1143" s="4" t="str">
        <f>IFERROR(__xludf.DUMMYFUNCTION("""COMPUTED_VALUE"""),"Management of spina bifida")</f>
        <v>Management of spina bifida</v>
      </c>
      <c r="B1143" s="5" t="str">
        <f>IFERROR(__xludf.DUMMYFUNCTION("LEFT(FILTER(IMPORTRANGE(""https://docs.google.com/spreadsheets/d/1BJSV3WBYJGRhQ6zExamkszQ5VutGIcaQqmbD9ZTVXMQ/edit#gid=1251630045"",""articles_with_PRISMA_reasons!K2:K2113""), $A1143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$A1143=IMPORTRANGE(""https://docs.google.com/spreadsheets/d/1BJSV3WBYJGRhQ6zExamkszQ5VutGIcaQqmbD9ZTVXMQ/edit#gid=1251630045"",""articles_with_PRISMA_reasons!B2:B2113"")))-1)"),"Bremer")</f>
        <v>Bremer</v>
      </c>
      <c r="C1143" s="6">
        <f>IFERROR(__xludf.DUMMYFUNCTION("FILTER(IMPORTRANGE(""https://docs.google.com/spreadsheets/d/1BJSV3WBYJGRhQ6zExamkszQ5VutGIcaQqmbD9ZTVXMQ/edit#gid=1251630045"",""articles_with_PRISMA_reasons!C2:C2113""), $A1143=IMPORTRANGE(""https://docs.google.com/spreadsheets/d/1BJSV3WBYJGRhQ6zExamkszQ"&amp;"5VutGIcaQqmbD9ZTVXMQ/edit#gid=1251630045"",""articles_with_PRISMA_reasons!B2:B2113""))"),2003.0)</f>
        <v>2003</v>
      </c>
      <c r="D1143" s="5" t="str">
        <f>IFERROR(__xludf.DUMMYFUNCTION("IFS(AND(
FILTER(IMPORTRANGE(""https://docs.google.com/spreadsheets/d/1BJSV3WBYJGRhQ6zExamkszQ5VutGIcaQqmbD9ZTVXMQ/edit#gid=1251630045"",""articles_with_PRISMA_reasons!Y2:Y2113""), $A1143=IMPORTRANGE(""https://docs.google.com/spreadsheets/d/1BJSV3WBYJGRhQ6"&amp;"zExamkszQ5VutGIcaQqmbD9ZTVXMQ/edit#gid=1251630045"",""articles_with_PRISMA_reasons!B2:B2113""))&gt;=2,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$A1143=IMPORTRANGE(""https://docs.google.com/spreadsheets/d/1BJSV3WBYJGRhQ6zExamkszQ5VutGIcaQqmbD9ZTVXMQ/edit#gid=1251630045"",""articles_with_PRISMA_reasons!B2:B2113""))&lt;2),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$A1143=IMPORTRANGE(""https://docs.google.com/spreadsheets/d/1BJSV3WBYJGRhQ6zExamkszQ5VutGIcaQqmbD9ZTVXMQ/edit#gid=1251630045"",""a"&amp;"rticles_with_PRISMA_reasons!B2:B2113""))&lt;2,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$A1143=IMPORTRANGE(""https://docs.google"&amp;".com/spreadsheets/d/1BJSV3WBYJGRhQ6zExamkszQ5VutGIcaQqmbD9ZTVXMQ/edit#gid=1251630045"",""articles_with_PRISMA_reasons!B2:B2113""))&gt;=2),
""Exclude""
)"),"Exclude")</f>
        <v>Exclude</v>
      </c>
      <c r="E1143" s="5" t="str">
        <f>IFERROR(__xludf.DUMMYFUNCTION("IFS(
D1143=""Exclude"",""Exclude"",
AND(
FILTER(IMPORTRANGE(""https://docs.google.com/spreadsheets/d/1qpEmbGH0JjaJbUdp21-y2cPbobDbMjr09BbtdKROZWc/edit#gid=1444865654"",""articles_with_PRISMA_reasons!W2:W2113""), $A1143=IMPORTRANGE(""https://docs.google.co"&amp;"m/spreadsheets/d/1qpEmbGH0JjaJbUdp21-y2cPbobDbMjr09BbtdKROZWc/edit#gid=1444865654"",""articles_with_PRISMA_reasons!B2:B2113""))&gt;=2,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$A1143=IMPORTRANGE(""https://docs.google.com/spreadsheets/d/1qpEmbGH0JjaJbUdp21-y2cPbobDbMjr09BbtdKROZWc/edit#gid=1444865654"",""articles_with_PRISMA_reasons!B2:B2113""))&lt;2),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$A1143=IMPORTRANGE(""https://docs.google.com/spreadsheets/d/1qpEmbGH0JjaJbUdp21-y2cPbobDbMjr09Bbtd"&amp;"KROZWc/edit#gid=1444865654"",""articles_with_PRISMA_reasons!B2:B2113""))&lt;2,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$A1143=I"&amp;"MPORTRANGE(""https://docs.google.com/spreadsheets/d/1qpEmbGH0JjaJbUdp21-y2cPbobDbMjr09BbtdKROZWc/edit#gid=1444865654"",""articles_with_PRISMA_reasons!B2:B2113""))&gt;=2),
""Exclude""
)"),"Exclude")</f>
        <v>Exclude</v>
      </c>
      <c r="F1143" s="5" t="str">
        <f>IFERROR(__xludf.DUMMYFUNCTION("IFS(
E1143=""Exclude"",""Exclude"",
AND(
COUNTIF(
IMPORTRANGE(""https://docs.google.com/spreadsheets/d/1kGrh75X1cNR1D7_FcY9zMnHP8iPO4M5RCRjy6nZY0TY/edit#gid=0"",""Table 1: Study characteristics!B4:B171""),A1143)&gt;0,
COUNTIF(Studies!$A$2:$A$85,FILTER(IMPORT"&amp;"RANGE(""https://docs.google.com/spreadsheets/d/1kGrh75X1cNR1D7_FcY9zMnHP8iPO4M5RCRjy6nZY0TY/edit#gid=0"",""Table 1: Study characteristics!A4:A171""), $A1143=IMPORTRANGE(""https://docs.google.com/spreadsheets/d/1kGrh75X1cNR1D7_FcY9zMnHP8iPO4M5RCRjy6nZY0TY/"&amp;"edit#gid=0"",""Table 1: Study characteristics!B4:B171"")))&gt;0
),
""Include""
)"),"Exclude")</f>
        <v>Exclude</v>
      </c>
      <c r="G1143" s="5" t="str">
        <f>IFERROR(__xludf.DUMMYFUNCTION("IFS(
D1143=""Exclude"",
FILTER(IMPORTRANGE(""https://docs.google.com/spreadsheets/d/1BJSV3WBYJGRhQ6zExamkszQ5VutGIcaQqmbD9ZTVXMQ/edit#gid=1251630045"",""articles_with_PRISMA_reasons!AB2:AB2113""), $A1143=IMPORTRANGE(""https://docs.google.com/spreadsheets/"&amp;"d/1BJSV3WBYJGRhQ6zExamkszQ5VutGIcaQqmbD9ZTVXMQ/edit#gid=1251630045"",""articles_with_PRISMA_reasons!B2:B2113"")),
E1143=""Exclude"",
FILTER(IMPORTRANGE(""https://docs.google.com/spreadsheets/d/1qpEmbGH0JjaJbUdp21-y2cPbobDbMjr09BbtdKROZWc/edit#gid=14448656"&amp;"54"",""articles_with_PRISMA_reasons!Z2:Z2113""), $A1143=IMPORTRANGE(""https://docs.google.com/spreadsheets/d/1qpEmbGH0JjaJbUdp21-y2cPbobDbMjr09BbtdKROZWc/edit#gid=1444865654"",""articles_with_PRISMA_reasons!B2:B2113"")),F1143
=""Include"",FILTER(IMPORTRAN"&amp;"GE(""https://docs.google.com/spreadsheets/d/1kGrh75X1cNR1D7_FcY9zMnHP8iPO4M5RCRjy6nZY0TY/edit#gid=0"",""Table 1: Study characteristics!A4:A171""), $A1143=IMPORTRANGE(""https://docs.google.com/spreadsheets/d/1kGrh75X1cNR1D7_FcY9zMnHP8iPO4M5RCRjy6nZY0TY/edi"&amp;"t#gid=0"",""Table 1: Study characteristics!B4:B171""))
)"),"wrong study design")</f>
        <v>wrong study design</v>
      </c>
    </row>
    <row r="1144">
      <c r="A1144" s="4" t="str">
        <f>IFERROR(__xludf.DUMMYFUNCTION("""COMPUTED_VALUE"""),"Management of the neurogenic bladder in 413 children")</f>
        <v>Management of the neurogenic bladder in 413 children</v>
      </c>
      <c r="B1144" s="5" t="str">
        <f>IFERROR(__xludf.DUMMYFUNCTION("LEFT(FILTER(IMPORTRANGE(""https://docs.google.com/spreadsheets/d/1BJSV3WBYJGRhQ6zExamkszQ5VutGIcaQqmbD9ZTVXMQ/edit#gid=1251630045"",""articles_with_PRISMA_reasons!K2:K2113""), $A1144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$A1144=IMPORTRANGE(""https://docs.google.com/spreadsheets/d/1BJSV3WBYJGRhQ6zExamkszQ5VutGIcaQqmbD9ZTVXMQ/edit#gid=1251630045"",""articles_with_PRISMA_reasons!B2:B2113"")))-1)"),"Cass")</f>
        <v>Cass</v>
      </c>
      <c r="C1144" s="6">
        <f>IFERROR(__xludf.DUMMYFUNCTION("FILTER(IMPORTRANGE(""https://docs.google.com/spreadsheets/d/1BJSV3WBYJGRhQ6zExamkszQ5VutGIcaQqmbD9ZTVXMQ/edit#gid=1251630045"",""articles_with_PRISMA_reasons!C2:C2113""), $A1144=IMPORTRANGE(""https://docs.google.com/spreadsheets/d/1BJSV3WBYJGRhQ6zExamkszQ"&amp;"5VutGIcaQqmbD9ZTVXMQ/edit#gid=1251630045"",""articles_with_PRISMA_reasons!B2:B2113""))"),1984.0)</f>
        <v>1984</v>
      </c>
      <c r="D1144" s="5" t="str">
        <f>IFERROR(__xludf.DUMMYFUNCTION("IFS(AND(
FILTER(IMPORTRANGE(""https://docs.google.com/spreadsheets/d/1BJSV3WBYJGRhQ6zExamkszQ5VutGIcaQqmbD9ZTVXMQ/edit#gid=1251630045"",""articles_with_PRISMA_reasons!Y2:Y2113""), $A1144=IMPORTRANGE(""https://docs.google.com/spreadsheets/d/1BJSV3WBYJGRhQ6"&amp;"zExamkszQ5VutGIcaQqmbD9ZTVXMQ/edit#gid=1251630045"",""articles_with_PRISMA_reasons!B2:B2113""))&gt;=2,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$A1144=IMPORTRANGE(""https://docs.google.com/spreadsheets/d/1BJSV3WBYJGRhQ6zExamkszQ5VutGIcaQqmbD9ZTVXMQ/edit#gid=1251630045"",""articles_with_PRISMA_reasons!B2:B2113""))&lt;2),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$A1144=IMPORTRANGE(""https://docs.google.com/spreadsheets/d/1BJSV3WBYJGRhQ6zExamkszQ5VutGIcaQqmbD9ZTVXMQ/edit#gid=1251630045"",""a"&amp;"rticles_with_PRISMA_reasons!B2:B2113""))&lt;2,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$A1144=IMPORTRANGE(""https://docs.google"&amp;".com/spreadsheets/d/1BJSV3WBYJGRhQ6zExamkszQ5VutGIcaQqmbD9ZTVXMQ/edit#gid=1251630045"",""articles_with_PRISMA_reasons!B2:B2113""))&gt;=2),
""Exclude""
)"),"Exclude")</f>
        <v>Exclude</v>
      </c>
      <c r="E1144" s="5" t="str">
        <f>IFERROR(__xludf.DUMMYFUNCTION("IFS(
D1144=""Exclude"",""Exclude"",
AND(
FILTER(IMPORTRANGE(""https://docs.google.com/spreadsheets/d/1qpEmbGH0JjaJbUdp21-y2cPbobDbMjr09BbtdKROZWc/edit#gid=1444865654"",""articles_with_PRISMA_reasons!W2:W2113""), $A1144=IMPORTRANGE(""https://docs.google.co"&amp;"m/spreadsheets/d/1qpEmbGH0JjaJbUdp21-y2cPbobDbMjr09BbtdKROZWc/edit#gid=1444865654"",""articles_with_PRISMA_reasons!B2:B2113""))&gt;=2,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$A1144=IMPORTRANGE(""https://docs.google.com/spreadsheets/d/1qpEmbGH0JjaJbUdp21-y2cPbobDbMjr09BbtdKROZWc/edit#gid=1444865654"",""articles_with_PRISMA_reasons!B2:B2113""))&lt;2),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$A1144=IMPORTRANGE(""https://docs.google.com/spreadsheets/d/1qpEmbGH0JjaJbUdp21-y2cPbobDbMjr09Bbtd"&amp;"KROZWc/edit#gid=1444865654"",""articles_with_PRISMA_reasons!B2:B2113""))&lt;2,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$A1144=I"&amp;"MPORTRANGE(""https://docs.google.com/spreadsheets/d/1qpEmbGH0JjaJbUdp21-y2cPbobDbMjr09BbtdKROZWc/edit#gid=1444865654"",""articles_with_PRISMA_reasons!B2:B2113""))&gt;=2),
""Exclude""
)"),"Exclude")</f>
        <v>Exclude</v>
      </c>
      <c r="F1144" s="5" t="str">
        <f>IFERROR(__xludf.DUMMYFUNCTION("IFS(
E1144=""Exclude"",""Exclude"",
AND(
COUNTIF(
IMPORTRANGE(""https://docs.google.com/spreadsheets/d/1kGrh75X1cNR1D7_FcY9zMnHP8iPO4M5RCRjy6nZY0TY/edit#gid=0"",""Table 1: Study characteristics!B4:B171""),A1144)&gt;0,
COUNTIF(Studies!$A$2:$A$85,FILTER(IMPORT"&amp;"RANGE(""https://docs.google.com/spreadsheets/d/1kGrh75X1cNR1D7_FcY9zMnHP8iPO4M5RCRjy6nZY0TY/edit#gid=0"",""Table 1: Study characteristics!A4:A171""), $A1144=IMPORTRANGE(""https://docs.google.com/spreadsheets/d/1kGrh75X1cNR1D7_FcY9zMnHP8iPO4M5RCRjy6nZY0TY/"&amp;"edit#gid=0"",""Table 1: Study characteristics!B4:B171"")))&gt;0
),
""Include""
)"),"Exclude")</f>
        <v>Exclude</v>
      </c>
      <c r="G1144" s="5" t="str">
        <f>IFERROR(__xludf.DUMMYFUNCTION("IFS(
D1144=""Exclude"",
FILTER(IMPORTRANGE(""https://docs.google.com/spreadsheets/d/1BJSV3WBYJGRhQ6zExamkszQ5VutGIcaQqmbD9ZTVXMQ/edit#gid=1251630045"",""articles_with_PRISMA_reasons!AB2:AB2113""), $A1144=IMPORTRANGE(""https://docs.google.com/spreadsheets/"&amp;"d/1BJSV3WBYJGRhQ6zExamkszQ5VutGIcaQqmbD9ZTVXMQ/edit#gid=1251630045"",""articles_with_PRISMA_reasons!B2:B2113"")),
E1144=""Exclude"",
FILTER(IMPORTRANGE(""https://docs.google.com/spreadsheets/d/1qpEmbGH0JjaJbUdp21-y2cPbobDbMjr09BbtdKROZWc/edit#gid=14448656"&amp;"54"",""articles_with_PRISMA_reasons!Z2:Z2113""), $A1144=IMPORTRANGE(""https://docs.google.com/spreadsheets/d/1qpEmbGH0JjaJbUdp21-y2cPbobDbMjr09BbtdKROZWc/edit#gid=1444865654"",""articles_with_PRISMA_reasons!B2:B2113"")),F1144
=""Include"",FILTER(IMPORTRAN"&amp;"GE(""https://docs.google.com/spreadsheets/d/1kGrh75X1cNR1D7_FcY9zMnHP8iPO4M5RCRjy6nZY0TY/edit#gid=0"",""Table 1: Study characteristics!A4:A171""), $A1144=IMPORTRANGE(""https://docs.google.com/spreadsheets/d/1kGrh75X1cNR1D7_FcY9zMnHP8iPO4M5RCRjy6nZY0TY/edi"&amp;"t#gid=0"",""Table 1: Study characteristics!B4:B171""))
)"),"wrong study design")</f>
        <v>wrong study design</v>
      </c>
    </row>
    <row r="1145">
      <c r="A1145" s="4" t="str">
        <f>IFERROR(__xludf.DUMMYFUNCTION("""COMPUTED_VALUE"""),"Management of the newborn with myelodysplasia")</f>
        <v>Management of the newborn with myelodysplasia</v>
      </c>
      <c r="B1145" s="5" t="str">
        <f>IFERROR(__xludf.DUMMYFUNCTION("LEFT(FILTER(IMPORTRANGE(""https://docs.google.com/spreadsheets/d/1BJSV3WBYJGRhQ6zExamkszQ5VutGIcaQqmbD9ZTVXMQ/edit#gid=1251630045"",""articles_with_PRISMA_reasons!K2:K2113""), $A1145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$A1145=IMPORTRANGE(""https://docs.google.com/spreadsheets/d/1BJSV3WBYJGRhQ6zExamkszQ5VutGIcaQqmbD9ZTVXMQ/edit#gid=1251630045"",""articles_with_PRISMA_reasons!B2:B2113"")))-1)"),"McLaughlin")</f>
        <v>McLaughlin</v>
      </c>
      <c r="C1145" s="6">
        <f>IFERROR(__xludf.DUMMYFUNCTION("FILTER(IMPORTRANGE(""https://docs.google.com/spreadsheets/d/1BJSV3WBYJGRhQ6zExamkszQ5VutGIcaQqmbD9ZTVXMQ/edit#gid=1251630045"",""articles_with_PRISMA_reasons!C2:C2113""), $A1145=IMPORTRANGE(""https://docs.google.com/spreadsheets/d/1BJSV3WBYJGRhQ6zExamkszQ"&amp;"5VutGIcaQqmbD9ZTVXMQ/edit#gid=1251630045"",""articles_with_PRISMA_reasons!B2:B2113""))"),1979.0)</f>
        <v>1979</v>
      </c>
      <c r="D1145" s="5" t="str">
        <f>IFERROR(__xludf.DUMMYFUNCTION("IFS(AND(
FILTER(IMPORTRANGE(""https://docs.google.com/spreadsheets/d/1BJSV3WBYJGRhQ6zExamkszQ5VutGIcaQqmbD9ZTVXMQ/edit#gid=1251630045"",""articles_with_PRISMA_reasons!Y2:Y2113""), $A1145=IMPORTRANGE(""https://docs.google.com/spreadsheets/d/1BJSV3WBYJGRhQ6"&amp;"zExamkszQ5VutGIcaQqmbD9ZTVXMQ/edit#gid=1251630045"",""articles_with_PRISMA_reasons!B2:B2113""))&gt;=2,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$A1145=IMPORTRANGE(""https://docs.google.com/spreadsheets/d/1BJSV3WBYJGRhQ6zExamkszQ5VutGIcaQqmbD9ZTVXMQ/edit#gid=1251630045"",""articles_with_PRISMA_reasons!B2:B2113""))&lt;2),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$A1145=IMPORTRANGE(""https://docs.google.com/spreadsheets/d/1BJSV3WBYJGRhQ6zExamkszQ5VutGIcaQqmbD9ZTVXMQ/edit#gid=1251630045"",""a"&amp;"rticles_with_PRISMA_reasons!B2:B2113""))&lt;2,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$A1145=IMPORTRANGE(""https://docs.google"&amp;".com/spreadsheets/d/1BJSV3WBYJGRhQ6zExamkszQ5VutGIcaQqmbD9ZTVXMQ/edit#gid=1251630045"",""articles_with_PRISMA_reasons!B2:B2113""))&gt;=2),
""Exclude""
)"),"Exclude")</f>
        <v>Exclude</v>
      </c>
      <c r="E1145" s="5" t="str">
        <f>IFERROR(__xludf.DUMMYFUNCTION("IFS(
D1145=""Exclude"",""Exclude"",
AND(
FILTER(IMPORTRANGE(""https://docs.google.com/spreadsheets/d/1qpEmbGH0JjaJbUdp21-y2cPbobDbMjr09BbtdKROZWc/edit#gid=1444865654"",""articles_with_PRISMA_reasons!W2:W2113""), $A1145=IMPORTRANGE(""https://docs.google.co"&amp;"m/spreadsheets/d/1qpEmbGH0JjaJbUdp21-y2cPbobDbMjr09BbtdKROZWc/edit#gid=1444865654"",""articles_with_PRISMA_reasons!B2:B2113""))&gt;=2,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$A1145=IMPORTRANGE(""https://docs.google.com/spreadsheets/d/1qpEmbGH0JjaJbUdp21-y2cPbobDbMjr09BbtdKROZWc/edit#gid=1444865654"",""articles_with_PRISMA_reasons!B2:B2113""))&lt;2),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$A1145=IMPORTRANGE(""https://docs.google.com/spreadsheets/d/1qpEmbGH0JjaJbUdp21-y2cPbobDbMjr09Bbtd"&amp;"KROZWc/edit#gid=1444865654"",""articles_with_PRISMA_reasons!B2:B2113""))&lt;2,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$A1145=I"&amp;"MPORTRANGE(""https://docs.google.com/spreadsheets/d/1qpEmbGH0JjaJbUdp21-y2cPbobDbMjr09BbtdKROZWc/edit#gid=1444865654"",""articles_with_PRISMA_reasons!B2:B2113""))&gt;=2),
""Exclude""
)"),"Exclude")</f>
        <v>Exclude</v>
      </c>
      <c r="F1145" s="5" t="str">
        <f>IFERROR(__xludf.DUMMYFUNCTION("IFS(
E1145=""Exclude"",""Exclude"",
AND(
COUNTIF(
IMPORTRANGE(""https://docs.google.com/spreadsheets/d/1kGrh75X1cNR1D7_FcY9zMnHP8iPO4M5RCRjy6nZY0TY/edit#gid=0"",""Table 1: Study characteristics!B4:B171""),A1145)&gt;0,
COUNTIF(Studies!$A$2:$A$85,FILTER(IMPORT"&amp;"RANGE(""https://docs.google.com/spreadsheets/d/1kGrh75X1cNR1D7_FcY9zMnHP8iPO4M5RCRjy6nZY0TY/edit#gid=0"",""Table 1: Study characteristics!A4:A171""), $A1145=IMPORTRANGE(""https://docs.google.com/spreadsheets/d/1kGrh75X1cNR1D7_FcY9zMnHP8iPO4M5RCRjy6nZY0TY/"&amp;"edit#gid=0"",""Table 1: Study characteristics!B4:B171"")))&gt;0
),
""Include""
)"),"Exclude")</f>
        <v>Exclude</v>
      </c>
      <c r="G1145" s="5" t="str">
        <f>IFERROR(__xludf.DUMMYFUNCTION("IFS(
D1145=""Exclude"",
FILTER(IMPORTRANGE(""https://docs.google.com/spreadsheets/d/1BJSV3WBYJGRhQ6zExamkszQ5VutGIcaQqmbD9ZTVXMQ/edit#gid=1251630045"",""articles_with_PRISMA_reasons!AB2:AB2113""), $A1145=IMPORTRANGE(""https://docs.google.com/spreadsheets/"&amp;"d/1BJSV3WBYJGRhQ6zExamkszQ5VutGIcaQqmbD9ZTVXMQ/edit#gid=1251630045"",""articles_with_PRISMA_reasons!B2:B2113"")),
E1145=""Exclude"",
FILTER(IMPORTRANGE(""https://docs.google.com/spreadsheets/d/1qpEmbGH0JjaJbUdp21-y2cPbobDbMjr09BbtdKROZWc/edit#gid=14448656"&amp;"54"",""articles_with_PRISMA_reasons!Z2:Z2113""), $A1145=IMPORTRANGE(""https://docs.google.com/spreadsheets/d/1qpEmbGH0JjaJbUdp21-y2cPbobDbMjr09BbtdKROZWc/edit#gid=1444865654"",""articles_with_PRISMA_reasons!B2:B2113"")),F1145
=""Include"",FILTER(IMPORTRAN"&amp;"GE(""https://docs.google.com/spreadsheets/d/1kGrh75X1cNR1D7_FcY9zMnHP8iPO4M5RCRjy6nZY0TY/edit#gid=0"",""Table 1: Study characteristics!A4:A171""), $A1145=IMPORTRANGE(""https://docs.google.com/spreadsheets/d/1kGrh75X1cNR1D7_FcY9zMnHP8iPO4M5RCRjy6nZY0TY/edi"&amp;"t#gid=0"",""Table 1: Study characteristics!B4:B171""))
)"),"wrong study design")</f>
        <v>wrong study design</v>
      </c>
    </row>
    <row r="1146">
      <c r="A1146" s="4" t="str">
        <f>IFERROR(__xludf.DUMMYFUNCTION("""COMPUTED_VALUE"""),"Maternal alcohol ingestion and neural tube defects: observation of four brothers in a family")</f>
        <v>Maternal alcohol ingestion and neural tube defects: observation of four brothers in a family</v>
      </c>
      <c r="B1146" s="5" t="str">
        <f>IFERROR(__xludf.DUMMYFUNCTION("LEFT(FILTER(IMPORTRANGE(""https://docs.google.com/spreadsheets/d/1BJSV3WBYJGRhQ6zExamkszQ5VutGIcaQqmbD9ZTVXMQ/edit#gid=1251630045"",""articles_with_PRISMA_reasons!K2:K2113""), $A1146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$A1146=IMPORTRANGE(""https://docs.google.com/spreadsheets/d/1BJSV3WBYJGRhQ6zExamkszQ5VutGIcaQqmbD9ZTVXMQ/edit#gid=1251630045"",""articles_with_PRISMA_reasons!B2:B2113"")))-1)"),"Castro-Gago")</f>
        <v>Castro-Gago</v>
      </c>
      <c r="C1146" s="6">
        <f>IFERROR(__xludf.DUMMYFUNCTION("FILTER(IMPORTRANGE(""https://docs.google.com/spreadsheets/d/1BJSV3WBYJGRhQ6zExamkszQ5VutGIcaQqmbD9ZTVXMQ/edit#gid=1251630045"",""articles_with_PRISMA_reasons!C2:C2113""), $A1146=IMPORTRANGE(""https://docs.google.com/spreadsheets/d/1BJSV3WBYJGRhQ6zExamkszQ"&amp;"5VutGIcaQqmbD9ZTVXMQ/edit#gid=1251630045"",""articles_with_PRISMA_reasons!B2:B2113""))"),1987.0)</f>
        <v>1987</v>
      </c>
      <c r="D1146" s="5" t="str">
        <f>IFERROR(__xludf.DUMMYFUNCTION("IFS(AND(
FILTER(IMPORTRANGE(""https://docs.google.com/spreadsheets/d/1BJSV3WBYJGRhQ6zExamkszQ5VutGIcaQqmbD9ZTVXMQ/edit#gid=1251630045"",""articles_with_PRISMA_reasons!Y2:Y2113""), $A1146=IMPORTRANGE(""https://docs.google.com/spreadsheets/d/1BJSV3WBYJGRhQ6"&amp;"zExamkszQ5VutGIcaQqmbD9ZTVXMQ/edit#gid=1251630045"",""articles_with_PRISMA_reasons!B2:B2113""))&gt;=2,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$A1146=IMPORTRANGE(""https://docs.google.com/spreadsheets/d/1BJSV3WBYJGRhQ6zExamkszQ5VutGIcaQqmbD9ZTVXMQ/edit#gid=1251630045"",""articles_with_PRISMA_reasons!B2:B2113""))&lt;2),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$A1146=IMPORTRANGE(""https://docs.google.com/spreadsheets/d/1BJSV3WBYJGRhQ6zExamkszQ5VutGIcaQqmbD9ZTVXMQ/edit#gid=1251630045"",""a"&amp;"rticles_with_PRISMA_reasons!B2:B2113""))&lt;2,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$A1146=IMPORTRANGE(""https://docs.google"&amp;".com/spreadsheets/d/1BJSV3WBYJGRhQ6zExamkszQ5VutGIcaQqmbD9ZTVXMQ/edit#gid=1251630045"",""articles_with_PRISMA_reasons!B2:B2113""))&gt;=2),
""Exclude""
)"),"Exclude")</f>
        <v>Exclude</v>
      </c>
      <c r="E1146" s="5" t="str">
        <f>IFERROR(__xludf.DUMMYFUNCTION("IFS(
D1146=""Exclude"",""Exclude"",
AND(
FILTER(IMPORTRANGE(""https://docs.google.com/spreadsheets/d/1qpEmbGH0JjaJbUdp21-y2cPbobDbMjr09BbtdKROZWc/edit#gid=1444865654"",""articles_with_PRISMA_reasons!W2:W2113""), $A1146=IMPORTRANGE(""https://docs.google.co"&amp;"m/spreadsheets/d/1qpEmbGH0JjaJbUdp21-y2cPbobDbMjr09BbtdKROZWc/edit#gid=1444865654"",""articles_with_PRISMA_reasons!B2:B2113""))&gt;=2,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$A1146=IMPORTRANGE(""https://docs.google.com/spreadsheets/d/1qpEmbGH0JjaJbUdp21-y2cPbobDbMjr09BbtdKROZWc/edit#gid=1444865654"",""articles_with_PRISMA_reasons!B2:B2113""))&lt;2),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$A1146=IMPORTRANGE(""https://docs.google.com/spreadsheets/d/1qpEmbGH0JjaJbUdp21-y2cPbobDbMjr09Bbtd"&amp;"KROZWc/edit#gid=1444865654"",""articles_with_PRISMA_reasons!B2:B2113""))&lt;2,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$A1146=I"&amp;"MPORTRANGE(""https://docs.google.com/spreadsheets/d/1qpEmbGH0JjaJbUdp21-y2cPbobDbMjr09BbtdKROZWc/edit#gid=1444865654"",""articles_with_PRISMA_reasons!B2:B2113""))&gt;=2),
""Exclude""
)"),"Exclude")</f>
        <v>Exclude</v>
      </c>
      <c r="F1146" s="5" t="str">
        <f>IFERROR(__xludf.DUMMYFUNCTION("IFS(
E1146=""Exclude"",""Exclude"",
AND(
COUNTIF(
IMPORTRANGE(""https://docs.google.com/spreadsheets/d/1kGrh75X1cNR1D7_FcY9zMnHP8iPO4M5RCRjy6nZY0TY/edit#gid=0"",""Table 1: Study characteristics!B4:B171""),A1146)&gt;0,
COUNTIF(Studies!$A$2:$A$85,FILTER(IMPORT"&amp;"RANGE(""https://docs.google.com/spreadsheets/d/1kGrh75X1cNR1D7_FcY9zMnHP8iPO4M5RCRjy6nZY0TY/edit#gid=0"",""Table 1: Study characteristics!A4:A171""), $A1146=IMPORTRANGE(""https://docs.google.com/spreadsheets/d/1kGrh75X1cNR1D7_FcY9zMnHP8iPO4M5RCRjy6nZY0TY/"&amp;"edit#gid=0"",""Table 1: Study characteristics!B4:B171"")))&gt;0
),
""Include""
)"),"Exclude")</f>
        <v>Exclude</v>
      </c>
      <c r="G1146" s="5" t="str">
        <f>IFERROR(__xludf.DUMMYFUNCTION("IFS(
D1146=""Exclude"",
FILTER(IMPORTRANGE(""https://docs.google.com/spreadsheets/d/1BJSV3WBYJGRhQ6zExamkszQ5VutGIcaQqmbD9ZTVXMQ/edit#gid=1251630045"",""articles_with_PRISMA_reasons!AB2:AB2113""), $A1146=IMPORTRANGE(""https://docs.google.com/spreadsheets/"&amp;"d/1BJSV3WBYJGRhQ6zExamkszQ5VutGIcaQqmbD9ZTVXMQ/edit#gid=1251630045"",""articles_with_PRISMA_reasons!B2:B2113"")),
E1146=""Exclude"",
FILTER(IMPORTRANGE(""https://docs.google.com/spreadsheets/d/1qpEmbGH0JjaJbUdp21-y2cPbobDbMjr09BbtdKROZWc/edit#gid=14448656"&amp;"54"",""articles_with_PRISMA_reasons!Z2:Z2113""), $A1146=IMPORTRANGE(""https://docs.google.com/spreadsheets/d/1qpEmbGH0JjaJbUdp21-y2cPbobDbMjr09BbtdKROZWc/edit#gid=1444865654"",""articles_with_PRISMA_reasons!B2:B2113"")),F1146
=""Include"",FILTER(IMPORTRAN"&amp;"GE(""https://docs.google.com/spreadsheets/d/1kGrh75X1cNR1D7_FcY9zMnHP8iPO4M5RCRjy6nZY0TY/edit#gid=0"",""Table 1: Study characteristics!A4:A171""), $A1146=IMPORTRANGE(""https://docs.google.com/spreadsheets/d/1kGrh75X1cNR1D7_FcY9zMnHP8iPO4M5RCRjy6nZY0TY/edi"&amp;"t#gid=0"",""Table 1: Study characteristics!B4:B171""))
)"),"wrong study design")</f>
        <v>wrong study design</v>
      </c>
    </row>
    <row r="1147">
      <c r="A1147" s="4" t="str">
        <f>IFERROR(__xludf.DUMMYFUNCTION("""COMPUTED_VALUE"""),"Maternal and infant factors associated with infancy-onset hydrocephalus in Washington State")</f>
        <v>Maternal and infant factors associated with infancy-onset hydrocephalus in Washington State</v>
      </c>
      <c r="B1147" s="5" t="str">
        <f>IFERROR(__xludf.DUMMYFUNCTION("LEFT(FILTER(IMPORTRANGE(""https://docs.google.com/spreadsheets/d/1BJSV3WBYJGRhQ6zExamkszQ5VutGIcaQqmbD9ZTVXMQ/edit#gid=1251630045"",""articles_with_PRISMA_reasons!K2:K2113""), $A1147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$A1147=IMPORTRANGE(""https://docs.google.com/spreadsheets/d/1BJSV3WBYJGRhQ6zExamkszQ5VutGIcaQqmbD9ZTVXMQ/edit#gid=1251630045"",""articles_with_PRISMA_reasons!B2:B2113"")))-1)"),"Tully")</f>
        <v>Tully</v>
      </c>
      <c r="C1147" s="6" t="str">
        <f>IFERROR(__xludf.DUMMYFUNCTION("FILTER(IMPORTRANGE(""https://docs.google.com/spreadsheets/d/1BJSV3WBYJGRhQ6zExamkszQ5VutGIcaQqmbD9ZTVXMQ/edit#gid=1251630045"",""articles_with_PRISMA_reasons!C2:C2113""), $A1147=IMPORTRANGE(""https://docs.google.com/spreadsheets/d/1BJSV3WBYJGRhQ6zExamkszQ"&amp;"5VutGIcaQqmbD9ZTVXMQ/edit#gid=1251630045"",""articles_with_PRISMA_reasons!B2:B2113""))"),"Mar")</f>
        <v>Mar</v>
      </c>
      <c r="D1147" s="5" t="str">
        <f>IFERROR(__xludf.DUMMYFUNCTION("IFS(AND(
FILTER(IMPORTRANGE(""https://docs.google.com/spreadsheets/d/1BJSV3WBYJGRhQ6zExamkszQ5VutGIcaQqmbD9ZTVXMQ/edit#gid=1251630045"",""articles_with_PRISMA_reasons!Y2:Y2113""), $A1147=IMPORTRANGE(""https://docs.google.com/spreadsheets/d/1BJSV3WBYJGRhQ6"&amp;"zExamkszQ5VutGIcaQqmbD9ZTVXMQ/edit#gid=1251630045"",""articles_with_PRISMA_reasons!B2:B2113""))&gt;=2,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$A1147=IMPORTRANGE(""https://docs.google.com/spreadsheets/d/1BJSV3WBYJGRhQ6zExamkszQ5VutGIcaQqmbD9ZTVXMQ/edit#gid=1251630045"",""articles_with_PRISMA_reasons!B2:B2113""))&lt;2),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$A1147=IMPORTRANGE(""https://docs.google.com/spreadsheets/d/1BJSV3WBYJGRhQ6zExamkszQ5VutGIcaQqmbD9ZTVXMQ/edit#gid=1251630045"",""a"&amp;"rticles_with_PRISMA_reasons!B2:B2113""))&lt;2,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$A1147=IMPORTRANGE(""https://docs.google"&amp;".com/spreadsheets/d/1BJSV3WBYJGRhQ6zExamkszQ5VutGIcaQqmbD9ZTVXMQ/edit#gid=1251630045"",""articles_with_PRISMA_reasons!B2:B2113""))&gt;=2),
""Exclude""
)"),"Exclude")</f>
        <v>Exclude</v>
      </c>
      <c r="E1147" s="5" t="str">
        <f>IFERROR(__xludf.DUMMYFUNCTION("IFS(
D1147=""Exclude"",""Exclude"",
AND(
FILTER(IMPORTRANGE(""https://docs.google.com/spreadsheets/d/1qpEmbGH0JjaJbUdp21-y2cPbobDbMjr09BbtdKROZWc/edit#gid=1444865654"",""articles_with_PRISMA_reasons!W2:W2113""), $A1147=IMPORTRANGE(""https://docs.google.co"&amp;"m/spreadsheets/d/1qpEmbGH0JjaJbUdp21-y2cPbobDbMjr09BbtdKROZWc/edit#gid=1444865654"",""articles_with_PRISMA_reasons!B2:B2113""))&gt;=2,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$A1147=IMPORTRANGE(""https://docs.google.com/spreadsheets/d/1qpEmbGH0JjaJbUdp21-y2cPbobDbMjr09BbtdKROZWc/edit#gid=1444865654"",""articles_with_PRISMA_reasons!B2:B2113""))&lt;2),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$A1147=IMPORTRANGE(""https://docs.google.com/spreadsheets/d/1qpEmbGH0JjaJbUdp21-y2cPbobDbMjr09Bbtd"&amp;"KROZWc/edit#gid=1444865654"",""articles_with_PRISMA_reasons!B2:B2113""))&lt;2,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$A1147=I"&amp;"MPORTRANGE(""https://docs.google.com/spreadsheets/d/1qpEmbGH0JjaJbUdp21-y2cPbobDbMjr09BbtdKROZWc/edit#gid=1444865654"",""articles_with_PRISMA_reasons!B2:B2113""))&gt;=2),
""Exclude""
)"),"Exclude")</f>
        <v>Exclude</v>
      </c>
      <c r="F1147" s="5" t="str">
        <f>IFERROR(__xludf.DUMMYFUNCTION("IFS(
E1147=""Exclude"",""Exclude"",
AND(
COUNTIF(
IMPORTRANGE(""https://docs.google.com/spreadsheets/d/1kGrh75X1cNR1D7_FcY9zMnHP8iPO4M5RCRjy6nZY0TY/edit#gid=0"",""Table 1: Study characteristics!B4:B171""),A1147)&gt;0,
COUNTIF(Studies!$A$2:$A$85,FILTER(IMPORT"&amp;"RANGE(""https://docs.google.com/spreadsheets/d/1kGrh75X1cNR1D7_FcY9zMnHP8iPO4M5RCRjy6nZY0TY/edit#gid=0"",""Table 1: Study characteristics!A4:A171""), $A1147=IMPORTRANGE(""https://docs.google.com/spreadsheets/d/1kGrh75X1cNR1D7_FcY9zMnHP8iPO4M5RCRjy6nZY0TY/"&amp;"edit#gid=0"",""Table 1: Study characteristics!B4:B171"")))&gt;0
),
""Include""
)"),"Exclude")</f>
        <v>Exclude</v>
      </c>
      <c r="G1147" s="5" t="str">
        <f>IFERROR(__xludf.DUMMYFUNCTION("IFS(
D1147=""Exclude"",
FILTER(IMPORTRANGE(""https://docs.google.com/spreadsheets/d/1BJSV3WBYJGRhQ6zExamkszQ5VutGIcaQqmbD9ZTVXMQ/edit#gid=1251630045"",""articles_with_PRISMA_reasons!AB2:AB2113""), $A1147=IMPORTRANGE(""https://docs.google.com/spreadsheets/"&amp;"d/1BJSV3WBYJGRhQ6zExamkszQ5VutGIcaQqmbD9ZTVXMQ/edit#gid=1251630045"",""articles_with_PRISMA_reasons!B2:B2113"")),
E1147=""Exclude"",
FILTER(IMPORTRANGE(""https://docs.google.com/spreadsheets/d/1qpEmbGH0JjaJbUdp21-y2cPbobDbMjr09BbtdKROZWc/edit#gid=14448656"&amp;"54"",""articles_with_PRISMA_reasons!Z2:Z2113""), $A1147=IMPORTRANGE(""https://docs.google.com/spreadsheets/d/1qpEmbGH0JjaJbUdp21-y2cPbobDbMjr09BbtdKROZWc/edit#gid=1444865654"",""articles_with_PRISMA_reasons!B2:B2113"")),F1147
=""Include"",FILTER(IMPORTRAN"&amp;"GE(""https://docs.google.com/spreadsheets/d/1kGrh75X1cNR1D7_FcY9zMnHP8iPO4M5RCRjy6nZY0TY/edit#gid=0"",""Table 1: Study characteristics!A4:A171""), $A1147=IMPORTRANGE(""https://docs.google.com/spreadsheets/d/1kGrh75X1cNR1D7_FcY9zMnHP8iPO4M5RCRjy6nZY0TY/edi"&amp;"t#gid=0"",""Table 1: Study characteristics!B4:B171""))
)"),"Duplicate")</f>
        <v>Duplicate</v>
      </c>
    </row>
    <row r="1148">
      <c r="A1148" s="4" t="str">
        <f>IFERROR(__xludf.DUMMYFUNCTION("""COMPUTED_VALUE"""),"Maternal serum alpha-fetoprotein level and the relationship to ventriculomegaly in fetal neural tube defect: A retrospective cohort study")</f>
        <v>Maternal serum alpha-fetoprotein level and the relationship to ventriculomegaly in fetal neural tube defect: A retrospective cohort study</v>
      </c>
      <c r="B1148" s="5" t="str">
        <f>IFERROR(__xludf.DUMMYFUNCTION("LEFT(FILTER(IMPORTRANGE(""https://docs.google.com/spreadsheets/d/1BJSV3WBYJGRhQ6zExamkszQ5VutGIcaQqmbD9ZTVXMQ/edit#gid=1251630045"",""articles_with_PRISMA_reasons!K2:K2113""), $A1148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$A1148=IMPORTRANGE(""https://docs.google.com/spreadsheets/d/1BJSV3WBYJGRhQ6zExamkszQ5VutGIcaQqmbD9ZTVXMQ/edit#gid=1251630045"",""articles_with_PRISMA_reasons!B2:B2113"")))-1)"),"Corroenne")</f>
        <v>Corroenne</v>
      </c>
      <c r="C1148" s="6">
        <f>IFERROR(__xludf.DUMMYFUNCTION("FILTER(IMPORTRANGE(""https://docs.google.com/spreadsheets/d/1BJSV3WBYJGRhQ6zExamkszQ5VutGIcaQqmbD9ZTVXMQ/edit#gid=1251630045"",""articles_with_PRISMA_reasons!C2:C2113""), $A1148=IMPORTRANGE(""https://docs.google.com/spreadsheets/d/1BJSV3WBYJGRhQ6zExamkszQ"&amp;"5VutGIcaQqmbD9ZTVXMQ/edit#gid=1251630045"",""articles_with_PRISMA_reasons!B2:B2113""))"),2021.0)</f>
        <v>2021</v>
      </c>
      <c r="D1148" s="5" t="str">
        <f>IFERROR(__xludf.DUMMYFUNCTION("IFS(AND(
FILTER(IMPORTRANGE(""https://docs.google.com/spreadsheets/d/1BJSV3WBYJGRhQ6zExamkszQ5VutGIcaQqmbD9ZTVXMQ/edit#gid=1251630045"",""articles_with_PRISMA_reasons!Y2:Y2113""), $A1148=IMPORTRANGE(""https://docs.google.com/spreadsheets/d/1BJSV3WBYJGRhQ6"&amp;"zExamkszQ5VutGIcaQqmbD9ZTVXMQ/edit#gid=1251630045"",""articles_with_PRISMA_reasons!B2:B2113""))&gt;=2,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$A1148=IMPORTRANGE(""https://docs.google.com/spreadsheets/d/1BJSV3WBYJGRhQ6zExamkszQ5VutGIcaQqmbD9ZTVXMQ/edit#gid=1251630045"",""articles_with_PRISMA_reasons!B2:B2113""))&lt;2),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$A1148=IMPORTRANGE(""https://docs.google.com/spreadsheets/d/1BJSV3WBYJGRhQ6zExamkszQ5VutGIcaQqmbD9ZTVXMQ/edit#gid=1251630045"",""a"&amp;"rticles_with_PRISMA_reasons!B2:B2113""))&lt;2,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$A1148=IMPORTRANGE(""https://docs.google"&amp;".com/spreadsheets/d/1BJSV3WBYJGRhQ6zExamkszQ5VutGIcaQqmbD9ZTVXMQ/edit#gid=1251630045"",""articles_with_PRISMA_reasons!B2:B2113""))&gt;=2),
""Exclude""
)"),"Exclude")</f>
        <v>Exclude</v>
      </c>
      <c r="E1148" s="5" t="str">
        <f>IFERROR(__xludf.DUMMYFUNCTION("IFS(
D1148=""Exclude"",""Exclude"",
AND(
FILTER(IMPORTRANGE(""https://docs.google.com/spreadsheets/d/1qpEmbGH0JjaJbUdp21-y2cPbobDbMjr09BbtdKROZWc/edit#gid=1444865654"",""articles_with_PRISMA_reasons!W2:W2113""), $A1148=IMPORTRANGE(""https://docs.google.co"&amp;"m/spreadsheets/d/1qpEmbGH0JjaJbUdp21-y2cPbobDbMjr09BbtdKROZWc/edit#gid=1444865654"",""articles_with_PRISMA_reasons!B2:B2113""))&gt;=2,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$A1148=IMPORTRANGE(""https://docs.google.com/spreadsheets/d/1qpEmbGH0JjaJbUdp21-y2cPbobDbMjr09BbtdKROZWc/edit#gid=1444865654"",""articles_with_PRISMA_reasons!B2:B2113""))&lt;2),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$A1148=IMPORTRANGE(""https://docs.google.com/spreadsheets/d/1qpEmbGH0JjaJbUdp21-y2cPbobDbMjr09Bbtd"&amp;"KROZWc/edit#gid=1444865654"",""articles_with_PRISMA_reasons!B2:B2113""))&lt;2,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$A1148=I"&amp;"MPORTRANGE(""https://docs.google.com/spreadsheets/d/1qpEmbGH0JjaJbUdp21-y2cPbobDbMjr09BbtdKROZWc/edit#gid=1444865654"",""articles_with_PRISMA_reasons!B2:B2113""))&gt;=2),
""Exclude""
)"),"Exclude")</f>
        <v>Exclude</v>
      </c>
      <c r="F1148" s="5" t="str">
        <f>IFERROR(__xludf.DUMMYFUNCTION("IFS(
E1148=""Exclude"",""Exclude"",
AND(
COUNTIF(
IMPORTRANGE(""https://docs.google.com/spreadsheets/d/1kGrh75X1cNR1D7_FcY9zMnHP8iPO4M5RCRjy6nZY0TY/edit#gid=0"",""Table 1: Study characteristics!B4:B171""),A1148)&gt;0,
COUNTIF(Studies!$A$2:$A$85,FILTER(IMPORT"&amp;"RANGE(""https://docs.google.com/spreadsheets/d/1kGrh75X1cNR1D7_FcY9zMnHP8iPO4M5RCRjy6nZY0TY/edit#gid=0"",""Table 1: Study characteristics!A4:A171""), $A1148=IMPORTRANGE(""https://docs.google.com/spreadsheets/d/1kGrh75X1cNR1D7_FcY9zMnHP8iPO4M5RCRjy6nZY0TY/"&amp;"edit#gid=0"",""Table 1: Study characteristics!B4:B171"")))&gt;0
),
""Include""
)"),"Exclude")</f>
        <v>Exclude</v>
      </c>
      <c r="G1148" s="5" t="str">
        <f>IFERROR(__xludf.DUMMYFUNCTION("IFS(
D1148=""Exclude"",
FILTER(IMPORTRANGE(""https://docs.google.com/spreadsheets/d/1BJSV3WBYJGRhQ6zExamkszQ5VutGIcaQqmbD9ZTVXMQ/edit#gid=1251630045"",""articles_with_PRISMA_reasons!AB2:AB2113""), $A1148=IMPORTRANGE(""https://docs.google.com/spreadsheets/"&amp;"d/1BJSV3WBYJGRhQ6zExamkszQ5VutGIcaQqmbD9ZTVXMQ/edit#gid=1251630045"",""articles_with_PRISMA_reasons!B2:B2113"")),
E1148=""Exclude"",
FILTER(IMPORTRANGE(""https://docs.google.com/spreadsheets/d/1qpEmbGH0JjaJbUdp21-y2cPbobDbMjr09BbtdKROZWc/edit#gid=14448656"&amp;"54"",""articles_with_PRISMA_reasons!Z2:Z2113""), $A1148=IMPORTRANGE(""https://docs.google.com/spreadsheets/d/1qpEmbGH0JjaJbUdp21-y2cPbobDbMjr09BbtdKROZWc/edit#gid=1444865654"",""articles_with_PRISMA_reasons!B2:B2113"")),F1148
=""Include"",FILTER(IMPORTRAN"&amp;"GE(""https://docs.google.com/spreadsheets/d/1kGrh75X1cNR1D7_FcY9zMnHP8iPO4M5RCRjy6nZY0TY/edit#gid=0"",""Table 1: Study characteristics!A4:A171""), $A1148=IMPORTRANGE(""https://docs.google.com/spreadsheets/d/1kGrh75X1cNR1D7_FcY9zMnHP8iPO4M5RCRjy6nZY0TY/edi"&amp;"t#gid=0"",""Table 1: Study characteristics!B4:B171""))
)"),"wrong population")</f>
        <v>wrong population</v>
      </c>
    </row>
    <row r="1149">
      <c r="A1149" s="4" t="str">
        <f>IFERROR(__xludf.DUMMYFUNCTION("""COMPUTED_VALUE"""),"Maternal-fetal surgery for myelomeningocele: Neurodevelopmental outcomes at 2 years of age")</f>
        <v>Maternal-fetal surgery for myelomeningocele: Neurodevelopmental outcomes at 2 years of age</v>
      </c>
      <c r="B1149" s="5" t="str">
        <f>IFERROR(__xludf.DUMMYFUNCTION("LEFT(FILTER(IMPORTRANGE(""https://docs.google.com/spreadsheets/d/1BJSV3WBYJGRhQ6zExamkszQ5VutGIcaQqmbD9ZTVXMQ/edit#gid=1251630045"",""articles_with_PRISMA_reasons!K2:K2113""), $A1149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$A1149=IMPORTRANGE(""https://docs.google.com/spreadsheets/d/1BJSV3WBYJGRhQ6zExamkszQ5VutGIcaQqmbD9ZTVXMQ/edit#gid=1251630045"",""articles_with_PRISMA_reasons!B2:B2113"")))-1)"),"Johnson")</f>
        <v>Johnson</v>
      </c>
      <c r="C1149" s="6">
        <f>IFERROR(__xludf.DUMMYFUNCTION("FILTER(IMPORTRANGE(""https://docs.google.com/spreadsheets/d/1BJSV3WBYJGRhQ6zExamkszQ5VutGIcaQqmbD9ZTVXMQ/edit#gid=1251630045"",""articles_with_PRISMA_reasons!C2:C2113""), $A1149=IMPORTRANGE(""https://docs.google.com/spreadsheets/d/1BJSV3WBYJGRhQ6zExamkszQ"&amp;"5VutGIcaQqmbD9ZTVXMQ/edit#gid=1251630045"",""articles_with_PRISMA_reasons!B2:B2113""))"),2006.0)</f>
        <v>2006</v>
      </c>
      <c r="D1149" s="5" t="str">
        <f>IFERROR(__xludf.DUMMYFUNCTION("IFS(AND(
FILTER(IMPORTRANGE(""https://docs.google.com/spreadsheets/d/1BJSV3WBYJGRhQ6zExamkszQ5VutGIcaQqmbD9ZTVXMQ/edit#gid=1251630045"",""articles_with_PRISMA_reasons!Y2:Y2113""), $A1149=IMPORTRANGE(""https://docs.google.com/spreadsheets/d/1BJSV3WBYJGRhQ6"&amp;"zExamkszQ5VutGIcaQqmbD9ZTVXMQ/edit#gid=1251630045"",""articles_with_PRISMA_reasons!B2:B2113""))&gt;=2,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$A1149=IMPORTRANGE(""https://docs.google.com/spreadsheets/d/1BJSV3WBYJGRhQ6zExamkszQ5VutGIcaQqmbD9ZTVXMQ/edit#gid=1251630045"",""articles_with_PRISMA_reasons!B2:B2113""))&lt;2),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$A1149=IMPORTRANGE(""https://docs.google.com/spreadsheets/d/1BJSV3WBYJGRhQ6zExamkszQ5VutGIcaQqmbD9ZTVXMQ/edit#gid=1251630045"",""a"&amp;"rticles_with_PRISMA_reasons!B2:B2113""))&lt;2,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$A1149=IMPORTRANGE(""https://docs.google"&amp;".com/spreadsheets/d/1BJSV3WBYJGRhQ6zExamkszQ5VutGIcaQqmbD9ZTVXMQ/edit#gid=1251630045"",""articles_with_PRISMA_reasons!B2:B2113""))&gt;=2),
""Exclude""
)"),"Exclude")</f>
        <v>Exclude</v>
      </c>
      <c r="E1149" s="5" t="str">
        <f>IFERROR(__xludf.DUMMYFUNCTION("IFS(
D1149=""Exclude"",""Exclude"",
AND(
FILTER(IMPORTRANGE(""https://docs.google.com/spreadsheets/d/1qpEmbGH0JjaJbUdp21-y2cPbobDbMjr09BbtdKROZWc/edit#gid=1444865654"",""articles_with_PRISMA_reasons!W2:W2113""), $A1149=IMPORTRANGE(""https://docs.google.co"&amp;"m/spreadsheets/d/1qpEmbGH0JjaJbUdp21-y2cPbobDbMjr09BbtdKROZWc/edit#gid=1444865654"",""articles_with_PRISMA_reasons!B2:B2113""))&gt;=2,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$A1149=IMPORTRANGE(""https://docs.google.com/spreadsheets/d/1qpEmbGH0JjaJbUdp21-y2cPbobDbMjr09BbtdKROZWc/edit#gid=1444865654"",""articles_with_PRISMA_reasons!B2:B2113""))&lt;2),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$A1149=IMPORTRANGE(""https://docs.google.com/spreadsheets/d/1qpEmbGH0JjaJbUdp21-y2cPbobDbMjr09Bbtd"&amp;"KROZWc/edit#gid=1444865654"",""articles_with_PRISMA_reasons!B2:B2113""))&lt;2,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$A1149=I"&amp;"MPORTRANGE(""https://docs.google.com/spreadsheets/d/1qpEmbGH0JjaJbUdp21-y2cPbobDbMjr09BbtdKROZWc/edit#gid=1444865654"",""articles_with_PRISMA_reasons!B2:B2113""))&gt;=2),
""Exclude""
)"),"Exclude")</f>
        <v>Exclude</v>
      </c>
      <c r="F1149" s="5" t="str">
        <f>IFERROR(__xludf.DUMMYFUNCTION("IFS(
E1149=""Exclude"",""Exclude"",
AND(
COUNTIF(
IMPORTRANGE(""https://docs.google.com/spreadsheets/d/1kGrh75X1cNR1D7_FcY9zMnHP8iPO4M5RCRjy6nZY0TY/edit#gid=0"",""Table 1: Study characteristics!B4:B171""),A1149)&gt;0,
COUNTIF(Studies!$A$2:$A$85,FILTER(IMPORT"&amp;"RANGE(""https://docs.google.com/spreadsheets/d/1kGrh75X1cNR1D7_FcY9zMnHP8iPO4M5RCRjy6nZY0TY/edit#gid=0"",""Table 1: Study characteristics!A4:A171""), $A1149=IMPORTRANGE(""https://docs.google.com/spreadsheets/d/1kGrh75X1cNR1D7_FcY9zMnHP8iPO4M5RCRjy6nZY0TY/"&amp;"edit#gid=0"",""Table 1: Study characteristics!B4:B171"")))&gt;0
),
""Include""
)"),"Exclude")</f>
        <v>Exclude</v>
      </c>
      <c r="G1149" s="5" t="str">
        <f>IFERROR(__xludf.DUMMYFUNCTION("IFS(
D1149=""Exclude"",
FILTER(IMPORTRANGE(""https://docs.google.com/spreadsheets/d/1BJSV3WBYJGRhQ6zExamkszQ5VutGIcaQqmbD9ZTVXMQ/edit#gid=1251630045"",""articles_with_PRISMA_reasons!AB2:AB2113""), $A1149=IMPORTRANGE(""https://docs.google.com/spreadsheets/"&amp;"d/1BJSV3WBYJGRhQ6zExamkszQ5VutGIcaQqmbD9ZTVXMQ/edit#gid=1251630045"",""articles_with_PRISMA_reasons!B2:B2113"")),
E1149=""Exclude"",
FILTER(IMPORTRANGE(""https://docs.google.com/spreadsheets/d/1qpEmbGH0JjaJbUdp21-y2cPbobDbMjr09BbtdKROZWc/edit#gid=14448656"&amp;"54"",""articles_with_PRISMA_reasons!Z2:Z2113""), $A1149=IMPORTRANGE(""https://docs.google.com/spreadsheets/d/1qpEmbGH0JjaJbUdp21-y2cPbobDbMjr09BbtdKROZWc/edit#gid=1444865654"",""articles_with_PRISMA_reasons!B2:B2113"")),F1149
=""Include"",FILTER(IMPORTRAN"&amp;"GE(""https://docs.google.com/spreadsheets/d/1kGrh75X1cNR1D7_FcY9zMnHP8iPO4M5RCRjy6nZY0TY/edit#gid=0"",""Table 1: Study characteristics!A4:A171""), $A1149=IMPORTRANGE(""https://docs.google.com/spreadsheets/d/1kGrh75X1cNR1D7_FcY9zMnHP8iPO4M5RCRjy6nZY0TY/edi"&amp;"t#gid=0"",""Table 1: Study characteristics!B4:B171""))
)"),"Ante-natal intervention")</f>
        <v>Ante-natal intervention</v>
      </c>
    </row>
    <row r="1150">
      <c r="A1150" s="4" t="str">
        <f>IFERROR(__xludf.DUMMYFUNCTION("""COMPUTED_VALUE"""),"Math and numeracy in young adults with spina bifida and hydrocephalus")</f>
        <v>Math and numeracy in young adults with spina bifida and hydrocephalus</v>
      </c>
      <c r="B1150" s="5" t="str">
        <f>IFERROR(__xludf.DUMMYFUNCTION("LEFT(FILTER(IMPORTRANGE(""https://docs.google.com/spreadsheets/d/1BJSV3WBYJGRhQ6zExamkszQ5VutGIcaQqmbD9ZTVXMQ/edit#gid=1251630045"",""articles_with_PRISMA_reasons!K2:K2113""), $A1150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$A1150=IMPORTRANGE(""https://docs.google.com/spreadsheets/d/1BJSV3WBYJGRhQ6zExamkszQ5VutGIcaQqmbD9ZTVXMQ/edit#gid=1251630045"",""articles_with_PRISMA_reasons!B2:B2113"")))-1)"),"Dennis")</f>
        <v>Dennis</v>
      </c>
      <c r="C1150" s="6">
        <f>IFERROR(__xludf.DUMMYFUNCTION("FILTER(IMPORTRANGE(""https://docs.google.com/spreadsheets/d/1BJSV3WBYJGRhQ6zExamkszQ5VutGIcaQqmbD9ZTVXMQ/edit#gid=1251630045"",""articles_with_PRISMA_reasons!C2:C2113""), $A1150=IMPORTRANGE(""https://docs.google.com/spreadsheets/d/1BJSV3WBYJGRhQ6zExamkszQ"&amp;"5VutGIcaQqmbD9ZTVXMQ/edit#gid=1251630045"",""articles_with_PRISMA_reasons!B2:B2113""))"),2002.0)</f>
        <v>2002</v>
      </c>
      <c r="D1150" s="5" t="str">
        <f>IFERROR(__xludf.DUMMYFUNCTION("IFS(AND(
FILTER(IMPORTRANGE(""https://docs.google.com/spreadsheets/d/1BJSV3WBYJGRhQ6zExamkszQ5VutGIcaQqmbD9ZTVXMQ/edit#gid=1251630045"",""articles_with_PRISMA_reasons!Y2:Y2113""), $A1150=IMPORTRANGE(""https://docs.google.com/spreadsheets/d/1BJSV3WBYJGRhQ6"&amp;"zExamkszQ5VutGIcaQqmbD9ZTVXMQ/edit#gid=1251630045"",""articles_with_PRISMA_reasons!B2:B2113""))&gt;=2,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$A1150=IMPORTRANGE(""https://docs.google.com/spreadsheets/d/1BJSV3WBYJGRhQ6zExamkszQ5VutGIcaQqmbD9ZTVXMQ/edit#gid=1251630045"",""articles_with_PRISMA_reasons!B2:B2113""))&lt;2),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$A1150=IMPORTRANGE(""https://docs.google.com/spreadsheets/d/1BJSV3WBYJGRhQ6zExamkszQ5VutGIcaQqmbD9ZTVXMQ/edit#gid=1251630045"",""a"&amp;"rticles_with_PRISMA_reasons!B2:B2113""))&lt;2,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$A1150=IMPORTRANGE(""https://docs.google"&amp;".com/spreadsheets/d/1BJSV3WBYJGRhQ6zExamkszQ5VutGIcaQqmbD9ZTVXMQ/edit#gid=1251630045"",""articles_with_PRISMA_reasons!B2:B2113""))&gt;=2),
""Exclude""
)"),"Exclude")</f>
        <v>Exclude</v>
      </c>
      <c r="E1150" s="5" t="str">
        <f>IFERROR(__xludf.DUMMYFUNCTION("IFS(
D1150=""Exclude"",""Exclude"",
AND(
FILTER(IMPORTRANGE(""https://docs.google.com/spreadsheets/d/1qpEmbGH0JjaJbUdp21-y2cPbobDbMjr09BbtdKROZWc/edit#gid=1444865654"",""articles_with_PRISMA_reasons!W2:W2113""), $A1150=IMPORTRANGE(""https://docs.google.co"&amp;"m/spreadsheets/d/1qpEmbGH0JjaJbUdp21-y2cPbobDbMjr09BbtdKROZWc/edit#gid=1444865654"",""articles_with_PRISMA_reasons!B2:B2113""))&gt;=2,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$A1150=IMPORTRANGE(""https://docs.google.com/spreadsheets/d/1qpEmbGH0JjaJbUdp21-y2cPbobDbMjr09BbtdKROZWc/edit#gid=1444865654"",""articles_with_PRISMA_reasons!B2:B2113""))&lt;2),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$A1150=IMPORTRANGE(""https://docs.google.com/spreadsheets/d/1qpEmbGH0JjaJbUdp21-y2cPbobDbMjr09Bbtd"&amp;"KROZWc/edit#gid=1444865654"",""articles_with_PRISMA_reasons!B2:B2113""))&lt;2,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$A1150=I"&amp;"MPORTRANGE(""https://docs.google.com/spreadsheets/d/1qpEmbGH0JjaJbUdp21-y2cPbobDbMjr09BbtdKROZWc/edit#gid=1444865654"",""articles_with_PRISMA_reasons!B2:B2113""))&gt;=2),
""Exclude""
)"),"Exclude")</f>
        <v>Exclude</v>
      </c>
      <c r="F1150" s="5" t="str">
        <f>IFERROR(__xludf.DUMMYFUNCTION("IFS(
E1150=""Exclude"",""Exclude"",
AND(
COUNTIF(
IMPORTRANGE(""https://docs.google.com/spreadsheets/d/1kGrh75X1cNR1D7_FcY9zMnHP8iPO4M5RCRjy6nZY0TY/edit#gid=0"",""Table 1: Study characteristics!B4:B171""),A1150)&gt;0,
COUNTIF(Studies!$A$2:$A$85,FILTER(IMPORT"&amp;"RANGE(""https://docs.google.com/spreadsheets/d/1kGrh75X1cNR1D7_FcY9zMnHP8iPO4M5RCRjy6nZY0TY/edit#gid=0"",""Table 1: Study characteristics!A4:A171""), $A1150=IMPORTRANGE(""https://docs.google.com/spreadsheets/d/1kGrh75X1cNR1D7_FcY9zMnHP8iPO4M5RCRjy6nZY0TY/"&amp;"edit#gid=0"",""Table 1: Study characteristics!B4:B171"")))&gt;0
),
""Include""
)"),"Exclude")</f>
        <v>Exclude</v>
      </c>
      <c r="G1150" s="5" t="str">
        <f>IFERROR(__xludf.DUMMYFUNCTION("IFS(
D1150=""Exclude"",
FILTER(IMPORTRANGE(""https://docs.google.com/spreadsheets/d/1BJSV3WBYJGRhQ6zExamkszQ5VutGIcaQqmbD9ZTVXMQ/edit#gid=1251630045"",""articles_with_PRISMA_reasons!AB2:AB2113""), $A1150=IMPORTRANGE(""https://docs.google.com/spreadsheets/"&amp;"d/1BJSV3WBYJGRhQ6zExamkszQ5VutGIcaQqmbD9ZTVXMQ/edit#gid=1251630045"",""articles_with_PRISMA_reasons!B2:B2113"")),
E1150=""Exclude"",
FILTER(IMPORTRANGE(""https://docs.google.com/spreadsheets/d/1qpEmbGH0JjaJbUdp21-y2cPbobDbMjr09BbtdKROZWc/edit#gid=14448656"&amp;"54"",""articles_with_PRISMA_reasons!Z2:Z2113""), $A1150=IMPORTRANGE(""https://docs.google.com/spreadsheets/d/1qpEmbGH0JjaJbUdp21-y2cPbobDbMjr09BbtdKROZWc/edit#gid=1444865654"",""articles_with_PRISMA_reasons!B2:B2113"")),F1150
=""Include"",FILTER(IMPORTRAN"&amp;"GE(""https://docs.google.com/spreadsheets/d/1kGrh75X1cNR1D7_FcY9zMnHP8iPO4M5RCRjy6nZY0TY/edit#gid=0"",""Table 1: Study characteristics!A4:A171""), $A1150=IMPORTRANGE(""https://docs.google.com/spreadsheets/d/1kGrh75X1cNR1D7_FcY9zMnHP8iPO4M5RCRjy6nZY0TY/edi"&amp;"t#gid=0"",""Table 1: Study characteristics!B4:B171""))
)"),"wrong population")</f>
        <v>wrong population</v>
      </c>
    </row>
    <row r="1151">
      <c r="A1151" s="4" t="str">
        <f>IFERROR(__xludf.DUMMYFUNCTION("""COMPUTED_VALUE"""),"Measurement of respiration in Arnold-Chiari malformation")</f>
        <v>Measurement of respiration in Arnold-Chiari malformation</v>
      </c>
      <c r="B1151" s="5" t="str">
        <f>IFERROR(__xludf.DUMMYFUNCTION("LEFT(FILTER(IMPORTRANGE(""https://docs.google.com/spreadsheets/d/1BJSV3WBYJGRhQ6zExamkszQ5VutGIcaQqmbD9ZTVXMQ/edit#gid=1251630045"",""articles_with_PRISMA_reasons!K2:K2113""), $A1151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$A1151=IMPORTRANGE(""https://docs.google.com/spreadsheets/d/1BJSV3WBYJGRhQ6zExamkszQ5VutGIcaQqmbD9ZTVXMQ/edit#gid=1251630045"",""articles_with_PRISMA_reasons!B2:B2113"")))-1)"),"Krieger")</f>
        <v>Krieger</v>
      </c>
      <c r="C1151" s="6">
        <f>IFERROR(__xludf.DUMMYFUNCTION("FILTER(IMPORTRANGE(""https://docs.google.com/spreadsheets/d/1BJSV3WBYJGRhQ6zExamkszQ5VutGIcaQqmbD9ZTVXMQ/edit#gid=1251630045"",""articles_with_PRISMA_reasons!C2:C2113""), $A1151=IMPORTRANGE(""https://docs.google.com/spreadsheets/d/1BJSV3WBYJGRhQ6zExamkszQ"&amp;"5VutGIcaQqmbD9ZTVXMQ/edit#gid=1251630045"",""articles_with_PRISMA_reasons!B2:B2113""))"),1976.0)</f>
        <v>1976</v>
      </c>
      <c r="D1151" s="5" t="str">
        <f>IFERROR(__xludf.DUMMYFUNCTION("IFS(AND(
FILTER(IMPORTRANGE(""https://docs.google.com/spreadsheets/d/1BJSV3WBYJGRhQ6zExamkszQ5VutGIcaQqmbD9ZTVXMQ/edit#gid=1251630045"",""articles_with_PRISMA_reasons!Y2:Y2113""), $A1151=IMPORTRANGE(""https://docs.google.com/spreadsheets/d/1BJSV3WBYJGRhQ6"&amp;"zExamkszQ5VutGIcaQqmbD9ZTVXMQ/edit#gid=1251630045"",""articles_with_PRISMA_reasons!B2:B2113""))&gt;=2,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$A1151=IMPORTRANGE(""https://docs.google.com/spreadsheets/d/1BJSV3WBYJGRhQ6zExamkszQ5VutGIcaQqmbD9ZTVXMQ/edit#gid=1251630045"",""articles_with_PRISMA_reasons!B2:B2113""))&lt;2),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$A1151=IMPORTRANGE(""https://docs.google.com/spreadsheets/d/1BJSV3WBYJGRhQ6zExamkszQ5VutGIcaQqmbD9ZTVXMQ/edit#gid=1251630045"",""a"&amp;"rticles_with_PRISMA_reasons!B2:B2113""))&lt;2,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$A1151=IMPORTRANGE(""https://docs.google"&amp;".com/spreadsheets/d/1BJSV3WBYJGRhQ6zExamkszQ5VutGIcaQqmbD9ZTVXMQ/edit#gid=1251630045"",""articles_with_PRISMA_reasons!B2:B2113""))&gt;=2),
""Exclude""
)"),"Exclude")</f>
        <v>Exclude</v>
      </c>
      <c r="E1151" s="5" t="str">
        <f>IFERROR(__xludf.DUMMYFUNCTION("IFS(
D1151=""Exclude"",""Exclude"",
AND(
FILTER(IMPORTRANGE(""https://docs.google.com/spreadsheets/d/1qpEmbGH0JjaJbUdp21-y2cPbobDbMjr09BbtdKROZWc/edit#gid=1444865654"",""articles_with_PRISMA_reasons!W2:W2113""), $A1151=IMPORTRANGE(""https://docs.google.co"&amp;"m/spreadsheets/d/1qpEmbGH0JjaJbUdp21-y2cPbobDbMjr09BbtdKROZWc/edit#gid=1444865654"",""articles_with_PRISMA_reasons!B2:B2113""))&gt;=2,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$A1151=IMPORTRANGE(""https://docs.google.com/spreadsheets/d/1qpEmbGH0JjaJbUdp21-y2cPbobDbMjr09BbtdKROZWc/edit#gid=1444865654"",""articles_with_PRISMA_reasons!B2:B2113""))&lt;2),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$A1151=IMPORTRANGE(""https://docs.google.com/spreadsheets/d/1qpEmbGH0JjaJbUdp21-y2cPbobDbMjr09Bbtd"&amp;"KROZWc/edit#gid=1444865654"",""articles_with_PRISMA_reasons!B2:B2113""))&lt;2,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$A1151=I"&amp;"MPORTRANGE(""https://docs.google.com/spreadsheets/d/1qpEmbGH0JjaJbUdp21-y2cPbobDbMjr09BbtdKROZWc/edit#gid=1444865654"",""articles_with_PRISMA_reasons!B2:B2113""))&gt;=2),
""Exclude""
)"),"Exclude")</f>
        <v>Exclude</v>
      </c>
      <c r="F1151" s="5" t="str">
        <f>IFERROR(__xludf.DUMMYFUNCTION("IFS(
E1151=""Exclude"",""Exclude"",
AND(
COUNTIF(
IMPORTRANGE(""https://docs.google.com/spreadsheets/d/1kGrh75X1cNR1D7_FcY9zMnHP8iPO4M5RCRjy6nZY0TY/edit#gid=0"",""Table 1: Study characteristics!B4:B171""),A1151)&gt;0,
COUNTIF(Studies!$A$2:$A$85,FILTER(IMPORT"&amp;"RANGE(""https://docs.google.com/spreadsheets/d/1kGrh75X1cNR1D7_FcY9zMnHP8iPO4M5RCRjy6nZY0TY/edit#gid=0"",""Table 1: Study characteristics!A4:A171""), $A1151=IMPORTRANGE(""https://docs.google.com/spreadsheets/d/1kGrh75X1cNR1D7_FcY9zMnHP8iPO4M5RCRjy6nZY0TY/"&amp;"edit#gid=0"",""Table 1: Study characteristics!B4:B171"")))&gt;0
),
""Include""
)"),"Exclude")</f>
        <v>Exclude</v>
      </c>
      <c r="G1151" s="5" t="str">
        <f>IFERROR(__xludf.DUMMYFUNCTION("IFS(
D1151=""Exclude"",
FILTER(IMPORTRANGE(""https://docs.google.com/spreadsheets/d/1BJSV3WBYJGRhQ6zExamkszQ5VutGIcaQqmbD9ZTVXMQ/edit#gid=1251630045"",""articles_with_PRISMA_reasons!AB2:AB2113""), $A1151=IMPORTRANGE(""https://docs.google.com/spreadsheets/"&amp;"d/1BJSV3WBYJGRhQ6zExamkszQ5VutGIcaQqmbD9ZTVXMQ/edit#gid=1251630045"",""articles_with_PRISMA_reasons!B2:B2113"")),
E1151=""Exclude"",
FILTER(IMPORTRANGE(""https://docs.google.com/spreadsheets/d/1qpEmbGH0JjaJbUdp21-y2cPbobDbMjr09BbtdKROZWc/edit#gid=14448656"&amp;"54"",""articles_with_PRISMA_reasons!Z2:Z2113""), $A1151=IMPORTRANGE(""https://docs.google.com/spreadsheets/d/1qpEmbGH0JjaJbUdp21-y2cPbobDbMjr09BbtdKROZWc/edit#gid=1444865654"",""articles_with_PRISMA_reasons!B2:B2113"")),F1151
=""Include"",FILTER(IMPORTRAN"&amp;"GE(""https://docs.google.com/spreadsheets/d/1kGrh75X1cNR1D7_FcY9zMnHP8iPO4M5RCRjy6nZY0TY/edit#gid=0"",""Table 1: Study characteristics!A4:A171""), $A1151=IMPORTRANGE(""https://docs.google.com/spreadsheets/d/1kGrh75X1cNR1D7_FcY9zMnHP8iPO4M5RCRjy6nZY0TY/edi"&amp;"t#gid=0"",""Table 1: Study characteristics!B4:B171""))
)"),"wrong outcome")</f>
        <v>wrong outcome</v>
      </c>
    </row>
    <row r="1152">
      <c r="A1152" s="4" t="str">
        <f>IFERROR(__xludf.DUMMYFUNCTION("""COMPUTED_VALUE"""),"Mechanical complications of the reservoirs and flushing devices in ventricular shunt systems")</f>
        <v>Mechanical complications of the reservoirs and flushing devices in ventricular shunt systems</v>
      </c>
      <c r="B1152" s="5" t="str">
        <f>IFERROR(__xludf.DUMMYFUNCTION("LEFT(FILTER(IMPORTRANGE(""https://docs.google.com/spreadsheets/d/1BJSV3WBYJGRhQ6zExamkszQ5VutGIcaQqmbD9ZTVXMQ/edit#gid=1251630045"",""articles_with_PRISMA_reasons!K2:K2113""), $A1152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$A1152=IMPORTRANGE(""https://docs.google.com/spreadsheets/d/1BJSV3WBYJGRhQ6zExamkszQ5VutGIcaQqmbD9ZTVXMQ/edit#gid=1251630045"",""articles_with_PRISMA_reasons!B2:B2113"")))-1)"),"Martinez-Lage")</f>
        <v>Martinez-Lage</v>
      </c>
      <c r="C1152" s="6">
        <f>IFERROR(__xludf.DUMMYFUNCTION("FILTER(IMPORTRANGE(""https://docs.google.com/spreadsheets/d/1BJSV3WBYJGRhQ6zExamkszQ5VutGIcaQqmbD9ZTVXMQ/edit#gid=1251630045"",""articles_with_PRISMA_reasons!C2:C2113""), $A1152=IMPORTRANGE(""https://docs.google.com/spreadsheets/d/1BJSV3WBYJGRhQ6zExamkszQ"&amp;"5VutGIcaQqmbD9ZTVXMQ/edit#gid=1251630045"",""articles_with_PRISMA_reasons!B2:B2113""))"),1992.0)</f>
        <v>1992</v>
      </c>
      <c r="D1152" s="5" t="str">
        <f>IFERROR(__xludf.DUMMYFUNCTION("IFS(AND(
FILTER(IMPORTRANGE(""https://docs.google.com/spreadsheets/d/1BJSV3WBYJGRhQ6zExamkszQ5VutGIcaQqmbD9ZTVXMQ/edit#gid=1251630045"",""articles_with_PRISMA_reasons!Y2:Y2113""), $A1152=IMPORTRANGE(""https://docs.google.com/spreadsheets/d/1BJSV3WBYJGRhQ6"&amp;"zExamkszQ5VutGIcaQqmbD9ZTVXMQ/edit#gid=1251630045"",""articles_with_PRISMA_reasons!B2:B2113""))&gt;=2,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$A1152=IMPORTRANGE(""https://docs.google.com/spreadsheets/d/1BJSV3WBYJGRhQ6zExamkszQ5VutGIcaQqmbD9ZTVXMQ/edit#gid=1251630045"",""articles_with_PRISMA_reasons!B2:B2113""))&lt;2),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$A1152=IMPORTRANGE(""https://docs.google.com/spreadsheets/d/1BJSV3WBYJGRhQ6zExamkszQ5VutGIcaQqmbD9ZTVXMQ/edit#gid=1251630045"",""a"&amp;"rticles_with_PRISMA_reasons!B2:B2113""))&lt;2,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$A1152=IMPORTRANGE(""https://docs.google"&amp;".com/spreadsheets/d/1BJSV3WBYJGRhQ6zExamkszQ5VutGIcaQqmbD9ZTVXMQ/edit#gid=1251630045"",""articles_with_PRISMA_reasons!B2:B2113""))&gt;=2),
""Exclude""
)"),"Exclude")</f>
        <v>Exclude</v>
      </c>
      <c r="E1152" s="5" t="str">
        <f>IFERROR(__xludf.DUMMYFUNCTION("IFS(
D1152=""Exclude"",""Exclude"",
AND(
FILTER(IMPORTRANGE(""https://docs.google.com/spreadsheets/d/1qpEmbGH0JjaJbUdp21-y2cPbobDbMjr09BbtdKROZWc/edit#gid=1444865654"",""articles_with_PRISMA_reasons!W2:W2113""), $A1152=IMPORTRANGE(""https://docs.google.co"&amp;"m/spreadsheets/d/1qpEmbGH0JjaJbUdp21-y2cPbobDbMjr09BbtdKROZWc/edit#gid=1444865654"",""articles_with_PRISMA_reasons!B2:B2113""))&gt;=2,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$A1152=IMPORTRANGE(""https://docs.google.com/spreadsheets/d/1qpEmbGH0JjaJbUdp21-y2cPbobDbMjr09BbtdKROZWc/edit#gid=1444865654"",""articles_with_PRISMA_reasons!B2:B2113""))&lt;2),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$A1152=IMPORTRANGE(""https://docs.google.com/spreadsheets/d/1qpEmbGH0JjaJbUdp21-y2cPbobDbMjr09Bbtd"&amp;"KROZWc/edit#gid=1444865654"",""articles_with_PRISMA_reasons!B2:B2113""))&lt;2,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$A1152=I"&amp;"MPORTRANGE(""https://docs.google.com/spreadsheets/d/1qpEmbGH0JjaJbUdp21-y2cPbobDbMjr09BbtdKROZWc/edit#gid=1444865654"",""articles_with_PRISMA_reasons!B2:B2113""))&gt;=2),
""Exclude""
)"),"Exclude")</f>
        <v>Exclude</v>
      </c>
      <c r="F1152" s="5" t="str">
        <f>IFERROR(__xludf.DUMMYFUNCTION("IFS(
E1152=""Exclude"",""Exclude"",
AND(
COUNTIF(
IMPORTRANGE(""https://docs.google.com/spreadsheets/d/1kGrh75X1cNR1D7_FcY9zMnHP8iPO4M5RCRjy6nZY0TY/edit#gid=0"",""Table 1: Study characteristics!B4:B171""),A1152)&gt;0,
COUNTIF(Studies!$A$2:$A$85,FILTER(IMPORT"&amp;"RANGE(""https://docs.google.com/spreadsheets/d/1kGrh75X1cNR1D7_FcY9zMnHP8iPO4M5RCRjy6nZY0TY/edit#gid=0"",""Table 1: Study characteristics!A4:A171""), $A1152=IMPORTRANGE(""https://docs.google.com/spreadsheets/d/1kGrh75X1cNR1D7_FcY9zMnHP8iPO4M5RCRjy6nZY0TY/"&amp;"edit#gid=0"",""Table 1: Study characteristics!B4:B171"")))&gt;0
),
""Include""
)"),"Exclude")</f>
        <v>Exclude</v>
      </c>
      <c r="G1152" s="5" t="str">
        <f>IFERROR(__xludf.DUMMYFUNCTION("IFS(
D1152=""Exclude"",
FILTER(IMPORTRANGE(""https://docs.google.com/spreadsheets/d/1BJSV3WBYJGRhQ6zExamkszQ5VutGIcaQqmbD9ZTVXMQ/edit#gid=1251630045"",""articles_with_PRISMA_reasons!AB2:AB2113""), $A1152=IMPORTRANGE(""https://docs.google.com/spreadsheets/"&amp;"d/1BJSV3WBYJGRhQ6zExamkszQ5VutGIcaQqmbD9ZTVXMQ/edit#gid=1251630045"",""articles_with_PRISMA_reasons!B2:B2113"")),
E1152=""Exclude"",
FILTER(IMPORTRANGE(""https://docs.google.com/spreadsheets/d/1qpEmbGH0JjaJbUdp21-y2cPbobDbMjr09BbtdKROZWc/edit#gid=14448656"&amp;"54"",""articles_with_PRISMA_reasons!Z2:Z2113""), $A1152=IMPORTRANGE(""https://docs.google.com/spreadsheets/d/1qpEmbGH0JjaJbUdp21-y2cPbobDbMjr09BbtdKROZWc/edit#gid=1444865654"",""articles_with_PRISMA_reasons!B2:B2113"")),F1152
=""Include"",FILTER(IMPORTRAN"&amp;"GE(""https://docs.google.com/spreadsheets/d/1kGrh75X1cNR1D7_FcY9zMnHP8iPO4M5RCRjy6nZY0TY/edit#gid=0"",""Table 1: Study characteristics!A4:A171""), $A1152=IMPORTRANGE(""https://docs.google.com/spreadsheets/d/1kGrh75X1cNR1D7_FcY9zMnHP8iPO4M5RCRjy6nZY0TY/edi"&amp;"t#gid=0"",""Table 1: Study characteristics!B4:B171""))
)"),"wrong population")</f>
        <v>wrong population</v>
      </c>
    </row>
    <row r="1153">
      <c r="A1153" s="4" t="str">
        <f>IFERROR(__xludf.DUMMYFUNCTION("""COMPUTED_VALUE"""),"Meckel Gruber syndrome: a case diagnosed in utero")</f>
        <v>Meckel Gruber syndrome: a case diagnosed in utero</v>
      </c>
      <c r="B1153" s="5" t="str">
        <f>IFERROR(__xludf.DUMMYFUNCTION("LEFT(FILTER(IMPORTRANGE(""https://docs.google.com/spreadsheets/d/1BJSV3WBYJGRhQ6zExamkszQ5VutGIcaQqmbD9ZTVXMQ/edit#gid=1251630045"",""articles_with_PRISMA_reasons!K2:K2113""), $A1153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$A1153=IMPORTRANGE(""https://docs.google.com/spreadsheets/d/1BJSV3WBYJGRhQ6zExamkszQ5VutGIcaQqmbD9ZTVXMQ/edit#gid=1251630045"",""articles_with_PRISMA_reasons!B2:B2113"")))-1)"),"Balci")</f>
        <v>Balci</v>
      </c>
      <c r="C1153" s="6">
        <f>IFERROR(__xludf.DUMMYFUNCTION("FILTER(IMPORTRANGE(""https://docs.google.com/spreadsheets/d/1BJSV3WBYJGRhQ6zExamkszQ5VutGIcaQqmbD9ZTVXMQ/edit#gid=1251630045"",""articles_with_PRISMA_reasons!C2:C2113""), $A1153=IMPORTRANGE(""https://docs.google.com/spreadsheets/d/1BJSV3WBYJGRhQ6zExamkszQ"&amp;"5VutGIcaQqmbD9ZTVXMQ/edit#gid=1251630045"",""articles_with_PRISMA_reasons!B2:B2113""))"),1992.0)</f>
        <v>1992</v>
      </c>
      <c r="D1153" s="5" t="str">
        <f>IFERROR(__xludf.DUMMYFUNCTION("IFS(AND(
FILTER(IMPORTRANGE(""https://docs.google.com/spreadsheets/d/1BJSV3WBYJGRhQ6zExamkszQ5VutGIcaQqmbD9ZTVXMQ/edit#gid=1251630045"",""articles_with_PRISMA_reasons!Y2:Y2113""), $A1153=IMPORTRANGE(""https://docs.google.com/spreadsheets/d/1BJSV3WBYJGRhQ6"&amp;"zExamkszQ5VutGIcaQqmbD9ZTVXMQ/edit#gid=1251630045"",""articles_with_PRISMA_reasons!B2:B2113""))&gt;=2,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$A1153=IMPORTRANGE(""https://docs.google.com/spreadsheets/d/1BJSV3WBYJGRhQ6zExamkszQ5VutGIcaQqmbD9ZTVXMQ/edit#gid=1251630045"",""articles_with_PRISMA_reasons!B2:B2113""))&lt;2),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$A1153=IMPORTRANGE(""https://docs.google.com/spreadsheets/d/1BJSV3WBYJGRhQ6zExamkszQ5VutGIcaQqmbD9ZTVXMQ/edit#gid=1251630045"",""a"&amp;"rticles_with_PRISMA_reasons!B2:B2113""))&lt;2,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$A1153=IMPORTRANGE(""https://docs.google"&amp;".com/spreadsheets/d/1BJSV3WBYJGRhQ6zExamkszQ5VutGIcaQqmbD9ZTVXMQ/edit#gid=1251630045"",""articles_with_PRISMA_reasons!B2:B2113""))&gt;=2),
""Exclude""
)"),"Exclude")</f>
        <v>Exclude</v>
      </c>
      <c r="E1153" s="5" t="str">
        <f>IFERROR(__xludf.DUMMYFUNCTION("IFS(
D1153=""Exclude"",""Exclude"",
AND(
FILTER(IMPORTRANGE(""https://docs.google.com/spreadsheets/d/1qpEmbGH0JjaJbUdp21-y2cPbobDbMjr09BbtdKROZWc/edit#gid=1444865654"",""articles_with_PRISMA_reasons!W2:W2113""), $A1153=IMPORTRANGE(""https://docs.google.co"&amp;"m/spreadsheets/d/1qpEmbGH0JjaJbUdp21-y2cPbobDbMjr09BbtdKROZWc/edit#gid=1444865654"",""articles_with_PRISMA_reasons!B2:B2113""))&gt;=2,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$A1153=IMPORTRANGE(""https://docs.google.com/spreadsheets/d/1qpEmbGH0JjaJbUdp21-y2cPbobDbMjr09BbtdKROZWc/edit#gid=1444865654"",""articles_with_PRISMA_reasons!B2:B2113""))&lt;2),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$A1153=IMPORTRANGE(""https://docs.google.com/spreadsheets/d/1qpEmbGH0JjaJbUdp21-y2cPbobDbMjr09Bbtd"&amp;"KROZWc/edit#gid=1444865654"",""articles_with_PRISMA_reasons!B2:B2113""))&lt;2,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$A1153=I"&amp;"MPORTRANGE(""https://docs.google.com/spreadsheets/d/1qpEmbGH0JjaJbUdp21-y2cPbobDbMjr09BbtdKROZWc/edit#gid=1444865654"",""articles_with_PRISMA_reasons!B2:B2113""))&gt;=2),
""Exclude""
)"),"Exclude")</f>
        <v>Exclude</v>
      </c>
      <c r="F1153" s="5" t="str">
        <f>IFERROR(__xludf.DUMMYFUNCTION("IFS(
E1153=""Exclude"",""Exclude"",
AND(
COUNTIF(
IMPORTRANGE(""https://docs.google.com/spreadsheets/d/1kGrh75X1cNR1D7_FcY9zMnHP8iPO4M5RCRjy6nZY0TY/edit#gid=0"",""Table 1: Study characteristics!B4:B171""),A1153)&gt;0,
COUNTIF(Studies!$A$2:$A$85,FILTER(IMPORT"&amp;"RANGE(""https://docs.google.com/spreadsheets/d/1kGrh75X1cNR1D7_FcY9zMnHP8iPO4M5RCRjy6nZY0TY/edit#gid=0"",""Table 1: Study characteristics!A4:A171""), $A1153=IMPORTRANGE(""https://docs.google.com/spreadsheets/d/1kGrh75X1cNR1D7_FcY9zMnHP8iPO4M5RCRjy6nZY0TY/"&amp;"edit#gid=0"",""Table 1: Study characteristics!B4:B171"")))&gt;0
),
""Include""
)"),"Exclude")</f>
        <v>Exclude</v>
      </c>
      <c r="G1153" s="5" t="str">
        <f>IFERROR(__xludf.DUMMYFUNCTION("IFS(
D1153=""Exclude"",
FILTER(IMPORTRANGE(""https://docs.google.com/spreadsheets/d/1BJSV3WBYJGRhQ6zExamkszQ5VutGIcaQqmbD9ZTVXMQ/edit#gid=1251630045"",""articles_with_PRISMA_reasons!AB2:AB2113""), $A1153=IMPORTRANGE(""https://docs.google.com/spreadsheets/"&amp;"d/1BJSV3WBYJGRhQ6zExamkszQ5VutGIcaQqmbD9ZTVXMQ/edit#gid=1251630045"",""articles_with_PRISMA_reasons!B2:B2113"")),
E1153=""Exclude"",
FILTER(IMPORTRANGE(""https://docs.google.com/spreadsheets/d/1qpEmbGH0JjaJbUdp21-y2cPbobDbMjr09BbtdKROZWc/edit#gid=14448656"&amp;"54"",""articles_with_PRISMA_reasons!Z2:Z2113""), $A1153=IMPORTRANGE(""https://docs.google.com/spreadsheets/d/1qpEmbGH0JjaJbUdp21-y2cPbobDbMjr09BbtdKROZWc/edit#gid=1444865654"",""articles_with_PRISMA_reasons!B2:B2113"")),F1153
=""Include"",FILTER(IMPORTRAN"&amp;"GE(""https://docs.google.com/spreadsheets/d/1kGrh75X1cNR1D7_FcY9zMnHP8iPO4M5RCRjy6nZY0TY/edit#gid=0"",""Table 1: Study characteristics!A4:A171""), $A1153=IMPORTRANGE(""https://docs.google.com/spreadsheets/d/1kGrh75X1cNR1D7_FcY9zMnHP8iPO4M5RCRjy6nZY0TY/edi"&amp;"t#gid=0"",""Table 1: Study characteristics!B4:B171""))
)"),"wrong publication type")</f>
        <v>wrong publication type</v>
      </c>
    </row>
    <row r="1154">
      <c r="A1154" s="4" t="str">
        <f>IFERROR(__xludf.DUMMYFUNCTION("""COMPUTED_VALUE"""),"Meconium staining of the brainstem with open myelomeningocele: Case report")</f>
        <v>Meconium staining of the brainstem with open myelomeningocele: Case report</v>
      </c>
      <c r="B1154" s="5" t="str">
        <f>IFERROR(__xludf.DUMMYFUNCTION("LEFT(FILTER(IMPORTRANGE(""https://docs.google.com/spreadsheets/d/1BJSV3WBYJGRhQ6zExamkszQ5VutGIcaQqmbD9ZTVXMQ/edit#gid=1251630045"",""articles_with_PRISMA_reasons!K2:K2113""), $A1154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$A1154=IMPORTRANGE(""https://docs.google.com/spreadsheets/d/1BJSV3WBYJGRhQ6zExamkszQ5VutGIcaQqmbD9ZTVXMQ/edit#gid=1251630045"",""articles_with_PRISMA_reasons!B2:B2113"")))-1)"),"Lam")</f>
        <v>Lam</v>
      </c>
      <c r="C1154" s="6">
        <f>IFERROR(__xludf.DUMMYFUNCTION("FILTER(IMPORTRANGE(""https://docs.google.com/spreadsheets/d/1BJSV3WBYJGRhQ6zExamkszQ5VutGIcaQqmbD9ZTVXMQ/edit#gid=1251630045"",""articles_with_PRISMA_reasons!C2:C2113""), $A1154=IMPORTRANGE(""https://docs.google.com/spreadsheets/d/1BJSV3WBYJGRhQ6zExamkszQ"&amp;"5VutGIcaQqmbD9ZTVXMQ/edit#gid=1251630045"",""articles_with_PRISMA_reasons!B2:B2113""))"),2013.0)</f>
        <v>2013</v>
      </c>
      <c r="D1154" s="5" t="str">
        <f>IFERROR(__xludf.DUMMYFUNCTION("IFS(AND(
FILTER(IMPORTRANGE(""https://docs.google.com/spreadsheets/d/1BJSV3WBYJGRhQ6zExamkszQ5VutGIcaQqmbD9ZTVXMQ/edit#gid=1251630045"",""articles_with_PRISMA_reasons!Y2:Y2113""), $A1154=IMPORTRANGE(""https://docs.google.com/spreadsheets/d/1BJSV3WBYJGRhQ6"&amp;"zExamkszQ5VutGIcaQqmbD9ZTVXMQ/edit#gid=1251630045"",""articles_with_PRISMA_reasons!B2:B2113""))&gt;=2,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$A1154=IMPORTRANGE(""https://docs.google.com/spreadsheets/d/1BJSV3WBYJGRhQ6zExamkszQ5VutGIcaQqmbD9ZTVXMQ/edit#gid=1251630045"",""articles_with_PRISMA_reasons!B2:B2113""))&lt;2),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$A1154=IMPORTRANGE(""https://docs.google.com/spreadsheets/d/1BJSV3WBYJGRhQ6zExamkszQ5VutGIcaQqmbD9ZTVXMQ/edit#gid=1251630045"",""a"&amp;"rticles_with_PRISMA_reasons!B2:B2113""))&lt;2,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$A1154=IMPORTRANGE(""https://docs.google"&amp;".com/spreadsheets/d/1BJSV3WBYJGRhQ6zExamkszQ5VutGIcaQqmbD9ZTVXMQ/edit#gid=1251630045"",""articles_with_PRISMA_reasons!B2:B2113""))&gt;=2),
""Exclude""
)"),"Exclude")</f>
        <v>Exclude</v>
      </c>
      <c r="E1154" s="5" t="str">
        <f>IFERROR(__xludf.DUMMYFUNCTION("IFS(
D1154=""Exclude"",""Exclude"",
AND(
FILTER(IMPORTRANGE(""https://docs.google.com/spreadsheets/d/1qpEmbGH0JjaJbUdp21-y2cPbobDbMjr09BbtdKROZWc/edit#gid=1444865654"",""articles_with_PRISMA_reasons!W2:W2113""), $A1154=IMPORTRANGE(""https://docs.google.co"&amp;"m/spreadsheets/d/1qpEmbGH0JjaJbUdp21-y2cPbobDbMjr09BbtdKROZWc/edit#gid=1444865654"",""articles_with_PRISMA_reasons!B2:B2113""))&gt;=2,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$A1154=IMPORTRANGE(""https://docs.google.com/spreadsheets/d/1qpEmbGH0JjaJbUdp21-y2cPbobDbMjr09BbtdKROZWc/edit#gid=1444865654"",""articles_with_PRISMA_reasons!B2:B2113""))&lt;2),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$A1154=IMPORTRANGE(""https://docs.google.com/spreadsheets/d/1qpEmbGH0JjaJbUdp21-y2cPbobDbMjr09Bbtd"&amp;"KROZWc/edit#gid=1444865654"",""articles_with_PRISMA_reasons!B2:B2113""))&lt;2,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$A1154=I"&amp;"MPORTRANGE(""https://docs.google.com/spreadsheets/d/1qpEmbGH0JjaJbUdp21-y2cPbobDbMjr09BbtdKROZWc/edit#gid=1444865654"",""articles_with_PRISMA_reasons!B2:B2113""))&gt;=2),
""Exclude""
)"),"Exclude")</f>
        <v>Exclude</v>
      </c>
      <c r="F1154" s="5" t="str">
        <f>IFERROR(__xludf.DUMMYFUNCTION("IFS(
E1154=""Exclude"",""Exclude"",
AND(
COUNTIF(
IMPORTRANGE(""https://docs.google.com/spreadsheets/d/1kGrh75X1cNR1D7_FcY9zMnHP8iPO4M5RCRjy6nZY0TY/edit#gid=0"",""Table 1: Study characteristics!B4:B171""),A1154)&gt;0,
COUNTIF(Studies!$A$2:$A$85,FILTER(IMPORT"&amp;"RANGE(""https://docs.google.com/spreadsheets/d/1kGrh75X1cNR1D7_FcY9zMnHP8iPO4M5RCRjy6nZY0TY/edit#gid=0"",""Table 1: Study characteristics!A4:A171""), $A1154=IMPORTRANGE(""https://docs.google.com/spreadsheets/d/1kGrh75X1cNR1D7_FcY9zMnHP8iPO4M5RCRjy6nZY0TY/"&amp;"edit#gid=0"",""Table 1: Study characteristics!B4:B171"")))&gt;0
),
""Include""
)"),"Exclude")</f>
        <v>Exclude</v>
      </c>
      <c r="G1154" s="5" t="str">
        <f>IFERROR(__xludf.DUMMYFUNCTION("IFS(
D1154=""Exclude"",
FILTER(IMPORTRANGE(""https://docs.google.com/spreadsheets/d/1BJSV3WBYJGRhQ6zExamkszQ5VutGIcaQqmbD9ZTVXMQ/edit#gid=1251630045"",""articles_with_PRISMA_reasons!AB2:AB2113""), $A1154=IMPORTRANGE(""https://docs.google.com/spreadsheets/"&amp;"d/1BJSV3WBYJGRhQ6zExamkszQ5VutGIcaQqmbD9ZTVXMQ/edit#gid=1251630045"",""articles_with_PRISMA_reasons!B2:B2113"")),
E1154=""Exclude"",
FILTER(IMPORTRANGE(""https://docs.google.com/spreadsheets/d/1qpEmbGH0JjaJbUdp21-y2cPbobDbMjr09BbtdKROZWc/edit#gid=14448656"&amp;"54"",""articles_with_PRISMA_reasons!Z2:Z2113""), $A1154=IMPORTRANGE(""https://docs.google.com/spreadsheets/d/1qpEmbGH0JjaJbUdp21-y2cPbobDbMjr09BbtdKROZWc/edit#gid=1444865654"",""articles_with_PRISMA_reasons!B2:B2113"")),F1154
=""Include"",FILTER(IMPORTRAN"&amp;"GE(""https://docs.google.com/spreadsheets/d/1kGrh75X1cNR1D7_FcY9zMnHP8iPO4M5RCRjy6nZY0TY/edit#gid=0"",""Table 1: Study characteristics!A4:A171""), $A1154=IMPORTRANGE(""https://docs.google.com/spreadsheets/d/1kGrh75X1cNR1D7_FcY9zMnHP8iPO4M5RCRjy6nZY0TY/edi"&amp;"t#gid=0"",""Table 1: Study characteristics!B4:B171""))
)"),"wrong publication type")</f>
        <v>wrong publication type</v>
      </c>
    </row>
    <row r="1155">
      <c r="A1155" s="4" t="str">
        <f>IFERROR(__xludf.DUMMYFUNCTION("""COMPUTED_VALUE"""),"Medical and social factors associated with cognitive outcome in individuals with myelomeningocele")</f>
        <v>Medical and social factors associated with cognitive outcome in individuals with myelomeningocele</v>
      </c>
      <c r="B1155" s="5" t="str">
        <f>IFERROR(__xludf.DUMMYFUNCTION("LEFT(FILTER(IMPORTRANGE(""https://docs.google.com/spreadsheets/d/1BJSV3WBYJGRhQ6zExamkszQ5VutGIcaQqmbD9ZTVXMQ/edit#gid=1251630045"",""articles_with_PRISMA_reasons!K2:K2113""), $A1155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$A1155=IMPORTRANGE(""https://docs.google.com/spreadsheets/d/1BJSV3WBYJGRhQ6zExamkszQ5VutGIcaQqmbD9ZTVXMQ/edit#gid=1251630045"",""articles_with_PRISMA_reasons!B2:B2113"")))-1)"),"Bier")</f>
        <v>Bier</v>
      </c>
      <c r="C1155" s="6">
        <f>IFERROR(__xludf.DUMMYFUNCTION("FILTER(IMPORTRANGE(""https://docs.google.com/spreadsheets/d/1BJSV3WBYJGRhQ6zExamkszQ5VutGIcaQqmbD9ZTVXMQ/edit#gid=1251630045"",""articles_with_PRISMA_reasons!C2:C2113""), $A1155=IMPORTRANGE(""https://docs.google.com/spreadsheets/d/1BJSV3WBYJGRhQ6zExamkszQ"&amp;"5VutGIcaQqmbD9ZTVXMQ/edit#gid=1251630045"",""articles_with_PRISMA_reasons!B2:B2113""))"),1997.0)</f>
        <v>1997</v>
      </c>
      <c r="D1155" s="5" t="str">
        <f>IFERROR(__xludf.DUMMYFUNCTION("IFS(AND(
FILTER(IMPORTRANGE(""https://docs.google.com/spreadsheets/d/1BJSV3WBYJGRhQ6zExamkszQ5VutGIcaQqmbD9ZTVXMQ/edit#gid=1251630045"",""articles_with_PRISMA_reasons!Y2:Y2113""), $A1155=IMPORTRANGE(""https://docs.google.com/spreadsheets/d/1BJSV3WBYJGRhQ6"&amp;"zExamkszQ5VutGIcaQqmbD9ZTVXMQ/edit#gid=1251630045"",""articles_with_PRISMA_reasons!B2:B2113""))&gt;=2,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$A1155=IMPORTRANGE(""https://docs.google.com/spreadsheets/d/1BJSV3WBYJGRhQ6zExamkszQ5VutGIcaQqmbD9ZTVXMQ/edit#gid=1251630045"",""articles_with_PRISMA_reasons!B2:B2113""))&lt;2),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$A1155=IMPORTRANGE(""https://docs.google.com/spreadsheets/d/1BJSV3WBYJGRhQ6zExamkszQ5VutGIcaQqmbD9ZTVXMQ/edit#gid=1251630045"",""a"&amp;"rticles_with_PRISMA_reasons!B2:B2113""))&lt;2,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$A1155=IMPORTRANGE(""https://docs.google"&amp;".com/spreadsheets/d/1BJSV3WBYJGRhQ6zExamkszQ5VutGIcaQqmbD9ZTVXMQ/edit#gid=1251630045"",""articles_with_PRISMA_reasons!B2:B2113""))&gt;=2),
""Exclude""
)"),"Exclude")</f>
        <v>Exclude</v>
      </c>
      <c r="E1155" s="5" t="str">
        <f>IFERROR(__xludf.DUMMYFUNCTION("IFS(
D1155=""Exclude"",""Exclude"",
AND(
FILTER(IMPORTRANGE(""https://docs.google.com/spreadsheets/d/1qpEmbGH0JjaJbUdp21-y2cPbobDbMjr09BbtdKROZWc/edit#gid=1444865654"",""articles_with_PRISMA_reasons!W2:W2113""), $A1155=IMPORTRANGE(""https://docs.google.co"&amp;"m/spreadsheets/d/1qpEmbGH0JjaJbUdp21-y2cPbobDbMjr09BbtdKROZWc/edit#gid=1444865654"",""articles_with_PRISMA_reasons!B2:B2113""))&gt;=2,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$A1155=IMPORTRANGE(""https://docs.google.com/spreadsheets/d/1qpEmbGH0JjaJbUdp21-y2cPbobDbMjr09BbtdKROZWc/edit#gid=1444865654"",""articles_with_PRISMA_reasons!B2:B2113""))&lt;2),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$A1155=IMPORTRANGE(""https://docs.google.com/spreadsheets/d/1qpEmbGH0JjaJbUdp21-y2cPbobDbMjr09Bbtd"&amp;"KROZWc/edit#gid=1444865654"",""articles_with_PRISMA_reasons!B2:B2113""))&lt;2,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$A1155=I"&amp;"MPORTRANGE(""https://docs.google.com/spreadsheets/d/1qpEmbGH0JjaJbUdp21-y2cPbobDbMjr09BbtdKROZWc/edit#gid=1444865654"",""articles_with_PRISMA_reasons!B2:B2113""))&gt;=2),
""Exclude""
)"),"Exclude")</f>
        <v>Exclude</v>
      </c>
      <c r="F1155" s="5" t="str">
        <f>IFERROR(__xludf.DUMMYFUNCTION("IFS(
E1155=""Exclude"",""Exclude"",
AND(
COUNTIF(
IMPORTRANGE(""https://docs.google.com/spreadsheets/d/1kGrh75X1cNR1D7_FcY9zMnHP8iPO4M5RCRjy6nZY0TY/edit#gid=0"",""Table 1: Study characteristics!B4:B171""),A1155)&gt;0,
COUNTIF(Studies!$A$2:$A$85,FILTER(IMPORT"&amp;"RANGE(""https://docs.google.com/spreadsheets/d/1kGrh75X1cNR1D7_FcY9zMnHP8iPO4M5RCRjy6nZY0TY/edit#gid=0"",""Table 1: Study characteristics!A4:A171""), $A1155=IMPORTRANGE(""https://docs.google.com/spreadsheets/d/1kGrh75X1cNR1D7_FcY9zMnHP8iPO4M5RCRjy6nZY0TY/"&amp;"edit#gid=0"",""Table 1: Study characteristics!B4:B171"")))&gt;0
),
""Include""
)"),"Exclude")</f>
        <v>Exclude</v>
      </c>
      <c r="G1155" s="5" t="str">
        <f>IFERROR(__xludf.DUMMYFUNCTION("IFS(
D1155=""Exclude"",
FILTER(IMPORTRANGE(""https://docs.google.com/spreadsheets/d/1BJSV3WBYJGRhQ6zExamkszQ5VutGIcaQqmbD9ZTVXMQ/edit#gid=1251630045"",""articles_with_PRISMA_reasons!AB2:AB2113""), $A1155=IMPORTRANGE(""https://docs.google.com/spreadsheets/"&amp;"d/1BJSV3WBYJGRhQ6zExamkszQ5VutGIcaQqmbD9ZTVXMQ/edit#gid=1251630045"",""articles_with_PRISMA_reasons!B2:B2113"")),
E1155=""Exclude"",
FILTER(IMPORTRANGE(""https://docs.google.com/spreadsheets/d/1qpEmbGH0JjaJbUdp21-y2cPbobDbMjr09BbtdKROZWc/edit#gid=14448656"&amp;"54"",""articles_with_PRISMA_reasons!Z2:Z2113""), $A1155=IMPORTRANGE(""https://docs.google.com/spreadsheets/d/1qpEmbGH0JjaJbUdp21-y2cPbobDbMjr09BbtdKROZWc/edit#gid=1444865654"",""articles_with_PRISMA_reasons!B2:B2113"")),F1155
=""Include"",FILTER(IMPORTRAN"&amp;"GE(""https://docs.google.com/spreadsheets/d/1kGrh75X1cNR1D7_FcY9zMnHP8iPO4M5RCRjy6nZY0TY/edit#gid=0"",""Table 1: Study characteristics!A4:A171""), $A1155=IMPORTRANGE(""https://docs.google.com/spreadsheets/d/1kGrh75X1cNR1D7_FcY9zMnHP8iPO4M5RCRjy6nZY0TY/edi"&amp;"t#gid=0"",""Table 1: Study characteristics!B4:B171""))
)"),"Duplicate")</f>
        <v>Duplicate</v>
      </c>
    </row>
    <row r="1156">
      <c r="A1156" s="4" t="str">
        <f>IFERROR(__xludf.DUMMYFUNCTION("""COMPUTED_VALUE"""),"Medical and socioeconomic predictors of quality of life in myelomeningocele patients with shunted hydrocephalus")</f>
        <v>Medical and socioeconomic predictors of quality of life in myelomeningocele patients with shunted hydrocephalus</v>
      </c>
      <c r="B1156" s="5" t="str">
        <f>IFERROR(__xludf.DUMMYFUNCTION("LEFT(FILTER(IMPORTRANGE(""https://docs.google.com/spreadsheets/d/1BJSV3WBYJGRhQ6zExamkszQ5VutGIcaQqmbD9ZTVXMQ/edit#gid=1251630045"",""articles_with_PRISMA_reasons!K2:K2113""), $A1156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$A1156=IMPORTRANGE(""https://docs.google.com/spreadsheets/d/1BJSV3WBYJGRhQ6zExamkszQ5VutGIcaQqmbD9ZTVXMQ/edit#gid=1251630045"",""articles_with_PRISMA_reasons!B2:B2113"")))-1)"),"Karmur")</f>
        <v>Karmur</v>
      </c>
      <c r="C1156" s="6">
        <f>IFERROR(__xludf.DUMMYFUNCTION("FILTER(IMPORTRANGE(""https://docs.google.com/spreadsheets/d/1BJSV3WBYJGRhQ6zExamkszQ5VutGIcaQqmbD9ZTVXMQ/edit#gid=1251630045"",""articles_with_PRISMA_reasons!C2:C2113""), $A1156=IMPORTRANGE(""https://docs.google.com/spreadsheets/d/1BJSV3WBYJGRhQ6zExamkszQ"&amp;"5VutGIcaQqmbD9ZTVXMQ/edit#gid=1251630045"",""articles_with_PRISMA_reasons!B2:B2113""))"),2018.0)</f>
        <v>2018</v>
      </c>
      <c r="D1156" s="5" t="str">
        <f>IFERROR(__xludf.DUMMYFUNCTION("IFS(AND(
FILTER(IMPORTRANGE(""https://docs.google.com/spreadsheets/d/1BJSV3WBYJGRhQ6zExamkszQ5VutGIcaQqmbD9ZTVXMQ/edit#gid=1251630045"",""articles_with_PRISMA_reasons!Y2:Y2113""), $A1156=IMPORTRANGE(""https://docs.google.com/spreadsheets/d/1BJSV3WBYJGRhQ6"&amp;"zExamkszQ5VutGIcaQqmbD9ZTVXMQ/edit#gid=1251630045"",""articles_with_PRISMA_reasons!B2:B2113""))&gt;=2,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$A1156=IMPORTRANGE(""https://docs.google.com/spreadsheets/d/1BJSV3WBYJGRhQ6zExamkszQ5VutGIcaQqmbD9ZTVXMQ/edit#gid=1251630045"",""articles_with_PRISMA_reasons!B2:B2113""))&lt;2),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$A1156=IMPORTRANGE(""https://docs.google.com/spreadsheets/d/1BJSV3WBYJGRhQ6zExamkszQ5VutGIcaQqmbD9ZTVXMQ/edit#gid=1251630045"",""a"&amp;"rticles_with_PRISMA_reasons!B2:B2113""))&lt;2,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$A1156=IMPORTRANGE(""https://docs.google"&amp;".com/spreadsheets/d/1BJSV3WBYJGRhQ6zExamkszQ5VutGIcaQqmbD9ZTVXMQ/edit#gid=1251630045"",""articles_with_PRISMA_reasons!B2:B2113""))&gt;=2),
""Exclude""
)"),"Include")</f>
        <v>Include</v>
      </c>
      <c r="E1156" s="5" t="str">
        <f>IFERROR(__xludf.DUMMYFUNCTION("IFS(
D1156=""Exclude"",""Exclude"",
AND(
FILTER(IMPORTRANGE(""https://docs.google.com/spreadsheets/d/1qpEmbGH0JjaJbUdp21-y2cPbobDbMjr09BbtdKROZWc/edit#gid=1444865654"",""articles_with_PRISMA_reasons!W2:W2113""), $A1156=IMPORTRANGE(""https://docs.google.co"&amp;"m/spreadsheets/d/1qpEmbGH0JjaJbUdp21-y2cPbobDbMjr09BbtdKROZWc/edit#gid=1444865654"",""articles_with_PRISMA_reasons!B2:B2113""))&gt;=2,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$A1156=IMPORTRANGE(""https://docs.google.com/spreadsheets/d/1qpEmbGH0JjaJbUdp21-y2cPbobDbMjr09BbtdKROZWc/edit#gid=1444865654"",""articles_with_PRISMA_reasons!B2:B2113""))&lt;2),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$A1156=IMPORTRANGE(""https://docs.google.com/spreadsheets/d/1qpEmbGH0JjaJbUdp21-y2cPbobDbMjr09Bbtd"&amp;"KROZWc/edit#gid=1444865654"",""articles_with_PRISMA_reasons!B2:B2113""))&lt;2,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$A1156=I"&amp;"MPORTRANGE(""https://docs.google.com/spreadsheets/d/1qpEmbGH0JjaJbUdp21-y2cPbobDbMjr09BbtdKROZWc/edit#gid=1444865654"",""articles_with_PRISMA_reasons!B2:B2113""))&gt;=2),
""Exclude""
)"),"Exclude")</f>
        <v>Exclude</v>
      </c>
      <c r="F1156" s="5" t="str">
        <f>IFERROR(__xludf.DUMMYFUNCTION("IFS(
E1156=""Exclude"",""Exclude"",
AND(
COUNTIF(
IMPORTRANGE(""https://docs.google.com/spreadsheets/d/1kGrh75X1cNR1D7_FcY9zMnHP8iPO4M5RCRjy6nZY0TY/edit#gid=0"",""Table 1: Study characteristics!B4:B171""),A1156)&gt;0,
COUNTIF(Studies!$A$2:$A$85,FILTER(IMPORT"&amp;"RANGE(""https://docs.google.com/spreadsheets/d/1kGrh75X1cNR1D7_FcY9zMnHP8iPO4M5RCRjy6nZY0TY/edit#gid=0"",""Table 1: Study characteristics!A4:A171""), $A1156=IMPORTRANGE(""https://docs.google.com/spreadsheets/d/1kGrh75X1cNR1D7_FcY9zMnHP8iPO4M5RCRjy6nZY0TY/"&amp;"edit#gid=0"",""Table 1: Study characteristics!B4:B171"")))&gt;0
),
""Include""
)"),"Exclude")</f>
        <v>Exclude</v>
      </c>
      <c r="G1156" s="5" t="str">
        <f>IFERROR(__xludf.DUMMYFUNCTION("IFS(
D1156=""Exclude"",
FILTER(IMPORTRANGE(""https://docs.google.com/spreadsheets/d/1BJSV3WBYJGRhQ6zExamkszQ5VutGIcaQqmbD9ZTVXMQ/edit#gid=1251630045"",""articles_with_PRISMA_reasons!AB2:AB2113""), $A1156=IMPORTRANGE(""https://docs.google.com/spreadsheets/"&amp;"d/1BJSV3WBYJGRhQ6zExamkszQ5VutGIcaQqmbD9ZTVXMQ/edit#gid=1251630045"",""articles_with_PRISMA_reasons!B2:B2113"")),
E1156=""Exclude"",
FILTER(IMPORTRANGE(""https://docs.google.com/spreadsheets/d/1qpEmbGH0JjaJbUdp21-y2cPbobDbMjr09BbtdKROZWc/edit#gid=14448656"&amp;"54"",""articles_with_PRISMA_reasons!Z2:Z2113""), $A1156=IMPORTRANGE(""https://docs.google.com/spreadsheets/d/1qpEmbGH0JjaJbUdp21-y2cPbobDbMjr09BbtdKROZWc/edit#gid=1444865654"",""articles_with_PRISMA_reasons!B2:B2113"")),F1156
=""Include"",FILTER(IMPORTRAN"&amp;"GE(""https://docs.google.com/spreadsheets/d/1kGrh75X1cNR1D7_FcY9zMnHP8iPO4M5RCRjy6nZY0TY/edit#gid=0"",""Table 1: Study characteristics!A4:A171""), $A1156=IMPORTRANGE(""https://docs.google.com/spreadsheets/d/1kGrh75X1cNR1D7_FcY9zMnHP8iPO4M5RCRjy6nZY0TY/edi"&amp;"t#gid=0"",""Table 1: Study characteristics!B4:B171""))
)"),"wrong population")</f>
        <v>wrong population</v>
      </c>
    </row>
    <row r="1157">
      <c r="A1157" s="4" t="str">
        <f>IFERROR(__xludf.DUMMYFUNCTION("""COMPUTED_VALUE"""),"Medical problems in adolescents with myelomeningocele (MMC): An inventory of the Swedish MMC population born during 1986-1989")</f>
        <v>Medical problems in adolescents with myelomeningocele (MMC): An inventory of the Swedish MMC population born during 1986-1989</v>
      </c>
      <c r="B1157" s="5" t="str">
        <f>IFERROR(__xludf.DUMMYFUNCTION("LEFT(FILTER(IMPORTRANGE(""https://docs.google.com/spreadsheets/d/1BJSV3WBYJGRhQ6zExamkszQ5VutGIcaQqmbD9ZTVXMQ/edit#gid=1251630045"",""articles_with_PRISMA_reasons!K2:K2113""), $A1157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$A1157=IMPORTRANGE(""https://docs.google.com/spreadsheets/d/1BJSV3WBYJGRhQ6zExamkszQ5VutGIcaQqmbD9ZTVXMQ/edit#gid=1251630045"",""articles_with_PRISMA_reasons!B2:B2113"")))-1)"),"Dahl")</f>
        <v>Dahl</v>
      </c>
      <c r="C1157" s="3">
        <v>2007.0</v>
      </c>
      <c r="D1157" s="5" t="str">
        <f>IFERROR(__xludf.DUMMYFUNCTION("IFS(AND(
FILTER(IMPORTRANGE(""https://docs.google.com/spreadsheets/d/1BJSV3WBYJGRhQ6zExamkszQ5VutGIcaQqmbD9ZTVXMQ/edit#gid=1251630045"",""articles_with_PRISMA_reasons!Y2:Y2113""), $A1157=IMPORTRANGE(""https://docs.google.com/spreadsheets/d/1BJSV3WBYJGRhQ6"&amp;"zExamkszQ5VutGIcaQqmbD9ZTVXMQ/edit#gid=1251630045"",""articles_with_PRISMA_reasons!B2:B2113""))&gt;=2,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$A1157=IMPORTRANGE(""https://docs.google.com/spreadsheets/d/1BJSV3WBYJGRhQ6zExamkszQ5VutGIcaQqmbD9ZTVXMQ/edit#gid=1251630045"",""articles_with_PRISMA_reasons!B2:B2113""))&lt;2),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$A1157=IMPORTRANGE(""https://docs.google.com/spreadsheets/d/1BJSV3WBYJGRhQ6zExamkszQ5VutGIcaQqmbD9ZTVXMQ/edit#gid=1251630045"",""a"&amp;"rticles_with_PRISMA_reasons!B2:B2113""))&lt;2,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$A1157=IMPORTRANGE(""https://docs.google"&amp;".com/spreadsheets/d/1BJSV3WBYJGRhQ6zExamkszQ5VutGIcaQqmbD9ZTVXMQ/edit#gid=1251630045"",""articles_with_PRISMA_reasons!B2:B2113""))&gt;=2),
""Exclude""
)"),"Exclude")</f>
        <v>Exclude</v>
      </c>
      <c r="E1157" s="5" t="str">
        <f>IFERROR(__xludf.DUMMYFUNCTION("IFS(
D1157=""Exclude"",""Exclude"",
AND(
FILTER(IMPORTRANGE(""https://docs.google.com/spreadsheets/d/1qpEmbGH0JjaJbUdp21-y2cPbobDbMjr09BbtdKROZWc/edit#gid=1444865654"",""articles_with_PRISMA_reasons!W2:W2113""), $A1157=IMPORTRANGE(""https://docs.google.co"&amp;"m/spreadsheets/d/1qpEmbGH0JjaJbUdp21-y2cPbobDbMjr09BbtdKROZWc/edit#gid=1444865654"",""articles_with_PRISMA_reasons!B2:B2113""))&gt;=2,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$A1157=IMPORTRANGE(""https://docs.google.com/spreadsheets/d/1qpEmbGH0JjaJbUdp21-y2cPbobDbMjr09BbtdKROZWc/edit#gid=1444865654"",""articles_with_PRISMA_reasons!B2:B2113""))&lt;2),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$A1157=IMPORTRANGE(""https://docs.google.com/spreadsheets/d/1qpEmbGH0JjaJbUdp21-y2cPbobDbMjr09Bbtd"&amp;"KROZWc/edit#gid=1444865654"",""articles_with_PRISMA_reasons!B2:B2113""))&lt;2,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$A1157=I"&amp;"MPORTRANGE(""https://docs.google.com/spreadsheets/d/1qpEmbGH0JjaJbUdp21-y2cPbobDbMjr09BbtdKROZWc/edit#gid=1444865654"",""articles_with_PRISMA_reasons!B2:B2113""))&gt;=2),
""Exclude""
)"),"Exclude")</f>
        <v>Exclude</v>
      </c>
      <c r="F1157" s="5" t="str">
        <f>IFERROR(__xludf.DUMMYFUNCTION("IFS(
E1157=""Exclude"",""Exclude"",
AND(
COUNTIF(
IMPORTRANGE(""https://docs.google.com/spreadsheets/d/1kGrh75X1cNR1D7_FcY9zMnHP8iPO4M5RCRjy6nZY0TY/edit#gid=0"",""Table 1: Study characteristics!B4:B171""),A1157)&gt;0,
COUNTIF(Studies!$A$2:$A$85,FILTER(IMPORT"&amp;"RANGE(""https://docs.google.com/spreadsheets/d/1kGrh75X1cNR1D7_FcY9zMnHP8iPO4M5RCRjy6nZY0TY/edit#gid=0"",""Table 1: Study characteristics!A4:A171""), $A1157=IMPORTRANGE(""https://docs.google.com/spreadsheets/d/1kGrh75X1cNR1D7_FcY9zMnHP8iPO4M5RCRjy6nZY0TY/"&amp;"edit#gid=0"",""Table 1: Study characteristics!B4:B171"")))&gt;0
),
""Include""
)"),"Exclude")</f>
        <v>Exclude</v>
      </c>
      <c r="G1157" s="5" t="s">
        <v>15</v>
      </c>
    </row>
    <row r="1158">
      <c r="A1158" s="4" t="str">
        <f>IFERROR(__xludf.DUMMYFUNCTION("""COMPUTED_VALUE"""),"Medical problems in adolescents with myelomeningocele (MMC): an inventory of the Swedish MMC population born during 1986-1989")</f>
        <v>Medical problems in adolescents with myelomeningocele (MMC): an inventory of the Swedish MMC population born during 1986-1989</v>
      </c>
      <c r="B1158" s="5" t="str">
        <f>IFERROR(__xludf.DUMMYFUNCTION("LEFT(FILTER(IMPORTRANGE(""https://docs.google.com/spreadsheets/d/1BJSV3WBYJGRhQ6zExamkszQ5VutGIcaQqmbD9ZTVXMQ/edit#gid=1251630045"",""articles_with_PRISMA_reasons!K2:K2113""), $A1158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$A1158=IMPORTRANGE(""https://docs.google.com/spreadsheets/d/1BJSV3WBYJGRhQ6zExamkszQ5VutGIcaQqmbD9ZTVXMQ/edit#gid=1251630045"",""articles_with_PRISMA_reasons!B2:B2113"")))-1)"),"Dahl")</f>
        <v>Dahl</v>
      </c>
      <c r="C1158" s="3">
        <v>2007.0</v>
      </c>
      <c r="D1158" s="5" t="str">
        <f>IFERROR(__xludf.DUMMYFUNCTION("IFS(AND(
FILTER(IMPORTRANGE(""https://docs.google.com/spreadsheets/d/1BJSV3WBYJGRhQ6zExamkszQ5VutGIcaQqmbD9ZTVXMQ/edit#gid=1251630045"",""articles_with_PRISMA_reasons!Y2:Y2113""), $A1158=IMPORTRANGE(""https://docs.google.com/spreadsheets/d/1BJSV3WBYJGRhQ6"&amp;"zExamkszQ5VutGIcaQqmbD9ZTVXMQ/edit#gid=1251630045"",""articles_with_PRISMA_reasons!B2:B2113""))&gt;=2,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$A1158=IMPORTRANGE(""https://docs.google.com/spreadsheets/d/1BJSV3WBYJGRhQ6zExamkszQ5VutGIcaQqmbD9ZTVXMQ/edit#gid=1251630045"",""articles_with_PRISMA_reasons!B2:B2113""))&lt;2),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$A1158=IMPORTRANGE(""https://docs.google.com/spreadsheets/d/1BJSV3WBYJGRhQ6zExamkszQ5VutGIcaQqmbD9ZTVXMQ/edit#gid=1251630045"",""a"&amp;"rticles_with_PRISMA_reasons!B2:B2113""))&lt;2,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$A1158=IMPORTRANGE(""https://docs.google"&amp;".com/spreadsheets/d/1BJSV3WBYJGRhQ6zExamkszQ5VutGIcaQqmbD9ZTVXMQ/edit#gid=1251630045"",""articles_with_PRISMA_reasons!B2:B2113""))&gt;=2),
""Exclude""
)"),"Exclude")</f>
        <v>Exclude</v>
      </c>
      <c r="E1158" s="5" t="str">
        <f>IFERROR(__xludf.DUMMYFUNCTION("IFS(
D1158=""Exclude"",""Exclude"",
AND(
FILTER(IMPORTRANGE(""https://docs.google.com/spreadsheets/d/1qpEmbGH0JjaJbUdp21-y2cPbobDbMjr09BbtdKROZWc/edit#gid=1444865654"",""articles_with_PRISMA_reasons!W2:W2113""), $A1158=IMPORTRANGE(""https://docs.google.co"&amp;"m/spreadsheets/d/1qpEmbGH0JjaJbUdp21-y2cPbobDbMjr09BbtdKROZWc/edit#gid=1444865654"",""articles_with_PRISMA_reasons!B2:B2113""))&gt;=2,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$A1158=IMPORTRANGE(""https://docs.google.com/spreadsheets/d/1qpEmbGH0JjaJbUdp21-y2cPbobDbMjr09BbtdKROZWc/edit#gid=1444865654"",""articles_with_PRISMA_reasons!B2:B2113""))&lt;2),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$A1158=IMPORTRANGE(""https://docs.google.com/spreadsheets/d/1qpEmbGH0JjaJbUdp21-y2cPbobDbMjr09Bbtd"&amp;"KROZWc/edit#gid=1444865654"",""articles_with_PRISMA_reasons!B2:B2113""))&lt;2,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$A1158=I"&amp;"MPORTRANGE(""https://docs.google.com/spreadsheets/d/1qpEmbGH0JjaJbUdp21-y2cPbobDbMjr09BbtdKROZWc/edit#gid=1444865654"",""articles_with_PRISMA_reasons!B2:B2113""))&gt;=2),
""Exclude""
)"),"Exclude")</f>
        <v>Exclude</v>
      </c>
      <c r="F1158" s="5" t="str">
        <f>IFERROR(__xludf.DUMMYFUNCTION("IFS(
E1158=""Exclude"",""Exclude"",
AND(
COUNTIF(
IMPORTRANGE(""https://docs.google.com/spreadsheets/d/1kGrh75X1cNR1D7_FcY9zMnHP8iPO4M5RCRjy6nZY0TY/edit#gid=0"",""Table 1: Study characteristics!B4:B171""),A1158)&gt;0,
COUNTIF(Studies!$A$2:$A$85,FILTER(IMPORT"&amp;"RANGE(""https://docs.google.com/spreadsheets/d/1kGrh75X1cNR1D7_FcY9zMnHP8iPO4M5RCRjy6nZY0TY/edit#gid=0"",""Table 1: Study characteristics!A4:A171""), $A1158=IMPORTRANGE(""https://docs.google.com/spreadsheets/d/1kGrh75X1cNR1D7_FcY9zMnHP8iPO4M5RCRjy6nZY0TY/"&amp;"edit#gid=0"",""Table 1: Study characteristics!B4:B171"")))&gt;0
),
""Include""
)"),"Exclude")</f>
        <v>Exclude</v>
      </c>
      <c r="G1158" s="2" t="s">
        <v>13</v>
      </c>
    </row>
    <row r="1159">
      <c r="A1159" s="4" t="str">
        <f>IFERROR(__xludf.DUMMYFUNCTION("""COMPUTED_VALUE"""),"Medical Quiz")</f>
        <v>Medical Quiz</v>
      </c>
      <c r="B1159" s="5" t="str">
        <f>IFERROR(__xludf.DUMMYFUNCTION("LEFT(FILTER(IMPORTRANGE(""https://docs.google.com/spreadsheets/d/1BJSV3WBYJGRhQ6zExamkszQ5VutGIcaQqmbD9ZTVXMQ/edit#gid=1251630045"",""articles_with_PRISMA_reasons!K2:K2113""), $A1159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$A1159=IMPORTRANGE(""https://docs.google.com/spreadsheets/d/1BJSV3WBYJGRhQ6zExamkszQ5VutGIcaQqmbD9ZTVXMQ/edit#gid=1251630045"",""articles_with_PRISMA_reasons!B2:B2113"")))-1)"),"Alhindi")</f>
        <v>Alhindi</v>
      </c>
      <c r="C1159" s="6">
        <f>IFERROR(__xludf.DUMMYFUNCTION("FILTER(IMPORTRANGE(""https://docs.google.com/spreadsheets/d/1BJSV3WBYJGRhQ6zExamkszQ5VutGIcaQqmbD9ZTVXMQ/edit#gid=1251630045"",""articles_with_PRISMA_reasons!C2:C2113""), $A1159=IMPORTRANGE(""https://docs.google.com/spreadsheets/d/1BJSV3WBYJGRhQ6zExamkszQ"&amp;"5VutGIcaQqmbD9ZTVXMQ/edit#gid=1251630045"",""articles_with_PRISMA_reasons!B2:B2113""))"),2014.0)</f>
        <v>2014</v>
      </c>
      <c r="D1159" s="5" t="str">
        <f>IFERROR(__xludf.DUMMYFUNCTION("IFS(AND(
FILTER(IMPORTRANGE(""https://docs.google.com/spreadsheets/d/1BJSV3WBYJGRhQ6zExamkszQ5VutGIcaQqmbD9ZTVXMQ/edit#gid=1251630045"",""articles_with_PRISMA_reasons!Y2:Y2113""), $A1159=IMPORTRANGE(""https://docs.google.com/spreadsheets/d/1BJSV3WBYJGRhQ6"&amp;"zExamkszQ5VutGIcaQqmbD9ZTVXMQ/edit#gid=1251630045"",""articles_with_PRISMA_reasons!B2:B2113""))&gt;=2,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$A1159=IMPORTRANGE(""https://docs.google.com/spreadsheets/d/1BJSV3WBYJGRhQ6zExamkszQ5VutGIcaQqmbD9ZTVXMQ/edit#gid=1251630045"",""articles_with_PRISMA_reasons!B2:B2113""))&lt;2),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$A1159=IMPORTRANGE(""https://docs.google.com/spreadsheets/d/1BJSV3WBYJGRhQ6zExamkszQ5VutGIcaQqmbD9ZTVXMQ/edit#gid=1251630045"",""a"&amp;"rticles_with_PRISMA_reasons!B2:B2113""))&lt;2,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$A1159=IMPORTRANGE(""https://docs.google"&amp;".com/spreadsheets/d/1BJSV3WBYJGRhQ6zExamkszQ5VutGIcaQqmbD9ZTVXMQ/edit#gid=1251630045"",""articles_with_PRISMA_reasons!B2:B2113""))&gt;=2),
""Exclude""
)"),"Exclude")</f>
        <v>Exclude</v>
      </c>
      <c r="E1159" s="5" t="str">
        <f>IFERROR(__xludf.DUMMYFUNCTION("IFS(
D1159=""Exclude"",""Exclude"",
AND(
FILTER(IMPORTRANGE(""https://docs.google.com/spreadsheets/d/1qpEmbGH0JjaJbUdp21-y2cPbobDbMjr09BbtdKROZWc/edit#gid=1444865654"",""articles_with_PRISMA_reasons!W2:W2113""), $A1159=IMPORTRANGE(""https://docs.google.co"&amp;"m/spreadsheets/d/1qpEmbGH0JjaJbUdp21-y2cPbobDbMjr09BbtdKROZWc/edit#gid=1444865654"",""articles_with_PRISMA_reasons!B2:B2113""))&gt;=2,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$A1159=IMPORTRANGE(""https://docs.google.com/spreadsheets/d/1qpEmbGH0JjaJbUdp21-y2cPbobDbMjr09BbtdKROZWc/edit#gid=1444865654"",""articles_with_PRISMA_reasons!B2:B2113""))&lt;2),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$A1159=IMPORTRANGE(""https://docs.google.com/spreadsheets/d/1qpEmbGH0JjaJbUdp21-y2cPbobDbMjr09Bbtd"&amp;"KROZWc/edit#gid=1444865654"",""articles_with_PRISMA_reasons!B2:B2113""))&lt;2,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$A1159=I"&amp;"MPORTRANGE(""https://docs.google.com/spreadsheets/d/1qpEmbGH0JjaJbUdp21-y2cPbobDbMjr09BbtdKROZWc/edit#gid=1444865654"",""articles_with_PRISMA_reasons!B2:B2113""))&gt;=2),
""Exclude""
)"),"Exclude")</f>
        <v>Exclude</v>
      </c>
      <c r="F1159" s="5" t="str">
        <f>IFERROR(__xludf.DUMMYFUNCTION("IFS(
E1159=""Exclude"",""Exclude"",
AND(
COUNTIF(
IMPORTRANGE(""https://docs.google.com/spreadsheets/d/1kGrh75X1cNR1D7_FcY9zMnHP8iPO4M5RCRjy6nZY0TY/edit#gid=0"",""Table 1: Study characteristics!B4:B171""),A1159)&gt;0,
COUNTIF(Studies!$A$2:$A$85,FILTER(IMPORT"&amp;"RANGE(""https://docs.google.com/spreadsheets/d/1kGrh75X1cNR1D7_FcY9zMnHP8iPO4M5RCRjy6nZY0TY/edit#gid=0"",""Table 1: Study characteristics!A4:A171""), $A1159=IMPORTRANGE(""https://docs.google.com/spreadsheets/d/1kGrh75X1cNR1D7_FcY9zMnHP8iPO4M5RCRjy6nZY0TY/"&amp;"edit#gid=0"",""Table 1: Study characteristics!B4:B171"")))&gt;0
),
""Include""
)"),"Exclude")</f>
        <v>Exclude</v>
      </c>
      <c r="G1159" s="5" t="str">
        <f>IFERROR(__xludf.DUMMYFUNCTION("IFS(
D1159=""Exclude"",
FILTER(IMPORTRANGE(""https://docs.google.com/spreadsheets/d/1BJSV3WBYJGRhQ6zExamkszQ5VutGIcaQqmbD9ZTVXMQ/edit#gid=1251630045"",""articles_with_PRISMA_reasons!AB2:AB2113""), $A1159=IMPORTRANGE(""https://docs.google.com/spreadsheets/"&amp;"d/1BJSV3WBYJGRhQ6zExamkszQ5VutGIcaQqmbD9ZTVXMQ/edit#gid=1251630045"",""articles_with_PRISMA_reasons!B2:B2113"")),
E1159=""Exclude"",
FILTER(IMPORTRANGE(""https://docs.google.com/spreadsheets/d/1qpEmbGH0JjaJbUdp21-y2cPbobDbMjr09BbtdKROZWc/edit#gid=14448656"&amp;"54"",""articles_with_PRISMA_reasons!Z2:Z2113""), $A1159=IMPORTRANGE(""https://docs.google.com/spreadsheets/d/1qpEmbGH0JjaJbUdp21-y2cPbobDbMjr09BbtdKROZWc/edit#gid=1444865654"",""articles_with_PRISMA_reasons!B2:B2113"")),F1159
=""Include"",FILTER(IMPORTRAN"&amp;"GE(""https://docs.google.com/spreadsheets/d/1kGrh75X1cNR1D7_FcY9zMnHP8iPO4M5RCRjy6nZY0TY/edit#gid=0"",""Table 1: Study characteristics!A4:A171""), $A1159=IMPORTRANGE(""https://docs.google.com/spreadsheets/d/1kGrh75X1cNR1D7_FcY9zMnHP8iPO4M5RCRjy6nZY0TY/edi"&amp;"t#gid=0"",""Table 1: Study characteristics!B4:B171""))
)"),"wrong study design")</f>
        <v>wrong study design</v>
      </c>
    </row>
    <row r="1160">
      <c r="A1160" s="4" t="str">
        <f>IFERROR(__xludf.DUMMYFUNCTION("""COMPUTED_VALUE"""),"Medical treatment with acetazolamide of 53 non-tumoral hydrocephalic children")</f>
        <v>Medical treatment with acetazolamide of 53 non-tumoral hydrocephalic children</v>
      </c>
      <c r="B1160" s="5" t="str">
        <f>IFERROR(__xludf.DUMMYFUNCTION("LEFT(FILTER(IMPORTRANGE(""https://docs.google.com/spreadsheets/d/1BJSV3WBYJGRhQ6zExamkszQ5VutGIcaQqmbD9ZTVXMQ/edit#gid=1251630045"",""articles_with_PRISMA_reasons!K2:K2113""), $A1160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$A1160=IMPORTRANGE(""https://docs.google.com/spreadsheets/d/1BJSV3WBYJGRhQ6zExamkszQ5VutGIcaQqmbD9ZTVXMQ/edit#gid=1251630045"",""articles_with_PRISMA_reasons!B2:B2113"")))-1)"),"Pimenta")</f>
        <v>Pimenta</v>
      </c>
      <c r="C1160" s="6">
        <f>IFERROR(__xludf.DUMMYFUNCTION("FILTER(IMPORTRANGE(""https://docs.google.com/spreadsheets/d/1BJSV3WBYJGRhQ6zExamkszQ5VutGIcaQqmbD9ZTVXMQ/edit#gid=1251630045"",""articles_with_PRISMA_reasons!C2:C2113""), $A1160=IMPORTRANGE(""https://docs.google.com/spreadsheets/d/1BJSV3WBYJGRhQ6zExamkszQ"&amp;"5VutGIcaQqmbD9ZTVXMQ/edit#gid=1251630045"",""articles_with_PRISMA_reasons!B2:B2113""))"),1990.0)</f>
        <v>1990</v>
      </c>
      <c r="D1160" s="5" t="str">
        <f>IFERROR(__xludf.DUMMYFUNCTION("IFS(AND(
FILTER(IMPORTRANGE(""https://docs.google.com/spreadsheets/d/1BJSV3WBYJGRhQ6zExamkszQ5VutGIcaQqmbD9ZTVXMQ/edit#gid=1251630045"",""articles_with_PRISMA_reasons!Y2:Y2113""), $A1160=IMPORTRANGE(""https://docs.google.com/spreadsheets/d/1BJSV3WBYJGRhQ6"&amp;"zExamkszQ5VutGIcaQqmbD9ZTVXMQ/edit#gid=1251630045"",""articles_with_PRISMA_reasons!B2:B2113""))&gt;=2,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$A1160=IMPORTRANGE(""https://docs.google.com/spreadsheets/d/1BJSV3WBYJGRhQ6zExamkszQ5VutGIcaQqmbD9ZTVXMQ/edit#gid=1251630045"",""articles_with_PRISMA_reasons!B2:B2113""))&lt;2),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$A1160=IMPORTRANGE(""https://docs.google.com/spreadsheets/d/1BJSV3WBYJGRhQ6zExamkszQ5VutGIcaQqmbD9ZTVXMQ/edit#gid=1251630045"",""a"&amp;"rticles_with_PRISMA_reasons!B2:B2113""))&lt;2,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$A1160=IMPORTRANGE(""https://docs.google"&amp;".com/spreadsheets/d/1BJSV3WBYJGRhQ6zExamkszQ5VutGIcaQqmbD9ZTVXMQ/edit#gid=1251630045"",""articles_with_PRISMA_reasons!B2:B2113""))&gt;=2),
""Exclude""
)"),"Exclude")</f>
        <v>Exclude</v>
      </c>
      <c r="E1160" s="5" t="str">
        <f>IFERROR(__xludf.DUMMYFUNCTION("IFS(
D1160=""Exclude"",""Exclude"",
AND(
FILTER(IMPORTRANGE(""https://docs.google.com/spreadsheets/d/1qpEmbGH0JjaJbUdp21-y2cPbobDbMjr09BbtdKROZWc/edit#gid=1444865654"",""articles_with_PRISMA_reasons!W2:W2113""), $A1160=IMPORTRANGE(""https://docs.google.co"&amp;"m/spreadsheets/d/1qpEmbGH0JjaJbUdp21-y2cPbobDbMjr09BbtdKROZWc/edit#gid=1444865654"",""articles_with_PRISMA_reasons!B2:B2113""))&gt;=2,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$A1160=IMPORTRANGE(""https://docs.google.com/spreadsheets/d/1qpEmbGH0JjaJbUdp21-y2cPbobDbMjr09BbtdKROZWc/edit#gid=1444865654"",""articles_with_PRISMA_reasons!B2:B2113""))&lt;2),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$A1160=IMPORTRANGE(""https://docs.google.com/spreadsheets/d/1qpEmbGH0JjaJbUdp21-y2cPbobDbMjr09Bbtd"&amp;"KROZWc/edit#gid=1444865654"",""articles_with_PRISMA_reasons!B2:B2113""))&lt;2,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$A1160=I"&amp;"MPORTRANGE(""https://docs.google.com/spreadsheets/d/1qpEmbGH0JjaJbUdp21-y2cPbobDbMjr09BbtdKROZWc/edit#gid=1444865654"",""articles_with_PRISMA_reasons!B2:B2113""))&gt;=2),
""Exclude""
)"),"Exclude")</f>
        <v>Exclude</v>
      </c>
      <c r="F1160" s="5" t="str">
        <f>IFERROR(__xludf.DUMMYFUNCTION("IFS(
E1160=""Exclude"",""Exclude"",
AND(
COUNTIF(
IMPORTRANGE(""https://docs.google.com/spreadsheets/d/1kGrh75X1cNR1D7_FcY9zMnHP8iPO4M5RCRjy6nZY0TY/edit#gid=0"",""Table 1: Study characteristics!B4:B171""),A1160)&gt;0,
COUNTIF(Studies!$A$2:$A$85,FILTER(IMPORT"&amp;"RANGE(""https://docs.google.com/spreadsheets/d/1kGrh75X1cNR1D7_FcY9zMnHP8iPO4M5RCRjy6nZY0TY/edit#gid=0"",""Table 1: Study characteristics!A4:A171""), $A1160=IMPORTRANGE(""https://docs.google.com/spreadsheets/d/1kGrh75X1cNR1D7_FcY9zMnHP8iPO4M5RCRjy6nZY0TY/"&amp;"edit#gid=0"",""Table 1: Study characteristics!B4:B171"")))&gt;0
),
""Include""
)"),"Exclude")</f>
        <v>Exclude</v>
      </c>
      <c r="G1160" s="5" t="str">
        <f>IFERROR(__xludf.DUMMYFUNCTION("IFS(
D1160=""Exclude"",
FILTER(IMPORTRANGE(""https://docs.google.com/spreadsheets/d/1BJSV3WBYJGRhQ6zExamkszQ5VutGIcaQqmbD9ZTVXMQ/edit#gid=1251630045"",""articles_with_PRISMA_reasons!AB2:AB2113""), $A1160=IMPORTRANGE(""https://docs.google.com/spreadsheets/"&amp;"d/1BJSV3WBYJGRhQ6zExamkszQ5VutGIcaQqmbD9ZTVXMQ/edit#gid=1251630045"",""articles_with_PRISMA_reasons!B2:B2113"")),
E1160=""Exclude"",
FILTER(IMPORTRANGE(""https://docs.google.com/spreadsheets/d/1qpEmbGH0JjaJbUdp21-y2cPbobDbMjr09BbtdKROZWc/edit#gid=14448656"&amp;"54"",""articles_with_PRISMA_reasons!Z2:Z2113""), $A1160=IMPORTRANGE(""https://docs.google.com/spreadsheets/d/1qpEmbGH0JjaJbUdp21-y2cPbobDbMjr09BbtdKROZWc/edit#gid=1444865654"",""articles_with_PRISMA_reasons!B2:B2113"")),F1160
=""Include"",FILTER(IMPORTRAN"&amp;"GE(""https://docs.google.com/spreadsheets/d/1kGrh75X1cNR1D7_FcY9zMnHP8iPO4M5RCRjy6nZY0TY/edit#gid=0"",""Table 1: Study characteristics!A4:A171""), $A1160=IMPORTRANGE(""https://docs.google.com/spreadsheets/d/1kGrh75X1cNR1D7_FcY9zMnHP8iPO4M5RCRjy6nZY0TY/edi"&amp;"t#gid=0"",""Table 1: Study characteristics!B4:B171""))
)"),"wrong population")</f>
        <v>wrong population</v>
      </c>
    </row>
    <row r="1161">
      <c r="A1161" s="4" t="str">
        <f>IFERROR(__xludf.DUMMYFUNCTION("""COMPUTED_VALUE"""),"Medical, functional, and social determinants of health-related quality of life in individuals with myelomeningocele")</f>
        <v>Medical, functional, and social determinants of health-related quality of life in individuals with myelomeningocele</v>
      </c>
      <c r="B1161" s="5" t="str">
        <f>IFERROR(__xludf.DUMMYFUNCTION("LEFT(FILTER(IMPORTRANGE(""https://docs.google.com/spreadsheets/d/1BJSV3WBYJGRhQ6zExamkszQ5VutGIcaQqmbD9ZTVXMQ/edit#gid=1251630045"",""articles_with_PRISMA_reasons!K2:K2113""), $A1161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$A1161=IMPORTRANGE(""https://docs.google.com/spreadsheets/d/1BJSV3WBYJGRhQ6zExamkszQ5VutGIcaQqmbD9ZTVXMQ/edit#gid=1251630045"",""articles_with_PRISMA_reasons!B2:B2113"")))-1)"),"Bier")</f>
        <v>Bier</v>
      </c>
      <c r="C1161" s="6">
        <f>IFERROR(__xludf.DUMMYFUNCTION("FILTER(IMPORTRANGE(""https://docs.google.com/spreadsheets/d/1BJSV3WBYJGRhQ6zExamkszQ5VutGIcaQqmbD9ZTVXMQ/edit#gid=1251630045"",""articles_with_PRISMA_reasons!C2:C2113""), $A1161=IMPORTRANGE(""https://docs.google.com/spreadsheets/d/1BJSV3WBYJGRhQ6zExamkszQ"&amp;"5VutGIcaQqmbD9ZTVXMQ/edit#gid=1251630045"",""articles_with_PRISMA_reasons!B2:B2113""))"),2005.0)</f>
        <v>2005</v>
      </c>
      <c r="D1161" s="5" t="str">
        <f>IFERROR(__xludf.DUMMYFUNCTION("IFS(AND(
FILTER(IMPORTRANGE(""https://docs.google.com/spreadsheets/d/1BJSV3WBYJGRhQ6zExamkszQ5VutGIcaQqmbD9ZTVXMQ/edit#gid=1251630045"",""articles_with_PRISMA_reasons!Y2:Y2113""), $A1161=IMPORTRANGE(""https://docs.google.com/spreadsheets/d/1BJSV3WBYJGRhQ6"&amp;"zExamkszQ5VutGIcaQqmbD9ZTVXMQ/edit#gid=1251630045"",""articles_with_PRISMA_reasons!B2:B2113""))&gt;=2,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$A1161=IMPORTRANGE(""https://docs.google.com/spreadsheets/d/1BJSV3WBYJGRhQ6zExamkszQ5VutGIcaQqmbD9ZTVXMQ/edit#gid=1251630045"",""articles_with_PRISMA_reasons!B2:B2113""))&lt;2),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$A1161=IMPORTRANGE(""https://docs.google.com/spreadsheets/d/1BJSV3WBYJGRhQ6zExamkszQ5VutGIcaQqmbD9ZTVXMQ/edit#gid=1251630045"",""a"&amp;"rticles_with_PRISMA_reasons!B2:B2113""))&lt;2,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$A1161=IMPORTRANGE(""https://docs.google"&amp;".com/spreadsheets/d/1BJSV3WBYJGRhQ6zExamkszQ5VutGIcaQqmbD9ZTVXMQ/edit#gid=1251630045"",""articles_with_PRISMA_reasons!B2:B2113""))&gt;=2),
""Exclude""
)"),"Exclude")</f>
        <v>Exclude</v>
      </c>
      <c r="E1161" s="5" t="str">
        <f>IFERROR(__xludf.DUMMYFUNCTION("IFS(
D1161=""Exclude"",""Exclude"",
AND(
FILTER(IMPORTRANGE(""https://docs.google.com/spreadsheets/d/1qpEmbGH0JjaJbUdp21-y2cPbobDbMjr09BbtdKROZWc/edit#gid=1444865654"",""articles_with_PRISMA_reasons!W2:W2113""), $A1161=IMPORTRANGE(""https://docs.google.co"&amp;"m/spreadsheets/d/1qpEmbGH0JjaJbUdp21-y2cPbobDbMjr09BbtdKROZWc/edit#gid=1444865654"",""articles_with_PRISMA_reasons!B2:B2113""))&gt;=2,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$A1161=IMPORTRANGE(""https://docs.google.com/spreadsheets/d/1qpEmbGH0JjaJbUdp21-y2cPbobDbMjr09BbtdKROZWc/edit#gid=1444865654"",""articles_with_PRISMA_reasons!B2:B2113""))&lt;2),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$A1161=IMPORTRANGE(""https://docs.google.com/spreadsheets/d/1qpEmbGH0JjaJbUdp21-y2cPbobDbMjr09Bbtd"&amp;"KROZWc/edit#gid=1444865654"",""articles_with_PRISMA_reasons!B2:B2113""))&lt;2,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$A1161=I"&amp;"MPORTRANGE(""https://docs.google.com/spreadsheets/d/1qpEmbGH0JjaJbUdp21-y2cPbobDbMjr09BbtdKROZWc/edit#gid=1444865654"",""articles_with_PRISMA_reasons!B2:B2113""))&gt;=2),
""Exclude""
)"),"Exclude")</f>
        <v>Exclude</v>
      </c>
      <c r="F1161" s="5" t="str">
        <f>IFERROR(__xludf.DUMMYFUNCTION("IFS(
E1161=""Exclude"",""Exclude"",
AND(
COUNTIF(
IMPORTRANGE(""https://docs.google.com/spreadsheets/d/1kGrh75X1cNR1D7_FcY9zMnHP8iPO4M5RCRjy6nZY0TY/edit#gid=0"",""Table 1: Study characteristics!B4:B171""),A1161)&gt;0,
COUNTIF(Studies!$A$2:$A$85,FILTER(IMPORT"&amp;"RANGE(""https://docs.google.com/spreadsheets/d/1kGrh75X1cNR1D7_FcY9zMnHP8iPO4M5RCRjy6nZY0TY/edit#gid=0"",""Table 1: Study characteristics!A4:A171""), $A1161=IMPORTRANGE(""https://docs.google.com/spreadsheets/d/1kGrh75X1cNR1D7_FcY9zMnHP8iPO4M5RCRjy6nZY0TY/"&amp;"edit#gid=0"",""Table 1: Study characteristics!B4:B171"")))&gt;0
),
""Include""
)"),"Exclude")</f>
        <v>Exclude</v>
      </c>
      <c r="G1161" s="5" t="str">
        <f>IFERROR(__xludf.DUMMYFUNCTION("IFS(
D1161=""Exclude"",
FILTER(IMPORTRANGE(""https://docs.google.com/spreadsheets/d/1BJSV3WBYJGRhQ6zExamkszQ5VutGIcaQqmbD9ZTVXMQ/edit#gid=1251630045"",""articles_with_PRISMA_reasons!AB2:AB2113""), $A1161=IMPORTRANGE(""https://docs.google.com/spreadsheets/"&amp;"d/1BJSV3WBYJGRhQ6zExamkszQ5VutGIcaQqmbD9ZTVXMQ/edit#gid=1251630045"",""articles_with_PRISMA_reasons!B2:B2113"")),
E1161=""Exclude"",
FILTER(IMPORTRANGE(""https://docs.google.com/spreadsheets/d/1qpEmbGH0JjaJbUdp21-y2cPbobDbMjr09BbtdKROZWc/edit#gid=14448656"&amp;"54"",""articles_with_PRISMA_reasons!Z2:Z2113""), $A1161=IMPORTRANGE(""https://docs.google.com/spreadsheets/d/1qpEmbGH0JjaJbUdp21-y2cPbobDbMjr09BbtdKROZWc/edit#gid=1444865654"",""articles_with_PRISMA_reasons!B2:B2113"")),F1161
=""Include"",FILTER(IMPORTRAN"&amp;"GE(""https://docs.google.com/spreadsheets/d/1kGrh75X1cNR1D7_FcY9zMnHP8iPO4M5RCRjy6nZY0TY/edit#gid=0"",""Table 1: Study characteristics!A4:A171""), $A1161=IMPORTRANGE(""https://docs.google.com/spreadsheets/d/1kGrh75X1cNR1D7_FcY9zMnHP8iPO4M5RCRjy6nZY0TY/edi"&amp;"t#gid=0"",""Table 1: Study characteristics!B4:B171""))
)"),"wrong study design")</f>
        <v>wrong study design</v>
      </c>
    </row>
    <row r="1162">
      <c r="A1162" s="4" t="str">
        <f>IFERROR(__xludf.DUMMYFUNCTION("""COMPUTED_VALUE"""),"Medical, Social, and Economic Factors Associated with Health-Related Quality of Life in Canadian Children with Hydrocephalus")</f>
        <v>Medical, Social, and Economic Factors Associated with Health-Related Quality of Life in Canadian Children with Hydrocephalus</v>
      </c>
      <c r="B1162" s="5" t="str">
        <f>IFERROR(__xludf.DUMMYFUNCTION("LEFT(FILTER(IMPORTRANGE(""https://docs.google.com/spreadsheets/d/1BJSV3WBYJGRhQ6zExamkszQ5VutGIcaQqmbD9ZTVXMQ/edit#gid=1251630045"",""articles_with_PRISMA_reasons!K2:K2113""), $A1162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$A1162=IMPORTRANGE(""https://docs.google.com/spreadsheets/d/1BJSV3WBYJGRhQ6zExamkszQ5VutGIcaQqmbD9ZTVXMQ/edit#gid=1251630045"",""articles_with_PRISMA_reasons!B2:B2113"")))-1)"),"Kulkarni")</f>
        <v>Kulkarni</v>
      </c>
      <c r="C1162" s="6">
        <f>IFERROR(__xludf.DUMMYFUNCTION("FILTER(IMPORTRANGE(""https://docs.google.com/spreadsheets/d/1BJSV3WBYJGRhQ6zExamkszQ5VutGIcaQqmbD9ZTVXMQ/edit#gid=1251630045"",""articles_with_PRISMA_reasons!C2:C2113""), $A1162=IMPORTRANGE(""https://docs.google.com/spreadsheets/d/1BJSV3WBYJGRhQ6zExamkszQ"&amp;"5VutGIcaQqmbD9ZTVXMQ/edit#gid=1251630045"",""articles_with_PRISMA_reasons!B2:B2113""))"),2008.0)</f>
        <v>2008</v>
      </c>
      <c r="D1162" s="5" t="str">
        <f>IFERROR(__xludf.DUMMYFUNCTION("IFS(AND(
FILTER(IMPORTRANGE(""https://docs.google.com/spreadsheets/d/1BJSV3WBYJGRhQ6zExamkszQ5VutGIcaQqmbD9ZTVXMQ/edit#gid=1251630045"",""articles_with_PRISMA_reasons!Y2:Y2113""), $A1162=IMPORTRANGE(""https://docs.google.com/spreadsheets/d/1BJSV3WBYJGRhQ6"&amp;"zExamkszQ5VutGIcaQqmbD9ZTVXMQ/edit#gid=1251630045"",""articles_with_PRISMA_reasons!B2:B2113""))&gt;=2,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$A1162=IMPORTRANGE(""https://docs.google.com/spreadsheets/d/1BJSV3WBYJGRhQ6zExamkszQ5VutGIcaQqmbD9ZTVXMQ/edit#gid=1251630045"",""articles_with_PRISMA_reasons!B2:B2113""))&lt;2),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$A1162=IMPORTRANGE(""https://docs.google.com/spreadsheets/d/1BJSV3WBYJGRhQ6zExamkszQ5VutGIcaQqmbD9ZTVXMQ/edit#gid=1251630045"",""a"&amp;"rticles_with_PRISMA_reasons!B2:B2113""))&lt;2,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$A1162=IMPORTRANGE(""https://docs.google"&amp;".com/spreadsheets/d/1BJSV3WBYJGRhQ6zExamkszQ5VutGIcaQqmbD9ZTVXMQ/edit#gid=1251630045"",""articles_with_PRISMA_reasons!B2:B2113""))&gt;=2),
""Exclude""
)"),"Exclude")</f>
        <v>Exclude</v>
      </c>
      <c r="E1162" s="5" t="str">
        <f>IFERROR(__xludf.DUMMYFUNCTION("IFS(
D1162=""Exclude"",""Exclude"",
AND(
FILTER(IMPORTRANGE(""https://docs.google.com/spreadsheets/d/1qpEmbGH0JjaJbUdp21-y2cPbobDbMjr09BbtdKROZWc/edit#gid=1444865654"",""articles_with_PRISMA_reasons!W2:W2113""), $A1162=IMPORTRANGE(""https://docs.google.co"&amp;"m/spreadsheets/d/1qpEmbGH0JjaJbUdp21-y2cPbobDbMjr09BbtdKROZWc/edit#gid=1444865654"",""articles_with_PRISMA_reasons!B2:B2113""))&gt;=2,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$A1162=IMPORTRANGE(""https://docs.google.com/spreadsheets/d/1qpEmbGH0JjaJbUdp21-y2cPbobDbMjr09BbtdKROZWc/edit#gid=1444865654"",""articles_with_PRISMA_reasons!B2:B2113""))&lt;2),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$A1162=IMPORTRANGE(""https://docs.google.com/spreadsheets/d/1qpEmbGH0JjaJbUdp21-y2cPbobDbMjr09Bbtd"&amp;"KROZWc/edit#gid=1444865654"",""articles_with_PRISMA_reasons!B2:B2113""))&lt;2,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$A1162=I"&amp;"MPORTRANGE(""https://docs.google.com/spreadsheets/d/1qpEmbGH0JjaJbUdp21-y2cPbobDbMjr09BbtdKROZWc/edit#gid=1444865654"",""articles_with_PRISMA_reasons!B2:B2113""))&gt;=2),
""Exclude""
)"),"Exclude")</f>
        <v>Exclude</v>
      </c>
      <c r="F1162" s="5" t="str">
        <f>IFERROR(__xludf.DUMMYFUNCTION("IFS(
E1162=""Exclude"",""Exclude"",
AND(
COUNTIF(
IMPORTRANGE(""https://docs.google.com/spreadsheets/d/1kGrh75X1cNR1D7_FcY9zMnHP8iPO4M5RCRjy6nZY0TY/edit#gid=0"",""Table 1: Study characteristics!B4:B171""),A1162)&gt;0,
COUNTIF(Studies!$A$2:$A$85,FILTER(IMPORT"&amp;"RANGE(""https://docs.google.com/spreadsheets/d/1kGrh75X1cNR1D7_FcY9zMnHP8iPO4M5RCRjy6nZY0TY/edit#gid=0"",""Table 1: Study characteristics!A4:A171""), $A1162=IMPORTRANGE(""https://docs.google.com/spreadsheets/d/1kGrh75X1cNR1D7_FcY9zMnHP8iPO4M5RCRjy6nZY0TY/"&amp;"edit#gid=0"",""Table 1: Study characteristics!B4:B171"")))&gt;0
),
""Include""
)"),"Exclude")</f>
        <v>Exclude</v>
      </c>
      <c r="G1162" s="5" t="str">
        <f>IFERROR(__xludf.DUMMYFUNCTION("IFS(
D1162=""Exclude"",
FILTER(IMPORTRANGE(""https://docs.google.com/spreadsheets/d/1BJSV3WBYJGRhQ6zExamkszQ5VutGIcaQqmbD9ZTVXMQ/edit#gid=1251630045"",""articles_with_PRISMA_reasons!AB2:AB2113""), $A1162=IMPORTRANGE(""https://docs.google.com/spreadsheets/"&amp;"d/1BJSV3WBYJGRhQ6zExamkszQ5VutGIcaQqmbD9ZTVXMQ/edit#gid=1251630045"",""articles_with_PRISMA_reasons!B2:B2113"")),
E1162=""Exclude"",
FILTER(IMPORTRANGE(""https://docs.google.com/spreadsheets/d/1qpEmbGH0JjaJbUdp21-y2cPbobDbMjr09BbtdKROZWc/edit#gid=14448656"&amp;"54"",""articles_with_PRISMA_reasons!Z2:Z2113""), $A1162=IMPORTRANGE(""https://docs.google.com/spreadsheets/d/1qpEmbGH0JjaJbUdp21-y2cPbobDbMjr09BbtdKROZWc/edit#gid=1444865654"",""articles_with_PRISMA_reasons!B2:B2113"")),F1162
=""Include"",FILTER(IMPORTRAN"&amp;"GE(""https://docs.google.com/spreadsheets/d/1kGrh75X1cNR1D7_FcY9zMnHP8iPO4M5RCRjy6nZY0TY/edit#gid=0"",""Table 1: Study characteristics!A4:A171""), $A1162=IMPORTRANGE(""https://docs.google.com/spreadsheets/d/1kGrh75X1cNR1D7_FcY9zMnHP8iPO4M5RCRjy6nZY0TY/edi"&amp;"t#gid=0"",""Table 1: Study characteristics!B4:B171""))
)"),"wrong population")</f>
        <v>wrong population</v>
      </c>
    </row>
    <row r="1163">
      <c r="A1163" s="4" t="str">
        <f>IFERROR(__xludf.DUMMYFUNCTION("""COMPUTED_VALUE"""),"Medullo-cervical dislocation deformity (Chiari II deformity) related to neurospinal dysraphism (meningomyelocele)")</f>
        <v>Medullo-cervical dislocation deformity (Chiari II deformity) related to neurospinal dysraphism (meningomyelocele)</v>
      </c>
      <c r="B1163" s="5" t="str">
        <f>IFERROR(__xludf.DUMMYFUNCTION("LEFT(FILTER(IMPORTRANGE(""https://docs.google.com/spreadsheets/d/1BJSV3WBYJGRhQ6zExamkszQ5VutGIcaQqmbD9ZTVXMQ/edit#gid=1251630045"",""articles_with_PRISMA_reasons!K2:K2113""), $A1163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$A1163=IMPORTRANGE(""https://docs.google.com/spreadsheets/d/1BJSV3WBYJGRhQ6zExamkszQ5VutGIcaQqmbD9ZTVXMQ/edit#gid=1251630045"",""articles_with_PRISMA_reasons!B2:B2113"")))-1)"),"Emery")</f>
        <v>Emery</v>
      </c>
      <c r="C1163" s="6">
        <f>IFERROR(__xludf.DUMMYFUNCTION("FILTER(IMPORTRANGE(""https://docs.google.com/spreadsheets/d/1BJSV3WBYJGRhQ6zExamkszQ5VutGIcaQqmbD9ZTVXMQ/edit#gid=1251630045"",""articles_with_PRISMA_reasons!C2:C2113""), $A1163=IMPORTRANGE(""https://docs.google.com/spreadsheets/d/1BJSV3WBYJGRhQ6zExamkszQ"&amp;"5VutGIcaQqmbD9ZTVXMQ/edit#gid=1251630045"",""articles_with_PRISMA_reasons!B2:B2113""))"),1973.0)</f>
        <v>1973</v>
      </c>
      <c r="D1163" s="5" t="str">
        <f>IFERROR(__xludf.DUMMYFUNCTION("IFS(AND(
FILTER(IMPORTRANGE(""https://docs.google.com/spreadsheets/d/1BJSV3WBYJGRhQ6zExamkszQ5VutGIcaQqmbD9ZTVXMQ/edit#gid=1251630045"",""articles_with_PRISMA_reasons!Y2:Y2113""), $A1163=IMPORTRANGE(""https://docs.google.com/spreadsheets/d/1BJSV3WBYJGRhQ6"&amp;"zExamkszQ5VutGIcaQqmbD9ZTVXMQ/edit#gid=1251630045"",""articles_with_PRISMA_reasons!B2:B2113""))&gt;=2,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$A1163=IMPORTRANGE(""https://docs.google.com/spreadsheets/d/1BJSV3WBYJGRhQ6zExamkszQ5VutGIcaQqmbD9ZTVXMQ/edit#gid=1251630045"",""articles_with_PRISMA_reasons!B2:B2113""))&lt;2),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$A1163=IMPORTRANGE(""https://docs.google.com/spreadsheets/d/1BJSV3WBYJGRhQ6zExamkszQ5VutGIcaQqmbD9ZTVXMQ/edit#gid=1251630045"",""a"&amp;"rticles_with_PRISMA_reasons!B2:B2113""))&lt;2,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$A1163=IMPORTRANGE(""https://docs.google"&amp;".com/spreadsheets/d/1BJSV3WBYJGRhQ6zExamkszQ5VutGIcaQqmbD9ZTVXMQ/edit#gid=1251630045"",""articles_with_PRISMA_reasons!B2:B2113""))&gt;=2),
""Exclude""
)"),"Exclude")</f>
        <v>Exclude</v>
      </c>
      <c r="E1163" s="5" t="str">
        <f>IFERROR(__xludf.DUMMYFUNCTION("IFS(
D1163=""Exclude"",""Exclude"",
AND(
FILTER(IMPORTRANGE(""https://docs.google.com/spreadsheets/d/1qpEmbGH0JjaJbUdp21-y2cPbobDbMjr09BbtdKROZWc/edit#gid=1444865654"",""articles_with_PRISMA_reasons!W2:W2113""), $A1163=IMPORTRANGE(""https://docs.google.co"&amp;"m/spreadsheets/d/1qpEmbGH0JjaJbUdp21-y2cPbobDbMjr09BbtdKROZWc/edit#gid=1444865654"",""articles_with_PRISMA_reasons!B2:B2113""))&gt;=2,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$A1163=IMPORTRANGE(""https://docs.google.com/spreadsheets/d/1qpEmbGH0JjaJbUdp21-y2cPbobDbMjr09BbtdKROZWc/edit#gid=1444865654"",""articles_with_PRISMA_reasons!B2:B2113""))&lt;2),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$A1163=IMPORTRANGE(""https://docs.google.com/spreadsheets/d/1qpEmbGH0JjaJbUdp21-y2cPbobDbMjr09Bbtd"&amp;"KROZWc/edit#gid=1444865654"",""articles_with_PRISMA_reasons!B2:B2113""))&lt;2,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$A1163=I"&amp;"MPORTRANGE(""https://docs.google.com/spreadsheets/d/1qpEmbGH0JjaJbUdp21-y2cPbobDbMjr09BbtdKROZWc/edit#gid=1444865654"",""articles_with_PRISMA_reasons!B2:B2113""))&gt;=2),
""Exclude""
)"),"Exclude")</f>
        <v>Exclude</v>
      </c>
      <c r="F1163" s="5" t="str">
        <f>IFERROR(__xludf.DUMMYFUNCTION("IFS(
E1163=""Exclude"",""Exclude"",
AND(
COUNTIF(
IMPORTRANGE(""https://docs.google.com/spreadsheets/d/1kGrh75X1cNR1D7_FcY9zMnHP8iPO4M5RCRjy6nZY0TY/edit#gid=0"",""Table 1: Study characteristics!B4:B171""),A1163)&gt;0,
COUNTIF(Studies!$A$2:$A$85,FILTER(IMPORT"&amp;"RANGE(""https://docs.google.com/spreadsheets/d/1kGrh75X1cNR1D7_FcY9zMnHP8iPO4M5RCRjy6nZY0TY/edit#gid=0"",""Table 1: Study characteristics!A4:A171""), $A1163=IMPORTRANGE(""https://docs.google.com/spreadsheets/d/1kGrh75X1cNR1D7_FcY9zMnHP8iPO4M5RCRjy6nZY0TY/"&amp;"edit#gid=0"",""Table 1: Study characteristics!B4:B171"")))&gt;0
),
""Include""
)"),"Exclude")</f>
        <v>Exclude</v>
      </c>
      <c r="G1163" s="5" t="str">
        <f>IFERROR(__xludf.DUMMYFUNCTION("IFS(
D1163=""Exclude"",
FILTER(IMPORTRANGE(""https://docs.google.com/spreadsheets/d/1BJSV3WBYJGRhQ6zExamkszQ5VutGIcaQqmbD9ZTVXMQ/edit#gid=1251630045"",""articles_with_PRISMA_reasons!AB2:AB2113""), $A1163=IMPORTRANGE(""https://docs.google.com/spreadsheets/"&amp;"d/1BJSV3WBYJGRhQ6zExamkszQ5VutGIcaQqmbD9ZTVXMQ/edit#gid=1251630045"",""articles_with_PRISMA_reasons!B2:B2113"")),
E1163=""Exclude"",
FILTER(IMPORTRANGE(""https://docs.google.com/spreadsheets/d/1qpEmbGH0JjaJbUdp21-y2cPbobDbMjr09BbtdKROZWc/edit#gid=14448656"&amp;"54"",""articles_with_PRISMA_reasons!Z2:Z2113""), $A1163=IMPORTRANGE(""https://docs.google.com/spreadsheets/d/1qpEmbGH0JjaJbUdp21-y2cPbobDbMjr09BbtdKROZWc/edit#gid=1444865654"",""articles_with_PRISMA_reasons!B2:B2113"")),F1163
=""Include"",FILTER(IMPORTRAN"&amp;"GE(""https://docs.google.com/spreadsheets/d/1kGrh75X1cNR1D7_FcY9zMnHP8iPO4M5RCRjy6nZY0TY/edit#gid=0"",""Table 1: Study characteristics!A4:A171""), $A1163=IMPORTRANGE(""https://docs.google.com/spreadsheets/d/1kGrh75X1cNR1D7_FcY9zMnHP8iPO4M5RCRjy6nZY0TY/edi"&amp;"t#gid=0"",""Table 1: Study characteristics!B4:B171""))
)"),"background article")</f>
        <v>background article</v>
      </c>
    </row>
    <row r="1164">
      <c r="A1164" s="4" t="str">
        <f>IFERROR(__xludf.DUMMYFUNCTION("""COMPUTED_VALUE"""),"Megachoroid as a cause of isolated ventricle syndrome")</f>
        <v>Megachoroid as a cause of isolated ventricle syndrome</v>
      </c>
      <c r="B1164" s="5" t="str">
        <f>IFERROR(__xludf.DUMMYFUNCTION("LEFT(FILTER(IMPORTRANGE(""https://docs.google.com/spreadsheets/d/1BJSV3WBYJGRhQ6zExamkszQ5VutGIcaQqmbD9ZTVXMQ/edit#gid=1251630045"",""articles_with_PRISMA_reasons!K2:K2113""), $A1164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$A1164=IMPORTRANGE(""https://docs.google.com/spreadsheets/d/1BJSV3WBYJGRhQ6zExamkszQ5VutGIcaQqmbD9ZTVXMQ/edit#gid=1251630045"",""articles_with_PRISMA_reasons!B2:B2113"")))-1)"),"Chadduck")</f>
        <v>Chadduck</v>
      </c>
      <c r="C1164" s="6" t="str">
        <f>IFERROR(__xludf.DUMMYFUNCTION("FILTER(IMPORTRANGE(""https://docs.google.com/spreadsheets/d/1BJSV3WBYJGRhQ6zExamkszQ5VutGIcaQqmbD9ZTVXMQ/edit#gid=1251630045"",""articles_with_PRISMA_reasons!C2:C2113""), $A1164=IMPORTRANGE(""https://docs.google.com/spreadsheets/d/1BJSV3WBYJGRhQ6zExamkszQ"&amp;"5VutGIcaQqmbD9ZTVXMQ/edit#gid=1251630045"",""articles_with_PRISMA_reasons!B2:B2113""))"),"May")</f>
        <v>May</v>
      </c>
      <c r="D1164" s="5" t="str">
        <f>IFERROR(__xludf.DUMMYFUNCTION("IFS(AND(
FILTER(IMPORTRANGE(""https://docs.google.com/spreadsheets/d/1BJSV3WBYJGRhQ6zExamkszQ5VutGIcaQqmbD9ZTVXMQ/edit#gid=1251630045"",""articles_with_PRISMA_reasons!Y2:Y2113""), $A1164=IMPORTRANGE(""https://docs.google.com/spreadsheets/d/1BJSV3WBYJGRhQ6"&amp;"zExamkszQ5VutGIcaQqmbD9ZTVXMQ/edit#gid=1251630045"",""articles_with_PRISMA_reasons!B2:B2113""))&gt;=2,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$A1164=IMPORTRANGE(""https://docs.google.com/spreadsheets/d/1BJSV3WBYJGRhQ6zExamkszQ5VutGIcaQqmbD9ZTVXMQ/edit#gid=1251630045"",""articles_with_PRISMA_reasons!B2:B2113""))&lt;2),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$A1164=IMPORTRANGE(""https://docs.google.com/spreadsheets/d/1BJSV3WBYJGRhQ6zExamkszQ5VutGIcaQqmbD9ZTVXMQ/edit#gid=1251630045"",""a"&amp;"rticles_with_PRISMA_reasons!B2:B2113""))&lt;2,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$A1164=IMPORTRANGE(""https://docs.google"&amp;".com/spreadsheets/d/1BJSV3WBYJGRhQ6zExamkszQ5VutGIcaQqmbD9ZTVXMQ/edit#gid=1251630045"",""articles_with_PRISMA_reasons!B2:B2113""))&gt;=2),
""Exclude""
)"),"Exclude")</f>
        <v>Exclude</v>
      </c>
      <c r="E1164" s="5" t="str">
        <f>IFERROR(__xludf.DUMMYFUNCTION("IFS(
D1164=""Exclude"",""Exclude"",
AND(
FILTER(IMPORTRANGE(""https://docs.google.com/spreadsheets/d/1qpEmbGH0JjaJbUdp21-y2cPbobDbMjr09BbtdKROZWc/edit#gid=1444865654"",""articles_with_PRISMA_reasons!W2:W2113""), $A1164=IMPORTRANGE(""https://docs.google.co"&amp;"m/spreadsheets/d/1qpEmbGH0JjaJbUdp21-y2cPbobDbMjr09BbtdKROZWc/edit#gid=1444865654"",""articles_with_PRISMA_reasons!B2:B2113""))&gt;=2,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$A1164=IMPORTRANGE(""https://docs.google.com/spreadsheets/d/1qpEmbGH0JjaJbUdp21-y2cPbobDbMjr09BbtdKROZWc/edit#gid=1444865654"",""articles_with_PRISMA_reasons!B2:B2113""))&lt;2),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$A1164=IMPORTRANGE(""https://docs.google.com/spreadsheets/d/1qpEmbGH0JjaJbUdp21-y2cPbobDbMjr09Bbtd"&amp;"KROZWc/edit#gid=1444865654"",""articles_with_PRISMA_reasons!B2:B2113""))&lt;2,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$A1164=I"&amp;"MPORTRANGE(""https://docs.google.com/spreadsheets/d/1qpEmbGH0JjaJbUdp21-y2cPbobDbMjr09BbtdKROZWc/edit#gid=1444865654"",""articles_with_PRISMA_reasons!B2:B2113""))&gt;=2),
""Exclude""
)"),"Exclude")</f>
        <v>Exclude</v>
      </c>
      <c r="F1164" s="5" t="str">
        <f>IFERROR(__xludf.DUMMYFUNCTION("IFS(
E1164=""Exclude"",""Exclude"",
AND(
COUNTIF(
IMPORTRANGE(""https://docs.google.com/spreadsheets/d/1kGrh75X1cNR1D7_FcY9zMnHP8iPO4M5RCRjy6nZY0TY/edit#gid=0"",""Table 1: Study characteristics!B4:B171""),A1164)&gt;0,
COUNTIF(Studies!$A$2:$A$85,FILTER(IMPORT"&amp;"RANGE(""https://docs.google.com/spreadsheets/d/1kGrh75X1cNR1D7_FcY9zMnHP8iPO4M5RCRjy6nZY0TY/edit#gid=0"",""Table 1: Study characteristics!A4:A171""), $A1164=IMPORTRANGE(""https://docs.google.com/spreadsheets/d/1kGrh75X1cNR1D7_FcY9zMnHP8iPO4M5RCRjy6nZY0TY/"&amp;"edit#gid=0"",""Table 1: Study characteristics!B4:B171"")))&gt;0
),
""Include""
)"),"Exclude")</f>
        <v>Exclude</v>
      </c>
      <c r="G1164" s="5" t="str">
        <f>IFERROR(__xludf.DUMMYFUNCTION("IFS(
D1164=""Exclude"",
FILTER(IMPORTRANGE(""https://docs.google.com/spreadsheets/d/1BJSV3WBYJGRhQ6zExamkszQ5VutGIcaQqmbD9ZTVXMQ/edit#gid=1251630045"",""articles_with_PRISMA_reasons!AB2:AB2113""), $A1164=IMPORTRANGE(""https://docs.google.com/spreadsheets/"&amp;"d/1BJSV3WBYJGRhQ6zExamkszQ5VutGIcaQqmbD9ZTVXMQ/edit#gid=1251630045"",""articles_with_PRISMA_reasons!B2:B2113"")),
E1164=""Exclude"",
FILTER(IMPORTRANGE(""https://docs.google.com/spreadsheets/d/1qpEmbGH0JjaJbUdp21-y2cPbobDbMjr09BbtdKROZWc/edit#gid=14448656"&amp;"54"",""articles_with_PRISMA_reasons!Z2:Z2113""), $A1164=IMPORTRANGE(""https://docs.google.com/spreadsheets/d/1qpEmbGH0JjaJbUdp21-y2cPbobDbMjr09BbtdKROZWc/edit#gid=1444865654"",""articles_with_PRISMA_reasons!B2:B2113"")),F1164
=""Include"",FILTER(IMPORTRAN"&amp;"GE(""https://docs.google.com/spreadsheets/d/1kGrh75X1cNR1D7_FcY9zMnHP8iPO4M5RCRjy6nZY0TY/edit#gid=0"",""Table 1: Study characteristics!A4:A171""), $A1164=IMPORTRANGE(""https://docs.google.com/spreadsheets/d/1kGrh75X1cNR1D7_FcY9zMnHP8iPO4M5RCRjy6nZY0TY/edi"&amp;"t#gid=0"",""Table 1: Study characteristics!B4:B171""))
)"),"Duplicate")</f>
        <v>Duplicate</v>
      </c>
    </row>
    <row r="1165">
      <c r="A1165" s="4" t="str">
        <f>IFERROR(__xludf.DUMMYFUNCTION("""COMPUTED_VALUE"""),"Membranous occlusion of the foramen of Monro following ventriculoperitoneal shunt insertion: A role for endoscopic foraminoplasty")</f>
        <v>Membranous occlusion of the foramen of Monro following ventriculoperitoneal shunt insertion: A role for endoscopic foraminoplasty</v>
      </c>
      <c r="B1165" s="5" t="str">
        <f>IFERROR(__xludf.DUMMYFUNCTION("LEFT(FILTER(IMPORTRANGE(""https://docs.google.com/spreadsheets/d/1BJSV3WBYJGRhQ6zExamkszQ5VutGIcaQqmbD9ZTVXMQ/edit#gid=1251630045"",""articles_with_PRISMA_reasons!K2:K2113""), $A1165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$A1165=IMPORTRANGE(""https://docs.google.com/spreadsheets/d/1BJSV3WBYJGRhQ6zExamkszQ5VutGIcaQqmbD9ZTVXMQ/edit#gid=1251630045"",""articles_with_PRISMA_reasons!B2:B2113"")))-1)"),"Wong")</f>
        <v>Wong</v>
      </c>
      <c r="C1165" s="6">
        <f>IFERROR(__xludf.DUMMYFUNCTION("FILTER(IMPORTRANGE(""https://docs.google.com/spreadsheets/d/1BJSV3WBYJGRhQ6zExamkszQ5VutGIcaQqmbD9ZTVXMQ/edit#gid=1251630045"",""articles_with_PRISMA_reasons!C2:C2113""), $A1165=IMPORTRANGE(""https://docs.google.com/spreadsheets/d/1BJSV3WBYJGRhQ6zExamkszQ"&amp;"5VutGIcaQqmbD9ZTVXMQ/edit#gid=1251630045"",""articles_with_PRISMA_reasons!B2:B2113""))"),2000.0)</f>
        <v>2000</v>
      </c>
      <c r="D1165" s="5" t="str">
        <f>IFERROR(__xludf.DUMMYFUNCTION("IFS(AND(
FILTER(IMPORTRANGE(""https://docs.google.com/spreadsheets/d/1BJSV3WBYJGRhQ6zExamkszQ5VutGIcaQqmbD9ZTVXMQ/edit#gid=1251630045"",""articles_with_PRISMA_reasons!Y2:Y2113""), $A1165=IMPORTRANGE(""https://docs.google.com/spreadsheets/d/1BJSV3WBYJGRhQ6"&amp;"zExamkszQ5VutGIcaQqmbD9ZTVXMQ/edit#gid=1251630045"",""articles_with_PRISMA_reasons!B2:B2113""))&gt;=2,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$A1165=IMPORTRANGE(""https://docs.google.com/spreadsheets/d/1BJSV3WBYJGRhQ6zExamkszQ5VutGIcaQqmbD9ZTVXMQ/edit#gid=1251630045"",""articles_with_PRISMA_reasons!B2:B2113""))&lt;2),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$A1165=IMPORTRANGE(""https://docs.google.com/spreadsheets/d/1BJSV3WBYJGRhQ6zExamkszQ5VutGIcaQqmbD9ZTVXMQ/edit#gid=1251630045"",""a"&amp;"rticles_with_PRISMA_reasons!B2:B2113""))&lt;2,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$A1165=IMPORTRANGE(""https://docs.google"&amp;".com/spreadsheets/d/1BJSV3WBYJGRhQ6zExamkszQ5VutGIcaQqmbD9ZTVXMQ/edit#gid=1251630045"",""articles_with_PRISMA_reasons!B2:B2113""))&gt;=2),
""Exclude""
)"),"Exclude")</f>
        <v>Exclude</v>
      </c>
      <c r="E1165" s="5" t="str">
        <f>IFERROR(__xludf.DUMMYFUNCTION("IFS(
D1165=""Exclude"",""Exclude"",
AND(
FILTER(IMPORTRANGE(""https://docs.google.com/spreadsheets/d/1qpEmbGH0JjaJbUdp21-y2cPbobDbMjr09BbtdKROZWc/edit#gid=1444865654"",""articles_with_PRISMA_reasons!W2:W2113""), $A1165=IMPORTRANGE(""https://docs.google.co"&amp;"m/spreadsheets/d/1qpEmbGH0JjaJbUdp21-y2cPbobDbMjr09BbtdKROZWc/edit#gid=1444865654"",""articles_with_PRISMA_reasons!B2:B2113""))&gt;=2,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$A1165=IMPORTRANGE(""https://docs.google.com/spreadsheets/d/1qpEmbGH0JjaJbUdp21-y2cPbobDbMjr09BbtdKROZWc/edit#gid=1444865654"",""articles_with_PRISMA_reasons!B2:B2113""))&lt;2),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$A1165=IMPORTRANGE(""https://docs.google.com/spreadsheets/d/1qpEmbGH0JjaJbUdp21-y2cPbobDbMjr09Bbtd"&amp;"KROZWc/edit#gid=1444865654"",""articles_with_PRISMA_reasons!B2:B2113""))&lt;2,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$A1165=I"&amp;"MPORTRANGE(""https://docs.google.com/spreadsheets/d/1qpEmbGH0JjaJbUdp21-y2cPbobDbMjr09BbtdKROZWc/edit#gid=1444865654"",""articles_with_PRISMA_reasons!B2:B2113""))&gt;=2),
""Exclude""
)"),"Exclude")</f>
        <v>Exclude</v>
      </c>
      <c r="F1165" s="5" t="str">
        <f>IFERROR(__xludf.DUMMYFUNCTION("IFS(
E1165=""Exclude"",""Exclude"",
AND(
COUNTIF(
IMPORTRANGE(""https://docs.google.com/spreadsheets/d/1kGrh75X1cNR1D7_FcY9zMnHP8iPO4M5RCRjy6nZY0TY/edit#gid=0"",""Table 1: Study characteristics!B4:B171""),A1165)&gt;0,
COUNTIF(Studies!$A$2:$A$85,FILTER(IMPORT"&amp;"RANGE(""https://docs.google.com/spreadsheets/d/1kGrh75X1cNR1D7_FcY9zMnHP8iPO4M5RCRjy6nZY0TY/edit#gid=0"",""Table 1: Study characteristics!A4:A171""), $A1165=IMPORTRANGE(""https://docs.google.com/spreadsheets/d/1kGrh75X1cNR1D7_FcY9zMnHP8iPO4M5RCRjy6nZY0TY/"&amp;"edit#gid=0"",""Table 1: Study characteristics!B4:B171"")))&gt;0
),
""Include""
)"),"Exclude")</f>
        <v>Exclude</v>
      </c>
      <c r="G1165" s="5" t="str">
        <f>IFERROR(__xludf.DUMMYFUNCTION("IFS(
D1165=""Exclude"",
FILTER(IMPORTRANGE(""https://docs.google.com/spreadsheets/d/1BJSV3WBYJGRhQ6zExamkszQ5VutGIcaQqmbD9ZTVXMQ/edit#gid=1251630045"",""articles_with_PRISMA_reasons!AB2:AB2113""), $A1165=IMPORTRANGE(""https://docs.google.com/spreadsheets/"&amp;"d/1BJSV3WBYJGRhQ6zExamkszQ5VutGIcaQqmbD9ZTVXMQ/edit#gid=1251630045"",""articles_with_PRISMA_reasons!B2:B2113"")),
E1165=""Exclude"",
FILTER(IMPORTRANGE(""https://docs.google.com/spreadsheets/d/1qpEmbGH0JjaJbUdp21-y2cPbobDbMjr09BbtdKROZWc/edit#gid=14448656"&amp;"54"",""articles_with_PRISMA_reasons!Z2:Z2113""), $A1165=IMPORTRANGE(""https://docs.google.com/spreadsheets/d/1qpEmbGH0JjaJbUdp21-y2cPbobDbMjr09BbtdKROZWc/edit#gid=1444865654"",""articles_with_PRISMA_reasons!B2:B2113"")),F1165
=""Include"",FILTER(IMPORTRAN"&amp;"GE(""https://docs.google.com/spreadsheets/d/1kGrh75X1cNR1D7_FcY9zMnHP8iPO4M5RCRjy6nZY0TY/edit#gid=0"",""Table 1: Study characteristics!A4:A171""), $A1165=IMPORTRANGE(""https://docs.google.com/spreadsheets/d/1kGrh75X1cNR1D7_FcY9zMnHP8iPO4M5RCRjy6nZY0TY/edi"&amp;"t#gid=0"",""Table 1: Study characteristics!B4:B171""))
)"),"wrong study design")</f>
        <v>wrong study design</v>
      </c>
    </row>
    <row r="1166">
      <c r="A1166" s="4" t="str">
        <f>IFERROR(__xludf.DUMMYFUNCTION("""COMPUTED_VALUE"""),"Memory and selective learning in children with spina bifida-myelomeningocele and shunted hydrocephalus: A preliminary study")</f>
        <v>Memory and selective learning in children with spina bifida-myelomeningocele and shunted hydrocephalus: A preliminary study</v>
      </c>
      <c r="B1166" s="5" t="str">
        <f>IFERROR(__xludf.DUMMYFUNCTION("LEFT(FILTER(IMPORTRANGE(""https://docs.google.com/spreadsheets/d/1BJSV3WBYJGRhQ6zExamkszQ5VutGIcaQqmbD9ZTVXMQ/edit#gid=1251630045"",""articles_with_PRISMA_reasons!K2:K2113""), $A1166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$A1166=IMPORTRANGE(""https://docs.google.com/spreadsheets/d/1BJSV3WBYJGRhQ6zExamkszQ5VutGIcaQqmbD9ZTVXMQ/edit#gid=1251630045"",""articles_with_PRISMA_reasons!B2:B2113"")))-1)"),"Vachha")</f>
        <v>Vachha</v>
      </c>
      <c r="C1166" s="6">
        <f>IFERROR(__xludf.DUMMYFUNCTION("FILTER(IMPORTRANGE(""https://docs.google.com/spreadsheets/d/1BJSV3WBYJGRhQ6zExamkszQ5VutGIcaQqmbD9ZTVXMQ/edit#gid=1251630045"",""articles_with_PRISMA_reasons!C2:C2113""), $A1166=IMPORTRANGE(""https://docs.google.com/spreadsheets/d/1BJSV3WBYJGRhQ6zExamkszQ"&amp;"5VutGIcaQqmbD9ZTVXMQ/edit#gid=1251630045"",""articles_with_PRISMA_reasons!B2:B2113""))"),2005.0)</f>
        <v>2005</v>
      </c>
      <c r="D1166" s="5" t="str">
        <f>IFERROR(__xludf.DUMMYFUNCTION("IFS(AND(
FILTER(IMPORTRANGE(""https://docs.google.com/spreadsheets/d/1BJSV3WBYJGRhQ6zExamkszQ5VutGIcaQqmbD9ZTVXMQ/edit#gid=1251630045"",""articles_with_PRISMA_reasons!Y2:Y2113""), $A1166=IMPORTRANGE(""https://docs.google.com/spreadsheets/d/1BJSV3WBYJGRhQ6"&amp;"zExamkszQ5VutGIcaQqmbD9ZTVXMQ/edit#gid=1251630045"",""articles_with_PRISMA_reasons!B2:B2113""))&gt;=2,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$A1166=IMPORTRANGE(""https://docs.google.com/spreadsheets/d/1BJSV3WBYJGRhQ6zExamkszQ5VutGIcaQqmbD9ZTVXMQ/edit#gid=1251630045"",""articles_with_PRISMA_reasons!B2:B2113""))&lt;2),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$A1166=IMPORTRANGE(""https://docs.google.com/spreadsheets/d/1BJSV3WBYJGRhQ6zExamkszQ5VutGIcaQqmbD9ZTVXMQ/edit#gid=1251630045"",""a"&amp;"rticles_with_PRISMA_reasons!B2:B2113""))&lt;2,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$A1166=IMPORTRANGE(""https://docs.google"&amp;".com/spreadsheets/d/1BJSV3WBYJGRhQ6zExamkszQ5VutGIcaQqmbD9ZTVXMQ/edit#gid=1251630045"",""articles_with_PRISMA_reasons!B2:B2113""))&gt;=2),
""Exclude""
)"),"Exclude")</f>
        <v>Exclude</v>
      </c>
      <c r="E1166" s="5" t="str">
        <f>IFERROR(__xludf.DUMMYFUNCTION("IFS(
D1166=""Exclude"",""Exclude"",
AND(
FILTER(IMPORTRANGE(""https://docs.google.com/spreadsheets/d/1qpEmbGH0JjaJbUdp21-y2cPbobDbMjr09BbtdKROZWc/edit#gid=1444865654"",""articles_with_PRISMA_reasons!W2:W2113""), $A1166=IMPORTRANGE(""https://docs.google.co"&amp;"m/spreadsheets/d/1qpEmbGH0JjaJbUdp21-y2cPbobDbMjr09BbtdKROZWc/edit#gid=1444865654"",""articles_with_PRISMA_reasons!B2:B2113""))&gt;=2,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$A1166=IMPORTRANGE(""https://docs.google.com/spreadsheets/d/1qpEmbGH0JjaJbUdp21-y2cPbobDbMjr09BbtdKROZWc/edit#gid=1444865654"",""articles_with_PRISMA_reasons!B2:B2113""))&lt;2),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$A1166=IMPORTRANGE(""https://docs.google.com/spreadsheets/d/1qpEmbGH0JjaJbUdp21-y2cPbobDbMjr09Bbtd"&amp;"KROZWc/edit#gid=1444865654"",""articles_with_PRISMA_reasons!B2:B2113""))&lt;2,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$A1166=I"&amp;"MPORTRANGE(""https://docs.google.com/spreadsheets/d/1qpEmbGH0JjaJbUdp21-y2cPbobDbMjr09BbtdKROZWc/edit#gid=1444865654"",""articles_with_PRISMA_reasons!B2:B2113""))&gt;=2),
""Exclude""
)"),"Exclude")</f>
        <v>Exclude</v>
      </c>
      <c r="F1166" s="5" t="str">
        <f>IFERROR(__xludf.DUMMYFUNCTION("IFS(
E1166=""Exclude"",""Exclude"",
AND(
COUNTIF(
IMPORTRANGE(""https://docs.google.com/spreadsheets/d/1kGrh75X1cNR1D7_FcY9zMnHP8iPO4M5RCRjy6nZY0TY/edit#gid=0"",""Table 1: Study characteristics!B4:B171""),A1166)&gt;0,
COUNTIF(Studies!$A$2:$A$85,FILTER(IMPORT"&amp;"RANGE(""https://docs.google.com/spreadsheets/d/1kGrh75X1cNR1D7_FcY9zMnHP8iPO4M5RCRjy6nZY0TY/edit#gid=0"",""Table 1: Study characteristics!A4:A171""), $A1166=IMPORTRANGE(""https://docs.google.com/spreadsheets/d/1kGrh75X1cNR1D7_FcY9zMnHP8iPO4M5RCRjy6nZY0TY/"&amp;"edit#gid=0"",""Table 1: Study characteristics!B4:B171"")))&gt;0
),
""Include""
)"),"Exclude")</f>
        <v>Exclude</v>
      </c>
      <c r="G1166" s="5" t="str">
        <f>IFERROR(__xludf.DUMMYFUNCTION("IFS(
D1166=""Exclude"",
FILTER(IMPORTRANGE(""https://docs.google.com/spreadsheets/d/1BJSV3WBYJGRhQ6zExamkszQ5VutGIcaQqmbD9ZTVXMQ/edit#gid=1251630045"",""articles_with_PRISMA_reasons!AB2:AB2113""), $A1166=IMPORTRANGE(""https://docs.google.com/spreadsheets/"&amp;"d/1BJSV3WBYJGRhQ6zExamkszQ5VutGIcaQqmbD9ZTVXMQ/edit#gid=1251630045"",""articles_with_PRISMA_reasons!B2:B2113"")),
E1166=""Exclude"",
FILTER(IMPORTRANGE(""https://docs.google.com/spreadsheets/d/1qpEmbGH0JjaJbUdp21-y2cPbobDbMjr09BbtdKROZWc/edit#gid=14448656"&amp;"54"",""articles_with_PRISMA_reasons!Z2:Z2113""), $A1166=IMPORTRANGE(""https://docs.google.com/spreadsheets/d/1qpEmbGH0JjaJbUdp21-y2cPbobDbMjr09BbtdKROZWc/edit#gid=1444865654"",""articles_with_PRISMA_reasons!B2:B2113"")),F1166
=""Include"",FILTER(IMPORTRAN"&amp;"GE(""https://docs.google.com/spreadsheets/d/1kGrh75X1cNR1D7_FcY9zMnHP8iPO4M5RCRjy6nZY0TY/edit#gid=0"",""Table 1: Study characteristics!A4:A171""), $A1166=IMPORTRANGE(""https://docs.google.com/spreadsheets/d/1kGrh75X1cNR1D7_FcY9zMnHP8iPO4M5RCRjy6nZY0TY/edi"&amp;"t#gid=0"",""Table 1: Study characteristics!B4:B171""))
)"),"wrong population")</f>
        <v>wrong population</v>
      </c>
    </row>
    <row r="1167">
      <c r="A1167" s="4" t="str">
        <f>IFERROR(__xludf.DUMMYFUNCTION("""COMPUTED_VALUE"""),"Memory function of children with spina bifida and shunted hydrocephalus")</f>
        <v>Memory function of children with spina bifida and shunted hydrocephalus</v>
      </c>
      <c r="B1167" s="5" t="str">
        <f>IFERROR(__xludf.DUMMYFUNCTION("LEFT(FILTER(IMPORTRANGE(""https://docs.google.com/spreadsheets/d/1BJSV3WBYJGRhQ6zExamkszQ5VutGIcaQqmbD9ZTVXMQ/edit#gid=1251630045"",""articles_with_PRISMA_reasons!K2:K2113""), $A1167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$A1167=IMPORTRANGE(""https://docs.google.com/spreadsheets/d/1BJSV3WBYJGRhQ6zExamkszQ5VutGIcaQqmbD9ZTVXMQ/edit#gid=1251630045"",""articles_with_PRISMA_reasons!B2:B2113"")))-1)"),"Cull")</f>
        <v>Cull</v>
      </c>
      <c r="C1167" s="6">
        <f>IFERROR(__xludf.DUMMYFUNCTION("FILTER(IMPORTRANGE(""https://docs.google.com/spreadsheets/d/1BJSV3WBYJGRhQ6zExamkszQ5VutGIcaQqmbD9ZTVXMQ/edit#gid=1251630045"",""articles_with_PRISMA_reasons!C2:C2113""), $A1167=IMPORTRANGE(""https://docs.google.com/spreadsheets/d/1BJSV3WBYJGRhQ6zExamkszQ"&amp;"5VutGIcaQqmbD9ZTVXMQ/edit#gid=1251630045"",""articles_with_PRISMA_reasons!B2:B2113""))"),1984.0)</f>
        <v>1984</v>
      </c>
      <c r="D1167" s="5" t="str">
        <f>IFERROR(__xludf.DUMMYFUNCTION("IFS(AND(
FILTER(IMPORTRANGE(""https://docs.google.com/spreadsheets/d/1BJSV3WBYJGRhQ6zExamkszQ5VutGIcaQqmbD9ZTVXMQ/edit#gid=1251630045"",""articles_with_PRISMA_reasons!Y2:Y2113""), $A1167=IMPORTRANGE(""https://docs.google.com/spreadsheets/d/1BJSV3WBYJGRhQ6"&amp;"zExamkszQ5VutGIcaQqmbD9ZTVXMQ/edit#gid=1251630045"",""articles_with_PRISMA_reasons!B2:B2113""))&gt;=2,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$A1167=IMPORTRANGE(""https://docs.google.com/spreadsheets/d/1BJSV3WBYJGRhQ6zExamkszQ5VutGIcaQqmbD9ZTVXMQ/edit#gid=1251630045"",""articles_with_PRISMA_reasons!B2:B2113""))&lt;2),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$A1167=IMPORTRANGE(""https://docs.google.com/spreadsheets/d/1BJSV3WBYJGRhQ6zExamkszQ5VutGIcaQqmbD9ZTVXMQ/edit#gid=1251630045"",""a"&amp;"rticles_with_PRISMA_reasons!B2:B2113""))&lt;2,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$A1167=IMPORTRANGE(""https://docs.google"&amp;".com/spreadsheets/d/1BJSV3WBYJGRhQ6zExamkszQ5VutGIcaQqmbD9ZTVXMQ/edit#gid=1251630045"",""articles_with_PRISMA_reasons!B2:B2113""))&gt;=2),
""Exclude""
)"),"Exclude")</f>
        <v>Exclude</v>
      </c>
      <c r="E1167" s="5" t="str">
        <f>IFERROR(__xludf.DUMMYFUNCTION("IFS(
D1167=""Exclude"",""Exclude"",
AND(
FILTER(IMPORTRANGE(""https://docs.google.com/spreadsheets/d/1qpEmbGH0JjaJbUdp21-y2cPbobDbMjr09BbtdKROZWc/edit#gid=1444865654"",""articles_with_PRISMA_reasons!W2:W2113""), $A1167=IMPORTRANGE(""https://docs.google.co"&amp;"m/spreadsheets/d/1qpEmbGH0JjaJbUdp21-y2cPbobDbMjr09BbtdKROZWc/edit#gid=1444865654"",""articles_with_PRISMA_reasons!B2:B2113""))&gt;=2,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$A1167=IMPORTRANGE(""https://docs.google.com/spreadsheets/d/1qpEmbGH0JjaJbUdp21-y2cPbobDbMjr09BbtdKROZWc/edit#gid=1444865654"",""articles_with_PRISMA_reasons!B2:B2113""))&lt;2),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$A1167=IMPORTRANGE(""https://docs.google.com/spreadsheets/d/1qpEmbGH0JjaJbUdp21-y2cPbobDbMjr09Bbtd"&amp;"KROZWc/edit#gid=1444865654"",""articles_with_PRISMA_reasons!B2:B2113""))&lt;2,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$A1167=I"&amp;"MPORTRANGE(""https://docs.google.com/spreadsheets/d/1qpEmbGH0JjaJbUdp21-y2cPbobDbMjr09BbtdKROZWc/edit#gid=1444865654"",""articles_with_PRISMA_reasons!B2:B2113""))&gt;=2),
""Exclude""
)"),"Exclude")</f>
        <v>Exclude</v>
      </c>
      <c r="F1167" s="5" t="str">
        <f>IFERROR(__xludf.DUMMYFUNCTION("IFS(
E1167=""Exclude"",""Exclude"",
AND(
COUNTIF(
IMPORTRANGE(""https://docs.google.com/spreadsheets/d/1kGrh75X1cNR1D7_FcY9zMnHP8iPO4M5RCRjy6nZY0TY/edit#gid=0"",""Table 1: Study characteristics!B4:B171""),A1167)&gt;0,
COUNTIF(Studies!$A$2:$A$85,FILTER(IMPORT"&amp;"RANGE(""https://docs.google.com/spreadsheets/d/1kGrh75X1cNR1D7_FcY9zMnHP8iPO4M5RCRjy6nZY0TY/edit#gid=0"",""Table 1: Study characteristics!A4:A171""), $A1167=IMPORTRANGE(""https://docs.google.com/spreadsheets/d/1kGrh75X1cNR1D7_FcY9zMnHP8iPO4M5RCRjy6nZY0TY/"&amp;"edit#gid=0"",""Table 1: Study characteristics!B4:B171"")))&gt;0
),
""Include""
)"),"Exclude")</f>
        <v>Exclude</v>
      </c>
      <c r="G1167" s="5" t="str">
        <f>IFERROR(__xludf.DUMMYFUNCTION("IFS(
D1167=""Exclude"",
FILTER(IMPORTRANGE(""https://docs.google.com/spreadsheets/d/1BJSV3WBYJGRhQ6zExamkszQ5VutGIcaQqmbD9ZTVXMQ/edit#gid=1251630045"",""articles_with_PRISMA_reasons!AB2:AB2113""), $A1167=IMPORTRANGE(""https://docs.google.com/spreadsheets/"&amp;"d/1BJSV3WBYJGRhQ6zExamkszQ5VutGIcaQqmbD9ZTVXMQ/edit#gid=1251630045"",""articles_with_PRISMA_reasons!B2:B2113"")),
E1167=""Exclude"",
FILTER(IMPORTRANGE(""https://docs.google.com/spreadsheets/d/1qpEmbGH0JjaJbUdp21-y2cPbobDbMjr09BbtdKROZWc/edit#gid=14448656"&amp;"54"",""articles_with_PRISMA_reasons!Z2:Z2113""), $A1167=IMPORTRANGE(""https://docs.google.com/spreadsheets/d/1qpEmbGH0JjaJbUdp21-y2cPbobDbMjr09BbtdKROZWc/edit#gid=1444865654"",""articles_with_PRISMA_reasons!B2:B2113"")),F1167
=""Include"",FILTER(IMPORTRAN"&amp;"GE(""https://docs.google.com/spreadsheets/d/1kGrh75X1cNR1D7_FcY9zMnHP8iPO4M5RCRjy6nZY0TY/edit#gid=0"",""Table 1: Study characteristics!A4:A171""), $A1167=IMPORTRANGE(""https://docs.google.com/spreadsheets/d/1kGrh75X1cNR1D7_FcY9zMnHP8iPO4M5RCRjy6nZY0TY/edi"&amp;"t#gid=0"",""Table 1: Study characteristics!B4:B171""))
)"),"wrong population")</f>
        <v>wrong population</v>
      </c>
    </row>
    <row r="1168">
      <c r="A1168" s="4" t="str">
        <f>IFERROR(__xludf.DUMMYFUNCTION("""COMPUTED_VALUE"""),"Meningoceles and neurological involvement")</f>
        <v>Meningoceles and neurological involvement</v>
      </c>
      <c r="B1168" s="5" t="str">
        <f>IFERROR(__xludf.DUMMYFUNCTION("LEFT(FILTER(IMPORTRANGE(""https://docs.google.com/spreadsheets/d/1BJSV3WBYJGRhQ6zExamkszQ5VutGIcaQqmbD9ZTVXMQ/edit#gid=1251630045"",""articles_with_PRISMA_reasons!K2:K2113""), $A1168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$A1168=IMPORTRANGE(""https://docs.google.com/spreadsheets/d/1BJSV3WBYJGRhQ6zExamkszQ5VutGIcaQqmbD9ZTVXMQ/edit#gid=1251630045"",""articles_with_PRISMA_reasons!B2:B2113"")))-1)"),"Talwalkar")</f>
        <v>Talwalkar</v>
      </c>
      <c r="C1168" s="6">
        <f>IFERROR(__xludf.DUMMYFUNCTION("FILTER(IMPORTRANGE(""https://docs.google.com/spreadsheets/d/1BJSV3WBYJGRhQ6zExamkszQ5VutGIcaQqmbD9ZTVXMQ/edit#gid=1251630045"",""articles_with_PRISMA_reasons!C2:C2113""), $A1168=IMPORTRANGE(""https://docs.google.com/spreadsheets/d/1BJSV3WBYJGRhQ6zExamkszQ"&amp;"5VutGIcaQqmbD9ZTVXMQ/edit#gid=1251630045"",""articles_with_PRISMA_reasons!B2:B2113""))"),1985.0)</f>
        <v>1985</v>
      </c>
      <c r="D1168" s="5" t="str">
        <f>IFERROR(__xludf.DUMMYFUNCTION("IFS(AND(
FILTER(IMPORTRANGE(""https://docs.google.com/spreadsheets/d/1BJSV3WBYJGRhQ6zExamkszQ5VutGIcaQqmbD9ZTVXMQ/edit#gid=1251630045"",""articles_with_PRISMA_reasons!Y2:Y2113""), $A1168=IMPORTRANGE(""https://docs.google.com/spreadsheets/d/1BJSV3WBYJGRhQ6"&amp;"zExamkszQ5VutGIcaQqmbD9ZTVXMQ/edit#gid=1251630045"",""articles_with_PRISMA_reasons!B2:B2113""))&gt;=2,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$A1168=IMPORTRANGE(""https://docs.google.com/spreadsheets/d/1BJSV3WBYJGRhQ6zExamkszQ5VutGIcaQqmbD9ZTVXMQ/edit#gid=1251630045"",""articles_with_PRISMA_reasons!B2:B2113""))&lt;2),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$A1168=IMPORTRANGE(""https://docs.google.com/spreadsheets/d/1BJSV3WBYJGRhQ6zExamkszQ5VutGIcaQqmbD9ZTVXMQ/edit#gid=1251630045"",""a"&amp;"rticles_with_PRISMA_reasons!B2:B2113""))&lt;2,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$A1168=IMPORTRANGE(""https://docs.google"&amp;".com/spreadsheets/d/1BJSV3WBYJGRhQ6zExamkszQ5VutGIcaQqmbD9ZTVXMQ/edit#gid=1251630045"",""articles_with_PRISMA_reasons!B2:B2113""))&gt;=2),
""Exclude""
)"),"Exclude")</f>
        <v>Exclude</v>
      </c>
      <c r="E1168" s="5" t="str">
        <f>IFERROR(__xludf.DUMMYFUNCTION("IFS(
D1168=""Exclude"",""Exclude"",
AND(
FILTER(IMPORTRANGE(""https://docs.google.com/spreadsheets/d/1qpEmbGH0JjaJbUdp21-y2cPbobDbMjr09BbtdKROZWc/edit#gid=1444865654"",""articles_with_PRISMA_reasons!W2:W2113""), $A1168=IMPORTRANGE(""https://docs.google.co"&amp;"m/spreadsheets/d/1qpEmbGH0JjaJbUdp21-y2cPbobDbMjr09BbtdKROZWc/edit#gid=1444865654"",""articles_with_PRISMA_reasons!B2:B2113""))&gt;=2,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$A1168=IMPORTRANGE(""https://docs.google.com/spreadsheets/d/1qpEmbGH0JjaJbUdp21-y2cPbobDbMjr09BbtdKROZWc/edit#gid=1444865654"",""articles_with_PRISMA_reasons!B2:B2113""))&lt;2),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$A1168=IMPORTRANGE(""https://docs.google.com/spreadsheets/d/1qpEmbGH0JjaJbUdp21-y2cPbobDbMjr09Bbtd"&amp;"KROZWc/edit#gid=1444865654"",""articles_with_PRISMA_reasons!B2:B2113""))&lt;2,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$A1168=I"&amp;"MPORTRANGE(""https://docs.google.com/spreadsheets/d/1qpEmbGH0JjaJbUdp21-y2cPbobDbMjr09BbtdKROZWc/edit#gid=1444865654"",""articles_with_PRISMA_reasons!B2:B2113""))&gt;=2),
""Exclude""
)"),"Exclude")</f>
        <v>Exclude</v>
      </c>
      <c r="F1168" s="5" t="str">
        <f>IFERROR(__xludf.DUMMYFUNCTION("IFS(
E1168=""Exclude"",""Exclude"",
AND(
COUNTIF(
IMPORTRANGE(""https://docs.google.com/spreadsheets/d/1kGrh75X1cNR1D7_FcY9zMnHP8iPO4M5RCRjy6nZY0TY/edit#gid=0"",""Table 1: Study characteristics!B4:B171""),A1168)&gt;0,
COUNTIF(Studies!$A$2:$A$85,FILTER(IMPORT"&amp;"RANGE(""https://docs.google.com/spreadsheets/d/1kGrh75X1cNR1D7_FcY9zMnHP8iPO4M5RCRjy6nZY0TY/edit#gid=0"",""Table 1: Study characteristics!A4:A171""), $A1168=IMPORTRANGE(""https://docs.google.com/spreadsheets/d/1kGrh75X1cNR1D7_FcY9zMnHP8iPO4M5RCRjy6nZY0TY/"&amp;"edit#gid=0"",""Table 1: Study characteristics!B4:B171"")))&gt;0
),
""Include""
)"),"Exclude")</f>
        <v>Exclude</v>
      </c>
      <c r="G1168" s="5" t="str">
        <f>IFERROR(__xludf.DUMMYFUNCTION("IFS(
D1168=""Exclude"",
FILTER(IMPORTRANGE(""https://docs.google.com/spreadsheets/d/1BJSV3WBYJGRhQ6zExamkszQ5VutGIcaQqmbD9ZTVXMQ/edit#gid=1251630045"",""articles_with_PRISMA_reasons!AB2:AB2113""), $A1168=IMPORTRANGE(""https://docs.google.com/spreadsheets/"&amp;"d/1BJSV3WBYJGRhQ6zExamkszQ5VutGIcaQqmbD9ZTVXMQ/edit#gid=1251630045"",""articles_with_PRISMA_reasons!B2:B2113"")),
E1168=""Exclude"",
FILTER(IMPORTRANGE(""https://docs.google.com/spreadsheets/d/1qpEmbGH0JjaJbUdp21-y2cPbobDbMjr09BbtdKROZWc/edit#gid=14448656"&amp;"54"",""articles_with_PRISMA_reasons!Z2:Z2113""), $A1168=IMPORTRANGE(""https://docs.google.com/spreadsheets/d/1qpEmbGH0JjaJbUdp21-y2cPbobDbMjr09BbtdKROZWc/edit#gid=1444865654"",""articles_with_PRISMA_reasons!B2:B2113"")),F1168
=""Include"",FILTER(IMPORTRAN"&amp;"GE(""https://docs.google.com/spreadsheets/d/1kGrh75X1cNR1D7_FcY9zMnHP8iPO4M5RCRjy6nZY0TY/edit#gid=0"",""Table 1: Study characteristics!A4:A171""), $A1168=IMPORTRANGE(""https://docs.google.com/spreadsheets/d/1kGrh75X1cNR1D7_FcY9zMnHP8iPO4M5RCRjy6nZY0TY/edi"&amp;"t#gid=0"",""Table 1: Study characteristics!B4:B171""))
)"),"wrong study design")</f>
        <v>wrong study design</v>
      </c>
    </row>
    <row r="1169">
      <c r="A1169" s="4" t="str">
        <f>IFERROR(__xludf.DUMMYFUNCTION("""COMPUTED_VALUE"""),"Meningomyelocele")</f>
        <v>Meningomyelocele</v>
      </c>
      <c r="B1169" s="5" t="str">
        <f>IFERROR(__xludf.DUMMYFUNCTION("LEFT(FILTER(IMPORTRANGE(""https://docs.google.com/spreadsheets/d/1BJSV3WBYJGRhQ6zExamkszQ5VutGIcaQqmbD9ZTVXMQ/edit#gid=1251630045"",""articles_with_PRISMA_reasons!K2:K2113""), $A1169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$A1169=IMPORTRANGE(""https://docs.google.com/spreadsheets/d/1BJSV3WBYJGRhQ6zExamkszQ5VutGIcaQqmbD9ZTVXMQ/edit#gid=1251630045"",""articles_with_PRISMA_reasons!B2:B2113"")))-1)"),"Rothstein")</f>
        <v>Rothstein</v>
      </c>
      <c r="C1169" s="6">
        <f>IFERROR(__xludf.DUMMYFUNCTION("FILTER(IMPORTRANGE(""https://docs.google.com/spreadsheets/d/1BJSV3WBYJGRhQ6zExamkszQ5VutGIcaQqmbD9ZTVXMQ/edit#gid=1251630045"",""articles_with_PRISMA_reasons!C2:C2113""), $A1169=IMPORTRANGE(""https://docs.google.com/spreadsheets/d/1BJSV3WBYJGRhQ6zExamkszQ"&amp;"5VutGIcaQqmbD9ZTVXMQ/edit#gid=1251630045"",""articles_with_PRISMA_reasons!B2:B2113""))"),1974.0)</f>
        <v>1974</v>
      </c>
      <c r="D1169" s="5" t="str">
        <f>IFERROR(__xludf.DUMMYFUNCTION("IFS(AND(
FILTER(IMPORTRANGE(""https://docs.google.com/spreadsheets/d/1BJSV3WBYJGRhQ6zExamkszQ5VutGIcaQqmbD9ZTVXMQ/edit#gid=1251630045"",""articles_with_PRISMA_reasons!Y2:Y2113""), $A1169=IMPORTRANGE(""https://docs.google.com/spreadsheets/d/1BJSV3WBYJGRhQ6"&amp;"zExamkszQ5VutGIcaQqmbD9ZTVXMQ/edit#gid=1251630045"",""articles_with_PRISMA_reasons!B2:B2113""))&gt;=2,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$A1169=IMPORTRANGE(""https://docs.google.com/spreadsheets/d/1BJSV3WBYJGRhQ6zExamkszQ5VutGIcaQqmbD9ZTVXMQ/edit#gid=1251630045"",""articles_with_PRISMA_reasons!B2:B2113""))&lt;2),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$A1169=IMPORTRANGE(""https://docs.google.com/spreadsheets/d/1BJSV3WBYJGRhQ6zExamkszQ5VutGIcaQqmbD9ZTVXMQ/edit#gid=1251630045"",""a"&amp;"rticles_with_PRISMA_reasons!B2:B2113""))&lt;2,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$A1169=IMPORTRANGE(""https://docs.google"&amp;".com/spreadsheets/d/1BJSV3WBYJGRhQ6zExamkszQ5VutGIcaQqmbD9ZTVXMQ/edit#gid=1251630045"",""articles_with_PRISMA_reasons!B2:B2113""))&gt;=2),
""Exclude""
)"),"Exclude")</f>
        <v>Exclude</v>
      </c>
      <c r="E1169" s="5" t="str">
        <f>IFERROR(__xludf.DUMMYFUNCTION("IFS(
D1169=""Exclude"",""Exclude"",
AND(
FILTER(IMPORTRANGE(""https://docs.google.com/spreadsheets/d/1qpEmbGH0JjaJbUdp21-y2cPbobDbMjr09BbtdKROZWc/edit#gid=1444865654"",""articles_with_PRISMA_reasons!W2:W2113""), $A1169=IMPORTRANGE(""https://docs.google.co"&amp;"m/spreadsheets/d/1qpEmbGH0JjaJbUdp21-y2cPbobDbMjr09BbtdKROZWc/edit#gid=1444865654"",""articles_with_PRISMA_reasons!B2:B2113""))&gt;=2,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$A1169=IMPORTRANGE(""https://docs.google.com/spreadsheets/d/1qpEmbGH0JjaJbUdp21-y2cPbobDbMjr09BbtdKROZWc/edit#gid=1444865654"",""articles_with_PRISMA_reasons!B2:B2113""))&lt;2),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$A1169=IMPORTRANGE(""https://docs.google.com/spreadsheets/d/1qpEmbGH0JjaJbUdp21-y2cPbobDbMjr09Bbtd"&amp;"KROZWc/edit#gid=1444865654"",""articles_with_PRISMA_reasons!B2:B2113""))&lt;2,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$A1169=I"&amp;"MPORTRANGE(""https://docs.google.com/spreadsheets/d/1qpEmbGH0JjaJbUdp21-y2cPbobDbMjr09BbtdKROZWc/edit#gid=1444865654"",""articles_with_PRISMA_reasons!B2:B2113""))&gt;=2),
""Exclude""
)"),"Exclude")</f>
        <v>Exclude</v>
      </c>
      <c r="F1169" s="5" t="str">
        <f>IFERROR(__xludf.DUMMYFUNCTION("IFS(
E1169=""Exclude"",""Exclude"",
AND(
COUNTIF(
IMPORTRANGE(""https://docs.google.com/spreadsheets/d/1kGrh75X1cNR1D7_FcY9zMnHP8iPO4M5RCRjy6nZY0TY/edit#gid=0"",""Table 1: Study characteristics!B4:B171""),A1169)&gt;0,
COUNTIF(Studies!$A$2:$A$85,FILTER(IMPORT"&amp;"RANGE(""https://docs.google.com/spreadsheets/d/1kGrh75X1cNR1D7_FcY9zMnHP8iPO4M5RCRjy6nZY0TY/edit#gid=0"",""Table 1: Study characteristics!A4:A171""), $A1169=IMPORTRANGE(""https://docs.google.com/spreadsheets/d/1kGrh75X1cNR1D7_FcY9zMnHP8iPO4M5RCRjy6nZY0TY/"&amp;"edit#gid=0"",""Table 1: Study characteristics!B4:B171"")))&gt;0
),
""Include""
)"),"Exclude")</f>
        <v>Exclude</v>
      </c>
      <c r="G1169" s="5" t="str">
        <f>IFERROR(__xludf.DUMMYFUNCTION("IFS(
D1169=""Exclude"",
FILTER(IMPORTRANGE(""https://docs.google.com/spreadsheets/d/1BJSV3WBYJGRhQ6zExamkszQ5VutGIcaQqmbD9ZTVXMQ/edit#gid=1251630045"",""articles_with_PRISMA_reasons!AB2:AB2113""), $A1169=IMPORTRANGE(""https://docs.google.com/spreadsheets/"&amp;"d/1BJSV3WBYJGRhQ6zExamkszQ5VutGIcaQqmbD9ZTVXMQ/edit#gid=1251630045"",""articles_with_PRISMA_reasons!B2:B2113"")),
E1169=""Exclude"",
FILTER(IMPORTRANGE(""https://docs.google.com/spreadsheets/d/1qpEmbGH0JjaJbUdp21-y2cPbobDbMjr09BbtdKROZWc/edit#gid=14448656"&amp;"54"",""articles_with_PRISMA_reasons!Z2:Z2113""), $A1169=IMPORTRANGE(""https://docs.google.com/spreadsheets/d/1qpEmbGH0JjaJbUdp21-y2cPbobDbMjr09BbtdKROZWc/edit#gid=1444865654"",""articles_with_PRISMA_reasons!B2:B2113"")),F1169
=""Include"",FILTER(IMPORTRAN"&amp;"GE(""https://docs.google.com/spreadsheets/d/1kGrh75X1cNR1D7_FcY9zMnHP8iPO4M5RCRjy6nZY0TY/edit#gid=0"",""Table 1: Study characteristics!A4:A171""), $A1169=IMPORTRANGE(""https://docs.google.com/spreadsheets/d/1kGrh75X1cNR1D7_FcY9zMnHP8iPO4M5RCRjy6nZY0TY/edi"&amp;"t#gid=0"",""Table 1: Study characteristics!B4:B171""))
)"),"background article")</f>
        <v>background article</v>
      </c>
    </row>
    <row r="1170">
      <c r="A1170" s="4" t="str">
        <f>IFERROR(__xludf.DUMMYFUNCTION("""COMPUTED_VALUE"""),"Meningomyelocele and Hirschsprung disease: Theoretical and clinical significance")</f>
        <v>Meningomyelocele and Hirschsprung disease: Theoretical and clinical significance</v>
      </c>
      <c r="B1170" s="5" t="str">
        <f>IFERROR(__xludf.DUMMYFUNCTION("LEFT(FILTER(IMPORTRANGE(""https://docs.google.com/spreadsheets/d/1BJSV3WBYJGRhQ6zExamkszQ5VutGIcaQqmbD9ZTVXMQ/edit#gid=1251630045"",""articles_with_PRISMA_reasons!K2:K2113""), $A1170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$A1170=IMPORTRANGE(""https://docs.google.com/spreadsheets/d/1BJSV3WBYJGRhQ6zExamkszQ5VutGIcaQqmbD9ZTVXMQ/edit#gid=1251630045"",""articles_with_PRISMA_reasons!B2:B2113"")))-1)"),"Merkler")</f>
        <v>Merkler</v>
      </c>
      <c r="C1170" s="6">
        <f>IFERROR(__xludf.DUMMYFUNCTION("FILTER(IMPORTRANGE(""https://docs.google.com/spreadsheets/d/1BJSV3WBYJGRhQ6zExamkszQ5VutGIcaQqmbD9ZTVXMQ/edit#gid=1251630045"",""articles_with_PRISMA_reasons!C2:C2113""), $A1170=IMPORTRANGE(""https://docs.google.com/spreadsheets/d/1BJSV3WBYJGRhQ6zExamkszQ"&amp;"5VutGIcaQqmbD9ZTVXMQ/edit#gid=1251630045"",""articles_with_PRISMA_reasons!B2:B2113""))"),1985.0)</f>
        <v>1985</v>
      </c>
      <c r="D1170" s="5" t="str">
        <f>IFERROR(__xludf.DUMMYFUNCTION("IFS(AND(
FILTER(IMPORTRANGE(""https://docs.google.com/spreadsheets/d/1BJSV3WBYJGRhQ6zExamkszQ5VutGIcaQqmbD9ZTVXMQ/edit#gid=1251630045"",""articles_with_PRISMA_reasons!Y2:Y2113""), $A1170=IMPORTRANGE(""https://docs.google.com/spreadsheets/d/1BJSV3WBYJGRhQ6"&amp;"zExamkszQ5VutGIcaQqmbD9ZTVXMQ/edit#gid=1251630045"",""articles_with_PRISMA_reasons!B2:B2113""))&gt;=2,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$A1170=IMPORTRANGE(""https://docs.google.com/spreadsheets/d/1BJSV3WBYJGRhQ6zExamkszQ5VutGIcaQqmbD9ZTVXMQ/edit#gid=1251630045"",""articles_with_PRISMA_reasons!B2:B2113""))&lt;2),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$A1170=IMPORTRANGE(""https://docs.google.com/spreadsheets/d/1BJSV3WBYJGRhQ6zExamkszQ5VutGIcaQqmbD9ZTVXMQ/edit#gid=1251630045"",""a"&amp;"rticles_with_PRISMA_reasons!B2:B2113""))&lt;2,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$A1170=IMPORTRANGE(""https://docs.google"&amp;".com/spreadsheets/d/1BJSV3WBYJGRhQ6zExamkszQ5VutGIcaQqmbD9ZTVXMQ/edit#gid=1251630045"",""articles_with_PRISMA_reasons!B2:B2113""))&gt;=2),
""Exclude""
)"),"Exclude")</f>
        <v>Exclude</v>
      </c>
      <c r="E1170" s="5" t="str">
        <f>IFERROR(__xludf.DUMMYFUNCTION("IFS(
D1170=""Exclude"",""Exclude"",
AND(
FILTER(IMPORTRANGE(""https://docs.google.com/spreadsheets/d/1qpEmbGH0JjaJbUdp21-y2cPbobDbMjr09BbtdKROZWc/edit#gid=1444865654"",""articles_with_PRISMA_reasons!W2:W2113""), $A1170=IMPORTRANGE(""https://docs.google.co"&amp;"m/spreadsheets/d/1qpEmbGH0JjaJbUdp21-y2cPbobDbMjr09BbtdKROZWc/edit#gid=1444865654"",""articles_with_PRISMA_reasons!B2:B2113""))&gt;=2,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$A1170=IMPORTRANGE(""https://docs.google.com/spreadsheets/d/1qpEmbGH0JjaJbUdp21-y2cPbobDbMjr09BbtdKROZWc/edit#gid=1444865654"",""articles_with_PRISMA_reasons!B2:B2113""))&lt;2),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$A1170=IMPORTRANGE(""https://docs.google.com/spreadsheets/d/1qpEmbGH0JjaJbUdp21-y2cPbobDbMjr09Bbtd"&amp;"KROZWc/edit#gid=1444865654"",""articles_with_PRISMA_reasons!B2:B2113""))&lt;2,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$A1170=I"&amp;"MPORTRANGE(""https://docs.google.com/spreadsheets/d/1qpEmbGH0JjaJbUdp21-y2cPbobDbMjr09BbtdKROZWc/edit#gid=1444865654"",""articles_with_PRISMA_reasons!B2:B2113""))&gt;=2),
""Exclude""
)"),"Exclude")</f>
        <v>Exclude</v>
      </c>
      <c r="F1170" s="5" t="str">
        <f>IFERROR(__xludf.DUMMYFUNCTION("IFS(
E1170=""Exclude"",""Exclude"",
AND(
COUNTIF(
IMPORTRANGE(""https://docs.google.com/spreadsheets/d/1kGrh75X1cNR1D7_FcY9zMnHP8iPO4M5RCRjy6nZY0TY/edit#gid=0"",""Table 1: Study characteristics!B4:B171""),A1170)&gt;0,
COUNTIF(Studies!$A$2:$A$85,FILTER(IMPORT"&amp;"RANGE(""https://docs.google.com/spreadsheets/d/1kGrh75X1cNR1D7_FcY9zMnHP8iPO4M5RCRjy6nZY0TY/edit#gid=0"",""Table 1: Study characteristics!A4:A171""), $A1170=IMPORTRANGE(""https://docs.google.com/spreadsheets/d/1kGrh75X1cNR1D7_FcY9zMnHP8iPO4M5RCRjy6nZY0TY/"&amp;"edit#gid=0"",""Table 1: Study characteristics!B4:B171"")))&gt;0
),
""Include""
)"),"Exclude")</f>
        <v>Exclude</v>
      </c>
      <c r="G1170" s="5" t="str">
        <f>IFERROR(__xludf.DUMMYFUNCTION("IFS(
D1170=""Exclude"",
FILTER(IMPORTRANGE(""https://docs.google.com/spreadsheets/d/1BJSV3WBYJGRhQ6zExamkszQ5VutGIcaQqmbD9ZTVXMQ/edit#gid=1251630045"",""articles_with_PRISMA_reasons!AB2:AB2113""), $A1170=IMPORTRANGE(""https://docs.google.com/spreadsheets/"&amp;"d/1BJSV3WBYJGRhQ6zExamkszQ5VutGIcaQqmbD9ZTVXMQ/edit#gid=1251630045"",""articles_with_PRISMA_reasons!B2:B2113"")),
E1170=""Exclude"",
FILTER(IMPORTRANGE(""https://docs.google.com/spreadsheets/d/1qpEmbGH0JjaJbUdp21-y2cPbobDbMjr09BbtdKROZWc/edit#gid=14448656"&amp;"54"",""articles_with_PRISMA_reasons!Z2:Z2113""), $A1170=IMPORTRANGE(""https://docs.google.com/spreadsheets/d/1qpEmbGH0JjaJbUdp21-y2cPbobDbMjr09BbtdKROZWc/edit#gid=1444865654"",""articles_with_PRISMA_reasons!B2:B2113"")),F1170
=""Include"",FILTER(IMPORTRAN"&amp;"GE(""https://docs.google.com/spreadsheets/d/1kGrh75X1cNR1D7_FcY9zMnHP8iPO4M5RCRjy6nZY0TY/edit#gid=0"",""Table 1: Study characteristics!A4:A171""), $A1170=IMPORTRANGE(""https://docs.google.com/spreadsheets/d/1kGrh75X1cNR1D7_FcY9zMnHP8iPO4M5RCRjy6nZY0TY/edi"&amp;"t#gid=0"",""Table 1: Study characteristics!B4:B171""))
)"),"wrong study design")</f>
        <v>wrong study design</v>
      </c>
    </row>
    <row r="1171">
      <c r="A1171" s="4" t="str">
        <f>IFERROR(__xludf.DUMMYFUNCTION("""COMPUTED_VALUE"""),"Meningomyelocele and hydrocephalus")</f>
        <v>Meningomyelocele and hydrocephalus</v>
      </c>
      <c r="B1171" s="5" t="str">
        <f>IFERROR(__xludf.DUMMYFUNCTION("LEFT(FILTER(IMPORTRANGE(""https://docs.google.com/spreadsheets/d/1BJSV3WBYJGRhQ6zExamkszQ5VutGIcaQqmbD9ZTVXMQ/edit#gid=1251630045"",""articles_with_PRISMA_reasons!K2:K2113""), $A1171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$A1171=IMPORTRANGE(""https://docs.google.com/spreadsheets/d/1BJSV3WBYJGRhQ6zExamkszQ5VutGIcaQqmbD9ZTVXMQ/edit#gid=1251630045"",""articles_with_PRISMA_reasons!B2:B2113"")))-1)"),"Avery")</f>
        <v>Avery</v>
      </c>
      <c r="C1171" s="6">
        <f>IFERROR(__xludf.DUMMYFUNCTION("FILTER(IMPORTRANGE(""https://docs.google.com/spreadsheets/d/1BJSV3WBYJGRhQ6zExamkszQ5VutGIcaQqmbD9ZTVXMQ/edit#gid=1251630045"",""articles_with_PRISMA_reasons!C2:C2113""), $A1171=IMPORTRANGE(""https://docs.google.com/spreadsheets/d/1BJSV3WBYJGRhQ6zExamkszQ"&amp;"5VutGIcaQqmbD9ZTVXMQ/edit#gid=1251630045"",""articles_with_PRISMA_reasons!B2:B2113""))"),1970.0)</f>
        <v>1970</v>
      </c>
      <c r="D1171" s="5" t="str">
        <f>IFERROR(__xludf.DUMMYFUNCTION("IFS(AND(
FILTER(IMPORTRANGE(""https://docs.google.com/spreadsheets/d/1BJSV3WBYJGRhQ6zExamkszQ5VutGIcaQqmbD9ZTVXMQ/edit#gid=1251630045"",""articles_with_PRISMA_reasons!Y2:Y2113""), $A1171=IMPORTRANGE(""https://docs.google.com/spreadsheets/d/1BJSV3WBYJGRhQ6"&amp;"zExamkszQ5VutGIcaQqmbD9ZTVXMQ/edit#gid=1251630045"",""articles_with_PRISMA_reasons!B2:B2113""))&gt;=2,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$A1171=IMPORTRANGE(""https://docs.google.com/spreadsheets/d/1BJSV3WBYJGRhQ6zExamkszQ5VutGIcaQqmbD9ZTVXMQ/edit#gid=1251630045"",""articles_with_PRISMA_reasons!B2:B2113""))&lt;2),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$A1171=IMPORTRANGE(""https://docs.google.com/spreadsheets/d/1BJSV3WBYJGRhQ6zExamkszQ5VutGIcaQqmbD9ZTVXMQ/edit#gid=1251630045"",""a"&amp;"rticles_with_PRISMA_reasons!B2:B2113""))&lt;2,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$A1171=IMPORTRANGE(""https://docs.google"&amp;".com/spreadsheets/d/1BJSV3WBYJGRhQ6zExamkszQ5VutGIcaQqmbD9ZTVXMQ/edit#gid=1251630045"",""articles_with_PRISMA_reasons!B2:B2113""))&gt;=2),
""Exclude""
)"),"Include")</f>
        <v>Include</v>
      </c>
      <c r="E1171" s="5" t="str">
        <f>IFERROR(__xludf.DUMMYFUNCTION("IFS(
D1171=""Exclude"",""Exclude"",
AND(
FILTER(IMPORTRANGE(""https://docs.google.com/spreadsheets/d/1qpEmbGH0JjaJbUdp21-y2cPbobDbMjr09BbtdKROZWc/edit#gid=1444865654"",""articles_with_PRISMA_reasons!W2:W2113""), $A1171=IMPORTRANGE(""https://docs.google.co"&amp;"m/spreadsheets/d/1qpEmbGH0JjaJbUdp21-y2cPbobDbMjr09BbtdKROZWc/edit#gid=1444865654"",""articles_with_PRISMA_reasons!B2:B2113""))&gt;=2,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$A1171=IMPORTRANGE(""https://docs.google.com/spreadsheets/d/1qpEmbGH0JjaJbUdp21-y2cPbobDbMjr09BbtdKROZWc/edit#gid=1444865654"",""articles_with_PRISMA_reasons!B2:B2113""))&lt;2),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$A1171=IMPORTRANGE(""https://docs.google.com/spreadsheets/d/1qpEmbGH0JjaJbUdp21-y2cPbobDbMjr09Bbtd"&amp;"KROZWc/edit#gid=1444865654"",""articles_with_PRISMA_reasons!B2:B2113""))&lt;2,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$A1171=I"&amp;"MPORTRANGE(""https://docs.google.com/spreadsheets/d/1qpEmbGH0JjaJbUdp21-y2cPbobDbMjr09BbtdKROZWc/edit#gid=1444865654"",""articles_with_PRISMA_reasons!B2:B2113""))&gt;=2),
""Exclude""
)"),"Exclude")</f>
        <v>Exclude</v>
      </c>
      <c r="F1171" s="5" t="str">
        <f>IFERROR(__xludf.DUMMYFUNCTION("IFS(
E1171=""Exclude"",""Exclude"",
AND(
COUNTIF(
IMPORTRANGE(""https://docs.google.com/spreadsheets/d/1kGrh75X1cNR1D7_FcY9zMnHP8iPO4M5RCRjy6nZY0TY/edit#gid=0"",""Table 1: Study characteristics!B4:B171""),A1171)&gt;0,
COUNTIF(Studies!$A$2:$A$85,FILTER(IMPORT"&amp;"RANGE(""https://docs.google.com/spreadsheets/d/1kGrh75X1cNR1D7_FcY9zMnHP8iPO4M5RCRjy6nZY0TY/edit#gid=0"",""Table 1: Study characteristics!A4:A171""), $A1171=IMPORTRANGE(""https://docs.google.com/spreadsheets/d/1kGrh75X1cNR1D7_FcY9zMnHP8iPO4M5RCRjy6nZY0TY/"&amp;"edit#gid=0"",""Table 1: Study characteristics!B4:B171"")))&gt;0
),
""Include""
)"),"Exclude")</f>
        <v>Exclude</v>
      </c>
      <c r="G1171" s="5" t="str">
        <f>IFERROR(__xludf.DUMMYFUNCTION("IFS(
D1171=""Exclude"",
FILTER(IMPORTRANGE(""https://docs.google.com/spreadsheets/d/1BJSV3WBYJGRhQ6zExamkszQ5VutGIcaQqmbD9ZTVXMQ/edit#gid=1251630045"",""articles_with_PRISMA_reasons!AB2:AB2113""), $A1171=IMPORTRANGE(""https://docs.google.com/spreadsheets/"&amp;"d/1BJSV3WBYJGRhQ6zExamkszQ5VutGIcaQqmbD9ZTVXMQ/edit#gid=1251630045"",""articles_with_PRISMA_reasons!B2:B2113"")),
E1171=""Exclude"",
FILTER(IMPORTRANGE(""https://docs.google.com/spreadsheets/d/1qpEmbGH0JjaJbUdp21-y2cPbobDbMjr09BbtdKROZWc/edit#gid=14448656"&amp;"54"",""articles_with_PRISMA_reasons!Z2:Z2113""), $A1171=IMPORTRANGE(""https://docs.google.com/spreadsheets/d/1qpEmbGH0JjaJbUdp21-y2cPbobDbMjr09BbtdKROZWc/edit#gid=1444865654"",""articles_with_PRISMA_reasons!B2:B2113"")),F1171
=""Include"",FILTER(IMPORTRAN"&amp;"GE(""https://docs.google.com/spreadsheets/d/1kGrh75X1cNR1D7_FcY9zMnHP8iPO4M5RCRjy6nZY0TY/edit#gid=0"",""Table 1: Study characteristics!A4:A171""), $A1171=IMPORTRANGE(""https://docs.google.com/spreadsheets/d/1kGrh75X1cNR1D7_FcY9zMnHP8iPO4M5RCRjy6nZY0TY/edi"&amp;"t#gid=0"",""Table 1: Study characteristics!B4:B171""))
)"),"text not accessible")</f>
        <v>text not accessible</v>
      </c>
    </row>
    <row r="1172">
      <c r="A1172" s="4" t="str">
        <f>IFERROR(__xludf.DUMMYFUNCTION("""COMPUTED_VALUE"""),"Meningomyelocele and progressive hydromyelia. Progressive paresis in myelodysplasia")</f>
        <v>Meningomyelocele and progressive hydromyelia. Progressive paresis in myelodysplasia</v>
      </c>
      <c r="B1172" s="5" t="str">
        <f>IFERROR(__xludf.DUMMYFUNCTION("LEFT(FILTER(IMPORTRANGE(""https://docs.google.com/spreadsheets/d/1BJSV3WBYJGRhQ6zExamkszQ5VutGIcaQqmbD9ZTVXMQ/edit#gid=1251630045"",""articles_with_PRISMA_reasons!K2:K2113""), $A1172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$A1172=IMPORTRANGE(""https://docs.google.com/spreadsheets/d/1BJSV3WBYJGRhQ6zExamkszQ5VutGIcaQqmbD9ZTVXMQ/edit#gid=1251630045"",""articles_with_PRISMA_reasons!B2:B2113"")))-1)"),"Hall")</f>
        <v>Hall</v>
      </c>
      <c r="C1172" s="6">
        <f>IFERROR(__xludf.DUMMYFUNCTION("FILTER(IMPORTRANGE(""https://docs.google.com/spreadsheets/d/1BJSV3WBYJGRhQ6zExamkszQ5VutGIcaQqmbD9ZTVXMQ/edit#gid=1251630045"",""articles_with_PRISMA_reasons!C2:C2113""), $A1172=IMPORTRANGE(""https://docs.google.com/spreadsheets/d/1BJSV3WBYJGRhQ6zExamkszQ"&amp;"5VutGIcaQqmbD9ZTVXMQ/edit#gid=1251630045"",""articles_with_PRISMA_reasons!B2:B2113""))"),1975.0)</f>
        <v>1975</v>
      </c>
      <c r="D1172" s="5" t="str">
        <f>IFERROR(__xludf.DUMMYFUNCTION("IFS(AND(
FILTER(IMPORTRANGE(""https://docs.google.com/spreadsheets/d/1BJSV3WBYJGRhQ6zExamkszQ5VutGIcaQqmbD9ZTVXMQ/edit#gid=1251630045"",""articles_with_PRISMA_reasons!Y2:Y2113""), $A1172=IMPORTRANGE(""https://docs.google.com/spreadsheets/d/1BJSV3WBYJGRhQ6"&amp;"zExamkszQ5VutGIcaQqmbD9ZTVXMQ/edit#gid=1251630045"",""articles_with_PRISMA_reasons!B2:B2113""))&gt;=2,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$A1172=IMPORTRANGE(""https://docs.google.com/spreadsheets/d/1BJSV3WBYJGRhQ6zExamkszQ5VutGIcaQqmbD9ZTVXMQ/edit#gid=1251630045"",""articles_with_PRISMA_reasons!B2:B2113""))&lt;2),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$A1172=IMPORTRANGE(""https://docs.google.com/spreadsheets/d/1BJSV3WBYJGRhQ6zExamkszQ5VutGIcaQqmbD9ZTVXMQ/edit#gid=1251630045"",""a"&amp;"rticles_with_PRISMA_reasons!B2:B2113""))&lt;2,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$A1172=IMPORTRANGE(""https://docs.google"&amp;".com/spreadsheets/d/1BJSV3WBYJGRhQ6zExamkszQ5VutGIcaQqmbD9ZTVXMQ/edit#gid=1251630045"",""articles_with_PRISMA_reasons!B2:B2113""))&gt;=2),
""Exclude""
)"),"Exclude")</f>
        <v>Exclude</v>
      </c>
      <c r="E1172" s="5" t="str">
        <f>IFERROR(__xludf.DUMMYFUNCTION("IFS(
D1172=""Exclude"",""Exclude"",
AND(
FILTER(IMPORTRANGE(""https://docs.google.com/spreadsheets/d/1qpEmbGH0JjaJbUdp21-y2cPbobDbMjr09BbtdKROZWc/edit#gid=1444865654"",""articles_with_PRISMA_reasons!W2:W2113""), $A1172=IMPORTRANGE(""https://docs.google.co"&amp;"m/spreadsheets/d/1qpEmbGH0JjaJbUdp21-y2cPbobDbMjr09BbtdKROZWc/edit#gid=1444865654"",""articles_with_PRISMA_reasons!B2:B2113""))&gt;=2,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$A1172=IMPORTRANGE(""https://docs.google.com/spreadsheets/d/1qpEmbGH0JjaJbUdp21-y2cPbobDbMjr09BbtdKROZWc/edit#gid=1444865654"",""articles_with_PRISMA_reasons!B2:B2113""))&lt;2),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$A1172=IMPORTRANGE(""https://docs.google.com/spreadsheets/d/1qpEmbGH0JjaJbUdp21-y2cPbobDbMjr09Bbtd"&amp;"KROZWc/edit#gid=1444865654"",""articles_with_PRISMA_reasons!B2:B2113""))&lt;2,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$A1172=I"&amp;"MPORTRANGE(""https://docs.google.com/spreadsheets/d/1qpEmbGH0JjaJbUdp21-y2cPbobDbMjr09BbtdKROZWc/edit#gid=1444865654"",""articles_with_PRISMA_reasons!B2:B2113""))&gt;=2),
""Exclude""
)"),"Exclude")</f>
        <v>Exclude</v>
      </c>
      <c r="F1172" s="5" t="str">
        <f>IFERROR(__xludf.DUMMYFUNCTION("IFS(
E1172=""Exclude"",""Exclude"",
AND(
COUNTIF(
IMPORTRANGE(""https://docs.google.com/spreadsheets/d/1kGrh75X1cNR1D7_FcY9zMnHP8iPO4M5RCRjy6nZY0TY/edit#gid=0"",""Table 1: Study characteristics!B4:B171""),A1172)&gt;0,
COUNTIF(Studies!$A$2:$A$85,FILTER(IMPORT"&amp;"RANGE(""https://docs.google.com/spreadsheets/d/1kGrh75X1cNR1D7_FcY9zMnHP8iPO4M5RCRjy6nZY0TY/edit#gid=0"",""Table 1: Study characteristics!A4:A171""), $A1172=IMPORTRANGE(""https://docs.google.com/spreadsheets/d/1kGrh75X1cNR1D7_FcY9zMnHP8iPO4M5RCRjy6nZY0TY/"&amp;"edit#gid=0"",""Table 1: Study characteristics!B4:B171"")))&gt;0
),
""Include""
)"),"Exclude")</f>
        <v>Exclude</v>
      </c>
      <c r="G1172" s="5" t="str">
        <f>IFERROR(__xludf.DUMMYFUNCTION("IFS(
D1172=""Exclude"",
FILTER(IMPORTRANGE(""https://docs.google.com/spreadsheets/d/1BJSV3WBYJGRhQ6zExamkszQ5VutGIcaQqmbD9ZTVXMQ/edit#gid=1251630045"",""articles_with_PRISMA_reasons!AB2:AB2113""), $A1172=IMPORTRANGE(""https://docs.google.com/spreadsheets/"&amp;"d/1BJSV3WBYJGRhQ6zExamkszQ5VutGIcaQqmbD9ZTVXMQ/edit#gid=1251630045"",""articles_with_PRISMA_reasons!B2:B2113"")),
E1172=""Exclude"",
FILTER(IMPORTRANGE(""https://docs.google.com/spreadsheets/d/1qpEmbGH0JjaJbUdp21-y2cPbobDbMjr09BbtdKROZWc/edit#gid=14448656"&amp;"54"",""articles_with_PRISMA_reasons!Z2:Z2113""), $A1172=IMPORTRANGE(""https://docs.google.com/spreadsheets/d/1qpEmbGH0JjaJbUdp21-y2cPbobDbMjr09BbtdKROZWc/edit#gid=1444865654"",""articles_with_PRISMA_reasons!B2:B2113"")),F1172
=""Include"",FILTER(IMPORTRAN"&amp;"GE(""https://docs.google.com/spreadsheets/d/1kGrh75X1cNR1D7_FcY9zMnHP8iPO4M5RCRjy6nZY0TY/edit#gid=0"",""Table 1: Study characteristics!A4:A171""), $A1172=IMPORTRANGE(""https://docs.google.com/spreadsheets/d/1kGrh75X1cNR1D7_FcY9zMnHP8iPO4M5RCRjy6nZY0TY/edi"&amp;"t#gid=0"",""Table 1: Study characteristics!B4:B171""))
)"),"wrong population")</f>
        <v>wrong population</v>
      </c>
    </row>
    <row r="1173">
      <c r="A1173" s="4" t="str">
        <f>IFERROR(__xludf.DUMMYFUNCTION("""COMPUTED_VALUE"""),"Meningomyelocele repair in a premature newborn with hydrocephalus: Anaesthetic confronts and management")</f>
        <v>Meningomyelocele repair in a premature newborn with hydrocephalus: Anaesthetic confronts and management</v>
      </c>
      <c r="B1173" s="5" t="str">
        <f>IFERROR(__xludf.DUMMYFUNCTION("LEFT(FILTER(IMPORTRANGE(""https://docs.google.com/spreadsheets/d/1BJSV3WBYJGRhQ6zExamkszQ5VutGIcaQqmbD9ZTVXMQ/edit#gid=1251630045"",""articles_with_PRISMA_reasons!K2:K2113""), $A1173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$A1173=IMPORTRANGE(""https://docs.google.com/spreadsheets/d/1BJSV3WBYJGRhQ6zExamkszQ5VutGIcaQqmbD9ZTVXMQ/edit#gid=1251630045"",""articles_with_PRISMA_reasons!B2:B2113"")))-1)"),"Ghodke")</f>
        <v>Ghodke</v>
      </c>
      <c r="C1173" s="6">
        <f>IFERROR(__xludf.DUMMYFUNCTION("FILTER(IMPORTRANGE(""https://docs.google.com/spreadsheets/d/1BJSV3WBYJGRhQ6zExamkszQ5VutGIcaQqmbD9ZTVXMQ/edit#gid=1251630045"",""articles_with_PRISMA_reasons!C2:C2113""), $A1173=IMPORTRANGE(""https://docs.google.com/spreadsheets/d/1BJSV3WBYJGRhQ6zExamkszQ"&amp;"5VutGIcaQqmbD9ZTVXMQ/edit#gid=1251630045"",""articles_with_PRISMA_reasons!B2:B2113""))"),2017.0)</f>
        <v>2017</v>
      </c>
      <c r="D1173" s="5" t="str">
        <f>IFERROR(__xludf.DUMMYFUNCTION("IFS(AND(
FILTER(IMPORTRANGE(""https://docs.google.com/spreadsheets/d/1BJSV3WBYJGRhQ6zExamkszQ5VutGIcaQqmbD9ZTVXMQ/edit#gid=1251630045"",""articles_with_PRISMA_reasons!Y2:Y2113""), $A1173=IMPORTRANGE(""https://docs.google.com/spreadsheets/d/1BJSV3WBYJGRhQ6"&amp;"zExamkszQ5VutGIcaQqmbD9ZTVXMQ/edit#gid=1251630045"",""articles_with_PRISMA_reasons!B2:B2113""))&gt;=2,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$A1173=IMPORTRANGE(""https://docs.google.com/spreadsheets/d/1BJSV3WBYJGRhQ6zExamkszQ5VutGIcaQqmbD9ZTVXMQ/edit#gid=1251630045"",""articles_with_PRISMA_reasons!B2:B2113""))&lt;2),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$A1173=IMPORTRANGE(""https://docs.google.com/spreadsheets/d/1BJSV3WBYJGRhQ6zExamkszQ5VutGIcaQqmbD9ZTVXMQ/edit#gid=1251630045"",""a"&amp;"rticles_with_PRISMA_reasons!B2:B2113""))&lt;2,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$A1173=IMPORTRANGE(""https://docs.google"&amp;".com/spreadsheets/d/1BJSV3WBYJGRhQ6zExamkszQ5VutGIcaQqmbD9ZTVXMQ/edit#gid=1251630045"",""articles_with_PRISMA_reasons!B2:B2113""))&gt;=2),
""Exclude""
)"),"Exclude")</f>
        <v>Exclude</v>
      </c>
      <c r="E1173" s="5" t="str">
        <f>IFERROR(__xludf.DUMMYFUNCTION("IFS(
D1173=""Exclude"",""Exclude"",
AND(
FILTER(IMPORTRANGE(""https://docs.google.com/spreadsheets/d/1qpEmbGH0JjaJbUdp21-y2cPbobDbMjr09BbtdKROZWc/edit#gid=1444865654"",""articles_with_PRISMA_reasons!W2:W2113""), $A1173=IMPORTRANGE(""https://docs.google.co"&amp;"m/spreadsheets/d/1qpEmbGH0JjaJbUdp21-y2cPbobDbMjr09BbtdKROZWc/edit#gid=1444865654"",""articles_with_PRISMA_reasons!B2:B2113""))&gt;=2,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$A1173=IMPORTRANGE(""https://docs.google.com/spreadsheets/d/1qpEmbGH0JjaJbUdp21-y2cPbobDbMjr09BbtdKROZWc/edit#gid=1444865654"",""articles_with_PRISMA_reasons!B2:B2113""))&lt;2),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$A1173=IMPORTRANGE(""https://docs.google.com/spreadsheets/d/1qpEmbGH0JjaJbUdp21-y2cPbobDbMjr09Bbtd"&amp;"KROZWc/edit#gid=1444865654"",""articles_with_PRISMA_reasons!B2:B2113""))&lt;2,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$A1173=I"&amp;"MPORTRANGE(""https://docs.google.com/spreadsheets/d/1qpEmbGH0JjaJbUdp21-y2cPbobDbMjr09BbtdKROZWc/edit#gid=1444865654"",""articles_with_PRISMA_reasons!B2:B2113""))&gt;=2),
""Exclude""
)"),"Exclude")</f>
        <v>Exclude</v>
      </c>
      <c r="F1173" s="5" t="str">
        <f>IFERROR(__xludf.DUMMYFUNCTION("IFS(
E1173=""Exclude"",""Exclude"",
AND(
COUNTIF(
IMPORTRANGE(""https://docs.google.com/spreadsheets/d/1kGrh75X1cNR1D7_FcY9zMnHP8iPO4M5RCRjy6nZY0TY/edit#gid=0"",""Table 1: Study characteristics!B4:B171""),A1173)&gt;0,
COUNTIF(Studies!$A$2:$A$85,FILTER(IMPORT"&amp;"RANGE(""https://docs.google.com/spreadsheets/d/1kGrh75X1cNR1D7_FcY9zMnHP8iPO4M5RCRjy6nZY0TY/edit#gid=0"",""Table 1: Study characteristics!A4:A171""), $A1173=IMPORTRANGE(""https://docs.google.com/spreadsheets/d/1kGrh75X1cNR1D7_FcY9zMnHP8iPO4M5RCRjy6nZY0TY/"&amp;"edit#gid=0"",""Table 1: Study characteristics!B4:B171"")))&gt;0
),
""Include""
)"),"Exclude")</f>
        <v>Exclude</v>
      </c>
      <c r="G1173" s="5" t="str">
        <f>IFERROR(__xludf.DUMMYFUNCTION("IFS(
D1173=""Exclude"",
FILTER(IMPORTRANGE(""https://docs.google.com/spreadsheets/d/1BJSV3WBYJGRhQ6zExamkszQ5VutGIcaQqmbD9ZTVXMQ/edit#gid=1251630045"",""articles_with_PRISMA_reasons!AB2:AB2113""), $A1173=IMPORTRANGE(""https://docs.google.com/spreadsheets/"&amp;"d/1BJSV3WBYJGRhQ6zExamkszQ5VutGIcaQqmbD9ZTVXMQ/edit#gid=1251630045"",""articles_with_PRISMA_reasons!B2:B2113"")),
E1173=""Exclude"",
FILTER(IMPORTRANGE(""https://docs.google.com/spreadsheets/d/1qpEmbGH0JjaJbUdp21-y2cPbobDbMjr09BbtdKROZWc/edit#gid=14448656"&amp;"54"",""articles_with_PRISMA_reasons!Z2:Z2113""), $A1173=IMPORTRANGE(""https://docs.google.com/spreadsheets/d/1qpEmbGH0JjaJbUdp21-y2cPbobDbMjr09BbtdKROZWc/edit#gid=1444865654"",""articles_with_PRISMA_reasons!B2:B2113"")),F1173
=""Include"",FILTER(IMPORTRAN"&amp;"GE(""https://docs.google.com/spreadsheets/d/1kGrh75X1cNR1D7_FcY9zMnHP8iPO4M5RCRjy6nZY0TY/edit#gid=0"",""Table 1: Study characteristics!A4:A171""), $A1173=IMPORTRANGE(""https://docs.google.com/spreadsheets/d/1kGrh75X1cNR1D7_FcY9zMnHP8iPO4M5RCRjy6nZY0TY/edi"&amp;"t#gid=0"",""Table 1: Study characteristics!B4:B171""))
)"),"wrong publication type")</f>
        <v>wrong publication type</v>
      </c>
    </row>
    <row r="1174">
      <c r="A1174" s="4" t="str">
        <f>IFERROR(__xludf.DUMMYFUNCTION("""COMPUTED_VALUE"""),"Meningomyelocele with spinal cord cyst and internal hydrocephalus in a 9-month-old boy")</f>
        <v>Meningomyelocele with spinal cord cyst and internal hydrocephalus in a 9-month-old boy</v>
      </c>
      <c r="B1174" s="5" t="str">
        <f>IFERROR(__xludf.DUMMYFUNCTION("LEFT(FILTER(IMPORTRANGE(""https://docs.google.com/spreadsheets/d/1BJSV3WBYJGRhQ6zExamkszQ5VutGIcaQqmbD9ZTVXMQ/edit#gid=1251630045"",""articles_with_PRISMA_reasons!K2:K2113""), $A1174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$A1174=IMPORTRANGE(""https://docs.google.com/spreadsheets/d/1BJSV3WBYJGRhQ6zExamkszQ5VutGIcaQqmbD9ZTVXMQ/edit#gid=1251630045"",""articles_with_PRISMA_reasons!B2:B2113"")))-1)"),"Araszkiewicz")</f>
        <v>Araszkiewicz</v>
      </c>
      <c r="C1174" s="6">
        <f>IFERROR(__xludf.DUMMYFUNCTION("FILTER(IMPORTRANGE(""https://docs.google.com/spreadsheets/d/1BJSV3WBYJGRhQ6zExamkszQ5VutGIcaQqmbD9ZTVXMQ/edit#gid=1251630045"",""articles_with_PRISMA_reasons!C2:C2113""), $A1174=IMPORTRANGE(""https://docs.google.com/spreadsheets/d/1BJSV3WBYJGRhQ6zExamkszQ"&amp;"5VutGIcaQqmbD9ZTVXMQ/edit#gid=1251630045"",""articles_with_PRISMA_reasons!B2:B2113""))"),1979.0)</f>
        <v>1979</v>
      </c>
      <c r="D1174" s="5" t="str">
        <f>IFERROR(__xludf.DUMMYFUNCTION("IFS(AND(
FILTER(IMPORTRANGE(""https://docs.google.com/spreadsheets/d/1BJSV3WBYJGRhQ6zExamkszQ5VutGIcaQqmbD9ZTVXMQ/edit#gid=1251630045"",""articles_with_PRISMA_reasons!Y2:Y2113""), $A1174=IMPORTRANGE(""https://docs.google.com/spreadsheets/d/1BJSV3WBYJGRhQ6"&amp;"zExamkszQ5VutGIcaQqmbD9ZTVXMQ/edit#gid=1251630045"",""articles_with_PRISMA_reasons!B2:B2113""))&gt;=2,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$A1174=IMPORTRANGE(""https://docs.google.com/spreadsheets/d/1BJSV3WBYJGRhQ6zExamkszQ5VutGIcaQqmbD9ZTVXMQ/edit#gid=1251630045"",""articles_with_PRISMA_reasons!B2:B2113""))&lt;2),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$A1174=IMPORTRANGE(""https://docs.google.com/spreadsheets/d/1BJSV3WBYJGRhQ6zExamkszQ5VutGIcaQqmbD9ZTVXMQ/edit#gid=1251630045"",""a"&amp;"rticles_with_PRISMA_reasons!B2:B2113""))&lt;2,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$A1174=IMPORTRANGE(""https://docs.google"&amp;".com/spreadsheets/d/1BJSV3WBYJGRhQ6zExamkszQ5VutGIcaQqmbD9ZTVXMQ/edit#gid=1251630045"",""articles_with_PRISMA_reasons!B2:B2113""))&gt;=2),
""Exclude""
)"),"Exclude")</f>
        <v>Exclude</v>
      </c>
      <c r="E1174" s="5" t="str">
        <f>IFERROR(__xludf.DUMMYFUNCTION("IFS(
D1174=""Exclude"",""Exclude"",
AND(
FILTER(IMPORTRANGE(""https://docs.google.com/spreadsheets/d/1qpEmbGH0JjaJbUdp21-y2cPbobDbMjr09BbtdKROZWc/edit#gid=1444865654"",""articles_with_PRISMA_reasons!W2:W2113""), $A1174=IMPORTRANGE(""https://docs.google.co"&amp;"m/spreadsheets/d/1qpEmbGH0JjaJbUdp21-y2cPbobDbMjr09BbtdKROZWc/edit#gid=1444865654"",""articles_with_PRISMA_reasons!B2:B2113""))&gt;=2,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$A1174=IMPORTRANGE(""https://docs.google.com/spreadsheets/d/1qpEmbGH0JjaJbUdp21-y2cPbobDbMjr09BbtdKROZWc/edit#gid=1444865654"",""articles_with_PRISMA_reasons!B2:B2113""))&lt;2),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$A1174=IMPORTRANGE(""https://docs.google.com/spreadsheets/d/1qpEmbGH0JjaJbUdp21-y2cPbobDbMjr09Bbtd"&amp;"KROZWc/edit#gid=1444865654"",""articles_with_PRISMA_reasons!B2:B2113""))&lt;2,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$A1174=I"&amp;"MPORTRANGE(""https://docs.google.com/spreadsheets/d/1qpEmbGH0JjaJbUdp21-y2cPbobDbMjr09BbtdKROZWc/edit#gid=1444865654"",""articles_with_PRISMA_reasons!B2:B2113""))&gt;=2),
""Exclude""
)"),"Exclude")</f>
        <v>Exclude</v>
      </c>
      <c r="F1174" s="5" t="str">
        <f>IFERROR(__xludf.DUMMYFUNCTION("IFS(
E1174=""Exclude"",""Exclude"",
AND(
COUNTIF(
IMPORTRANGE(""https://docs.google.com/spreadsheets/d/1kGrh75X1cNR1D7_FcY9zMnHP8iPO4M5RCRjy6nZY0TY/edit#gid=0"",""Table 1: Study characteristics!B4:B171""),A1174)&gt;0,
COUNTIF(Studies!$A$2:$A$85,FILTER(IMPORT"&amp;"RANGE(""https://docs.google.com/spreadsheets/d/1kGrh75X1cNR1D7_FcY9zMnHP8iPO4M5RCRjy6nZY0TY/edit#gid=0"",""Table 1: Study characteristics!A4:A171""), $A1174=IMPORTRANGE(""https://docs.google.com/spreadsheets/d/1kGrh75X1cNR1D7_FcY9zMnHP8iPO4M5RCRjy6nZY0TY/"&amp;"edit#gid=0"",""Table 1: Study characteristics!B4:B171"")))&gt;0
),
""Include""
)"),"Exclude")</f>
        <v>Exclude</v>
      </c>
      <c r="G1174" s="5" t="str">
        <f>IFERROR(__xludf.DUMMYFUNCTION("IFS(
D1174=""Exclude"",
FILTER(IMPORTRANGE(""https://docs.google.com/spreadsheets/d/1BJSV3WBYJGRhQ6zExamkszQ5VutGIcaQqmbD9ZTVXMQ/edit#gid=1251630045"",""articles_with_PRISMA_reasons!AB2:AB2113""), $A1174=IMPORTRANGE(""https://docs.google.com/spreadsheets/"&amp;"d/1BJSV3WBYJGRhQ6zExamkszQ5VutGIcaQqmbD9ZTVXMQ/edit#gid=1251630045"",""articles_with_PRISMA_reasons!B2:B2113"")),
E1174=""Exclude"",
FILTER(IMPORTRANGE(""https://docs.google.com/spreadsheets/d/1qpEmbGH0JjaJbUdp21-y2cPbobDbMjr09BbtdKROZWc/edit#gid=14448656"&amp;"54"",""articles_with_PRISMA_reasons!Z2:Z2113""), $A1174=IMPORTRANGE(""https://docs.google.com/spreadsheets/d/1qpEmbGH0JjaJbUdp21-y2cPbobDbMjr09BbtdKROZWc/edit#gid=1444865654"",""articles_with_PRISMA_reasons!B2:B2113"")),F1174
=""Include"",FILTER(IMPORTRAN"&amp;"GE(""https://docs.google.com/spreadsheets/d/1kGrh75X1cNR1D7_FcY9zMnHP8iPO4M5RCRjy6nZY0TY/edit#gid=0"",""Table 1: Study characteristics!A4:A171""), $A1174=IMPORTRANGE(""https://docs.google.com/spreadsheets/d/1kGrh75X1cNR1D7_FcY9zMnHP8iPO4M5RCRjy6nZY0TY/edi"&amp;"t#gid=0"",""Table 1: Study characteristics!B4:B171""))
)"),"wrong study design")</f>
        <v>wrong study design</v>
      </c>
    </row>
    <row r="1175">
      <c r="A1175" s="4" t="str">
        <f>IFERROR(__xludf.DUMMYFUNCTION("""COMPUTED_VALUE"""),"Meningomyelocele: ""pitfalls"" in early and late management")</f>
        <v>Meningomyelocele: "pitfalls" in early and late management</v>
      </c>
      <c r="B1175" s="5" t="str">
        <f>IFERROR(__xludf.DUMMYFUNCTION("LEFT(FILTER(IMPORTRANGE(""https://docs.google.com/spreadsheets/d/1BJSV3WBYJGRhQ6zExamkszQ5VutGIcaQqmbD9ZTVXMQ/edit#gid=1251630045"",""articles_with_PRISMA_reasons!K2:K2113""), $A1175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$A1175=IMPORTRANGE(""https://docs.google.com/spreadsheets/d/1BJSV3WBYJGRhQ6zExamkszQ5VutGIcaQqmbD9ZTVXMQ/edit#gid=1251630045"",""articles_with_PRISMA_reasons!B2:B2113"")))-1)"),"Epstein")</f>
        <v>Epstein</v>
      </c>
      <c r="C1175" s="6">
        <f>IFERROR(__xludf.DUMMYFUNCTION("FILTER(IMPORTRANGE(""https://docs.google.com/spreadsheets/d/1BJSV3WBYJGRhQ6zExamkszQ5VutGIcaQqmbD9ZTVXMQ/edit#gid=1251630045"",""articles_with_PRISMA_reasons!C2:C2113""), $A1175=IMPORTRANGE(""https://docs.google.com/spreadsheets/d/1BJSV3WBYJGRhQ6zExamkszQ"&amp;"5VutGIcaQqmbD9ZTVXMQ/edit#gid=1251630045"",""articles_with_PRISMA_reasons!B2:B2113""))"),1983.0)</f>
        <v>1983</v>
      </c>
      <c r="D1175" s="5" t="str">
        <f>IFERROR(__xludf.DUMMYFUNCTION("IFS(AND(
FILTER(IMPORTRANGE(""https://docs.google.com/spreadsheets/d/1BJSV3WBYJGRhQ6zExamkszQ5VutGIcaQqmbD9ZTVXMQ/edit#gid=1251630045"",""articles_with_PRISMA_reasons!Y2:Y2113""), $A1175=IMPORTRANGE(""https://docs.google.com/spreadsheets/d/1BJSV3WBYJGRhQ6"&amp;"zExamkszQ5VutGIcaQqmbD9ZTVXMQ/edit#gid=1251630045"",""articles_with_PRISMA_reasons!B2:B2113""))&gt;=2,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$A1175=IMPORTRANGE(""https://docs.google.com/spreadsheets/d/1BJSV3WBYJGRhQ6zExamkszQ5VutGIcaQqmbD9ZTVXMQ/edit#gid=1251630045"",""articles_with_PRISMA_reasons!B2:B2113""))&lt;2),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$A1175=IMPORTRANGE(""https://docs.google.com/spreadsheets/d/1BJSV3WBYJGRhQ6zExamkszQ5VutGIcaQqmbD9ZTVXMQ/edit#gid=1251630045"",""a"&amp;"rticles_with_PRISMA_reasons!B2:B2113""))&lt;2,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$A1175=IMPORTRANGE(""https://docs.google"&amp;".com/spreadsheets/d/1BJSV3WBYJGRhQ6zExamkszQ5VutGIcaQqmbD9ZTVXMQ/edit#gid=1251630045"",""articles_with_PRISMA_reasons!B2:B2113""))&gt;=2),
""Exclude""
)"),"Exclude")</f>
        <v>Exclude</v>
      </c>
      <c r="E1175" s="5" t="str">
        <f>IFERROR(__xludf.DUMMYFUNCTION("IFS(
D1175=""Exclude"",""Exclude"",
AND(
FILTER(IMPORTRANGE(""https://docs.google.com/spreadsheets/d/1qpEmbGH0JjaJbUdp21-y2cPbobDbMjr09BbtdKROZWc/edit#gid=1444865654"",""articles_with_PRISMA_reasons!W2:W2113""), $A1175=IMPORTRANGE(""https://docs.google.co"&amp;"m/spreadsheets/d/1qpEmbGH0JjaJbUdp21-y2cPbobDbMjr09BbtdKROZWc/edit#gid=1444865654"",""articles_with_PRISMA_reasons!B2:B2113""))&gt;=2,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$A1175=IMPORTRANGE(""https://docs.google.com/spreadsheets/d/1qpEmbGH0JjaJbUdp21-y2cPbobDbMjr09BbtdKROZWc/edit#gid=1444865654"",""articles_with_PRISMA_reasons!B2:B2113""))&lt;2),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$A1175=IMPORTRANGE(""https://docs.google.com/spreadsheets/d/1qpEmbGH0JjaJbUdp21-y2cPbobDbMjr09Bbtd"&amp;"KROZWc/edit#gid=1444865654"",""articles_with_PRISMA_reasons!B2:B2113""))&lt;2,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$A1175=I"&amp;"MPORTRANGE(""https://docs.google.com/spreadsheets/d/1qpEmbGH0JjaJbUdp21-y2cPbobDbMjr09BbtdKROZWc/edit#gid=1444865654"",""articles_with_PRISMA_reasons!B2:B2113""))&gt;=2),
""Exclude""
)"),"Exclude")</f>
        <v>Exclude</v>
      </c>
      <c r="F1175" s="5" t="str">
        <f>IFERROR(__xludf.DUMMYFUNCTION("IFS(
E1175=""Exclude"",""Exclude"",
AND(
COUNTIF(
IMPORTRANGE(""https://docs.google.com/spreadsheets/d/1kGrh75X1cNR1D7_FcY9zMnHP8iPO4M5RCRjy6nZY0TY/edit#gid=0"",""Table 1: Study characteristics!B4:B171""),A1175)&gt;0,
COUNTIF(Studies!$A$2:$A$85,FILTER(IMPORT"&amp;"RANGE(""https://docs.google.com/spreadsheets/d/1kGrh75X1cNR1D7_FcY9zMnHP8iPO4M5RCRjy6nZY0TY/edit#gid=0"",""Table 1: Study characteristics!A4:A171""), $A1175=IMPORTRANGE(""https://docs.google.com/spreadsheets/d/1kGrh75X1cNR1D7_FcY9zMnHP8iPO4M5RCRjy6nZY0TY/"&amp;"edit#gid=0"",""Table 1: Study characteristics!B4:B171"")))&gt;0
),
""Include""
)"),"Exclude")</f>
        <v>Exclude</v>
      </c>
      <c r="G1175" s="5" t="str">
        <f>IFERROR(__xludf.DUMMYFUNCTION("IFS(
D1175=""Exclude"",
FILTER(IMPORTRANGE(""https://docs.google.com/spreadsheets/d/1BJSV3WBYJGRhQ6zExamkszQ5VutGIcaQqmbD9ZTVXMQ/edit#gid=1251630045"",""articles_with_PRISMA_reasons!AB2:AB2113""), $A1175=IMPORTRANGE(""https://docs.google.com/spreadsheets/"&amp;"d/1BJSV3WBYJGRhQ6zExamkszQ5VutGIcaQqmbD9ZTVXMQ/edit#gid=1251630045"",""articles_with_PRISMA_reasons!B2:B2113"")),
E1175=""Exclude"",
FILTER(IMPORTRANGE(""https://docs.google.com/spreadsheets/d/1qpEmbGH0JjaJbUdp21-y2cPbobDbMjr09BbtdKROZWc/edit#gid=14448656"&amp;"54"",""articles_with_PRISMA_reasons!Z2:Z2113""), $A1175=IMPORTRANGE(""https://docs.google.com/spreadsheets/d/1qpEmbGH0JjaJbUdp21-y2cPbobDbMjr09BbtdKROZWc/edit#gid=1444865654"",""articles_with_PRISMA_reasons!B2:B2113"")),F1175
=""Include"",FILTER(IMPORTRAN"&amp;"GE(""https://docs.google.com/spreadsheets/d/1kGrh75X1cNR1D7_FcY9zMnHP8iPO4M5RCRjy6nZY0TY/edit#gid=0"",""Table 1: Study characteristics!A4:A171""), $A1175=IMPORTRANGE(""https://docs.google.com/spreadsheets/d/1kGrh75X1cNR1D7_FcY9zMnHP8iPO4M5RCRjy6nZY0TY/edi"&amp;"t#gid=0"",""Table 1: Study characteristics!B4:B171""))
)"),"Duplicate")</f>
        <v>Duplicate</v>
      </c>
    </row>
    <row r="1176">
      <c r="A1176" s="4" t="str">
        <f>IFERROR(__xludf.DUMMYFUNCTION("""COMPUTED_VALUE"""),"Meningomyelocele. Assessment and management")</f>
        <v>Meningomyelocele. Assessment and management</v>
      </c>
      <c r="B1176" s="5" t="str">
        <f>IFERROR(__xludf.DUMMYFUNCTION("LEFT(FILTER(IMPORTRANGE(""https://docs.google.com/spreadsheets/d/1BJSV3WBYJGRhQ6zExamkszQ5VutGIcaQqmbD9ZTVXMQ/edit#gid=1251630045"",""articles_with_PRISMA_reasons!K2:K2113""), $A1176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$A1176=IMPORTRANGE(""https://docs.google.com/spreadsheets/d/1BJSV3WBYJGRhQ6zExamkszQ5VutGIcaQqmbD9ZTVXMQ/edit#gid=1251630045"",""articles_with_PRISMA_reasons!B2:B2113"")))-1)"),"Wolraich")</f>
        <v>Wolraich</v>
      </c>
      <c r="C1176" s="6">
        <f>IFERROR(__xludf.DUMMYFUNCTION("FILTER(IMPORTRANGE(""https://docs.google.com/spreadsheets/d/1BJSV3WBYJGRhQ6zExamkszQ5VutGIcaQqmbD9ZTVXMQ/edit#gid=1251630045"",""articles_with_PRISMA_reasons!C2:C2113""), $A1176=IMPORTRANGE(""https://docs.google.com/spreadsheets/d/1BJSV3WBYJGRhQ6zExamkszQ"&amp;"5VutGIcaQqmbD9ZTVXMQ/edit#gid=1251630045"",""articles_with_PRISMA_reasons!B2:B2113""))"),1988.0)</f>
        <v>1988</v>
      </c>
      <c r="D1176" s="5" t="str">
        <f>IFERROR(__xludf.DUMMYFUNCTION("IFS(AND(
FILTER(IMPORTRANGE(""https://docs.google.com/spreadsheets/d/1BJSV3WBYJGRhQ6zExamkszQ5VutGIcaQqmbD9ZTVXMQ/edit#gid=1251630045"",""articles_with_PRISMA_reasons!Y2:Y2113""), $A1176=IMPORTRANGE(""https://docs.google.com/spreadsheets/d/1BJSV3WBYJGRhQ6"&amp;"zExamkszQ5VutGIcaQqmbD9ZTVXMQ/edit#gid=1251630045"",""articles_with_PRISMA_reasons!B2:B2113""))&gt;=2,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$A1176=IMPORTRANGE(""https://docs.google.com/spreadsheets/d/1BJSV3WBYJGRhQ6zExamkszQ5VutGIcaQqmbD9ZTVXMQ/edit#gid=1251630045"",""articles_with_PRISMA_reasons!B2:B2113""))&lt;2),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$A1176=IMPORTRANGE(""https://docs.google.com/spreadsheets/d/1BJSV3WBYJGRhQ6zExamkszQ5VutGIcaQqmbD9ZTVXMQ/edit#gid=1251630045"",""a"&amp;"rticles_with_PRISMA_reasons!B2:B2113""))&lt;2,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$A1176=IMPORTRANGE(""https://docs.google"&amp;".com/spreadsheets/d/1BJSV3WBYJGRhQ6zExamkszQ5VutGIcaQqmbD9ZTVXMQ/edit#gid=1251630045"",""articles_with_PRISMA_reasons!B2:B2113""))&gt;=2),
""Exclude""
)"),"Exclude")</f>
        <v>Exclude</v>
      </c>
      <c r="E1176" s="5" t="str">
        <f>IFERROR(__xludf.DUMMYFUNCTION("IFS(
D1176=""Exclude"",""Exclude"",
AND(
FILTER(IMPORTRANGE(""https://docs.google.com/spreadsheets/d/1qpEmbGH0JjaJbUdp21-y2cPbobDbMjr09BbtdKROZWc/edit#gid=1444865654"",""articles_with_PRISMA_reasons!W2:W2113""), $A1176=IMPORTRANGE(""https://docs.google.co"&amp;"m/spreadsheets/d/1qpEmbGH0JjaJbUdp21-y2cPbobDbMjr09BbtdKROZWc/edit#gid=1444865654"",""articles_with_PRISMA_reasons!B2:B2113""))&gt;=2,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$A1176=IMPORTRANGE(""https://docs.google.com/spreadsheets/d/1qpEmbGH0JjaJbUdp21-y2cPbobDbMjr09BbtdKROZWc/edit#gid=1444865654"",""articles_with_PRISMA_reasons!B2:B2113""))&lt;2),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$A1176=IMPORTRANGE(""https://docs.google.com/spreadsheets/d/1qpEmbGH0JjaJbUdp21-y2cPbobDbMjr09Bbtd"&amp;"KROZWc/edit#gid=1444865654"",""articles_with_PRISMA_reasons!B2:B2113""))&lt;2,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$A1176=I"&amp;"MPORTRANGE(""https://docs.google.com/spreadsheets/d/1qpEmbGH0JjaJbUdp21-y2cPbobDbMjr09BbtdKROZWc/edit#gid=1444865654"",""articles_with_PRISMA_reasons!B2:B2113""))&gt;=2),
""Exclude""
)"),"Exclude")</f>
        <v>Exclude</v>
      </c>
      <c r="F1176" s="5" t="str">
        <f>IFERROR(__xludf.DUMMYFUNCTION("IFS(
E1176=""Exclude"",""Exclude"",
AND(
COUNTIF(
IMPORTRANGE(""https://docs.google.com/spreadsheets/d/1kGrh75X1cNR1D7_FcY9zMnHP8iPO4M5RCRjy6nZY0TY/edit#gid=0"",""Table 1: Study characteristics!B4:B171""),A1176)&gt;0,
COUNTIF(Studies!$A$2:$A$85,FILTER(IMPORT"&amp;"RANGE(""https://docs.google.com/spreadsheets/d/1kGrh75X1cNR1D7_FcY9zMnHP8iPO4M5RCRjy6nZY0TY/edit#gid=0"",""Table 1: Study characteristics!A4:A171""), $A1176=IMPORTRANGE(""https://docs.google.com/spreadsheets/d/1kGrh75X1cNR1D7_FcY9zMnHP8iPO4M5RCRjy6nZY0TY/"&amp;"edit#gid=0"",""Table 1: Study characteristics!B4:B171"")))&gt;0
),
""Include""
)"),"Exclude")</f>
        <v>Exclude</v>
      </c>
      <c r="G1176" s="5" t="str">
        <f>IFERROR(__xludf.DUMMYFUNCTION("IFS(
D1176=""Exclude"",
FILTER(IMPORTRANGE(""https://docs.google.com/spreadsheets/d/1BJSV3WBYJGRhQ6zExamkszQ5VutGIcaQqmbD9ZTVXMQ/edit#gid=1251630045"",""articles_with_PRISMA_reasons!AB2:AB2113""), $A1176=IMPORTRANGE(""https://docs.google.com/spreadsheets/"&amp;"d/1BJSV3WBYJGRhQ6zExamkszQ5VutGIcaQqmbD9ZTVXMQ/edit#gid=1251630045"",""articles_with_PRISMA_reasons!B2:B2113"")),
E1176=""Exclude"",
FILTER(IMPORTRANGE(""https://docs.google.com/spreadsheets/d/1qpEmbGH0JjaJbUdp21-y2cPbobDbMjr09BbtdKROZWc/edit#gid=14448656"&amp;"54"",""articles_with_PRISMA_reasons!Z2:Z2113""), $A1176=IMPORTRANGE(""https://docs.google.com/spreadsheets/d/1qpEmbGH0JjaJbUdp21-y2cPbobDbMjr09BbtdKROZWc/edit#gid=1444865654"",""articles_with_PRISMA_reasons!B2:B2113"")),F1176
=""Include"",FILTER(IMPORTRAN"&amp;"GE(""https://docs.google.com/spreadsheets/d/1kGrh75X1cNR1D7_FcY9zMnHP8iPO4M5RCRjy6nZY0TY/edit#gid=0"",""Table 1: Study characteristics!A4:A171""), $A1176=IMPORTRANGE(""https://docs.google.com/spreadsheets/d/1kGrh75X1cNR1D7_FcY9zMnHP8iPO4M5RCRjy6nZY0TY/edi"&amp;"t#gid=0"",""Table 1: Study characteristics!B4:B171""))
)"),"wrong study design")</f>
        <v>wrong study design</v>
      </c>
    </row>
    <row r="1177">
      <c r="A1177" s="4" t="str">
        <f>IFERROR(__xludf.DUMMYFUNCTION("""COMPUTED_VALUE"""),"Meningomyelocoele--associated ocular abnormalities")</f>
        <v>Meningomyelocoele--associated ocular abnormalities</v>
      </c>
      <c r="B1177" s="5" t="str">
        <f>IFERROR(__xludf.DUMMYFUNCTION("LEFT(FILTER(IMPORTRANGE(""https://docs.google.com/spreadsheets/d/1BJSV3WBYJGRhQ6zExamkszQ5VutGIcaQqmbD9ZTVXMQ/edit#gid=1251630045"",""articles_with_PRISMA_reasons!K2:K2113""), $A1177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$A1177=IMPORTRANGE(""https://docs.google.com/spreadsheets/d/1BJSV3WBYJGRhQ6zExamkszQ5VutGIcaQqmbD9ZTVXMQ/edit#gid=1251630045"",""articles_with_PRISMA_reasons!B2:B2113"")))-1)"),"Rothstein")</f>
        <v>Rothstein</v>
      </c>
      <c r="C1177" s="6">
        <f>IFERROR(__xludf.DUMMYFUNCTION("FILTER(IMPORTRANGE(""https://docs.google.com/spreadsheets/d/1BJSV3WBYJGRhQ6zExamkszQ5VutGIcaQqmbD9ZTVXMQ/edit#gid=1251630045"",""articles_with_PRISMA_reasons!C2:C2113""), $A1177=IMPORTRANGE(""https://docs.google.com/spreadsheets/d/1BJSV3WBYJGRhQ6zExamkszQ"&amp;"5VutGIcaQqmbD9ZTVXMQ/edit#gid=1251630045"",""articles_with_PRISMA_reasons!B2:B2113""))"),1973.0)</f>
        <v>1973</v>
      </c>
      <c r="D1177" s="5" t="str">
        <f>IFERROR(__xludf.DUMMYFUNCTION("IFS(AND(
FILTER(IMPORTRANGE(""https://docs.google.com/spreadsheets/d/1BJSV3WBYJGRhQ6zExamkszQ5VutGIcaQqmbD9ZTVXMQ/edit#gid=1251630045"",""articles_with_PRISMA_reasons!Y2:Y2113""), $A1177=IMPORTRANGE(""https://docs.google.com/spreadsheets/d/1BJSV3WBYJGRhQ6"&amp;"zExamkszQ5VutGIcaQqmbD9ZTVXMQ/edit#gid=1251630045"",""articles_with_PRISMA_reasons!B2:B2113""))&gt;=2,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$A1177=IMPORTRANGE(""https://docs.google.com/spreadsheets/d/1BJSV3WBYJGRhQ6zExamkszQ5VutGIcaQqmbD9ZTVXMQ/edit#gid=1251630045"",""articles_with_PRISMA_reasons!B2:B2113""))&lt;2),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$A1177=IMPORTRANGE(""https://docs.google.com/spreadsheets/d/1BJSV3WBYJGRhQ6zExamkszQ5VutGIcaQqmbD9ZTVXMQ/edit#gid=1251630045"",""a"&amp;"rticles_with_PRISMA_reasons!B2:B2113""))&lt;2,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$A1177=IMPORTRANGE(""https://docs.google"&amp;".com/spreadsheets/d/1BJSV3WBYJGRhQ6zExamkszQ5VutGIcaQqmbD9ZTVXMQ/edit#gid=1251630045"",""articles_with_PRISMA_reasons!B2:B2113""))&gt;=2),
""Exclude""
)"),"Exclude")</f>
        <v>Exclude</v>
      </c>
      <c r="E1177" s="5" t="str">
        <f>IFERROR(__xludf.DUMMYFUNCTION("IFS(
D1177=""Exclude"",""Exclude"",
AND(
FILTER(IMPORTRANGE(""https://docs.google.com/spreadsheets/d/1qpEmbGH0JjaJbUdp21-y2cPbobDbMjr09BbtdKROZWc/edit#gid=1444865654"",""articles_with_PRISMA_reasons!W2:W2113""), $A1177=IMPORTRANGE(""https://docs.google.co"&amp;"m/spreadsheets/d/1qpEmbGH0JjaJbUdp21-y2cPbobDbMjr09BbtdKROZWc/edit#gid=1444865654"",""articles_with_PRISMA_reasons!B2:B2113""))&gt;=2,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$A1177=IMPORTRANGE(""https://docs.google.com/spreadsheets/d/1qpEmbGH0JjaJbUdp21-y2cPbobDbMjr09BbtdKROZWc/edit#gid=1444865654"",""articles_with_PRISMA_reasons!B2:B2113""))&lt;2),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$A1177=IMPORTRANGE(""https://docs.google.com/spreadsheets/d/1qpEmbGH0JjaJbUdp21-y2cPbobDbMjr09Bbtd"&amp;"KROZWc/edit#gid=1444865654"",""articles_with_PRISMA_reasons!B2:B2113""))&lt;2,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$A1177=I"&amp;"MPORTRANGE(""https://docs.google.com/spreadsheets/d/1qpEmbGH0JjaJbUdp21-y2cPbobDbMjr09BbtdKROZWc/edit#gid=1444865654"",""articles_with_PRISMA_reasons!B2:B2113""))&gt;=2),
""Exclude""
)"),"Exclude")</f>
        <v>Exclude</v>
      </c>
      <c r="F1177" s="5" t="str">
        <f>IFERROR(__xludf.DUMMYFUNCTION("IFS(
E1177=""Exclude"",""Exclude"",
AND(
COUNTIF(
IMPORTRANGE(""https://docs.google.com/spreadsheets/d/1kGrh75X1cNR1D7_FcY9zMnHP8iPO4M5RCRjy6nZY0TY/edit#gid=0"",""Table 1: Study characteristics!B4:B171""),A1177)&gt;0,
COUNTIF(Studies!$A$2:$A$85,FILTER(IMPORT"&amp;"RANGE(""https://docs.google.com/spreadsheets/d/1kGrh75X1cNR1D7_FcY9zMnHP8iPO4M5RCRjy6nZY0TY/edit#gid=0"",""Table 1: Study characteristics!A4:A171""), $A1177=IMPORTRANGE(""https://docs.google.com/spreadsheets/d/1kGrh75X1cNR1D7_FcY9zMnHP8iPO4M5RCRjy6nZY0TY/"&amp;"edit#gid=0"",""Table 1: Study characteristics!B4:B171"")))&gt;0
),
""Include""
)"),"Exclude")</f>
        <v>Exclude</v>
      </c>
      <c r="G1177" s="5" t="str">
        <f>IFERROR(__xludf.DUMMYFUNCTION("IFS(
D1177=""Exclude"",
FILTER(IMPORTRANGE(""https://docs.google.com/spreadsheets/d/1BJSV3WBYJGRhQ6zExamkszQ5VutGIcaQqmbD9ZTVXMQ/edit#gid=1251630045"",""articles_with_PRISMA_reasons!AB2:AB2113""), $A1177=IMPORTRANGE(""https://docs.google.com/spreadsheets/"&amp;"d/1BJSV3WBYJGRhQ6zExamkszQ5VutGIcaQqmbD9ZTVXMQ/edit#gid=1251630045"",""articles_with_PRISMA_reasons!B2:B2113"")),
E1177=""Exclude"",
FILTER(IMPORTRANGE(""https://docs.google.com/spreadsheets/d/1qpEmbGH0JjaJbUdp21-y2cPbobDbMjr09BbtdKROZWc/edit#gid=14448656"&amp;"54"",""articles_with_PRISMA_reasons!Z2:Z2113""), $A1177=IMPORTRANGE(""https://docs.google.com/spreadsheets/d/1qpEmbGH0JjaJbUdp21-y2cPbobDbMjr09BbtdKROZWc/edit#gid=1444865654"",""articles_with_PRISMA_reasons!B2:B2113"")),F1177
=""Include"",FILTER(IMPORTRAN"&amp;"GE(""https://docs.google.com/spreadsheets/d/1kGrh75X1cNR1D7_FcY9zMnHP8iPO4M5RCRjy6nZY0TY/edit#gid=0"",""Table 1: Study characteristics!A4:A171""), $A1177=IMPORTRANGE(""https://docs.google.com/spreadsheets/d/1kGrh75X1cNR1D7_FcY9zMnHP8iPO4M5RCRjy6nZY0TY/edi"&amp;"t#gid=0"",""Table 1: Study characteristics!B4:B171""))
)"),"wrong study design")</f>
        <v>wrong study design</v>
      </c>
    </row>
    <row r="1178">
      <c r="A1178" s="4" t="str">
        <f>IFERROR(__xludf.DUMMYFUNCTION("""COMPUTED_VALUE"""),"Mental capacities in a group of hydrocephalic children (author's transl)")</f>
        <v>Mental capacities in a group of hydrocephalic children (author's transl)</v>
      </c>
      <c r="B1178" s="5" t="str">
        <f>IFERROR(__xludf.DUMMYFUNCTION("LEFT(FILTER(IMPORTRANGE(""https://docs.google.com/spreadsheets/d/1BJSV3WBYJGRhQ6zExamkszQ5VutGIcaQqmbD9ZTVXMQ/edit#gid=1251630045"",""articles_with_PRISMA_reasons!K2:K2113""), $A1178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$A1178=IMPORTRANGE(""https://docs.google.com/spreadsheets/d/1BJSV3WBYJGRhQ6zExamkszQ5VutGIcaQqmbD9ZTVXMQ/edit#gid=1251630045"",""articles_with_PRISMA_reasons!B2:B2113"")))-1)"),"Lobo Llorente")</f>
        <v>Lobo Llorente</v>
      </c>
      <c r="C1178" s="6">
        <f>IFERROR(__xludf.DUMMYFUNCTION("FILTER(IMPORTRANGE(""https://docs.google.com/spreadsheets/d/1BJSV3WBYJGRhQ6zExamkszQ5VutGIcaQqmbD9ZTVXMQ/edit#gid=1251630045"",""articles_with_PRISMA_reasons!C2:C2113""), $A1178=IMPORTRANGE(""https://docs.google.com/spreadsheets/d/1BJSV3WBYJGRhQ6zExamkszQ"&amp;"5VutGIcaQqmbD9ZTVXMQ/edit#gid=1251630045"",""articles_with_PRISMA_reasons!B2:B2113""))"),1981.0)</f>
        <v>1981</v>
      </c>
      <c r="D1178" s="5" t="str">
        <f>IFERROR(__xludf.DUMMYFUNCTION("IFS(AND(
FILTER(IMPORTRANGE(""https://docs.google.com/spreadsheets/d/1BJSV3WBYJGRhQ6zExamkszQ5VutGIcaQqmbD9ZTVXMQ/edit#gid=1251630045"",""articles_with_PRISMA_reasons!Y2:Y2113""), $A1178=IMPORTRANGE(""https://docs.google.com/spreadsheets/d/1BJSV3WBYJGRhQ6"&amp;"zExamkszQ5VutGIcaQqmbD9ZTVXMQ/edit#gid=1251630045"",""articles_with_PRISMA_reasons!B2:B2113""))&gt;=2,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$A1178=IMPORTRANGE(""https://docs.google.com/spreadsheets/d/1BJSV3WBYJGRhQ6zExamkszQ5VutGIcaQqmbD9ZTVXMQ/edit#gid=1251630045"",""articles_with_PRISMA_reasons!B2:B2113""))&lt;2),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$A1178=IMPORTRANGE(""https://docs.google.com/spreadsheets/d/1BJSV3WBYJGRhQ6zExamkszQ5VutGIcaQqmbD9ZTVXMQ/edit#gid=1251630045"",""a"&amp;"rticles_with_PRISMA_reasons!B2:B2113""))&lt;2,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$A1178=IMPORTRANGE(""https://docs.google"&amp;".com/spreadsheets/d/1BJSV3WBYJGRhQ6zExamkszQ5VutGIcaQqmbD9ZTVXMQ/edit#gid=1251630045"",""articles_with_PRISMA_reasons!B2:B2113""))&gt;=2),
""Exclude""
)"),"Exclude")</f>
        <v>Exclude</v>
      </c>
      <c r="E1178" s="5" t="str">
        <f>IFERROR(__xludf.DUMMYFUNCTION("IFS(
D1178=""Exclude"",""Exclude"",
AND(
FILTER(IMPORTRANGE(""https://docs.google.com/spreadsheets/d/1qpEmbGH0JjaJbUdp21-y2cPbobDbMjr09BbtdKROZWc/edit#gid=1444865654"",""articles_with_PRISMA_reasons!W2:W2113""), $A1178=IMPORTRANGE(""https://docs.google.co"&amp;"m/spreadsheets/d/1qpEmbGH0JjaJbUdp21-y2cPbobDbMjr09BbtdKROZWc/edit#gid=1444865654"",""articles_with_PRISMA_reasons!B2:B2113""))&gt;=2,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$A1178=IMPORTRANGE(""https://docs.google.com/spreadsheets/d/1qpEmbGH0JjaJbUdp21-y2cPbobDbMjr09BbtdKROZWc/edit#gid=1444865654"",""articles_with_PRISMA_reasons!B2:B2113""))&lt;2),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$A1178=IMPORTRANGE(""https://docs.google.com/spreadsheets/d/1qpEmbGH0JjaJbUdp21-y2cPbobDbMjr09Bbtd"&amp;"KROZWc/edit#gid=1444865654"",""articles_with_PRISMA_reasons!B2:B2113""))&lt;2,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$A1178=I"&amp;"MPORTRANGE(""https://docs.google.com/spreadsheets/d/1qpEmbGH0JjaJbUdp21-y2cPbobDbMjr09BbtdKROZWc/edit#gid=1444865654"",""articles_with_PRISMA_reasons!B2:B2113""))&gt;=2),
""Exclude""
)"),"Exclude")</f>
        <v>Exclude</v>
      </c>
      <c r="F1178" s="5" t="str">
        <f>IFERROR(__xludf.DUMMYFUNCTION("IFS(
E1178=""Exclude"",""Exclude"",
AND(
COUNTIF(
IMPORTRANGE(""https://docs.google.com/spreadsheets/d/1kGrh75X1cNR1D7_FcY9zMnHP8iPO4M5RCRjy6nZY0TY/edit#gid=0"",""Table 1: Study characteristics!B4:B171""),A1178)&gt;0,
COUNTIF(Studies!$A$2:$A$85,FILTER(IMPORT"&amp;"RANGE(""https://docs.google.com/spreadsheets/d/1kGrh75X1cNR1D7_FcY9zMnHP8iPO4M5RCRjy6nZY0TY/edit#gid=0"",""Table 1: Study characteristics!A4:A171""), $A1178=IMPORTRANGE(""https://docs.google.com/spreadsheets/d/1kGrh75X1cNR1D7_FcY9zMnHP8iPO4M5RCRjy6nZY0TY/"&amp;"edit#gid=0"",""Table 1: Study characteristics!B4:B171"")))&gt;0
),
""Include""
)"),"Exclude")</f>
        <v>Exclude</v>
      </c>
      <c r="G1178" s="5" t="str">
        <f>IFERROR(__xludf.DUMMYFUNCTION("IFS(
D1178=""Exclude"",
FILTER(IMPORTRANGE(""https://docs.google.com/spreadsheets/d/1BJSV3WBYJGRhQ6zExamkszQ5VutGIcaQqmbD9ZTVXMQ/edit#gid=1251630045"",""articles_with_PRISMA_reasons!AB2:AB2113""), $A1178=IMPORTRANGE(""https://docs.google.com/spreadsheets/"&amp;"d/1BJSV3WBYJGRhQ6zExamkszQ5VutGIcaQqmbD9ZTVXMQ/edit#gid=1251630045"",""articles_with_PRISMA_reasons!B2:B2113"")),
E1178=""Exclude"",
FILTER(IMPORTRANGE(""https://docs.google.com/spreadsheets/d/1qpEmbGH0JjaJbUdp21-y2cPbobDbMjr09BbtdKROZWc/edit#gid=14448656"&amp;"54"",""articles_with_PRISMA_reasons!Z2:Z2113""), $A1178=IMPORTRANGE(""https://docs.google.com/spreadsheets/d/1qpEmbGH0JjaJbUdp21-y2cPbobDbMjr09BbtdKROZWc/edit#gid=1444865654"",""articles_with_PRISMA_reasons!B2:B2113"")),F1178
=""Include"",FILTER(IMPORTRAN"&amp;"GE(""https://docs.google.com/spreadsheets/d/1kGrh75X1cNR1D7_FcY9zMnHP8iPO4M5RCRjy6nZY0TY/edit#gid=0"",""Table 1: Study characteristics!A4:A171""), $A1178=IMPORTRANGE(""https://docs.google.com/spreadsheets/d/1kGrh75X1cNR1D7_FcY9zMnHP8iPO4M5RCRjy6nZY0TY/edi"&amp;"t#gid=0"",""Table 1: Study characteristics!B4:B171""))
)"),"wrong population")</f>
        <v>wrong population</v>
      </c>
    </row>
    <row r="1179">
      <c r="A1179" s="4" t="str">
        <f>IFERROR(__xludf.DUMMYFUNCTION("""COMPUTED_VALUE"""),"Mental functioning of infants with spina bifida on the Bayley Scales of Infant Development")</f>
        <v>Mental functioning of infants with spina bifida on the Bayley Scales of Infant Development</v>
      </c>
      <c r="B1179" s="5" t="str">
        <f>IFERROR(__xludf.DUMMYFUNCTION("LEFT(FILTER(IMPORTRANGE(""https://docs.google.com/spreadsheets/d/1BJSV3WBYJGRhQ6zExamkszQ5VutGIcaQqmbD9ZTVXMQ/edit#gid=1251630045"",""articles_with_PRISMA_reasons!K2:K2113""), $A1179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$A1179=IMPORTRANGE(""https://docs.google.com/spreadsheets/d/1BJSV3WBYJGRhQ6zExamkszQ5VutGIcaQqmbD9ZTVXMQ/edit#gid=1251630045"",""articles_with_PRISMA_reasons!B2:B2113"")))-1)"),"Erickson")</f>
        <v>Erickson</v>
      </c>
      <c r="C1179" s="6">
        <f>IFERROR(__xludf.DUMMYFUNCTION("FILTER(IMPORTRANGE(""https://docs.google.com/spreadsheets/d/1BJSV3WBYJGRhQ6zExamkszQ5VutGIcaQqmbD9ZTVXMQ/edit#gid=1251630045"",""articles_with_PRISMA_reasons!C2:C2113""), $A1179=IMPORTRANGE(""https://docs.google.com/spreadsheets/d/1BJSV3WBYJGRhQ6zExamkszQ"&amp;"5VutGIcaQqmbD9ZTVXMQ/edit#gid=1251630045"",""articles_with_PRISMA_reasons!B2:B2113""))"),1990.0)</f>
        <v>1990</v>
      </c>
      <c r="D1179" s="5" t="str">
        <f>IFERROR(__xludf.DUMMYFUNCTION("IFS(AND(
FILTER(IMPORTRANGE(""https://docs.google.com/spreadsheets/d/1BJSV3WBYJGRhQ6zExamkszQ5VutGIcaQqmbD9ZTVXMQ/edit#gid=1251630045"",""articles_with_PRISMA_reasons!Y2:Y2113""), $A1179=IMPORTRANGE(""https://docs.google.com/spreadsheets/d/1BJSV3WBYJGRhQ6"&amp;"zExamkszQ5VutGIcaQqmbD9ZTVXMQ/edit#gid=1251630045"",""articles_with_PRISMA_reasons!B2:B2113""))&gt;=2,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$A1179=IMPORTRANGE(""https://docs.google.com/spreadsheets/d/1BJSV3WBYJGRhQ6zExamkszQ5VutGIcaQqmbD9ZTVXMQ/edit#gid=1251630045"",""articles_with_PRISMA_reasons!B2:B2113""))&lt;2),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$A1179=IMPORTRANGE(""https://docs.google.com/spreadsheets/d/1BJSV3WBYJGRhQ6zExamkszQ5VutGIcaQqmbD9ZTVXMQ/edit#gid=1251630045"",""a"&amp;"rticles_with_PRISMA_reasons!B2:B2113""))&lt;2,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$A1179=IMPORTRANGE(""https://docs.google"&amp;".com/spreadsheets/d/1BJSV3WBYJGRhQ6zExamkszQ5VutGIcaQqmbD9ZTVXMQ/edit#gid=1251630045"",""articles_with_PRISMA_reasons!B2:B2113""))&gt;=2),
""Exclude""
)"),"Exclude")</f>
        <v>Exclude</v>
      </c>
      <c r="E1179" s="5" t="str">
        <f>IFERROR(__xludf.DUMMYFUNCTION("IFS(
D1179=""Exclude"",""Exclude"",
AND(
FILTER(IMPORTRANGE(""https://docs.google.com/spreadsheets/d/1qpEmbGH0JjaJbUdp21-y2cPbobDbMjr09BbtdKROZWc/edit#gid=1444865654"",""articles_with_PRISMA_reasons!W2:W2113""), $A1179=IMPORTRANGE(""https://docs.google.co"&amp;"m/spreadsheets/d/1qpEmbGH0JjaJbUdp21-y2cPbobDbMjr09BbtdKROZWc/edit#gid=1444865654"",""articles_with_PRISMA_reasons!B2:B2113""))&gt;=2,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$A1179=IMPORTRANGE(""https://docs.google.com/spreadsheets/d/1qpEmbGH0JjaJbUdp21-y2cPbobDbMjr09BbtdKROZWc/edit#gid=1444865654"",""articles_with_PRISMA_reasons!B2:B2113""))&lt;2),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$A1179=IMPORTRANGE(""https://docs.google.com/spreadsheets/d/1qpEmbGH0JjaJbUdp21-y2cPbobDbMjr09Bbtd"&amp;"KROZWc/edit#gid=1444865654"",""articles_with_PRISMA_reasons!B2:B2113""))&lt;2,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$A1179=I"&amp;"MPORTRANGE(""https://docs.google.com/spreadsheets/d/1qpEmbGH0JjaJbUdp21-y2cPbobDbMjr09BbtdKROZWc/edit#gid=1444865654"",""articles_with_PRISMA_reasons!B2:B2113""))&gt;=2),
""Exclude""
)"),"Exclude")</f>
        <v>Exclude</v>
      </c>
      <c r="F1179" s="5" t="str">
        <f>IFERROR(__xludf.DUMMYFUNCTION("IFS(
E1179=""Exclude"",""Exclude"",
AND(
COUNTIF(
IMPORTRANGE(""https://docs.google.com/spreadsheets/d/1kGrh75X1cNR1D7_FcY9zMnHP8iPO4M5RCRjy6nZY0TY/edit#gid=0"",""Table 1: Study characteristics!B4:B171""),A1179)&gt;0,
COUNTIF(Studies!$A$2:$A$85,FILTER(IMPORT"&amp;"RANGE(""https://docs.google.com/spreadsheets/d/1kGrh75X1cNR1D7_FcY9zMnHP8iPO4M5RCRjy6nZY0TY/edit#gid=0"",""Table 1: Study characteristics!A4:A171""), $A1179=IMPORTRANGE(""https://docs.google.com/spreadsheets/d/1kGrh75X1cNR1D7_FcY9zMnHP8iPO4M5RCRjy6nZY0TY/"&amp;"edit#gid=0"",""Table 1: Study characteristics!B4:B171"")))&gt;0
),
""Include""
)"),"Exclude")</f>
        <v>Exclude</v>
      </c>
      <c r="G1179" s="5" t="str">
        <f>IFERROR(__xludf.DUMMYFUNCTION("IFS(
D1179=""Exclude"",
FILTER(IMPORTRANGE(""https://docs.google.com/spreadsheets/d/1BJSV3WBYJGRhQ6zExamkszQ5VutGIcaQqmbD9ZTVXMQ/edit#gid=1251630045"",""articles_with_PRISMA_reasons!AB2:AB2113""), $A1179=IMPORTRANGE(""https://docs.google.com/spreadsheets/"&amp;"d/1BJSV3WBYJGRhQ6zExamkszQ5VutGIcaQqmbD9ZTVXMQ/edit#gid=1251630045"",""articles_with_PRISMA_reasons!B2:B2113"")),
E1179=""Exclude"",
FILTER(IMPORTRANGE(""https://docs.google.com/spreadsheets/d/1qpEmbGH0JjaJbUdp21-y2cPbobDbMjr09BbtdKROZWc/edit#gid=14448656"&amp;"54"",""articles_with_PRISMA_reasons!Z2:Z2113""), $A1179=IMPORTRANGE(""https://docs.google.com/spreadsheets/d/1qpEmbGH0JjaJbUdp21-y2cPbobDbMjr09BbtdKROZWc/edit#gid=1444865654"",""articles_with_PRISMA_reasons!B2:B2113"")),F1179
=""Include"",FILTER(IMPORTRAN"&amp;"GE(""https://docs.google.com/spreadsheets/d/1kGrh75X1cNR1D7_FcY9zMnHP8iPO4M5RCRjy6nZY0TY/edit#gid=0"",""Table 1: Study characteristics!A4:A171""), $A1179=IMPORTRANGE(""https://docs.google.com/spreadsheets/d/1kGrh75X1cNR1D7_FcY9zMnHP8iPO4M5RCRjy6nZY0TY/edi"&amp;"t#gid=0"",""Table 1: Study characteristics!B4:B171""))
)"),"wrong study design")</f>
        <v>wrong study design</v>
      </c>
    </row>
    <row r="1180">
      <c r="A1180" s="4" t="str">
        <f>IFERROR(__xludf.DUMMYFUNCTION("""COMPUTED_VALUE"""),"Mermaid syndrome associated with VACTERL-H syndrome")</f>
        <v>Mermaid syndrome associated with VACTERL-H syndrome</v>
      </c>
      <c r="B1180" s="5" t="str">
        <f>IFERROR(__xludf.DUMMYFUNCTION("LEFT(FILTER(IMPORTRANGE(""https://docs.google.com/spreadsheets/d/1BJSV3WBYJGRhQ6zExamkszQ5VutGIcaQqmbD9ZTVXMQ/edit#gid=1251630045"",""articles_with_PRISMA_reasons!K2:K2113""), $A1180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$A1180=IMPORTRANGE(""https://docs.google.com/spreadsheets/d/1BJSV3WBYJGRhQ6zExamkszQ5VutGIcaQqmbD9ZTVXMQ/edit#gid=1251630045"",""articles_with_PRISMA_reasons!B2:B2113"")))-1)"),"Kitova")</f>
        <v>Kitova</v>
      </c>
      <c r="C1180" s="6">
        <f>IFERROR(__xludf.DUMMYFUNCTION("FILTER(IMPORTRANGE(""https://docs.google.com/spreadsheets/d/1BJSV3WBYJGRhQ6zExamkszQ5VutGIcaQqmbD9ZTVXMQ/edit#gid=1251630045"",""articles_with_PRISMA_reasons!C2:C2113""), $A1180=IMPORTRANGE(""https://docs.google.com/spreadsheets/d/1BJSV3WBYJGRhQ6zExamkszQ"&amp;"5VutGIcaQqmbD9ZTVXMQ/edit#gid=1251630045"",""articles_with_PRISMA_reasons!B2:B2113""))"),2021.0)</f>
        <v>2021</v>
      </c>
      <c r="D1180" s="5" t="str">
        <f>IFERROR(__xludf.DUMMYFUNCTION("IFS(AND(
FILTER(IMPORTRANGE(""https://docs.google.com/spreadsheets/d/1BJSV3WBYJGRhQ6zExamkszQ5VutGIcaQqmbD9ZTVXMQ/edit#gid=1251630045"",""articles_with_PRISMA_reasons!Y2:Y2113""), $A1180=IMPORTRANGE(""https://docs.google.com/spreadsheets/d/1BJSV3WBYJGRhQ6"&amp;"zExamkszQ5VutGIcaQqmbD9ZTVXMQ/edit#gid=1251630045"",""articles_with_PRISMA_reasons!B2:B2113""))&gt;=2,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$A1180=IMPORTRANGE(""https://docs.google.com/spreadsheets/d/1BJSV3WBYJGRhQ6zExamkszQ5VutGIcaQqmbD9ZTVXMQ/edit#gid=1251630045"",""articles_with_PRISMA_reasons!B2:B2113""))&lt;2),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$A1180=IMPORTRANGE(""https://docs.google.com/spreadsheets/d/1BJSV3WBYJGRhQ6zExamkszQ5VutGIcaQqmbD9ZTVXMQ/edit#gid=1251630045"",""a"&amp;"rticles_with_PRISMA_reasons!B2:B2113""))&lt;2,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$A1180=IMPORTRANGE(""https://docs.google"&amp;".com/spreadsheets/d/1BJSV3WBYJGRhQ6zExamkszQ5VutGIcaQqmbD9ZTVXMQ/edit#gid=1251630045"",""articles_with_PRISMA_reasons!B2:B2113""))&gt;=2),
""Exclude""
)"),"Exclude")</f>
        <v>Exclude</v>
      </c>
      <c r="E1180" s="5" t="str">
        <f>IFERROR(__xludf.DUMMYFUNCTION("IFS(
D1180=""Exclude"",""Exclude"",
AND(
FILTER(IMPORTRANGE(""https://docs.google.com/spreadsheets/d/1qpEmbGH0JjaJbUdp21-y2cPbobDbMjr09BbtdKROZWc/edit#gid=1444865654"",""articles_with_PRISMA_reasons!W2:W2113""), $A1180=IMPORTRANGE(""https://docs.google.co"&amp;"m/spreadsheets/d/1qpEmbGH0JjaJbUdp21-y2cPbobDbMjr09BbtdKROZWc/edit#gid=1444865654"",""articles_with_PRISMA_reasons!B2:B2113""))&gt;=2,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$A1180=IMPORTRANGE(""https://docs.google.com/spreadsheets/d/1qpEmbGH0JjaJbUdp21-y2cPbobDbMjr09BbtdKROZWc/edit#gid=1444865654"",""articles_with_PRISMA_reasons!B2:B2113""))&lt;2),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$A1180=IMPORTRANGE(""https://docs.google.com/spreadsheets/d/1qpEmbGH0JjaJbUdp21-y2cPbobDbMjr09Bbtd"&amp;"KROZWc/edit#gid=1444865654"",""articles_with_PRISMA_reasons!B2:B2113""))&lt;2,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$A1180=I"&amp;"MPORTRANGE(""https://docs.google.com/spreadsheets/d/1qpEmbGH0JjaJbUdp21-y2cPbobDbMjr09BbtdKROZWc/edit#gid=1444865654"",""articles_with_PRISMA_reasons!B2:B2113""))&gt;=2),
""Exclude""
)"),"Exclude")</f>
        <v>Exclude</v>
      </c>
      <c r="F1180" s="5" t="str">
        <f>IFERROR(__xludf.DUMMYFUNCTION("IFS(
E1180=""Exclude"",""Exclude"",
AND(
COUNTIF(
IMPORTRANGE(""https://docs.google.com/spreadsheets/d/1kGrh75X1cNR1D7_FcY9zMnHP8iPO4M5RCRjy6nZY0TY/edit#gid=0"",""Table 1: Study characteristics!B4:B171""),A1180)&gt;0,
COUNTIF(Studies!$A$2:$A$85,FILTER(IMPORT"&amp;"RANGE(""https://docs.google.com/spreadsheets/d/1kGrh75X1cNR1D7_FcY9zMnHP8iPO4M5RCRjy6nZY0TY/edit#gid=0"",""Table 1: Study characteristics!A4:A171""), $A1180=IMPORTRANGE(""https://docs.google.com/spreadsheets/d/1kGrh75X1cNR1D7_FcY9zMnHP8iPO4M5RCRjy6nZY0TY/"&amp;"edit#gid=0"",""Table 1: Study characteristics!B4:B171"")))&gt;0
),
""Include""
)"),"Exclude")</f>
        <v>Exclude</v>
      </c>
      <c r="G1180" s="5" t="str">
        <f>IFERROR(__xludf.DUMMYFUNCTION("IFS(
D1180=""Exclude"",
FILTER(IMPORTRANGE(""https://docs.google.com/spreadsheets/d/1BJSV3WBYJGRhQ6zExamkszQ5VutGIcaQqmbD9ZTVXMQ/edit#gid=1251630045"",""articles_with_PRISMA_reasons!AB2:AB2113""), $A1180=IMPORTRANGE(""https://docs.google.com/spreadsheets/"&amp;"d/1BJSV3WBYJGRhQ6zExamkszQ5VutGIcaQqmbD9ZTVXMQ/edit#gid=1251630045"",""articles_with_PRISMA_reasons!B2:B2113"")),
E1180=""Exclude"",
FILTER(IMPORTRANGE(""https://docs.google.com/spreadsheets/d/1qpEmbGH0JjaJbUdp21-y2cPbobDbMjr09BbtdKROZWc/edit#gid=14448656"&amp;"54"",""articles_with_PRISMA_reasons!Z2:Z2113""), $A1180=IMPORTRANGE(""https://docs.google.com/spreadsheets/d/1qpEmbGH0JjaJbUdp21-y2cPbobDbMjr09BbtdKROZWc/edit#gid=1444865654"",""articles_with_PRISMA_reasons!B2:B2113"")),F1180
=""Include"",FILTER(IMPORTRAN"&amp;"GE(""https://docs.google.com/spreadsheets/d/1kGrh75X1cNR1D7_FcY9zMnHP8iPO4M5RCRjy6nZY0TY/edit#gid=0"",""Table 1: Study characteristics!A4:A171""), $A1180=IMPORTRANGE(""https://docs.google.com/spreadsheets/d/1kGrh75X1cNR1D7_FcY9zMnHP8iPO4M5RCRjy6nZY0TY/edi"&amp;"t#gid=0"",""Table 1: Study characteristics!B4:B171""))
)"),"wrong study design")</f>
        <v>wrong study design</v>
      </c>
    </row>
    <row r="1181">
      <c r="A1181" s="4" t="str">
        <f>IFERROR(__xludf.DUMMYFUNCTION("""COMPUTED_VALUE"""),"Midline anomalies of the brain and spine")</f>
        <v>Midline anomalies of the brain and spine</v>
      </c>
      <c r="B1181" s="5" t="str">
        <f>IFERROR(__xludf.DUMMYFUNCTION("LEFT(FILTER(IMPORTRANGE(""https://docs.google.com/spreadsheets/d/1BJSV3WBYJGRhQ6zExamkszQ5VutGIcaQqmbD9ZTVXMQ/edit#gid=1251630045"",""articles_with_PRISMA_reasons!K2:K2113""), $A1181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$A1181=IMPORTRANGE(""https://docs.google.com/spreadsheets/d/1BJSV3WBYJGRhQ6zExamkszQ5VutGIcaQqmbD9ZTVXMQ/edit#gid=1251630045"",""articles_with_PRISMA_reasons!B2:B2113"")))-1)"),"Fitz")</f>
        <v>Fitz</v>
      </c>
      <c r="C1181" s="6">
        <f>IFERROR(__xludf.DUMMYFUNCTION("FILTER(IMPORTRANGE(""https://docs.google.com/spreadsheets/d/1BJSV3WBYJGRhQ6zExamkszQ5VutGIcaQqmbD9ZTVXMQ/edit#gid=1251630045"",""articles_with_PRISMA_reasons!C2:C2113""), $A1181=IMPORTRANGE(""https://docs.google.com/spreadsheets/d/1BJSV3WBYJGRhQ6zExamkszQ"&amp;"5VutGIcaQqmbD9ZTVXMQ/edit#gid=1251630045"",""articles_with_PRISMA_reasons!B2:B2113""))"),1982.0)</f>
        <v>1982</v>
      </c>
      <c r="D1181" s="5" t="str">
        <f>IFERROR(__xludf.DUMMYFUNCTION("IFS(AND(
FILTER(IMPORTRANGE(""https://docs.google.com/spreadsheets/d/1BJSV3WBYJGRhQ6zExamkszQ5VutGIcaQqmbD9ZTVXMQ/edit#gid=1251630045"",""articles_with_PRISMA_reasons!Y2:Y2113""), $A1181=IMPORTRANGE(""https://docs.google.com/spreadsheets/d/1BJSV3WBYJGRhQ6"&amp;"zExamkszQ5VutGIcaQqmbD9ZTVXMQ/edit#gid=1251630045"",""articles_with_PRISMA_reasons!B2:B2113""))&gt;=2,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$A1181=IMPORTRANGE(""https://docs.google.com/spreadsheets/d/1BJSV3WBYJGRhQ6zExamkszQ5VutGIcaQqmbD9ZTVXMQ/edit#gid=1251630045"",""articles_with_PRISMA_reasons!B2:B2113""))&lt;2),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$A1181=IMPORTRANGE(""https://docs.google.com/spreadsheets/d/1BJSV3WBYJGRhQ6zExamkszQ5VutGIcaQqmbD9ZTVXMQ/edit#gid=1251630045"",""a"&amp;"rticles_with_PRISMA_reasons!B2:B2113""))&lt;2,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$A1181=IMPORTRANGE(""https://docs.google"&amp;".com/spreadsheets/d/1BJSV3WBYJGRhQ6zExamkszQ5VutGIcaQqmbD9ZTVXMQ/edit#gid=1251630045"",""articles_with_PRISMA_reasons!B2:B2113""))&gt;=2),
""Exclude""
)"),"Exclude")</f>
        <v>Exclude</v>
      </c>
      <c r="E1181" s="5" t="str">
        <f>IFERROR(__xludf.DUMMYFUNCTION("IFS(
D1181=""Exclude"",""Exclude"",
AND(
FILTER(IMPORTRANGE(""https://docs.google.com/spreadsheets/d/1qpEmbGH0JjaJbUdp21-y2cPbobDbMjr09BbtdKROZWc/edit#gid=1444865654"",""articles_with_PRISMA_reasons!W2:W2113""), $A1181=IMPORTRANGE(""https://docs.google.co"&amp;"m/spreadsheets/d/1qpEmbGH0JjaJbUdp21-y2cPbobDbMjr09BbtdKROZWc/edit#gid=1444865654"",""articles_with_PRISMA_reasons!B2:B2113""))&gt;=2,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$A1181=IMPORTRANGE(""https://docs.google.com/spreadsheets/d/1qpEmbGH0JjaJbUdp21-y2cPbobDbMjr09BbtdKROZWc/edit#gid=1444865654"",""articles_with_PRISMA_reasons!B2:B2113""))&lt;2),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$A1181=IMPORTRANGE(""https://docs.google.com/spreadsheets/d/1qpEmbGH0JjaJbUdp21-y2cPbobDbMjr09Bbtd"&amp;"KROZWc/edit#gid=1444865654"",""articles_with_PRISMA_reasons!B2:B2113""))&lt;2,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$A1181=I"&amp;"MPORTRANGE(""https://docs.google.com/spreadsheets/d/1qpEmbGH0JjaJbUdp21-y2cPbobDbMjr09BbtdKROZWc/edit#gid=1444865654"",""articles_with_PRISMA_reasons!B2:B2113""))&gt;=2),
""Exclude""
)"),"Exclude")</f>
        <v>Exclude</v>
      </c>
      <c r="F1181" s="5" t="str">
        <f>IFERROR(__xludf.DUMMYFUNCTION("IFS(
E1181=""Exclude"",""Exclude"",
AND(
COUNTIF(
IMPORTRANGE(""https://docs.google.com/spreadsheets/d/1kGrh75X1cNR1D7_FcY9zMnHP8iPO4M5RCRjy6nZY0TY/edit#gid=0"",""Table 1: Study characteristics!B4:B171""),A1181)&gt;0,
COUNTIF(Studies!$A$2:$A$85,FILTER(IMPORT"&amp;"RANGE(""https://docs.google.com/spreadsheets/d/1kGrh75X1cNR1D7_FcY9zMnHP8iPO4M5RCRjy6nZY0TY/edit#gid=0"",""Table 1: Study characteristics!A4:A171""), $A1181=IMPORTRANGE(""https://docs.google.com/spreadsheets/d/1kGrh75X1cNR1D7_FcY9zMnHP8iPO4M5RCRjy6nZY0TY/"&amp;"edit#gid=0"",""Table 1: Study characteristics!B4:B171"")))&gt;0
),
""Include""
)"),"Exclude")</f>
        <v>Exclude</v>
      </c>
      <c r="G1181" s="5" t="str">
        <f>IFERROR(__xludf.DUMMYFUNCTION("IFS(
D1181=""Exclude"",
FILTER(IMPORTRANGE(""https://docs.google.com/spreadsheets/d/1BJSV3WBYJGRhQ6zExamkszQ5VutGIcaQqmbD9ZTVXMQ/edit#gid=1251630045"",""articles_with_PRISMA_reasons!AB2:AB2113""), $A1181=IMPORTRANGE(""https://docs.google.com/spreadsheets/"&amp;"d/1BJSV3WBYJGRhQ6zExamkszQ5VutGIcaQqmbD9ZTVXMQ/edit#gid=1251630045"",""articles_with_PRISMA_reasons!B2:B2113"")),
E1181=""Exclude"",
FILTER(IMPORTRANGE(""https://docs.google.com/spreadsheets/d/1qpEmbGH0JjaJbUdp21-y2cPbobDbMjr09BbtdKROZWc/edit#gid=14448656"&amp;"54"",""articles_with_PRISMA_reasons!Z2:Z2113""), $A1181=IMPORTRANGE(""https://docs.google.com/spreadsheets/d/1qpEmbGH0JjaJbUdp21-y2cPbobDbMjr09BbtdKROZWc/edit#gid=1444865654"",""articles_with_PRISMA_reasons!B2:B2113"")),F1181
=""Include"",FILTER(IMPORTRAN"&amp;"GE(""https://docs.google.com/spreadsheets/d/1kGrh75X1cNR1D7_FcY9zMnHP8iPO4M5RCRjy6nZY0TY/edit#gid=0"",""Table 1: Study characteristics!A4:A171""), $A1181=IMPORTRANGE(""https://docs.google.com/spreadsheets/d/1kGrh75X1cNR1D7_FcY9zMnHP8iPO4M5RCRjy6nZY0TY/edi"&amp;"t#gid=0"",""Table 1: Study characteristics!B4:B171""))
)"),"background article")</f>
        <v>background article</v>
      </c>
    </row>
    <row r="1182">
      <c r="A1182" s="4" t="str">
        <f>IFERROR(__xludf.DUMMYFUNCTION("""COMPUTED_VALUE"""),"Midline hamartomas masquerading as meningomyeloceles or teratomas in the newborn infant")</f>
        <v>Midline hamartomas masquerading as meningomyeloceles or teratomas in the newborn infant</v>
      </c>
      <c r="B1182" s="5" t="str">
        <f>IFERROR(__xludf.DUMMYFUNCTION("LEFT(FILTER(IMPORTRANGE(""https://docs.google.com/spreadsheets/d/1BJSV3WBYJGRhQ6zExamkszQ5VutGIcaQqmbD9ZTVXMQ/edit#gid=1251630045"",""articles_with_PRISMA_reasons!K2:K2113""), $A1182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$A1182=IMPORTRANGE(""https://docs.google.com/spreadsheets/d/1BJSV3WBYJGRhQ6zExamkszQ5VutGIcaQqmbD9ZTVXMQ/edit#gid=1251630045"",""articles_with_PRISMA_reasons!B2:B2113"")))-1)"),"Tibbs")</f>
        <v>Tibbs</v>
      </c>
      <c r="C1182" s="6">
        <f>IFERROR(__xludf.DUMMYFUNCTION("FILTER(IMPORTRANGE(""https://docs.google.com/spreadsheets/d/1BJSV3WBYJGRhQ6zExamkszQ5VutGIcaQqmbD9ZTVXMQ/edit#gid=1251630045"",""articles_with_PRISMA_reasons!C2:C2113""), $A1182=IMPORTRANGE(""https://docs.google.com/spreadsheets/d/1BJSV3WBYJGRhQ6zExamkszQ"&amp;"5VutGIcaQqmbD9ZTVXMQ/edit#gid=1251630045"",""articles_with_PRISMA_reasons!B2:B2113""))"),1976.0)</f>
        <v>1976</v>
      </c>
      <c r="D1182" s="5" t="str">
        <f>IFERROR(__xludf.DUMMYFUNCTION("IFS(AND(
FILTER(IMPORTRANGE(""https://docs.google.com/spreadsheets/d/1BJSV3WBYJGRhQ6zExamkszQ5VutGIcaQqmbD9ZTVXMQ/edit#gid=1251630045"",""articles_with_PRISMA_reasons!Y2:Y2113""), $A1182=IMPORTRANGE(""https://docs.google.com/spreadsheets/d/1BJSV3WBYJGRhQ6"&amp;"zExamkszQ5VutGIcaQqmbD9ZTVXMQ/edit#gid=1251630045"",""articles_with_PRISMA_reasons!B2:B2113""))&gt;=2,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$A1182=IMPORTRANGE(""https://docs.google.com/spreadsheets/d/1BJSV3WBYJGRhQ6zExamkszQ5VutGIcaQqmbD9ZTVXMQ/edit#gid=1251630045"",""articles_with_PRISMA_reasons!B2:B2113""))&lt;2),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$A1182=IMPORTRANGE(""https://docs.google.com/spreadsheets/d/1BJSV3WBYJGRhQ6zExamkszQ5VutGIcaQqmbD9ZTVXMQ/edit#gid=1251630045"",""a"&amp;"rticles_with_PRISMA_reasons!B2:B2113""))&lt;2,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$A1182=IMPORTRANGE(""https://docs.google"&amp;".com/spreadsheets/d/1BJSV3WBYJGRhQ6zExamkszQ5VutGIcaQqmbD9ZTVXMQ/edit#gid=1251630045"",""articles_with_PRISMA_reasons!B2:B2113""))&gt;=2),
""Exclude""
)"),"Exclude")</f>
        <v>Exclude</v>
      </c>
      <c r="E1182" s="5" t="str">
        <f>IFERROR(__xludf.DUMMYFUNCTION("IFS(
D1182=""Exclude"",""Exclude"",
AND(
FILTER(IMPORTRANGE(""https://docs.google.com/spreadsheets/d/1qpEmbGH0JjaJbUdp21-y2cPbobDbMjr09BbtdKROZWc/edit#gid=1444865654"",""articles_with_PRISMA_reasons!W2:W2113""), $A1182=IMPORTRANGE(""https://docs.google.co"&amp;"m/spreadsheets/d/1qpEmbGH0JjaJbUdp21-y2cPbobDbMjr09BbtdKROZWc/edit#gid=1444865654"",""articles_with_PRISMA_reasons!B2:B2113""))&gt;=2,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$A1182=IMPORTRANGE(""https://docs.google.com/spreadsheets/d/1qpEmbGH0JjaJbUdp21-y2cPbobDbMjr09BbtdKROZWc/edit#gid=1444865654"",""articles_with_PRISMA_reasons!B2:B2113""))&lt;2),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$A1182=IMPORTRANGE(""https://docs.google.com/spreadsheets/d/1qpEmbGH0JjaJbUdp21-y2cPbobDbMjr09Bbtd"&amp;"KROZWc/edit#gid=1444865654"",""articles_with_PRISMA_reasons!B2:B2113""))&lt;2,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$A1182=I"&amp;"MPORTRANGE(""https://docs.google.com/spreadsheets/d/1qpEmbGH0JjaJbUdp21-y2cPbobDbMjr09BbtdKROZWc/edit#gid=1444865654"",""articles_with_PRISMA_reasons!B2:B2113""))&gt;=2),
""Exclude""
)"),"Exclude")</f>
        <v>Exclude</v>
      </c>
      <c r="F1182" s="5" t="str">
        <f>IFERROR(__xludf.DUMMYFUNCTION("IFS(
E1182=""Exclude"",""Exclude"",
AND(
COUNTIF(
IMPORTRANGE(""https://docs.google.com/spreadsheets/d/1kGrh75X1cNR1D7_FcY9zMnHP8iPO4M5RCRjy6nZY0TY/edit#gid=0"",""Table 1: Study characteristics!B4:B171""),A1182)&gt;0,
COUNTIF(Studies!$A$2:$A$85,FILTER(IMPORT"&amp;"RANGE(""https://docs.google.com/spreadsheets/d/1kGrh75X1cNR1D7_FcY9zMnHP8iPO4M5RCRjy6nZY0TY/edit#gid=0"",""Table 1: Study characteristics!A4:A171""), $A1182=IMPORTRANGE(""https://docs.google.com/spreadsheets/d/1kGrh75X1cNR1D7_FcY9zMnHP8iPO4M5RCRjy6nZY0TY/"&amp;"edit#gid=0"",""Table 1: Study characteristics!B4:B171"")))&gt;0
),
""Include""
)"),"Exclude")</f>
        <v>Exclude</v>
      </c>
      <c r="G1182" s="5" t="str">
        <f>IFERROR(__xludf.DUMMYFUNCTION("IFS(
D1182=""Exclude"",
FILTER(IMPORTRANGE(""https://docs.google.com/spreadsheets/d/1BJSV3WBYJGRhQ6zExamkszQ5VutGIcaQqmbD9ZTVXMQ/edit#gid=1251630045"",""articles_with_PRISMA_reasons!AB2:AB2113""), $A1182=IMPORTRANGE(""https://docs.google.com/spreadsheets/"&amp;"d/1BJSV3WBYJGRhQ6zExamkszQ5VutGIcaQqmbD9ZTVXMQ/edit#gid=1251630045"",""articles_with_PRISMA_reasons!B2:B2113"")),
E1182=""Exclude"",
FILTER(IMPORTRANGE(""https://docs.google.com/spreadsheets/d/1qpEmbGH0JjaJbUdp21-y2cPbobDbMjr09BbtdKROZWc/edit#gid=14448656"&amp;"54"",""articles_with_PRISMA_reasons!Z2:Z2113""), $A1182=IMPORTRANGE(""https://docs.google.com/spreadsheets/d/1qpEmbGH0JjaJbUdp21-y2cPbobDbMjr09BbtdKROZWc/edit#gid=1444865654"",""articles_with_PRISMA_reasons!B2:B2113"")),F1182
=""Include"",FILTER(IMPORTRAN"&amp;"GE(""https://docs.google.com/spreadsheets/d/1kGrh75X1cNR1D7_FcY9zMnHP8iPO4M5RCRjy6nZY0TY/edit#gid=0"",""Table 1: Study characteristics!A4:A171""), $A1182=IMPORTRANGE(""https://docs.google.com/spreadsheets/d/1kGrh75X1cNR1D7_FcY9zMnHP8iPO4M5RCRjy6nZY0TY/edi"&amp;"t#gid=0"",""Table 1: Study characteristics!B4:B171""))
)"),"background article")</f>
        <v>background article</v>
      </c>
    </row>
    <row r="1183">
      <c r="A1183" s="4" t="str">
        <f>IFERROR(__xludf.DUMMYFUNCTION("""COMPUTED_VALUE"""),"Midline hyperplasia with malformation of the fornical system")</f>
        <v>Midline hyperplasia with malformation of the fornical system</v>
      </c>
      <c r="B1183" s="5" t="str">
        <f>IFERROR(__xludf.DUMMYFUNCTION("LEFT(FILTER(IMPORTRANGE(""https://docs.google.com/spreadsheets/d/1BJSV3WBYJGRhQ6zExamkszQ5VutGIcaQqmbD9ZTVXMQ/edit#gid=1251630045"",""articles_with_PRISMA_reasons!K2:K2113""), $A1183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$A1183=IMPORTRANGE(""https://docs.google.com/spreadsheets/d/1BJSV3WBYJGRhQ6zExamkszQ5VutGIcaQqmbD9ZTVXMQ/edit#gid=1251630045"",""articles_with_PRISMA_reasons!B2:B2113"")))-1)"),"Friede")</f>
        <v>Friede</v>
      </c>
      <c r="C1183" s="6">
        <f>IFERROR(__xludf.DUMMYFUNCTION("FILTER(IMPORTRANGE(""https://docs.google.com/spreadsheets/d/1BJSV3WBYJGRhQ6zExamkszQ5VutGIcaQqmbD9ZTVXMQ/edit#gid=1251630045"",""articles_with_PRISMA_reasons!C2:C2113""), $A1183=IMPORTRANGE(""https://docs.google.com/spreadsheets/d/1BJSV3WBYJGRhQ6zExamkszQ"&amp;"5VutGIcaQqmbD9ZTVXMQ/edit#gid=1251630045"",""articles_with_PRISMA_reasons!B2:B2113""))"),1978.0)</f>
        <v>1978</v>
      </c>
      <c r="D1183" s="5" t="str">
        <f>IFERROR(__xludf.DUMMYFUNCTION("IFS(AND(
FILTER(IMPORTRANGE(""https://docs.google.com/spreadsheets/d/1BJSV3WBYJGRhQ6zExamkszQ5VutGIcaQqmbD9ZTVXMQ/edit#gid=1251630045"",""articles_with_PRISMA_reasons!Y2:Y2113""), $A1183=IMPORTRANGE(""https://docs.google.com/spreadsheets/d/1BJSV3WBYJGRhQ6"&amp;"zExamkszQ5VutGIcaQqmbD9ZTVXMQ/edit#gid=1251630045"",""articles_with_PRISMA_reasons!B2:B2113""))&gt;=2,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$A1183=IMPORTRANGE(""https://docs.google.com/spreadsheets/d/1BJSV3WBYJGRhQ6zExamkszQ5VutGIcaQqmbD9ZTVXMQ/edit#gid=1251630045"",""articles_with_PRISMA_reasons!B2:B2113""))&lt;2),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$A1183=IMPORTRANGE(""https://docs.google.com/spreadsheets/d/1BJSV3WBYJGRhQ6zExamkszQ5VutGIcaQqmbD9ZTVXMQ/edit#gid=1251630045"",""a"&amp;"rticles_with_PRISMA_reasons!B2:B2113""))&lt;2,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$A1183=IMPORTRANGE(""https://docs.google"&amp;".com/spreadsheets/d/1BJSV3WBYJGRhQ6zExamkszQ5VutGIcaQqmbD9ZTVXMQ/edit#gid=1251630045"",""articles_with_PRISMA_reasons!B2:B2113""))&gt;=2),
""Exclude""
)"),"Exclude")</f>
        <v>Exclude</v>
      </c>
      <c r="E1183" s="5" t="str">
        <f>IFERROR(__xludf.DUMMYFUNCTION("IFS(
D1183=""Exclude"",""Exclude"",
AND(
FILTER(IMPORTRANGE(""https://docs.google.com/spreadsheets/d/1qpEmbGH0JjaJbUdp21-y2cPbobDbMjr09BbtdKROZWc/edit#gid=1444865654"",""articles_with_PRISMA_reasons!W2:W2113""), $A1183=IMPORTRANGE(""https://docs.google.co"&amp;"m/spreadsheets/d/1qpEmbGH0JjaJbUdp21-y2cPbobDbMjr09BbtdKROZWc/edit#gid=1444865654"",""articles_with_PRISMA_reasons!B2:B2113""))&gt;=2,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$A1183=IMPORTRANGE(""https://docs.google.com/spreadsheets/d/1qpEmbGH0JjaJbUdp21-y2cPbobDbMjr09BbtdKROZWc/edit#gid=1444865654"",""articles_with_PRISMA_reasons!B2:B2113""))&lt;2),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$A1183=IMPORTRANGE(""https://docs.google.com/spreadsheets/d/1qpEmbGH0JjaJbUdp21-y2cPbobDbMjr09Bbtd"&amp;"KROZWc/edit#gid=1444865654"",""articles_with_PRISMA_reasons!B2:B2113""))&lt;2,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$A1183=I"&amp;"MPORTRANGE(""https://docs.google.com/spreadsheets/d/1qpEmbGH0JjaJbUdp21-y2cPbobDbMjr09BbtdKROZWc/edit#gid=1444865654"",""articles_with_PRISMA_reasons!B2:B2113""))&gt;=2),
""Exclude""
)"),"Exclude")</f>
        <v>Exclude</v>
      </c>
      <c r="F1183" s="5" t="str">
        <f>IFERROR(__xludf.DUMMYFUNCTION("IFS(
E1183=""Exclude"",""Exclude"",
AND(
COUNTIF(
IMPORTRANGE(""https://docs.google.com/spreadsheets/d/1kGrh75X1cNR1D7_FcY9zMnHP8iPO4M5RCRjy6nZY0TY/edit#gid=0"",""Table 1: Study characteristics!B4:B171""),A1183)&gt;0,
COUNTIF(Studies!$A$2:$A$85,FILTER(IMPORT"&amp;"RANGE(""https://docs.google.com/spreadsheets/d/1kGrh75X1cNR1D7_FcY9zMnHP8iPO4M5RCRjy6nZY0TY/edit#gid=0"",""Table 1: Study characteristics!A4:A171""), $A1183=IMPORTRANGE(""https://docs.google.com/spreadsheets/d/1kGrh75X1cNR1D7_FcY9zMnHP8iPO4M5RCRjy6nZY0TY/"&amp;"edit#gid=0"",""Table 1: Study characteristics!B4:B171"")))&gt;0
),
""Include""
)"),"Exclude")</f>
        <v>Exclude</v>
      </c>
      <c r="G1183" s="5" t="str">
        <f>IFERROR(__xludf.DUMMYFUNCTION("IFS(
D1183=""Exclude"",
FILTER(IMPORTRANGE(""https://docs.google.com/spreadsheets/d/1BJSV3WBYJGRhQ6zExamkszQ5VutGIcaQqmbD9ZTVXMQ/edit#gid=1251630045"",""articles_with_PRISMA_reasons!AB2:AB2113""), $A1183=IMPORTRANGE(""https://docs.google.com/spreadsheets/"&amp;"d/1BJSV3WBYJGRhQ6zExamkszQ5VutGIcaQqmbD9ZTVXMQ/edit#gid=1251630045"",""articles_with_PRISMA_reasons!B2:B2113"")),
E1183=""Exclude"",
FILTER(IMPORTRANGE(""https://docs.google.com/spreadsheets/d/1qpEmbGH0JjaJbUdp21-y2cPbobDbMjr09BbtdKROZWc/edit#gid=14448656"&amp;"54"",""articles_with_PRISMA_reasons!Z2:Z2113""), $A1183=IMPORTRANGE(""https://docs.google.com/spreadsheets/d/1qpEmbGH0JjaJbUdp21-y2cPbobDbMjr09BbtdKROZWc/edit#gid=1444865654"",""articles_with_PRISMA_reasons!B2:B2113"")),F1183
=""Include"",FILTER(IMPORTRAN"&amp;"GE(""https://docs.google.com/spreadsheets/d/1kGrh75X1cNR1D7_FcY9zMnHP8iPO4M5RCRjy6nZY0TY/edit#gid=0"",""Table 1: Study characteristics!A4:A171""), $A1183=IMPORTRANGE(""https://docs.google.com/spreadsheets/d/1kGrh75X1cNR1D7_FcY9zMnHP8iPO4M5RCRjy6nZY0TY/edi"&amp;"t#gid=0"",""Table 1: Study characteristics!B4:B171""))
)"),"wrong study design")</f>
        <v>wrong study design</v>
      </c>
    </row>
    <row r="1184">
      <c r="A1184" s="4" t="str">
        <f>IFERROR(__xludf.DUMMYFUNCTION("""COMPUTED_VALUE"""),"Midline mature teratoma inside a ruptured meningomyelocele of lumbosacral region, a case report")</f>
        <v>Midline mature teratoma inside a ruptured meningomyelocele of lumbosacral region, a case report</v>
      </c>
      <c r="B1184" s="5" t="str">
        <f>IFERROR(__xludf.DUMMYFUNCTION("LEFT(FILTER(IMPORTRANGE(""https://docs.google.com/spreadsheets/d/1BJSV3WBYJGRhQ6zExamkszQ5VutGIcaQqmbD9ZTVXMQ/edit#gid=1251630045"",""articles_with_PRISMA_reasons!K2:K2113""), $A1184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$A1184=IMPORTRANGE(""https://docs.google.com/spreadsheets/d/1BJSV3WBYJGRhQ6zExamkszQ5VutGIcaQqmbD9ZTVXMQ/edit#gid=1251630045"",""articles_with_PRISMA_reasons!B2:B2113"")))-1)"),"Parelkar")</f>
        <v>Parelkar</v>
      </c>
      <c r="C1184" s="6">
        <f>IFERROR(__xludf.DUMMYFUNCTION("FILTER(IMPORTRANGE(""https://docs.google.com/spreadsheets/d/1BJSV3WBYJGRhQ6zExamkszQ5VutGIcaQqmbD9ZTVXMQ/edit#gid=1251630045"",""articles_with_PRISMA_reasons!C2:C2113""), $A1184=IMPORTRANGE(""https://docs.google.com/spreadsheets/d/1BJSV3WBYJGRhQ6zExamkszQ"&amp;"5VutGIcaQqmbD9ZTVXMQ/edit#gid=1251630045"",""articles_with_PRISMA_reasons!B2:B2113""))"),2012.0)</f>
        <v>2012</v>
      </c>
      <c r="D1184" s="5" t="str">
        <f>IFERROR(__xludf.DUMMYFUNCTION("IFS(AND(
FILTER(IMPORTRANGE(""https://docs.google.com/spreadsheets/d/1BJSV3WBYJGRhQ6zExamkszQ5VutGIcaQqmbD9ZTVXMQ/edit#gid=1251630045"",""articles_with_PRISMA_reasons!Y2:Y2113""), $A1184=IMPORTRANGE(""https://docs.google.com/spreadsheets/d/1BJSV3WBYJGRhQ6"&amp;"zExamkszQ5VutGIcaQqmbD9ZTVXMQ/edit#gid=1251630045"",""articles_with_PRISMA_reasons!B2:B2113""))&gt;=2,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$A1184=IMPORTRANGE(""https://docs.google.com/spreadsheets/d/1BJSV3WBYJGRhQ6zExamkszQ5VutGIcaQqmbD9ZTVXMQ/edit#gid=1251630045"",""articles_with_PRISMA_reasons!B2:B2113""))&lt;2),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$A1184=IMPORTRANGE(""https://docs.google.com/spreadsheets/d/1BJSV3WBYJGRhQ6zExamkszQ5VutGIcaQqmbD9ZTVXMQ/edit#gid=1251630045"",""a"&amp;"rticles_with_PRISMA_reasons!B2:B2113""))&lt;2,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$A1184=IMPORTRANGE(""https://docs.google"&amp;".com/spreadsheets/d/1BJSV3WBYJGRhQ6zExamkszQ5VutGIcaQqmbD9ZTVXMQ/edit#gid=1251630045"",""articles_with_PRISMA_reasons!B2:B2113""))&gt;=2),
""Exclude""
)"),"Exclude")</f>
        <v>Exclude</v>
      </c>
      <c r="E1184" s="5" t="str">
        <f>IFERROR(__xludf.DUMMYFUNCTION("IFS(
D1184=""Exclude"",""Exclude"",
AND(
FILTER(IMPORTRANGE(""https://docs.google.com/spreadsheets/d/1qpEmbGH0JjaJbUdp21-y2cPbobDbMjr09BbtdKROZWc/edit#gid=1444865654"",""articles_with_PRISMA_reasons!W2:W2113""), $A1184=IMPORTRANGE(""https://docs.google.co"&amp;"m/spreadsheets/d/1qpEmbGH0JjaJbUdp21-y2cPbobDbMjr09BbtdKROZWc/edit#gid=1444865654"",""articles_with_PRISMA_reasons!B2:B2113""))&gt;=2,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$A1184=IMPORTRANGE(""https://docs.google.com/spreadsheets/d/1qpEmbGH0JjaJbUdp21-y2cPbobDbMjr09BbtdKROZWc/edit#gid=1444865654"",""articles_with_PRISMA_reasons!B2:B2113""))&lt;2),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$A1184=IMPORTRANGE(""https://docs.google.com/spreadsheets/d/1qpEmbGH0JjaJbUdp21-y2cPbobDbMjr09Bbtd"&amp;"KROZWc/edit#gid=1444865654"",""articles_with_PRISMA_reasons!B2:B2113""))&lt;2,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$A1184=I"&amp;"MPORTRANGE(""https://docs.google.com/spreadsheets/d/1qpEmbGH0JjaJbUdp21-y2cPbobDbMjr09BbtdKROZWc/edit#gid=1444865654"",""articles_with_PRISMA_reasons!B2:B2113""))&gt;=2),
""Exclude""
)"),"Exclude")</f>
        <v>Exclude</v>
      </c>
      <c r="F1184" s="5" t="str">
        <f>IFERROR(__xludf.DUMMYFUNCTION("IFS(
E1184=""Exclude"",""Exclude"",
AND(
COUNTIF(
IMPORTRANGE(""https://docs.google.com/spreadsheets/d/1kGrh75X1cNR1D7_FcY9zMnHP8iPO4M5RCRjy6nZY0TY/edit#gid=0"",""Table 1: Study characteristics!B4:B171""),A1184)&gt;0,
COUNTIF(Studies!$A$2:$A$85,FILTER(IMPORT"&amp;"RANGE(""https://docs.google.com/spreadsheets/d/1kGrh75X1cNR1D7_FcY9zMnHP8iPO4M5RCRjy6nZY0TY/edit#gid=0"",""Table 1: Study characteristics!A4:A171""), $A1184=IMPORTRANGE(""https://docs.google.com/spreadsheets/d/1kGrh75X1cNR1D7_FcY9zMnHP8iPO4M5RCRjy6nZY0TY/"&amp;"edit#gid=0"",""Table 1: Study characteristics!B4:B171"")))&gt;0
),
""Include""
)"),"Exclude")</f>
        <v>Exclude</v>
      </c>
      <c r="G1184" s="5" t="str">
        <f>IFERROR(__xludf.DUMMYFUNCTION("IFS(
D1184=""Exclude"",
FILTER(IMPORTRANGE(""https://docs.google.com/spreadsheets/d/1BJSV3WBYJGRhQ6zExamkszQ5VutGIcaQqmbD9ZTVXMQ/edit#gid=1251630045"",""articles_with_PRISMA_reasons!AB2:AB2113""), $A1184=IMPORTRANGE(""https://docs.google.com/spreadsheets/"&amp;"d/1BJSV3WBYJGRhQ6zExamkszQ5VutGIcaQqmbD9ZTVXMQ/edit#gid=1251630045"",""articles_with_PRISMA_reasons!B2:B2113"")),
E1184=""Exclude"",
FILTER(IMPORTRANGE(""https://docs.google.com/spreadsheets/d/1qpEmbGH0JjaJbUdp21-y2cPbobDbMjr09BbtdKROZWc/edit#gid=14448656"&amp;"54"",""articles_with_PRISMA_reasons!Z2:Z2113""), $A1184=IMPORTRANGE(""https://docs.google.com/spreadsheets/d/1qpEmbGH0JjaJbUdp21-y2cPbobDbMjr09BbtdKROZWc/edit#gid=1444865654"",""articles_with_PRISMA_reasons!B2:B2113"")),F1184
=""Include"",FILTER(IMPORTRAN"&amp;"GE(""https://docs.google.com/spreadsheets/d/1kGrh75X1cNR1D7_FcY9zMnHP8iPO4M5RCRjy6nZY0TY/edit#gid=0"",""Table 1: Study characteristics!A4:A171""), $A1184=IMPORTRANGE(""https://docs.google.com/spreadsheets/d/1kGrh75X1cNR1D7_FcY9zMnHP8iPO4M5RCRjy6nZY0TY/edi"&amp;"t#gid=0"",""Table 1: Study characteristics!B4:B171""))
)"),"wrong publication type")</f>
        <v>wrong publication type</v>
      </c>
    </row>
    <row r="1185">
      <c r="A1185" s="4" t="str">
        <f>IFERROR(__xludf.DUMMYFUNCTION("""COMPUTED_VALUE"""),"Mielomeningocele: tratamento cirúrgico e resultados")</f>
        <v>Mielomeningocele: tratamento cirúrgico e resultados</v>
      </c>
      <c r="B1185" s="5" t="str">
        <f>IFERROR(__xludf.DUMMYFUNCTION("LEFT(FILTER(IMPORTRANGE(""https://docs.google.com/spreadsheets/d/1BJSV3WBYJGRhQ6zExamkszQ5VutGIcaQqmbD9ZTVXMQ/edit#gid=1251630045"",""articles_with_PRISMA_reasons!K2:K2113""), $A1185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$A1185=IMPORTRANGE(""https://docs.google.com/spreadsheets/d/1BJSV3WBYJGRhQ6zExamkszQ5VutGIcaQqmbD9ZTVXMQ/edit#gid=1251630045"",""articles_with_PRISMA_reasons!B2:B2113"")))-1)"),"Salomäo")</f>
        <v>Salomäo</v>
      </c>
      <c r="C1185" s="6">
        <f>IFERROR(__xludf.DUMMYFUNCTION("FILTER(IMPORTRANGE(""https://docs.google.com/spreadsheets/d/1BJSV3WBYJGRhQ6zExamkszQ5VutGIcaQqmbD9ZTVXMQ/edit#gid=1251630045"",""articles_with_PRISMA_reasons!C2:C2113""), $A1185=IMPORTRANGE(""https://docs.google.com/spreadsheets/d/1BJSV3WBYJGRhQ6zExamkszQ"&amp;"5VutGIcaQqmbD9ZTVXMQ/edit#gid=1251630045"",""articles_with_PRISMA_reasons!B2:B2113""))"),1995.0)</f>
        <v>1995</v>
      </c>
      <c r="D1185" s="5" t="str">
        <f>IFERROR(__xludf.DUMMYFUNCTION("IFS(AND(
FILTER(IMPORTRANGE(""https://docs.google.com/spreadsheets/d/1BJSV3WBYJGRhQ6zExamkszQ5VutGIcaQqmbD9ZTVXMQ/edit#gid=1251630045"",""articles_with_PRISMA_reasons!Y2:Y2113""), $A1185=IMPORTRANGE(""https://docs.google.com/spreadsheets/d/1BJSV3WBYJGRhQ6"&amp;"zExamkszQ5VutGIcaQqmbD9ZTVXMQ/edit#gid=1251630045"",""articles_with_PRISMA_reasons!B2:B2113""))&gt;=2,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$A1185=IMPORTRANGE(""https://docs.google.com/spreadsheets/d/1BJSV3WBYJGRhQ6zExamkszQ5VutGIcaQqmbD9ZTVXMQ/edit#gid=1251630045"",""articles_with_PRISMA_reasons!B2:B2113""))&lt;2),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$A1185=IMPORTRANGE(""https://docs.google.com/spreadsheets/d/1BJSV3WBYJGRhQ6zExamkszQ5VutGIcaQqmbD9ZTVXMQ/edit#gid=1251630045"",""a"&amp;"rticles_with_PRISMA_reasons!B2:B2113""))&lt;2,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$A1185=IMPORTRANGE(""https://docs.google"&amp;".com/spreadsheets/d/1BJSV3WBYJGRhQ6zExamkszQ5VutGIcaQqmbD9ZTVXMQ/edit#gid=1251630045"",""articles_with_PRISMA_reasons!B2:B2113""))&gt;=2),
""Exclude""
)"),"Exclude")</f>
        <v>Exclude</v>
      </c>
      <c r="E1185" s="5" t="str">
        <f>IFERROR(__xludf.DUMMYFUNCTION("IFS(
D1185=""Exclude"",""Exclude"",
AND(
FILTER(IMPORTRANGE(""https://docs.google.com/spreadsheets/d/1qpEmbGH0JjaJbUdp21-y2cPbobDbMjr09BbtdKROZWc/edit#gid=1444865654"",""articles_with_PRISMA_reasons!W2:W2113""), $A1185=IMPORTRANGE(""https://docs.google.co"&amp;"m/spreadsheets/d/1qpEmbGH0JjaJbUdp21-y2cPbobDbMjr09BbtdKROZWc/edit#gid=1444865654"",""articles_with_PRISMA_reasons!B2:B2113""))&gt;=2,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$A1185=IMPORTRANGE(""https://docs.google.com/spreadsheets/d/1qpEmbGH0JjaJbUdp21-y2cPbobDbMjr09BbtdKROZWc/edit#gid=1444865654"",""articles_with_PRISMA_reasons!B2:B2113""))&lt;2),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$A1185=IMPORTRANGE(""https://docs.google.com/spreadsheets/d/1qpEmbGH0JjaJbUdp21-y2cPbobDbMjr09Bbtd"&amp;"KROZWc/edit#gid=1444865654"",""articles_with_PRISMA_reasons!B2:B2113""))&lt;2,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$A1185=I"&amp;"MPORTRANGE(""https://docs.google.com/spreadsheets/d/1qpEmbGH0JjaJbUdp21-y2cPbobDbMjr09BbtdKROZWc/edit#gid=1444865654"",""articles_with_PRISMA_reasons!B2:B2113""))&gt;=2),
""Exclude""
)"),"Exclude")</f>
        <v>Exclude</v>
      </c>
      <c r="F1185" s="5" t="str">
        <f>IFERROR(__xludf.DUMMYFUNCTION("IFS(
E1185=""Exclude"",""Exclude"",
AND(
COUNTIF(
IMPORTRANGE(""https://docs.google.com/spreadsheets/d/1kGrh75X1cNR1D7_FcY9zMnHP8iPO4M5RCRjy6nZY0TY/edit#gid=0"",""Table 1: Study characteristics!B4:B171""),A1185)&gt;0,
COUNTIF(Studies!$A$2:$A$85,FILTER(IMPORT"&amp;"RANGE(""https://docs.google.com/spreadsheets/d/1kGrh75X1cNR1D7_FcY9zMnHP8iPO4M5RCRjy6nZY0TY/edit#gid=0"",""Table 1: Study characteristics!A4:A171""), $A1185=IMPORTRANGE(""https://docs.google.com/spreadsheets/d/1kGrh75X1cNR1D7_FcY9zMnHP8iPO4M5RCRjy6nZY0TY/"&amp;"edit#gid=0"",""Table 1: Study characteristics!B4:B171"")))&gt;0
),
""Include""
)"),"Exclude")</f>
        <v>Exclude</v>
      </c>
      <c r="G1185" s="5" t="str">
        <f>IFERROR(__xludf.DUMMYFUNCTION("IFS(
D1185=""Exclude"",
FILTER(IMPORTRANGE(""https://docs.google.com/spreadsheets/d/1BJSV3WBYJGRhQ6zExamkszQ5VutGIcaQqmbD9ZTVXMQ/edit#gid=1251630045"",""articles_with_PRISMA_reasons!AB2:AB2113""), $A1185=IMPORTRANGE(""https://docs.google.com/spreadsheets/"&amp;"d/1BJSV3WBYJGRhQ6zExamkszQ5VutGIcaQqmbD9ZTVXMQ/edit#gid=1251630045"",""articles_with_PRISMA_reasons!B2:B2113"")),
E1185=""Exclude"",
FILTER(IMPORTRANGE(""https://docs.google.com/spreadsheets/d/1qpEmbGH0JjaJbUdp21-y2cPbobDbMjr09BbtdKROZWc/edit#gid=14448656"&amp;"54"",""articles_with_PRISMA_reasons!Z2:Z2113""), $A1185=IMPORTRANGE(""https://docs.google.com/spreadsheets/d/1qpEmbGH0JjaJbUdp21-y2cPbobDbMjr09BbtdKROZWc/edit#gid=1444865654"",""articles_with_PRISMA_reasons!B2:B2113"")),F1185
=""Include"",FILTER(IMPORTRAN"&amp;"GE(""https://docs.google.com/spreadsheets/d/1kGrh75X1cNR1D7_FcY9zMnHP8iPO4M5RCRjy6nZY0TY/edit#gid=0"",""Table 1: Study characteristics!A4:A171""), $A1185=IMPORTRANGE(""https://docs.google.com/spreadsheets/d/1kGrh75X1cNR1D7_FcY9zMnHP8iPO4M5RCRjy6nZY0TY/edi"&amp;"t#gid=0"",""Table 1: Study characteristics!B4:B171""))
)"),"wrong population")</f>
        <v>wrong population</v>
      </c>
    </row>
    <row r="1186">
      <c r="A1186" s="4" t="str">
        <f>IFERROR(__xludf.DUMMYFUNCTION("""COMPUTED_VALUE"""),"Migration of a ventriculoperitoneal shunt into the pulmonary artery")</f>
        <v>Migration of a ventriculoperitoneal shunt into the pulmonary artery</v>
      </c>
      <c r="B1186" s="5" t="str">
        <f>IFERROR(__xludf.DUMMYFUNCTION("LEFT(FILTER(IMPORTRANGE(""https://docs.google.com/spreadsheets/d/1BJSV3WBYJGRhQ6zExamkszQ5VutGIcaQqmbD9ZTVXMQ/edit#gid=1251630045"",""articles_with_PRISMA_reasons!K2:K2113""), $A1186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$A1186=IMPORTRANGE(""https://docs.google.com/spreadsheets/d/1BJSV3WBYJGRhQ6zExamkszQ5VutGIcaQqmbD9ZTVXMQ/edit#gid=1251630045"",""articles_with_PRISMA_reasons!B2:B2113"")))-1)"),"Morell")</f>
        <v>Morell</v>
      </c>
      <c r="C1186" s="6">
        <f>IFERROR(__xludf.DUMMYFUNCTION("FILTER(IMPORTRANGE(""https://docs.google.com/spreadsheets/d/1BJSV3WBYJGRhQ6zExamkszQ5VutGIcaQqmbD9ZTVXMQ/edit#gid=1251630045"",""articles_with_PRISMA_reasons!C2:C2113""), $A1186=IMPORTRANGE(""https://docs.google.com/spreadsheets/d/1BJSV3WBYJGRhQ6zExamkszQ"&amp;"5VutGIcaQqmbD9ZTVXMQ/edit#gid=1251630045"",""articles_with_PRISMA_reasons!B2:B2113""))"),1994.0)</f>
        <v>1994</v>
      </c>
      <c r="D1186" s="5" t="str">
        <f>IFERROR(__xludf.DUMMYFUNCTION("IFS(AND(
FILTER(IMPORTRANGE(""https://docs.google.com/spreadsheets/d/1BJSV3WBYJGRhQ6zExamkszQ5VutGIcaQqmbD9ZTVXMQ/edit#gid=1251630045"",""articles_with_PRISMA_reasons!Y2:Y2113""), $A1186=IMPORTRANGE(""https://docs.google.com/spreadsheets/d/1BJSV3WBYJGRhQ6"&amp;"zExamkszQ5VutGIcaQqmbD9ZTVXMQ/edit#gid=1251630045"",""articles_with_PRISMA_reasons!B2:B2113""))&gt;=2,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$A1186=IMPORTRANGE(""https://docs.google.com/spreadsheets/d/1BJSV3WBYJGRhQ6zExamkszQ5VutGIcaQqmbD9ZTVXMQ/edit#gid=1251630045"",""articles_with_PRISMA_reasons!B2:B2113""))&lt;2),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$A1186=IMPORTRANGE(""https://docs.google.com/spreadsheets/d/1BJSV3WBYJGRhQ6zExamkszQ5VutGIcaQqmbD9ZTVXMQ/edit#gid=1251630045"",""a"&amp;"rticles_with_PRISMA_reasons!B2:B2113""))&lt;2,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$A1186=IMPORTRANGE(""https://docs.google"&amp;".com/spreadsheets/d/1BJSV3WBYJGRhQ6zExamkszQ5VutGIcaQqmbD9ZTVXMQ/edit#gid=1251630045"",""articles_with_PRISMA_reasons!B2:B2113""))&gt;=2),
""Exclude""
)"),"Exclude")</f>
        <v>Exclude</v>
      </c>
      <c r="E1186" s="5" t="str">
        <f>IFERROR(__xludf.DUMMYFUNCTION("IFS(
D1186=""Exclude"",""Exclude"",
AND(
FILTER(IMPORTRANGE(""https://docs.google.com/spreadsheets/d/1qpEmbGH0JjaJbUdp21-y2cPbobDbMjr09BbtdKROZWc/edit#gid=1444865654"",""articles_with_PRISMA_reasons!W2:W2113""), $A1186=IMPORTRANGE(""https://docs.google.co"&amp;"m/spreadsheets/d/1qpEmbGH0JjaJbUdp21-y2cPbobDbMjr09BbtdKROZWc/edit#gid=1444865654"",""articles_with_PRISMA_reasons!B2:B2113""))&gt;=2,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$A1186=IMPORTRANGE(""https://docs.google.com/spreadsheets/d/1qpEmbGH0JjaJbUdp21-y2cPbobDbMjr09BbtdKROZWc/edit#gid=1444865654"",""articles_with_PRISMA_reasons!B2:B2113""))&lt;2),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$A1186=IMPORTRANGE(""https://docs.google.com/spreadsheets/d/1qpEmbGH0JjaJbUdp21-y2cPbobDbMjr09Bbtd"&amp;"KROZWc/edit#gid=1444865654"",""articles_with_PRISMA_reasons!B2:B2113""))&lt;2,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$A1186=I"&amp;"MPORTRANGE(""https://docs.google.com/spreadsheets/d/1qpEmbGH0JjaJbUdp21-y2cPbobDbMjr09BbtdKROZWc/edit#gid=1444865654"",""articles_with_PRISMA_reasons!B2:B2113""))&gt;=2),
""Exclude""
)"),"Exclude")</f>
        <v>Exclude</v>
      </c>
      <c r="F1186" s="5" t="str">
        <f>IFERROR(__xludf.DUMMYFUNCTION("IFS(
E1186=""Exclude"",""Exclude"",
AND(
COUNTIF(
IMPORTRANGE(""https://docs.google.com/spreadsheets/d/1kGrh75X1cNR1D7_FcY9zMnHP8iPO4M5RCRjy6nZY0TY/edit#gid=0"",""Table 1: Study characteristics!B4:B171""),A1186)&gt;0,
COUNTIF(Studies!$A$2:$A$85,FILTER(IMPORT"&amp;"RANGE(""https://docs.google.com/spreadsheets/d/1kGrh75X1cNR1D7_FcY9zMnHP8iPO4M5RCRjy6nZY0TY/edit#gid=0"",""Table 1: Study characteristics!A4:A171""), $A1186=IMPORTRANGE(""https://docs.google.com/spreadsheets/d/1kGrh75X1cNR1D7_FcY9zMnHP8iPO4M5RCRjy6nZY0TY/"&amp;"edit#gid=0"",""Table 1: Study characteristics!B4:B171"")))&gt;0
),
""Include""
)"),"Exclude")</f>
        <v>Exclude</v>
      </c>
      <c r="G1186" s="5" t="str">
        <f>IFERROR(__xludf.DUMMYFUNCTION("IFS(
D1186=""Exclude"",
FILTER(IMPORTRANGE(""https://docs.google.com/spreadsheets/d/1BJSV3WBYJGRhQ6zExamkszQ5VutGIcaQqmbD9ZTVXMQ/edit#gid=1251630045"",""articles_with_PRISMA_reasons!AB2:AB2113""), $A1186=IMPORTRANGE(""https://docs.google.com/spreadsheets/"&amp;"d/1BJSV3WBYJGRhQ6zExamkszQ5VutGIcaQqmbD9ZTVXMQ/edit#gid=1251630045"",""articles_with_PRISMA_reasons!B2:B2113"")),
E1186=""Exclude"",
FILTER(IMPORTRANGE(""https://docs.google.com/spreadsheets/d/1qpEmbGH0JjaJbUdp21-y2cPbobDbMjr09BbtdKROZWc/edit#gid=14448656"&amp;"54"",""articles_with_PRISMA_reasons!Z2:Z2113""), $A1186=IMPORTRANGE(""https://docs.google.com/spreadsheets/d/1qpEmbGH0JjaJbUdp21-y2cPbobDbMjr09BbtdKROZWc/edit#gid=1444865654"",""articles_with_PRISMA_reasons!B2:B2113"")),F1186
=""Include"",FILTER(IMPORTRAN"&amp;"GE(""https://docs.google.com/spreadsheets/d/1kGrh75X1cNR1D7_FcY9zMnHP8iPO4M5RCRjy6nZY0TY/edit#gid=0"",""Table 1: Study characteristics!A4:A171""), $A1186=IMPORTRANGE(""https://docs.google.com/spreadsheets/d/1kGrh75X1cNR1D7_FcY9zMnHP8iPO4M5RCRjy6nZY0TY/edi"&amp;"t#gid=0"",""Table 1: Study characteristics!B4:B171""))
)"),"wrong publication type")</f>
        <v>wrong publication type</v>
      </c>
    </row>
    <row r="1187">
      <c r="A1187" s="4" t="str">
        <f>IFERROR(__xludf.DUMMYFUNCTION("""COMPUTED_VALUE"""),"Migration of the abdominal catheter of a ventriculoperitoneal shunt into the scrotum - Case report")</f>
        <v>Migration of the abdominal catheter of a ventriculoperitoneal shunt into the scrotum - Case report</v>
      </c>
      <c r="B1187" s="5" t="str">
        <f>IFERROR(__xludf.DUMMYFUNCTION("LEFT(FILTER(IMPORTRANGE(""https://docs.google.com/spreadsheets/d/1BJSV3WBYJGRhQ6zExamkszQ5VutGIcaQqmbD9ZTVXMQ/edit#gid=1251630045"",""articles_with_PRISMA_reasons!K2:K2113""), $A1187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$A1187=IMPORTRANGE(""https://docs.google.com/spreadsheets/d/1BJSV3WBYJGRhQ6zExamkszQ5VutGIcaQqmbD9ZTVXMQ/edit#gid=1251630045"",""articles_with_PRISMA_reasons!B2:B2113"")))-1)"),"Ozveren")</f>
        <v>Ozveren</v>
      </c>
      <c r="C1187" s="6">
        <f>IFERROR(__xludf.DUMMYFUNCTION("FILTER(IMPORTRANGE(""https://docs.google.com/spreadsheets/d/1BJSV3WBYJGRhQ6zExamkszQ5VutGIcaQqmbD9ZTVXMQ/edit#gid=1251630045"",""articles_with_PRISMA_reasons!C2:C2113""), $A1187=IMPORTRANGE(""https://docs.google.com/spreadsheets/d/1BJSV3WBYJGRhQ6zExamkszQ"&amp;"5VutGIcaQqmbD9ZTVXMQ/edit#gid=1251630045"",""articles_with_PRISMA_reasons!B2:B2113""))"),1999.0)</f>
        <v>1999</v>
      </c>
      <c r="D1187" s="5" t="str">
        <f>IFERROR(__xludf.DUMMYFUNCTION("IFS(AND(
FILTER(IMPORTRANGE(""https://docs.google.com/spreadsheets/d/1BJSV3WBYJGRhQ6zExamkszQ5VutGIcaQqmbD9ZTVXMQ/edit#gid=1251630045"",""articles_with_PRISMA_reasons!Y2:Y2113""), $A1187=IMPORTRANGE(""https://docs.google.com/spreadsheets/d/1BJSV3WBYJGRhQ6"&amp;"zExamkszQ5VutGIcaQqmbD9ZTVXMQ/edit#gid=1251630045"",""articles_with_PRISMA_reasons!B2:B2113""))&gt;=2,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$A1187=IMPORTRANGE(""https://docs.google.com/spreadsheets/d/1BJSV3WBYJGRhQ6zExamkszQ5VutGIcaQqmbD9ZTVXMQ/edit#gid=1251630045"",""articles_with_PRISMA_reasons!B2:B2113""))&lt;2),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$A1187=IMPORTRANGE(""https://docs.google.com/spreadsheets/d/1BJSV3WBYJGRhQ6zExamkszQ5VutGIcaQqmbD9ZTVXMQ/edit#gid=1251630045"",""a"&amp;"rticles_with_PRISMA_reasons!B2:B2113""))&lt;2,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$A1187=IMPORTRANGE(""https://docs.google"&amp;".com/spreadsheets/d/1BJSV3WBYJGRhQ6zExamkszQ5VutGIcaQqmbD9ZTVXMQ/edit#gid=1251630045"",""articles_with_PRISMA_reasons!B2:B2113""))&gt;=2),
""Exclude""
)"),"Exclude")</f>
        <v>Exclude</v>
      </c>
      <c r="E1187" s="5" t="str">
        <f>IFERROR(__xludf.DUMMYFUNCTION("IFS(
D1187=""Exclude"",""Exclude"",
AND(
FILTER(IMPORTRANGE(""https://docs.google.com/spreadsheets/d/1qpEmbGH0JjaJbUdp21-y2cPbobDbMjr09BbtdKROZWc/edit#gid=1444865654"",""articles_with_PRISMA_reasons!W2:W2113""), $A1187=IMPORTRANGE(""https://docs.google.co"&amp;"m/spreadsheets/d/1qpEmbGH0JjaJbUdp21-y2cPbobDbMjr09BbtdKROZWc/edit#gid=1444865654"",""articles_with_PRISMA_reasons!B2:B2113""))&gt;=2,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$A1187=IMPORTRANGE(""https://docs.google.com/spreadsheets/d/1qpEmbGH0JjaJbUdp21-y2cPbobDbMjr09BbtdKROZWc/edit#gid=1444865654"",""articles_with_PRISMA_reasons!B2:B2113""))&lt;2),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$A1187=IMPORTRANGE(""https://docs.google.com/spreadsheets/d/1qpEmbGH0JjaJbUdp21-y2cPbobDbMjr09Bbtd"&amp;"KROZWc/edit#gid=1444865654"",""articles_with_PRISMA_reasons!B2:B2113""))&lt;2,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$A1187=I"&amp;"MPORTRANGE(""https://docs.google.com/spreadsheets/d/1qpEmbGH0JjaJbUdp21-y2cPbobDbMjr09BbtdKROZWc/edit#gid=1444865654"",""articles_with_PRISMA_reasons!B2:B2113""))&gt;=2),
""Exclude""
)"),"Exclude")</f>
        <v>Exclude</v>
      </c>
      <c r="F1187" s="5" t="str">
        <f>IFERROR(__xludf.DUMMYFUNCTION("IFS(
E1187=""Exclude"",""Exclude"",
AND(
COUNTIF(
IMPORTRANGE(""https://docs.google.com/spreadsheets/d/1kGrh75X1cNR1D7_FcY9zMnHP8iPO4M5RCRjy6nZY0TY/edit#gid=0"",""Table 1: Study characteristics!B4:B171""),A1187)&gt;0,
COUNTIF(Studies!$A$2:$A$85,FILTER(IMPORT"&amp;"RANGE(""https://docs.google.com/spreadsheets/d/1kGrh75X1cNR1D7_FcY9zMnHP8iPO4M5RCRjy6nZY0TY/edit#gid=0"",""Table 1: Study characteristics!A4:A171""), $A1187=IMPORTRANGE(""https://docs.google.com/spreadsheets/d/1kGrh75X1cNR1D7_FcY9zMnHP8iPO4M5RCRjy6nZY0TY/"&amp;"edit#gid=0"",""Table 1: Study characteristics!B4:B171"")))&gt;0
),
""Include""
)"),"Exclude")</f>
        <v>Exclude</v>
      </c>
      <c r="G1187" s="5" t="str">
        <f>IFERROR(__xludf.DUMMYFUNCTION("IFS(
D1187=""Exclude"",
FILTER(IMPORTRANGE(""https://docs.google.com/spreadsheets/d/1BJSV3WBYJGRhQ6zExamkszQ5VutGIcaQqmbD9ZTVXMQ/edit#gid=1251630045"",""articles_with_PRISMA_reasons!AB2:AB2113""), $A1187=IMPORTRANGE(""https://docs.google.com/spreadsheets/"&amp;"d/1BJSV3WBYJGRhQ6zExamkszQ5VutGIcaQqmbD9ZTVXMQ/edit#gid=1251630045"",""articles_with_PRISMA_reasons!B2:B2113"")),
E1187=""Exclude"",
FILTER(IMPORTRANGE(""https://docs.google.com/spreadsheets/d/1qpEmbGH0JjaJbUdp21-y2cPbobDbMjr09BbtdKROZWc/edit#gid=14448656"&amp;"54"",""articles_with_PRISMA_reasons!Z2:Z2113""), $A1187=IMPORTRANGE(""https://docs.google.com/spreadsheets/d/1qpEmbGH0JjaJbUdp21-y2cPbobDbMjr09BbtdKROZWc/edit#gid=1444865654"",""articles_with_PRISMA_reasons!B2:B2113"")),F1187
=""Include"",FILTER(IMPORTRAN"&amp;"GE(""https://docs.google.com/spreadsheets/d/1kGrh75X1cNR1D7_FcY9zMnHP8iPO4M5RCRjy6nZY0TY/edit#gid=0"",""Table 1: Study characteristics!A4:A171""), $A1187=IMPORTRANGE(""https://docs.google.com/spreadsheets/d/1kGrh75X1cNR1D7_FcY9zMnHP8iPO4M5RCRjy6nZY0TY/edi"&amp;"t#gid=0"",""Table 1: Study characteristics!B4:B171""))
)"),"Duplicate")</f>
        <v>Duplicate</v>
      </c>
    </row>
    <row r="1188">
      <c r="A1188" s="4" t="str">
        <f>IFERROR(__xludf.DUMMYFUNCTION("""COMPUTED_VALUE"""),"Migration of ventriculoperitoneal shunt into a hernia sac: An unusual complication of ventriculoperitoneal shunt surgery in children")</f>
        <v>Migration of ventriculoperitoneal shunt into a hernia sac: An unusual complication of ventriculoperitoneal shunt surgery in children</v>
      </c>
      <c r="B1188" s="5" t="str">
        <f>IFERROR(__xludf.DUMMYFUNCTION("LEFT(FILTER(IMPORTRANGE(""https://docs.google.com/spreadsheets/d/1BJSV3WBYJGRhQ6zExamkszQ5VutGIcaQqmbD9ZTVXMQ/edit#gid=1251630045"",""articles_with_PRISMA_reasons!K2:K2113""), $A1188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$A1188=IMPORTRANGE(""https://docs.google.com/spreadsheets/d/1BJSV3WBYJGRhQ6zExamkszQ5VutGIcaQqmbD9ZTVXMQ/edit#gid=1251630045"",""articles_with_PRISMA_reasons!B2:B2113"")))-1)"),"Singh")</f>
        <v>Singh</v>
      </c>
      <c r="C1188" s="6">
        <f>IFERROR(__xludf.DUMMYFUNCTION("FILTER(IMPORTRANGE(""https://docs.google.com/spreadsheets/d/1BJSV3WBYJGRhQ6zExamkszQ5VutGIcaQqmbD9ZTVXMQ/edit#gid=1251630045"",""articles_with_PRISMA_reasons!C2:C2113""), $A1188=IMPORTRANGE(""https://docs.google.com/spreadsheets/d/1BJSV3WBYJGRhQ6zExamkszQ"&amp;"5VutGIcaQqmbD9ZTVXMQ/edit#gid=1251630045"",""articles_with_PRISMA_reasons!B2:B2113""))"),2016.0)</f>
        <v>2016</v>
      </c>
      <c r="D1188" s="5" t="str">
        <f>IFERROR(__xludf.DUMMYFUNCTION("IFS(AND(
FILTER(IMPORTRANGE(""https://docs.google.com/spreadsheets/d/1BJSV3WBYJGRhQ6zExamkszQ5VutGIcaQqmbD9ZTVXMQ/edit#gid=1251630045"",""articles_with_PRISMA_reasons!Y2:Y2113""), $A1188=IMPORTRANGE(""https://docs.google.com/spreadsheets/d/1BJSV3WBYJGRhQ6"&amp;"zExamkszQ5VutGIcaQqmbD9ZTVXMQ/edit#gid=1251630045"",""articles_with_PRISMA_reasons!B2:B2113""))&gt;=2,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$A1188=IMPORTRANGE(""https://docs.google.com/spreadsheets/d/1BJSV3WBYJGRhQ6zExamkszQ5VutGIcaQqmbD9ZTVXMQ/edit#gid=1251630045"",""articles_with_PRISMA_reasons!B2:B2113""))&lt;2),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$A1188=IMPORTRANGE(""https://docs.google.com/spreadsheets/d/1BJSV3WBYJGRhQ6zExamkszQ5VutGIcaQqmbD9ZTVXMQ/edit#gid=1251630045"",""a"&amp;"rticles_with_PRISMA_reasons!B2:B2113""))&lt;2,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$A1188=IMPORTRANGE(""https://docs.google"&amp;".com/spreadsheets/d/1BJSV3WBYJGRhQ6zExamkszQ5VutGIcaQqmbD9ZTVXMQ/edit#gid=1251630045"",""articles_with_PRISMA_reasons!B2:B2113""))&gt;=2),
""Exclude""
)"),"Exclude")</f>
        <v>Exclude</v>
      </c>
      <c r="E1188" s="5" t="str">
        <f>IFERROR(__xludf.DUMMYFUNCTION("IFS(
D1188=""Exclude"",""Exclude"",
AND(
FILTER(IMPORTRANGE(""https://docs.google.com/spreadsheets/d/1qpEmbGH0JjaJbUdp21-y2cPbobDbMjr09BbtdKROZWc/edit#gid=1444865654"",""articles_with_PRISMA_reasons!W2:W2113""), $A1188=IMPORTRANGE(""https://docs.google.co"&amp;"m/spreadsheets/d/1qpEmbGH0JjaJbUdp21-y2cPbobDbMjr09BbtdKROZWc/edit#gid=1444865654"",""articles_with_PRISMA_reasons!B2:B2113""))&gt;=2,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$A1188=IMPORTRANGE(""https://docs.google.com/spreadsheets/d/1qpEmbGH0JjaJbUdp21-y2cPbobDbMjr09BbtdKROZWc/edit#gid=1444865654"",""articles_with_PRISMA_reasons!B2:B2113""))&lt;2),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$A1188=IMPORTRANGE(""https://docs.google.com/spreadsheets/d/1qpEmbGH0JjaJbUdp21-y2cPbobDbMjr09Bbtd"&amp;"KROZWc/edit#gid=1444865654"",""articles_with_PRISMA_reasons!B2:B2113""))&lt;2,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$A1188=I"&amp;"MPORTRANGE(""https://docs.google.com/spreadsheets/d/1qpEmbGH0JjaJbUdp21-y2cPbobDbMjr09BbtdKROZWc/edit#gid=1444865654"",""articles_with_PRISMA_reasons!B2:B2113""))&gt;=2),
""Exclude""
)"),"Exclude")</f>
        <v>Exclude</v>
      </c>
      <c r="F1188" s="5" t="str">
        <f>IFERROR(__xludf.DUMMYFUNCTION("IFS(
E1188=""Exclude"",""Exclude"",
AND(
COUNTIF(
IMPORTRANGE(""https://docs.google.com/spreadsheets/d/1kGrh75X1cNR1D7_FcY9zMnHP8iPO4M5RCRjy6nZY0TY/edit#gid=0"",""Table 1: Study characteristics!B4:B171""),A1188)&gt;0,
COUNTIF(Studies!$A$2:$A$85,FILTER(IMPORT"&amp;"RANGE(""https://docs.google.com/spreadsheets/d/1kGrh75X1cNR1D7_FcY9zMnHP8iPO4M5RCRjy6nZY0TY/edit#gid=0"",""Table 1: Study characteristics!A4:A171""), $A1188=IMPORTRANGE(""https://docs.google.com/spreadsheets/d/1kGrh75X1cNR1D7_FcY9zMnHP8iPO4M5RCRjy6nZY0TY/"&amp;"edit#gid=0"",""Table 1: Study characteristics!B4:B171"")))&gt;0
),
""Include""
)"),"Exclude")</f>
        <v>Exclude</v>
      </c>
      <c r="G1188" s="5" t="str">
        <f>IFERROR(__xludf.DUMMYFUNCTION("IFS(
D1188=""Exclude"",
FILTER(IMPORTRANGE(""https://docs.google.com/spreadsheets/d/1BJSV3WBYJGRhQ6zExamkszQ5VutGIcaQqmbD9ZTVXMQ/edit#gid=1251630045"",""articles_with_PRISMA_reasons!AB2:AB2113""), $A1188=IMPORTRANGE(""https://docs.google.com/spreadsheets/"&amp;"d/1BJSV3WBYJGRhQ6zExamkszQ5VutGIcaQqmbD9ZTVXMQ/edit#gid=1251630045"",""articles_with_PRISMA_reasons!B2:B2113"")),
E1188=""Exclude"",
FILTER(IMPORTRANGE(""https://docs.google.com/spreadsheets/d/1qpEmbGH0JjaJbUdp21-y2cPbobDbMjr09BbtdKROZWc/edit#gid=14448656"&amp;"54"",""articles_with_PRISMA_reasons!Z2:Z2113""), $A1188=IMPORTRANGE(""https://docs.google.com/spreadsheets/d/1qpEmbGH0JjaJbUdp21-y2cPbobDbMjr09BbtdKROZWc/edit#gid=1444865654"",""articles_with_PRISMA_reasons!B2:B2113"")),F1188
=""Include"",FILTER(IMPORTRAN"&amp;"GE(""https://docs.google.com/spreadsheets/d/1kGrh75X1cNR1D7_FcY9zMnHP8iPO4M5RCRjy6nZY0TY/edit#gid=0"",""Table 1: Study characteristics!A4:A171""), $A1188=IMPORTRANGE(""https://docs.google.com/spreadsheets/d/1kGrh75X1cNR1D7_FcY9zMnHP8iPO4M5RCRjy6nZY0TY/edi"&amp;"t#gid=0"",""Table 1: Study characteristics!B4:B171""))
)"),"wrong population")</f>
        <v>wrong population</v>
      </c>
    </row>
    <row r="1189">
      <c r="A1189" s="4" t="str">
        <f>IFERROR(__xludf.DUMMYFUNCTION("""COMPUTED_VALUE"""),"Minimal invasive fetoscopic closure of myelomeningocele. Case report and interdisciplinary follow up care")</f>
        <v>Minimal invasive fetoscopic closure of myelomeningocele. Case report and interdisciplinary follow up care</v>
      </c>
      <c r="B1189" s="5" t="str">
        <f>IFERROR(__xludf.DUMMYFUNCTION("LEFT(FILTER(IMPORTRANGE(""https://docs.google.com/spreadsheets/d/1BJSV3WBYJGRhQ6zExamkszQ5VutGIcaQqmbD9ZTVXMQ/edit#gid=1251630045"",""articles_with_PRISMA_reasons!K2:K2113""), $A1189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$A1189=IMPORTRANGE(""https://docs.google.com/spreadsheets/d/1BJSV3WBYJGRhQ6zExamkszQ5VutGIcaQqmbD9ZTVXMQ/edit#gid=1251630045"",""articles_with_PRISMA_reasons!B2:B2113"")))-1)"),"Koch")</f>
        <v>Koch</v>
      </c>
      <c r="C1189" s="6">
        <f>IFERROR(__xludf.DUMMYFUNCTION("FILTER(IMPORTRANGE(""https://docs.google.com/spreadsheets/d/1BJSV3WBYJGRhQ6zExamkszQ5VutGIcaQqmbD9ZTVXMQ/edit#gid=1251630045"",""articles_with_PRISMA_reasons!C2:C2113""), $A1189=IMPORTRANGE(""https://docs.google.com/spreadsheets/d/1BJSV3WBYJGRhQ6zExamkszQ"&amp;"5VutGIcaQqmbD9ZTVXMQ/edit#gid=1251630045"",""articles_with_PRISMA_reasons!B2:B2113""))"),2013.0)</f>
        <v>2013</v>
      </c>
      <c r="D1189" s="5" t="str">
        <f>IFERROR(__xludf.DUMMYFUNCTION("IFS(AND(
FILTER(IMPORTRANGE(""https://docs.google.com/spreadsheets/d/1BJSV3WBYJGRhQ6zExamkszQ5VutGIcaQqmbD9ZTVXMQ/edit#gid=1251630045"",""articles_with_PRISMA_reasons!Y2:Y2113""), $A1189=IMPORTRANGE(""https://docs.google.com/spreadsheets/d/1BJSV3WBYJGRhQ6"&amp;"zExamkszQ5VutGIcaQqmbD9ZTVXMQ/edit#gid=1251630045"",""articles_with_PRISMA_reasons!B2:B2113""))&gt;=2,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$A1189=IMPORTRANGE(""https://docs.google.com/spreadsheets/d/1BJSV3WBYJGRhQ6zExamkszQ5VutGIcaQqmbD9ZTVXMQ/edit#gid=1251630045"",""articles_with_PRISMA_reasons!B2:B2113""))&lt;2),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$A1189=IMPORTRANGE(""https://docs.google.com/spreadsheets/d/1BJSV3WBYJGRhQ6zExamkszQ5VutGIcaQqmbD9ZTVXMQ/edit#gid=1251630045"",""a"&amp;"rticles_with_PRISMA_reasons!B2:B2113""))&lt;2,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$A1189=IMPORTRANGE(""https://docs.google"&amp;".com/spreadsheets/d/1BJSV3WBYJGRhQ6zExamkszQ5VutGIcaQqmbD9ZTVXMQ/edit#gid=1251630045"",""articles_with_PRISMA_reasons!B2:B2113""))&gt;=2),
""Exclude""
)"),"Exclude")</f>
        <v>Exclude</v>
      </c>
      <c r="E1189" s="5" t="str">
        <f>IFERROR(__xludf.DUMMYFUNCTION("IFS(
D1189=""Exclude"",""Exclude"",
AND(
FILTER(IMPORTRANGE(""https://docs.google.com/spreadsheets/d/1qpEmbGH0JjaJbUdp21-y2cPbobDbMjr09BbtdKROZWc/edit#gid=1444865654"",""articles_with_PRISMA_reasons!W2:W2113""), $A1189=IMPORTRANGE(""https://docs.google.co"&amp;"m/spreadsheets/d/1qpEmbGH0JjaJbUdp21-y2cPbobDbMjr09BbtdKROZWc/edit#gid=1444865654"",""articles_with_PRISMA_reasons!B2:B2113""))&gt;=2,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$A1189=IMPORTRANGE(""https://docs.google.com/spreadsheets/d/1qpEmbGH0JjaJbUdp21-y2cPbobDbMjr09BbtdKROZWc/edit#gid=1444865654"",""articles_with_PRISMA_reasons!B2:B2113""))&lt;2),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$A1189=IMPORTRANGE(""https://docs.google.com/spreadsheets/d/1qpEmbGH0JjaJbUdp21-y2cPbobDbMjr09Bbtd"&amp;"KROZWc/edit#gid=1444865654"",""articles_with_PRISMA_reasons!B2:B2113""))&lt;2,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$A1189=I"&amp;"MPORTRANGE(""https://docs.google.com/spreadsheets/d/1qpEmbGH0JjaJbUdp21-y2cPbobDbMjr09BbtdKROZWc/edit#gid=1444865654"",""articles_with_PRISMA_reasons!B2:B2113""))&gt;=2),
""Exclude""
)"),"Exclude")</f>
        <v>Exclude</v>
      </c>
      <c r="F1189" s="5" t="str">
        <f>IFERROR(__xludf.DUMMYFUNCTION("IFS(
E1189=""Exclude"",""Exclude"",
AND(
COUNTIF(
IMPORTRANGE(""https://docs.google.com/spreadsheets/d/1kGrh75X1cNR1D7_FcY9zMnHP8iPO4M5RCRjy6nZY0TY/edit#gid=0"",""Table 1: Study characteristics!B4:B171""),A1189)&gt;0,
COUNTIF(Studies!$A$2:$A$85,FILTER(IMPORT"&amp;"RANGE(""https://docs.google.com/spreadsheets/d/1kGrh75X1cNR1D7_FcY9zMnHP8iPO4M5RCRjy6nZY0TY/edit#gid=0"",""Table 1: Study characteristics!A4:A171""), $A1189=IMPORTRANGE(""https://docs.google.com/spreadsheets/d/1kGrh75X1cNR1D7_FcY9zMnHP8iPO4M5RCRjy6nZY0TY/"&amp;"edit#gid=0"",""Table 1: Study characteristics!B4:B171"")))&gt;0
),
""Include""
)"),"Exclude")</f>
        <v>Exclude</v>
      </c>
      <c r="G1189" s="5" t="str">
        <f>IFERROR(__xludf.DUMMYFUNCTION("IFS(
D1189=""Exclude"",
FILTER(IMPORTRANGE(""https://docs.google.com/spreadsheets/d/1BJSV3WBYJGRhQ6zExamkszQ5VutGIcaQqmbD9ZTVXMQ/edit#gid=1251630045"",""articles_with_PRISMA_reasons!AB2:AB2113""), $A1189=IMPORTRANGE(""https://docs.google.com/spreadsheets/"&amp;"d/1BJSV3WBYJGRhQ6zExamkszQ5VutGIcaQqmbD9ZTVXMQ/edit#gid=1251630045"",""articles_with_PRISMA_reasons!B2:B2113"")),
E1189=""Exclude"",
FILTER(IMPORTRANGE(""https://docs.google.com/spreadsheets/d/1qpEmbGH0JjaJbUdp21-y2cPbobDbMjr09BbtdKROZWc/edit#gid=14448656"&amp;"54"",""articles_with_PRISMA_reasons!Z2:Z2113""), $A1189=IMPORTRANGE(""https://docs.google.com/spreadsheets/d/1qpEmbGH0JjaJbUdp21-y2cPbobDbMjr09BbtdKROZWc/edit#gid=1444865654"",""articles_with_PRISMA_reasons!B2:B2113"")),F1189
=""Include"",FILTER(IMPORTRAN"&amp;"GE(""https://docs.google.com/spreadsheets/d/1kGrh75X1cNR1D7_FcY9zMnHP8iPO4M5RCRjy6nZY0TY/edit#gid=0"",""Table 1: Study characteristics!A4:A171""), $A1189=IMPORTRANGE(""https://docs.google.com/spreadsheets/d/1kGrh75X1cNR1D7_FcY9zMnHP8iPO4M5RCRjy6nZY0TY/edi"&amp;"t#gid=0"",""Table 1: Study characteristics!B4:B171""))
)"),"wrong publication type")</f>
        <v>wrong publication type</v>
      </c>
    </row>
    <row r="1190">
      <c r="A1190" s="4" t="str">
        <f>IFERROR(__xludf.DUMMYFUNCTION("""COMPUTED_VALUE"""),"Minimally invasive fetal surgery for myelomeningocele: preliminary report from a single center")</f>
        <v>Minimally invasive fetal surgery for myelomeningocele: preliminary report from a single center</v>
      </c>
      <c r="B1190" s="5" t="str">
        <f>IFERROR(__xludf.DUMMYFUNCTION("LEFT(FILTER(IMPORTRANGE(""https://docs.google.com/spreadsheets/d/1BJSV3WBYJGRhQ6zExamkszQ5VutGIcaQqmbD9ZTVXMQ/edit#gid=1251630045"",""articles_with_PRISMA_reasons!K2:K2113""), $A1190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$A1190=IMPORTRANGE(""https://docs.google.com/spreadsheets/d/1BJSV3WBYJGRhQ6zExamkszQ5VutGIcaQqmbD9ZTVXMQ/edit#gid=1251630045"",""articles_with_PRISMA_reasons!B2:B2113"")))-1)"),"Carrabba")</f>
        <v>Carrabba</v>
      </c>
      <c r="C1190" s="6">
        <f>IFERROR(__xludf.DUMMYFUNCTION("FILTER(IMPORTRANGE(""https://docs.google.com/spreadsheets/d/1BJSV3WBYJGRhQ6zExamkszQ5VutGIcaQqmbD9ZTVXMQ/edit#gid=1251630045"",""articles_with_PRISMA_reasons!C2:C2113""), $A1190=IMPORTRANGE(""https://docs.google.com/spreadsheets/d/1BJSV3WBYJGRhQ6zExamkszQ"&amp;"5VutGIcaQqmbD9ZTVXMQ/edit#gid=1251630045"",""articles_with_PRISMA_reasons!B2:B2113""))"),2019.0)</f>
        <v>2019</v>
      </c>
      <c r="D1190" s="5" t="str">
        <f>IFERROR(__xludf.DUMMYFUNCTION("IFS(AND(
FILTER(IMPORTRANGE(""https://docs.google.com/spreadsheets/d/1BJSV3WBYJGRhQ6zExamkszQ5VutGIcaQqmbD9ZTVXMQ/edit#gid=1251630045"",""articles_with_PRISMA_reasons!Y2:Y2113""), $A1190=IMPORTRANGE(""https://docs.google.com/spreadsheets/d/1BJSV3WBYJGRhQ6"&amp;"zExamkszQ5VutGIcaQqmbD9ZTVXMQ/edit#gid=1251630045"",""articles_with_PRISMA_reasons!B2:B2113""))&gt;=2,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$A1190=IMPORTRANGE(""https://docs.google.com/spreadsheets/d/1BJSV3WBYJGRhQ6zExamkszQ5VutGIcaQqmbD9ZTVXMQ/edit#gid=1251630045"",""articles_with_PRISMA_reasons!B2:B2113""))&lt;2),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$A1190=IMPORTRANGE(""https://docs.google.com/spreadsheets/d/1BJSV3WBYJGRhQ6zExamkszQ5VutGIcaQqmbD9ZTVXMQ/edit#gid=1251630045"",""a"&amp;"rticles_with_PRISMA_reasons!B2:B2113""))&lt;2,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$A1190=IMPORTRANGE(""https://docs.google"&amp;".com/spreadsheets/d/1BJSV3WBYJGRhQ6zExamkszQ5VutGIcaQqmbD9ZTVXMQ/edit#gid=1251630045"",""articles_with_PRISMA_reasons!B2:B2113""))&gt;=2),
""Exclude""
)"),"Exclude")</f>
        <v>Exclude</v>
      </c>
      <c r="E1190" s="5" t="str">
        <f>IFERROR(__xludf.DUMMYFUNCTION("IFS(
D1190=""Exclude"",""Exclude"",
AND(
FILTER(IMPORTRANGE(""https://docs.google.com/spreadsheets/d/1qpEmbGH0JjaJbUdp21-y2cPbobDbMjr09BbtdKROZWc/edit#gid=1444865654"",""articles_with_PRISMA_reasons!W2:W2113""), $A1190=IMPORTRANGE(""https://docs.google.co"&amp;"m/spreadsheets/d/1qpEmbGH0JjaJbUdp21-y2cPbobDbMjr09BbtdKROZWc/edit#gid=1444865654"",""articles_with_PRISMA_reasons!B2:B2113""))&gt;=2,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$A1190=IMPORTRANGE(""https://docs.google.com/spreadsheets/d/1qpEmbGH0JjaJbUdp21-y2cPbobDbMjr09BbtdKROZWc/edit#gid=1444865654"",""articles_with_PRISMA_reasons!B2:B2113""))&lt;2),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$A1190=IMPORTRANGE(""https://docs.google.com/spreadsheets/d/1qpEmbGH0JjaJbUdp21-y2cPbobDbMjr09Bbtd"&amp;"KROZWc/edit#gid=1444865654"",""articles_with_PRISMA_reasons!B2:B2113""))&lt;2,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$A1190=I"&amp;"MPORTRANGE(""https://docs.google.com/spreadsheets/d/1qpEmbGH0JjaJbUdp21-y2cPbobDbMjr09BbtdKROZWc/edit#gid=1444865654"",""articles_with_PRISMA_reasons!B2:B2113""))&gt;=2),
""Exclude""
)"),"Exclude")</f>
        <v>Exclude</v>
      </c>
      <c r="F1190" s="5" t="str">
        <f>IFERROR(__xludf.DUMMYFUNCTION("IFS(
E1190=""Exclude"",""Exclude"",
AND(
COUNTIF(
IMPORTRANGE(""https://docs.google.com/spreadsheets/d/1kGrh75X1cNR1D7_FcY9zMnHP8iPO4M5RCRjy6nZY0TY/edit#gid=0"",""Table 1: Study characteristics!B4:B171""),A1190)&gt;0,
COUNTIF(Studies!$A$2:$A$85,FILTER(IMPORT"&amp;"RANGE(""https://docs.google.com/spreadsheets/d/1kGrh75X1cNR1D7_FcY9zMnHP8iPO4M5RCRjy6nZY0TY/edit#gid=0"",""Table 1: Study characteristics!A4:A171""), $A1190=IMPORTRANGE(""https://docs.google.com/spreadsheets/d/1kGrh75X1cNR1D7_FcY9zMnHP8iPO4M5RCRjy6nZY0TY/"&amp;"edit#gid=0"",""Table 1: Study characteristics!B4:B171"")))&gt;0
),
""Include""
)"),"Exclude")</f>
        <v>Exclude</v>
      </c>
      <c r="G1190" s="5" t="str">
        <f>IFERROR(__xludf.DUMMYFUNCTION("IFS(
D1190=""Exclude"",
FILTER(IMPORTRANGE(""https://docs.google.com/spreadsheets/d/1BJSV3WBYJGRhQ6zExamkszQ5VutGIcaQqmbD9ZTVXMQ/edit#gid=1251630045"",""articles_with_PRISMA_reasons!AB2:AB2113""), $A1190=IMPORTRANGE(""https://docs.google.com/spreadsheets/"&amp;"d/1BJSV3WBYJGRhQ6zExamkszQ5VutGIcaQqmbD9ZTVXMQ/edit#gid=1251630045"",""articles_with_PRISMA_reasons!B2:B2113"")),
E1190=""Exclude"",
FILTER(IMPORTRANGE(""https://docs.google.com/spreadsheets/d/1qpEmbGH0JjaJbUdp21-y2cPbobDbMjr09BbtdKROZWc/edit#gid=14448656"&amp;"54"",""articles_with_PRISMA_reasons!Z2:Z2113""), $A1190=IMPORTRANGE(""https://docs.google.com/spreadsheets/d/1qpEmbGH0JjaJbUdp21-y2cPbobDbMjr09BbtdKROZWc/edit#gid=1444865654"",""articles_with_PRISMA_reasons!B2:B2113"")),F1190
=""Include"",FILTER(IMPORTRAN"&amp;"GE(""https://docs.google.com/spreadsheets/d/1kGrh75X1cNR1D7_FcY9zMnHP8iPO4M5RCRjy6nZY0TY/edit#gid=0"",""Table 1: Study characteristics!A4:A171""), $A1190=IMPORTRANGE(""https://docs.google.com/spreadsheets/d/1kGrh75X1cNR1D7_FcY9zMnHP8iPO4M5RCRjy6nZY0TY/edi"&amp;"t#gid=0"",""Table 1: Study characteristics!B4:B171""))
)"),"Ante-natal intervention")</f>
        <v>Ante-natal intervention</v>
      </c>
    </row>
    <row r="1191">
      <c r="A1191" s="4" t="str">
        <f>IFERROR(__xludf.DUMMYFUNCTION("""COMPUTED_VALUE"""),"Minimally invasive procedure for removal of infected ventriculoatrial shunts")</f>
        <v>Minimally invasive procedure for removal of infected ventriculoatrial shunts</v>
      </c>
      <c r="B1191" s="5" t="str">
        <f>IFERROR(__xludf.DUMMYFUNCTION("LEFT(FILTER(IMPORTRANGE(""https://docs.google.com/spreadsheets/d/1BJSV3WBYJGRhQ6zExamkszQ5VutGIcaQqmbD9ZTVXMQ/edit#gid=1251630045"",""articles_with_PRISMA_reasons!K2:K2113""), $A1191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$A1191=IMPORTRANGE(""https://docs.google.com/spreadsheets/d/1BJSV3WBYJGRhQ6zExamkszQ5VutGIcaQqmbD9ZTVXMQ/edit#gid=1251630045"",""articles_with_PRISMA_reasons!B2:B2113"")))-1)"),"Magrassi")</f>
        <v>Magrassi</v>
      </c>
      <c r="C1191" s="6">
        <f>IFERROR(__xludf.DUMMYFUNCTION("FILTER(IMPORTRANGE(""https://docs.google.com/spreadsheets/d/1BJSV3WBYJGRhQ6zExamkszQ5VutGIcaQqmbD9ZTVXMQ/edit#gid=1251630045"",""articles_with_PRISMA_reasons!C2:C2113""), $A1191=IMPORTRANGE(""https://docs.google.com/spreadsheets/d/1BJSV3WBYJGRhQ6zExamkszQ"&amp;"5VutGIcaQqmbD9ZTVXMQ/edit#gid=1251630045"",""articles_with_PRISMA_reasons!B2:B2113""))"),2021.0)</f>
        <v>2021</v>
      </c>
      <c r="D1191" s="5" t="str">
        <f>IFERROR(__xludf.DUMMYFUNCTION("IFS(AND(
FILTER(IMPORTRANGE(""https://docs.google.com/spreadsheets/d/1BJSV3WBYJGRhQ6zExamkszQ5VutGIcaQqmbD9ZTVXMQ/edit#gid=1251630045"",""articles_with_PRISMA_reasons!Y2:Y2113""), $A1191=IMPORTRANGE(""https://docs.google.com/spreadsheets/d/1BJSV3WBYJGRhQ6"&amp;"zExamkszQ5VutGIcaQqmbD9ZTVXMQ/edit#gid=1251630045"",""articles_with_PRISMA_reasons!B2:B2113""))&gt;=2,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$A1191=IMPORTRANGE(""https://docs.google.com/spreadsheets/d/1BJSV3WBYJGRhQ6zExamkszQ5VutGIcaQqmbD9ZTVXMQ/edit#gid=1251630045"",""articles_with_PRISMA_reasons!B2:B2113""))&lt;2),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$A1191=IMPORTRANGE(""https://docs.google.com/spreadsheets/d/1BJSV3WBYJGRhQ6zExamkszQ5VutGIcaQqmbD9ZTVXMQ/edit#gid=1251630045"",""a"&amp;"rticles_with_PRISMA_reasons!B2:B2113""))&lt;2,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$A1191=IMPORTRANGE(""https://docs.google"&amp;".com/spreadsheets/d/1BJSV3WBYJGRhQ6zExamkszQ5VutGIcaQqmbD9ZTVXMQ/edit#gid=1251630045"",""articles_with_PRISMA_reasons!B2:B2113""))&gt;=2),
""Exclude""
)"),"Exclude")</f>
        <v>Exclude</v>
      </c>
      <c r="E1191" s="5" t="str">
        <f>IFERROR(__xludf.DUMMYFUNCTION("IFS(
D1191=""Exclude"",""Exclude"",
AND(
FILTER(IMPORTRANGE(""https://docs.google.com/spreadsheets/d/1qpEmbGH0JjaJbUdp21-y2cPbobDbMjr09BbtdKROZWc/edit#gid=1444865654"",""articles_with_PRISMA_reasons!W2:W2113""), $A1191=IMPORTRANGE(""https://docs.google.co"&amp;"m/spreadsheets/d/1qpEmbGH0JjaJbUdp21-y2cPbobDbMjr09BbtdKROZWc/edit#gid=1444865654"",""articles_with_PRISMA_reasons!B2:B2113""))&gt;=2,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$A1191=IMPORTRANGE(""https://docs.google.com/spreadsheets/d/1qpEmbGH0JjaJbUdp21-y2cPbobDbMjr09BbtdKROZWc/edit#gid=1444865654"",""articles_with_PRISMA_reasons!B2:B2113""))&lt;2),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$A1191=IMPORTRANGE(""https://docs.google.com/spreadsheets/d/1qpEmbGH0JjaJbUdp21-y2cPbobDbMjr09Bbtd"&amp;"KROZWc/edit#gid=1444865654"",""articles_with_PRISMA_reasons!B2:B2113""))&lt;2,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$A1191=I"&amp;"MPORTRANGE(""https://docs.google.com/spreadsheets/d/1qpEmbGH0JjaJbUdp21-y2cPbobDbMjr09BbtdKROZWc/edit#gid=1444865654"",""articles_with_PRISMA_reasons!B2:B2113""))&gt;=2),
""Exclude""
)"),"Exclude")</f>
        <v>Exclude</v>
      </c>
      <c r="F1191" s="5" t="str">
        <f>IFERROR(__xludf.DUMMYFUNCTION("IFS(
E1191=""Exclude"",""Exclude"",
AND(
COUNTIF(
IMPORTRANGE(""https://docs.google.com/spreadsheets/d/1kGrh75X1cNR1D7_FcY9zMnHP8iPO4M5RCRjy6nZY0TY/edit#gid=0"",""Table 1: Study characteristics!B4:B171""),A1191)&gt;0,
COUNTIF(Studies!$A$2:$A$85,FILTER(IMPORT"&amp;"RANGE(""https://docs.google.com/spreadsheets/d/1kGrh75X1cNR1D7_FcY9zMnHP8iPO4M5RCRjy6nZY0TY/edit#gid=0"",""Table 1: Study characteristics!A4:A171""), $A1191=IMPORTRANGE(""https://docs.google.com/spreadsheets/d/1kGrh75X1cNR1D7_FcY9zMnHP8iPO4M5RCRjy6nZY0TY/"&amp;"edit#gid=0"",""Table 1: Study characteristics!B4:B171"")))&gt;0
),
""Include""
)"),"Exclude")</f>
        <v>Exclude</v>
      </c>
      <c r="G1191" s="5" t="str">
        <f>IFERROR(__xludf.DUMMYFUNCTION("IFS(
D1191=""Exclude"",
FILTER(IMPORTRANGE(""https://docs.google.com/spreadsheets/d/1BJSV3WBYJGRhQ6zExamkszQ5VutGIcaQqmbD9ZTVXMQ/edit#gid=1251630045"",""articles_with_PRISMA_reasons!AB2:AB2113""), $A1191=IMPORTRANGE(""https://docs.google.com/spreadsheets/"&amp;"d/1BJSV3WBYJGRhQ6zExamkszQ5VutGIcaQqmbD9ZTVXMQ/edit#gid=1251630045"",""articles_with_PRISMA_reasons!B2:B2113"")),
E1191=""Exclude"",
FILTER(IMPORTRANGE(""https://docs.google.com/spreadsheets/d/1qpEmbGH0JjaJbUdp21-y2cPbobDbMjr09BbtdKROZWc/edit#gid=14448656"&amp;"54"",""articles_with_PRISMA_reasons!Z2:Z2113""), $A1191=IMPORTRANGE(""https://docs.google.com/spreadsheets/d/1qpEmbGH0JjaJbUdp21-y2cPbobDbMjr09BbtdKROZWc/edit#gid=1444865654"",""articles_with_PRISMA_reasons!B2:B2113"")),F1191
=""Include"",FILTER(IMPORTRAN"&amp;"GE(""https://docs.google.com/spreadsheets/d/1kGrh75X1cNR1D7_FcY9zMnHP8iPO4M5RCRjy6nZY0TY/edit#gid=0"",""Table 1: Study characteristics!A4:A171""), $A1191=IMPORTRANGE(""https://docs.google.com/spreadsheets/d/1kGrh75X1cNR1D7_FcY9zMnHP8iPO4M5RCRjy6nZY0TY/edi"&amp;"t#gid=0"",""Table 1: Study characteristics!B4:B171""))
)"),"wrong population")</f>
        <v>wrong population</v>
      </c>
    </row>
    <row r="1192">
      <c r="A1192" s="4" t="str">
        <f>IFERROR(__xludf.DUMMYFUNCTION("""COMPUTED_VALUE"""),"Misguided concepts: The bases of scientific advancement")</f>
        <v>Misguided concepts: The bases of scientific advancement</v>
      </c>
      <c r="B1192" s="5" t="str">
        <f>IFERROR(__xludf.DUMMYFUNCTION("LEFT(FILTER(IMPORTRANGE(""https://docs.google.com/spreadsheets/d/1BJSV3WBYJGRhQ6zExamkszQ5VutGIcaQqmbD9ZTVXMQ/edit#gid=1251630045"",""articles_with_PRISMA_reasons!K2:K2113""), $A1192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$A1192=IMPORTRANGE(""https://docs.google.com/spreadsheets/d/1BJSV3WBYJGRhQ6zExamkszQ5VutGIcaQqmbD9ZTVXMQ/edit#gid=1251630045"",""articles_with_PRISMA_reasons!B2:B2113"")))-1)"),"Epstein")</f>
        <v>Epstein</v>
      </c>
      <c r="C1192" s="6">
        <f>IFERROR(__xludf.DUMMYFUNCTION("FILTER(IMPORTRANGE(""https://docs.google.com/spreadsheets/d/1BJSV3WBYJGRhQ6zExamkszQ5VutGIcaQqmbD9ZTVXMQ/edit#gid=1251630045"",""articles_with_PRISMA_reasons!C2:C2113""), $A1192=IMPORTRANGE(""https://docs.google.com/spreadsheets/d/1BJSV3WBYJGRhQ6zExamkszQ"&amp;"5VutGIcaQqmbD9ZTVXMQ/edit#gid=1251630045"",""articles_with_PRISMA_reasons!B2:B2113""))"),1991.0)</f>
        <v>1991</v>
      </c>
      <c r="D1192" s="5" t="str">
        <f>IFERROR(__xludf.DUMMYFUNCTION("IFS(AND(
FILTER(IMPORTRANGE(""https://docs.google.com/spreadsheets/d/1BJSV3WBYJGRhQ6zExamkszQ5VutGIcaQqmbD9ZTVXMQ/edit#gid=1251630045"",""articles_with_PRISMA_reasons!Y2:Y2113""), $A1192=IMPORTRANGE(""https://docs.google.com/spreadsheets/d/1BJSV3WBYJGRhQ6"&amp;"zExamkszQ5VutGIcaQqmbD9ZTVXMQ/edit#gid=1251630045"",""articles_with_PRISMA_reasons!B2:B2113""))&gt;=2,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$A1192=IMPORTRANGE(""https://docs.google.com/spreadsheets/d/1BJSV3WBYJGRhQ6zExamkszQ5VutGIcaQqmbD9ZTVXMQ/edit#gid=1251630045"",""articles_with_PRISMA_reasons!B2:B2113""))&lt;2),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$A1192=IMPORTRANGE(""https://docs.google.com/spreadsheets/d/1BJSV3WBYJGRhQ6zExamkszQ5VutGIcaQqmbD9ZTVXMQ/edit#gid=1251630045"",""a"&amp;"rticles_with_PRISMA_reasons!B2:B2113""))&lt;2,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$A1192=IMPORTRANGE(""https://docs.google"&amp;".com/spreadsheets/d/1BJSV3WBYJGRhQ6zExamkszQ5VutGIcaQqmbD9ZTVXMQ/edit#gid=1251630045"",""articles_with_PRISMA_reasons!B2:B2113""))&gt;=2),
""Exclude""
)"),"Exclude")</f>
        <v>Exclude</v>
      </c>
      <c r="E1192" s="5" t="str">
        <f>IFERROR(__xludf.DUMMYFUNCTION("IFS(
D1192=""Exclude"",""Exclude"",
AND(
FILTER(IMPORTRANGE(""https://docs.google.com/spreadsheets/d/1qpEmbGH0JjaJbUdp21-y2cPbobDbMjr09BbtdKROZWc/edit#gid=1444865654"",""articles_with_PRISMA_reasons!W2:W2113""), $A1192=IMPORTRANGE(""https://docs.google.co"&amp;"m/spreadsheets/d/1qpEmbGH0JjaJbUdp21-y2cPbobDbMjr09BbtdKROZWc/edit#gid=1444865654"",""articles_with_PRISMA_reasons!B2:B2113""))&gt;=2,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$A1192=IMPORTRANGE(""https://docs.google.com/spreadsheets/d/1qpEmbGH0JjaJbUdp21-y2cPbobDbMjr09BbtdKROZWc/edit#gid=1444865654"",""articles_with_PRISMA_reasons!B2:B2113""))&lt;2),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$A1192=IMPORTRANGE(""https://docs.google.com/spreadsheets/d/1qpEmbGH0JjaJbUdp21-y2cPbobDbMjr09Bbtd"&amp;"KROZWc/edit#gid=1444865654"",""articles_with_PRISMA_reasons!B2:B2113""))&lt;2,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$A1192=I"&amp;"MPORTRANGE(""https://docs.google.com/spreadsheets/d/1qpEmbGH0JjaJbUdp21-y2cPbobDbMjr09BbtdKROZWc/edit#gid=1444865654"",""articles_with_PRISMA_reasons!B2:B2113""))&gt;=2),
""Exclude""
)"),"Exclude")</f>
        <v>Exclude</v>
      </c>
      <c r="F1192" s="5" t="str">
        <f>IFERROR(__xludf.DUMMYFUNCTION("IFS(
E1192=""Exclude"",""Exclude"",
AND(
COUNTIF(
IMPORTRANGE(""https://docs.google.com/spreadsheets/d/1kGrh75X1cNR1D7_FcY9zMnHP8iPO4M5RCRjy6nZY0TY/edit#gid=0"",""Table 1: Study characteristics!B4:B171""),A1192)&gt;0,
COUNTIF(Studies!$A$2:$A$85,FILTER(IMPORT"&amp;"RANGE(""https://docs.google.com/spreadsheets/d/1kGrh75X1cNR1D7_FcY9zMnHP8iPO4M5RCRjy6nZY0TY/edit#gid=0"",""Table 1: Study characteristics!A4:A171""), $A1192=IMPORTRANGE(""https://docs.google.com/spreadsheets/d/1kGrh75X1cNR1D7_FcY9zMnHP8iPO4M5RCRjy6nZY0TY/"&amp;"edit#gid=0"",""Table 1: Study characteristics!B4:B171"")))&gt;0
),
""Include""
)"),"Exclude")</f>
        <v>Exclude</v>
      </c>
      <c r="G1192" s="5" t="str">
        <f>IFERROR(__xludf.DUMMYFUNCTION("IFS(
D1192=""Exclude"",
FILTER(IMPORTRANGE(""https://docs.google.com/spreadsheets/d/1BJSV3WBYJGRhQ6zExamkszQ5VutGIcaQqmbD9ZTVXMQ/edit#gid=1251630045"",""articles_with_PRISMA_reasons!AB2:AB2113""), $A1192=IMPORTRANGE(""https://docs.google.com/spreadsheets/"&amp;"d/1BJSV3WBYJGRhQ6zExamkszQ5VutGIcaQqmbD9ZTVXMQ/edit#gid=1251630045"",""articles_with_PRISMA_reasons!B2:B2113"")),
E1192=""Exclude"",
FILTER(IMPORTRANGE(""https://docs.google.com/spreadsheets/d/1qpEmbGH0JjaJbUdp21-y2cPbobDbMjr09BbtdKROZWc/edit#gid=14448656"&amp;"54"",""articles_with_PRISMA_reasons!Z2:Z2113""), $A1192=IMPORTRANGE(""https://docs.google.com/spreadsheets/d/1qpEmbGH0JjaJbUdp21-y2cPbobDbMjr09BbtdKROZWc/edit#gid=1444865654"",""articles_with_PRISMA_reasons!B2:B2113"")),F1192
=""Include"",FILTER(IMPORTRAN"&amp;"GE(""https://docs.google.com/spreadsheets/d/1kGrh75X1cNR1D7_FcY9zMnHP8iPO4M5RCRjy6nZY0TY/edit#gid=0"",""Table 1: Study characteristics!A4:A171""), $A1192=IMPORTRANGE(""https://docs.google.com/spreadsheets/d/1kGrh75X1cNR1D7_FcY9zMnHP8iPO4M5RCRjy6nZY0TY/edi"&amp;"t#gid=0"",""Table 1: Study characteristics!B4:B171""))
)"),"background article")</f>
        <v>background article</v>
      </c>
    </row>
    <row r="1193">
      <c r="A1193" s="4" t="str">
        <f>IFERROR(__xludf.DUMMYFUNCTION("""COMPUTED_VALUE"""),"Misleading clinical syndromes of CSF shunt malfunction")</f>
        <v>Misleading clinical syndromes of CSF shunt malfunction</v>
      </c>
      <c r="B1193" s="5" t="str">
        <f>IFERROR(__xludf.DUMMYFUNCTION("LEFT(FILTER(IMPORTRANGE(""https://docs.google.com/spreadsheets/d/1BJSV3WBYJGRhQ6zExamkszQ5VutGIcaQqmbD9ZTVXMQ/edit#gid=1251630045"",""articles_with_PRISMA_reasons!K2:K2113""), $A1193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$A1193=IMPORTRANGE(""https://docs.google.com/spreadsheets/d/1BJSV3WBYJGRhQ6zExamkszQ5VutGIcaQqmbD9ZTVXMQ/edit#gid=1251630045"",""articles_with_PRISMA_reasons!B2:B2113"")))-1)"),"Jamjoom")</f>
        <v>Jamjoom</v>
      </c>
      <c r="C1193" s="6">
        <f>IFERROR(__xludf.DUMMYFUNCTION("FILTER(IMPORTRANGE(""https://docs.google.com/spreadsheets/d/1BJSV3WBYJGRhQ6zExamkszQ5VutGIcaQqmbD9ZTVXMQ/edit#gid=1251630045"",""articles_with_PRISMA_reasons!C2:C2113""), $A1193=IMPORTRANGE(""https://docs.google.com/spreadsheets/d/1BJSV3WBYJGRhQ6zExamkszQ"&amp;"5VutGIcaQqmbD9ZTVXMQ/edit#gid=1251630045"",""articles_with_PRISMA_reasons!B2:B2113""))"),1988.0)</f>
        <v>1988</v>
      </c>
      <c r="D1193" s="5" t="str">
        <f>IFERROR(__xludf.DUMMYFUNCTION("IFS(AND(
FILTER(IMPORTRANGE(""https://docs.google.com/spreadsheets/d/1BJSV3WBYJGRhQ6zExamkszQ5VutGIcaQqmbD9ZTVXMQ/edit#gid=1251630045"",""articles_with_PRISMA_reasons!Y2:Y2113""), $A1193=IMPORTRANGE(""https://docs.google.com/spreadsheets/d/1BJSV3WBYJGRhQ6"&amp;"zExamkszQ5VutGIcaQqmbD9ZTVXMQ/edit#gid=1251630045"",""articles_with_PRISMA_reasons!B2:B2113""))&gt;=2,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$A1193=IMPORTRANGE(""https://docs.google.com/spreadsheets/d/1BJSV3WBYJGRhQ6zExamkszQ5VutGIcaQqmbD9ZTVXMQ/edit#gid=1251630045"",""articles_with_PRISMA_reasons!B2:B2113""))&lt;2),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$A1193=IMPORTRANGE(""https://docs.google.com/spreadsheets/d/1BJSV3WBYJGRhQ6zExamkszQ5VutGIcaQqmbD9ZTVXMQ/edit#gid=1251630045"",""a"&amp;"rticles_with_PRISMA_reasons!B2:B2113""))&lt;2,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$A1193=IMPORTRANGE(""https://docs.google"&amp;".com/spreadsheets/d/1BJSV3WBYJGRhQ6zExamkszQ5VutGIcaQqmbD9ZTVXMQ/edit#gid=1251630045"",""articles_with_PRISMA_reasons!B2:B2113""))&gt;=2),
""Exclude""
)"),"Exclude")</f>
        <v>Exclude</v>
      </c>
      <c r="E1193" s="5" t="str">
        <f>IFERROR(__xludf.DUMMYFUNCTION("IFS(
D1193=""Exclude"",""Exclude"",
AND(
FILTER(IMPORTRANGE(""https://docs.google.com/spreadsheets/d/1qpEmbGH0JjaJbUdp21-y2cPbobDbMjr09BbtdKROZWc/edit#gid=1444865654"",""articles_with_PRISMA_reasons!W2:W2113""), $A1193=IMPORTRANGE(""https://docs.google.co"&amp;"m/spreadsheets/d/1qpEmbGH0JjaJbUdp21-y2cPbobDbMjr09BbtdKROZWc/edit#gid=1444865654"",""articles_with_PRISMA_reasons!B2:B2113""))&gt;=2,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$A1193=IMPORTRANGE(""https://docs.google.com/spreadsheets/d/1qpEmbGH0JjaJbUdp21-y2cPbobDbMjr09BbtdKROZWc/edit#gid=1444865654"",""articles_with_PRISMA_reasons!B2:B2113""))&lt;2),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$A1193=IMPORTRANGE(""https://docs.google.com/spreadsheets/d/1qpEmbGH0JjaJbUdp21-y2cPbobDbMjr09Bbtd"&amp;"KROZWc/edit#gid=1444865654"",""articles_with_PRISMA_reasons!B2:B2113""))&lt;2,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$A1193=I"&amp;"MPORTRANGE(""https://docs.google.com/spreadsheets/d/1qpEmbGH0JjaJbUdp21-y2cPbobDbMjr09BbtdKROZWc/edit#gid=1444865654"",""articles_with_PRISMA_reasons!B2:B2113""))&gt;=2),
""Exclude""
)"),"Exclude")</f>
        <v>Exclude</v>
      </c>
      <c r="F1193" s="5" t="str">
        <f>IFERROR(__xludf.DUMMYFUNCTION("IFS(
E1193=""Exclude"",""Exclude"",
AND(
COUNTIF(
IMPORTRANGE(""https://docs.google.com/spreadsheets/d/1kGrh75X1cNR1D7_FcY9zMnHP8iPO4M5RCRjy6nZY0TY/edit#gid=0"",""Table 1: Study characteristics!B4:B171""),A1193)&gt;0,
COUNTIF(Studies!$A$2:$A$85,FILTER(IMPORT"&amp;"RANGE(""https://docs.google.com/spreadsheets/d/1kGrh75X1cNR1D7_FcY9zMnHP8iPO4M5RCRjy6nZY0TY/edit#gid=0"",""Table 1: Study characteristics!A4:A171""), $A1193=IMPORTRANGE(""https://docs.google.com/spreadsheets/d/1kGrh75X1cNR1D7_FcY9zMnHP8iPO4M5RCRjy6nZY0TY/"&amp;"edit#gid=0"",""Table 1: Study characteristics!B4:B171"")))&gt;0
),
""Include""
)"),"Exclude")</f>
        <v>Exclude</v>
      </c>
      <c r="G1193" s="5" t="str">
        <f>IFERROR(__xludf.DUMMYFUNCTION("IFS(
D1193=""Exclude"",
FILTER(IMPORTRANGE(""https://docs.google.com/spreadsheets/d/1BJSV3WBYJGRhQ6zExamkszQ5VutGIcaQqmbD9ZTVXMQ/edit#gid=1251630045"",""articles_with_PRISMA_reasons!AB2:AB2113""), $A1193=IMPORTRANGE(""https://docs.google.com/spreadsheets/"&amp;"d/1BJSV3WBYJGRhQ6zExamkszQ5VutGIcaQqmbD9ZTVXMQ/edit#gid=1251630045"",""articles_with_PRISMA_reasons!B2:B2113"")),
E1193=""Exclude"",
FILTER(IMPORTRANGE(""https://docs.google.com/spreadsheets/d/1qpEmbGH0JjaJbUdp21-y2cPbobDbMjr09BbtdKROZWc/edit#gid=14448656"&amp;"54"",""articles_with_PRISMA_reasons!Z2:Z2113""), $A1193=IMPORTRANGE(""https://docs.google.com/spreadsheets/d/1qpEmbGH0JjaJbUdp21-y2cPbobDbMjr09BbtdKROZWc/edit#gid=1444865654"",""articles_with_PRISMA_reasons!B2:B2113"")),F1193
=""Include"",FILTER(IMPORTRAN"&amp;"GE(""https://docs.google.com/spreadsheets/d/1kGrh75X1cNR1D7_FcY9zMnHP8iPO4M5RCRjy6nZY0TY/edit#gid=0"",""Table 1: Study characteristics!A4:A171""), $A1193=IMPORTRANGE(""https://docs.google.com/spreadsheets/d/1kGrh75X1cNR1D7_FcY9zMnHP8iPO4M5RCRjy6nZY0TY/edi"&amp;"t#gid=0"",""Table 1: Study characteristics!B4:B171""))
)"),"wrong population")</f>
        <v>wrong population</v>
      </c>
    </row>
    <row r="1194">
      <c r="A1194" s="4" t="str">
        <f>IFERROR(__xludf.DUMMYFUNCTION("""COMPUTED_VALUE"""),"Mobility, hydrocephalus and quality of erections in men with spina bifida")</f>
        <v>Mobility, hydrocephalus and quality of erections in men with spina bifida</v>
      </c>
      <c r="B1194" s="5" t="str">
        <f>IFERROR(__xludf.DUMMYFUNCTION("LEFT(FILTER(IMPORTRANGE(""https://docs.google.com/spreadsheets/d/1BJSV3WBYJGRhQ6zExamkszQ5VutGIcaQqmbD9ZTVXMQ/edit#gid=1251630045"",""articles_with_PRISMA_reasons!K2:K2113""), $A1194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$A1194=IMPORTRANGE(""https://docs.google.com/spreadsheets/d/1BJSV3WBYJGRhQ6zExamkszQ5VutGIcaQqmbD9ZTVXMQ/edit#gid=1251630045"",""articles_with_PRISMA_reasons!B2:B2113"")))-1)"),"Roth")</f>
        <v>Roth</v>
      </c>
      <c r="C1194" s="6" t="str">
        <f>IFERROR(__xludf.DUMMYFUNCTION("FILTER(IMPORTRANGE(""https://docs.google.com/spreadsheets/d/1BJSV3WBYJGRhQ6zExamkszQ5VutGIcaQqmbD9ZTVXMQ/edit#gid=1251630045"",""articles_with_PRISMA_reasons!C2:C2113""), $A1194=IMPORTRANGE(""https://docs.google.com/spreadsheets/d/1BJSV3WBYJGRhQ6zExamkszQ"&amp;"5VutGIcaQqmbD9ZTVXMQ/edit#gid=1251630045"",""articles_with_PRISMA_reasons!B2:B2113""))"),"Jun")</f>
        <v>Jun</v>
      </c>
      <c r="D1194" s="5" t="str">
        <f>IFERROR(__xludf.DUMMYFUNCTION("IFS(AND(
FILTER(IMPORTRANGE(""https://docs.google.com/spreadsheets/d/1BJSV3WBYJGRhQ6zExamkszQ5VutGIcaQqmbD9ZTVXMQ/edit#gid=1251630045"",""articles_with_PRISMA_reasons!Y2:Y2113""), $A1194=IMPORTRANGE(""https://docs.google.com/spreadsheets/d/1BJSV3WBYJGRhQ6"&amp;"zExamkszQ5VutGIcaQqmbD9ZTVXMQ/edit#gid=1251630045"",""articles_with_PRISMA_reasons!B2:B2113""))&gt;=2,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$A1194=IMPORTRANGE(""https://docs.google.com/spreadsheets/d/1BJSV3WBYJGRhQ6zExamkszQ5VutGIcaQqmbD9ZTVXMQ/edit#gid=1251630045"",""articles_with_PRISMA_reasons!B2:B2113""))&lt;2),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$A1194=IMPORTRANGE(""https://docs.google.com/spreadsheets/d/1BJSV3WBYJGRhQ6zExamkszQ5VutGIcaQqmbD9ZTVXMQ/edit#gid=1251630045"",""a"&amp;"rticles_with_PRISMA_reasons!B2:B2113""))&lt;2,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$A1194=IMPORTRANGE(""https://docs.google"&amp;".com/spreadsheets/d/1BJSV3WBYJGRhQ6zExamkszQ5VutGIcaQqmbD9ZTVXMQ/edit#gid=1251630045"",""articles_with_PRISMA_reasons!B2:B2113""))&gt;=2),
""Exclude""
)"),"Exclude")</f>
        <v>Exclude</v>
      </c>
      <c r="E1194" s="5" t="str">
        <f>IFERROR(__xludf.DUMMYFUNCTION("IFS(
D1194=""Exclude"",""Exclude"",
AND(
FILTER(IMPORTRANGE(""https://docs.google.com/spreadsheets/d/1qpEmbGH0JjaJbUdp21-y2cPbobDbMjr09BbtdKROZWc/edit#gid=1444865654"",""articles_with_PRISMA_reasons!W2:W2113""), $A1194=IMPORTRANGE(""https://docs.google.co"&amp;"m/spreadsheets/d/1qpEmbGH0JjaJbUdp21-y2cPbobDbMjr09BbtdKROZWc/edit#gid=1444865654"",""articles_with_PRISMA_reasons!B2:B2113""))&gt;=2,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$A1194=IMPORTRANGE(""https://docs.google.com/spreadsheets/d/1qpEmbGH0JjaJbUdp21-y2cPbobDbMjr09BbtdKROZWc/edit#gid=1444865654"",""articles_with_PRISMA_reasons!B2:B2113""))&lt;2),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$A1194=IMPORTRANGE(""https://docs.google.com/spreadsheets/d/1qpEmbGH0JjaJbUdp21-y2cPbobDbMjr09Bbtd"&amp;"KROZWc/edit#gid=1444865654"",""articles_with_PRISMA_reasons!B2:B2113""))&lt;2,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$A1194=I"&amp;"MPORTRANGE(""https://docs.google.com/spreadsheets/d/1qpEmbGH0JjaJbUdp21-y2cPbobDbMjr09BbtdKROZWc/edit#gid=1444865654"",""articles_with_PRISMA_reasons!B2:B2113""))&gt;=2),
""Exclude""
)"),"Exclude")</f>
        <v>Exclude</v>
      </c>
      <c r="F1194" s="5" t="str">
        <f>IFERROR(__xludf.DUMMYFUNCTION("IFS(
E1194=""Exclude"",""Exclude"",
AND(
COUNTIF(
IMPORTRANGE(""https://docs.google.com/spreadsheets/d/1kGrh75X1cNR1D7_FcY9zMnHP8iPO4M5RCRjy6nZY0TY/edit#gid=0"",""Table 1: Study characteristics!B4:B171""),A1194)&gt;0,
COUNTIF(Studies!$A$2:$A$85,FILTER(IMPORT"&amp;"RANGE(""https://docs.google.com/spreadsheets/d/1kGrh75X1cNR1D7_FcY9zMnHP8iPO4M5RCRjy6nZY0TY/edit#gid=0"",""Table 1: Study characteristics!A4:A171""), $A1194=IMPORTRANGE(""https://docs.google.com/spreadsheets/d/1kGrh75X1cNR1D7_FcY9zMnHP8iPO4M5RCRjy6nZY0TY/"&amp;"edit#gid=0"",""Table 1: Study characteristics!B4:B171"")))&gt;0
),
""Include""
)"),"Exclude")</f>
        <v>Exclude</v>
      </c>
      <c r="G1194" s="5" t="str">
        <f>IFERROR(__xludf.DUMMYFUNCTION("IFS(
D1194=""Exclude"",
FILTER(IMPORTRANGE(""https://docs.google.com/spreadsheets/d/1BJSV3WBYJGRhQ6zExamkszQ5VutGIcaQqmbD9ZTVXMQ/edit#gid=1251630045"",""articles_with_PRISMA_reasons!AB2:AB2113""), $A1194=IMPORTRANGE(""https://docs.google.com/spreadsheets/"&amp;"d/1BJSV3WBYJGRhQ6zExamkszQ5VutGIcaQqmbD9ZTVXMQ/edit#gid=1251630045"",""articles_with_PRISMA_reasons!B2:B2113"")),
E1194=""Exclude"",
FILTER(IMPORTRANGE(""https://docs.google.com/spreadsheets/d/1qpEmbGH0JjaJbUdp21-y2cPbobDbMjr09BbtdKROZWc/edit#gid=14448656"&amp;"54"",""articles_with_PRISMA_reasons!Z2:Z2113""), $A1194=IMPORTRANGE(""https://docs.google.com/spreadsheets/d/1qpEmbGH0JjaJbUdp21-y2cPbobDbMjr09BbtdKROZWc/edit#gid=1444865654"",""articles_with_PRISMA_reasons!B2:B2113"")),F1194
=""Include"",FILTER(IMPORTRAN"&amp;"GE(""https://docs.google.com/spreadsheets/d/1kGrh75X1cNR1D7_FcY9zMnHP8iPO4M5RCRjy6nZY0TY/edit#gid=0"",""Table 1: Study characteristics!A4:A171""), $A1194=IMPORTRANGE(""https://docs.google.com/spreadsheets/d/1kGrh75X1cNR1D7_FcY9zMnHP8iPO4M5RCRjy6nZY0TY/edi"&amp;"t#gid=0"",""Table 1: Study characteristics!B4:B171""))
)"),"Duplicate")</f>
        <v>Duplicate</v>
      </c>
    </row>
    <row r="1195">
      <c r="A1195" s="4" t="str">
        <f>IFERROR(__xludf.DUMMYFUNCTION("""COMPUTED_VALUE"""),"Molecular biology of pediatric hydrocephalus and hydrocephalus-related diseases")</f>
        <v>Molecular biology of pediatric hydrocephalus and hydrocephalus-related diseases</v>
      </c>
      <c r="B1195" s="5" t="str">
        <f>IFERROR(__xludf.DUMMYFUNCTION("LEFT(FILTER(IMPORTRANGE(""https://docs.google.com/spreadsheets/d/1BJSV3WBYJGRhQ6zExamkszQ5VutGIcaQqmbD9ZTVXMQ/edit#gid=1251630045"",""articles_with_PRISMA_reasons!K2:K2113""), $A1195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$A1195=IMPORTRANGE(""https://docs.google.com/spreadsheets/d/1BJSV3WBYJGRhQ6zExamkszQ5VutGIcaQqmbD9ZTVXMQ/edit#gid=1251630045"",""articles_with_PRISMA_reasons!B2:B2113"")))-1)"),"Yamasaki")</f>
        <v>Yamasaki</v>
      </c>
      <c r="C1195" s="6">
        <f>IFERROR(__xludf.DUMMYFUNCTION("FILTER(IMPORTRANGE(""https://docs.google.com/spreadsheets/d/1BJSV3WBYJGRhQ6zExamkszQ5VutGIcaQqmbD9ZTVXMQ/edit#gid=1251630045"",""articles_with_PRISMA_reasons!C2:C2113""), $A1195=IMPORTRANGE(""https://docs.google.com/spreadsheets/d/1BJSV3WBYJGRhQ6zExamkszQ"&amp;"5VutGIcaQqmbD9ZTVXMQ/edit#gid=1251630045"",""articles_with_PRISMA_reasons!B2:B2113""))"),2015.0)</f>
        <v>2015</v>
      </c>
      <c r="D1195" s="5" t="str">
        <f>IFERROR(__xludf.DUMMYFUNCTION("IFS(AND(
FILTER(IMPORTRANGE(""https://docs.google.com/spreadsheets/d/1BJSV3WBYJGRhQ6zExamkszQ5VutGIcaQqmbD9ZTVXMQ/edit#gid=1251630045"",""articles_with_PRISMA_reasons!Y2:Y2113""), $A1195=IMPORTRANGE(""https://docs.google.com/spreadsheets/d/1BJSV3WBYJGRhQ6"&amp;"zExamkszQ5VutGIcaQqmbD9ZTVXMQ/edit#gid=1251630045"",""articles_with_PRISMA_reasons!B2:B2113""))&gt;=2,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$A1195=IMPORTRANGE(""https://docs.google.com/spreadsheets/d/1BJSV3WBYJGRhQ6zExamkszQ5VutGIcaQqmbD9ZTVXMQ/edit#gid=1251630045"",""articles_with_PRISMA_reasons!B2:B2113""))&lt;2),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$A1195=IMPORTRANGE(""https://docs.google.com/spreadsheets/d/1BJSV3WBYJGRhQ6zExamkszQ5VutGIcaQqmbD9ZTVXMQ/edit#gid=1251630045"",""a"&amp;"rticles_with_PRISMA_reasons!B2:B2113""))&lt;2,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$A1195=IMPORTRANGE(""https://docs.google"&amp;".com/spreadsheets/d/1BJSV3WBYJGRhQ6zExamkszQ5VutGIcaQqmbD9ZTVXMQ/edit#gid=1251630045"",""articles_with_PRISMA_reasons!B2:B2113""))&gt;=2),
""Exclude""
)"),"Exclude")</f>
        <v>Exclude</v>
      </c>
      <c r="E1195" s="5" t="str">
        <f>IFERROR(__xludf.DUMMYFUNCTION("IFS(
D1195=""Exclude"",""Exclude"",
AND(
FILTER(IMPORTRANGE(""https://docs.google.com/spreadsheets/d/1qpEmbGH0JjaJbUdp21-y2cPbobDbMjr09BbtdKROZWc/edit#gid=1444865654"",""articles_with_PRISMA_reasons!W2:W2113""), $A1195=IMPORTRANGE(""https://docs.google.co"&amp;"m/spreadsheets/d/1qpEmbGH0JjaJbUdp21-y2cPbobDbMjr09BbtdKROZWc/edit#gid=1444865654"",""articles_with_PRISMA_reasons!B2:B2113""))&gt;=2,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$A1195=IMPORTRANGE(""https://docs.google.com/spreadsheets/d/1qpEmbGH0JjaJbUdp21-y2cPbobDbMjr09BbtdKROZWc/edit#gid=1444865654"",""articles_with_PRISMA_reasons!B2:B2113""))&lt;2),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$A1195=IMPORTRANGE(""https://docs.google.com/spreadsheets/d/1qpEmbGH0JjaJbUdp21-y2cPbobDbMjr09Bbtd"&amp;"KROZWc/edit#gid=1444865654"",""articles_with_PRISMA_reasons!B2:B2113""))&lt;2,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$A1195=I"&amp;"MPORTRANGE(""https://docs.google.com/spreadsheets/d/1qpEmbGH0JjaJbUdp21-y2cPbobDbMjr09BbtdKROZWc/edit#gid=1444865654"",""articles_with_PRISMA_reasons!B2:B2113""))&gt;=2),
""Exclude""
)"),"Exclude")</f>
        <v>Exclude</v>
      </c>
      <c r="F1195" s="5" t="str">
        <f>IFERROR(__xludf.DUMMYFUNCTION("IFS(
E1195=""Exclude"",""Exclude"",
AND(
COUNTIF(
IMPORTRANGE(""https://docs.google.com/spreadsheets/d/1kGrh75X1cNR1D7_FcY9zMnHP8iPO4M5RCRjy6nZY0TY/edit#gid=0"",""Table 1: Study characteristics!B4:B171""),A1195)&gt;0,
COUNTIF(Studies!$A$2:$A$85,FILTER(IMPORT"&amp;"RANGE(""https://docs.google.com/spreadsheets/d/1kGrh75X1cNR1D7_FcY9zMnHP8iPO4M5RCRjy6nZY0TY/edit#gid=0"",""Table 1: Study characteristics!A4:A171""), $A1195=IMPORTRANGE(""https://docs.google.com/spreadsheets/d/1kGrh75X1cNR1D7_FcY9zMnHP8iPO4M5RCRjy6nZY0TY/"&amp;"edit#gid=0"",""Table 1: Study characteristics!B4:B171"")))&gt;0
),
""Include""
)"),"Exclude")</f>
        <v>Exclude</v>
      </c>
      <c r="G1195" s="5" t="str">
        <f>IFERROR(__xludf.DUMMYFUNCTION("IFS(
D1195=""Exclude"",
FILTER(IMPORTRANGE(""https://docs.google.com/spreadsheets/d/1BJSV3WBYJGRhQ6zExamkszQ5VutGIcaQqmbD9ZTVXMQ/edit#gid=1251630045"",""articles_with_PRISMA_reasons!AB2:AB2113""), $A1195=IMPORTRANGE(""https://docs.google.com/spreadsheets/"&amp;"d/1BJSV3WBYJGRhQ6zExamkszQ5VutGIcaQqmbD9ZTVXMQ/edit#gid=1251630045"",""articles_with_PRISMA_reasons!B2:B2113"")),
E1195=""Exclude"",
FILTER(IMPORTRANGE(""https://docs.google.com/spreadsheets/d/1qpEmbGH0JjaJbUdp21-y2cPbobDbMjr09BbtdKROZWc/edit#gid=14448656"&amp;"54"",""articles_with_PRISMA_reasons!Z2:Z2113""), $A1195=IMPORTRANGE(""https://docs.google.com/spreadsheets/d/1qpEmbGH0JjaJbUdp21-y2cPbobDbMjr09BbtdKROZWc/edit#gid=1444865654"",""articles_with_PRISMA_reasons!B2:B2113"")),F1195
=""Include"",FILTER(IMPORTRAN"&amp;"GE(""https://docs.google.com/spreadsheets/d/1kGrh75X1cNR1D7_FcY9zMnHP8iPO4M5RCRjy6nZY0TY/edit#gid=0"",""Table 1: Study characteristics!A4:A171""), $A1195=IMPORTRANGE(""https://docs.google.com/spreadsheets/d/1kGrh75X1cNR1D7_FcY9zMnHP8iPO4M5RCRjy6nZY0TY/edi"&amp;"t#gid=0"",""Table 1: Study characteristics!B4:B171""))
)"),"background article")</f>
        <v>background article</v>
      </c>
    </row>
    <row r="1196">
      <c r="A1196" s="4" t="str">
        <f>IFERROR(__xludf.DUMMYFUNCTION("""COMPUTED_VALUE"""),"Motor adaptation in children with myelomeningocele: comparison to children with ADHD and healthy siblings")</f>
        <v>Motor adaptation in children with myelomeningocele: comparison to children with ADHD and healthy siblings</v>
      </c>
      <c r="B1196" s="5" t="str">
        <f>IFERROR(__xludf.DUMMYFUNCTION("LEFT(FILTER(IMPORTRANGE(""https://docs.google.com/spreadsheets/d/1BJSV3WBYJGRhQ6zExamkszQ5VutGIcaQqmbD9ZTVXMQ/edit#gid=1251630045"",""articles_with_PRISMA_reasons!K2:K2113""), $A1196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$A1196=IMPORTRANGE(""https://docs.google.com/spreadsheets/d/1BJSV3WBYJGRhQ6zExamkszQ5VutGIcaQqmbD9ZTVXMQ/edit#gid=1251630045"",""articles_with_PRISMA_reasons!B2:B2113"")))-1)"),"Colvin")</f>
        <v>Colvin</v>
      </c>
      <c r="C1196" s="6">
        <f>IFERROR(__xludf.DUMMYFUNCTION("FILTER(IMPORTRANGE(""https://docs.google.com/spreadsheets/d/1BJSV3WBYJGRhQ6zExamkszQ5VutGIcaQqmbD9ZTVXMQ/edit#gid=1251630045"",""articles_with_PRISMA_reasons!C2:C2113""), $A1196=IMPORTRANGE(""https://docs.google.com/spreadsheets/d/1BJSV3WBYJGRhQ6zExamkszQ"&amp;"5VutGIcaQqmbD9ZTVXMQ/edit#gid=1251630045"",""articles_with_PRISMA_reasons!B2:B2113""))"),2003.0)</f>
        <v>2003</v>
      </c>
      <c r="D1196" s="5" t="str">
        <f>IFERROR(__xludf.DUMMYFUNCTION("IFS(AND(
FILTER(IMPORTRANGE(""https://docs.google.com/spreadsheets/d/1BJSV3WBYJGRhQ6zExamkszQ5VutGIcaQqmbD9ZTVXMQ/edit#gid=1251630045"",""articles_with_PRISMA_reasons!Y2:Y2113""), $A1196=IMPORTRANGE(""https://docs.google.com/spreadsheets/d/1BJSV3WBYJGRhQ6"&amp;"zExamkszQ5VutGIcaQqmbD9ZTVXMQ/edit#gid=1251630045"",""articles_with_PRISMA_reasons!B2:B2113""))&gt;=2,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$A1196=IMPORTRANGE(""https://docs.google.com/spreadsheets/d/1BJSV3WBYJGRhQ6zExamkszQ5VutGIcaQqmbD9ZTVXMQ/edit#gid=1251630045"",""articles_with_PRISMA_reasons!B2:B2113""))&lt;2),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$A1196=IMPORTRANGE(""https://docs.google.com/spreadsheets/d/1BJSV3WBYJGRhQ6zExamkszQ5VutGIcaQqmbD9ZTVXMQ/edit#gid=1251630045"",""a"&amp;"rticles_with_PRISMA_reasons!B2:B2113""))&lt;2,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$A1196=IMPORTRANGE(""https://docs.google"&amp;".com/spreadsheets/d/1BJSV3WBYJGRhQ6zExamkszQ5VutGIcaQqmbD9ZTVXMQ/edit#gid=1251630045"",""articles_with_PRISMA_reasons!B2:B2113""))&gt;=2),
""Exclude""
)"),"Exclude")</f>
        <v>Exclude</v>
      </c>
      <c r="E1196" s="5" t="str">
        <f>IFERROR(__xludf.DUMMYFUNCTION("IFS(
D1196=""Exclude"",""Exclude"",
AND(
FILTER(IMPORTRANGE(""https://docs.google.com/spreadsheets/d/1qpEmbGH0JjaJbUdp21-y2cPbobDbMjr09BbtdKROZWc/edit#gid=1444865654"",""articles_with_PRISMA_reasons!W2:W2113""), $A1196=IMPORTRANGE(""https://docs.google.co"&amp;"m/spreadsheets/d/1qpEmbGH0JjaJbUdp21-y2cPbobDbMjr09BbtdKROZWc/edit#gid=1444865654"",""articles_with_PRISMA_reasons!B2:B2113""))&gt;=2,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$A1196=IMPORTRANGE(""https://docs.google.com/spreadsheets/d/1qpEmbGH0JjaJbUdp21-y2cPbobDbMjr09BbtdKROZWc/edit#gid=1444865654"",""articles_with_PRISMA_reasons!B2:B2113""))&lt;2),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$A1196=IMPORTRANGE(""https://docs.google.com/spreadsheets/d/1qpEmbGH0JjaJbUdp21-y2cPbobDbMjr09Bbtd"&amp;"KROZWc/edit#gid=1444865654"",""articles_with_PRISMA_reasons!B2:B2113""))&lt;2,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$A1196=I"&amp;"MPORTRANGE(""https://docs.google.com/spreadsheets/d/1qpEmbGH0JjaJbUdp21-y2cPbobDbMjr09BbtdKROZWc/edit#gid=1444865654"",""articles_with_PRISMA_reasons!B2:B2113""))&gt;=2),
""Exclude""
)"),"Exclude")</f>
        <v>Exclude</v>
      </c>
      <c r="F1196" s="5" t="str">
        <f>IFERROR(__xludf.DUMMYFUNCTION("IFS(
E1196=""Exclude"",""Exclude"",
AND(
COUNTIF(
IMPORTRANGE(""https://docs.google.com/spreadsheets/d/1kGrh75X1cNR1D7_FcY9zMnHP8iPO4M5RCRjy6nZY0TY/edit#gid=0"",""Table 1: Study characteristics!B4:B171""),A1196)&gt;0,
COUNTIF(Studies!$A$2:$A$85,FILTER(IMPORT"&amp;"RANGE(""https://docs.google.com/spreadsheets/d/1kGrh75X1cNR1D7_FcY9zMnHP8iPO4M5RCRjy6nZY0TY/edit#gid=0"",""Table 1: Study characteristics!A4:A171""), $A1196=IMPORTRANGE(""https://docs.google.com/spreadsheets/d/1kGrh75X1cNR1D7_FcY9zMnHP8iPO4M5RCRjy6nZY0TY/"&amp;"edit#gid=0"",""Table 1: Study characteristics!B4:B171"")))&gt;0
),
""Include""
)"),"Exclude")</f>
        <v>Exclude</v>
      </c>
      <c r="G1196" s="5" t="str">
        <f>IFERROR(__xludf.DUMMYFUNCTION("IFS(
D1196=""Exclude"",
FILTER(IMPORTRANGE(""https://docs.google.com/spreadsheets/d/1BJSV3WBYJGRhQ6zExamkszQ5VutGIcaQqmbD9ZTVXMQ/edit#gid=1251630045"",""articles_with_PRISMA_reasons!AB2:AB2113""), $A1196=IMPORTRANGE(""https://docs.google.com/spreadsheets/"&amp;"d/1BJSV3WBYJGRhQ6zExamkszQ5VutGIcaQqmbD9ZTVXMQ/edit#gid=1251630045"",""articles_with_PRISMA_reasons!B2:B2113"")),
E1196=""Exclude"",
FILTER(IMPORTRANGE(""https://docs.google.com/spreadsheets/d/1qpEmbGH0JjaJbUdp21-y2cPbobDbMjr09BbtdKROZWc/edit#gid=14448656"&amp;"54"",""articles_with_PRISMA_reasons!Z2:Z2113""), $A1196=IMPORTRANGE(""https://docs.google.com/spreadsheets/d/1qpEmbGH0JjaJbUdp21-y2cPbobDbMjr09BbtdKROZWc/edit#gid=1444865654"",""articles_with_PRISMA_reasons!B2:B2113"")),F1196
=""Include"",FILTER(IMPORTRAN"&amp;"GE(""https://docs.google.com/spreadsheets/d/1kGrh75X1cNR1D7_FcY9zMnHP8iPO4M5RCRjy6nZY0TY/edit#gid=0"",""Table 1: Study characteristics!A4:A171""), $A1196=IMPORTRANGE(""https://docs.google.com/spreadsheets/d/1kGrh75X1cNR1D7_FcY9zMnHP8iPO4M5RCRjy6nZY0TY/edi"&amp;"t#gid=0"",""Table 1: Study characteristics!B4:B171""))
)"),"wrong population")</f>
        <v>wrong population</v>
      </c>
    </row>
    <row r="1197">
      <c r="A1197" s="4" t="str">
        <f>IFERROR(__xludf.DUMMYFUNCTION("""COMPUTED_VALUE"""),"Motor function profile in children with early onset hydrocephalus")</f>
        <v>Motor function profile in children with early onset hydrocephalus</v>
      </c>
      <c r="B1197" s="5" t="str">
        <f>IFERROR(__xludf.DUMMYFUNCTION("LEFT(FILTER(IMPORTRANGE(""https://docs.google.com/spreadsheets/d/1BJSV3WBYJGRhQ6zExamkszQ5VutGIcaQqmbD9ZTVXMQ/edit#gid=1251630045"",""articles_with_PRISMA_reasons!K2:K2113""), $A1197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$A1197=IMPORTRANGE(""https://docs.google.com/spreadsheets/d/1BJSV3WBYJGRhQ6zExamkszQ5VutGIcaQqmbD9ZTVXMQ/edit#gid=1251630045"",""articles_with_PRISMA_reasons!B2:B2113"")))-1)"),"Hetherington")</f>
        <v>Hetherington</v>
      </c>
      <c r="C1197" s="6">
        <f>IFERROR(__xludf.DUMMYFUNCTION("FILTER(IMPORTRANGE(""https://docs.google.com/spreadsheets/d/1BJSV3WBYJGRhQ6zExamkszQ5VutGIcaQqmbD9ZTVXMQ/edit#gid=1251630045"",""articles_with_PRISMA_reasons!C2:C2113""), $A1197=IMPORTRANGE(""https://docs.google.com/spreadsheets/d/1BJSV3WBYJGRhQ6zExamkszQ"&amp;"5VutGIcaQqmbD9ZTVXMQ/edit#gid=1251630045"",""articles_with_PRISMA_reasons!B2:B2113""))"),1999.0)</f>
        <v>1999</v>
      </c>
      <c r="D1197" s="5" t="str">
        <f>IFERROR(__xludf.DUMMYFUNCTION("IFS(AND(
FILTER(IMPORTRANGE(""https://docs.google.com/spreadsheets/d/1BJSV3WBYJGRhQ6zExamkszQ5VutGIcaQqmbD9ZTVXMQ/edit#gid=1251630045"",""articles_with_PRISMA_reasons!Y2:Y2113""), $A1197=IMPORTRANGE(""https://docs.google.com/spreadsheets/d/1BJSV3WBYJGRhQ6"&amp;"zExamkszQ5VutGIcaQqmbD9ZTVXMQ/edit#gid=1251630045"",""articles_with_PRISMA_reasons!B2:B2113""))&gt;=2,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$A1197=IMPORTRANGE(""https://docs.google.com/spreadsheets/d/1BJSV3WBYJGRhQ6zExamkszQ5VutGIcaQqmbD9ZTVXMQ/edit#gid=1251630045"",""articles_with_PRISMA_reasons!B2:B2113""))&lt;2),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$A1197=IMPORTRANGE(""https://docs.google.com/spreadsheets/d/1BJSV3WBYJGRhQ6zExamkszQ5VutGIcaQqmbD9ZTVXMQ/edit#gid=1251630045"",""a"&amp;"rticles_with_PRISMA_reasons!B2:B2113""))&lt;2,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$A1197=IMPORTRANGE(""https://docs.google"&amp;".com/spreadsheets/d/1BJSV3WBYJGRhQ6zExamkszQ5VutGIcaQqmbD9ZTVXMQ/edit#gid=1251630045"",""articles_with_PRISMA_reasons!B2:B2113""))&gt;=2),
""Exclude""
)"),"Exclude")</f>
        <v>Exclude</v>
      </c>
      <c r="E1197" s="5" t="str">
        <f>IFERROR(__xludf.DUMMYFUNCTION("IFS(
D1197=""Exclude"",""Exclude"",
AND(
FILTER(IMPORTRANGE(""https://docs.google.com/spreadsheets/d/1qpEmbGH0JjaJbUdp21-y2cPbobDbMjr09BbtdKROZWc/edit#gid=1444865654"",""articles_with_PRISMA_reasons!W2:W2113""), $A1197=IMPORTRANGE(""https://docs.google.co"&amp;"m/spreadsheets/d/1qpEmbGH0JjaJbUdp21-y2cPbobDbMjr09BbtdKROZWc/edit#gid=1444865654"",""articles_with_PRISMA_reasons!B2:B2113""))&gt;=2,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$A1197=IMPORTRANGE(""https://docs.google.com/spreadsheets/d/1qpEmbGH0JjaJbUdp21-y2cPbobDbMjr09BbtdKROZWc/edit#gid=1444865654"",""articles_with_PRISMA_reasons!B2:B2113""))&lt;2),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$A1197=IMPORTRANGE(""https://docs.google.com/spreadsheets/d/1qpEmbGH0JjaJbUdp21-y2cPbobDbMjr09Bbtd"&amp;"KROZWc/edit#gid=1444865654"",""articles_with_PRISMA_reasons!B2:B2113""))&lt;2,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$A1197=I"&amp;"MPORTRANGE(""https://docs.google.com/spreadsheets/d/1qpEmbGH0JjaJbUdp21-y2cPbobDbMjr09BbtdKROZWc/edit#gid=1444865654"",""articles_with_PRISMA_reasons!B2:B2113""))&gt;=2),
""Exclude""
)"),"Exclude")</f>
        <v>Exclude</v>
      </c>
      <c r="F1197" s="5" t="str">
        <f>IFERROR(__xludf.DUMMYFUNCTION("IFS(
E1197=""Exclude"",""Exclude"",
AND(
COUNTIF(
IMPORTRANGE(""https://docs.google.com/spreadsheets/d/1kGrh75X1cNR1D7_FcY9zMnHP8iPO4M5RCRjy6nZY0TY/edit#gid=0"",""Table 1: Study characteristics!B4:B171""),A1197)&gt;0,
COUNTIF(Studies!$A$2:$A$85,FILTER(IMPORT"&amp;"RANGE(""https://docs.google.com/spreadsheets/d/1kGrh75X1cNR1D7_FcY9zMnHP8iPO4M5RCRjy6nZY0TY/edit#gid=0"",""Table 1: Study characteristics!A4:A171""), $A1197=IMPORTRANGE(""https://docs.google.com/spreadsheets/d/1kGrh75X1cNR1D7_FcY9zMnHP8iPO4M5RCRjy6nZY0TY/"&amp;"edit#gid=0"",""Table 1: Study characteristics!B4:B171"")))&gt;0
),
""Include""
)"),"Exclude")</f>
        <v>Exclude</v>
      </c>
      <c r="G1197" s="5" t="str">
        <f>IFERROR(__xludf.DUMMYFUNCTION("IFS(
D1197=""Exclude"",
FILTER(IMPORTRANGE(""https://docs.google.com/spreadsheets/d/1BJSV3WBYJGRhQ6zExamkszQ5VutGIcaQqmbD9ZTVXMQ/edit#gid=1251630045"",""articles_with_PRISMA_reasons!AB2:AB2113""), $A1197=IMPORTRANGE(""https://docs.google.com/spreadsheets/"&amp;"d/1BJSV3WBYJGRhQ6zExamkszQ5VutGIcaQqmbD9ZTVXMQ/edit#gid=1251630045"",""articles_with_PRISMA_reasons!B2:B2113"")),
E1197=""Exclude"",
FILTER(IMPORTRANGE(""https://docs.google.com/spreadsheets/d/1qpEmbGH0JjaJbUdp21-y2cPbobDbMjr09BbtdKROZWc/edit#gid=14448656"&amp;"54"",""articles_with_PRISMA_reasons!Z2:Z2113""), $A1197=IMPORTRANGE(""https://docs.google.com/spreadsheets/d/1qpEmbGH0JjaJbUdp21-y2cPbobDbMjr09BbtdKROZWc/edit#gid=1444865654"",""articles_with_PRISMA_reasons!B2:B2113"")),F1197
=""Include"",FILTER(IMPORTRAN"&amp;"GE(""https://docs.google.com/spreadsheets/d/1kGrh75X1cNR1D7_FcY9zMnHP8iPO4M5RCRjy6nZY0TY/edit#gid=0"",""Table 1: Study characteristics!A4:A171""), $A1197=IMPORTRANGE(""https://docs.google.com/spreadsheets/d/1kGrh75X1cNR1D7_FcY9zMnHP8iPO4M5RCRjy6nZY0TY/edi"&amp;"t#gid=0"",""Table 1: Study characteristics!B4:B171""))
)"),"wrong population")</f>
        <v>wrong population</v>
      </c>
    </row>
    <row r="1198">
      <c r="A1198" s="4" t="str">
        <f>IFERROR(__xludf.DUMMYFUNCTION("""COMPUTED_VALUE"""),"Motor learning in children with spina bifida: Dissociation between performance level and acquisition rate")</f>
        <v>Motor learning in children with spina bifida: Dissociation between performance level and acquisition rate</v>
      </c>
      <c r="B1198" s="5" t="str">
        <f>IFERROR(__xludf.DUMMYFUNCTION("LEFT(FILTER(IMPORTRANGE(""https://docs.google.com/spreadsheets/d/1BJSV3WBYJGRhQ6zExamkszQ5VutGIcaQqmbD9ZTVXMQ/edit#gid=1251630045"",""articles_with_PRISMA_reasons!K2:K2113""), $A1198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$A1198=IMPORTRANGE(""https://docs.google.com/spreadsheets/d/1BJSV3WBYJGRhQ6zExamkszQ5VutGIcaQqmbD9ZTVXMQ/edit#gid=1251630045"",""articles_with_PRISMA_reasons!B2:B2113"")))-1)"),"Dennis")</f>
        <v>Dennis</v>
      </c>
      <c r="C1198" s="6">
        <f>IFERROR(__xludf.DUMMYFUNCTION("FILTER(IMPORTRANGE(""https://docs.google.com/spreadsheets/d/1BJSV3WBYJGRhQ6zExamkszQ5VutGIcaQqmbD9ZTVXMQ/edit#gid=1251630045"",""articles_with_PRISMA_reasons!C2:C2113""), $A1198=IMPORTRANGE(""https://docs.google.com/spreadsheets/d/1BJSV3WBYJGRhQ6zExamkszQ"&amp;"5VutGIcaQqmbD9ZTVXMQ/edit#gid=1251630045"",""articles_with_PRISMA_reasons!B2:B2113""))"),2004.0)</f>
        <v>2004</v>
      </c>
      <c r="D1198" s="5" t="str">
        <f>IFERROR(__xludf.DUMMYFUNCTION("IFS(AND(
FILTER(IMPORTRANGE(""https://docs.google.com/spreadsheets/d/1BJSV3WBYJGRhQ6zExamkszQ5VutGIcaQqmbD9ZTVXMQ/edit#gid=1251630045"",""articles_with_PRISMA_reasons!Y2:Y2113""), $A1198=IMPORTRANGE(""https://docs.google.com/spreadsheets/d/1BJSV3WBYJGRhQ6"&amp;"zExamkszQ5VutGIcaQqmbD9ZTVXMQ/edit#gid=1251630045"",""articles_with_PRISMA_reasons!B2:B2113""))&gt;=2,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$A1198=IMPORTRANGE(""https://docs.google.com/spreadsheets/d/1BJSV3WBYJGRhQ6zExamkszQ5VutGIcaQqmbD9ZTVXMQ/edit#gid=1251630045"",""articles_with_PRISMA_reasons!B2:B2113""))&lt;2),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$A1198=IMPORTRANGE(""https://docs.google.com/spreadsheets/d/1BJSV3WBYJGRhQ6zExamkszQ5VutGIcaQqmbD9ZTVXMQ/edit#gid=1251630045"",""a"&amp;"rticles_with_PRISMA_reasons!B2:B2113""))&lt;2,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$A1198=IMPORTRANGE(""https://docs.google"&amp;".com/spreadsheets/d/1BJSV3WBYJGRhQ6zExamkszQ5VutGIcaQqmbD9ZTVXMQ/edit#gid=1251630045"",""articles_with_PRISMA_reasons!B2:B2113""))&gt;=2),
""Exclude""
)"),"Exclude")</f>
        <v>Exclude</v>
      </c>
      <c r="E1198" s="5" t="str">
        <f>IFERROR(__xludf.DUMMYFUNCTION("IFS(
D1198=""Exclude"",""Exclude"",
AND(
FILTER(IMPORTRANGE(""https://docs.google.com/spreadsheets/d/1qpEmbGH0JjaJbUdp21-y2cPbobDbMjr09BbtdKROZWc/edit#gid=1444865654"",""articles_with_PRISMA_reasons!W2:W2113""), $A1198=IMPORTRANGE(""https://docs.google.co"&amp;"m/spreadsheets/d/1qpEmbGH0JjaJbUdp21-y2cPbobDbMjr09BbtdKROZWc/edit#gid=1444865654"",""articles_with_PRISMA_reasons!B2:B2113""))&gt;=2,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$A1198=IMPORTRANGE(""https://docs.google.com/spreadsheets/d/1qpEmbGH0JjaJbUdp21-y2cPbobDbMjr09BbtdKROZWc/edit#gid=1444865654"",""articles_with_PRISMA_reasons!B2:B2113""))&lt;2),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$A1198=IMPORTRANGE(""https://docs.google.com/spreadsheets/d/1qpEmbGH0JjaJbUdp21-y2cPbobDbMjr09Bbtd"&amp;"KROZWc/edit#gid=1444865654"",""articles_with_PRISMA_reasons!B2:B2113""))&lt;2,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$A1198=I"&amp;"MPORTRANGE(""https://docs.google.com/spreadsheets/d/1qpEmbGH0JjaJbUdp21-y2cPbobDbMjr09BbtdKROZWc/edit#gid=1444865654"",""articles_with_PRISMA_reasons!B2:B2113""))&gt;=2),
""Exclude""
)"),"Exclude")</f>
        <v>Exclude</v>
      </c>
      <c r="F1198" s="5" t="str">
        <f>IFERROR(__xludf.DUMMYFUNCTION("IFS(
E1198=""Exclude"",""Exclude"",
AND(
COUNTIF(
IMPORTRANGE(""https://docs.google.com/spreadsheets/d/1kGrh75X1cNR1D7_FcY9zMnHP8iPO4M5RCRjy6nZY0TY/edit#gid=0"",""Table 1: Study characteristics!B4:B171""),A1198)&gt;0,
COUNTIF(Studies!$A$2:$A$85,FILTER(IMPORT"&amp;"RANGE(""https://docs.google.com/spreadsheets/d/1kGrh75X1cNR1D7_FcY9zMnHP8iPO4M5RCRjy6nZY0TY/edit#gid=0"",""Table 1: Study characteristics!A4:A171""), $A1198=IMPORTRANGE(""https://docs.google.com/spreadsheets/d/1kGrh75X1cNR1D7_FcY9zMnHP8iPO4M5RCRjy6nZY0TY/"&amp;"edit#gid=0"",""Table 1: Study characteristics!B4:B171"")))&gt;0
),
""Include""
)"),"Exclude")</f>
        <v>Exclude</v>
      </c>
      <c r="G1198" s="5" t="str">
        <f>IFERROR(__xludf.DUMMYFUNCTION("IFS(
D1198=""Exclude"",
FILTER(IMPORTRANGE(""https://docs.google.com/spreadsheets/d/1BJSV3WBYJGRhQ6zExamkszQ5VutGIcaQqmbD9ZTVXMQ/edit#gid=1251630045"",""articles_with_PRISMA_reasons!AB2:AB2113""), $A1198=IMPORTRANGE(""https://docs.google.com/spreadsheets/"&amp;"d/1BJSV3WBYJGRhQ6zExamkszQ5VutGIcaQqmbD9ZTVXMQ/edit#gid=1251630045"",""articles_with_PRISMA_reasons!B2:B2113"")),
E1198=""Exclude"",
FILTER(IMPORTRANGE(""https://docs.google.com/spreadsheets/d/1qpEmbGH0JjaJbUdp21-y2cPbobDbMjr09BbtdKROZWc/edit#gid=14448656"&amp;"54"",""articles_with_PRISMA_reasons!Z2:Z2113""), $A1198=IMPORTRANGE(""https://docs.google.com/spreadsheets/d/1qpEmbGH0JjaJbUdp21-y2cPbobDbMjr09BbtdKROZWc/edit#gid=1444865654"",""articles_with_PRISMA_reasons!B2:B2113"")),F1198
=""Include"",FILTER(IMPORTRAN"&amp;"GE(""https://docs.google.com/spreadsheets/d/1kGrh75X1cNR1D7_FcY9zMnHP8iPO4M5RCRjy6nZY0TY/edit#gid=0"",""Table 1: Study characteristics!A4:A171""), $A1198=IMPORTRANGE(""https://docs.google.com/spreadsheets/d/1kGrh75X1cNR1D7_FcY9zMnHP8iPO4M5RCRjy6nZY0TY/edi"&amp;"t#gid=0"",""Table 1: Study characteristics!B4:B171""))
)"),"wrong study design")</f>
        <v>wrong study design</v>
      </c>
    </row>
    <row r="1199">
      <c r="A1199" s="4" t="str">
        <f>IFERROR(__xludf.DUMMYFUNCTION("""COMPUTED_VALUE"""),"Motor learning in children with spina bifida: Intact learning and performance on a ballistic task")</f>
        <v>Motor learning in children with spina bifida: Intact learning and performance on a ballistic task</v>
      </c>
      <c r="B1199" s="5" t="str">
        <f>IFERROR(__xludf.DUMMYFUNCTION("LEFT(FILTER(IMPORTRANGE(""https://docs.google.com/spreadsheets/d/1BJSV3WBYJGRhQ6zExamkszQ5VutGIcaQqmbD9ZTVXMQ/edit#gid=1251630045"",""articles_with_PRISMA_reasons!K2:K2113""), $A1199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$A1199=IMPORTRANGE(""https://docs.google.com/spreadsheets/d/1BJSV3WBYJGRhQ6zExamkszQ5VutGIcaQqmbD9ZTVXMQ/edit#gid=1251630045"",""articles_with_PRISMA_reasons!B2:B2113"")))-1)"),"Jewell")</f>
        <v>Jewell</v>
      </c>
      <c r="C1199" s="6">
        <f>IFERROR(__xludf.DUMMYFUNCTION("FILTER(IMPORTRANGE(""https://docs.google.com/spreadsheets/d/1BJSV3WBYJGRhQ6zExamkszQ5VutGIcaQqmbD9ZTVXMQ/edit#gid=1251630045"",""articles_with_PRISMA_reasons!C2:C2113""), $A1199=IMPORTRANGE(""https://docs.google.com/spreadsheets/d/1BJSV3WBYJGRhQ6zExamkszQ"&amp;"5VutGIcaQqmbD9ZTVXMQ/edit#gid=1251630045"",""articles_with_PRISMA_reasons!B2:B2113""))"),2006.0)</f>
        <v>2006</v>
      </c>
      <c r="D1199" s="5" t="str">
        <f>IFERROR(__xludf.DUMMYFUNCTION("IFS(AND(
FILTER(IMPORTRANGE(""https://docs.google.com/spreadsheets/d/1BJSV3WBYJGRhQ6zExamkszQ5VutGIcaQqmbD9ZTVXMQ/edit#gid=1251630045"",""articles_with_PRISMA_reasons!Y2:Y2113""), $A1199=IMPORTRANGE(""https://docs.google.com/spreadsheets/d/1BJSV3WBYJGRhQ6"&amp;"zExamkszQ5VutGIcaQqmbD9ZTVXMQ/edit#gid=1251630045"",""articles_with_PRISMA_reasons!B2:B2113""))&gt;=2,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$A1199=IMPORTRANGE(""https://docs.google.com/spreadsheets/d/1BJSV3WBYJGRhQ6zExamkszQ5VutGIcaQqmbD9ZTVXMQ/edit#gid=1251630045"",""articles_with_PRISMA_reasons!B2:B2113""))&lt;2),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$A1199=IMPORTRANGE(""https://docs.google.com/spreadsheets/d/1BJSV3WBYJGRhQ6zExamkszQ5VutGIcaQqmbD9ZTVXMQ/edit#gid=1251630045"",""a"&amp;"rticles_with_PRISMA_reasons!B2:B2113""))&lt;2,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$A1199=IMPORTRANGE(""https://docs.google"&amp;".com/spreadsheets/d/1BJSV3WBYJGRhQ6zExamkszQ5VutGIcaQqmbD9ZTVXMQ/edit#gid=1251630045"",""articles_with_PRISMA_reasons!B2:B2113""))&gt;=2),
""Exclude""
)"),"Exclude")</f>
        <v>Exclude</v>
      </c>
      <c r="E1199" s="5" t="str">
        <f>IFERROR(__xludf.DUMMYFUNCTION("IFS(
D1199=""Exclude"",""Exclude"",
AND(
FILTER(IMPORTRANGE(""https://docs.google.com/spreadsheets/d/1qpEmbGH0JjaJbUdp21-y2cPbobDbMjr09BbtdKROZWc/edit#gid=1444865654"",""articles_with_PRISMA_reasons!W2:W2113""), $A1199=IMPORTRANGE(""https://docs.google.co"&amp;"m/spreadsheets/d/1qpEmbGH0JjaJbUdp21-y2cPbobDbMjr09BbtdKROZWc/edit#gid=1444865654"",""articles_with_PRISMA_reasons!B2:B2113""))&gt;=2,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$A1199=IMPORTRANGE(""https://docs.google.com/spreadsheets/d/1qpEmbGH0JjaJbUdp21-y2cPbobDbMjr09BbtdKROZWc/edit#gid=1444865654"",""articles_with_PRISMA_reasons!B2:B2113""))&lt;2),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$A1199=IMPORTRANGE(""https://docs.google.com/spreadsheets/d/1qpEmbGH0JjaJbUdp21-y2cPbobDbMjr09Bbtd"&amp;"KROZWc/edit#gid=1444865654"",""articles_with_PRISMA_reasons!B2:B2113""))&lt;2,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$A1199=I"&amp;"MPORTRANGE(""https://docs.google.com/spreadsheets/d/1qpEmbGH0JjaJbUdp21-y2cPbobDbMjr09BbtdKROZWc/edit#gid=1444865654"",""articles_with_PRISMA_reasons!B2:B2113""))&gt;=2),
""Exclude""
)"),"Exclude")</f>
        <v>Exclude</v>
      </c>
      <c r="F1199" s="5" t="str">
        <f>IFERROR(__xludf.DUMMYFUNCTION("IFS(
E1199=""Exclude"",""Exclude"",
AND(
COUNTIF(
IMPORTRANGE(""https://docs.google.com/spreadsheets/d/1kGrh75X1cNR1D7_FcY9zMnHP8iPO4M5RCRjy6nZY0TY/edit#gid=0"",""Table 1: Study characteristics!B4:B171""),A1199)&gt;0,
COUNTIF(Studies!$A$2:$A$85,FILTER(IMPORT"&amp;"RANGE(""https://docs.google.com/spreadsheets/d/1kGrh75X1cNR1D7_FcY9zMnHP8iPO4M5RCRjy6nZY0TY/edit#gid=0"",""Table 1: Study characteristics!A4:A171""), $A1199=IMPORTRANGE(""https://docs.google.com/spreadsheets/d/1kGrh75X1cNR1D7_FcY9zMnHP8iPO4M5RCRjy6nZY0TY/"&amp;"edit#gid=0"",""Table 1: Study characteristics!B4:B171"")))&gt;0
),
""Include""
)"),"Exclude")</f>
        <v>Exclude</v>
      </c>
      <c r="G1199" s="5" t="str">
        <f>IFERROR(__xludf.DUMMYFUNCTION("IFS(
D1199=""Exclude"",
FILTER(IMPORTRANGE(""https://docs.google.com/spreadsheets/d/1BJSV3WBYJGRhQ6zExamkszQ5VutGIcaQqmbD9ZTVXMQ/edit#gid=1251630045"",""articles_with_PRISMA_reasons!AB2:AB2113""), $A1199=IMPORTRANGE(""https://docs.google.com/spreadsheets/"&amp;"d/1BJSV3WBYJGRhQ6zExamkszQ5VutGIcaQqmbD9ZTVXMQ/edit#gid=1251630045"",""articles_with_PRISMA_reasons!B2:B2113"")),
E1199=""Exclude"",
FILTER(IMPORTRANGE(""https://docs.google.com/spreadsheets/d/1qpEmbGH0JjaJbUdp21-y2cPbobDbMjr09BbtdKROZWc/edit#gid=14448656"&amp;"54"",""articles_with_PRISMA_reasons!Z2:Z2113""), $A1199=IMPORTRANGE(""https://docs.google.com/spreadsheets/d/1qpEmbGH0JjaJbUdp21-y2cPbobDbMjr09BbtdKROZWc/edit#gid=1444865654"",""articles_with_PRISMA_reasons!B2:B2113"")),F1199
=""Include"",FILTER(IMPORTRAN"&amp;"GE(""https://docs.google.com/spreadsheets/d/1kGrh75X1cNR1D7_FcY9zMnHP8iPO4M5RCRjy6nZY0TY/edit#gid=0"",""Table 1: Study characteristics!A4:A171""), $A1199=IMPORTRANGE(""https://docs.google.com/spreadsheets/d/1kGrh75X1cNR1D7_FcY9zMnHP8iPO4M5RCRjy6nZY0TY/edi"&amp;"t#gid=0"",""Table 1: Study characteristics!B4:B171""))
)"),"wrong population")</f>
        <v>wrong population</v>
      </c>
    </row>
    <row r="1200">
      <c r="A1200" s="4" t="str">
        <f>IFERROR(__xludf.DUMMYFUNCTION("""COMPUTED_VALUE"""),"Motor profile and cognitive functioning in children with spina bifida")</f>
        <v>Motor profile and cognitive functioning in children with spina bifida</v>
      </c>
      <c r="B1200" s="5" t="str">
        <f>IFERROR(__xludf.DUMMYFUNCTION("LEFT(FILTER(IMPORTRANGE(""https://docs.google.com/spreadsheets/d/1BJSV3WBYJGRhQ6zExamkszQ5VutGIcaQqmbD9ZTVXMQ/edit#gid=1251630045"",""articles_with_PRISMA_reasons!K2:K2113""), $A1200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$A1200=IMPORTRANGE(""https://docs.google.com/spreadsheets/d/1BJSV3WBYJGRhQ6zExamkszQ5VutGIcaQqmbD9ZTVXMQ/edit#gid=1251630045"",""articles_with_PRISMA_reasons!B2:B2113"")))-1)"),"Nijhuis-van der S and en")</f>
        <v>Nijhuis-van der S and en</v>
      </c>
      <c r="C1200" s="6">
        <f>IFERROR(__xludf.DUMMYFUNCTION("FILTER(IMPORTRANGE(""https://docs.google.com/spreadsheets/d/1BJSV3WBYJGRhQ6zExamkszQ5VutGIcaQqmbD9ZTVXMQ/edit#gid=1251630045"",""articles_with_PRISMA_reasons!C2:C2113""), $A1200=IMPORTRANGE(""https://docs.google.com/spreadsheets/d/1BJSV3WBYJGRhQ6zExamkszQ"&amp;"5VutGIcaQqmbD9ZTVXMQ/edit#gid=1251630045"",""articles_with_PRISMA_reasons!B2:B2113""))"),2010.0)</f>
        <v>2010</v>
      </c>
      <c r="D1200" s="5" t="str">
        <f>IFERROR(__xludf.DUMMYFUNCTION("IFS(AND(
FILTER(IMPORTRANGE(""https://docs.google.com/spreadsheets/d/1BJSV3WBYJGRhQ6zExamkszQ5VutGIcaQqmbD9ZTVXMQ/edit#gid=1251630045"",""articles_with_PRISMA_reasons!Y2:Y2113""), $A1200=IMPORTRANGE(""https://docs.google.com/spreadsheets/d/1BJSV3WBYJGRhQ6"&amp;"zExamkszQ5VutGIcaQqmbD9ZTVXMQ/edit#gid=1251630045"",""articles_with_PRISMA_reasons!B2:B2113""))&gt;=2,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$A1200=IMPORTRANGE(""https://docs.google"&amp;".com/spreadsheets/d/1BJSV3WBYJGRhQ6zExamkszQ5VutGIcaQqmbD9ZTVXMQ/edit#gid=1251630045"",""articles_with_PRISMA_reasons!B2:B2113""))&gt;=2),
""Exclude""
)"),"Exclude")</f>
        <v>Exclude</v>
      </c>
      <c r="E1200" s="5" t="str">
        <f>IFERROR(__xludf.DUMMYFUNCTION("IFS(
D1200=""Exclude"",""Exclude"",
AND(
FILTER(IMPORTRANGE(""https://docs.google.com/spreadsheets/d/1qpEmbGH0JjaJbUdp21-y2cPbobDbMjr09BbtdKROZWc/edit#gid=1444865654"",""articles_with_PRISMA_reasons!W2:W2113""), $A1200=IMPORTRANGE(""https://docs.google.co"&amp;"m/spreadsheets/d/1qpEmbGH0JjaJbUdp21-y2cPbobDbMjr09BbtdKROZWc/edit#gid=1444865654"",""articles_with_PRISMA_reasons!B2:B2113""))&gt;=2,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$A1200=IMPORTRANGE(""https://docs.google.com/spreadsheets/d/1qpEmbGH0JjaJbUdp21-y2cPbobDbMjr09BbtdKROZWc/edit#gid=1444865654"",""articles_with_PRISMA_reasons!B2:B2113""))&lt;2),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$A1200=IMPORTRANGE(""https://docs.google.com/spreadsheets/d/1qpEmbGH0JjaJbUdp21-y2cPbobDbMjr09Bbtd"&amp;"KROZWc/edit#gid=1444865654"",""articles_with_PRISMA_reasons!B2:B2113""))&lt;2,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$A1200=I"&amp;"MPORTRANGE(""https://docs.google.com/spreadsheets/d/1qpEmbGH0JjaJbUdp21-y2cPbobDbMjr09BbtdKROZWc/edit#gid=1444865654"",""articles_with_PRISMA_reasons!B2:B2113""))&gt;=2),
""Exclude""
)"),"Exclude")</f>
        <v>Exclude</v>
      </c>
      <c r="F1200" s="5" t="str">
        <f>IFERROR(__xludf.DUMMYFUNCTION("IFS(
E1200=""Exclude"",""Exclude"",
AND(
COUNTIF(
IMPORTRANGE(""https://docs.google.com/spreadsheets/d/1kGrh75X1cNR1D7_FcY9zMnHP8iPO4M5RCRjy6nZY0TY/edit#gid=0"",""Table 1: Study characteristics!B4:B171""),A1200)&gt;0,
COUNTIF(Studies!$A$2:$A$85,FILTER(IMPORT"&amp;"RANGE(""https://docs.google.com/spreadsheets/d/1kGrh75X1cNR1D7_FcY9zMnHP8iPO4M5RCRjy6nZY0TY/edit#gid=0"",""Table 1: Study characteristics!A4:A171""), $A1200=IMPORTRANGE(""https://docs.google.com/spreadsheets/d/1kGrh75X1cNR1D7_FcY9zMnHP8iPO4M5RCRjy6nZY0TY/"&amp;"edit#gid=0"",""Table 1: Study characteristics!B4:B171"")))&gt;0
),
""Include""
)"),"Exclude")</f>
        <v>Exclude</v>
      </c>
      <c r="G1200" s="5" t="str">
        <f>IFERROR(__xludf.DUMMYFUNCTION("IFS(
D1200=""Exclude"",
FILTER(IMPORTRANGE(""https://docs.google.com/spreadsheets/d/1BJSV3WBYJGRhQ6zExamkszQ5VutGIcaQqmbD9ZTVXMQ/edit#gid=1251630045"",""articles_with_PRISMA_reasons!AB2:AB2113""), $A1200=IMPORTRANGE(""https://docs.google.com/spreadsheets/"&amp;"d/1BJSV3WBYJGRhQ6zExamkszQ5VutGIcaQqmbD9ZTVXMQ/edit#gid=1251630045"",""articles_with_PRISMA_reasons!B2:B2113"")),
E1200=""Exclude"",
FILTER(IMPORTRANGE(""https://docs.google.com/spreadsheets/d/1qpEmbGH0JjaJbUdp21-y2cPbobDbMjr09BbtdKROZWc/edit#gid=14448656"&amp;"54"",""articles_with_PRISMA_reasons!Z2:Z2113""), $A1200=IMPORTRANGE(""https://docs.google.com/spreadsheets/d/1qpEmbGH0JjaJbUdp21-y2cPbobDbMjr09BbtdKROZWc/edit#gid=1444865654"",""articles_with_PRISMA_reasons!B2:B2113"")),F1200
=""Include"",FILTER(IMPORTRAN"&amp;"GE(""https://docs.google.com/spreadsheets/d/1kGrh75X1cNR1D7_FcY9zMnHP8iPO4M5RCRjy6nZY0TY/edit#gid=0"",""Table 1: Study characteristics!A4:A171""), $A1200=IMPORTRANGE(""https://docs.google.com/spreadsheets/d/1kGrh75X1cNR1D7_FcY9zMnHP8iPO4M5RCRjy6nZY0TY/edi"&amp;"t#gid=0"",""Table 1: Study characteristics!B4:B171""))
)"),"wrong population")</f>
        <v>wrong population</v>
      </c>
    </row>
    <row r="1201">
      <c r="A1201" s="4" t="str">
        <f>IFERROR(__xludf.DUMMYFUNCTION("""COMPUTED_VALUE"""),"MR assessment of pediatric hydrocephalus: a road map")</f>
        <v>MR assessment of pediatric hydrocephalus: a road map</v>
      </c>
      <c r="B1201" s="5" t="str">
        <f>IFERROR(__xludf.DUMMYFUNCTION("LEFT(FILTER(IMPORTRANGE(""https://docs.google.com/spreadsheets/d/1BJSV3WBYJGRhQ6zExamkszQ5VutGIcaQqmbD9ZTVXMQ/edit#gid=1251630045"",""articles_with_PRISMA_reasons!K2:K2113""), $A1201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$A1201=IMPORTRANGE(""https://docs.google.com/spreadsheets/d/1BJSV3WBYJGRhQ6zExamkszQ5VutGIcaQqmbD9ZTVXMQ/edit#gid=1251630045"",""articles_with_PRISMA_reasons!B2:B2113"")))-1)"),"Raybaud")</f>
        <v>Raybaud</v>
      </c>
      <c r="C1201" s="6">
        <f>IFERROR(__xludf.DUMMYFUNCTION("FILTER(IMPORTRANGE(""https://docs.google.com/spreadsheets/d/1BJSV3WBYJGRhQ6zExamkszQ5VutGIcaQqmbD9ZTVXMQ/edit#gid=1251630045"",""articles_with_PRISMA_reasons!C2:C2113""), $A1201=IMPORTRANGE(""https://docs.google.com/spreadsheets/d/1BJSV3WBYJGRhQ6zExamkszQ"&amp;"5VutGIcaQqmbD9ZTVXMQ/edit#gid=1251630045"",""articles_with_PRISMA_reasons!B2:B2113""))"),2016.0)</f>
        <v>2016</v>
      </c>
      <c r="D1201" s="5" t="str">
        <f>IFERROR(__xludf.DUMMYFUNCTION("IFS(AND(
FILTER(IMPORTRANGE(""https://docs.google.com/spreadsheets/d/1BJSV3WBYJGRhQ6zExamkszQ5VutGIcaQqmbD9ZTVXMQ/edit#gid=1251630045"",""articles_with_PRISMA_reasons!Y2:Y2113""), $A1201=IMPORTRANGE(""https://docs.google.com/spreadsheets/d/1BJSV3WBYJGRhQ6"&amp;"zExamkszQ5VutGIcaQqmbD9ZTVXMQ/edit#gid=1251630045"",""articles_with_PRISMA_reasons!B2:B2113""))&gt;=2,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$A1201=IMPORTRANGE(""https://docs.google"&amp;".com/spreadsheets/d/1BJSV3WBYJGRhQ6zExamkszQ5VutGIcaQqmbD9ZTVXMQ/edit#gid=1251630045"",""articles_with_PRISMA_reasons!B2:B2113""))&gt;=2),
""Exclude""
)"),"Exclude")</f>
        <v>Exclude</v>
      </c>
      <c r="E1201" s="5" t="str">
        <f>IFERROR(__xludf.DUMMYFUNCTION("IFS(
D1201=""Exclude"",""Exclude"",
AND(
FILTER(IMPORTRANGE(""https://docs.google.com/spreadsheets/d/1qpEmbGH0JjaJbUdp21-y2cPbobDbMjr09BbtdKROZWc/edit#gid=1444865654"",""articles_with_PRISMA_reasons!W2:W2113""), $A1201=IMPORTRANGE(""https://docs.google.co"&amp;"m/spreadsheets/d/1qpEmbGH0JjaJbUdp21-y2cPbobDbMjr09BbtdKROZWc/edit#gid=1444865654"",""articles_with_PRISMA_reasons!B2:B2113""))&gt;=2,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$A1201=IMPORTRANGE(""https://docs.google.com/spreadsheets/d/1qpEmbGH0JjaJbUdp21-y2cPbobDbMjr09BbtdKROZWc/edit#gid=1444865654"",""articles_with_PRISMA_reasons!B2:B2113""))&lt;2),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$A1201=IMPORTRANGE(""https://docs.google.com/spreadsheets/d/1qpEmbGH0JjaJbUdp21-y2cPbobDbMjr09Bbtd"&amp;"KROZWc/edit#gid=1444865654"",""articles_with_PRISMA_reasons!B2:B2113""))&lt;2,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$A1201=I"&amp;"MPORTRANGE(""https://docs.google.com/spreadsheets/d/1qpEmbGH0JjaJbUdp21-y2cPbobDbMjr09BbtdKROZWc/edit#gid=1444865654"",""articles_with_PRISMA_reasons!B2:B2113""))&gt;=2),
""Exclude""
)"),"Exclude")</f>
        <v>Exclude</v>
      </c>
      <c r="F1201" s="5" t="str">
        <f>IFERROR(__xludf.DUMMYFUNCTION("IFS(
E1201=""Exclude"",""Exclude"",
AND(
COUNTIF(
IMPORTRANGE(""https://docs.google.com/spreadsheets/d/1kGrh75X1cNR1D7_FcY9zMnHP8iPO4M5RCRjy6nZY0TY/edit#gid=0"",""Table 1: Study characteristics!B4:B171""),A1201)&gt;0,
COUNTIF(Studies!$A$2:$A$85,FILTER(IMPORT"&amp;"RANGE(""https://docs.google.com/spreadsheets/d/1kGrh75X1cNR1D7_FcY9zMnHP8iPO4M5RCRjy6nZY0TY/edit#gid=0"",""Table 1: Study characteristics!A4:A171""), $A1201=IMPORTRANGE(""https://docs.google.com/spreadsheets/d/1kGrh75X1cNR1D7_FcY9zMnHP8iPO4M5RCRjy6nZY0TY/"&amp;"edit#gid=0"",""Table 1: Study characteristics!B4:B171"")))&gt;0
),
""Include""
)"),"Exclude")</f>
        <v>Exclude</v>
      </c>
      <c r="G1201" s="5" t="str">
        <f>IFERROR(__xludf.DUMMYFUNCTION("IFS(
D1201=""Exclude"",
FILTER(IMPORTRANGE(""https://docs.google.com/spreadsheets/d/1BJSV3WBYJGRhQ6zExamkszQ5VutGIcaQqmbD9ZTVXMQ/edit#gid=1251630045"",""articles_with_PRISMA_reasons!AB2:AB2113""), $A1201=IMPORTRANGE(""https://docs.google.com/spreadsheets/"&amp;"d/1BJSV3WBYJGRhQ6zExamkszQ5VutGIcaQqmbD9ZTVXMQ/edit#gid=1251630045"",""articles_with_PRISMA_reasons!B2:B2113"")),
E1201=""Exclude"",
FILTER(IMPORTRANGE(""https://docs.google.com/spreadsheets/d/1qpEmbGH0JjaJbUdp21-y2cPbobDbMjr09BbtdKROZWc/edit#gid=14448656"&amp;"54"",""articles_with_PRISMA_reasons!Z2:Z2113""), $A1201=IMPORTRANGE(""https://docs.google.com/spreadsheets/d/1qpEmbGH0JjaJbUdp21-y2cPbobDbMjr09BbtdKROZWc/edit#gid=1444865654"",""articles_with_PRISMA_reasons!B2:B2113"")),F1201
=""Include"",FILTER(IMPORTRAN"&amp;"GE(""https://docs.google.com/spreadsheets/d/1kGrh75X1cNR1D7_FcY9zMnHP8iPO4M5RCRjy6nZY0TY/edit#gid=0"",""Table 1: Study characteristics!A4:A171""), $A1201=IMPORTRANGE(""https://docs.google.com/spreadsheets/d/1kGrh75X1cNR1D7_FcY9zMnHP8iPO4M5RCRjy6nZY0TY/edi"&amp;"t#gid=0"",""Table 1: Study characteristics!B4:B171""))
)"),"background article")</f>
        <v>background article</v>
      </c>
    </row>
    <row r="1202">
      <c r="A1202" s="4" t="str">
        <f>IFERROR(__xludf.DUMMYFUNCTION("""COMPUTED_VALUE"""),"MR imaging in congenital disorders of the brain")</f>
        <v>MR imaging in congenital disorders of the brain</v>
      </c>
      <c r="B1202" s="5" t="str">
        <f>IFERROR(__xludf.DUMMYFUNCTION("LEFT(FILTER(IMPORTRANGE(""https://docs.google.com/spreadsheets/d/1BJSV3WBYJGRhQ6zExamkszQ5VutGIcaQqmbD9ZTVXMQ/edit#gid=1251630045"",""articles_with_PRISMA_reasons!K2:K2113""), $A1202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$A1202=IMPORTRANGE(""https://docs.google.com/spreadsheets/d/1BJSV3WBYJGRhQ6zExamkszQ5VutGIcaQqmbD9ZTVXMQ/edit#gid=1251630045"",""articles_with_PRISMA_reasons!B2:B2113"")))-1)"),"Rummeny")</f>
        <v>Rummeny</v>
      </c>
      <c r="C1202" s="6">
        <f>IFERROR(__xludf.DUMMYFUNCTION("FILTER(IMPORTRANGE(""https://docs.google.com/spreadsheets/d/1BJSV3WBYJGRhQ6zExamkszQ5VutGIcaQqmbD9ZTVXMQ/edit#gid=1251630045"",""articles_with_PRISMA_reasons!C2:C2113""), $A1202=IMPORTRANGE(""https://docs.google.com/spreadsheets/d/1BJSV3WBYJGRhQ6zExamkszQ"&amp;"5VutGIcaQqmbD9ZTVXMQ/edit#gid=1251630045"",""articles_with_PRISMA_reasons!B2:B2113""))"),2005.0)</f>
        <v>2005</v>
      </c>
      <c r="D1202" s="5" t="str">
        <f>IFERROR(__xludf.DUMMYFUNCTION("IFS(AND(
FILTER(IMPORTRANGE(""https://docs.google.com/spreadsheets/d/1BJSV3WBYJGRhQ6zExamkszQ5VutGIcaQqmbD9ZTVXMQ/edit#gid=1251630045"",""articles_with_PRISMA_reasons!Y2:Y2113""), $A1202=IMPORTRANGE(""https://docs.google.com/spreadsheets/d/1BJSV3WBYJGRhQ6"&amp;"zExamkszQ5VutGIcaQqmbD9ZTVXMQ/edit#gid=1251630045"",""articles_with_PRISMA_reasons!B2:B2113""))&gt;=2,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$A1202=IMPORTRANGE(""https://docs.google.com/spreadsheets/d/1BJSV3WBYJGRhQ6zExamkszQ5VutGIcaQqmbD9ZTVXMQ/edit#gid=1251630045"",""articles_with_PRISMA_reasons!B2:B2113""))&lt;2),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$A1202=IMPORTRANGE(""https://docs.google.com/spreadsheets/d/1BJSV3WBYJGRhQ6zExamkszQ5VutGIcaQqmbD9ZTVXMQ/edit#gid=1251630045"",""a"&amp;"rticles_with_PRISMA_reasons!B2:B2113""))&lt;2,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$A1202=IMPORTRANGE(""https://docs.google"&amp;".com/spreadsheets/d/1BJSV3WBYJGRhQ6zExamkszQ5VutGIcaQqmbD9ZTVXMQ/edit#gid=1251630045"",""articles_with_PRISMA_reasons!B2:B2113""))&gt;=2),
""Exclude""
)"),"Exclude")</f>
        <v>Exclude</v>
      </c>
      <c r="E1202" s="5" t="str">
        <f>IFERROR(__xludf.DUMMYFUNCTION("IFS(
D1202=""Exclude"",""Exclude"",
AND(
FILTER(IMPORTRANGE(""https://docs.google.com/spreadsheets/d/1qpEmbGH0JjaJbUdp21-y2cPbobDbMjr09BbtdKROZWc/edit#gid=1444865654"",""articles_with_PRISMA_reasons!W2:W2113""), $A1202=IMPORTRANGE(""https://docs.google.co"&amp;"m/spreadsheets/d/1qpEmbGH0JjaJbUdp21-y2cPbobDbMjr09BbtdKROZWc/edit#gid=1444865654"",""articles_with_PRISMA_reasons!B2:B2113""))&gt;=2,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$A1202=I"&amp;"MPORTRANGE(""https://docs.google.com/spreadsheets/d/1qpEmbGH0JjaJbUdp21-y2cPbobDbMjr09BbtdKROZWc/edit#gid=1444865654"",""articles_with_PRISMA_reasons!B2:B2113""))&gt;=2),
""Exclude""
)"),"Exclude")</f>
        <v>Exclude</v>
      </c>
      <c r="F1202" s="5" t="str">
        <f>IFERROR(__xludf.DUMMYFUNCTION("IFS(
E1202=""Exclude"",""Exclude"",
AND(
COUNTIF(
IMPORTRANGE(""https://docs.google.com/spreadsheets/d/1kGrh75X1cNR1D7_FcY9zMnHP8iPO4M5RCRjy6nZY0TY/edit#gid=0"",""Table 1: Study characteristics!B4:B171""),A1202)&gt;0,
COUNTIF(Studies!$A$2:$A$85,FILTER(IMPORT"&amp;"RANGE(""https://docs.google.com/spreadsheets/d/1kGrh75X1cNR1D7_FcY9zMnHP8iPO4M5RCRjy6nZY0TY/edit#gid=0"",""Table 1: Study characteristics!A4:A171""), $A1202=IMPORTRANGE(""https://docs.google.com/spreadsheets/d/1kGrh75X1cNR1D7_FcY9zMnHP8iPO4M5RCRjy6nZY0TY/"&amp;"edit#gid=0"",""Table 1: Study characteristics!B4:B171"")))&gt;0
),
""Include""
)"),"Exclude")</f>
        <v>Exclude</v>
      </c>
      <c r="G1202" s="5" t="str">
        <f>IFERROR(__xludf.DUMMYFUNCTION("IFS(
D1202=""Exclude"",
FILTER(IMPORTRANGE(""https://docs.google.com/spreadsheets/d/1BJSV3WBYJGRhQ6zExamkszQ5VutGIcaQqmbD9ZTVXMQ/edit#gid=1251630045"",""articles_with_PRISMA_reasons!AB2:AB2113""), $A1202=IMPORTRANGE(""https://docs.google.com/spreadsheets/"&amp;"d/1BJSV3WBYJGRhQ6zExamkszQ5VutGIcaQqmbD9ZTVXMQ/edit#gid=1251630045"",""articles_with_PRISMA_reasons!B2:B2113"")),
E1202=""Exclude"",
FILTER(IMPORTRANGE(""https://docs.google.com/spreadsheets/d/1qpEmbGH0JjaJbUdp21-y2cPbobDbMjr09BbtdKROZWc/edit#gid=14448656"&amp;"54"",""articles_with_PRISMA_reasons!Z2:Z2113""), $A1202=IMPORTRANGE(""https://docs.google.com/spreadsheets/d/1qpEmbGH0JjaJbUdp21-y2cPbobDbMjr09BbtdKROZWc/edit#gid=1444865654"",""articles_with_PRISMA_reasons!B2:B2113"")),F1202
=""Include"",FILTER(IMPORTRAN"&amp;"GE(""https://docs.google.com/spreadsheets/d/1kGrh75X1cNR1D7_FcY9zMnHP8iPO4M5RCRjy6nZY0TY/edit#gid=0"",""Table 1: Study characteristics!A4:A171""), $A1202=IMPORTRANGE(""https://docs.google.com/spreadsheets/d/1kGrh75X1cNR1D7_FcY9zMnHP8iPO4M5RCRjy6nZY0TY/edi"&amp;"t#gid=0"",""Table 1: Study characteristics!B4:B171""))
)"),"wrong population")</f>
        <v>wrong population</v>
      </c>
    </row>
    <row r="1203">
      <c r="A1203" s="4" t="str">
        <f>IFERROR(__xludf.DUMMYFUNCTION("""COMPUTED_VALUE"""),"MR imaging of fetal central nervous system abnormalities")</f>
        <v>MR imaging of fetal central nervous system abnormalities</v>
      </c>
      <c r="B1203" s="5" t="str">
        <f>IFERROR(__xludf.DUMMYFUNCTION("LEFT(FILTER(IMPORTRANGE(""https://docs.google.com/spreadsheets/d/1BJSV3WBYJGRhQ6zExamkszQ5VutGIcaQqmbD9ZTVXMQ/edit#gid=1251630045"",""articles_with_PRISMA_reasons!K2:K2113""), $A1203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$A1203=IMPORTRANGE(""https://docs.google.com/spreadsheets/d/1BJSV3WBYJGRhQ6zExamkszQ5VutGIcaQqmbD9ZTVXMQ/edit#gid=1251630045"",""articles_with_PRISMA_reasons!B2:B2113"")))-1)"),"Levine")</f>
        <v>Levine</v>
      </c>
      <c r="C1203" s="6">
        <f>IFERROR(__xludf.DUMMYFUNCTION("FILTER(IMPORTRANGE(""https://docs.google.com/spreadsheets/d/1BJSV3WBYJGRhQ6zExamkszQ5VutGIcaQqmbD9ZTVXMQ/edit#gid=1251630045"",""articles_with_PRISMA_reasons!C2:C2113""), $A1203=IMPORTRANGE(""https://docs.google.com/spreadsheets/d/1BJSV3WBYJGRhQ6zExamkszQ"&amp;"5VutGIcaQqmbD9ZTVXMQ/edit#gid=1251630045"",""articles_with_PRISMA_reasons!B2:B2113""))"),2002.0)</f>
        <v>2002</v>
      </c>
      <c r="D1203" s="5" t="str">
        <f>IFERROR(__xludf.DUMMYFUNCTION("IFS(AND(
FILTER(IMPORTRANGE(""https://docs.google.com/spreadsheets/d/1BJSV3WBYJGRhQ6zExamkszQ5VutGIcaQqmbD9ZTVXMQ/edit#gid=1251630045"",""articles_with_PRISMA_reasons!Y2:Y2113""), $A1203=IMPORTRANGE(""https://docs.google.com/spreadsheets/d/1BJSV3WBYJGRhQ6"&amp;"zExamkszQ5VutGIcaQqmbD9ZTVXMQ/edit#gid=1251630045"",""articles_with_PRISMA_reasons!B2:B2113""))&gt;=2,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$A1203=IMPORTRANGE(""https://docs.google"&amp;".com/spreadsheets/d/1BJSV3WBYJGRhQ6zExamkszQ5VutGIcaQqmbD9ZTVXMQ/edit#gid=1251630045"",""articles_with_PRISMA_reasons!B2:B2113""))&gt;=2),
""Exclude""
)"),"Exclude")</f>
        <v>Exclude</v>
      </c>
      <c r="E1203" s="5" t="str">
        <f>IFERROR(__xludf.DUMMYFUNCTION("IFS(
D1203=""Exclude"",""Exclude"",
AND(
FILTER(IMPORTRANGE(""https://docs.google.com/spreadsheets/d/1qpEmbGH0JjaJbUdp21-y2cPbobDbMjr09BbtdKROZWc/edit#gid=1444865654"",""articles_with_PRISMA_reasons!W2:W2113""), $A1203=IMPORTRANGE(""https://docs.google.co"&amp;"m/spreadsheets/d/1qpEmbGH0JjaJbUdp21-y2cPbobDbMjr09BbtdKROZWc/edit#gid=1444865654"",""articles_with_PRISMA_reasons!B2:B2113""))&gt;=2,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$A1203=I"&amp;"MPORTRANGE(""https://docs.google.com/spreadsheets/d/1qpEmbGH0JjaJbUdp21-y2cPbobDbMjr09BbtdKROZWc/edit#gid=1444865654"",""articles_with_PRISMA_reasons!B2:B2113""))&gt;=2),
""Exclude""
)"),"Exclude")</f>
        <v>Exclude</v>
      </c>
      <c r="F1203" s="5" t="str">
        <f>IFERROR(__xludf.DUMMYFUNCTION("IFS(
E1203=""Exclude"",""Exclude"",
AND(
COUNTIF(
IMPORTRANGE(""https://docs.google.com/spreadsheets/d/1kGrh75X1cNR1D7_FcY9zMnHP8iPO4M5RCRjy6nZY0TY/edit#gid=0"",""Table 1: Study characteristics!B4:B171""),A1203)&gt;0,
COUNTIF(Studies!$A$2:$A$85,FILTER(IMPORT"&amp;"RANGE(""https://docs.google.com/spreadsheets/d/1kGrh75X1cNR1D7_FcY9zMnHP8iPO4M5RCRjy6nZY0TY/edit#gid=0"",""Table 1: Study characteristics!A4:A171""), $A1203=IMPORTRANGE(""https://docs.google.com/spreadsheets/d/1kGrh75X1cNR1D7_FcY9zMnHP8iPO4M5RCRjy6nZY0TY/"&amp;"edit#gid=0"",""Table 1: Study characteristics!B4:B171"")))&gt;0
),
""Include""
)"),"Exclude")</f>
        <v>Exclude</v>
      </c>
      <c r="G1203" s="5" t="str">
        <f>IFERROR(__xludf.DUMMYFUNCTION("IFS(
D1203=""Exclude"",
FILTER(IMPORTRANGE(""https://docs.google.com/spreadsheets/d/1BJSV3WBYJGRhQ6zExamkszQ5VutGIcaQqmbD9ZTVXMQ/edit#gid=1251630045"",""articles_with_PRISMA_reasons!AB2:AB2113""), $A1203=IMPORTRANGE(""https://docs.google.com/spreadsheets/"&amp;"d/1BJSV3WBYJGRhQ6zExamkszQ5VutGIcaQqmbD9ZTVXMQ/edit#gid=1251630045"",""articles_with_PRISMA_reasons!B2:B2113"")),
E1203=""Exclude"",
FILTER(IMPORTRANGE(""https://docs.google.com/spreadsheets/d/1qpEmbGH0JjaJbUdp21-y2cPbobDbMjr09BbtdKROZWc/edit#gid=14448656"&amp;"54"",""articles_with_PRISMA_reasons!Z2:Z2113""), $A1203=IMPORTRANGE(""https://docs.google.com/spreadsheets/d/1qpEmbGH0JjaJbUdp21-y2cPbobDbMjr09BbtdKROZWc/edit#gid=1444865654"",""articles_with_PRISMA_reasons!B2:B2113"")),F1203
=""Include"",FILTER(IMPORTRAN"&amp;"GE(""https://docs.google.com/spreadsheets/d/1kGrh75X1cNR1D7_FcY9zMnHP8iPO4M5RCRjy6nZY0TY/edit#gid=0"",""Table 1: Study characteristics!A4:A171""), $A1203=IMPORTRANGE(""https://docs.google.com/spreadsheets/d/1kGrh75X1cNR1D7_FcY9zMnHP8iPO4M5RCRjy6nZY0TY/edi"&amp;"t#gid=0"",""Table 1: Study characteristics!B4:B171""))
)"),"wrong population")</f>
        <v>wrong population</v>
      </c>
    </row>
    <row r="1204">
      <c r="A1204" s="4" t="str">
        <f>IFERROR(__xludf.DUMMYFUNCTION("""COMPUTED_VALUE"""),"MR imaging of syringohydromyelia and Chiari malformations in myelomeningocele patients with scoliosis")</f>
        <v>MR imaging of syringohydromyelia and Chiari malformations in myelomeningocele patients with scoliosis</v>
      </c>
      <c r="B1204" s="5" t="str">
        <f>IFERROR(__xludf.DUMMYFUNCTION("LEFT(FILTER(IMPORTRANGE(""https://docs.google.com/spreadsheets/d/1BJSV3WBYJGRhQ6zExamkszQ5VutGIcaQqmbD9ZTVXMQ/edit#gid=1251630045"",""articles_with_PRISMA_reasons!K2:K2113""), $A1204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$A1204=IMPORTRANGE(""https://docs.google.com/spreadsheets/d/1BJSV3WBYJGRhQ6zExamkszQ5VutGIcaQqmbD9ZTVXMQ/edit#gid=1251630045"",""articles_with_PRISMA_reasons!B2:B2113"")))-1)"),"Samuelsson")</f>
        <v>Samuelsson</v>
      </c>
      <c r="C1204" s="6">
        <f>IFERROR(__xludf.DUMMYFUNCTION("FILTER(IMPORTRANGE(""https://docs.google.com/spreadsheets/d/1BJSV3WBYJGRhQ6zExamkszQ5VutGIcaQqmbD9ZTVXMQ/edit#gid=1251630045"",""articles_with_PRISMA_reasons!C2:C2113""), $A1204=IMPORTRANGE(""https://docs.google.com/spreadsheets/d/1BJSV3WBYJGRhQ6zExamkszQ"&amp;"5VutGIcaQqmbD9ZTVXMQ/edit#gid=1251630045"",""articles_with_PRISMA_reasons!B2:B2113""))"),1987.0)</f>
        <v>1987</v>
      </c>
      <c r="D1204" s="5" t="str">
        <f>IFERROR(__xludf.DUMMYFUNCTION("IFS(AND(
FILTER(IMPORTRANGE(""https://docs.google.com/spreadsheets/d/1BJSV3WBYJGRhQ6zExamkszQ5VutGIcaQqmbD9ZTVXMQ/edit#gid=1251630045"",""articles_with_PRISMA_reasons!Y2:Y2113""), $A1204=IMPORTRANGE(""https://docs.google.com/spreadsheets/d/1BJSV3WBYJGRhQ6"&amp;"zExamkszQ5VutGIcaQqmbD9ZTVXMQ/edit#gid=1251630045"",""articles_with_PRISMA_reasons!B2:B2113""))&gt;=2,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$A1204=IMPORTRANGE(""https://docs.google"&amp;".com/spreadsheets/d/1BJSV3WBYJGRhQ6zExamkszQ5VutGIcaQqmbD9ZTVXMQ/edit#gid=1251630045"",""articles_with_PRISMA_reasons!B2:B2113""))&gt;=2),
""Exclude""
)"),"Exclude")</f>
        <v>Exclude</v>
      </c>
      <c r="E1204" s="5" t="str">
        <f>IFERROR(__xludf.DUMMYFUNCTION("IFS(
D1204=""Exclude"",""Exclude"",
AND(
FILTER(IMPORTRANGE(""https://docs.google.com/spreadsheets/d/1qpEmbGH0JjaJbUdp21-y2cPbobDbMjr09BbtdKROZWc/edit#gid=1444865654"",""articles_with_PRISMA_reasons!W2:W2113""), $A1204=IMPORTRANGE(""https://docs.google.co"&amp;"m/spreadsheets/d/1qpEmbGH0JjaJbUdp21-y2cPbobDbMjr09BbtdKROZWc/edit#gid=1444865654"",""articles_with_PRISMA_reasons!B2:B2113""))&gt;=2,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$A1204=I"&amp;"MPORTRANGE(""https://docs.google.com/spreadsheets/d/1qpEmbGH0JjaJbUdp21-y2cPbobDbMjr09BbtdKROZWc/edit#gid=1444865654"",""articles_with_PRISMA_reasons!B2:B2113""))&gt;=2),
""Exclude""
)"),"Exclude")</f>
        <v>Exclude</v>
      </c>
      <c r="F1204" s="5" t="str">
        <f>IFERROR(__xludf.DUMMYFUNCTION("IFS(
E1204=""Exclude"",""Exclude"",
AND(
COUNTIF(
IMPORTRANGE(""https://docs.google.com/spreadsheets/d/1kGrh75X1cNR1D7_FcY9zMnHP8iPO4M5RCRjy6nZY0TY/edit#gid=0"",""Table 1: Study characteristics!B4:B171""),A1204)&gt;0,
COUNTIF(Studies!$A$2:$A$85,FILTER(IMPORT"&amp;"RANGE(""https://docs.google.com/spreadsheets/d/1kGrh75X1cNR1D7_FcY9zMnHP8iPO4M5RCRjy6nZY0TY/edit#gid=0"",""Table 1: Study characteristics!A4:A171""), $A1204=IMPORTRANGE(""https://docs.google.com/spreadsheets/d/1kGrh75X1cNR1D7_FcY9zMnHP8iPO4M5RCRjy6nZY0TY/"&amp;"edit#gid=0"",""Table 1: Study characteristics!B4:B171"")))&gt;0
),
""Include""
)"),"Exclude")</f>
        <v>Exclude</v>
      </c>
      <c r="G1204" s="5" t="str">
        <f>IFERROR(__xludf.DUMMYFUNCTION("IFS(
D1204=""Exclude"",
FILTER(IMPORTRANGE(""https://docs.google.com/spreadsheets/d/1BJSV3WBYJGRhQ6zExamkszQ5VutGIcaQqmbD9ZTVXMQ/edit#gid=1251630045"",""articles_with_PRISMA_reasons!AB2:AB2113""), $A1204=IMPORTRANGE(""https://docs.google.com/spreadsheets/"&amp;"d/1BJSV3WBYJGRhQ6zExamkszQ5VutGIcaQqmbD9ZTVXMQ/edit#gid=1251630045"",""articles_with_PRISMA_reasons!B2:B2113"")),
E1204=""Exclude"",
FILTER(IMPORTRANGE(""https://docs.google.com/spreadsheets/d/1qpEmbGH0JjaJbUdp21-y2cPbobDbMjr09BbtdKROZWc/edit#gid=14448656"&amp;"54"",""articles_with_PRISMA_reasons!Z2:Z2113""), $A1204=IMPORTRANGE(""https://docs.google.com/spreadsheets/d/1qpEmbGH0JjaJbUdp21-y2cPbobDbMjr09BbtdKROZWc/edit#gid=1444865654"",""articles_with_PRISMA_reasons!B2:B2113"")),F1204
=""Include"",FILTER(IMPORTRAN"&amp;"GE(""https://docs.google.com/spreadsheets/d/1kGrh75X1cNR1D7_FcY9zMnHP8iPO4M5RCRjy6nZY0TY/edit#gid=0"",""Table 1: Study characteristics!A4:A171""), $A1204=IMPORTRANGE(""https://docs.google.com/spreadsheets/d/1kGrh75X1cNR1D7_FcY9zMnHP8iPO4M5RCRjy6nZY0TY/edi"&amp;"t#gid=0"",""Table 1: Study characteristics!B4:B171""))
)"),"wrong population")</f>
        <v>wrong population</v>
      </c>
    </row>
    <row r="1205">
      <c r="A1205" s="4" t="str">
        <f>IFERROR(__xludf.DUMMYFUNCTION("""COMPUTED_VALUE"""),"MR imaging of the fetal brain at 1.5T and 3.0T field strengths: Comparing specific absorption rate (SAR) and image quality")</f>
        <v>MR imaging of the fetal brain at 1.5T and 3.0T field strengths: Comparing specific absorption rate (SAR) and image quality</v>
      </c>
      <c r="B1205" s="5" t="str">
        <f>IFERROR(__xludf.DUMMYFUNCTION("LEFT(FILTER(IMPORTRANGE(""https://docs.google.com/spreadsheets/d/1BJSV3WBYJGRhQ6zExamkszQ5VutGIcaQqmbD9ZTVXMQ/edit#gid=1251630045"",""articles_with_PRISMA_reasons!K2:K2113""), $A1205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$A1205=IMPORTRANGE(""https://docs.google.com/spreadsheets/d/1BJSV3WBYJGRhQ6zExamkszQ5VutGIcaQqmbD9ZTVXMQ/edit#gid=1251630045"",""articles_with_PRISMA_reasons!B2:B2113"")))-1)"),"Mody")</f>
        <v>Mody</v>
      </c>
      <c r="C1205" s="6">
        <f>IFERROR(__xludf.DUMMYFUNCTION("FILTER(IMPORTRANGE(""https://docs.google.com/spreadsheets/d/1BJSV3WBYJGRhQ6zExamkszQ5VutGIcaQqmbD9ZTVXMQ/edit#gid=1251630045"",""articles_with_PRISMA_reasons!C2:C2113""), $A1205=IMPORTRANGE(""https://docs.google.com/spreadsheets/d/1BJSV3WBYJGRhQ6zExamkszQ"&amp;"5VutGIcaQqmbD9ZTVXMQ/edit#gid=1251630045"",""articles_with_PRISMA_reasons!B2:B2113""))"),2015.0)</f>
        <v>2015</v>
      </c>
      <c r="D1205" s="5" t="str">
        <f>IFERROR(__xludf.DUMMYFUNCTION("IFS(AND(
FILTER(IMPORTRANGE(""https://docs.google.com/spreadsheets/d/1BJSV3WBYJGRhQ6zExamkszQ5VutGIcaQqmbD9ZTVXMQ/edit#gid=1251630045"",""articles_with_PRISMA_reasons!Y2:Y2113""), $A1205=IMPORTRANGE(""https://docs.google.com/spreadsheets/d/1BJSV3WBYJGRhQ6"&amp;"zExamkszQ5VutGIcaQqmbD9ZTVXMQ/edit#gid=1251630045"",""articles_with_PRISMA_reasons!B2:B2113""))&gt;=2,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$A1205=IMPORTRANGE(""https://docs.google"&amp;".com/spreadsheets/d/1BJSV3WBYJGRhQ6zExamkszQ5VutGIcaQqmbD9ZTVXMQ/edit#gid=1251630045"",""articles_with_PRISMA_reasons!B2:B2113""))&gt;=2),
""Exclude""
)"),"Exclude")</f>
        <v>Exclude</v>
      </c>
      <c r="E1205" s="5" t="str">
        <f>IFERROR(__xludf.DUMMYFUNCTION("IFS(
D1205=""Exclude"",""Exclude"",
AND(
FILTER(IMPORTRANGE(""https://docs.google.com/spreadsheets/d/1qpEmbGH0JjaJbUdp21-y2cPbobDbMjr09BbtdKROZWc/edit#gid=1444865654"",""articles_with_PRISMA_reasons!W2:W2113""), $A1205=IMPORTRANGE(""https://docs.google.co"&amp;"m/spreadsheets/d/1qpEmbGH0JjaJbUdp21-y2cPbobDbMjr09BbtdKROZWc/edit#gid=1444865654"",""articles_with_PRISMA_reasons!B2:B2113""))&gt;=2,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$A1205=I"&amp;"MPORTRANGE(""https://docs.google.com/spreadsheets/d/1qpEmbGH0JjaJbUdp21-y2cPbobDbMjr09BbtdKROZWc/edit#gid=1444865654"",""articles_with_PRISMA_reasons!B2:B2113""))&gt;=2),
""Exclude""
)"),"Exclude")</f>
        <v>Exclude</v>
      </c>
      <c r="F1205" s="5" t="str">
        <f>IFERROR(__xludf.DUMMYFUNCTION("IFS(
E1205=""Exclude"",""Exclude"",
AND(
COUNTIF(
IMPORTRANGE(""https://docs.google.com/spreadsheets/d/1kGrh75X1cNR1D7_FcY9zMnHP8iPO4M5RCRjy6nZY0TY/edit#gid=0"",""Table 1: Study characteristics!B4:B171""),A1205)&gt;0,
COUNTIF(Studies!$A$2:$A$85,FILTER(IMPORT"&amp;"RANGE(""https://docs.google.com/spreadsheets/d/1kGrh75X1cNR1D7_FcY9zMnHP8iPO4M5RCRjy6nZY0TY/edit#gid=0"",""Table 1: Study characteristics!A4:A171""), $A1205=IMPORTRANGE(""https://docs.google.com/spreadsheets/d/1kGrh75X1cNR1D7_FcY9zMnHP8iPO4M5RCRjy6nZY0TY/"&amp;"edit#gid=0"",""Table 1: Study characteristics!B4:B171"")))&gt;0
),
""Include""
)"),"Exclude")</f>
        <v>Exclude</v>
      </c>
      <c r="G1205" s="5" t="str">
        <f>IFERROR(__xludf.DUMMYFUNCTION("IFS(
D1205=""Exclude"",
FILTER(IMPORTRANGE(""https://docs.google.com/spreadsheets/d/1BJSV3WBYJGRhQ6zExamkszQ5VutGIcaQqmbD9ZTVXMQ/edit#gid=1251630045"",""articles_with_PRISMA_reasons!AB2:AB2113""), $A1205=IMPORTRANGE(""https://docs.google.com/spreadsheets/"&amp;"d/1BJSV3WBYJGRhQ6zExamkszQ5VutGIcaQqmbD9ZTVXMQ/edit#gid=1251630045"",""articles_with_PRISMA_reasons!B2:B2113"")),
E1205=""Exclude"",
FILTER(IMPORTRANGE(""https://docs.google.com/spreadsheets/d/1qpEmbGH0JjaJbUdp21-y2cPbobDbMjr09BbtdKROZWc/edit#gid=14448656"&amp;"54"",""articles_with_PRISMA_reasons!Z2:Z2113""), $A1205=IMPORTRANGE(""https://docs.google.com/spreadsheets/d/1qpEmbGH0JjaJbUdp21-y2cPbobDbMjr09BbtdKROZWc/edit#gid=1444865654"",""articles_with_PRISMA_reasons!B2:B2113"")),F1205
=""Include"",FILTER(IMPORTRAN"&amp;"GE(""https://docs.google.com/spreadsheets/d/1kGrh75X1cNR1D7_FcY9zMnHP8iPO4M5RCRjy6nZY0TY/edit#gid=0"",""Table 1: Study characteristics!A4:A171""), $A1205=IMPORTRANGE(""https://docs.google.com/spreadsheets/d/1kGrh75X1cNR1D7_FcY9zMnHP8iPO4M5RCRjy6nZY0TY/edi"&amp;"t#gid=0"",""Table 1: Study characteristics!B4:B171""))
)"),"wrong population")</f>
        <v>wrong population</v>
      </c>
    </row>
    <row r="1206">
      <c r="A1206" s="4" t="str">
        <f>IFERROR(__xludf.DUMMYFUNCTION("""COMPUTED_VALUE"""),"MR of terminal myelocystoceles")</f>
        <v>MR of terminal myelocystoceles</v>
      </c>
      <c r="B1206" s="5" t="str">
        <f>IFERROR(__xludf.DUMMYFUNCTION("LEFT(FILTER(IMPORTRANGE(""https://docs.google.com/spreadsheets/d/1BJSV3WBYJGRhQ6zExamkszQ5VutGIcaQqmbD9ZTVXMQ/edit#gid=1251630045"",""articles_with_PRISMA_reasons!K2:K2113""), $A1206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$A1206=IMPORTRANGE(""https://docs.google.com/spreadsheets/d/1BJSV3WBYJGRhQ6zExamkszQ5VutGIcaQqmbD9ZTVXMQ/edit#gid=1251630045"",""articles_with_PRISMA_reasons!B2:B2113"")))-1)"),"Byrd")</f>
        <v>Byrd</v>
      </c>
      <c r="C1206" s="6">
        <f>IFERROR(__xludf.DUMMYFUNCTION("FILTER(IMPORTRANGE(""https://docs.google.com/spreadsheets/d/1BJSV3WBYJGRhQ6zExamkszQ5VutGIcaQqmbD9ZTVXMQ/edit#gid=1251630045"",""articles_with_PRISMA_reasons!C2:C2113""), $A1206=IMPORTRANGE(""https://docs.google.com/spreadsheets/d/1BJSV3WBYJGRhQ6zExamkszQ"&amp;"5VutGIcaQqmbD9ZTVXMQ/edit#gid=1251630045"",""articles_with_PRISMA_reasons!B2:B2113""))"),1995.0)</f>
        <v>1995</v>
      </c>
      <c r="D1206" s="5" t="str">
        <f>IFERROR(__xludf.DUMMYFUNCTION("IFS(AND(
FILTER(IMPORTRANGE(""https://docs.google.com/spreadsheets/d/1BJSV3WBYJGRhQ6zExamkszQ5VutGIcaQqmbD9ZTVXMQ/edit#gid=1251630045"",""articles_with_PRISMA_reasons!Y2:Y2113""), $A1206=IMPORTRANGE(""https://docs.google.com/spreadsheets/d/1BJSV3WBYJGRhQ6"&amp;"zExamkszQ5VutGIcaQqmbD9ZTVXMQ/edit#gid=1251630045"",""articles_with_PRISMA_reasons!B2:B2113""))&gt;=2,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$A1206=IMPORTRANGE(""https://docs.google"&amp;".com/spreadsheets/d/1BJSV3WBYJGRhQ6zExamkszQ5VutGIcaQqmbD9ZTVXMQ/edit#gid=1251630045"",""articles_with_PRISMA_reasons!B2:B2113""))&gt;=2),
""Exclude""
)"),"Exclude")</f>
        <v>Exclude</v>
      </c>
      <c r="E1206" s="5" t="str">
        <f>IFERROR(__xludf.DUMMYFUNCTION("IFS(
D1206=""Exclude"",""Exclude"",
AND(
FILTER(IMPORTRANGE(""https://docs.google.com/spreadsheets/d/1qpEmbGH0JjaJbUdp21-y2cPbobDbMjr09BbtdKROZWc/edit#gid=1444865654"",""articles_with_PRISMA_reasons!W2:W2113""), $A1206=IMPORTRANGE(""https://docs.google.co"&amp;"m/spreadsheets/d/1qpEmbGH0JjaJbUdp21-y2cPbobDbMjr09BbtdKROZWc/edit#gid=1444865654"",""articles_with_PRISMA_reasons!B2:B2113""))&gt;=2,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$A1206=I"&amp;"MPORTRANGE(""https://docs.google.com/spreadsheets/d/1qpEmbGH0JjaJbUdp21-y2cPbobDbMjr09BbtdKROZWc/edit#gid=1444865654"",""articles_with_PRISMA_reasons!B2:B2113""))&gt;=2),
""Exclude""
)"),"Exclude")</f>
        <v>Exclude</v>
      </c>
      <c r="F1206" s="5" t="str">
        <f>IFERROR(__xludf.DUMMYFUNCTION("IFS(
E1206=""Exclude"",""Exclude"",
AND(
COUNTIF(
IMPORTRANGE(""https://docs.google.com/spreadsheets/d/1kGrh75X1cNR1D7_FcY9zMnHP8iPO4M5RCRjy6nZY0TY/edit#gid=0"",""Table 1: Study characteristics!B4:B171""),A1206)&gt;0,
COUNTIF(Studies!$A$2:$A$85,FILTER(IMPORT"&amp;"RANGE(""https://docs.google.com/spreadsheets/d/1kGrh75X1cNR1D7_FcY9zMnHP8iPO4M5RCRjy6nZY0TY/edit#gid=0"",""Table 1: Study characteristics!A4:A171""), $A1206=IMPORTRANGE(""https://docs.google.com/spreadsheets/d/1kGrh75X1cNR1D7_FcY9zMnHP8iPO4M5RCRjy6nZY0TY/"&amp;"edit#gid=0"",""Table 1: Study characteristics!B4:B171"")))&gt;0
),
""Include""
)"),"Exclude")</f>
        <v>Exclude</v>
      </c>
      <c r="G1206" s="5" t="str">
        <f>IFERROR(__xludf.DUMMYFUNCTION("IFS(
D1206=""Exclude"",
FILTER(IMPORTRANGE(""https://docs.google.com/spreadsheets/d/1BJSV3WBYJGRhQ6zExamkszQ5VutGIcaQqmbD9ZTVXMQ/edit#gid=1251630045"",""articles_with_PRISMA_reasons!AB2:AB2113""), $A1206=IMPORTRANGE(""https://docs.google.com/spreadsheets/"&amp;"d/1BJSV3WBYJGRhQ6zExamkszQ5VutGIcaQqmbD9ZTVXMQ/edit#gid=1251630045"",""articles_with_PRISMA_reasons!B2:B2113"")),
E1206=""Exclude"",
FILTER(IMPORTRANGE(""https://docs.google.com/spreadsheets/d/1qpEmbGH0JjaJbUdp21-y2cPbobDbMjr09BbtdKROZWc/edit#gid=14448656"&amp;"54"",""articles_with_PRISMA_reasons!Z2:Z2113""), $A1206=IMPORTRANGE(""https://docs.google.com/spreadsheets/d/1qpEmbGH0JjaJbUdp21-y2cPbobDbMjr09BbtdKROZWc/edit#gid=1444865654"",""articles_with_PRISMA_reasons!B2:B2113"")),F1206
=""Include"",FILTER(IMPORTRAN"&amp;"GE(""https://docs.google.com/spreadsheets/d/1kGrh75X1cNR1D7_FcY9zMnHP8iPO4M5RCRjy6nZY0TY/edit#gid=0"",""Table 1: Study characteristics!A4:A171""), $A1206=IMPORTRANGE(""https://docs.google.com/spreadsheets/d/1kGrh75X1cNR1D7_FcY9zMnHP8iPO4M5RCRjy6nZY0TY/edi"&amp;"t#gid=0"",""Table 1: Study characteristics!B4:B171""))
)"),"wrong study design")</f>
        <v>wrong study design</v>
      </c>
    </row>
    <row r="1207">
      <c r="A1207" s="4" t="str">
        <f>IFERROR(__xludf.DUMMYFUNCTION("""COMPUTED_VALUE"""),"MRI evaluation of fetal tethered-cord syndrome: correlation with ultrasound findings and clinical follow-up after birth")</f>
        <v>MRI evaluation of fetal tethered-cord syndrome: correlation with ultrasound findings and clinical follow-up after birth</v>
      </c>
      <c r="B1207" s="5" t="str">
        <f>IFERROR(__xludf.DUMMYFUNCTION("LEFT(FILTER(IMPORTRANGE(""https://docs.google.com/spreadsheets/d/1BJSV3WBYJGRhQ6zExamkszQ5VutGIcaQqmbD9ZTVXMQ/edit#gid=1251630045"",""articles_with_PRISMA_reasons!K2:K2113""), $A1207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$A1207=IMPORTRANGE(""https://docs.google.com/spreadsheets/d/1BJSV3WBYJGRhQ6zExamkszQ5VutGIcaQqmbD9ZTVXMQ/edit#gid=1251630045"",""articles_with_PRISMA_reasons!B2:B2113"")))-1)"),"Wang")</f>
        <v>Wang</v>
      </c>
      <c r="C1207" s="6">
        <f>IFERROR(__xludf.DUMMYFUNCTION("FILTER(IMPORTRANGE(""https://docs.google.com/spreadsheets/d/1BJSV3WBYJGRhQ6zExamkszQ5VutGIcaQqmbD9ZTVXMQ/edit#gid=1251630045"",""articles_with_PRISMA_reasons!C2:C2113""), $A1207=IMPORTRANGE(""https://docs.google.com/spreadsheets/d/1BJSV3WBYJGRhQ6zExamkszQ"&amp;"5VutGIcaQqmbD9ZTVXMQ/edit#gid=1251630045"",""articles_with_PRISMA_reasons!B2:B2113""))"),2021.0)</f>
        <v>2021</v>
      </c>
      <c r="D1207" s="5" t="str">
        <f>IFERROR(__xludf.DUMMYFUNCTION("IFS(AND(
FILTER(IMPORTRANGE(""https://docs.google.com/spreadsheets/d/1BJSV3WBYJGRhQ6zExamkszQ5VutGIcaQqmbD9ZTVXMQ/edit#gid=1251630045"",""articles_with_PRISMA_reasons!Y2:Y2113""), $A1207=IMPORTRANGE(""https://docs.google.com/spreadsheets/d/1BJSV3WBYJGRhQ6"&amp;"zExamkszQ5VutGIcaQqmbD9ZTVXMQ/edit#gid=1251630045"",""articles_with_PRISMA_reasons!B2:B2113""))&gt;=2,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$A1207=IMPORTRANGE(""https://docs.google"&amp;".com/spreadsheets/d/1BJSV3WBYJGRhQ6zExamkszQ5VutGIcaQqmbD9ZTVXMQ/edit#gid=1251630045"",""articles_with_PRISMA_reasons!B2:B2113""))&gt;=2),
""Exclude""
)"),"Exclude")</f>
        <v>Exclude</v>
      </c>
      <c r="E1207" s="5" t="str">
        <f>IFERROR(__xludf.DUMMYFUNCTION("IFS(
D1207=""Exclude"",""Exclude"",
AND(
FILTER(IMPORTRANGE(""https://docs.google.com/spreadsheets/d/1qpEmbGH0JjaJbUdp21-y2cPbobDbMjr09BbtdKROZWc/edit#gid=1444865654"",""articles_with_PRISMA_reasons!W2:W2113""), $A1207=IMPORTRANGE(""https://docs.google.co"&amp;"m/spreadsheets/d/1qpEmbGH0JjaJbUdp21-y2cPbobDbMjr09BbtdKROZWc/edit#gid=1444865654"",""articles_with_PRISMA_reasons!B2:B2113""))&gt;=2,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$A1207=I"&amp;"MPORTRANGE(""https://docs.google.com/spreadsheets/d/1qpEmbGH0JjaJbUdp21-y2cPbobDbMjr09BbtdKROZWc/edit#gid=1444865654"",""articles_with_PRISMA_reasons!B2:B2113""))&gt;=2),
""Exclude""
)"),"Exclude")</f>
        <v>Exclude</v>
      </c>
      <c r="F1207" s="5" t="str">
        <f>IFERROR(__xludf.DUMMYFUNCTION("IFS(
E1207=""Exclude"",""Exclude"",
AND(
COUNTIF(
IMPORTRANGE(""https://docs.google.com/spreadsheets/d/1kGrh75X1cNR1D7_FcY9zMnHP8iPO4M5RCRjy6nZY0TY/edit#gid=0"",""Table 1: Study characteristics!B4:B171""),A1207)&gt;0,
COUNTIF(Studies!$A$2:$A$85,FILTER(IMPORT"&amp;"RANGE(""https://docs.google.com/spreadsheets/d/1kGrh75X1cNR1D7_FcY9zMnHP8iPO4M5RCRjy6nZY0TY/edit#gid=0"",""Table 1: Study characteristics!A4:A171""), $A1207=IMPORTRANGE(""https://docs.google.com/spreadsheets/d/1kGrh75X1cNR1D7_FcY9zMnHP8iPO4M5RCRjy6nZY0TY/"&amp;"edit#gid=0"",""Table 1: Study characteristics!B4:B171"")))&gt;0
),
""Include""
)"),"Exclude")</f>
        <v>Exclude</v>
      </c>
      <c r="G1207" s="5" t="str">
        <f>IFERROR(__xludf.DUMMYFUNCTION("IFS(
D1207=""Exclude"",
FILTER(IMPORTRANGE(""https://docs.google.com/spreadsheets/d/1BJSV3WBYJGRhQ6zExamkszQ5VutGIcaQqmbD9ZTVXMQ/edit#gid=1251630045"",""articles_with_PRISMA_reasons!AB2:AB2113""), $A1207=IMPORTRANGE(""https://docs.google.com/spreadsheets/"&amp;"d/1BJSV3WBYJGRhQ6zExamkszQ5VutGIcaQqmbD9ZTVXMQ/edit#gid=1251630045"",""articles_with_PRISMA_reasons!B2:B2113"")),
E1207=""Exclude"",
FILTER(IMPORTRANGE(""https://docs.google.com/spreadsheets/d/1qpEmbGH0JjaJbUdp21-y2cPbobDbMjr09BbtdKROZWc/edit#gid=14448656"&amp;"54"",""articles_with_PRISMA_reasons!Z2:Z2113""), $A1207=IMPORTRANGE(""https://docs.google.com/spreadsheets/d/1qpEmbGH0JjaJbUdp21-y2cPbobDbMjr09BbtdKROZWc/edit#gid=1444865654"",""articles_with_PRISMA_reasons!B2:B2113"")),F1207
=""Include"",FILTER(IMPORTRAN"&amp;"GE(""https://docs.google.com/spreadsheets/d/1kGrh75X1cNR1D7_FcY9zMnHP8iPO4M5RCRjy6nZY0TY/edit#gid=0"",""Table 1: Study characteristics!A4:A171""), $A1207=IMPORTRANGE(""https://docs.google.com/spreadsheets/d/1kGrh75X1cNR1D7_FcY9zMnHP8iPO4M5RCRjy6nZY0TY/edi"&amp;"t#gid=0"",""Table 1: Study characteristics!B4:B171""))
)"),"wrong population")</f>
        <v>wrong population</v>
      </c>
    </row>
    <row r="1208">
      <c r="A1208" s="4" t="str">
        <f>IFERROR(__xludf.DUMMYFUNCTION("""COMPUTED_VALUE"""),"MRI in antenatal and perinatal congenital anomalies")</f>
        <v>MRI in antenatal and perinatal congenital anomalies</v>
      </c>
      <c r="B1208" s="5" t="str">
        <f>IFERROR(__xludf.DUMMYFUNCTION("LEFT(FILTER(IMPORTRANGE(""https://docs.google.com/spreadsheets/d/1BJSV3WBYJGRhQ6zExamkszQ5VutGIcaQqmbD9ZTVXMQ/edit#gid=1251630045"",""articles_with_PRISMA_reasons!K2:K2113""), $A1208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$A1208=IMPORTRANGE(""https://docs.google.com/spreadsheets/d/1BJSV3WBYJGRhQ6zExamkszQ5VutGIcaQqmbD9ZTVXMQ/edit#gid=1251630045"",""articles_with_PRISMA_reasons!B2:B2113"")))-1)"),"Agrawal")</f>
        <v>Agrawal</v>
      </c>
      <c r="C1208" s="6">
        <f>IFERROR(__xludf.DUMMYFUNCTION("FILTER(IMPORTRANGE(""https://docs.google.com/spreadsheets/d/1BJSV3WBYJGRhQ6zExamkszQ5VutGIcaQqmbD9ZTVXMQ/edit#gid=1251630045"",""articles_with_PRISMA_reasons!C2:C2113""), $A1208=IMPORTRANGE(""https://docs.google.com/spreadsheets/d/1BJSV3WBYJGRhQ6zExamkszQ"&amp;"5VutGIcaQqmbD9ZTVXMQ/edit#gid=1251630045"",""articles_with_PRISMA_reasons!B2:B2113""))"),2008.0)</f>
        <v>2008</v>
      </c>
      <c r="D1208" s="5" t="str">
        <f>IFERROR(__xludf.DUMMYFUNCTION("IFS(AND(
FILTER(IMPORTRANGE(""https://docs.google.com/spreadsheets/d/1BJSV3WBYJGRhQ6zExamkszQ5VutGIcaQqmbD9ZTVXMQ/edit#gid=1251630045"",""articles_with_PRISMA_reasons!Y2:Y2113""), $A1208=IMPORTRANGE(""https://docs.google.com/spreadsheets/d/1BJSV3WBYJGRhQ6"&amp;"zExamkszQ5VutGIcaQqmbD9ZTVXMQ/edit#gid=1251630045"",""articles_with_PRISMA_reasons!B2:B2113""))&gt;=2,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$A1208=IMPORTRANGE(""https://docs.google"&amp;".com/spreadsheets/d/1BJSV3WBYJGRhQ6zExamkszQ5VutGIcaQqmbD9ZTVXMQ/edit#gid=1251630045"",""articles_with_PRISMA_reasons!B2:B2113""))&gt;=2),
""Exclude""
)"),"Exclude")</f>
        <v>Exclude</v>
      </c>
      <c r="E1208" s="5" t="str">
        <f>IFERROR(__xludf.DUMMYFUNCTION("IFS(
D1208=""Exclude"",""Exclude"",
AND(
FILTER(IMPORTRANGE(""https://docs.google.com/spreadsheets/d/1qpEmbGH0JjaJbUdp21-y2cPbobDbMjr09BbtdKROZWc/edit#gid=1444865654"",""articles_with_PRISMA_reasons!W2:W2113""), $A1208=IMPORTRANGE(""https://docs.google.co"&amp;"m/spreadsheets/d/1qpEmbGH0JjaJbUdp21-y2cPbobDbMjr09BbtdKROZWc/edit#gid=1444865654"",""articles_with_PRISMA_reasons!B2:B2113""))&gt;=2,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$A1208=I"&amp;"MPORTRANGE(""https://docs.google.com/spreadsheets/d/1qpEmbGH0JjaJbUdp21-y2cPbobDbMjr09BbtdKROZWc/edit#gid=1444865654"",""articles_with_PRISMA_reasons!B2:B2113""))&gt;=2),
""Exclude""
)"),"Exclude")</f>
        <v>Exclude</v>
      </c>
      <c r="F1208" s="5" t="str">
        <f>IFERROR(__xludf.DUMMYFUNCTION("IFS(
E1208=""Exclude"",""Exclude"",
AND(
COUNTIF(
IMPORTRANGE(""https://docs.google.com/spreadsheets/d/1kGrh75X1cNR1D7_FcY9zMnHP8iPO4M5RCRjy6nZY0TY/edit#gid=0"",""Table 1: Study characteristics!B4:B171""),A1208)&gt;0,
COUNTIF(Studies!$A$2:$A$85,FILTER(IMPORT"&amp;"RANGE(""https://docs.google.com/spreadsheets/d/1kGrh75X1cNR1D7_FcY9zMnHP8iPO4M5RCRjy6nZY0TY/edit#gid=0"",""Table 1: Study characteristics!A4:A171""), $A1208=IMPORTRANGE(""https://docs.google.com/spreadsheets/d/1kGrh75X1cNR1D7_FcY9zMnHP8iPO4M5RCRjy6nZY0TY/"&amp;"edit#gid=0"",""Table 1: Study characteristics!B4:B171"")))&gt;0
),
""Include""
)"),"Exclude")</f>
        <v>Exclude</v>
      </c>
      <c r="G1208" s="5" t="str">
        <f>IFERROR(__xludf.DUMMYFUNCTION("IFS(
D1208=""Exclude"",
FILTER(IMPORTRANGE(""https://docs.google.com/spreadsheets/d/1BJSV3WBYJGRhQ6zExamkszQ5VutGIcaQqmbD9ZTVXMQ/edit#gid=1251630045"",""articles_with_PRISMA_reasons!AB2:AB2113""), $A1208=IMPORTRANGE(""https://docs.google.com/spreadsheets/"&amp;"d/1BJSV3WBYJGRhQ6zExamkszQ5VutGIcaQqmbD9ZTVXMQ/edit#gid=1251630045"",""articles_with_PRISMA_reasons!B2:B2113"")),
E1208=""Exclude"",
FILTER(IMPORTRANGE(""https://docs.google.com/spreadsheets/d/1qpEmbGH0JjaJbUdp21-y2cPbobDbMjr09BbtdKROZWc/edit#gid=14448656"&amp;"54"",""articles_with_PRISMA_reasons!Z2:Z2113""), $A1208=IMPORTRANGE(""https://docs.google.com/spreadsheets/d/1qpEmbGH0JjaJbUdp21-y2cPbobDbMjr09BbtdKROZWc/edit#gid=1444865654"",""articles_with_PRISMA_reasons!B2:B2113"")),F1208
=""Include"",FILTER(IMPORTRAN"&amp;"GE(""https://docs.google.com/spreadsheets/d/1kGrh75X1cNR1D7_FcY9zMnHP8iPO4M5RCRjy6nZY0TY/edit#gid=0"",""Table 1: Study characteristics!A4:A171""), $A1208=IMPORTRANGE(""https://docs.google.com/spreadsheets/d/1kGrh75X1cNR1D7_FcY9zMnHP8iPO4M5RCRjy6nZY0TY/edi"&amp;"t#gid=0"",""Table 1: Study characteristics!B4:B171""))
)"),"wrong study design")</f>
        <v>wrong study design</v>
      </c>
    </row>
    <row r="1209">
      <c r="A1209" s="4" t="str">
        <f>IFERROR(__xludf.DUMMYFUNCTION("""COMPUTED_VALUE"""),"MRI of fetal spinal malformations")</f>
        <v>MRI of fetal spinal malformations</v>
      </c>
      <c r="B1209" s="5" t="str">
        <f>IFERROR(__xludf.DUMMYFUNCTION("LEFT(FILTER(IMPORTRANGE(""https://docs.google.com/spreadsheets/d/1BJSV3WBYJGRhQ6zExamkszQ5VutGIcaQqmbD9ZTVXMQ/edit#gid=1251630045"",""articles_with_PRISMA_reasons!K2:K2113""), $A1209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$A1209=IMPORTRANGE(""https://docs.google.com/spreadsheets/d/1BJSV3WBYJGRhQ6zExamkszQ5VutGIcaQqmbD9ZTVXMQ/edit#gid=1251630045"",""articles_with_PRISMA_reasons!B2:B2113"")))-1)"),"Huisman")</f>
        <v>Huisman</v>
      </c>
      <c r="C1209" s="6">
        <f>IFERROR(__xludf.DUMMYFUNCTION("FILTER(IMPORTRANGE(""https://docs.google.com/spreadsheets/d/1BJSV3WBYJGRhQ6zExamkszQ5VutGIcaQqmbD9ZTVXMQ/edit#gid=1251630045"",""articles_with_PRISMA_reasons!C2:C2113""), $A1209=IMPORTRANGE(""https://docs.google.com/spreadsheets/d/1BJSV3WBYJGRhQ6zExamkszQ"&amp;"5VutGIcaQqmbD9ZTVXMQ/edit#gid=1251630045"",""articles_with_PRISMA_reasons!B2:B2113""))"),2012.0)</f>
        <v>2012</v>
      </c>
      <c r="D1209" s="5" t="str">
        <f>IFERROR(__xludf.DUMMYFUNCTION("IFS(AND(
FILTER(IMPORTRANGE(""https://docs.google.com/spreadsheets/d/1BJSV3WBYJGRhQ6zExamkszQ5VutGIcaQqmbD9ZTVXMQ/edit#gid=1251630045"",""articles_with_PRISMA_reasons!Y2:Y2113""), $A1209=IMPORTRANGE(""https://docs.google.com/spreadsheets/d/1BJSV3WBYJGRhQ6"&amp;"zExamkszQ5VutGIcaQqmbD9ZTVXMQ/edit#gid=1251630045"",""articles_with_PRISMA_reasons!B2:B2113""))&gt;=2,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$A1209=IMPORTRANGE(""https://docs.google"&amp;".com/spreadsheets/d/1BJSV3WBYJGRhQ6zExamkszQ5VutGIcaQqmbD9ZTVXMQ/edit#gid=1251630045"",""articles_with_PRISMA_reasons!B2:B2113""))&gt;=2),
""Exclude""
)"),"Exclude")</f>
        <v>Exclude</v>
      </c>
      <c r="E1209" s="5" t="str">
        <f>IFERROR(__xludf.DUMMYFUNCTION("IFS(
D1209=""Exclude"",""Exclude"",
AND(
FILTER(IMPORTRANGE(""https://docs.google.com/spreadsheets/d/1qpEmbGH0JjaJbUdp21-y2cPbobDbMjr09BbtdKROZWc/edit#gid=1444865654"",""articles_with_PRISMA_reasons!W2:W2113""), $A1209=IMPORTRANGE(""https://docs.google.co"&amp;"m/spreadsheets/d/1qpEmbGH0JjaJbUdp21-y2cPbobDbMjr09BbtdKROZWc/edit#gid=1444865654"",""articles_with_PRISMA_reasons!B2:B2113""))&gt;=2,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$A1209=I"&amp;"MPORTRANGE(""https://docs.google.com/spreadsheets/d/1qpEmbGH0JjaJbUdp21-y2cPbobDbMjr09BbtdKROZWc/edit#gid=1444865654"",""articles_with_PRISMA_reasons!B2:B2113""))&gt;=2),
""Exclude""
)"),"Exclude")</f>
        <v>Exclude</v>
      </c>
      <c r="F1209" s="5" t="str">
        <f>IFERROR(__xludf.DUMMYFUNCTION("IFS(
E1209=""Exclude"",""Exclude"",
AND(
COUNTIF(
IMPORTRANGE(""https://docs.google.com/spreadsheets/d/1kGrh75X1cNR1D7_FcY9zMnHP8iPO4M5RCRjy6nZY0TY/edit#gid=0"",""Table 1: Study characteristics!B4:B171""),A1209)&gt;0,
COUNTIF(Studies!$A$2:$A$85,FILTER(IMPORT"&amp;"RANGE(""https://docs.google.com/spreadsheets/d/1kGrh75X1cNR1D7_FcY9zMnHP8iPO4M5RCRjy6nZY0TY/edit#gid=0"",""Table 1: Study characteristics!A4:A171""), $A1209=IMPORTRANGE(""https://docs.google.com/spreadsheets/d/1kGrh75X1cNR1D7_FcY9zMnHP8iPO4M5RCRjy6nZY0TY/"&amp;"edit#gid=0"",""Table 1: Study characteristics!B4:B171"")))&gt;0
),
""Include""
)"),"Exclude")</f>
        <v>Exclude</v>
      </c>
      <c r="G1209" s="5" t="str">
        <f>IFERROR(__xludf.DUMMYFUNCTION("IFS(
D1209=""Exclude"",
FILTER(IMPORTRANGE(""https://docs.google.com/spreadsheets/d/1BJSV3WBYJGRhQ6zExamkszQ5VutGIcaQqmbD9ZTVXMQ/edit#gid=1251630045"",""articles_with_PRISMA_reasons!AB2:AB2113""), $A1209=IMPORTRANGE(""https://docs.google.com/spreadsheets/"&amp;"d/1BJSV3WBYJGRhQ6zExamkszQ5VutGIcaQqmbD9ZTVXMQ/edit#gid=1251630045"",""articles_with_PRISMA_reasons!B2:B2113"")),
E1209=""Exclude"",
FILTER(IMPORTRANGE(""https://docs.google.com/spreadsheets/d/1qpEmbGH0JjaJbUdp21-y2cPbobDbMjr09BbtdKROZWc/edit#gid=14448656"&amp;"54"",""articles_with_PRISMA_reasons!Z2:Z2113""), $A1209=IMPORTRANGE(""https://docs.google.com/spreadsheets/d/1qpEmbGH0JjaJbUdp21-y2cPbobDbMjr09BbtdKROZWc/edit#gid=1444865654"",""articles_with_PRISMA_reasons!B2:B2113"")),F1209
=""Include"",FILTER(IMPORTRAN"&amp;"GE(""https://docs.google.com/spreadsheets/d/1kGrh75X1cNR1D7_FcY9zMnHP8iPO4M5RCRjy6nZY0TY/edit#gid=0"",""Table 1: Study characteristics!A4:A171""), $A1209=IMPORTRANGE(""https://docs.google.com/spreadsheets/d/1kGrh75X1cNR1D7_FcY9zMnHP8iPO4M5RCRjy6nZY0TY/edi"&amp;"t#gid=0"",""Table 1: Study characteristics!B4:B171""))
)"),"background article")</f>
        <v>background article</v>
      </c>
    </row>
    <row r="1210">
      <c r="A1210" s="4" t="str">
        <f>IFERROR(__xludf.DUMMYFUNCTION("""COMPUTED_VALUE"""),"MRI of the fetal brain")</f>
        <v>MRI of the fetal brain</v>
      </c>
      <c r="B1210" s="5" t="str">
        <f>IFERROR(__xludf.DUMMYFUNCTION("LEFT(FILTER(IMPORTRANGE(""https://docs.google.com/spreadsheets/d/1BJSV3WBYJGRhQ6zExamkszQ5VutGIcaQqmbD9ZTVXMQ/edit#gid=1251630045"",""articles_with_PRISMA_reasons!K2:K2113""), $A1210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$A1210=IMPORTRANGE(""https://docs.google.com/spreadsheets/d/1BJSV3WBYJGRhQ6zExamkszQ5VutGIcaQqmbD9ZTVXMQ/edit#gid=1251630045"",""articles_with_PRISMA_reasons!B2:B2113"")))-1)"),"Millischer-Bellaiche")</f>
        <v>Millischer-Bellaiche</v>
      </c>
      <c r="C1210" s="6">
        <f>IFERROR(__xludf.DUMMYFUNCTION("FILTER(IMPORTRANGE(""https://docs.google.com/spreadsheets/d/1BJSV3WBYJGRhQ6zExamkszQ5VutGIcaQqmbD9ZTVXMQ/edit#gid=1251630045"",""articles_with_PRISMA_reasons!C2:C2113""), $A1210=IMPORTRANGE(""https://docs.google.com/spreadsheets/d/1BJSV3WBYJGRhQ6zExamkszQ"&amp;"5VutGIcaQqmbD9ZTVXMQ/edit#gid=1251630045"",""articles_with_PRISMA_reasons!B2:B2113""))"),2008.0)</f>
        <v>2008</v>
      </c>
      <c r="D1210" s="5" t="str">
        <f>IFERROR(__xludf.DUMMYFUNCTION("IFS(AND(
FILTER(IMPORTRANGE(""https://docs.google.com/spreadsheets/d/1BJSV3WBYJGRhQ6zExamkszQ5VutGIcaQqmbD9ZTVXMQ/edit#gid=1251630045"",""articles_with_PRISMA_reasons!Y2:Y2113""), $A1210=IMPORTRANGE(""https://docs.google.com/spreadsheets/d/1BJSV3WBYJGRhQ6"&amp;"zExamkszQ5VutGIcaQqmbD9ZTVXMQ/edit#gid=1251630045"",""articles_with_PRISMA_reasons!B2:B2113""))&gt;=2,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$A1210=IMPORTRANGE(""https://docs.google"&amp;".com/spreadsheets/d/1BJSV3WBYJGRhQ6zExamkszQ5VutGIcaQqmbD9ZTVXMQ/edit#gid=1251630045"",""articles_with_PRISMA_reasons!B2:B2113""))&gt;=2),
""Exclude""
)"),"Exclude")</f>
        <v>Exclude</v>
      </c>
      <c r="E1210" s="5" t="str">
        <f>IFERROR(__xludf.DUMMYFUNCTION("IFS(
D1210=""Exclude"",""Exclude"",
AND(
FILTER(IMPORTRANGE(""https://docs.google.com/spreadsheets/d/1qpEmbGH0JjaJbUdp21-y2cPbobDbMjr09BbtdKROZWc/edit#gid=1444865654"",""articles_with_PRISMA_reasons!W2:W2113""), $A1210=IMPORTRANGE(""https://docs.google.co"&amp;"m/spreadsheets/d/1qpEmbGH0JjaJbUdp21-y2cPbobDbMjr09BbtdKROZWc/edit#gid=1444865654"",""articles_with_PRISMA_reasons!B2:B2113""))&gt;=2,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$A1210=I"&amp;"MPORTRANGE(""https://docs.google.com/spreadsheets/d/1qpEmbGH0JjaJbUdp21-y2cPbobDbMjr09BbtdKROZWc/edit#gid=1444865654"",""articles_with_PRISMA_reasons!B2:B2113""))&gt;=2),
""Exclude""
)"),"Exclude")</f>
        <v>Exclude</v>
      </c>
      <c r="F1210" s="5" t="str">
        <f>IFERROR(__xludf.DUMMYFUNCTION("IFS(
E1210=""Exclude"",""Exclude"",
AND(
COUNTIF(
IMPORTRANGE(""https://docs.google.com/spreadsheets/d/1kGrh75X1cNR1D7_FcY9zMnHP8iPO4M5RCRjy6nZY0TY/edit#gid=0"",""Table 1: Study characteristics!B4:B171""),A1210)&gt;0,
COUNTIF(Studies!$A$2:$A$85,FILTER(IMPORT"&amp;"RANGE(""https://docs.google.com/spreadsheets/d/1kGrh75X1cNR1D7_FcY9zMnHP8iPO4M5RCRjy6nZY0TY/edit#gid=0"",""Table 1: Study characteristics!A4:A171""), $A1210=IMPORTRANGE(""https://docs.google.com/spreadsheets/d/1kGrh75X1cNR1D7_FcY9zMnHP8iPO4M5RCRjy6nZY0TY/"&amp;"edit#gid=0"",""Table 1: Study characteristics!B4:B171"")))&gt;0
),
""Include""
)"),"Exclude")</f>
        <v>Exclude</v>
      </c>
      <c r="G1210" s="5" t="str">
        <f>IFERROR(__xludf.DUMMYFUNCTION("IFS(
D1210=""Exclude"",
FILTER(IMPORTRANGE(""https://docs.google.com/spreadsheets/d/1BJSV3WBYJGRhQ6zExamkszQ5VutGIcaQqmbD9ZTVXMQ/edit#gid=1251630045"",""articles_with_PRISMA_reasons!AB2:AB2113""), $A1210=IMPORTRANGE(""https://docs.google.com/spreadsheets/"&amp;"d/1BJSV3WBYJGRhQ6zExamkszQ5VutGIcaQqmbD9ZTVXMQ/edit#gid=1251630045"",""articles_with_PRISMA_reasons!B2:B2113"")),
E1210=""Exclude"",
FILTER(IMPORTRANGE(""https://docs.google.com/spreadsheets/d/1qpEmbGH0JjaJbUdp21-y2cPbobDbMjr09BbtdKROZWc/edit#gid=14448656"&amp;"54"",""articles_with_PRISMA_reasons!Z2:Z2113""), $A1210=IMPORTRANGE(""https://docs.google.com/spreadsheets/d/1qpEmbGH0JjaJbUdp21-y2cPbobDbMjr09BbtdKROZWc/edit#gid=1444865654"",""articles_with_PRISMA_reasons!B2:B2113"")),F1210
=""Include"",FILTER(IMPORTRAN"&amp;"GE(""https://docs.google.com/spreadsheets/d/1kGrh75X1cNR1D7_FcY9zMnHP8iPO4M5RCRjy6nZY0TY/edit#gid=0"",""Table 1: Study characteristics!A4:A171""), $A1210=IMPORTRANGE(""https://docs.google.com/spreadsheets/d/1kGrh75X1cNR1D7_FcY9zMnHP8iPO4M5RCRjy6nZY0TY/edi"&amp;"t#gid=0"",""Table 1: Study characteristics!B4:B171""))
)"),"wrong study design")</f>
        <v>wrong study design</v>
      </c>
    </row>
    <row r="1211">
      <c r="A1211" s="4" t="str">
        <f>IFERROR(__xludf.DUMMYFUNCTION("""COMPUTED_VALUE"""),"MRI tight posterior fossa sign for prenatal diagnosis of Chiari type II malformation")</f>
        <v>MRI tight posterior fossa sign for prenatal diagnosis of Chiari type II malformation</v>
      </c>
      <c r="B1211" s="5" t="str">
        <f>IFERROR(__xludf.DUMMYFUNCTION("LEFT(FILTER(IMPORTRANGE(""https://docs.google.com/spreadsheets/d/1BJSV3WBYJGRhQ6zExamkszQ5VutGIcaQqmbD9ZTVXMQ/edit#gid=1251630045"",""articles_with_PRISMA_reasons!K2:K2113""), $A1211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$A1211=IMPORTRANGE(""https://docs.google.com/spreadsheets/d/1BJSV3WBYJGRhQ6zExamkszQ5VutGIcaQqmbD9ZTVXMQ/edit#gid=1251630045"",""articles_with_PRISMA_reasons!B2:B2113"")))-1)"),"Ando")</f>
        <v>Ando</v>
      </c>
      <c r="C1211" s="3">
        <v>2007.0</v>
      </c>
      <c r="D1211" s="5" t="str">
        <f>IFERROR(__xludf.DUMMYFUNCTION("IFS(AND(
FILTER(IMPORTRANGE(""https://docs.google.com/spreadsheets/d/1BJSV3WBYJGRhQ6zExamkszQ5VutGIcaQqmbD9ZTVXMQ/edit#gid=1251630045"",""articles_with_PRISMA_reasons!Y2:Y2113""), $A1211=IMPORTRANGE(""https://docs.google.com/spreadsheets/d/1BJSV3WBYJGRhQ6"&amp;"zExamkszQ5VutGIcaQqmbD9ZTVXMQ/edit#gid=1251630045"",""articles_with_PRISMA_reasons!B2:B2113""))&gt;=2,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$A1211=IMPORTRANGE(""https://docs.google"&amp;".com/spreadsheets/d/1BJSV3WBYJGRhQ6zExamkszQ5VutGIcaQqmbD9ZTVXMQ/edit#gid=1251630045"",""articles_with_PRISMA_reasons!B2:B2113""))&gt;=2),
""Exclude""
)"),"Exclude")</f>
        <v>Exclude</v>
      </c>
      <c r="E1211" s="5" t="str">
        <f>IFERROR(__xludf.DUMMYFUNCTION("IFS(
D1211=""Exclude"",""Exclude"",
AND(
FILTER(IMPORTRANGE(""https://docs.google.com/spreadsheets/d/1qpEmbGH0JjaJbUdp21-y2cPbobDbMjr09BbtdKROZWc/edit#gid=1444865654"",""articles_with_PRISMA_reasons!W2:W2113""), $A1211=IMPORTRANGE(""https://docs.google.co"&amp;"m/spreadsheets/d/1qpEmbGH0JjaJbUdp21-y2cPbobDbMjr09BbtdKROZWc/edit#gid=1444865654"",""articles_with_PRISMA_reasons!B2:B2113""))&gt;=2,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$A1211=I"&amp;"MPORTRANGE(""https://docs.google.com/spreadsheets/d/1qpEmbGH0JjaJbUdp21-y2cPbobDbMjr09BbtdKROZWc/edit#gid=1444865654"",""articles_with_PRISMA_reasons!B2:B2113""))&gt;=2),
""Exclude""
)"),"Exclude")</f>
        <v>Exclude</v>
      </c>
      <c r="F1211" s="5" t="str">
        <f>IFERROR(__xludf.DUMMYFUNCTION("IFS(
E1211=""Exclude"",""Exclude"",
AND(
COUNTIF(
IMPORTRANGE(""https://docs.google.com/spreadsheets/d/1kGrh75X1cNR1D7_FcY9zMnHP8iPO4M5RCRjy6nZY0TY/edit#gid=0"",""Table 1: Study characteristics!B4:B171""),A1211)&gt;0,
COUNTIF(Studies!$A$2:$A$85,FILTER(IMPORT"&amp;"RANGE(""https://docs.google.com/spreadsheets/d/1kGrh75X1cNR1D7_FcY9zMnHP8iPO4M5RCRjy6nZY0TY/edit#gid=0"",""Table 1: Study characteristics!A4:A171""), $A1211=IMPORTRANGE(""https://docs.google.com/spreadsheets/d/1kGrh75X1cNR1D7_FcY9zMnHP8iPO4M5RCRjy6nZY0TY/"&amp;"edit#gid=0"",""Table 1: Study characteristics!B4:B171"")))&gt;0
),
""Include""
)"),"Exclude")</f>
        <v>Exclude</v>
      </c>
      <c r="G1211" s="2" t="s">
        <v>20</v>
      </c>
    </row>
    <row r="1212">
      <c r="A1212" s="4" t="str">
        <f>IFERROR(__xludf.DUMMYFUNCTION("""COMPUTED_VALUE"""),"MRI tight posterior fossa sign for prenatal diagnosis of Chiari type II malformation")</f>
        <v>MRI tight posterior fossa sign for prenatal diagnosis of Chiari type II malformation</v>
      </c>
      <c r="B1212" s="5" t="str">
        <f>IFERROR(__xludf.DUMMYFUNCTION("LEFT(FILTER(IMPORTRANGE(""https://docs.google.com/spreadsheets/d/1BJSV3WBYJGRhQ6zExamkszQ5VutGIcaQqmbD9ZTVXMQ/edit#gid=1251630045"",""articles_with_PRISMA_reasons!K2:K2113""), $A1212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$A1212=IMPORTRANGE(""https://docs.google.com/spreadsheets/d/1BJSV3WBYJGRhQ6zExamkszQ5VutGIcaQqmbD9ZTVXMQ/edit#gid=1251630045"",""articles_with_PRISMA_reasons!B2:B2113"")))-1)"),"Ando")</f>
        <v>Ando</v>
      </c>
      <c r="C1212" s="3">
        <v>2007.0</v>
      </c>
      <c r="D1212" s="5" t="str">
        <f>IFERROR(__xludf.DUMMYFUNCTION("IFS(AND(
FILTER(IMPORTRANGE(""https://docs.google.com/spreadsheets/d/1BJSV3WBYJGRhQ6zExamkszQ5VutGIcaQqmbD9ZTVXMQ/edit#gid=1251630045"",""articles_with_PRISMA_reasons!Y2:Y2113""), $A1212=IMPORTRANGE(""https://docs.google.com/spreadsheets/d/1BJSV3WBYJGRhQ6"&amp;"zExamkszQ5VutGIcaQqmbD9ZTVXMQ/edit#gid=1251630045"",""articles_with_PRISMA_reasons!B2:B2113""))&gt;=2,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$A1212=IMPORTRANGE(""https://docs.google"&amp;".com/spreadsheets/d/1BJSV3WBYJGRhQ6zExamkszQ5VutGIcaQqmbD9ZTVXMQ/edit#gid=1251630045"",""articles_with_PRISMA_reasons!B2:B2113""))&gt;=2),
""Exclude""
)"),"Exclude")</f>
        <v>Exclude</v>
      </c>
      <c r="E1212" s="5" t="str">
        <f>IFERROR(__xludf.DUMMYFUNCTION("IFS(
D1212=""Exclude"",""Exclude"",
AND(
FILTER(IMPORTRANGE(""https://docs.google.com/spreadsheets/d/1qpEmbGH0JjaJbUdp21-y2cPbobDbMjr09BbtdKROZWc/edit#gid=1444865654"",""articles_with_PRISMA_reasons!W2:W2113""), $A1212=IMPORTRANGE(""https://docs.google.co"&amp;"m/spreadsheets/d/1qpEmbGH0JjaJbUdp21-y2cPbobDbMjr09BbtdKROZWc/edit#gid=1444865654"",""articles_with_PRISMA_reasons!B2:B2113""))&gt;=2,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$A1212=I"&amp;"MPORTRANGE(""https://docs.google.com/spreadsheets/d/1qpEmbGH0JjaJbUdp21-y2cPbobDbMjr09BbtdKROZWc/edit#gid=1444865654"",""articles_with_PRISMA_reasons!B2:B2113""))&gt;=2),
""Exclude""
)"),"Exclude")</f>
        <v>Exclude</v>
      </c>
      <c r="F1212" s="5" t="str">
        <f>IFERROR(__xludf.DUMMYFUNCTION("IFS(
E1212=""Exclude"",""Exclude"",
AND(
COUNTIF(
IMPORTRANGE(""https://docs.google.com/spreadsheets/d/1kGrh75X1cNR1D7_FcY9zMnHP8iPO4M5RCRjy6nZY0TY/edit#gid=0"",""Table 1: Study characteristics!B4:B171""),A1212)&gt;0,
COUNTIF(Studies!$A$2:$A$85,FILTER(IMPORT"&amp;"RANGE(""https://docs.google.com/spreadsheets/d/1kGrh75X1cNR1D7_FcY9zMnHP8iPO4M5RCRjy6nZY0TY/edit#gid=0"",""Table 1: Study characteristics!A4:A171""), $A1212=IMPORTRANGE(""https://docs.google.com/spreadsheets/d/1kGrh75X1cNR1D7_FcY9zMnHP8iPO4M5RCRjy6nZY0TY/"&amp;"edit#gid=0"",""Table 1: Study characteristics!B4:B171"")))&gt;0
),
""Include""
)"),"Exclude")</f>
        <v>Exclude</v>
      </c>
      <c r="G1212" s="2" t="s">
        <v>20</v>
      </c>
    </row>
    <row r="1213">
      <c r="A1213" s="4" t="str">
        <f>IFERROR(__xludf.DUMMYFUNCTION("""COMPUTED_VALUE"""),"MTHFR polymorphisms in neural tube defects: Current perspective")</f>
        <v>MTHFR polymorphisms in neural tube defects: Current perspective</v>
      </c>
      <c r="B1213" s="5" t="str">
        <f>IFERROR(__xludf.DUMMYFUNCTION("LEFT(FILTER(IMPORTRANGE(""https://docs.google.com/spreadsheets/d/1BJSV3WBYJGRhQ6zExamkszQ5VutGIcaQqmbD9ZTVXMQ/edit#gid=1251630045"",""articles_with_PRISMA_reasons!K2:K2113""), $A1213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$A1213=IMPORTRANGE(""https://docs.google.com/spreadsheets/d/1BJSV3WBYJGRhQ6zExamkszQ5VutGIcaQqmbD9ZTVXMQ/edit#gid=1251630045"",""articles_with_PRISMA_reasons!B2:B2113"")))-1)"),"Dalal")</f>
        <v>Dalal</v>
      </c>
      <c r="C1213" s="6">
        <f>IFERROR(__xludf.DUMMYFUNCTION("FILTER(IMPORTRANGE(""https://docs.google.com/spreadsheets/d/1BJSV3WBYJGRhQ6zExamkszQ5VutGIcaQqmbD9ZTVXMQ/edit#gid=1251630045"",""articles_with_PRISMA_reasons!C2:C2113""), $A1213=IMPORTRANGE(""https://docs.google.com/spreadsheets/d/1BJSV3WBYJGRhQ6zExamkszQ"&amp;"5VutGIcaQqmbD9ZTVXMQ/edit#gid=1251630045"",""articles_with_PRISMA_reasons!B2:B2113""))"),2006.0)</f>
        <v>2006</v>
      </c>
      <c r="D1213" s="5" t="str">
        <f>IFERROR(__xludf.DUMMYFUNCTION("IFS(AND(
FILTER(IMPORTRANGE(""https://docs.google.com/spreadsheets/d/1BJSV3WBYJGRhQ6zExamkszQ5VutGIcaQqmbD9ZTVXMQ/edit#gid=1251630045"",""articles_with_PRISMA_reasons!Y2:Y2113""), $A1213=IMPORTRANGE(""https://docs.google.com/spreadsheets/d/1BJSV3WBYJGRhQ6"&amp;"zExamkszQ5VutGIcaQqmbD9ZTVXMQ/edit#gid=1251630045"",""articles_with_PRISMA_reasons!B2:B2113""))&gt;=2,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$A1213=IMPORTRANGE(""https://docs.google"&amp;".com/spreadsheets/d/1BJSV3WBYJGRhQ6zExamkszQ5VutGIcaQqmbD9ZTVXMQ/edit#gid=1251630045"",""articles_with_PRISMA_reasons!B2:B2113""))&gt;=2),
""Exclude""
)"),"Exclude")</f>
        <v>Exclude</v>
      </c>
      <c r="E1213" s="5" t="str">
        <f>IFERROR(__xludf.DUMMYFUNCTION("IFS(
D1213=""Exclude"",""Exclude"",
AND(
FILTER(IMPORTRANGE(""https://docs.google.com/spreadsheets/d/1qpEmbGH0JjaJbUdp21-y2cPbobDbMjr09BbtdKROZWc/edit#gid=1444865654"",""articles_with_PRISMA_reasons!W2:W2113""), $A1213=IMPORTRANGE(""https://docs.google.co"&amp;"m/spreadsheets/d/1qpEmbGH0JjaJbUdp21-y2cPbobDbMjr09BbtdKROZWc/edit#gid=1444865654"",""articles_with_PRISMA_reasons!B2:B2113""))&gt;=2,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$A1213=I"&amp;"MPORTRANGE(""https://docs.google.com/spreadsheets/d/1qpEmbGH0JjaJbUdp21-y2cPbobDbMjr09BbtdKROZWc/edit#gid=1444865654"",""articles_with_PRISMA_reasons!B2:B2113""))&gt;=2),
""Exclude""
)"),"Exclude")</f>
        <v>Exclude</v>
      </c>
      <c r="F1213" s="5" t="str">
        <f>IFERROR(__xludf.DUMMYFUNCTION("IFS(
E1213=""Exclude"",""Exclude"",
AND(
COUNTIF(
IMPORTRANGE(""https://docs.google.com/spreadsheets/d/1kGrh75X1cNR1D7_FcY9zMnHP8iPO4M5RCRjy6nZY0TY/edit#gid=0"",""Table 1: Study characteristics!B4:B171""),A1213)&gt;0,
COUNTIF(Studies!$A$2:$A$85,FILTER(IMPORT"&amp;"RANGE(""https://docs.google.com/spreadsheets/d/1kGrh75X1cNR1D7_FcY9zMnHP8iPO4M5RCRjy6nZY0TY/edit#gid=0"",""Table 1: Study characteristics!A4:A171""), $A1213=IMPORTRANGE(""https://docs.google.com/spreadsheets/d/1kGrh75X1cNR1D7_FcY9zMnHP8iPO4M5RCRjy6nZY0TY/"&amp;"edit#gid=0"",""Table 1: Study characteristics!B4:B171"")))&gt;0
),
""Include""
)"),"Exclude")</f>
        <v>Exclude</v>
      </c>
      <c r="G1213" s="5" t="str">
        <f>IFERROR(__xludf.DUMMYFUNCTION("IFS(
D1213=""Exclude"",
FILTER(IMPORTRANGE(""https://docs.google.com/spreadsheets/d/1BJSV3WBYJGRhQ6zExamkszQ5VutGIcaQqmbD9ZTVXMQ/edit#gid=1251630045"",""articles_with_PRISMA_reasons!AB2:AB2113""), $A1213=IMPORTRANGE(""https://docs.google.com/spreadsheets/"&amp;"d/1BJSV3WBYJGRhQ6zExamkszQ5VutGIcaQqmbD9ZTVXMQ/edit#gid=1251630045"",""articles_with_PRISMA_reasons!B2:B2113"")),
E1213=""Exclude"",
FILTER(IMPORTRANGE(""https://docs.google.com/spreadsheets/d/1qpEmbGH0JjaJbUdp21-y2cPbobDbMjr09BbtdKROZWc/edit#gid=14448656"&amp;"54"",""articles_with_PRISMA_reasons!Z2:Z2113""), $A1213=IMPORTRANGE(""https://docs.google.com/spreadsheets/d/1qpEmbGH0JjaJbUdp21-y2cPbobDbMjr09BbtdKROZWc/edit#gid=1444865654"",""articles_with_PRISMA_reasons!B2:B2113"")),F1213
=""Include"",FILTER(IMPORTRAN"&amp;"GE(""https://docs.google.com/spreadsheets/d/1kGrh75X1cNR1D7_FcY9zMnHP8iPO4M5RCRjy6nZY0TY/edit#gid=0"",""Table 1: Study characteristics!A4:A171""), $A1213=IMPORTRANGE(""https://docs.google.com/spreadsheets/d/1kGrh75X1cNR1D7_FcY9zMnHP8iPO4M5RCRjy6nZY0TY/edi"&amp;"t#gid=0"",""Table 1: Study characteristics!B4:B171""))
)"),"wrong population")</f>
        <v>wrong population</v>
      </c>
    </row>
    <row r="1214">
      <c r="A1214" s="4" t="str">
        <f>IFERROR(__xludf.DUMMYFUNCTION("""COMPUTED_VALUE"""),"Multi-Institutional Neurosurgical Training Initiative at a Tertiary Referral Center in Mwanza, Tanzania: Where We Are after 2 Years")</f>
        <v>Multi-Institutional Neurosurgical Training Initiative at a Tertiary Referral Center in Mwanza, Tanzania: Where We Are after 2 Years</v>
      </c>
      <c r="B1214" s="5" t="str">
        <f>IFERROR(__xludf.DUMMYFUNCTION("LEFT(FILTER(IMPORTRANGE(""https://docs.google.com/spreadsheets/d/1BJSV3WBYJGRhQ6zExamkszQ5VutGIcaQqmbD9ZTVXMQ/edit#gid=1251630045"",""articles_with_PRISMA_reasons!K2:K2113""), $A1214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$A1214=IMPORTRANGE(""https://docs.google.com/spreadsheets/d/1BJSV3WBYJGRhQ6zExamkszQ5VutGIcaQqmbD9ZTVXMQ/edit#gid=1251630045"",""articles_with_PRISMA_reasons!B2:B2113"")))-1)"),"Coburger")</f>
        <v>Coburger</v>
      </c>
      <c r="C1214" s="6">
        <f>IFERROR(__xludf.DUMMYFUNCTION("FILTER(IMPORTRANGE(""https://docs.google.com/spreadsheets/d/1BJSV3WBYJGRhQ6zExamkszQ5VutGIcaQqmbD9ZTVXMQ/edit#gid=1251630045"",""articles_with_PRISMA_reasons!C2:C2113""), $A1214=IMPORTRANGE(""https://docs.google.com/spreadsheets/d/1BJSV3WBYJGRhQ6zExamkszQ"&amp;"5VutGIcaQqmbD9ZTVXMQ/edit#gid=1251630045"",""articles_with_PRISMA_reasons!B2:B2113""))"),2014.0)</f>
        <v>2014</v>
      </c>
      <c r="D1214" s="5" t="str">
        <f>IFERROR(__xludf.DUMMYFUNCTION("IFS(AND(
FILTER(IMPORTRANGE(""https://docs.google.com/spreadsheets/d/1BJSV3WBYJGRhQ6zExamkszQ5VutGIcaQqmbD9ZTVXMQ/edit#gid=1251630045"",""articles_with_PRISMA_reasons!Y2:Y2113""), $A1214=IMPORTRANGE(""https://docs.google.com/spreadsheets/d/1BJSV3WBYJGRhQ6"&amp;"zExamkszQ5VutGIcaQqmbD9ZTVXMQ/edit#gid=1251630045"",""articles_with_PRISMA_reasons!B2:B2113""))&gt;=2,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$A1214=IMPORTRANGE(""https://docs.google.com/spreadsheets/d/1BJSV3WBYJGRhQ6zExamkszQ5VutGIcaQqmbD9ZTVXMQ/edit#gid=1251630045"",""articles_with_PRISMA_reasons!B2:B2113""))&lt;2),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$A1214=IMPORTRANGE(""https://docs.google.com/spreadsheets/d/1BJSV3WBYJGRhQ6zExamkszQ5VutGIcaQqmbD9ZTVXMQ/edit#gid=1251630045"",""a"&amp;"rticles_with_PRISMA_reasons!B2:B2113""))&lt;2,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$A1214=IMPORTRANGE(""https://docs.google"&amp;".com/spreadsheets/d/1BJSV3WBYJGRhQ6zExamkszQ5VutGIcaQqmbD9ZTVXMQ/edit#gid=1251630045"",""articles_with_PRISMA_reasons!B2:B2113""))&gt;=2),
""Exclude""
)"),"Exclude")</f>
        <v>Exclude</v>
      </c>
      <c r="E1214" s="5" t="str">
        <f>IFERROR(__xludf.DUMMYFUNCTION("IFS(
D1214=""Exclude"",""Exclude"",
AND(
FILTER(IMPORTRANGE(""https://docs.google.com/spreadsheets/d/1qpEmbGH0JjaJbUdp21-y2cPbobDbMjr09BbtdKROZWc/edit#gid=1444865654"",""articles_with_PRISMA_reasons!W2:W2113""), $A1214=IMPORTRANGE(""https://docs.google.co"&amp;"m/spreadsheets/d/1qpEmbGH0JjaJbUdp21-y2cPbobDbMjr09BbtdKROZWc/edit#gid=1444865654"",""articles_with_PRISMA_reasons!B2:B2113""))&gt;=2,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$A1214=IMPORTRANGE(""https://docs.google.com/spreadsheets/d/1qpEmbGH0JjaJbUdp21-y2cPbobDbMjr09BbtdKROZWc/edit#gid=1444865654"",""articles_with_PRISMA_reasons!B2:B2113""))&lt;2),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$A1214=IMPORTRANGE(""https://docs.google.com/spreadsheets/d/1qpEmbGH0JjaJbUdp21-y2cPbobDbMjr09Bbtd"&amp;"KROZWc/edit#gid=1444865654"",""articles_with_PRISMA_reasons!B2:B2113""))&lt;2,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$A1214=I"&amp;"MPORTRANGE(""https://docs.google.com/spreadsheets/d/1qpEmbGH0JjaJbUdp21-y2cPbobDbMjr09BbtdKROZWc/edit#gid=1444865654"",""articles_with_PRISMA_reasons!B2:B2113""))&gt;=2),
""Exclude""
)"),"Exclude")</f>
        <v>Exclude</v>
      </c>
      <c r="F1214" s="5" t="str">
        <f>IFERROR(__xludf.DUMMYFUNCTION("IFS(
E1214=""Exclude"",""Exclude"",
AND(
COUNTIF(
IMPORTRANGE(""https://docs.google.com/spreadsheets/d/1kGrh75X1cNR1D7_FcY9zMnHP8iPO4M5RCRjy6nZY0TY/edit#gid=0"",""Table 1: Study characteristics!B4:B171""),A1214)&gt;0,
COUNTIF(Studies!$A$2:$A$85,FILTER(IMPORT"&amp;"RANGE(""https://docs.google.com/spreadsheets/d/1kGrh75X1cNR1D7_FcY9zMnHP8iPO4M5RCRjy6nZY0TY/edit#gid=0"",""Table 1: Study characteristics!A4:A171""), $A1214=IMPORTRANGE(""https://docs.google.com/spreadsheets/d/1kGrh75X1cNR1D7_FcY9zMnHP8iPO4M5RCRjy6nZY0TY/"&amp;"edit#gid=0"",""Table 1: Study characteristics!B4:B171"")))&gt;0
),
""Include""
)"),"Exclude")</f>
        <v>Exclude</v>
      </c>
      <c r="G1214" s="5" t="str">
        <f>IFERROR(__xludf.DUMMYFUNCTION("IFS(
D1214=""Exclude"",
FILTER(IMPORTRANGE(""https://docs.google.com/spreadsheets/d/1BJSV3WBYJGRhQ6zExamkszQ5VutGIcaQqmbD9ZTVXMQ/edit#gid=1251630045"",""articles_with_PRISMA_reasons!AB2:AB2113""), $A1214=IMPORTRANGE(""https://docs.google.com/spreadsheets/"&amp;"d/1BJSV3WBYJGRhQ6zExamkszQ5VutGIcaQqmbD9ZTVXMQ/edit#gid=1251630045"",""articles_with_PRISMA_reasons!B2:B2113"")),
E1214=""Exclude"",
FILTER(IMPORTRANGE(""https://docs.google.com/spreadsheets/d/1qpEmbGH0JjaJbUdp21-y2cPbobDbMjr09BbtdKROZWc/edit#gid=14448656"&amp;"54"",""articles_with_PRISMA_reasons!Z2:Z2113""), $A1214=IMPORTRANGE(""https://docs.google.com/spreadsheets/d/1qpEmbGH0JjaJbUdp21-y2cPbobDbMjr09BbtdKROZWc/edit#gid=1444865654"",""articles_with_PRISMA_reasons!B2:B2113"")),F1214
=""Include"",FILTER(IMPORTRAN"&amp;"GE(""https://docs.google.com/spreadsheets/d/1kGrh75X1cNR1D7_FcY9zMnHP8iPO4M5RCRjy6nZY0TY/edit#gid=0"",""Table 1: Study characteristics!A4:A171""), $A1214=IMPORTRANGE(""https://docs.google.com/spreadsheets/d/1kGrh75X1cNR1D7_FcY9zMnHP8iPO4M5RCRjy6nZY0TY/edi"&amp;"t#gid=0"",""Table 1: Study characteristics!B4:B171""))
)"),"wrong population")</f>
        <v>wrong population</v>
      </c>
    </row>
    <row r="1215">
      <c r="A1215" s="4" t="str">
        <f>IFERROR(__xludf.DUMMYFUNCTION("""COMPUTED_VALUE"""),"Multidisciplinary problems of myelomeningocele and hydrocephalus")</f>
        <v>Multidisciplinary problems of myelomeningocele and hydrocephalus</v>
      </c>
      <c r="B1215" s="5" t="str">
        <f>IFERROR(__xludf.DUMMYFUNCTION("LEFT(FILTER(IMPORTRANGE(""https://docs.google.com/spreadsheets/d/1BJSV3WBYJGRhQ6zExamkszQ5VutGIcaQqmbD9ZTVXMQ/edit#gid=1251630045"",""articles_with_PRISMA_reasons!K2:K2113""), $A1215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$A1215=IMPORTRANGE(""https://docs.google.com/spreadsheets/d/1BJSV3WBYJGRhQ6zExamkszQ5VutGIcaQqmbD9ZTVXMQ/edit#gid=1251630045"",""articles_with_PRISMA_reasons!B2:B2113"")))-1)"),"Willson")</f>
        <v>Willson</v>
      </c>
      <c r="C1215" s="6">
        <f>IFERROR(__xludf.DUMMYFUNCTION("FILTER(IMPORTRANGE(""https://docs.google.com/spreadsheets/d/1BJSV3WBYJGRhQ6zExamkszQ5VutGIcaQqmbD9ZTVXMQ/edit#gid=1251630045"",""articles_with_PRISMA_reasons!C2:C2113""), $A1215=IMPORTRANGE(""https://docs.google.com/spreadsheets/d/1BJSV3WBYJGRhQ6zExamkszQ"&amp;"5VutGIcaQqmbD9ZTVXMQ/edit#gid=1251630045"",""articles_with_PRISMA_reasons!B2:B2113""))"),1965.0)</f>
        <v>1965</v>
      </c>
      <c r="D1215" s="5" t="str">
        <f>IFERROR(__xludf.DUMMYFUNCTION("IFS(AND(
FILTER(IMPORTRANGE(""https://docs.google.com/spreadsheets/d/1BJSV3WBYJGRhQ6zExamkszQ5VutGIcaQqmbD9ZTVXMQ/edit#gid=1251630045"",""articles_with_PRISMA_reasons!Y2:Y2113""), $A1215=IMPORTRANGE(""https://docs.google.com/spreadsheets/d/1BJSV3WBYJGRhQ6"&amp;"zExamkszQ5VutGIcaQqmbD9ZTVXMQ/edit#gid=1251630045"",""articles_with_PRISMA_reasons!B2:B2113""))&gt;=2,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$A1215=IMPORTRANGE(""https://docs.google.com/spreadsheets/d/1BJSV3WBYJGRhQ6zExamkszQ5VutGIcaQqmbD9ZTVXMQ/edit#gid=1251630045"",""articles_with_PRISMA_reasons!B2:B2113""))&lt;2),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$A1215=IMPORTRANGE(""https://docs.google.com/spreadsheets/d/1BJSV3WBYJGRhQ6zExamkszQ5VutGIcaQqmbD9ZTVXMQ/edit#gid=1251630045"",""a"&amp;"rticles_with_PRISMA_reasons!B2:B2113""))&lt;2,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$A1215=IMPORTRANGE(""https://docs.google"&amp;".com/spreadsheets/d/1BJSV3WBYJGRhQ6zExamkszQ5VutGIcaQqmbD9ZTVXMQ/edit#gid=1251630045"",""articles_with_PRISMA_reasons!B2:B2113""))&gt;=2),
""Exclude""
)"),"Include")</f>
        <v>Include</v>
      </c>
      <c r="E1215" s="5" t="str">
        <f>IFERROR(__xludf.DUMMYFUNCTION("IFS(
D1215=""Exclude"",""Exclude"",
AND(
FILTER(IMPORTRANGE(""https://docs.google.com/spreadsheets/d/1qpEmbGH0JjaJbUdp21-y2cPbobDbMjr09BbtdKROZWc/edit#gid=1444865654"",""articles_with_PRISMA_reasons!W2:W2113""), $A1215=IMPORTRANGE(""https://docs.google.co"&amp;"m/spreadsheets/d/1qpEmbGH0JjaJbUdp21-y2cPbobDbMjr09BbtdKROZWc/edit#gid=1444865654"",""articles_with_PRISMA_reasons!B2:B2113""))&gt;=2,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$A1215=IMPORTRANGE(""https://docs.google.com/spreadsheets/d/1qpEmbGH0JjaJbUdp21-y2cPbobDbMjr09BbtdKROZWc/edit#gid=1444865654"",""articles_with_PRISMA_reasons!B2:B2113""))&lt;2),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$A1215=IMPORTRANGE(""https://docs.google.com/spreadsheets/d/1qpEmbGH0JjaJbUdp21-y2cPbobDbMjr09Bbtd"&amp;"KROZWc/edit#gid=1444865654"",""articles_with_PRISMA_reasons!B2:B2113""))&lt;2,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$A1215=I"&amp;"MPORTRANGE(""https://docs.google.com/spreadsheets/d/1qpEmbGH0JjaJbUdp21-y2cPbobDbMjr09BbtdKROZWc/edit#gid=1444865654"",""articles_with_PRISMA_reasons!B2:B2113""))&gt;=2),
""Exclude""
)"),"Exclude")</f>
        <v>Exclude</v>
      </c>
      <c r="F1215" s="5" t="str">
        <f>IFERROR(__xludf.DUMMYFUNCTION("IFS(
E1215=""Exclude"",""Exclude"",
AND(
COUNTIF(
IMPORTRANGE(""https://docs.google.com/spreadsheets/d/1kGrh75X1cNR1D7_FcY9zMnHP8iPO4M5RCRjy6nZY0TY/edit#gid=0"",""Table 1: Study characteristics!B4:B171""),A1215)&gt;0,
COUNTIF(Studies!$A$2:$A$85,FILTER(IMPORT"&amp;"RANGE(""https://docs.google.com/spreadsheets/d/1kGrh75X1cNR1D7_FcY9zMnHP8iPO4M5RCRjy6nZY0TY/edit#gid=0"",""Table 1: Study characteristics!A4:A171""), $A1215=IMPORTRANGE(""https://docs.google.com/spreadsheets/d/1kGrh75X1cNR1D7_FcY9zMnHP8iPO4M5RCRjy6nZY0TY/"&amp;"edit#gid=0"",""Table 1: Study characteristics!B4:B171"")))&gt;0
),
""Include""
)"),"Exclude")</f>
        <v>Exclude</v>
      </c>
      <c r="G1215" s="5" t="str">
        <f>IFERROR(__xludf.DUMMYFUNCTION("IFS(
D1215=""Exclude"",
FILTER(IMPORTRANGE(""https://docs.google.com/spreadsheets/d/1BJSV3WBYJGRhQ6zExamkszQ5VutGIcaQqmbD9ZTVXMQ/edit#gid=1251630045"",""articles_with_PRISMA_reasons!AB2:AB2113""), $A1215=IMPORTRANGE(""https://docs.google.com/spreadsheets/"&amp;"d/1BJSV3WBYJGRhQ6zExamkszQ5VutGIcaQqmbD9ZTVXMQ/edit#gid=1251630045"",""articles_with_PRISMA_reasons!B2:B2113"")),
E1215=""Exclude"",
FILTER(IMPORTRANGE(""https://docs.google.com/spreadsheets/d/1qpEmbGH0JjaJbUdp21-y2cPbobDbMjr09BbtdKROZWc/edit#gid=14448656"&amp;"54"",""articles_with_PRISMA_reasons!Z2:Z2113""), $A1215=IMPORTRANGE(""https://docs.google.com/spreadsheets/d/1qpEmbGH0JjaJbUdp21-y2cPbobDbMjr09BbtdKROZWc/edit#gid=1444865654"",""articles_with_PRISMA_reasons!B2:B2113"")),F1215
=""Include"",FILTER(IMPORTRAN"&amp;"GE(""https://docs.google.com/spreadsheets/d/1kGrh75X1cNR1D7_FcY9zMnHP8iPO4M5RCRjy6nZY0TY/edit#gid=0"",""Table 1: Study characteristics!A4:A171""), $A1215=IMPORTRANGE(""https://docs.google.com/spreadsheets/d/1kGrh75X1cNR1D7_FcY9zMnHP8iPO4M5RCRjy6nZY0TY/edi"&amp;"t#gid=0"",""Table 1: Study characteristics!B4:B171""))
)"),"wrong study design")</f>
        <v>wrong study design</v>
      </c>
    </row>
    <row r="1216">
      <c r="A1216" s="4" t="str">
        <f>IFERROR(__xludf.DUMMYFUNCTION("""COMPUTED_VALUE"""),"Multiple Congenital Anomalies in a Patient with Interstitial 6q26 Deletion")</f>
        <v>Multiple Congenital Anomalies in a Patient with Interstitial 6q26 Deletion</v>
      </c>
      <c r="B1216" s="5" t="str">
        <f>IFERROR(__xludf.DUMMYFUNCTION("LEFT(FILTER(IMPORTRANGE(""https://docs.google.com/spreadsheets/d/1BJSV3WBYJGRhQ6zExamkszQ5VutGIcaQqmbD9ZTVXMQ/edit#gid=1251630045"",""articles_with_PRISMA_reasons!K2:K2113""), $A1216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$A1216=IMPORTRANGE(""https://docs.google.com/spreadsheets/d/1BJSV3WBYJGRhQ6zExamkszQ5VutGIcaQqmbD9ZTVXMQ/edit#gid=1251630045"",""articles_with_PRISMA_reasons!B2:B2113"")))-1)"),"Puvab and itsin")</f>
        <v>Puvab and itsin</v>
      </c>
      <c r="C1216" s="6">
        <f>IFERROR(__xludf.DUMMYFUNCTION("FILTER(IMPORTRANGE(""https://docs.google.com/spreadsheets/d/1BJSV3WBYJGRhQ6zExamkszQ5VutGIcaQqmbD9ZTVXMQ/edit#gid=1251630045"",""articles_with_PRISMA_reasons!C2:C2113""), $A1216=IMPORTRANGE(""https://docs.google.com/spreadsheets/d/1BJSV3WBYJGRhQ6zExamkszQ"&amp;"5VutGIcaQqmbD9ZTVXMQ/edit#gid=1251630045"",""articles_with_PRISMA_reasons!B2:B2113""))"),2019.0)</f>
        <v>2019</v>
      </c>
      <c r="D1216" s="5" t="str">
        <f>IFERROR(__xludf.DUMMYFUNCTION("IFS(AND(
FILTER(IMPORTRANGE(""https://docs.google.com/spreadsheets/d/1BJSV3WBYJGRhQ6zExamkszQ5VutGIcaQqmbD9ZTVXMQ/edit#gid=1251630045"",""articles_with_PRISMA_reasons!Y2:Y2113""), $A1216=IMPORTRANGE(""https://docs.google.com/spreadsheets/d/1BJSV3WBYJGRhQ6"&amp;"zExamkszQ5VutGIcaQqmbD9ZTVXMQ/edit#gid=1251630045"",""articles_with_PRISMA_reasons!B2:B2113""))&gt;=2,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$A1216=IMPORTRANGE(""https://docs.google.com/spreadsheets/d/1BJSV3WBYJGRhQ6zExamkszQ5VutGIcaQqmbD9ZTVXMQ/edit#gid=1251630045"",""articles_with_PRISMA_reasons!B2:B2113""))&lt;2),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$A1216=IMPORTRANGE(""https://docs.google.com/spreadsheets/d/1BJSV3WBYJGRhQ6zExamkszQ5VutGIcaQqmbD9ZTVXMQ/edit#gid=1251630045"",""a"&amp;"rticles_with_PRISMA_reasons!B2:B2113""))&lt;2,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$A1216=IMPORTRANGE(""https://docs.google"&amp;".com/spreadsheets/d/1BJSV3WBYJGRhQ6zExamkszQ5VutGIcaQqmbD9ZTVXMQ/edit#gid=1251630045"",""articles_with_PRISMA_reasons!B2:B2113""))&gt;=2),
""Exclude""
)"),"Exclude")</f>
        <v>Exclude</v>
      </c>
      <c r="E1216" s="5" t="str">
        <f>IFERROR(__xludf.DUMMYFUNCTION("IFS(
D1216=""Exclude"",""Exclude"",
AND(
FILTER(IMPORTRANGE(""https://docs.google.com/spreadsheets/d/1qpEmbGH0JjaJbUdp21-y2cPbobDbMjr09BbtdKROZWc/edit#gid=1444865654"",""articles_with_PRISMA_reasons!W2:W2113""), $A1216=IMPORTRANGE(""https://docs.google.co"&amp;"m/spreadsheets/d/1qpEmbGH0JjaJbUdp21-y2cPbobDbMjr09BbtdKROZWc/edit#gid=1444865654"",""articles_with_PRISMA_reasons!B2:B2113""))&gt;=2,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$A1216=IMPORTRANGE(""https://docs.google.com/spreadsheets/d/1qpEmbGH0JjaJbUdp21-y2cPbobDbMjr09BbtdKROZWc/edit#gid=1444865654"",""articles_with_PRISMA_reasons!B2:B2113""))&lt;2),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$A1216=IMPORTRANGE(""https://docs.google.com/spreadsheets/d/1qpEmbGH0JjaJbUdp21-y2cPbobDbMjr09Bbtd"&amp;"KROZWc/edit#gid=1444865654"",""articles_with_PRISMA_reasons!B2:B2113""))&lt;2,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$A1216=I"&amp;"MPORTRANGE(""https://docs.google.com/spreadsheets/d/1qpEmbGH0JjaJbUdp21-y2cPbobDbMjr09BbtdKROZWc/edit#gid=1444865654"",""articles_with_PRISMA_reasons!B2:B2113""))&gt;=2),
""Exclude""
)"),"Exclude")</f>
        <v>Exclude</v>
      </c>
      <c r="F1216" s="5" t="str">
        <f>IFERROR(__xludf.DUMMYFUNCTION("IFS(
E1216=""Exclude"",""Exclude"",
AND(
COUNTIF(
IMPORTRANGE(""https://docs.google.com/spreadsheets/d/1kGrh75X1cNR1D7_FcY9zMnHP8iPO4M5RCRjy6nZY0TY/edit#gid=0"",""Table 1: Study characteristics!B4:B171""),A1216)&gt;0,
COUNTIF(Studies!$A$2:$A$85,FILTER(IMPORT"&amp;"RANGE(""https://docs.google.com/spreadsheets/d/1kGrh75X1cNR1D7_FcY9zMnHP8iPO4M5RCRjy6nZY0TY/edit#gid=0"",""Table 1: Study characteristics!A4:A171""), $A1216=IMPORTRANGE(""https://docs.google.com/spreadsheets/d/1kGrh75X1cNR1D7_FcY9zMnHP8iPO4M5RCRjy6nZY0TY/"&amp;"edit#gid=0"",""Table 1: Study characteristics!B4:B171"")))&gt;0
),
""Include""
)"),"Exclude")</f>
        <v>Exclude</v>
      </c>
      <c r="G1216" s="5" t="str">
        <f>IFERROR(__xludf.DUMMYFUNCTION("IFS(
D1216=""Exclude"",
FILTER(IMPORTRANGE(""https://docs.google.com/spreadsheets/d/1BJSV3WBYJGRhQ6zExamkszQ5VutGIcaQqmbD9ZTVXMQ/edit#gid=1251630045"",""articles_with_PRISMA_reasons!AB2:AB2113""), $A1216=IMPORTRANGE(""https://docs.google.com/spreadsheets/"&amp;"d/1BJSV3WBYJGRhQ6zExamkszQ5VutGIcaQqmbD9ZTVXMQ/edit#gid=1251630045"",""articles_with_PRISMA_reasons!B2:B2113"")),
E1216=""Exclude"",
FILTER(IMPORTRANGE(""https://docs.google.com/spreadsheets/d/1qpEmbGH0JjaJbUdp21-y2cPbobDbMjr09BbtdKROZWc/edit#gid=14448656"&amp;"54"",""articles_with_PRISMA_reasons!Z2:Z2113""), $A1216=IMPORTRANGE(""https://docs.google.com/spreadsheets/d/1qpEmbGH0JjaJbUdp21-y2cPbobDbMjr09BbtdKROZWc/edit#gid=1444865654"",""articles_with_PRISMA_reasons!B2:B2113"")),F1216
=""Include"",FILTER(IMPORTRAN"&amp;"GE(""https://docs.google.com/spreadsheets/d/1kGrh75X1cNR1D7_FcY9zMnHP8iPO4M5RCRjy6nZY0TY/edit#gid=0"",""Table 1: Study characteristics!A4:A171""), $A1216=IMPORTRANGE(""https://docs.google.com/spreadsheets/d/1kGrh75X1cNR1D7_FcY9zMnHP8iPO4M5RCRjy6nZY0TY/edi"&amp;"t#gid=0"",""Table 1: Study characteristics!B4:B171""))
)"),"wrong study design")</f>
        <v>wrong study design</v>
      </c>
    </row>
    <row r="1217">
      <c r="A1217" s="4" t="str">
        <f>IFERROR(__xludf.DUMMYFUNCTION("""COMPUTED_VALUE"""),"Multiple congenital anomalies with cloacal exstrophy")</f>
        <v>Multiple congenital anomalies with cloacal exstrophy</v>
      </c>
      <c r="B1217" s="5" t="str">
        <f>IFERROR(__xludf.DUMMYFUNCTION("LEFT(FILTER(IMPORTRANGE(""https://docs.google.com/spreadsheets/d/1BJSV3WBYJGRhQ6zExamkszQ5VutGIcaQqmbD9ZTVXMQ/edit#gid=1251630045"",""articles_with_PRISMA_reasons!K2:K2113""), $A1217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$A1217=IMPORTRANGE(""https://docs.google.com/spreadsheets/d/1BJSV3WBYJGRhQ6zExamkszQ5VutGIcaQqmbD9ZTVXMQ/edit#gid=1251630045"",""articles_with_PRISMA_reasons!B2:B2113"")))-1)"),"Cho")</f>
        <v>Cho</v>
      </c>
      <c r="C1217" s="6">
        <f>IFERROR(__xludf.DUMMYFUNCTION("FILTER(IMPORTRANGE(""https://docs.google.com/spreadsheets/d/1BJSV3WBYJGRhQ6zExamkszQ5VutGIcaQqmbD9ZTVXMQ/edit#gid=1251630045"",""articles_with_PRISMA_reasons!C2:C2113""), $A1217=IMPORTRANGE(""https://docs.google.com/spreadsheets/d/1BJSV3WBYJGRhQ6zExamkszQ"&amp;"5VutGIcaQqmbD9ZTVXMQ/edit#gid=1251630045"",""articles_with_PRISMA_reasons!B2:B2113""))"),1981.0)</f>
        <v>1981</v>
      </c>
      <c r="D1217" s="5" t="str">
        <f>IFERROR(__xludf.DUMMYFUNCTION("IFS(AND(
FILTER(IMPORTRANGE(""https://docs.google.com/spreadsheets/d/1BJSV3WBYJGRhQ6zExamkszQ5VutGIcaQqmbD9ZTVXMQ/edit#gid=1251630045"",""articles_with_PRISMA_reasons!Y2:Y2113""), $A1217=IMPORTRANGE(""https://docs.google.com/spreadsheets/d/1BJSV3WBYJGRhQ6"&amp;"zExamkszQ5VutGIcaQqmbD9ZTVXMQ/edit#gid=1251630045"",""articles_with_PRISMA_reasons!B2:B2113""))&gt;=2,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$A1217=IMPORTRANGE(""https://docs.google.com/spreadsheets/d/1BJSV3WBYJGRhQ6zExamkszQ5VutGIcaQqmbD9ZTVXMQ/edit#gid=1251630045"",""articles_with_PRISMA_reasons!B2:B2113""))&lt;2),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$A1217=IMPORTRANGE(""https://docs.google.com/spreadsheets/d/1BJSV3WBYJGRhQ6zExamkszQ5VutGIcaQqmbD9ZTVXMQ/edit#gid=1251630045"",""a"&amp;"rticles_with_PRISMA_reasons!B2:B2113""))&lt;2,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$A1217=IMPORTRANGE(""https://docs.google"&amp;".com/spreadsheets/d/1BJSV3WBYJGRhQ6zExamkszQ5VutGIcaQqmbD9ZTVXMQ/edit#gid=1251630045"",""articles_with_PRISMA_reasons!B2:B2113""))&gt;=2),
""Exclude""
)"),"Exclude")</f>
        <v>Exclude</v>
      </c>
      <c r="E1217" s="5" t="str">
        <f>IFERROR(__xludf.DUMMYFUNCTION("IFS(
D1217=""Exclude"",""Exclude"",
AND(
FILTER(IMPORTRANGE(""https://docs.google.com/spreadsheets/d/1qpEmbGH0JjaJbUdp21-y2cPbobDbMjr09BbtdKROZWc/edit#gid=1444865654"",""articles_with_PRISMA_reasons!W2:W2113""), $A1217=IMPORTRANGE(""https://docs.google.co"&amp;"m/spreadsheets/d/1qpEmbGH0JjaJbUdp21-y2cPbobDbMjr09BbtdKROZWc/edit#gid=1444865654"",""articles_with_PRISMA_reasons!B2:B2113""))&gt;=2,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$A1217=IMPORTRANGE(""https://docs.google.com/spreadsheets/d/1qpEmbGH0JjaJbUdp21-y2cPbobDbMjr09BbtdKROZWc/edit#gid=1444865654"",""articles_with_PRISMA_reasons!B2:B2113""))&lt;2),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$A1217=IMPORTRANGE(""https://docs.google.com/spreadsheets/d/1qpEmbGH0JjaJbUdp21-y2cPbobDbMjr09Bbtd"&amp;"KROZWc/edit#gid=1444865654"",""articles_with_PRISMA_reasons!B2:B2113""))&lt;2,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$A1217=I"&amp;"MPORTRANGE(""https://docs.google.com/spreadsheets/d/1qpEmbGH0JjaJbUdp21-y2cPbobDbMjr09BbtdKROZWc/edit#gid=1444865654"",""articles_with_PRISMA_reasons!B2:B2113""))&gt;=2),
""Exclude""
)"),"Exclude")</f>
        <v>Exclude</v>
      </c>
      <c r="F1217" s="5" t="str">
        <f>IFERROR(__xludf.DUMMYFUNCTION("IFS(
E1217=""Exclude"",""Exclude"",
AND(
COUNTIF(
IMPORTRANGE(""https://docs.google.com/spreadsheets/d/1kGrh75X1cNR1D7_FcY9zMnHP8iPO4M5RCRjy6nZY0TY/edit#gid=0"",""Table 1: Study characteristics!B4:B171""),A1217)&gt;0,
COUNTIF(Studies!$A$2:$A$85,FILTER(IMPORT"&amp;"RANGE(""https://docs.google.com/spreadsheets/d/1kGrh75X1cNR1D7_FcY9zMnHP8iPO4M5RCRjy6nZY0TY/edit#gid=0"",""Table 1: Study characteristics!A4:A171""), $A1217=IMPORTRANGE(""https://docs.google.com/spreadsheets/d/1kGrh75X1cNR1D7_FcY9zMnHP8iPO4M5RCRjy6nZY0TY/"&amp;"edit#gid=0"",""Table 1: Study characteristics!B4:B171"")))&gt;0
),
""Include""
)"),"Exclude")</f>
        <v>Exclude</v>
      </c>
      <c r="G1217" s="5" t="str">
        <f>IFERROR(__xludf.DUMMYFUNCTION("IFS(
D1217=""Exclude"",
FILTER(IMPORTRANGE(""https://docs.google.com/spreadsheets/d/1BJSV3WBYJGRhQ6zExamkszQ5VutGIcaQqmbD9ZTVXMQ/edit#gid=1251630045"",""articles_with_PRISMA_reasons!AB2:AB2113""), $A1217=IMPORTRANGE(""https://docs.google.com/spreadsheets/"&amp;"d/1BJSV3WBYJGRhQ6zExamkszQ5VutGIcaQqmbD9ZTVXMQ/edit#gid=1251630045"",""articles_with_PRISMA_reasons!B2:B2113"")),
E1217=""Exclude"",
FILTER(IMPORTRANGE(""https://docs.google.com/spreadsheets/d/1qpEmbGH0JjaJbUdp21-y2cPbobDbMjr09BbtdKROZWc/edit#gid=14448656"&amp;"54"",""articles_with_PRISMA_reasons!Z2:Z2113""), $A1217=IMPORTRANGE(""https://docs.google.com/spreadsheets/d/1qpEmbGH0JjaJbUdp21-y2cPbobDbMjr09BbtdKROZWc/edit#gid=1444865654"",""articles_with_PRISMA_reasons!B2:B2113"")),F1217
=""Include"",FILTER(IMPORTRAN"&amp;"GE(""https://docs.google.com/spreadsheets/d/1kGrh75X1cNR1D7_FcY9zMnHP8iPO4M5RCRjy6nZY0TY/edit#gid=0"",""Table 1: Study characteristics!A4:A171""), $A1217=IMPORTRANGE(""https://docs.google.com/spreadsheets/d/1kGrh75X1cNR1D7_FcY9zMnHP8iPO4M5RCRjy6nZY0TY/edi"&amp;"t#gid=0"",""Table 1: Study characteristics!B4:B171""))
)"),"background article")</f>
        <v>background article</v>
      </c>
    </row>
    <row r="1218">
      <c r="A1218" s="4" t="str">
        <f>IFERROR(__xludf.DUMMYFUNCTION("""COMPUTED_VALUE"""),"Multiple echocardiography abnormalities associated with endoscopic third ventriculostomy failure")</f>
        <v>Multiple echocardiography abnormalities associated with endoscopic third ventriculostomy failure</v>
      </c>
      <c r="B1218" s="5" t="str">
        <f>IFERROR(__xludf.DUMMYFUNCTION("LEFT(FILTER(IMPORTRANGE(""https://docs.google.com/spreadsheets/d/1BJSV3WBYJGRhQ6zExamkszQ5VutGIcaQqmbD9ZTVXMQ/edit#gid=1251630045"",""articles_with_PRISMA_reasons!K2:K2113""), $A1218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$A1218=IMPORTRANGE(""https://docs.google.com/spreadsheets/d/1BJSV3WBYJGRhQ6zExamkszQ5VutGIcaQqmbD9ZTVXMQ/edit#gid=1251630045"",""articles_with_PRISMA_reasons!B2:B2113"")))-1)"),"Shah")</f>
        <v>Shah</v>
      </c>
      <c r="C1218" s="6">
        <f>IFERROR(__xludf.DUMMYFUNCTION("FILTER(IMPORTRANGE(""https://docs.google.com/spreadsheets/d/1BJSV3WBYJGRhQ6zExamkszQ5VutGIcaQqmbD9ZTVXMQ/edit#gid=1251630045"",""articles_with_PRISMA_reasons!C2:C2113""), $A1218=IMPORTRANGE(""https://docs.google.com/spreadsheets/d/1BJSV3WBYJGRhQ6zExamkszQ"&amp;"5VutGIcaQqmbD9ZTVXMQ/edit#gid=1251630045"",""articles_with_PRISMA_reasons!B2:B2113""))"),2018.0)</f>
        <v>2018</v>
      </c>
      <c r="D1218" s="5" t="str">
        <f>IFERROR(__xludf.DUMMYFUNCTION("IFS(AND(
FILTER(IMPORTRANGE(""https://docs.google.com/spreadsheets/d/1BJSV3WBYJGRhQ6zExamkszQ5VutGIcaQqmbD9ZTVXMQ/edit#gid=1251630045"",""articles_with_PRISMA_reasons!Y2:Y2113""), $A1218=IMPORTRANGE(""https://docs.google.com/spreadsheets/d/1BJSV3WBYJGRhQ6"&amp;"zExamkszQ5VutGIcaQqmbD9ZTVXMQ/edit#gid=1251630045"",""articles_with_PRISMA_reasons!B2:B2113""))&gt;=2,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$A1218=IMPORTRANGE(""https://docs.google.com/spreadsheets/d/1BJSV3WBYJGRhQ6zExamkszQ5VutGIcaQqmbD9ZTVXMQ/edit#gid=1251630045"",""articles_with_PRISMA_reasons!B2:B2113""))&lt;2),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$A1218=IMPORTRANGE(""https://docs.google.com/spreadsheets/d/1BJSV3WBYJGRhQ6zExamkszQ5VutGIcaQqmbD9ZTVXMQ/edit#gid=1251630045"",""a"&amp;"rticles_with_PRISMA_reasons!B2:B2113""))&lt;2,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$A1218=IMPORTRANGE(""https://docs.google"&amp;".com/spreadsheets/d/1BJSV3WBYJGRhQ6zExamkszQ5VutGIcaQqmbD9ZTVXMQ/edit#gid=1251630045"",""articles_with_PRISMA_reasons!B2:B2113""))&gt;=2),
""Exclude""
)"),"Exclude")</f>
        <v>Exclude</v>
      </c>
      <c r="E1218" s="5" t="str">
        <f>IFERROR(__xludf.DUMMYFUNCTION("IFS(
D1218=""Exclude"",""Exclude"",
AND(
FILTER(IMPORTRANGE(""https://docs.google.com/spreadsheets/d/1qpEmbGH0JjaJbUdp21-y2cPbobDbMjr09BbtdKROZWc/edit#gid=1444865654"",""articles_with_PRISMA_reasons!W2:W2113""), $A1218=IMPORTRANGE(""https://docs.google.co"&amp;"m/spreadsheets/d/1qpEmbGH0JjaJbUdp21-y2cPbobDbMjr09BbtdKROZWc/edit#gid=1444865654"",""articles_with_PRISMA_reasons!B2:B2113""))&gt;=2,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$A1218=IMPORTRANGE(""https://docs.google.com/spreadsheets/d/1qpEmbGH0JjaJbUdp21-y2cPbobDbMjr09BbtdKROZWc/edit#gid=1444865654"",""articles_with_PRISMA_reasons!B2:B2113""))&lt;2),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$A1218=IMPORTRANGE(""https://docs.google.com/spreadsheets/d/1qpEmbGH0JjaJbUdp21-y2cPbobDbMjr09Bbtd"&amp;"KROZWc/edit#gid=1444865654"",""articles_with_PRISMA_reasons!B2:B2113""))&lt;2,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$A1218=I"&amp;"MPORTRANGE(""https://docs.google.com/spreadsheets/d/1qpEmbGH0JjaJbUdp21-y2cPbobDbMjr09BbtdKROZWc/edit#gid=1444865654"",""articles_with_PRISMA_reasons!B2:B2113""))&gt;=2),
""Exclude""
)"),"Exclude")</f>
        <v>Exclude</v>
      </c>
      <c r="F1218" s="5" t="str">
        <f>IFERROR(__xludf.DUMMYFUNCTION("IFS(
E1218=""Exclude"",""Exclude"",
AND(
COUNTIF(
IMPORTRANGE(""https://docs.google.com/spreadsheets/d/1kGrh75X1cNR1D7_FcY9zMnHP8iPO4M5RCRjy6nZY0TY/edit#gid=0"",""Table 1: Study characteristics!B4:B171""),A1218)&gt;0,
COUNTIF(Studies!$A$2:$A$85,FILTER(IMPORT"&amp;"RANGE(""https://docs.google.com/spreadsheets/d/1kGrh75X1cNR1D7_FcY9zMnHP8iPO4M5RCRjy6nZY0TY/edit#gid=0"",""Table 1: Study characteristics!A4:A171""), $A1218=IMPORTRANGE(""https://docs.google.com/spreadsheets/d/1kGrh75X1cNR1D7_FcY9zMnHP8iPO4M5RCRjy6nZY0TY/"&amp;"edit#gid=0"",""Table 1: Study characteristics!B4:B171"")))&gt;0
),
""Include""
)"),"Exclude")</f>
        <v>Exclude</v>
      </c>
      <c r="G1218" s="5" t="str">
        <f>IFERROR(__xludf.DUMMYFUNCTION("IFS(
D1218=""Exclude"",
FILTER(IMPORTRANGE(""https://docs.google.com/spreadsheets/d/1BJSV3WBYJGRhQ6zExamkszQ5VutGIcaQqmbD9ZTVXMQ/edit#gid=1251630045"",""articles_with_PRISMA_reasons!AB2:AB2113""), $A1218=IMPORTRANGE(""https://docs.google.com/spreadsheets/"&amp;"d/1BJSV3WBYJGRhQ6zExamkszQ5VutGIcaQqmbD9ZTVXMQ/edit#gid=1251630045"",""articles_with_PRISMA_reasons!B2:B2113"")),
E1218=""Exclude"",
FILTER(IMPORTRANGE(""https://docs.google.com/spreadsheets/d/1qpEmbGH0JjaJbUdp21-y2cPbobDbMjr09BbtdKROZWc/edit#gid=14448656"&amp;"54"",""articles_with_PRISMA_reasons!Z2:Z2113""), $A1218=IMPORTRANGE(""https://docs.google.com/spreadsheets/d/1qpEmbGH0JjaJbUdp21-y2cPbobDbMjr09BbtdKROZWc/edit#gid=1444865654"",""articles_with_PRISMA_reasons!B2:B2113"")),F1218
=""Include"",FILTER(IMPORTRAN"&amp;"GE(""https://docs.google.com/spreadsheets/d/1kGrh75X1cNR1D7_FcY9zMnHP8iPO4M5RCRjy6nZY0TY/edit#gid=0"",""Table 1: Study characteristics!A4:A171""), $A1218=IMPORTRANGE(""https://docs.google.com/spreadsheets/d/1kGrh75X1cNR1D7_FcY9zMnHP8iPO4M5RCRjy6nZY0TY/edi"&amp;"t#gid=0"",""Table 1: Study characteristics!B4:B171""))
)"),"wrong population")</f>
        <v>wrong population</v>
      </c>
    </row>
    <row r="1219">
      <c r="A1219" s="4" t="str">
        <f>IFERROR(__xludf.DUMMYFUNCTION("""COMPUTED_VALUE"""),"Multiple intestinal duplications in a child with thoracic myelomeningocele and hydrocephalus")</f>
        <v>Multiple intestinal duplications in a child with thoracic myelomeningocele and hydrocephalus</v>
      </c>
      <c r="B1219" s="5" t="str">
        <f>IFERROR(__xludf.DUMMYFUNCTION("LEFT(FILTER(IMPORTRANGE(""https://docs.google.com/spreadsheets/d/1BJSV3WBYJGRhQ6zExamkszQ5VutGIcaQqmbD9ZTVXMQ/edit#gid=1251630045"",""articles_with_PRISMA_reasons!K2:K2113""), $A1219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$A1219=IMPORTRANGE(""https://docs.google.com/spreadsheets/d/1BJSV3WBYJGRhQ6zExamkszQ5VutGIcaQqmbD9ZTVXMQ/edit#gid=1251630045"",""articles_with_PRISMA_reasons!B2:B2113"")))-1)"),"Olsen")</f>
        <v>Olsen</v>
      </c>
      <c r="C1219" s="6">
        <f>IFERROR(__xludf.DUMMYFUNCTION("FILTER(IMPORTRANGE(""https://docs.google.com/spreadsheets/d/1BJSV3WBYJGRhQ6zExamkszQ5VutGIcaQqmbD9ZTVXMQ/edit#gid=1251630045"",""articles_with_PRISMA_reasons!C2:C2113""), $A1219=IMPORTRANGE(""https://docs.google.com/spreadsheets/d/1BJSV3WBYJGRhQ6zExamkszQ"&amp;"5VutGIcaQqmbD9ZTVXMQ/edit#gid=1251630045"",""articles_with_PRISMA_reasons!B2:B2113""))"),1992.0)</f>
        <v>1992</v>
      </c>
      <c r="D1219" s="5" t="str">
        <f>IFERROR(__xludf.DUMMYFUNCTION("IFS(AND(
FILTER(IMPORTRANGE(""https://docs.google.com/spreadsheets/d/1BJSV3WBYJGRhQ6zExamkszQ5VutGIcaQqmbD9ZTVXMQ/edit#gid=1251630045"",""articles_with_PRISMA_reasons!Y2:Y2113""), $A1219=IMPORTRANGE(""https://docs.google.com/spreadsheets/d/1BJSV3WBYJGRhQ6"&amp;"zExamkszQ5VutGIcaQqmbD9ZTVXMQ/edit#gid=1251630045"",""articles_with_PRISMA_reasons!B2:B2113""))&gt;=2,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$A1219=IMPORTRANGE(""https://docs.google.com/spreadsheets/d/1BJSV3WBYJGRhQ6zExamkszQ5VutGIcaQqmbD9ZTVXMQ/edit#gid=1251630045"",""articles_with_PRISMA_reasons!B2:B2113""))&lt;2),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$A1219=IMPORTRANGE(""https://docs.google.com/spreadsheets/d/1BJSV3WBYJGRhQ6zExamkszQ5VutGIcaQqmbD9ZTVXMQ/edit#gid=1251630045"",""a"&amp;"rticles_with_PRISMA_reasons!B2:B2113""))&lt;2,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$A1219=IMPORTRANGE(""https://docs.google"&amp;".com/spreadsheets/d/1BJSV3WBYJGRhQ6zExamkszQ5VutGIcaQqmbD9ZTVXMQ/edit#gid=1251630045"",""articles_with_PRISMA_reasons!B2:B2113""))&gt;=2),
""Exclude""
)"),"Exclude")</f>
        <v>Exclude</v>
      </c>
      <c r="E1219" s="5" t="str">
        <f>IFERROR(__xludf.DUMMYFUNCTION("IFS(
D1219=""Exclude"",""Exclude"",
AND(
FILTER(IMPORTRANGE(""https://docs.google.com/spreadsheets/d/1qpEmbGH0JjaJbUdp21-y2cPbobDbMjr09BbtdKROZWc/edit#gid=1444865654"",""articles_with_PRISMA_reasons!W2:W2113""), $A1219=IMPORTRANGE(""https://docs.google.co"&amp;"m/spreadsheets/d/1qpEmbGH0JjaJbUdp21-y2cPbobDbMjr09BbtdKROZWc/edit#gid=1444865654"",""articles_with_PRISMA_reasons!B2:B2113""))&gt;=2,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$A1219=IMPORTRANGE(""https://docs.google.com/spreadsheets/d/1qpEmbGH0JjaJbUdp21-y2cPbobDbMjr09BbtdKROZWc/edit#gid=1444865654"",""articles_with_PRISMA_reasons!B2:B2113""))&lt;2),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$A1219=IMPORTRANGE(""https://docs.google.com/spreadsheets/d/1qpEmbGH0JjaJbUdp21-y2cPbobDbMjr09Bbtd"&amp;"KROZWc/edit#gid=1444865654"",""articles_with_PRISMA_reasons!B2:B2113""))&lt;2,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$A1219=I"&amp;"MPORTRANGE(""https://docs.google.com/spreadsheets/d/1qpEmbGH0JjaJbUdp21-y2cPbobDbMjr09BbtdKROZWc/edit#gid=1444865654"",""articles_with_PRISMA_reasons!B2:B2113""))&gt;=2),
""Exclude""
)"),"Exclude")</f>
        <v>Exclude</v>
      </c>
      <c r="F1219" s="5" t="str">
        <f>IFERROR(__xludf.DUMMYFUNCTION("IFS(
E1219=""Exclude"",""Exclude"",
AND(
COUNTIF(
IMPORTRANGE(""https://docs.google.com/spreadsheets/d/1kGrh75X1cNR1D7_FcY9zMnHP8iPO4M5RCRjy6nZY0TY/edit#gid=0"",""Table 1: Study characteristics!B4:B171""),A1219)&gt;0,
COUNTIF(Studies!$A$2:$A$85,FILTER(IMPORT"&amp;"RANGE(""https://docs.google.com/spreadsheets/d/1kGrh75X1cNR1D7_FcY9zMnHP8iPO4M5RCRjy6nZY0TY/edit#gid=0"",""Table 1: Study characteristics!A4:A171""), $A1219=IMPORTRANGE(""https://docs.google.com/spreadsheets/d/1kGrh75X1cNR1D7_FcY9zMnHP8iPO4M5RCRjy6nZY0TY/"&amp;"edit#gid=0"",""Table 1: Study characteristics!B4:B171"")))&gt;0
),
""Include""
)"),"Exclude")</f>
        <v>Exclude</v>
      </c>
      <c r="G1219" s="5" t="str">
        <f>IFERROR(__xludf.DUMMYFUNCTION("IFS(
D1219=""Exclude"",
FILTER(IMPORTRANGE(""https://docs.google.com/spreadsheets/d/1BJSV3WBYJGRhQ6zExamkszQ5VutGIcaQqmbD9ZTVXMQ/edit#gid=1251630045"",""articles_with_PRISMA_reasons!AB2:AB2113""), $A1219=IMPORTRANGE(""https://docs.google.com/spreadsheets/"&amp;"d/1BJSV3WBYJGRhQ6zExamkszQ5VutGIcaQqmbD9ZTVXMQ/edit#gid=1251630045"",""articles_with_PRISMA_reasons!B2:B2113"")),
E1219=""Exclude"",
FILTER(IMPORTRANGE(""https://docs.google.com/spreadsheets/d/1qpEmbGH0JjaJbUdp21-y2cPbobDbMjr09BbtdKROZWc/edit#gid=14448656"&amp;"54"",""articles_with_PRISMA_reasons!Z2:Z2113""), $A1219=IMPORTRANGE(""https://docs.google.com/spreadsheets/d/1qpEmbGH0JjaJbUdp21-y2cPbobDbMjr09BbtdKROZWc/edit#gid=1444865654"",""articles_with_PRISMA_reasons!B2:B2113"")),F1219
=""Include"",FILTER(IMPORTRAN"&amp;"GE(""https://docs.google.com/spreadsheets/d/1kGrh75X1cNR1D7_FcY9zMnHP8iPO4M5RCRjy6nZY0TY/edit#gid=0"",""Table 1: Study characteristics!A4:A171""), $A1219=IMPORTRANGE(""https://docs.google.com/spreadsheets/d/1kGrh75X1cNR1D7_FcY9zMnHP8iPO4M5RCRjy6nZY0TY/edi"&amp;"t#gid=0"",""Table 1: Study characteristics!B4:B171""))
)"),"wrong study design")</f>
        <v>wrong study design</v>
      </c>
    </row>
    <row r="1220">
      <c r="A1220" s="4" t="str">
        <f>IFERROR(__xludf.DUMMYFUNCTION("""COMPUTED_VALUE"""),"Multiple neural tube defects may not be very rare")</f>
        <v>Multiple neural tube defects may not be very rare</v>
      </c>
      <c r="B1220" s="5" t="str">
        <f>IFERROR(__xludf.DUMMYFUNCTION("LEFT(FILTER(IMPORTRANGE(""https://docs.google.com/spreadsheets/d/1BJSV3WBYJGRhQ6zExamkszQ5VutGIcaQqmbD9ZTVXMQ/edit#gid=1251630045"",""articles_with_PRISMA_reasons!K2:K2113""), $A1220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$A1220=IMPORTRANGE(""https://docs.google.com/spreadsheets/d/1BJSV3WBYJGRhQ6zExamkszQ5VutGIcaQqmbD9ZTVXMQ/edit#gid=1251630045"",""articles_with_PRISMA_reasons!B2:B2113"")))-1)"),"Mahalik")</f>
        <v>Mahalik</v>
      </c>
      <c r="C1220" s="6">
        <f>IFERROR(__xludf.DUMMYFUNCTION("FILTER(IMPORTRANGE(""https://docs.google.com/spreadsheets/d/1BJSV3WBYJGRhQ6zExamkszQ5VutGIcaQqmbD9ZTVXMQ/edit#gid=1251630045"",""articles_with_PRISMA_reasons!C2:C2113""), $A1220=IMPORTRANGE(""https://docs.google.com/spreadsheets/d/1BJSV3WBYJGRhQ6zExamkszQ"&amp;"5VutGIcaQqmbD9ZTVXMQ/edit#gid=1251630045"",""articles_with_PRISMA_reasons!B2:B2113""))"),2013.0)</f>
        <v>2013</v>
      </c>
      <c r="D1220" s="5" t="str">
        <f>IFERROR(__xludf.DUMMYFUNCTION("IFS(AND(
FILTER(IMPORTRANGE(""https://docs.google.com/spreadsheets/d/1BJSV3WBYJGRhQ6zExamkszQ5VutGIcaQqmbD9ZTVXMQ/edit#gid=1251630045"",""articles_with_PRISMA_reasons!Y2:Y2113""), $A1220=IMPORTRANGE(""https://docs.google.com/spreadsheets/d/1BJSV3WBYJGRhQ6"&amp;"zExamkszQ5VutGIcaQqmbD9ZTVXMQ/edit#gid=1251630045"",""articles_with_PRISMA_reasons!B2:B2113""))&gt;=2,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$A1220=IMPORTRANGE(""https://docs.google.com/spreadsheets/d/1BJSV3WBYJGRhQ6zExamkszQ5VutGIcaQqmbD9ZTVXMQ/edit#gid=1251630045"",""articles_with_PRISMA_reasons!B2:B2113""))&lt;2),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$A1220=IMPORTRANGE(""https://docs.google.com/spreadsheets/d/1BJSV3WBYJGRhQ6zExamkszQ5VutGIcaQqmbD9ZTVXMQ/edit#gid=1251630045"",""a"&amp;"rticles_with_PRISMA_reasons!B2:B2113""))&lt;2,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$A1220=IMPORTRANGE(""https://docs.google"&amp;".com/spreadsheets/d/1BJSV3WBYJGRhQ6zExamkszQ5VutGIcaQqmbD9ZTVXMQ/edit#gid=1251630045"",""articles_with_PRISMA_reasons!B2:B2113""))&gt;=2),
""Exclude""
)"),"Exclude")</f>
        <v>Exclude</v>
      </c>
      <c r="E1220" s="5" t="str">
        <f>IFERROR(__xludf.DUMMYFUNCTION("IFS(
D1220=""Exclude"",""Exclude"",
AND(
FILTER(IMPORTRANGE(""https://docs.google.com/spreadsheets/d/1qpEmbGH0JjaJbUdp21-y2cPbobDbMjr09BbtdKROZWc/edit#gid=1444865654"",""articles_with_PRISMA_reasons!W2:W2113""), $A1220=IMPORTRANGE(""https://docs.google.co"&amp;"m/spreadsheets/d/1qpEmbGH0JjaJbUdp21-y2cPbobDbMjr09BbtdKROZWc/edit#gid=1444865654"",""articles_with_PRISMA_reasons!B2:B2113""))&gt;=2,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$A1220=IMPORTRANGE(""https://docs.google.com/spreadsheets/d/1qpEmbGH0JjaJbUdp21-y2cPbobDbMjr09BbtdKROZWc/edit#gid=1444865654"",""articles_with_PRISMA_reasons!B2:B2113""))&lt;2),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$A1220=IMPORTRANGE(""https://docs.google.com/spreadsheets/d/1qpEmbGH0JjaJbUdp21-y2cPbobDbMjr09Bbtd"&amp;"KROZWc/edit#gid=1444865654"",""articles_with_PRISMA_reasons!B2:B2113""))&lt;2,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$A1220=I"&amp;"MPORTRANGE(""https://docs.google.com/spreadsheets/d/1qpEmbGH0JjaJbUdp21-y2cPbobDbMjr09BbtdKROZWc/edit#gid=1444865654"",""articles_with_PRISMA_reasons!B2:B2113""))&gt;=2),
""Exclude""
)"),"Exclude")</f>
        <v>Exclude</v>
      </c>
      <c r="F1220" s="5" t="str">
        <f>IFERROR(__xludf.DUMMYFUNCTION("IFS(
E1220=""Exclude"",""Exclude"",
AND(
COUNTIF(
IMPORTRANGE(""https://docs.google.com/spreadsheets/d/1kGrh75X1cNR1D7_FcY9zMnHP8iPO4M5RCRjy6nZY0TY/edit#gid=0"",""Table 1: Study characteristics!B4:B171""),A1220)&gt;0,
COUNTIF(Studies!$A$2:$A$85,FILTER(IMPORT"&amp;"RANGE(""https://docs.google.com/spreadsheets/d/1kGrh75X1cNR1D7_FcY9zMnHP8iPO4M5RCRjy6nZY0TY/edit#gid=0"",""Table 1: Study characteristics!A4:A171""), $A1220=IMPORTRANGE(""https://docs.google.com/spreadsheets/d/1kGrh75X1cNR1D7_FcY9zMnHP8iPO4M5RCRjy6nZY0TY/"&amp;"edit#gid=0"",""Table 1: Study characteristics!B4:B171"")))&gt;0
),
""Include""
)"),"Exclude")</f>
        <v>Exclude</v>
      </c>
      <c r="G1220" s="5" t="str">
        <f>IFERROR(__xludf.DUMMYFUNCTION("IFS(
D1220=""Exclude"",
FILTER(IMPORTRANGE(""https://docs.google.com/spreadsheets/d/1BJSV3WBYJGRhQ6zExamkszQ5VutGIcaQqmbD9ZTVXMQ/edit#gid=1251630045"",""articles_with_PRISMA_reasons!AB2:AB2113""), $A1220=IMPORTRANGE(""https://docs.google.com/spreadsheets/"&amp;"d/1BJSV3WBYJGRhQ6zExamkszQ5VutGIcaQqmbD9ZTVXMQ/edit#gid=1251630045"",""articles_with_PRISMA_reasons!B2:B2113"")),
E1220=""Exclude"",
FILTER(IMPORTRANGE(""https://docs.google.com/spreadsheets/d/1qpEmbGH0JjaJbUdp21-y2cPbobDbMjr09BbtdKROZWc/edit#gid=14448656"&amp;"54"",""articles_with_PRISMA_reasons!Z2:Z2113""), $A1220=IMPORTRANGE(""https://docs.google.com/spreadsheets/d/1qpEmbGH0JjaJbUdp21-y2cPbobDbMjr09BbtdKROZWc/edit#gid=1444865654"",""articles_with_PRISMA_reasons!B2:B2113"")),F1220
=""Include"",FILTER(IMPORTRAN"&amp;"GE(""https://docs.google.com/spreadsheets/d/1kGrh75X1cNR1D7_FcY9zMnHP8iPO4M5RCRjy6nZY0TY/edit#gid=0"",""Table 1: Study characteristics!A4:A171""), $A1220=IMPORTRANGE(""https://docs.google.com/spreadsheets/d/1kGrh75X1cNR1D7_FcY9zMnHP8iPO4M5RCRjy6nZY0TY/edi"&amp;"t#gid=0"",""Table 1: Study characteristics!B4:B171""))
)"),"wrong publication type")</f>
        <v>wrong publication type</v>
      </c>
    </row>
    <row r="1221">
      <c r="A1221" s="4" t="str">
        <f>IFERROR(__xludf.DUMMYFUNCTION("""COMPUTED_VALUE"""),"Multiple sclerosis: Management issues during pregnancy")</f>
        <v>Multiple sclerosis: Management issues during pregnancy</v>
      </c>
      <c r="B1221" s="5" t="str">
        <f>IFERROR(__xludf.DUMMYFUNCTION("LEFT(FILTER(IMPORTRANGE(""https://docs.google.com/spreadsheets/d/1BJSV3WBYJGRhQ6zExamkszQ5VutGIcaQqmbD9ZTVXMQ/edit#gid=1251630045"",""articles_with_PRISMA_reasons!K2:K2113""), $A1221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$A1221=IMPORTRANGE(""https://docs.google.com/spreadsheets/d/1BJSV3WBYJGRhQ6zExamkszQ5VutGIcaQqmbD9ZTVXMQ/edit#gid=1251630045"",""articles_with_PRISMA_reasons!B2:B2113"")))-1)"),"Pretta")</f>
        <v>Pretta</v>
      </c>
      <c r="C1221" s="6">
        <f>IFERROR(__xludf.DUMMYFUNCTION("FILTER(IMPORTRANGE(""https://docs.google.com/spreadsheets/d/1BJSV3WBYJGRhQ6zExamkszQ5VutGIcaQqmbD9ZTVXMQ/edit#gid=1251630045"",""articles_with_PRISMA_reasons!C2:C2113""), $A1221=IMPORTRANGE(""https://docs.google.com/spreadsheets/d/1BJSV3WBYJGRhQ6zExamkszQ"&amp;"5VutGIcaQqmbD9ZTVXMQ/edit#gid=1251630045"",""articles_with_PRISMA_reasons!B2:B2113""))"),2004.0)</f>
        <v>2004</v>
      </c>
      <c r="D1221" s="5" t="str">
        <f>IFERROR(__xludf.DUMMYFUNCTION("IFS(AND(
FILTER(IMPORTRANGE(""https://docs.google.com/spreadsheets/d/1BJSV3WBYJGRhQ6zExamkszQ5VutGIcaQqmbD9ZTVXMQ/edit#gid=1251630045"",""articles_with_PRISMA_reasons!Y2:Y2113""), $A1221=IMPORTRANGE(""https://docs.google.com/spreadsheets/d/1BJSV3WBYJGRhQ6"&amp;"zExamkszQ5VutGIcaQqmbD9ZTVXMQ/edit#gid=1251630045"",""articles_with_PRISMA_reasons!B2:B2113""))&gt;=2,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$A1221=IMPORTRANGE(""https://docs.google.com/spreadsheets/d/1BJSV3WBYJGRhQ6zExamkszQ5VutGIcaQqmbD9ZTVXMQ/edit#gid=1251630045"",""articles_with_PRISMA_reasons!B2:B2113""))&lt;2),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$A1221=IMPORTRANGE(""https://docs.google.com/spreadsheets/d/1BJSV3WBYJGRhQ6zExamkszQ5VutGIcaQqmbD9ZTVXMQ/edit#gid=1251630045"",""a"&amp;"rticles_with_PRISMA_reasons!B2:B2113""))&lt;2,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$A1221=IMPORTRANGE(""https://docs.google"&amp;".com/spreadsheets/d/1BJSV3WBYJGRhQ6zExamkszQ5VutGIcaQqmbD9ZTVXMQ/edit#gid=1251630045"",""articles_with_PRISMA_reasons!B2:B2113""))&gt;=2),
""Exclude""
)"),"Exclude")</f>
        <v>Exclude</v>
      </c>
      <c r="E1221" s="5" t="str">
        <f>IFERROR(__xludf.DUMMYFUNCTION("IFS(
D1221=""Exclude"",""Exclude"",
AND(
FILTER(IMPORTRANGE(""https://docs.google.com/spreadsheets/d/1qpEmbGH0JjaJbUdp21-y2cPbobDbMjr09BbtdKROZWc/edit#gid=1444865654"",""articles_with_PRISMA_reasons!W2:W2113""), $A1221=IMPORTRANGE(""https://docs.google.co"&amp;"m/spreadsheets/d/1qpEmbGH0JjaJbUdp21-y2cPbobDbMjr09BbtdKROZWc/edit#gid=1444865654"",""articles_with_PRISMA_reasons!B2:B2113""))&gt;=2,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$A1221=IMPORTRANGE(""https://docs.google.com/spreadsheets/d/1qpEmbGH0JjaJbUdp21-y2cPbobDbMjr09BbtdKROZWc/edit#gid=1444865654"",""articles_with_PRISMA_reasons!B2:B2113""))&lt;2),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$A1221=IMPORTRANGE(""https://docs.google.com/spreadsheets/d/1qpEmbGH0JjaJbUdp21-y2cPbobDbMjr09Bbtd"&amp;"KROZWc/edit#gid=1444865654"",""articles_with_PRISMA_reasons!B2:B2113""))&lt;2,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$A1221=I"&amp;"MPORTRANGE(""https://docs.google.com/spreadsheets/d/1qpEmbGH0JjaJbUdp21-y2cPbobDbMjr09BbtdKROZWc/edit#gid=1444865654"",""articles_with_PRISMA_reasons!B2:B2113""))&gt;=2),
""Exclude""
)"),"Exclude")</f>
        <v>Exclude</v>
      </c>
      <c r="F1221" s="5" t="str">
        <f>IFERROR(__xludf.DUMMYFUNCTION("IFS(
E1221=""Exclude"",""Exclude"",
AND(
COUNTIF(
IMPORTRANGE(""https://docs.google.com/spreadsheets/d/1kGrh75X1cNR1D7_FcY9zMnHP8iPO4M5RCRjy6nZY0TY/edit#gid=0"",""Table 1: Study characteristics!B4:B171""),A1221)&gt;0,
COUNTIF(Studies!$A$2:$A$85,FILTER(IMPORT"&amp;"RANGE(""https://docs.google.com/spreadsheets/d/1kGrh75X1cNR1D7_FcY9zMnHP8iPO4M5RCRjy6nZY0TY/edit#gid=0"",""Table 1: Study characteristics!A4:A171""), $A1221=IMPORTRANGE(""https://docs.google.com/spreadsheets/d/1kGrh75X1cNR1D7_FcY9zMnHP8iPO4M5RCRjy6nZY0TY/"&amp;"edit#gid=0"",""Table 1: Study characteristics!B4:B171"")))&gt;0
),
""Include""
)"),"Exclude")</f>
        <v>Exclude</v>
      </c>
      <c r="G1221" s="5" t="str">
        <f>IFERROR(__xludf.DUMMYFUNCTION("IFS(
D1221=""Exclude"",
FILTER(IMPORTRANGE(""https://docs.google.com/spreadsheets/d/1BJSV3WBYJGRhQ6zExamkszQ5VutGIcaQqmbD9ZTVXMQ/edit#gid=1251630045"",""articles_with_PRISMA_reasons!AB2:AB2113""), $A1221=IMPORTRANGE(""https://docs.google.com/spreadsheets/"&amp;"d/1BJSV3WBYJGRhQ6zExamkszQ5VutGIcaQqmbD9ZTVXMQ/edit#gid=1251630045"",""articles_with_PRISMA_reasons!B2:B2113"")),
E1221=""Exclude"",
FILTER(IMPORTRANGE(""https://docs.google.com/spreadsheets/d/1qpEmbGH0JjaJbUdp21-y2cPbobDbMjr09BbtdKROZWc/edit#gid=14448656"&amp;"54"",""articles_with_PRISMA_reasons!Z2:Z2113""), $A1221=IMPORTRANGE(""https://docs.google.com/spreadsheets/d/1qpEmbGH0JjaJbUdp21-y2cPbobDbMjr09BbtdKROZWc/edit#gid=1444865654"",""articles_with_PRISMA_reasons!B2:B2113"")),F1221
=""Include"",FILTER(IMPORTRAN"&amp;"GE(""https://docs.google.com/spreadsheets/d/1kGrh75X1cNR1D7_FcY9zMnHP8iPO4M5RCRjy6nZY0TY/edit#gid=0"",""Table 1: Study characteristics!A4:A171""), $A1221=IMPORTRANGE(""https://docs.google.com/spreadsheets/d/1kGrh75X1cNR1D7_FcY9zMnHP8iPO4M5RCRjy6nZY0TY/edi"&amp;"t#gid=0"",""Table 1: Study characteristics!B4:B171""))
)"),"wrong population")</f>
        <v>wrong population</v>
      </c>
    </row>
    <row r="1222">
      <c r="A1222" s="4" t="str">
        <f>IFERROR(__xludf.DUMMYFUNCTION("""COMPUTED_VALUE"""),"Multiple site neural tube defects at Zewuditu Memorial Hospital, Addis Ababa, Ethiopia: a case report")</f>
        <v>Multiple site neural tube defects at Zewuditu Memorial Hospital, Addis Ababa, Ethiopia: a case report</v>
      </c>
      <c r="B1222" s="5" t="str">
        <f>IFERROR(__xludf.DUMMYFUNCTION("LEFT(FILTER(IMPORTRANGE(""https://docs.google.com/spreadsheets/d/1BJSV3WBYJGRhQ6zExamkszQ5VutGIcaQqmbD9ZTVXMQ/edit#gid=1251630045"",""articles_with_PRISMA_reasons!K2:K2113""), $A1222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$A1222=IMPORTRANGE(""https://docs.google.com/spreadsheets/d/1BJSV3WBYJGRhQ6zExamkszQ5VutGIcaQqmbD9ZTVXMQ/edit#gid=1251630045"",""articles_with_PRISMA_reasons!B2:B2113"")))-1)"),"Shiferaw")</f>
        <v>Shiferaw</v>
      </c>
      <c r="C1222" s="6" t="str">
        <f>IFERROR(__xludf.DUMMYFUNCTION("FILTER(IMPORTRANGE(""https://docs.google.com/spreadsheets/d/1BJSV3WBYJGRhQ6zExamkszQ5VutGIcaQqmbD9ZTVXMQ/edit#gid=1251630045"",""articles_with_PRISMA_reasons!C2:C2113""), $A1222=IMPORTRANGE(""https://docs.google.com/spreadsheets/d/1BJSV3WBYJGRhQ6zExamkszQ"&amp;"5VutGIcaQqmbD9ZTVXMQ/edit#gid=1251630045"",""articles_with_PRISMA_reasons!B2:B2113""))"),"Aug")</f>
        <v>Aug</v>
      </c>
      <c r="D1222" s="5" t="str">
        <f>IFERROR(__xludf.DUMMYFUNCTION("IFS(AND(
FILTER(IMPORTRANGE(""https://docs.google.com/spreadsheets/d/1BJSV3WBYJGRhQ6zExamkszQ5VutGIcaQqmbD9ZTVXMQ/edit#gid=1251630045"",""articles_with_PRISMA_reasons!Y2:Y2113""), $A1222=IMPORTRANGE(""https://docs.google.com/spreadsheets/d/1BJSV3WBYJGRhQ6"&amp;"zExamkszQ5VutGIcaQqmbD9ZTVXMQ/edit#gid=1251630045"",""articles_with_PRISMA_reasons!B2:B2113""))&gt;=2,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$A1222=IMPORTRANGE(""https://docs.google.com/spreadsheets/d/1BJSV3WBYJGRhQ6zExamkszQ5VutGIcaQqmbD9ZTVXMQ/edit#gid=1251630045"",""articles_with_PRISMA_reasons!B2:B2113""))&lt;2),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$A1222=IMPORTRANGE(""https://docs.google.com/spreadsheets/d/1BJSV3WBYJGRhQ6zExamkszQ5VutGIcaQqmbD9ZTVXMQ/edit#gid=1251630045"",""a"&amp;"rticles_with_PRISMA_reasons!B2:B2113""))&lt;2,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$A1222=IMPORTRANGE(""https://docs.google"&amp;".com/spreadsheets/d/1BJSV3WBYJGRhQ6zExamkszQ5VutGIcaQqmbD9ZTVXMQ/edit#gid=1251630045"",""articles_with_PRISMA_reasons!B2:B2113""))&gt;=2),
""Exclude""
)"),"Exclude")</f>
        <v>Exclude</v>
      </c>
      <c r="E1222" s="5" t="str">
        <f>IFERROR(__xludf.DUMMYFUNCTION("IFS(
D1222=""Exclude"",""Exclude"",
AND(
FILTER(IMPORTRANGE(""https://docs.google.com/spreadsheets/d/1qpEmbGH0JjaJbUdp21-y2cPbobDbMjr09BbtdKROZWc/edit#gid=1444865654"",""articles_with_PRISMA_reasons!W2:W2113""), $A1222=IMPORTRANGE(""https://docs.google.co"&amp;"m/spreadsheets/d/1qpEmbGH0JjaJbUdp21-y2cPbobDbMjr09BbtdKROZWc/edit#gid=1444865654"",""articles_with_PRISMA_reasons!B2:B2113""))&gt;=2,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$A1222=IMPORTRANGE(""https://docs.google.com/spreadsheets/d/1qpEmbGH0JjaJbUdp21-y2cPbobDbMjr09BbtdKROZWc/edit#gid=1444865654"",""articles_with_PRISMA_reasons!B2:B2113""))&lt;2),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$A1222=IMPORTRANGE(""https://docs.google.com/spreadsheets/d/1qpEmbGH0JjaJbUdp21-y2cPbobDbMjr09Bbtd"&amp;"KROZWc/edit#gid=1444865654"",""articles_with_PRISMA_reasons!B2:B2113""))&lt;2,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$A1222=I"&amp;"MPORTRANGE(""https://docs.google.com/spreadsheets/d/1qpEmbGH0JjaJbUdp21-y2cPbobDbMjr09BbtdKROZWc/edit#gid=1444865654"",""articles_with_PRISMA_reasons!B2:B2113""))&gt;=2),
""Exclude""
)"),"Exclude")</f>
        <v>Exclude</v>
      </c>
      <c r="F1222" s="5" t="str">
        <f>IFERROR(__xludf.DUMMYFUNCTION("IFS(
E1222=""Exclude"",""Exclude"",
AND(
COUNTIF(
IMPORTRANGE(""https://docs.google.com/spreadsheets/d/1kGrh75X1cNR1D7_FcY9zMnHP8iPO4M5RCRjy6nZY0TY/edit#gid=0"",""Table 1: Study characteristics!B4:B171""),A1222)&gt;0,
COUNTIF(Studies!$A$2:$A$85,FILTER(IMPORT"&amp;"RANGE(""https://docs.google.com/spreadsheets/d/1kGrh75X1cNR1D7_FcY9zMnHP8iPO4M5RCRjy6nZY0TY/edit#gid=0"",""Table 1: Study characteristics!A4:A171""), $A1222=IMPORTRANGE(""https://docs.google.com/spreadsheets/d/1kGrh75X1cNR1D7_FcY9zMnHP8iPO4M5RCRjy6nZY0TY/"&amp;"edit#gid=0"",""Table 1: Study characteristics!B4:B171"")))&gt;0
),
""Include""
)"),"Exclude")</f>
        <v>Exclude</v>
      </c>
      <c r="G1222" s="5" t="str">
        <f>IFERROR(__xludf.DUMMYFUNCTION("IFS(
D1222=""Exclude"",
FILTER(IMPORTRANGE(""https://docs.google.com/spreadsheets/d/1BJSV3WBYJGRhQ6zExamkszQ5VutGIcaQqmbD9ZTVXMQ/edit#gid=1251630045"",""articles_with_PRISMA_reasons!AB2:AB2113""), $A1222=IMPORTRANGE(""https://docs.google.com/spreadsheets/"&amp;"d/1BJSV3WBYJGRhQ6zExamkszQ5VutGIcaQqmbD9ZTVXMQ/edit#gid=1251630045"",""articles_with_PRISMA_reasons!B2:B2113"")),
E1222=""Exclude"",
FILTER(IMPORTRANGE(""https://docs.google.com/spreadsheets/d/1qpEmbGH0JjaJbUdp21-y2cPbobDbMjr09BbtdKROZWc/edit#gid=14448656"&amp;"54"",""articles_with_PRISMA_reasons!Z2:Z2113""), $A1222=IMPORTRANGE(""https://docs.google.com/spreadsheets/d/1qpEmbGH0JjaJbUdp21-y2cPbobDbMjr09BbtdKROZWc/edit#gid=1444865654"",""articles_with_PRISMA_reasons!B2:B2113"")),F1222
=""Include"",FILTER(IMPORTRAN"&amp;"GE(""https://docs.google.com/spreadsheets/d/1kGrh75X1cNR1D7_FcY9zMnHP8iPO4M5RCRjy6nZY0TY/edit#gid=0"",""Table 1: Study characteristics!A4:A171""), $A1222=IMPORTRANGE(""https://docs.google.com/spreadsheets/d/1kGrh75X1cNR1D7_FcY9zMnHP8iPO4M5RCRjy6nZY0TY/edi"&amp;"t#gid=0"",""Table 1: Study characteristics!B4:B171""))
)"),"Duplicate")</f>
        <v>Duplicate</v>
      </c>
    </row>
    <row r="1223">
      <c r="A1223" s="4" t="str">
        <f>IFERROR(__xludf.DUMMYFUNCTION("""COMPUTED_VALUE"""),"Multisegmental lumbar corporectomy and transcorporal fixation for correction of extreme thoracolumbar kyphosis in myelomeningocele with chronic decubitus")</f>
        <v>Multisegmental lumbar corporectomy and transcorporal fixation for correction of extreme thoracolumbar kyphosis in myelomeningocele with chronic decubitus</v>
      </c>
      <c r="B1223" s="5" t="str">
        <f>IFERROR(__xludf.DUMMYFUNCTION("LEFT(FILTER(IMPORTRANGE(""https://docs.google.com/spreadsheets/d/1BJSV3WBYJGRhQ6zExamkszQ5VutGIcaQqmbD9ZTVXMQ/edit#gid=1251630045"",""articles_with_PRISMA_reasons!K2:K2113""), $A1223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$A1223=IMPORTRANGE(""https://docs.google.com/spreadsheets/d/1BJSV3WBYJGRhQ6zExamkszQ5VutGIcaQqmbD9ZTVXMQ/edit#gid=1251630045"",""articles_with_PRISMA_reasons!B2:B2113"")))-1)"),"Kiepe")</f>
        <v>Kiepe</v>
      </c>
      <c r="C1223" s="6">
        <f>IFERROR(__xludf.DUMMYFUNCTION("FILTER(IMPORTRANGE(""https://docs.google.com/spreadsheets/d/1BJSV3WBYJGRhQ6zExamkszQ5VutGIcaQqmbD9ZTVXMQ/edit#gid=1251630045"",""articles_with_PRISMA_reasons!C2:C2113""), $A1223=IMPORTRANGE(""https://docs.google.com/spreadsheets/d/1BJSV3WBYJGRhQ6zExamkszQ"&amp;"5VutGIcaQqmbD9ZTVXMQ/edit#gid=1251630045"",""articles_with_PRISMA_reasons!B2:B2113""))"),2019.0)</f>
        <v>2019</v>
      </c>
      <c r="D1223" s="5" t="str">
        <f>IFERROR(__xludf.DUMMYFUNCTION("IFS(AND(
FILTER(IMPORTRANGE(""https://docs.google.com/spreadsheets/d/1BJSV3WBYJGRhQ6zExamkszQ5VutGIcaQqmbD9ZTVXMQ/edit#gid=1251630045"",""articles_with_PRISMA_reasons!Y2:Y2113""), $A1223=IMPORTRANGE(""https://docs.google.com/spreadsheets/d/1BJSV3WBYJGRhQ6"&amp;"zExamkszQ5VutGIcaQqmbD9ZTVXMQ/edit#gid=1251630045"",""articles_with_PRISMA_reasons!B2:B2113""))&gt;=2,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$A1223=IMPORTRANGE(""https://docs.google.com/spreadsheets/d/1BJSV3WBYJGRhQ6zExamkszQ5VutGIcaQqmbD9ZTVXMQ/edit#gid=1251630045"",""articles_with_PRISMA_reasons!B2:B2113""))&lt;2),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$A1223=IMPORTRANGE(""https://docs.google.com/spreadsheets/d/1BJSV3WBYJGRhQ6zExamkszQ5VutGIcaQqmbD9ZTVXMQ/edit#gid=1251630045"",""a"&amp;"rticles_with_PRISMA_reasons!B2:B2113""))&lt;2,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$A1223=IMPORTRANGE(""https://docs.google"&amp;".com/spreadsheets/d/1BJSV3WBYJGRhQ6zExamkszQ5VutGIcaQqmbD9ZTVXMQ/edit#gid=1251630045"",""articles_with_PRISMA_reasons!B2:B2113""))&gt;=2),
""Exclude""
)"),"Exclude")</f>
        <v>Exclude</v>
      </c>
      <c r="E1223" s="5" t="str">
        <f>IFERROR(__xludf.DUMMYFUNCTION("IFS(
D1223=""Exclude"",""Exclude"",
AND(
FILTER(IMPORTRANGE(""https://docs.google.com/spreadsheets/d/1qpEmbGH0JjaJbUdp21-y2cPbobDbMjr09BbtdKROZWc/edit#gid=1444865654"",""articles_with_PRISMA_reasons!W2:W2113""), $A1223=IMPORTRANGE(""https://docs.google.co"&amp;"m/spreadsheets/d/1qpEmbGH0JjaJbUdp21-y2cPbobDbMjr09BbtdKROZWc/edit#gid=1444865654"",""articles_with_PRISMA_reasons!B2:B2113""))&gt;=2,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$A1223=IMPORTRANGE(""https://docs.google.com/spreadsheets/d/1qpEmbGH0JjaJbUdp21-y2cPbobDbMjr09BbtdKROZWc/edit#gid=1444865654"",""articles_with_PRISMA_reasons!B2:B2113""))&lt;2),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$A1223=IMPORTRANGE(""https://docs.google.com/spreadsheets/d/1qpEmbGH0JjaJbUdp21-y2cPbobDbMjr09Bbtd"&amp;"KROZWc/edit#gid=1444865654"",""articles_with_PRISMA_reasons!B2:B2113""))&lt;2,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$A1223=I"&amp;"MPORTRANGE(""https://docs.google.com/spreadsheets/d/1qpEmbGH0JjaJbUdp21-y2cPbobDbMjr09BbtdKROZWc/edit#gid=1444865654"",""articles_with_PRISMA_reasons!B2:B2113""))&gt;=2),
""Exclude""
)"),"Exclude")</f>
        <v>Exclude</v>
      </c>
      <c r="F1223" s="5" t="str">
        <f>IFERROR(__xludf.DUMMYFUNCTION("IFS(
E1223=""Exclude"",""Exclude"",
AND(
COUNTIF(
IMPORTRANGE(""https://docs.google.com/spreadsheets/d/1kGrh75X1cNR1D7_FcY9zMnHP8iPO4M5RCRjy6nZY0TY/edit#gid=0"",""Table 1: Study characteristics!B4:B171""),A1223)&gt;0,
COUNTIF(Studies!$A$2:$A$85,FILTER(IMPORT"&amp;"RANGE(""https://docs.google.com/spreadsheets/d/1kGrh75X1cNR1D7_FcY9zMnHP8iPO4M5RCRjy6nZY0TY/edit#gid=0"",""Table 1: Study characteristics!A4:A171""), $A1223=IMPORTRANGE(""https://docs.google.com/spreadsheets/d/1kGrh75X1cNR1D7_FcY9zMnHP8iPO4M5RCRjy6nZY0TY/"&amp;"edit#gid=0"",""Table 1: Study characteristics!B4:B171"")))&gt;0
),
""Include""
)"),"Exclude")</f>
        <v>Exclude</v>
      </c>
      <c r="G1223" s="5" t="str">
        <f>IFERROR(__xludf.DUMMYFUNCTION("IFS(
D1223=""Exclude"",
FILTER(IMPORTRANGE(""https://docs.google.com/spreadsheets/d/1BJSV3WBYJGRhQ6zExamkszQ5VutGIcaQqmbD9ZTVXMQ/edit#gid=1251630045"",""articles_with_PRISMA_reasons!AB2:AB2113""), $A1223=IMPORTRANGE(""https://docs.google.com/spreadsheets/"&amp;"d/1BJSV3WBYJGRhQ6zExamkszQ5VutGIcaQqmbD9ZTVXMQ/edit#gid=1251630045"",""articles_with_PRISMA_reasons!B2:B2113"")),
E1223=""Exclude"",
FILTER(IMPORTRANGE(""https://docs.google.com/spreadsheets/d/1qpEmbGH0JjaJbUdp21-y2cPbobDbMjr09BbtdKROZWc/edit#gid=14448656"&amp;"54"",""articles_with_PRISMA_reasons!Z2:Z2113""), $A1223=IMPORTRANGE(""https://docs.google.com/spreadsheets/d/1qpEmbGH0JjaJbUdp21-y2cPbobDbMjr09BbtdKROZWc/edit#gid=1444865654"",""articles_with_PRISMA_reasons!B2:B2113"")),F1223
=""Include"",FILTER(IMPORTRAN"&amp;"GE(""https://docs.google.com/spreadsheets/d/1kGrh75X1cNR1D7_FcY9zMnHP8iPO4M5RCRjy6nZY0TY/edit#gid=0"",""Table 1: Study characteristics!A4:A171""), $A1223=IMPORTRANGE(""https://docs.google.com/spreadsheets/d/1kGrh75X1cNR1D7_FcY9zMnHP8iPO4M5RCRjy6nZY0TY/edi"&amp;"t#gid=0"",""Table 1: Study characteristics!B4:B171""))
)"),"wrong study design")</f>
        <v>wrong study design</v>
      </c>
    </row>
    <row r="1224">
      <c r="A1224" s="4" t="str">
        <f>IFERROR(__xludf.DUMMYFUNCTION("""COMPUTED_VALUE"""),"Myasthenia gravis: Management issues during pregnancy")</f>
        <v>Myasthenia gravis: Management issues during pregnancy</v>
      </c>
      <c r="B1224" s="5" t="str">
        <f>IFERROR(__xludf.DUMMYFUNCTION("LEFT(FILTER(IMPORTRANGE(""https://docs.google.com/spreadsheets/d/1BJSV3WBYJGRhQ6zExamkszQ5VutGIcaQqmbD9ZTVXMQ/edit#gid=1251630045"",""articles_with_PRISMA_reasons!K2:K2113""), $A1224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$A1224=IMPORTRANGE(""https://docs.google.com/spreadsheets/d/1BJSV3WBYJGRhQ6zExamkszQ5VutGIcaQqmbD9ZTVXMQ/edit#gid=1251630045"",""articles_with_PRISMA_reasons!B2:B2113"")))-1)"),"Ferrero")</f>
        <v>Ferrero</v>
      </c>
      <c r="C1224" s="6">
        <f>IFERROR(__xludf.DUMMYFUNCTION("FILTER(IMPORTRANGE(""https://docs.google.com/spreadsheets/d/1BJSV3WBYJGRhQ6zExamkszQ5VutGIcaQqmbD9ZTVXMQ/edit#gid=1251630045"",""articles_with_PRISMA_reasons!C2:C2113""), $A1224=IMPORTRANGE(""https://docs.google.com/spreadsheets/d/1BJSV3WBYJGRhQ6zExamkszQ"&amp;"5VutGIcaQqmbD9ZTVXMQ/edit#gid=1251630045"",""articles_with_PRISMA_reasons!B2:B2113""))"),2005.0)</f>
        <v>2005</v>
      </c>
      <c r="D1224" s="5" t="str">
        <f>IFERROR(__xludf.DUMMYFUNCTION("IFS(AND(
FILTER(IMPORTRANGE(""https://docs.google.com/spreadsheets/d/1BJSV3WBYJGRhQ6zExamkszQ5VutGIcaQqmbD9ZTVXMQ/edit#gid=1251630045"",""articles_with_PRISMA_reasons!Y2:Y2113""), $A1224=IMPORTRANGE(""https://docs.google.com/spreadsheets/d/1BJSV3WBYJGRhQ6"&amp;"zExamkszQ5VutGIcaQqmbD9ZTVXMQ/edit#gid=1251630045"",""articles_with_PRISMA_reasons!B2:B2113""))&gt;=2,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$A1224=IMPORTRANGE(""https://docs.google.com/spreadsheets/d/1BJSV3WBYJGRhQ6zExamkszQ5VutGIcaQqmbD9ZTVXMQ/edit#gid=1251630045"",""articles_with_PRISMA_reasons!B2:B2113""))&lt;2),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$A1224=IMPORTRANGE(""https://docs.google.com/spreadsheets/d/1BJSV3WBYJGRhQ6zExamkszQ5VutGIcaQqmbD9ZTVXMQ/edit#gid=1251630045"",""a"&amp;"rticles_with_PRISMA_reasons!B2:B2113""))&lt;2,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$A1224=IMPORTRANGE(""https://docs.google"&amp;".com/spreadsheets/d/1BJSV3WBYJGRhQ6zExamkszQ5VutGIcaQqmbD9ZTVXMQ/edit#gid=1251630045"",""articles_with_PRISMA_reasons!B2:B2113""))&gt;=2),
""Exclude""
)"),"Exclude")</f>
        <v>Exclude</v>
      </c>
      <c r="E1224" s="5" t="str">
        <f>IFERROR(__xludf.DUMMYFUNCTION("IFS(
D1224=""Exclude"",""Exclude"",
AND(
FILTER(IMPORTRANGE(""https://docs.google.com/spreadsheets/d/1qpEmbGH0JjaJbUdp21-y2cPbobDbMjr09BbtdKROZWc/edit#gid=1444865654"",""articles_with_PRISMA_reasons!W2:W2113""), $A1224=IMPORTRANGE(""https://docs.google.co"&amp;"m/spreadsheets/d/1qpEmbGH0JjaJbUdp21-y2cPbobDbMjr09BbtdKROZWc/edit#gid=1444865654"",""articles_with_PRISMA_reasons!B2:B2113""))&gt;=2,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$A1224=IMPORTRANGE(""https://docs.google.com/spreadsheets/d/1qpEmbGH0JjaJbUdp21-y2cPbobDbMjr09BbtdKROZWc/edit#gid=1444865654"",""articles_with_PRISMA_reasons!B2:B2113""))&lt;2),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$A1224=IMPORTRANGE(""https://docs.google.com/spreadsheets/d/1qpEmbGH0JjaJbUdp21-y2cPbobDbMjr09Bbtd"&amp;"KROZWc/edit#gid=1444865654"",""articles_with_PRISMA_reasons!B2:B2113""))&lt;2,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$A1224=I"&amp;"MPORTRANGE(""https://docs.google.com/spreadsheets/d/1qpEmbGH0JjaJbUdp21-y2cPbobDbMjr09BbtdKROZWc/edit#gid=1444865654"",""articles_with_PRISMA_reasons!B2:B2113""))&gt;=2),
""Exclude""
)"),"Exclude")</f>
        <v>Exclude</v>
      </c>
      <c r="F1224" s="5" t="str">
        <f>IFERROR(__xludf.DUMMYFUNCTION("IFS(
E1224=""Exclude"",""Exclude"",
AND(
COUNTIF(
IMPORTRANGE(""https://docs.google.com/spreadsheets/d/1kGrh75X1cNR1D7_FcY9zMnHP8iPO4M5RCRjy6nZY0TY/edit#gid=0"",""Table 1: Study characteristics!B4:B171""),A1224)&gt;0,
COUNTIF(Studies!$A$2:$A$85,FILTER(IMPORT"&amp;"RANGE(""https://docs.google.com/spreadsheets/d/1kGrh75X1cNR1D7_FcY9zMnHP8iPO4M5RCRjy6nZY0TY/edit#gid=0"",""Table 1: Study characteristics!A4:A171""), $A1224=IMPORTRANGE(""https://docs.google.com/spreadsheets/d/1kGrh75X1cNR1D7_FcY9zMnHP8iPO4M5RCRjy6nZY0TY/"&amp;"edit#gid=0"",""Table 1: Study characteristics!B4:B171"")))&gt;0
),
""Include""
)"),"Exclude")</f>
        <v>Exclude</v>
      </c>
      <c r="G1224" s="5" t="str">
        <f>IFERROR(__xludf.DUMMYFUNCTION("IFS(
D1224=""Exclude"",
FILTER(IMPORTRANGE(""https://docs.google.com/spreadsheets/d/1BJSV3WBYJGRhQ6zExamkszQ5VutGIcaQqmbD9ZTVXMQ/edit#gid=1251630045"",""articles_with_PRISMA_reasons!AB2:AB2113""), $A1224=IMPORTRANGE(""https://docs.google.com/spreadsheets/"&amp;"d/1BJSV3WBYJGRhQ6zExamkszQ5VutGIcaQqmbD9ZTVXMQ/edit#gid=1251630045"",""articles_with_PRISMA_reasons!B2:B2113"")),
E1224=""Exclude"",
FILTER(IMPORTRANGE(""https://docs.google.com/spreadsheets/d/1qpEmbGH0JjaJbUdp21-y2cPbobDbMjr09BbtdKROZWc/edit#gid=14448656"&amp;"54"",""articles_with_PRISMA_reasons!Z2:Z2113""), $A1224=IMPORTRANGE(""https://docs.google.com/spreadsheets/d/1qpEmbGH0JjaJbUdp21-y2cPbobDbMjr09BbtdKROZWc/edit#gid=1444865654"",""articles_with_PRISMA_reasons!B2:B2113"")),F1224
=""Include"",FILTER(IMPORTRAN"&amp;"GE(""https://docs.google.com/spreadsheets/d/1kGrh75X1cNR1D7_FcY9zMnHP8iPO4M5RCRjy6nZY0TY/edit#gid=0"",""Table 1: Study characteristics!A4:A171""), $A1224=IMPORTRANGE(""https://docs.google.com/spreadsheets/d/1kGrh75X1cNR1D7_FcY9zMnHP8iPO4M5RCRjy6nZY0TY/edi"&amp;"t#gid=0"",""Table 1: Study characteristics!B4:B171""))
)"),"wrong study design")</f>
        <v>wrong study design</v>
      </c>
    </row>
    <row r="1225">
      <c r="A1225" s="4" t="str">
        <f>IFERROR(__xludf.DUMMYFUNCTION("""COMPUTED_VALUE"""),"Mycoplasma hominis infection of the central nervous system in newborn infants")</f>
        <v>Mycoplasma hominis infection of the central nervous system in newborn infants</v>
      </c>
      <c r="B1225" s="5" t="str">
        <f>IFERROR(__xludf.DUMMYFUNCTION("LEFT(FILTER(IMPORTRANGE(""https://docs.google.com/spreadsheets/d/1BJSV3WBYJGRhQ6zExamkszQ5VutGIcaQqmbD9ZTVXMQ/edit#gid=1251630045"",""articles_with_PRISMA_reasons!K2:K2113""), $A1225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$A1225=IMPORTRANGE(""https://docs.google.com/spreadsheets/d/1BJSV3WBYJGRhQ6zExamkszQ5VutGIcaQqmbD9ZTVXMQ/edit#gid=1251630045"",""articles_with_PRISMA_reasons!B2:B2113"")))-1)"),"Mardh")</f>
        <v>Mardh</v>
      </c>
      <c r="C1225" s="6">
        <f>IFERROR(__xludf.DUMMYFUNCTION("FILTER(IMPORTRANGE(""https://docs.google.com/spreadsheets/d/1BJSV3WBYJGRhQ6zExamkszQ5VutGIcaQqmbD9ZTVXMQ/edit#gid=1251630045"",""articles_with_PRISMA_reasons!C2:C2113""), $A1225=IMPORTRANGE(""https://docs.google.com/spreadsheets/d/1BJSV3WBYJGRhQ6zExamkszQ"&amp;"5VutGIcaQqmbD9ZTVXMQ/edit#gid=1251630045"",""articles_with_PRISMA_reasons!B2:B2113""))"),1983.0)</f>
        <v>1983</v>
      </c>
      <c r="D1225" s="5" t="str">
        <f>IFERROR(__xludf.DUMMYFUNCTION("IFS(AND(
FILTER(IMPORTRANGE(""https://docs.google.com/spreadsheets/d/1BJSV3WBYJGRhQ6zExamkszQ5VutGIcaQqmbD9ZTVXMQ/edit#gid=1251630045"",""articles_with_PRISMA_reasons!Y2:Y2113""), $A1225=IMPORTRANGE(""https://docs.google.com/spreadsheets/d/1BJSV3WBYJGRhQ6"&amp;"zExamkszQ5VutGIcaQqmbD9ZTVXMQ/edit#gid=1251630045"",""articles_with_PRISMA_reasons!B2:B2113""))&gt;=2,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$A1225=IMPORTRANGE(""https://docs.google.com/spreadsheets/d/1BJSV3WBYJGRhQ6zExamkszQ5VutGIcaQqmbD9ZTVXMQ/edit#gid=1251630045"",""articles_with_PRISMA_reasons!B2:B2113""))&lt;2),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$A1225=IMPORTRANGE(""https://docs.google.com/spreadsheets/d/1BJSV3WBYJGRhQ6zExamkszQ5VutGIcaQqmbD9ZTVXMQ/edit#gid=1251630045"",""a"&amp;"rticles_with_PRISMA_reasons!B2:B2113""))&lt;2,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$A1225=IMPORTRANGE(""https://docs.google"&amp;".com/spreadsheets/d/1BJSV3WBYJGRhQ6zExamkszQ5VutGIcaQqmbD9ZTVXMQ/edit#gid=1251630045"",""articles_with_PRISMA_reasons!B2:B2113""))&gt;=2),
""Exclude""
)"),"Exclude")</f>
        <v>Exclude</v>
      </c>
      <c r="E1225" s="5" t="str">
        <f>IFERROR(__xludf.DUMMYFUNCTION("IFS(
D1225=""Exclude"",""Exclude"",
AND(
FILTER(IMPORTRANGE(""https://docs.google.com/spreadsheets/d/1qpEmbGH0JjaJbUdp21-y2cPbobDbMjr09BbtdKROZWc/edit#gid=1444865654"",""articles_with_PRISMA_reasons!W2:W2113""), $A1225=IMPORTRANGE(""https://docs.google.co"&amp;"m/spreadsheets/d/1qpEmbGH0JjaJbUdp21-y2cPbobDbMjr09BbtdKROZWc/edit#gid=1444865654"",""articles_with_PRISMA_reasons!B2:B2113""))&gt;=2,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$A1225=IMPORTRANGE(""https://docs.google.com/spreadsheets/d/1qpEmbGH0JjaJbUdp21-y2cPbobDbMjr09BbtdKROZWc/edit#gid=1444865654"",""articles_with_PRISMA_reasons!B2:B2113""))&lt;2),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$A1225=IMPORTRANGE(""https://docs.google.com/spreadsheets/d/1qpEmbGH0JjaJbUdp21-y2cPbobDbMjr09Bbtd"&amp;"KROZWc/edit#gid=1444865654"",""articles_with_PRISMA_reasons!B2:B2113""))&lt;2,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$A1225=I"&amp;"MPORTRANGE(""https://docs.google.com/spreadsheets/d/1qpEmbGH0JjaJbUdp21-y2cPbobDbMjr09BbtdKROZWc/edit#gid=1444865654"",""articles_with_PRISMA_reasons!B2:B2113""))&gt;=2),
""Exclude""
)"),"Exclude")</f>
        <v>Exclude</v>
      </c>
      <c r="F1225" s="5" t="str">
        <f>IFERROR(__xludf.DUMMYFUNCTION("IFS(
E1225=""Exclude"",""Exclude"",
AND(
COUNTIF(
IMPORTRANGE(""https://docs.google.com/spreadsheets/d/1kGrh75X1cNR1D7_FcY9zMnHP8iPO4M5RCRjy6nZY0TY/edit#gid=0"",""Table 1: Study characteristics!B4:B171""),A1225)&gt;0,
COUNTIF(Studies!$A$2:$A$85,FILTER(IMPORT"&amp;"RANGE(""https://docs.google.com/spreadsheets/d/1kGrh75X1cNR1D7_FcY9zMnHP8iPO4M5RCRjy6nZY0TY/edit#gid=0"",""Table 1: Study characteristics!A4:A171""), $A1225=IMPORTRANGE(""https://docs.google.com/spreadsheets/d/1kGrh75X1cNR1D7_FcY9zMnHP8iPO4M5RCRjy6nZY0TY/"&amp;"edit#gid=0"",""Table 1: Study characteristics!B4:B171"")))&gt;0
),
""Include""
)"),"Exclude")</f>
        <v>Exclude</v>
      </c>
      <c r="G1225" s="5" t="str">
        <f>IFERROR(__xludf.DUMMYFUNCTION("IFS(
D1225=""Exclude"",
FILTER(IMPORTRANGE(""https://docs.google.com/spreadsheets/d/1BJSV3WBYJGRhQ6zExamkszQ5VutGIcaQqmbD9ZTVXMQ/edit#gid=1251630045"",""articles_with_PRISMA_reasons!AB2:AB2113""), $A1225=IMPORTRANGE(""https://docs.google.com/spreadsheets/"&amp;"d/1BJSV3WBYJGRhQ6zExamkszQ5VutGIcaQqmbD9ZTVXMQ/edit#gid=1251630045"",""articles_with_PRISMA_reasons!B2:B2113"")),
E1225=""Exclude"",
FILTER(IMPORTRANGE(""https://docs.google.com/spreadsheets/d/1qpEmbGH0JjaJbUdp21-y2cPbobDbMjr09BbtdKROZWc/edit#gid=14448656"&amp;"54"",""articles_with_PRISMA_reasons!Z2:Z2113""), $A1225=IMPORTRANGE(""https://docs.google.com/spreadsheets/d/1qpEmbGH0JjaJbUdp21-y2cPbobDbMjr09BbtdKROZWc/edit#gid=1444865654"",""articles_with_PRISMA_reasons!B2:B2113"")),F1225
=""Include"",FILTER(IMPORTRAN"&amp;"GE(""https://docs.google.com/spreadsheets/d/1kGrh75X1cNR1D7_FcY9zMnHP8iPO4M5RCRjy6nZY0TY/edit#gid=0"",""Table 1: Study characteristics!A4:A171""), $A1225=IMPORTRANGE(""https://docs.google.com/spreadsheets/d/1kGrh75X1cNR1D7_FcY9zMnHP8iPO4M5RCRjy6nZY0TY/edi"&amp;"t#gid=0"",""Table 1: Study characteristics!B4:B171""))
)"),"wrong population")</f>
        <v>wrong population</v>
      </c>
    </row>
    <row r="1226">
      <c r="A1226" s="4" t="str">
        <f>IFERROR(__xludf.DUMMYFUNCTION("""COMPUTED_VALUE"""),"Myelocystocele Mimicking Myelomeningocele: A Case Report and Review of the Literature")</f>
        <v>Myelocystocele Mimicking Myelomeningocele: A Case Report and Review of the Literature</v>
      </c>
      <c r="B1226" s="5" t="str">
        <f>IFERROR(__xludf.DUMMYFUNCTION("LEFT(FILTER(IMPORTRANGE(""https://docs.google.com/spreadsheets/d/1BJSV3WBYJGRhQ6zExamkszQ5VutGIcaQqmbD9ZTVXMQ/edit#gid=1251630045"",""articles_with_PRISMA_reasons!K2:K2113""), $A1226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$A1226=IMPORTRANGE(""https://docs.google.com/spreadsheets/d/1BJSV3WBYJGRhQ6zExamkszQ5VutGIcaQqmbD9ZTVXMQ/edit#gid=1251630045"",""articles_with_PRISMA_reasons!B2:B2113"")))-1)"),"Takamiya")</f>
        <v>Takamiya</v>
      </c>
      <c r="C1226" s="6">
        <f>IFERROR(__xludf.DUMMYFUNCTION("FILTER(IMPORTRANGE(""https://docs.google.com/spreadsheets/d/1BJSV3WBYJGRhQ6zExamkszQ5VutGIcaQqmbD9ZTVXMQ/edit#gid=1251630045"",""articles_with_PRISMA_reasons!C2:C2113""), $A1226=IMPORTRANGE(""https://docs.google.com/spreadsheets/d/1BJSV3WBYJGRhQ6zExamkszQ"&amp;"5VutGIcaQqmbD9ZTVXMQ/edit#gid=1251630045"",""articles_with_PRISMA_reasons!B2:B2113""))"),2018.0)</f>
        <v>2018</v>
      </c>
      <c r="D1226" s="5" t="str">
        <f>IFERROR(__xludf.DUMMYFUNCTION("IFS(AND(
FILTER(IMPORTRANGE(""https://docs.google.com/spreadsheets/d/1BJSV3WBYJGRhQ6zExamkszQ5VutGIcaQqmbD9ZTVXMQ/edit#gid=1251630045"",""articles_with_PRISMA_reasons!Y2:Y2113""), $A1226=IMPORTRANGE(""https://docs.google.com/spreadsheets/d/1BJSV3WBYJGRhQ6"&amp;"zExamkszQ5VutGIcaQqmbD9ZTVXMQ/edit#gid=1251630045"",""articles_with_PRISMA_reasons!B2:B2113""))&gt;=2,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$A1226=IMPORTRANGE(""https://docs.google.com/spreadsheets/d/1BJSV3WBYJGRhQ6zExamkszQ5VutGIcaQqmbD9ZTVXMQ/edit#gid=1251630045"",""articles_with_PRISMA_reasons!B2:B2113""))&lt;2),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$A1226=IMPORTRANGE(""https://docs.google.com/spreadsheets/d/1BJSV3WBYJGRhQ6zExamkszQ5VutGIcaQqmbD9ZTVXMQ/edit#gid=1251630045"",""a"&amp;"rticles_with_PRISMA_reasons!B2:B2113""))&lt;2,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$A1226=IMPORTRANGE(""https://docs.google"&amp;".com/spreadsheets/d/1BJSV3WBYJGRhQ6zExamkszQ5VutGIcaQqmbD9ZTVXMQ/edit#gid=1251630045"",""articles_with_PRISMA_reasons!B2:B2113""))&gt;=2),
""Exclude""
)"),"Exclude")</f>
        <v>Exclude</v>
      </c>
      <c r="E1226" s="5" t="str">
        <f>IFERROR(__xludf.DUMMYFUNCTION("IFS(
D1226=""Exclude"",""Exclude"",
AND(
FILTER(IMPORTRANGE(""https://docs.google.com/spreadsheets/d/1qpEmbGH0JjaJbUdp21-y2cPbobDbMjr09BbtdKROZWc/edit#gid=1444865654"",""articles_with_PRISMA_reasons!W2:W2113""), $A1226=IMPORTRANGE(""https://docs.google.co"&amp;"m/spreadsheets/d/1qpEmbGH0JjaJbUdp21-y2cPbobDbMjr09BbtdKROZWc/edit#gid=1444865654"",""articles_with_PRISMA_reasons!B2:B2113""))&gt;=2,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$A1226=IMPORTRANGE(""https://docs.google.com/spreadsheets/d/1qpEmbGH0JjaJbUdp21-y2cPbobDbMjr09BbtdKROZWc/edit#gid=1444865654"",""articles_with_PRISMA_reasons!B2:B2113""))&lt;2),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$A1226=IMPORTRANGE(""https://docs.google.com/spreadsheets/d/1qpEmbGH0JjaJbUdp21-y2cPbobDbMjr09Bbtd"&amp;"KROZWc/edit#gid=1444865654"",""articles_with_PRISMA_reasons!B2:B2113""))&lt;2,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$A1226=I"&amp;"MPORTRANGE(""https://docs.google.com/spreadsheets/d/1qpEmbGH0JjaJbUdp21-y2cPbobDbMjr09BbtdKROZWc/edit#gid=1444865654"",""articles_with_PRISMA_reasons!B2:B2113""))&gt;=2),
""Exclude""
)"),"Exclude")</f>
        <v>Exclude</v>
      </c>
      <c r="F1226" s="5" t="str">
        <f>IFERROR(__xludf.DUMMYFUNCTION("IFS(
E1226=""Exclude"",""Exclude"",
AND(
COUNTIF(
IMPORTRANGE(""https://docs.google.com/spreadsheets/d/1kGrh75X1cNR1D7_FcY9zMnHP8iPO4M5RCRjy6nZY0TY/edit#gid=0"",""Table 1: Study characteristics!B4:B171""),A1226)&gt;0,
COUNTIF(Studies!$A$2:$A$85,FILTER(IMPORT"&amp;"RANGE(""https://docs.google.com/spreadsheets/d/1kGrh75X1cNR1D7_FcY9zMnHP8iPO4M5RCRjy6nZY0TY/edit#gid=0"",""Table 1: Study characteristics!A4:A171""), $A1226=IMPORTRANGE(""https://docs.google.com/spreadsheets/d/1kGrh75X1cNR1D7_FcY9zMnHP8iPO4M5RCRjy6nZY0TY/"&amp;"edit#gid=0"",""Table 1: Study characteristics!B4:B171"")))&gt;0
),
""Include""
)"),"Exclude")</f>
        <v>Exclude</v>
      </c>
      <c r="G1226" s="5" t="str">
        <f>IFERROR(__xludf.DUMMYFUNCTION("IFS(
D1226=""Exclude"",
FILTER(IMPORTRANGE(""https://docs.google.com/spreadsheets/d/1BJSV3WBYJGRhQ6zExamkszQ5VutGIcaQqmbD9ZTVXMQ/edit#gid=1251630045"",""articles_with_PRISMA_reasons!AB2:AB2113""), $A1226=IMPORTRANGE(""https://docs.google.com/spreadsheets/"&amp;"d/1BJSV3WBYJGRhQ6zExamkszQ5VutGIcaQqmbD9ZTVXMQ/edit#gid=1251630045"",""articles_with_PRISMA_reasons!B2:B2113"")),
E1226=""Exclude"",
FILTER(IMPORTRANGE(""https://docs.google.com/spreadsheets/d/1qpEmbGH0JjaJbUdp21-y2cPbobDbMjr09BbtdKROZWc/edit#gid=14448656"&amp;"54"",""articles_with_PRISMA_reasons!Z2:Z2113""), $A1226=IMPORTRANGE(""https://docs.google.com/spreadsheets/d/1qpEmbGH0JjaJbUdp21-y2cPbobDbMjr09BbtdKROZWc/edit#gid=1444865654"",""articles_with_PRISMA_reasons!B2:B2113"")),F1226
=""Include"",FILTER(IMPORTRAN"&amp;"GE(""https://docs.google.com/spreadsheets/d/1kGrh75X1cNR1D7_FcY9zMnHP8iPO4M5RCRjy6nZY0TY/edit#gid=0"",""Table 1: Study characteristics!A4:A171""), $A1226=IMPORTRANGE(""https://docs.google.com/spreadsheets/d/1kGrh75X1cNR1D7_FcY9zMnHP8iPO4M5RCRjy6nZY0TY/edi"&amp;"t#gid=0"",""Table 1: Study characteristics!B4:B171""))
)"),"wrong publication type")</f>
        <v>wrong publication type</v>
      </c>
    </row>
    <row r="1227">
      <c r="A1227" s="4" t="str">
        <f>IFERROR(__xludf.DUMMYFUNCTION("""COMPUTED_VALUE"""),"Myelodysplasia: decision for death or disability")</f>
        <v>Myelodysplasia: decision for death or disability</v>
      </c>
      <c r="B1227" s="5" t="str">
        <f>IFERROR(__xludf.DUMMYFUNCTION("LEFT(FILTER(IMPORTRANGE(""https://docs.google.com/spreadsheets/d/1BJSV3WBYJGRhQ6zExamkszQ5VutGIcaQqmbD9ZTVXMQ/edit#gid=1251630045"",""articles_with_PRISMA_reasons!K2:K2113""), $A1227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$A1227=IMPORTRANGE(""https://docs.google.com/spreadsheets/d/1BJSV3WBYJGRhQ6zExamkszQ5VutGIcaQqmbD9ZTVXMQ/edit#gid=1251630045"",""articles_with_PRISMA_reasons!B2:B2113"")))-1)"),"Shurtleff")</f>
        <v>Shurtleff</v>
      </c>
      <c r="C1227" s="6">
        <f>IFERROR(__xludf.DUMMYFUNCTION("FILTER(IMPORTRANGE(""https://docs.google.com/spreadsheets/d/1BJSV3WBYJGRhQ6zExamkszQ5VutGIcaQqmbD9ZTVXMQ/edit#gid=1251630045"",""articles_with_PRISMA_reasons!C2:C2113""), $A1227=IMPORTRANGE(""https://docs.google.com/spreadsheets/d/1BJSV3WBYJGRhQ6zExamkszQ"&amp;"5VutGIcaQqmbD9ZTVXMQ/edit#gid=1251630045"",""articles_with_PRISMA_reasons!B2:B2113""))"),1974.0)</f>
        <v>1974</v>
      </c>
      <c r="D1227" s="5" t="str">
        <f>IFERROR(__xludf.DUMMYFUNCTION("IFS(AND(
FILTER(IMPORTRANGE(""https://docs.google.com/spreadsheets/d/1BJSV3WBYJGRhQ6zExamkszQ5VutGIcaQqmbD9ZTVXMQ/edit#gid=1251630045"",""articles_with_PRISMA_reasons!Y2:Y2113""), $A1227=IMPORTRANGE(""https://docs.google.com/spreadsheets/d/1BJSV3WBYJGRhQ6"&amp;"zExamkszQ5VutGIcaQqmbD9ZTVXMQ/edit#gid=1251630045"",""articles_with_PRISMA_reasons!B2:B2113""))&gt;=2,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$A1227=IMPORTRANGE(""https://docs.google.com/spreadsheets/d/1BJSV3WBYJGRhQ6zExamkszQ5VutGIcaQqmbD9ZTVXMQ/edit#gid=1251630045"",""articles_with_PRISMA_reasons!B2:B2113""))&lt;2),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$A1227=IMPORTRANGE(""https://docs.google.com/spreadsheets/d/1BJSV3WBYJGRhQ6zExamkszQ5VutGIcaQqmbD9ZTVXMQ/edit#gid=1251630045"",""a"&amp;"rticles_with_PRISMA_reasons!B2:B2113""))&lt;2,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$A1227=IMPORTRANGE(""https://docs.google"&amp;".com/spreadsheets/d/1BJSV3WBYJGRhQ6zExamkszQ5VutGIcaQqmbD9ZTVXMQ/edit#gid=1251630045"",""articles_with_PRISMA_reasons!B2:B2113""))&gt;=2),
""Exclude""
)"),"Exclude")</f>
        <v>Exclude</v>
      </c>
      <c r="E1227" s="5" t="str">
        <f>IFERROR(__xludf.DUMMYFUNCTION("IFS(
D1227=""Exclude"",""Exclude"",
AND(
FILTER(IMPORTRANGE(""https://docs.google.com/spreadsheets/d/1qpEmbGH0JjaJbUdp21-y2cPbobDbMjr09BbtdKROZWc/edit#gid=1444865654"",""articles_with_PRISMA_reasons!W2:W2113""), $A1227=IMPORTRANGE(""https://docs.google.co"&amp;"m/spreadsheets/d/1qpEmbGH0JjaJbUdp21-y2cPbobDbMjr09BbtdKROZWc/edit#gid=1444865654"",""articles_with_PRISMA_reasons!B2:B2113""))&gt;=2,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$A1227=IMPORTRANGE(""https://docs.google.com/spreadsheets/d/1qpEmbGH0JjaJbUdp21-y2cPbobDbMjr09BbtdKROZWc/edit#gid=1444865654"",""articles_with_PRISMA_reasons!B2:B2113""))&lt;2),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$A1227=IMPORTRANGE(""https://docs.google.com/spreadsheets/d/1qpEmbGH0JjaJbUdp21-y2cPbobDbMjr09Bbtd"&amp;"KROZWc/edit#gid=1444865654"",""articles_with_PRISMA_reasons!B2:B2113""))&lt;2,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$A1227=I"&amp;"MPORTRANGE(""https://docs.google.com/spreadsheets/d/1qpEmbGH0JjaJbUdp21-y2cPbobDbMjr09BbtdKROZWc/edit#gid=1444865654"",""articles_with_PRISMA_reasons!B2:B2113""))&gt;=2),
""Exclude""
)"),"Exclude")</f>
        <v>Exclude</v>
      </c>
      <c r="F1227" s="5" t="str">
        <f>IFERROR(__xludf.DUMMYFUNCTION("IFS(
E1227=""Exclude"",""Exclude"",
AND(
COUNTIF(
IMPORTRANGE(""https://docs.google.com/spreadsheets/d/1kGrh75X1cNR1D7_FcY9zMnHP8iPO4M5RCRjy6nZY0TY/edit#gid=0"",""Table 1: Study characteristics!B4:B171""),A1227)&gt;0,
COUNTIF(Studies!$A$2:$A$85,FILTER(IMPORT"&amp;"RANGE(""https://docs.google.com/spreadsheets/d/1kGrh75X1cNR1D7_FcY9zMnHP8iPO4M5RCRjy6nZY0TY/edit#gid=0"",""Table 1: Study characteristics!A4:A171""), $A1227=IMPORTRANGE(""https://docs.google.com/spreadsheets/d/1kGrh75X1cNR1D7_FcY9zMnHP8iPO4M5RCRjy6nZY0TY/"&amp;"edit#gid=0"",""Table 1: Study characteristics!B4:B171"")))&gt;0
),
""Include""
)"),"Exclude")</f>
        <v>Exclude</v>
      </c>
      <c r="G1227" s="5" t="str">
        <f>IFERROR(__xludf.DUMMYFUNCTION("IFS(
D1227=""Exclude"",
FILTER(IMPORTRANGE(""https://docs.google.com/spreadsheets/d/1BJSV3WBYJGRhQ6zExamkszQ5VutGIcaQqmbD9ZTVXMQ/edit#gid=1251630045"",""articles_with_PRISMA_reasons!AB2:AB2113""), $A1227=IMPORTRANGE(""https://docs.google.com/spreadsheets/"&amp;"d/1BJSV3WBYJGRhQ6zExamkszQ5VutGIcaQqmbD9ZTVXMQ/edit#gid=1251630045"",""articles_with_PRISMA_reasons!B2:B2113"")),
E1227=""Exclude"",
FILTER(IMPORTRANGE(""https://docs.google.com/spreadsheets/d/1qpEmbGH0JjaJbUdp21-y2cPbobDbMjr09BbtdKROZWc/edit#gid=14448656"&amp;"54"",""articles_with_PRISMA_reasons!Z2:Z2113""), $A1227=IMPORTRANGE(""https://docs.google.com/spreadsheets/d/1qpEmbGH0JjaJbUdp21-y2cPbobDbMjr09BbtdKROZWc/edit#gid=1444865654"",""articles_with_PRISMA_reasons!B2:B2113"")),F1227
=""Include"",FILTER(IMPORTRAN"&amp;"GE(""https://docs.google.com/spreadsheets/d/1kGrh75X1cNR1D7_FcY9zMnHP8iPO4M5RCRjy6nZY0TY/edit#gid=0"",""Table 1: Study characteristics!A4:A171""), $A1227=IMPORTRANGE(""https://docs.google.com/spreadsheets/d/1kGrh75X1cNR1D7_FcY9zMnHP8iPO4M5RCRjy6nZY0TY/edi"&amp;"t#gid=0"",""Table 1: Study characteristics!B4:B171""))
)"),"wrong publication type")</f>
        <v>wrong publication type</v>
      </c>
    </row>
    <row r="1228">
      <c r="A1228" s="4" t="str">
        <f>IFERROR(__xludf.DUMMYFUNCTION("""COMPUTED_VALUE"""),"Myelography and syringohydromyelia in infancy and childhood")</f>
        <v>Myelography and syringohydromyelia in infancy and childhood</v>
      </c>
      <c r="B1228" s="5" t="str">
        <f>IFERROR(__xludf.DUMMYFUNCTION("LEFT(FILTER(IMPORTRANGE(""https://docs.google.com/spreadsheets/d/1BJSV3WBYJGRhQ6zExamkszQ5VutGIcaQqmbD9ZTVXMQ/edit#gid=1251630045"",""articles_with_PRISMA_reasons!K2:K2113""), $A1228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$A1228=IMPORTRANGE(""https://docs.google.com/spreadsheets/d/1BJSV3WBYJGRhQ6zExamkszQ5VutGIcaQqmbD9ZTVXMQ/edit#gid=1251630045"",""articles_with_PRISMA_reasons!B2:B2113"")))-1)"),"Harwood-Nash")</f>
        <v>Harwood-Nash</v>
      </c>
      <c r="C1228" s="6">
        <f>IFERROR(__xludf.DUMMYFUNCTION("FILTER(IMPORTRANGE(""https://docs.google.com/spreadsheets/d/1BJSV3WBYJGRhQ6zExamkszQ5VutGIcaQqmbD9ZTVXMQ/edit#gid=1251630045"",""articles_with_PRISMA_reasons!C2:C2113""), $A1228=IMPORTRANGE(""https://docs.google.com/spreadsheets/d/1BJSV3WBYJGRhQ6zExamkszQ"&amp;"5VutGIcaQqmbD9ZTVXMQ/edit#gid=1251630045"",""articles_with_PRISMA_reasons!B2:B2113""))"),1974.0)</f>
        <v>1974</v>
      </c>
      <c r="D1228" s="5" t="str">
        <f>IFERROR(__xludf.DUMMYFUNCTION("IFS(AND(
FILTER(IMPORTRANGE(""https://docs.google.com/spreadsheets/d/1BJSV3WBYJGRhQ6zExamkszQ5VutGIcaQqmbD9ZTVXMQ/edit#gid=1251630045"",""articles_with_PRISMA_reasons!Y2:Y2113""), $A1228=IMPORTRANGE(""https://docs.google.com/spreadsheets/d/1BJSV3WBYJGRhQ6"&amp;"zExamkszQ5VutGIcaQqmbD9ZTVXMQ/edit#gid=1251630045"",""articles_with_PRISMA_reasons!B2:B2113""))&gt;=2,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$A1228=IMPORTRANGE(""https://docs.google.com/spreadsheets/d/1BJSV3WBYJGRhQ6zExamkszQ5VutGIcaQqmbD9ZTVXMQ/edit#gid=1251630045"",""articles_with_PRISMA_reasons!B2:B2113""))&lt;2),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$A1228=IMPORTRANGE(""https://docs.google.com/spreadsheets/d/1BJSV3WBYJGRhQ6zExamkszQ5VutGIcaQqmbD9ZTVXMQ/edit#gid=1251630045"",""a"&amp;"rticles_with_PRISMA_reasons!B2:B2113""))&lt;2,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$A1228=IMPORTRANGE(""https://docs.google"&amp;".com/spreadsheets/d/1BJSV3WBYJGRhQ6zExamkszQ5VutGIcaQqmbD9ZTVXMQ/edit#gid=1251630045"",""articles_with_PRISMA_reasons!B2:B2113""))&gt;=2),
""Exclude""
)"),"Exclude")</f>
        <v>Exclude</v>
      </c>
      <c r="E1228" s="5" t="str">
        <f>IFERROR(__xludf.DUMMYFUNCTION("IFS(
D1228=""Exclude"",""Exclude"",
AND(
FILTER(IMPORTRANGE(""https://docs.google.com/spreadsheets/d/1qpEmbGH0JjaJbUdp21-y2cPbobDbMjr09BbtdKROZWc/edit#gid=1444865654"",""articles_with_PRISMA_reasons!W2:W2113""), $A1228=IMPORTRANGE(""https://docs.google.co"&amp;"m/spreadsheets/d/1qpEmbGH0JjaJbUdp21-y2cPbobDbMjr09BbtdKROZWc/edit#gid=1444865654"",""articles_with_PRISMA_reasons!B2:B2113""))&gt;=2,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$A1228=IMPORTRANGE(""https://docs.google.com/spreadsheets/d/1qpEmbGH0JjaJbUdp21-y2cPbobDbMjr09BbtdKROZWc/edit#gid=1444865654"",""articles_with_PRISMA_reasons!B2:B2113""))&lt;2),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$A1228=IMPORTRANGE(""https://docs.google.com/spreadsheets/d/1qpEmbGH0JjaJbUdp21-y2cPbobDbMjr09Bbtd"&amp;"KROZWc/edit#gid=1444865654"",""articles_with_PRISMA_reasons!B2:B2113""))&lt;2,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$A1228=I"&amp;"MPORTRANGE(""https://docs.google.com/spreadsheets/d/1qpEmbGH0JjaJbUdp21-y2cPbobDbMjr09BbtdKROZWc/edit#gid=1444865654"",""articles_with_PRISMA_reasons!B2:B2113""))&gt;=2),
""Exclude""
)"),"Exclude")</f>
        <v>Exclude</v>
      </c>
      <c r="F1228" s="5" t="str">
        <f>IFERROR(__xludf.DUMMYFUNCTION("IFS(
E1228=""Exclude"",""Exclude"",
AND(
COUNTIF(
IMPORTRANGE(""https://docs.google.com/spreadsheets/d/1kGrh75X1cNR1D7_FcY9zMnHP8iPO4M5RCRjy6nZY0TY/edit#gid=0"",""Table 1: Study characteristics!B4:B171""),A1228)&gt;0,
COUNTIF(Studies!$A$2:$A$85,FILTER(IMPORT"&amp;"RANGE(""https://docs.google.com/spreadsheets/d/1kGrh75X1cNR1D7_FcY9zMnHP8iPO4M5RCRjy6nZY0TY/edit#gid=0"",""Table 1: Study characteristics!A4:A171""), $A1228=IMPORTRANGE(""https://docs.google.com/spreadsheets/d/1kGrh75X1cNR1D7_FcY9zMnHP8iPO4M5RCRjy6nZY0TY/"&amp;"edit#gid=0"",""Table 1: Study characteristics!B4:B171"")))&gt;0
),
""Include""
)"),"Exclude")</f>
        <v>Exclude</v>
      </c>
      <c r="G1228" s="5" t="str">
        <f>IFERROR(__xludf.DUMMYFUNCTION("IFS(
D1228=""Exclude"",
FILTER(IMPORTRANGE(""https://docs.google.com/spreadsheets/d/1BJSV3WBYJGRhQ6zExamkszQ5VutGIcaQqmbD9ZTVXMQ/edit#gid=1251630045"",""articles_with_PRISMA_reasons!AB2:AB2113""), $A1228=IMPORTRANGE(""https://docs.google.com/spreadsheets/"&amp;"d/1BJSV3WBYJGRhQ6zExamkszQ5VutGIcaQqmbD9ZTVXMQ/edit#gid=1251630045"",""articles_with_PRISMA_reasons!B2:B2113"")),
E1228=""Exclude"",
FILTER(IMPORTRANGE(""https://docs.google.com/spreadsheets/d/1qpEmbGH0JjaJbUdp21-y2cPbobDbMjr09BbtdKROZWc/edit#gid=14448656"&amp;"54"",""articles_with_PRISMA_reasons!Z2:Z2113""), $A1228=IMPORTRANGE(""https://docs.google.com/spreadsheets/d/1qpEmbGH0JjaJbUdp21-y2cPbobDbMjr09BbtdKROZWc/edit#gid=1444865654"",""articles_with_PRISMA_reasons!B2:B2113"")),F1228
=""Include"",FILTER(IMPORTRAN"&amp;"GE(""https://docs.google.com/spreadsheets/d/1kGrh75X1cNR1D7_FcY9zMnHP8iPO4M5RCRjy6nZY0TY/edit#gid=0"",""Table 1: Study characteristics!A4:A171""), $A1228=IMPORTRANGE(""https://docs.google.com/spreadsheets/d/1kGrh75X1cNR1D7_FcY9zMnHP8iPO4M5RCRjy6nZY0TY/edi"&amp;"t#gid=0"",""Table 1: Study characteristics!B4:B171""))
)"),"wrong study design")</f>
        <v>wrong study design</v>
      </c>
    </row>
    <row r="1229">
      <c r="A1229" s="4" t="str">
        <f>IFERROR(__xludf.DUMMYFUNCTION("""COMPUTED_VALUE"""),"Myelomeningocele")</f>
        <v>Myelomeningocele</v>
      </c>
      <c r="B1229" s="5" t="str">
        <f>IFERROR(__xludf.DUMMYFUNCTION("LEFT(FILTER(IMPORTRANGE(""https://docs.google.com/spreadsheets/d/1BJSV3WBYJGRhQ6zExamkszQ5VutGIcaQqmbD9ZTVXMQ/edit#gid=1251630045"",""articles_with_PRISMA_reasons!K2:K2113""), $A1229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$A1229=IMPORTRANGE(""https://docs.google.com/spreadsheets/d/1BJSV3WBYJGRhQ6zExamkszQ5VutGIcaQqmbD9ZTVXMQ/edit#gid=1251630045"",""articles_with_PRISMA_reasons!B2:B2113"")))-1)"),"Eckstein")</f>
        <v>Eckstein</v>
      </c>
      <c r="C1229" s="6">
        <f>IFERROR(__xludf.DUMMYFUNCTION("FILTER(IMPORTRANGE(""https://docs.google.com/spreadsheets/d/1BJSV3WBYJGRhQ6zExamkszQ5VutGIcaQqmbD9ZTVXMQ/edit#gid=1251630045"",""articles_with_PRISMA_reasons!C2:C2113""), $A1229=IMPORTRANGE(""https://docs.google.com/spreadsheets/d/1BJSV3WBYJGRhQ6zExamkszQ"&amp;"5VutGIcaQqmbD9ZTVXMQ/edit#gid=1251630045"",""articles_with_PRISMA_reasons!B2:B2113""))"),1972.0)</f>
        <v>1972</v>
      </c>
      <c r="D1229" s="5" t="str">
        <f>IFERROR(__xludf.DUMMYFUNCTION("IFS(AND(
FILTER(IMPORTRANGE(""https://docs.google.com/spreadsheets/d/1BJSV3WBYJGRhQ6zExamkszQ5VutGIcaQqmbD9ZTVXMQ/edit#gid=1251630045"",""articles_with_PRISMA_reasons!Y2:Y2113""), $A1229=IMPORTRANGE(""https://docs.google.com/spreadsheets/d/1BJSV3WBYJGRhQ6"&amp;"zExamkszQ5VutGIcaQqmbD9ZTVXMQ/edit#gid=1251630045"",""articles_with_PRISMA_reasons!B2:B2113""))&gt;=2,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$A1229=IMPORTRANGE(""https://docs.google.com/spreadsheets/d/1BJSV3WBYJGRhQ6zExamkszQ5VutGIcaQqmbD9ZTVXMQ/edit#gid=1251630045"",""articles_with_PRISMA_reasons!B2:B2113""))&lt;2),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$A1229=IMPORTRANGE(""https://docs.google.com/spreadsheets/d/1BJSV3WBYJGRhQ6zExamkszQ5VutGIcaQqmbD9ZTVXMQ/edit#gid=1251630045"",""a"&amp;"rticles_with_PRISMA_reasons!B2:B2113""))&lt;2,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$A1229=IMPORTRANGE(""https://docs.google"&amp;".com/spreadsheets/d/1BJSV3WBYJGRhQ6zExamkszQ5VutGIcaQqmbD9ZTVXMQ/edit#gid=1251630045"",""articles_with_PRISMA_reasons!B2:B2113""))&gt;=2),
""Exclude""
)"),"Exclude")</f>
        <v>Exclude</v>
      </c>
      <c r="E1229" s="5" t="str">
        <f>IFERROR(__xludf.DUMMYFUNCTION("IFS(
D1229=""Exclude"",""Exclude"",
AND(
FILTER(IMPORTRANGE(""https://docs.google.com/spreadsheets/d/1qpEmbGH0JjaJbUdp21-y2cPbobDbMjr09BbtdKROZWc/edit#gid=1444865654"",""articles_with_PRISMA_reasons!W2:W2113""), $A1229=IMPORTRANGE(""https://docs.google.co"&amp;"m/spreadsheets/d/1qpEmbGH0JjaJbUdp21-y2cPbobDbMjr09BbtdKROZWc/edit#gid=1444865654"",""articles_with_PRISMA_reasons!B2:B2113""))&gt;=2,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$A1229=IMPORTRANGE(""https://docs.google.com/spreadsheets/d/1qpEmbGH0JjaJbUdp21-y2cPbobDbMjr09BbtdKROZWc/edit#gid=1444865654"",""articles_with_PRISMA_reasons!B2:B2113""))&lt;2),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$A1229=IMPORTRANGE(""https://docs.google.com/spreadsheets/d/1qpEmbGH0JjaJbUdp21-y2cPbobDbMjr09Bbtd"&amp;"KROZWc/edit#gid=1444865654"",""articles_with_PRISMA_reasons!B2:B2113""))&lt;2,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$A1229=I"&amp;"MPORTRANGE(""https://docs.google.com/spreadsheets/d/1qpEmbGH0JjaJbUdp21-y2cPbobDbMjr09BbtdKROZWc/edit#gid=1444865654"",""articles_with_PRISMA_reasons!B2:B2113""))&gt;=2),
""Exclude""
)"),"Exclude")</f>
        <v>Exclude</v>
      </c>
      <c r="F1229" s="5" t="str">
        <f>IFERROR(__xludf.DUMMYFUNCTION("IFS(
E1229=""Exclude"",""Exclude"",
AND(
COUNTIF(
IMPORTRANGE(""https://docs.google.com/spreadsheets/d/1kGrh75X1cNR1D7_FcY9zMnHP8iPO4M5RCRjy6nZY0TY/edit#gid=0"",""Table 1: Study characteristics!B4:B171""),A1229)&gt;0,
COUNTIF(Studies!$A$2:$A$85,FILTER(IMPORT"&amp;"RANGE(""https://docs.google.com/spreadsheets/d/1kGrh75X1cNR1D7_FcY9zMnHP8iPO4M5RCRjy6nZY0TY/edit#gid=0"",""Table 1: Study characteristics!A4:A171""), $A1229=IMPORTRANGE(""https://docs.google.com/spreadsheets/d/1kGrh75X1cNR1D7_FcY9zMnHP8iPO4M5RCRjy6nZY0TY/"&amp;"edit#gid=0"",""Table 1: Study characteristics!B4:B171"")))&gt;0
),
""Include""
)"),"Exclude")</f>
        <v>Exclude</v>
      </c>
      <c r="G1229" s="5" t="str">
        <f>IFERROR(__xludf.DUMMYFUNCTION("IFS(
D1229=""Exclude"",
FILTER(IMPORTRANGE(""https://docs.google.com/spreadsheets/d/1BJSV3WBYJGRhQ6zExamkszQ5VutGIcaQqmbD9ZTVXMQ/edit#gid=1251630045"",""articles_with_PRISMA_reasons!AB2:AB2113""), $A1229=IMPORTRANGE(""https://docs.google.com/spreadsheets/"&amp;"d/1BJSV3WBYJGRhQ6zExamkszQ5VutGIcaQqmbD9ZTVXMQ/edit#gid=1251630045"",""articles_with_PRISMA_reasons!B2:B2113"")),
E1229=""Exclude"",
FILTER(IMPORTRANGE(""https://docs.google.com/spreadsheets/d/1qpEmbGH0JjaJbUdp21-y2cPbobDbMjr09BbtdKROZWc/edit#gid=14448656"&amp;"54"",""articles_with_PRISMA_reasons!Z2:Z2113""), $A1229=IMPORTRANGE(""https://docs.google.com/spreadsheets/d/1qpEmbGH0JjaJbUdp21-y2cPbobDbMjr09BbtdKROZWc/edit#gid=1444865654"",""articles_with_PRISMA_reasons!B2:B2113"")),F1229
=""Include"",FILTER(IMPORTRAN"&amp;"GE(""https://docs.google.com/spreadsheets/d/1kGrh75X1cNR1D7_FcY9zMnHP8iPO4M5RCRjy6nZY0TY/edit#gid=0"",""Table 1: Study characteristics!A4:A171""), $A1229=IMPORTRANGE(""https://docs.google.com/spreadsheets/d/1kGrh75X1cNR1D7_FcY9zMnHP8iPO4M5RCRjy6nZY0TY/edi"&amp;"t#gid=0"",""Table 1: Study characteristics!B4:B171""))
)"),"background article")</f>
        <v>background article</v>
      </c>
    </row>
    <row r="1230">
      <c r="A1230" s="4" t="str">
        <f>IFERROR(__xludf.DUMMYFUNCTION("""COMPUTED_VALUE"""),"Myelomeningocele - A literature review")</f>
        <v>Myelomeningocele - A literature review</v>
      </c>
      <c r="B1230" s="5" t="str">
        <f>IFERROR(__xludf.DUMMYFUNCTION("LEFT(FILTER(IMPORTRANGE(""https://docs.google.com/spreadsheets/d/1BJSV3WBYJGRhQ6zExamkszQ5VutGIcaQqmbD9ZTVXMQ/edit#gid=1251630045"",""articles_with_PRISMA_reasons!K2:K2113""), $A1230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$A1230=IMPORTRANGE(""https://docs.google.com/spreadsheets/d/1BJSV3WBYJGRhQ6zExamkszQ5VutGIcaQqmbD9ZTVXMQ/edit#gid=1251630045"",""articles_with_PRISMA_reasons!B2:B2113"")))-1)"),"Ntimbani")</f>
        <v>Ntimbani</v>
      </c>
      <c r="C1230" s="6">
        <f>IFERROR(__xludf.DUMMYFUNCTION("FILTER(IMPORTRANGE(""https://docs.google.com/spreadsheets/d/1BJSV3WBYJGRhQ6zExamkszQ5VutGIcaQqmbD9ZTVXMQ/edit#gid=1251630045"",""articles_with_PRISMA_reasons!C2:C2113""), $A1230=IMPORTRANGE(""https://docs.google.com/spreadsheets/d/1BJSV3WBYJGRhQ6zExamkszQ"&amp;"5VutGIcaQqmbD9ZTVXMQ/edit#gid=1251630045"",""articles_with_PRISMA_reasons!B2:B2113""))"),2020.0)</f>
        <v>2020</v>
      </c>
      <c r="D1230" s="5" t="str">
        <f>IFERROR(__xludf.DUMMYFUNCTION("IFS(AND(
FILTER(IMPORTRANGE(""https://docs.google.com/spreadsheets/d/1BJSV3WBYJGRhQ6zExamkszQ5VutGIcaQqmbD9ZTVXMQ/edit#gid=1251630045"",""articles_with_PRISMA_reasons!Y2:Y2113""), $A1230=IMPORTRANGE(""https://docs.google.com/spreadsheets/d/1BJSV3WBYJGRhQ6"&amp;"zExamkszQ5VutGIcaQqmbD9ZTVXMQ/edit#gid=1251630045"",""articles_with_PRISMA_reasons!B2:B2113""))&gt;=2,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$A1230=IMPORTRANGE(""https://docs.google.com/spreadsheets/d/1BJSV3WBYJGRhQ6zExamkszQ5VutGIcaQqmbD9ZTVXMQ/edit#gid=1251630045"",""articles_with_PRISMA_reasons!B2:B2113""))&lt;2),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$A1230=IMPORTRANGE(""https://docs.google.com/spreadsheets/d/1BJSV3WBYJGRhQ6zExamkszQ5VutGIcaQqmbD9ZTVXMQ/edit#gid=1251630045"",""a"&amp;"rticles_with_PRISMA_reasons!B2:B2113""))&lt;2,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$A1230=IMPORTRANGE(""https://docs.google"&amp;".com/spreadsheets/d/1BJSV3WBYJGRhQ6zExamkszQ5VutGIcaQqmbD9ZTVXMQ/edit#gid=1251630045"",""articles_with_PRISMA_reasons!B2:B2113""))&gt;=2),
""Exclude""
)"),"Exclude")</f>
        <v>Exclude</v>
      </c>
      <c r="E1230" s="5" t="str">
        <f>IFERROR(__xludf.DUMMYFUNCTION("IFS(
D1230=""Exclude"",""Exclude"",
AND(
FILTER(IMPORTRANGE(""https://docs.google.com/spreadsheets/d/1qpEmbGH0JjaJbUdp21-y2cPbobDbMjr09BbtdKROZWc/edit#gid=1444865654"",""articles_with_PRISMA_reasons!W2:W2113""), $A1230=IMPORTRANGE(""https://docs.google.co"&amp;"m/spreadsheets/d/1qpEmbGH0JjaJbUdp21-y2cPbobDbMjr09BbtdKROZWc/edit#gid=1444865654"",""articles_with_PRISMA_reasons!B2:B2113""))&gt;=2,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$A1230=IMPORTRANGE(""https://docs.google.com/spreadsheets/d/1qpEmbGH0JjaJbUdp21-y2cPbobDbMjr09BbtdKROZWc/edit#gid=1444865654"",""articles_with_PRISMA_reasons!B2:B2113""))&lt;2),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$A1230=IMPORTRANGE(""https://docs.google.com/spreadsheets/d/1qpEmbGH0JjaJbUdp21-y2cPbobDbMjr09Bbtd"&amp;"KROZWc/edit#gid=1444865654"",""articles_with_PRISMA_reasons!B2:B2113""))&lt;2,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$A1230=I"&amp;"MPORTRANGE(""https://docs.google.com/spreadsheets/d/1qpEmbGH0JjaJbUdp21-y2cPbobDbMjr09BbtdKROZWc/edit#gid=1444865654"",""articles_with_PRISMA_reasons!B2:B2113""))&gt;=2),
""Exclude""
)"),"Exclude")</f>
        <v>Exclude</v>
      </c>
      <c r="F1230" s="5" t="str">
        <f>IFERROR(__xludf.DUMMYFUNCTION("IFS(
E1230=""Exclude"",""Exclude"",
AND(
COUNTIF(
IMPORTRANGE(""https://docs.google.com/spreadsheets/d/1kGrh75X1cNR1D7_FcY9zMnHP8iPO4M5RCRjy6nZY0TY/edit#gid=0"",""Table 1: Study characteristics!B4:B171""),A1230)&gt;0,
COUNTIF(Studies!$A$2:$A$85,FILTER(IMPORT"&amp;"RANGE(""https://docs.google.com/spreadsheets/d/1kGrh75X1cNR1D7_FcY9zMnHP8iPO4M5RCRjy6nZY0TY/edit#gid=0"",""Table 1: Study characteristics!A4:A171""), $A1230=IMPORTRANGE(""https://docs.google.com/spreadsheets/d/1kGrh75X1cNR1D7_FcY9zMnHP8iPO4M5RCRjy6nZY0TY/"&amp;"edit#gid=0"",""Table 1: Study characteristics!B4:B171"")))&gt;0
),
""Include""
)"),"Exclude")</f>
        <v>Exclude</v>
      </c>
      <c r="G1230" s="5" t="str">
        <f>IFERROR(__xludf.DUMMYFUNCTION("IFS(
D1230=""Exclude"",
FILTER(IMPORTRANGE(""https://docs.google.com/spreadsheets/d/1BJSV3WBYJGRhQ6zExamkszQ5VutGIcaQqmbD9ZTVXMQ/edit#gid=1251630045"",""articles_with_PRISMA_reasons!AB2:AB2113""), $A1230=IMPORTRANGE(""https://docs.google.com/spreadsheets/"&amp;"d/1BJSV3WBYJGRhQ6zExamkszQ5VutGIcaQqmbD9ZTVXMQ/edit#gid=1251630045"",""articles_with_PRISMA_reasons!B2:B2113"")),
E1230=""Exclude"",
FILTER(IMPORTRANGE(""https://docs.google.com/spreadsheets/d/1qpEmbGH0JjaJbUdp21-y2cPbobDbMjr09BbtdKROZWc/edit#gid=14448656"&amp;"54"",""articles_with_PRISMA_reasons!Z2:Z2113""), $A1230=IMPORTRANGE(""https://docs.google.com/spreadsheets/d/1qpEmbGH0JjaJbUdp21-y2cPbobDbMjr09BbtdKROZWc/edit#gid=1444865654"",""articles_with_PRISMA_reasons!B2:B2113"")),F1230
=""Include"",FILTER(IMPORTRAN"&amp;"GE(""https://docs.google.com/spreadsheets/d/1kGrh75X1cNR1D7_FcY9zMnHP8iPO4M5RCRjy6nZY0TY/edit#gid=0"",""Table 1: Study characteristics!A4:A171""), $A1230=IMPORTRANGE(""https://docs.google.com/spreadsheets/d/1kGrh75X1cNR1D7_FcY9zMnHP8iPO4M5RCRjy6nZY0TY/edi"&amp;"t#gid=0"",""Table 1: Study characteristics!B4:B171""))
)"),"wrong study design")</f>
        <v>wrong study design</v>
      </c>
    </row>
    <row r="1231">
      <c r="A1231" s="4" t="str">
        <f>IFERROR(__xludf.DUMMYFUNCTION("""COMPUTED_VALUE"""),"Myelomeningocele - a single institute analysis of the years 2007 to 2015")</f>
        <v>Myelomeningocele - a single institute analysis of the years 2007 to 2015</v>
      </c>
      <c r="B1231" s="5" t="str">
        <f>IFERROR(__xludf.DUMMYFUNCTION("LEFT(FILTER(IMPORTRANGE(""https://docs.google.com/spreadsheets/d/1BJSV3WBYJGRhQ6zExamkszQ5VutGIcaQqmbD9ZTVXMQ/edit#gid=1251630045"",""articles_with_PRISMA_reasons!K2:K2113""), $A1231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$A1231=IMPORTRANGE(""https://docs.google.com/spreadsheets/d/1BJSV3WBYJGRhQ6zExamkszQ5VutGIcaQqmbD9ZTVXMQ/edit#gid=1251630045"",""articles_with_PRISMA_reasons!B2:B2113"")))-1)"),"Januschek")</f>
        <v>Januschek</v>
      </c>
      <c r="C1231" s="6">
        <f>IFERROR(__xludf.DUMMYFUNCTION("FILTER(IMPORTRANGE(""https://docs.google.com/spreadsheets/d/1BJSV3WBYJGRhQ6zExamkszQ5VutGIcaQqmbD9ZTVXMQ/edit#gid=1251630045"",""articles_with_PRISMA_reasons!C2:C2113""), $A1231=IMPORTRANGE(""https://docs.google.com/spreadsheets/d/1BJSV3WBYJGRhQ6zExamkszQ"&amp;"5VutGIcaQqmbD9ZTVXMQ/edit#gid=1251630045"",""articles_with_PRISMA_reasons!B2:B2113""))"),2016.0)</f>
        <v>2016</v>
      </c>
      <c r="D1231" s="5" t="str">
        <f>IFERROR(__xludf.DUMMYFUNCTION("IFS(AND(
FILTER(IMPORTRANGE(""https://docs.google.com/spreadsheets/d/1BJSV3WBYJGRhQ6zExamkszQ5VutGIcaQqmbD9ZTVXMQ/edit#gid=1251630045"",""articles_with_PRISMA_reasons!Y2:Y2113""), $A1231=IMPORTRANGE(""https://docs.google.com/spreadsheets/d/1BJSV3WBYJGRhQ6"&amp;"zExamkszQ5VutGIcaQqmbD9ZTVXMQ/edit#gid=1251630045"",""articles_with_PRISMA_reasons!B2:B2113""))&gt;=2,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$A1231=IMPORTRANGE(""https://docs.google.com/spreadsheets/d/1BJSV3WBYJGRhQ6zExamkszQ5VutGIcaQqmbD9ZTVXMQ/edit#gid=1251630045"",""articles_with_PRISMA_reasons!B2:B2113""))&lt;2),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$A1231=IMPORTRANGE(""https://docs.google.com/spreadsheets/d/1BJSV3WBYJGRhQ6zExamkszQ5VutGIcaQqmbD9ZTVXMQ/edit#gid=1251630045"",""a"&amp;"rticles_with_PRISMA_reasons!B2:B2113""))&lt;2,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$A1231=IMPORTRANGE(""https://docs.google"&amp;".com/spreadsheets/d/1BJSV3WBYJGRhQ6zExamkszQ5VutGIcaQqmbD9ZTVXMQ/edit#gid=1251630045"",""articles_with_PRISMA_reasons!B2:B2113""))&gt;=2),
""Exclude""
)"),"Exclude")</f>
        <v>Exclude</v>
      </c>
      <c r="E1231" s="5" t="str">
        <f>IFERROR(__xludf.DUMMYFUNCTION("IFS(
D1231=""Exclude"",""Exclude"",
AND(
FILTER(IMPORTRANGE(""https://docs.google.com/spreadsheets/d/1qpEmbGH0JjaJbUdp21-y2cPbobDbMjr09BbtdKROZWc/edit#gid=1444865654"",""articles_with_PRISMA_reasons!W2:W2113""), $A1231=IMPORTRANGE(""https://docs.google.co"&amp;"m/spreadsheets/d/1qpEmbGH0JjaJbUdp21-y2cPbobDbMjr09BbtdKROZWc/edit#gid=1444865654"",""articles_with_PRISMA_reasons!B2:B2113""))&gt;=2,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$A1231=IMPORTRANGE(""https://docs.google.com/spreadsheets/d/1qpEmbGH0JjaJbUdp21-y2cPbobDbMjr09BbtdKROZWc/edit#gid=1444865654"",""articles_with_PRISMA_reasons!B2:B2113""))&lt;2),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$A1231=IMPORTRANGE(""https://docs.google.com/spreadsheets/d/1qpEmbGH0JjaJbUdp21-y2cPbobDbMjr09Bbtd"&amp;"KROZWc/edit#gid=1444865654"",""articles_with_PRISMA_reasons!B2:B2113""))&lt;2,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$A1231=I"&amp;"MPORTRANGE(""https://docs.google.com/spreadsheets/d/1qpEmbGH0JjaJbUdp21-y2cPbobDbMjr09BbtdKROZWc/edit#gid=1444865654"",""articles_with_PRISMA_reasons!B2:B2113""))&gt;=2),
""Exclude""
)"),"Exclude")</f>
        <v>Exclude</v>
      </c>
      <c r="F1231" s="5" t="str">
        <f>IFERROR(__xludf.DUMMYFUNCTION("IFS(
E1231=""Exclude"",""Exclude"",
AND(
COUNTIF(
IMPORTRANGE(""https://docs.google.com/spreadsheets/d/1kGrh75X1cNR1D7_FcY9zMnHP8iPO4M5RCRjy6nZY0TY/edit#gid=0"",""Table 1: Study characteristics!B4:B171""),A1231)&gt;0,
COUNTIF(Studies!$A$2:$A$85,FILTER(IMPORT"&amp;"RANGE(""https://docs.google.com/spreadsheets/d/1kGrh75X1cNR1D7_FcY9zMnHP8iPO4M5RCRjy6nZY0TY/edit#gid=0"",""Table 1: Study characteristics!A4:A171""), $A1231=IMPORTRANGE(""https://docs.google.com/spreadsheets/d/1kGrh75X1cNR1D7_FcY9zMnHP8iPO4M5RCRjy6nZY0TY/"&amp;"edit#gid=0"",""Table 1: Study characteristics!B4:B171"")))&gt;0
),
""Include""
)"),"Exclude")</f>
        <v>Exclude</v>
      </c>
      <c r="G1231" s="5" t="str">
        <f>IFERROR(__xludf.DUMMYFUNCTION("IFS(
D1231=""Exclude"",
FILTER(IMPORTRANGE(""https://docs.google.com/spreadsheets/d/1BJSV3WBYJGRhQ6zExamkszQ5VutGIcaQqmbD9ZTVXMQ/edit#gid=1251630045"",""articles_with_PRISMA_reasons!AB2:AB2113""), $A1231=IMPORTRANGE(""https://docs.google.com/spreadsheets/"&amp;"d/1BJSV3WBYJGRhQ6zExamkszQ5VutGIcaQqmbD9ZTVXMQ/edit#gid=1251630045"",""articles_with_PRISMA_reasons!B2:B2113"")),
E1231=""Exclude"",
FILTER(IMPORTRANGE(""https://docs.google.com/spreadsheets/d/1qpEmbGH0JjaJbUdp21-y2cPbobDbMjr09BbtdKROZWc/edit#gid=14448656"&amp;"54"",""articles_with_PRISMA_reasons!Z2:Z2113""), $A1231=IMPORTRANGE(""https://docs.google.com/spreadsheets/d/1qpEmbGH0JjaJbUdp21-y2cPbobDbMjr09BbtdKROZWc/edit#gid=1444865654"",""articles_with_PRISMA_reasons!B2:B2113"")),F1231
=""Include"",FILTER(IMPORTRAN"&amp;"GE(""https://docs.google.com/spreadsheets/d/1kGrh75X1cNR1D7_FcY9zMnHP8iPO4M5RCRjy6nZY0TY/edit#gid=0"",""Table 1: Study characteristics!A4:A171""), $A1231=IMPORTRANGE(""https://docs.google.com/spreadsheets/d/1kGrh75X1cNR1D7_FcY9zMnHP8iPO4M5RCRjy6nZY0TY/edi"&amp;"t#gid=0"",""Table 1: Study characteristics!B4:B171""))
)"),"Duplicate")</f>
        <v>Duplicate</v>
      </c>
    </row>
    <row r="1232">
      <c r="A1232" s="4" t="str">
        <f>IFERROR(__xludf.DUMMYFUNCTION("""COMPUTED_VALUE"""),"Myelomeningocele - What can be done? The orthopaedic aspects in assessing the chances of patient integration")</f>
        <v>Myelomeningocele - What can be done? The orthopaedic aspects in assessing the chances of patient integration</v>
      </c>
      <c r="B1232" s="5" t="str">
        <f>IFERROR(__xludf.DUMMYFUNCTION("LEFT(FILTER(IMPORTRANGE(""https://docs.google.com/spreadsheets/d/1BJSV3WBYJGRhQ6zExamkszQ5VutGIcaQqmbD9ZTVXMQ/edit#gid=1251630045"",""articles_with_PRISMA_reasons!K2:K2113""), $A1232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$A1232=IMPORTRANGE(""https://docs.google.com/spreadsheets/d/1BJSV3WBYJGRhQ6zExamkszQ5VutGIcaQqmbD9ZTVXMQ/edit#gid=1251630045"",""articles_with_PRISMA_reasons!B2:B2113"")))-1)"),"Schiltenwolf")</f>
        <v>Schiltenwolf</v>
      </c>
      <c r="C1232" s="6">
        <f>IFERROR(__xludf.DUMMYFUNCTION("FILTER(IMPORTRANGE(""https://docs.google.com/spreadsheets/d/1BJSV3WBYJGRhQ6zExamkszQ5VutGIcaQqmbD9ZTVXMQ/edit#gid=1251630045"",""articles_with_PRISMA_reasons!C2:C2113""), $A1232=IMPORTRANGE(""https://docs.google.com/spreadsheets/d/1BJSV3WBYJGRhQ6zExamkszQ"&amp;"5VutGIcaQqmbD9ZTVXMQ/edit#gid=1251630045"",""articles_with_PRISMA_reasons!B2:B2113""))"),1992.0)</f>
        <v>1992</v>
      </c>
      <c r="D1232" s="5" t="str">
        <f>IFERROR(__xludf.DUMMYFUNCTION("IFS(AND(
FILTER(IMPORTRANGE(""https://docs.google.com/spreadsheets/d/1BJSV3WBYJGRhQ6zExamkszQ5VutGIcaQqmbD9ZTVXMQ/edit#gid=1251630045"",""articles_with_PRISMA_reasons!Y2:Y2113""), $A1232=IMPORTRANGE(""https://docs.google.com/spreadsheets/d/1BJSV3WBYJGRhQ6"&amp;"zExamkszQ5VutGIcaQqmbD9ZTVXMQ/edit#gid=1251630045"",""articles_with_PRISMA_reasons!B2:B2113""))&gt;=2,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$A1232=IMPORTRANGE(""https://docs.google.com/spreadsheets/d/1BJSV3WBYJGRhQ6zExamkszQ5VutGIcaQqmbD9ZTVXMQ/edit#gid=1251630045"",""articles_with_PRISMA_reasons!B2:B2113""))&lt;2),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$A1232=IMPORTRANGE(""https://docs.google.com/spreadsheets/d/1BJSV3WBYJGRhQ6zExamkszQ5VutGIcaQqmbD9ZTVXMQ/edit#gid=1251630045"",""a"&amp;"rticles_with_PRISMA_reasons!B2:B2113""))&lt;2,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$A1232=IMPORTRANGE(""https://docs.google"&amp;".com/spreadsheets/d/1BJSV3WBYJGRhQ6zExamkszQ5VutGIcaQqmbD9ZTVXMQ/edit#gid=1251630045"",""articles_with_PRISMA_reasons!B2:B2113""))&gt;=2),
""Exclude""
)"),"Exclude")</f>
        <v>Exclude</v>
      </c>
      <c r="E1232" s="5" t="str">
        <f>IFERROR(__xludf.DUMMYFUNCTION("IFS(
D1232=""Exclude"",""Exclude"",
AND(
FILTER(IMPORTRANGE(""https://docs.google.com/spreadsheets/d/1qpEmbGH0JjaJbUdp21-y2cPbobDbMjr09BbtdKROZWc/edit#gid=1444865654"",""articles_with_PRISMA_reasons!W2:W2113""), $A1232=IMPORTRANGE(""https://docs.google.co"&amp;"m/spreadsheets/d/1qpEmbGH0JjaJbUdp21-y2cPbobDbMjr09BbtdKROZWc/edit#gid=1444865654"",""articles_with_PRISMA_reasons!B2:B2113""))&gt;=2,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$A1232=IMPORTRANGE(""https://docs.google.com/spreadsheets/d/1qpEmbGH0JjaJbUdp21-y2cPbobDbMjr09BbtdKROZWc/edit#gid=1444865654"",""articles_with_PRISMA_reasons!B2:B2113""))&lt;2),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$A1232=IMPORTRANGE(""https://docs.google.com/spreadsheets/d/1qpEmbGH0JjaJbUdp21-y2cPbobDbMjr09Bbtd"&amp;"KROZWc/edit#gid=1444865654"",""articles_with_PRISMA_reasons!B2:B2113""))&lt;2,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$A1232=I"&amp;"MPORTRANGE(""https://docs.google.com/spreadsheets/d/1qpEmbGH0JjaJbUdp21-y2cPbobDbMjr09BbtdKROZWc/edit#gid=1444865654"",""articles_with_PRISMA_reasons!B2:B2113""))&gt;=2),
""Exclude""
)"),"Exclude")</f>
        <v>Exclude</v>
      </c>
      <c r="F1232" s="5" t="str">
        <f>IFERROR(__xludf.DUMMYFUNCTION("IFS(
E1232=""Exclude"",""Exclude"",
AND(
COUNTIF(
IMPORTRANGE(""https://docs.google.com/spreadsheets/d/1kGrh75X1cNR1D7_FcY9zMnHP8iPO4M5RCRjy6nZY0TY/edit#gid=0"",""Table 1: Study characteristics!B4:B171""),A1232)&gt;0,
COUNTIF(Studies!$A$2:$A$85,FILTER(IMPORT"&amp;"RANGE(""https://docs.google.com/spreadsheets/d/1kGrh75X1cNR1D7_FcY9zMnHP8iPO4M5RCRjy6nZY0TY/edit#gid=0"",""Table 1: Study characteristics!A4:A171""), $A1232=IMPORTRANGE(""https://docs.google.com/spreadsheets/d/1kGrh75X1cNR1D7_FcY9zMnHP8iPO4M5RCRjy6nZY0TY/"&amp;"edit#gid=0"",""Table 1: Study characteristics!B4:B171"")))&gt;0
),
""Include""
)"),"Exclude")</f>
        <v>Exclude</v>
      </c>
      <c r="G1232" s="5" t="str">
        <f>IFERROR(__xludf.DUMMYFUNCTION("IFS(
D1232=""Exclude"",
FILTER(IMPORTRANGE(""https://docs.google.com/spreadsheets/d/1BJSV3WBYJGRhQ6zExamkszQ5VutGIcaQqmbD9ZTVXMQ/edit#gid=1251630045"",""articles_with_PRISMA_reasons!AB2:AB2113""), $A1232=IMPORTRANGE(""https://docs.google.com/spreadsheets/"&amp;"d/1BJSV3WBYJGRhQ6zExamkszQ5VutGIcaQqmbD9ZTVXMQ/edit#gid=1251630045"",""articles_with_PRISMA_reasons!B2:B2113"")),
E1232=""Exclude"",
FILTER(IMPORTRANGE(""https://docs.google.com/spreadsheets/d/1qpEmbGH0JjaJbUdp21-y2cPbobDbMjr09BbtdKROZWc/edit#gid=14448656"&amp;"54"",""articles_with_PRISMA_reasons!Z2:Z2113""), $A1232=IMPORTRANGE(""https://docs.google.com/spreadsheets/d/1qpEmbGH0JjaJbUdp21-y2cPbobDbMjr09BbtdKROZWc/edit#gid=1444865654"",""articles_with_PRISMA_reasons!B2:B2113"")),F1232
=""Include"",FILTER(IMPORTRAN"&amp;"GE(""https://docs.google.com/spreadsheets/d/1kGrh75X1cNR1D7_FcY9zMnHP8iPO4M5RCRjy6nZY0TY/edit#gid=0"",""Table 1: Study characteristics!A4:A171""), $A1232=IMPORTRANGE(""https://docs.google.com/spreadsheets/d/1kGrh75X1cNR1D7_FcY9zMnHP8iPO4M5RCRjy6nZY0TY/edi"&amp;"t#gid=0"",""Table 1: Study characteristics!B4:B171""))
)"),"wrong study design")</f>
        <v>wrong study design</v>
      </c>
    </row>
    <row r="1233">
      <c r="A1233" s="4" t="str">
        <f>IFERROR(__xludf.DUMMYFUNCTION("""COMPUTED_VALUE"""),"Myelomeningocele (open spina bifida) - surgical management")</f>
        <v>Myelomeningocele (open spina bifida) - surgical management</v>
      </c>
      <c r="B1233" s="5" t="str">
        <f>IFERROR(__xludf.DUMMYFUNCTION("LEFT(FILTER(IMPORTRANGE(""https://docs.google.com/spreadsheets/d/1BJSV3WBYJGRhQ6zExamkszQ5VutGIcaQqmbD9ZTVXMQ/edit#gid=1251630045"",""articles_with_PRISMA_reasons!K2:K2113""), $A1233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$A1233=IMPORTRANGE(""https://docs.google.com/spreadsheets/d/1BJSV3WBYJGRhQ6zExamkszQ5VutGIcaQqmbD9ZTVXMQ/edit#gid=1251630045"",""articles_with_PRISMA_reasons!B2:B2113"")))-1)"),"Akalan")</f>
        <v>Akalan</v>
      </c>
      <c r="C1233" s="6">
        <f>IFERROR(__xludf.DUMMYFUNCTION("FILTER(IMPORTRANGE(""https://docs.google.com/spreadsheets/d/1BJSV3WBYJGRhQ6zExamkszQ5VutGIcaQqmbD9ZTVXMQ/edit#gid=1251630045"",""articles_with_PRISMA_reasons!C2:C2113""), $A1233=IMPORTRANGE(""https://docs.google.com/spreadsheets/d/1BJSV3WBYJGRhQ6zExamkszQ"&amp;"5VutGIcaQqmbD9ZTVXMQ/edit#gid=1251630045"",""articles_with_PRISMA_reasons!B2:B2113""))"),2011.0)</f>
        <v>2011</v>
      </c>
      <c r="D1233" s="5" t="str">
        <f>IFERROR(__xludf.DUMMYFUNCTION("IFS(AND(
FILTER(IMPORTRANGE(""https://docs.google.com/spreadsheets/d/1BJSV3WBYJGRhQ6zExamkszQ5VutGIcaQqmbD9ZTVXMQ/edit#gid=1251630045"",""articles_with_PRISMA_reasons!Y2:Y2113""), $A1233=IMPORTRANGE(""https://docs.google.com/spreadsheets/d/1BJSV3WBYJGRhQ6"&amp;"zExamkszQ5VutGIcaQqmbD9ZTVXMQ/edit#gid=1251630045"",""articles_with_PRISMA_reasons!B2:B2113""))&gt;=2,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$A1233=IMPORTRANGE(""https://docs.google.com/spreadsheets/d/1BJSV3WBYJGRhQ6zExamkszQ5VutGIcaQqmbD9ZTVXMQ/edit#gid=1251630045"",""articles_with_PRISMA_reasons!B2:B2113""))&lt;2),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$A1233=IMPORTRANGE(""https://docs.google.com/spreadsheets/d/1BJSV3WBYJGRhQ6zExamkszQ5VutGIcaQqmbD9ZTVXMQ/edit#gid=1251630045"",""a"&amp;"rticles_with_PRISMA_reasons!B2:B2113""))&lt;2,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$A1233=IMPORTRANGE(""https://docs.google"&amp;".com/spreadsheets/d/1BJSV3WBYJGRhQ6zExamkszQ5VutGIcaQqmbD9ZTVXMQ/edit#gid=1251630045"",""articles_with_PRISMA_reasons!B2:B2113""))&gt;=2),
""Exclude""
)"),"Exclude")</f>
        <v>Exclude</v>
      </c>
      <c r="E1233" s="5" t="str">
        <f>IFERROR(__xludf.DUMMYFUNCTION("IFS(
D1233=""Exclude"",""Exclude"",
AND(
FILTER(IMPORTRANGE(""https://docs.google.com/spreadsheets/d/1qpEmbGH0JjaJbUdp21-y2cPbobDbMjr09BbtdKROZWc/edit#gid=1444865654"",""articles_with_PRISMA_reasons!W2:W2113""), $A1233=IMPORTRANGE(""https://docs.google.co"&amp;"m/spreadsheets/d/1qpEmbGH0JjaJbUdp21-y2cPbobDbMjr09BbtdKROZWc/edit#gid=1444865654"",""articles_with_PRISMA_reasons!B2:B2113""))&gt;=2,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$A1233=IMPORTRANGE(""https://docs.google.com/spreadsheets/d/1qpEmbGH0JjaJbUdp21-y2cPbobDbMjr09BbtdKROZWc/edit#gid=1444865654"",""articles_with_PRISMA_reasons!B2:B2113""))&lt;2),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$A1233=IMPORTRANGE(""https://docs.google.com/spreadsheets/d/1qpEmbGH0JjaJbUdp21-y2cPbobDbMjr09Bbtd"&amp;"KROZWc/edit#gid=1444865654"",""articles_with_PRISMA_reasons!B2:B2113""))&lt;2,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$A1233=I"&amp;"MPORTRANGE(""https://docs.google.com/spreadsheets/d/1qpEmbGH0JjaJbUdp21-y2cPbobDbMjr09BbtdKROZWc/edit#gid=1444865654"",""articles_with_PRISMA_reasons!B2:B2113""))&gt;=2),
""Exclude""
)"),"Exclude")</f>
        <v>Exclude</v>
      </c>
      <c r="F1233" s="5" t="str">
        <f>IFERROR(__xludf.DUMMYFUNCTION("IFS(
E1233=""Exclude"",""Exclude"",
AND(
COUNTIF(
IMPORTRANGE(""https://docs.google.com/spreadsheets/d/1kGrh75X1cNR1D7_FcY9zMnHP8iPO4M5RCRjy6nZY0TY/edit#gid=0"",""Table 1: Study characteristics!B4:B171""),A1233)&gt;0,
COUNTIF(Studies!$A$2:$A$85,FILTER(IMPORT"&amp;"RANGE(""https://docs.google.com/spreadsheets/d/1kGrh75X1cNR1D7_FcY9zMnHP8iPO4M5RCRjy6nZY0TY/edit#gid=0"",""Table 1: Study characteristics!A4:A171""), $A1233=IMPORTRANGE(""https://docs.google.com/spreadsheets/d/1kGrh75X1cNR1D7_FcY9zMnHP8iPO4M5RCRjy6nZY0TY/"&amp;"edit#gid=0"",""Table 1: Study characteristics!B4:B171"")))&gt;0
),
""Include""
)"),"Exclude")</f>
        <v>Exclude</v>
      </c>
      <c r="G1233" s="5" t="str">
        <f>IFERROR(__xludf.DUMMYFUNCTION("IFS(
D1233=""Exclude"",
FILTER(IMPORTRANGE(""https://docs.google.com/spreadsheets/d/1BJSV3WBYJGRhQ6zExamkszQ5VutGIcaQqmbD9ZTVXMQ/edit#gid=1251630045"",""articles_with_PRISMA_reasons!AB2:AB2113""), $A1233=IMPORTRANGE(""https://docs.google.com/spreadsheets/"&amp;"d/1BJSV3WBYJGRhQ6zExamkszQ5VutGIcaQqmbD9ZTVXMQ/edit#gid=1251630045"",""articles_with_PRISMA_reasons!B2:B2113"")),
E1233=""Exclude"",
FILTER(IMPORTRANGE(""https://docs.google.com/spreadsheets/d/1qpEmbGH0JjaJbUdp21-y2cPbobDbMjr09BbtdKROZWc/edit#gid=14448656"&amp;"54"",""articles_with_PRISMA_reasons!Z2:Z2113""), $A1233=IMPORTRANGE(""https://docs.google.com/spreadsheets/d/1qpEmbGH0JjaJbUdp21-y2cPbobDbMjr09BbtdKROZWc/edit#gid=1444865654"",""articles_with_PRISMA_reasons!B2:B2113"")),F1233
=""Include"",FILTER(IMPORTRAN"&amp;"GE(""https://docs.google.com/spreadsheets/d/1kGrh75X1cNR1D7_FcY9zMnHP8iPO4M5RCRjy6nZY0TY/edit#gid=0"",""Table 1: Study characteristics!A4:A171""), $A1233=IMPORTRANGE(""https://docs.google.com/spreadsheets/d/1kGrh75X1cNR1D7_FcY9zMnHP8iPO4M5RCRjy6nZY0TY/edi"&amp;"t#gid=0"",""Table 1: Study characteristics!B4:B171""))
)"),"wrong study design")</f>
        <v>wrong study design</v>
      </c>
    </row>
    <row r="1234">
      <c r="A1234" s="4" t="str">
        <f>IFERROR(__xludf.DUMMYFUNCTION("""COMPUTED_VALUE"""),"Myelomeningocele and hydrocephalus, clinical analysis")</f>
        <v>Myelomeningocele and hydrocephalus, clinical analysis</v>
      </c>
      <c r="B1234" s="5" t="str">
        <f>IFERROR(__xludf.DUMMYFUNCTION("LEFT(FILTER(IMPORTRANGE(""https://docs.google.com/spreadsheets/d/1BJSV3WBYJGRhQ6zExamkszQ5VutGIcaQqmbD9ZTVXMQ/edit#gid=1251630045"",""articles_with_PRISMA_reasons!K2:K2113""), $A1234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$A1234=IMPORTRANGE(""https://docs.google.com/spreadsheets/d/1BJSV3WBYJGRhQ6zExamkszQ5VutGIcaQqmbD9ZTVXMQ/edit#gid=1251630045"",""articles_with_PRISMA_reasons!B2:B2113"")))-1)"),"Awni")</f>
        <v>Awni</v>
      </c>
      <c r="C1234" s="6">
        <f>IFERROR(__xludf.DUMMYFUNCTION("FILTER(IMPORTRANGE(""https://docs.google.com/spreadsheets/d/1BJSV3WBYJGRhQ6zExamkszQ5VutGIcaQqmbD9ZTVXMQ/edit#gid=1251630045"",""articles_with_PRISMA_reasons!C2:C2113""), $A1234=IMPORTRANGE(""https://docs.google.com/spreadsheets/d/1BJSV3WBYJGRhQ6zExamkszQ"&amp;"5VutGIcaQqmbD9ZTVXMQ/edit#gid=1251630045"",""articles_with_PRISMA_reasons!B2:B2113""))"),2003.0)</f>
        <v>2003</v>
      </c>
      <c r="D1234" s="5" t="str">
        <f>IFERROR(__xludf.DUMMYFUNCTION("IFS(AND(
FILTER(IMPORTRANGE(""https://docs.google.com/spreadsheets/d/1BJSV3WBYJGRhQ6zExamkszQ5VutGIcaQqmbD9ZTVXMQ/edit#gid=1251630045"",""articles_with_PRISMA_reasons!Y2:Y2113""), $A1234=IMPORTRANGE(""https://docs.google.com/spreadsheets/d/1BJSV3WBYJGRhQ6"&amp;"zExamkszQ5VutGIcaQqmbD9ZTVXMQ/edit#gid=1251630045"",""articles_with_PRISMA_reasons!B2:B2113""))&gt;=2,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$A1234=IMPORTRANGE(""https://docs.google.com/spreadsheets/d/1BJSV3WBYJGRhQ6zExamkszQ5VutGIcaQqmbD9ZTVXMQ/edit#gid=1251630045"",""articles_with_PRISMA_reasons!B2:B2113""))&lt;2),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$A1234=IMPORTRANGE(""https://docs.google.com/spreadsheets/d/1BJSV3WBYJGRhQ6zExamkszQ5VutGIcaQqmbD9ZTVXMQ/edit#gid=1251630045"",""a"&amp;"rticles_with_PRISMA_reasons!B2:B2113""))&lt;2,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$A1234=IMPORTRANGE(""https://docs.google"&amp;".com/spreadsheets/d/1BJSV3WBYJGRhQ6zExamkszQ5VutGIcaQqmbD9ZTVXMQ/edit#gid=1251630045"",""articles_with_PRISMA_reasons!B2:B2113""))&gt;=2),
""Exclude""
)"),"Exclude")</f>
        <v>Exclude</v>
      </c>
      <c r="E1234" s="5" t="str">
        <f>IFERROR(__xludf.DUMMYFUNCTION("IFS(
D1234=""Exclude"",""Exclude"",
AND(
FILTER(IMPORTRANGE(""https://docs.google.com/spreadsheets/d/1qpEmbGH0JjaJbUdp21-y2cPbobDbMjr09BbtdKROZWc/edit#gid=1444865654"",""articles_with_PRISMA_reasons!W2:W2113""), $A1234=IMPORTRANGE(""https://docs.google.co"&amp;"m/spreadsheets/d/1qpEmbGH0JjaJbUdp21-y2cPbobDbMjr09BbtdKROZWc/edit#gid=1444865654"",""articles_with_PRISMA_reasons!B2:B2113""))&gt;=2,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$A1234=IMPORTRANGE(""https://docs.google.com/spreadsheets/d/1qpEmbGH0JjaJbUdp21-y2cPbobDbMjr09BbtdKROZWc/edit#gid=1444865654"",""articles_with_PRISMA_reasons!B2:B2113""))&lt;2),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$A1234=IMPORTRANGE(""https://docs.google.com/spreadsheets/d/1qpEmbGH0JjaJbUdp21-y2cPbobDbMjr09Bbtd"&amp;"KROZWc/edit#gid=1444865654"",""articles_with_PRISMA_reasons!B2:B2113""))&lt;2,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$A1234=I"&amp;"MPORTRANGE(""https://docs.google.com/spreadsheets/d/1qpEmbGH0JjaJbUdp21-y2cPbobDbMjr09BbtdKROZWc/edit#gid=1444865654"",""articles_with_PRISMA_reasons!B2:B2113""))&gt;=2),
""Exclude""
)"),"Exclude")</f>
        <v>Exclude</v>
      </c>
      <c r="F1234" s="5" t="str">
        <f>IFERROR(__xludf.DUMMYFUNCTION("IFS(
E1234=""Exclude"",""Exclude"",
AND(
COUNTIF(
IMPORTRANGE(""https://docs.google.com/spreadsheets/d/1kGrh75X1cNR1D7_FcY9zMnHP8iPO4M5RCRjy6nZY0TY/edit#gid=0"",""Table 1: Study characteristics!B4:B171""),A1234)&gt;0,
COUNTIF(Studies!$A$2:$A$85,FILTER(IMPORT"&amp;"RANGE(""https://docs.google.com/spreadsheets/d/1kGrh75X1cNR1D7_FcY9zMnHP8iPO4M5RCRjy6nZY0TY/edit#gid=0"",""Table 1: Study characteristics!A4:A171""), $A1234=IMPORTRANGE(""https://docs.google.com/spreadsheets/d/1kGrh75X1cNR1D7_FcY9zMnHP8iPO4M5RCRjy6nZY0TY/"&amp;"edit#gid=0"",""Table 1: Study characteristics!B4:B171"")))&gt;0
),
""Include""
)"),"Exclude")</f>
        <v>Exclude</v>
      </c>
      <c r="G1234" s="5" t="str">
        <f>IFERROR(__xludf.DUMMYFUNCTION("IFS(
D1234=""Exclude"",
FILTER(IMPORTRANGE(""https://docs.google.com/spreadsheets/d/1BJSV3WBYJGRhQ6zExamkszQ5VutGIcaQqmbD9ZTVXMQ/edit#gid=1251630045"",""articles_with_PRISMA_reasons!AB2:AB2113""), $A1234=IMPORTRANGE(""https://docs.google.com/spreadsheets/"&amp;"d/1BJSV3WBYJGRhQ6zExamkszQ5VutGIcaQqmbD9ZTVXMQ/edit#gid=1251630045"",""articles_with_PRISMA_reasons!B2:B2113"")),
E1234=""Exclude"",
FILTER(IMPORTRANGE(""https://docs.google.com/spreadsheets/d/1qpEmbGH0JjaJbUdp21-y2cPbobDbMjr09BbtdKROZWc/edit#gid=14448656"&amp;"54"",""articles_with_PRISMA_reasons!Z2:Z2113""), $A1234=IMPORTRANGE(""https://docs.google.com/spreadsheets/d/1qpEmbGH0JjaJbUdp21-y2cPbobDbMjr09BbtdKROZWc/edit#gid=1444865654"",""articles_with_PRISMA_reasons!B2:B2113"")),F1234
=""Include"",FILTER(IMPORTRAN"&amp;"GE(""https://docs.google.com/spreadsheets/d/1kGrh75X1cNR1D7_FcY9zMnHP8iPO4M5RCRjy6nZY0TY/edit#gid=0"",""Table 1: Study characteristics!A4:A171""), $A1234=IMPORTRANGE(""https://docs.google.com/spreadsheets/d/1kGrh75X1cNR1D7_FcY9zMnHP8iPO4M5RCRjy6nZY0TY/edi"&amp;"t#gid=0"",""Table 1: Study characteristics!B4:B171""))
)"),"wrong study design")</f>
        <v>wrong study design</v>
      </c>
    </row>
    <row r="1235">
      <c r="A1235" s="4" t="str">
        <f>IFERROR(__xludf.DUMMYFUNCTION("""COMPUTED_VALUE"""),"MYELOMENINGOCELE AND HYDROCEPHALUS; THE FIRST YEAR OF 50 PATIENTS")</f>
        <v>MYELOMENINGOCELE AND HYDROCEPHALUS; THE FIRST YEAR OF 50 PATIENTS</v>
      </c>
      <c r="B1235" s="5" t="str">
        <f>IFERROR(__xludf.DUMMYFUNCTION("LEFT(FILTER(IMPORTRANGE(""https://docs.google.com/spreadsheets/d/1BJSV3WBYJGRhQ6zExamkszQ5VutGIcaQqmbD9ZTVXMQ/edit#gid=1251630045"",""articles_with_PRISMA_reasons!K2:K2113""), $A1235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$A1235=IMPORTRANGE(""https://docs.google.com/spreadsheets/d/1BJSV3WBYJGRhQ6zExamkszQ5VutGIcaQqmbD9ZTVXMQ/edit#gid=1251630045"",""articles_with_PRISMA_reasons!B2:B2113"")))-1)"),"Merrill")</f>
        <v>Merrill</v>
      </c>
      <c r="C1235" s="6">
        <f>IFERROR(__xludf.DUMMYFUNCTION("FILTER(IMPORTRANGE(""https://docs.google.com/spreadsheets/d/1BJSV3WBYJGRhQ6zExamkszQ5VutGIcaQqmbD9ZTVXMQ/edit#gid=1251630045"",""articles_with_PRISMA_reasons!C2:C2113""), $A1235=IMPORTRANGE(""https://docs.google.com/spreadsheets/d/1BJSV3WBYJGRhQ6zExamkszQ"&amp;"5VutGIcaQqmbD9ZTVXMQ/edit#gid=1251630045"",""articles_with_PRISMA_reasons!B2:B2113""))"),1965.0)</f>
        <v>1965</v>
      </c>
      <c r="D1235" s="5" t="str">
        <f>IFERROR(__xludf.DUMMYFUNCTION("IFS(AND(
FILTER(IMPORTRANGE(""https://docs.google.com/spreadsheets/d/1BJSV3WBYJGRhQ6zExamkszQ5VutGIcaQqmbD9ZTVXMQ/edit#gid=1251630045"",""articles_with_PRISMA_reasons!Y2:Y2113""), $A1235=IMPORTRANGE(""https://docs.google.com/spreadsheets/d/1BJSV3WBYJGRhQ6"&amp;"zExamkszQ5VutGIcaQqmbD9ZTVXMQ/edit#gid=1251630045"",""articles_with_PRISMA_reasons!B2:B2113""))&gt;=2,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$A1235=IMPORTRANGE(""https://docs.google.com/spreadsheets/d/1BJSV3WBYJGRhQ6zExamkszQ5VutGIcaQqmbD9ZTVXMQ/edit#gid=1251630045"",""articles_with_PRISMA_reasons!B2:B2113""))&lt;2),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$A1235=IMPORTRANGE(""https://docs.google.com/spreadsheets/d/1BJSV3WBYJGRhQ6zExamkszQ5VutGIcaQqmbD9ZTVXMQ/edit#gid=1251630045"",""a"&amp;"rticles_with_PRISMA_reasons!B2:B2113""))&lt;2,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$A1235=IMPORTRANGE(""https://docs.google"&amp;".com/spreadsheets/d/1BJSV3WBYJGRhQ6zExamkszQ5VutGIcaQqmbD9ZTVXMQ/edit#gid=1251630045"",""articles_with_PRISMA_reasons!B2:B2113""))&gt;=2),
""Exclude""
)"),"Include")</f>
        <v>Include</v>
      </c>
      <c r="E1235" s="5" t="str">
        <f>IFERROR(__xludf.DUMMYFUNCTION("IFS(
D1235=""Exclude"",""Exclude"",
AND(
FILTER(IMPORTRANGE(""https://docs.google.com/spreadsheets/d/1qpEmbGH0JjaJbUdp21-y2cPbobDbMjr09BbtdKROZWc/edit#gid=1444865654"",""articles_with_PRISMA_reasons!W2:W2113""), $A1235=IMPORTRANGE(""https://docs.google.co"&amp;"m/spreadsheets/d/1qpEmbGH0JjaJbUdp21-y2cPbobDbMjr09BbtdKROZWc/edit#gid=1444865654"",""articles_with_PRISMA_reasons!B2:B2113""))&gt;=2,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$A1235=IMPORTRANGE(""https://docs.google.com/spreadsheets/d/1qpEmbGH0JjaJbUdp21-y2cPbobDbMjr09BbtdKROZWc/edit#gid=1444865654"",""articles_with_PRISMA_reasons!B2:B2113""))&lt;2),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$A1235=IMPORTRANGE(""https://docs.google.com/spreadsheets/d/1qpEmbGH0JjaJbUdp21-y2cPbobDbMjr09Bbtd"&amp;"KROZWc/edit#gid=1444865654"",""articles_with_PRISMA_reasons!B2:B2113""))&lt;2,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$A1235=I"&amp;"MPORTRANGE(""https://docs.google.com/spreadsheets/d/1qpEmbGH0JjaJbUdp21-y2cPbobDbMjr09BbtdKROZWc/edit#gid=1444865654"",""articles_with_PRISMA_reasons!B2:B2113""))&gt;=2),
""Exclude""
)"),"Include")</f>
        <v>Include</v>
      </c>
      <c r="F1235" s="2" t="s">
        <v>8</v>
      </c>
      <c r="G1235" s="2" t="s">
        <v>9</v>
      </c>
    </row>
    <row r="1236">
      <c r="A1236" s="4" t="str">
        <f>IFERROR(__xludf.DUMMYFUNCTION("""COMPUTED_VALUE"""),"Myelomeningocele and hydrocephalus. The impact of modern treatment")</f>
        <v>Myelomeningocele and hydrocephalus. The impact of modern treatment</v>
      </c>
      <c r="B1236" s="5" t="str">
        <f>IFERROR(__xludf.DUMMYFUNCTION("LEFT(FILTER(IMPORTRANGE(""https://docs.google.com/spreadsheets/d/1BJSV3WBYJGRhQ6zExamkszQ5VutGIcaQqmbD9ZTVXMQ/edit#gid=1251630045"",""articles_with_PRISMA_reasons!K2:K2113""), $A1236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$A1236=IMPORTRANGE(""https://docs.google.com/spreadsheets/d/1BJSV3WBYJGRhQ6zExamkszQ5VutGIcaQqmbD9ZTVXMQ/edit#gid=1251630045"",""articles_with_PRISMA_reasons!B2:B2113"")))-1)"),"Eckstein")</f>
        <v>Eckstein</v>
      </c>
      <c r="C1236" s="6">
        <f>IFERROR(__xludf.DUMMYFUNCTION("FILTER(IMPORTRANGE(""https://docs.google.com/spreadsheets/d/1BJSV3WBYJGRhQ6zExamkszQ5VutGIcaQqmbD9ZTVXMQ/edit#gid=1251630045"",""articles_with_PRISMA_reasons!C2:C2113""), $A1236=IMPORTRANGE(""https://docs.google.com/spreadsheets/d/1BJSV3WBYJGRhQ6zExamkszQ"&amp;"5VutGIcaQqmbD9ZTVXMQ/edit#gid=1251630045"",""articles_with_PRISMA_reasons!B2:B2113""))"),1966.0)</f>
        <v>1966</v>
      </c>
      <c r="D1236" s="5" t="str">
        <f>IFERROR(__xludf.DUMMYFUNCTION("IFS(AND(
FILTER(IMPORTRANGE(""https://docs.google.com/spreadsheets/d/1BJSV3WBYJGRhQ6zExamkszQ5VutGIcaQqmbD9ZTVXMQ/edit#gid=1251630045"",""articles_with_PRISMA_reasons!Y2:Y2113""), $A1236=IMPORTRANGE(""https://docs.google.com/spreadsheets/d/1BJSV3WBYJGRhQ6"&amp;"zExamkszQ5VutGIcaQqmbD9ZTVXMQ/edit#gid=1251630045"",""articles_with_PRISMA_reasons!B2:B2113""))&gt;=2,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$A1236=IMPORTRANGE(""https://docs.google.com/spreadsheets/d/1BJSV3WBYJGRhQ6zExamkszQ5VutGIcaQqmbD9ZTVXMQ/edit#gid=1251630045"",""articles_with_PRISMA_reasons!B2:B2113""))&lt;2),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$A1236=IMPORTRANGE(""https://docs.google.com/spreadsheets/d/1BJSV3WBYJGRhQ6zExamkszQ5VutGIcaQqmbD9ZTVXMQ/edit#gid=1251630045"",""a"&amp;"rticles_with_PRISMA_reasons!B2:B2113""))&lt;2,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$A1236=IMPORTRANGE(""https://docs.google"&amp;".com/spreadsheets/d/1BJSV3WBYJGRhQ6zExamkszQ5VutGIcaQqmbD9ZTVXMQ/edit#gid=1251630045"",""articles_with_PRISMA_reasons!B2:B2113""))&gt;=2),
""Exclude""
)"),"Include")</f>
        <v>Include</v>
      </c>
      <c r="E1236" s="5" t="str">
        <f>IFERROR(__xludf.DUMMYFUNCTION("IFS(
D1236=""Exclude"",""Exclude"",
AND(
FILTER(IMPORTRANGE(""https://docs.google.com/spreadsheets/d/1qpEmbGH0JjaJbUdp21-y2cPbobDbMjr09BbtdKROZWc/edit#gid=1444865654"",""articles_with_PRISMA_reasons!W2:W2113""), $A1236=IMPORTRANGE(""https://docs.google.co"&amp;"m/spreadsheets/d/1qpEmbGH0JjaJbUdp21-y2cPbobDbMjr09BbtdKROZWc/edit#gid=1444865654"",""articles_with_PRISMA_reasons!B2:B2113""))&gt;=2,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$A1236=IMPORTRANGE(""https://docs.google.com/spreadsheets/d/1qpEmbGH0JjaJbUdp21-y2cPbobDbMjr09BbtdKROZWc/edit#gid=1444865654"",""articles_with_PRISMA_reasons!B2:B2113""))&lt;2),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$A1236=IMPORTRANGE(""https://docs.google.com/spreadsheets/d/1qpEmbGH0JjaJbUdp21-y2cPbobDbMjr09Bbtd"&amp;"KROZWc/edit#gid=1444865654"",""articles_with_PRISMA_reasons!B2:B2113""))&lt;2,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$A1236=I"&amp;"MPORTRANGE(""https://docs.google.com/spreadsheets/d/1qpEmbGH0JjaJbUdp21-y2cPbobDbMjr09BbtdKROZWc/edit#gid=1444865654"",""articles_with_PRISMA_reasons!B2:B2113""))&gt;=2),
""Exclude""
)"),"Exclude")</f>
        <v>Exclude</v>
      </c>
      <c r="F1236" s="5" t="str">
        <f>IFERROR(__xludf.DUMMYFUNCTION("IFS(
E1236=""Exclude"",""Exclude"",
AND(
COUNTIF(
IMPORTRANGE(""https://docs.google.com/spreadsheets/d/1kGrh75X1cNR1D7_FcY9zMnHP8iPO4M5RCRjy6nZY0TY/edit#gid=0"",""Table 1: Study characteristics!B4:B171""),A1236)&gt;0,
COUNTIF(Studies!$A$2:$A$85,FILTER(IMPORT"&amp;"RANGE(""https://docs.google.com/spreadsheets/d/1kGrh75X1cNR1D7_FcY9zMnHP8iPO4M5RCRjy6nZY0TY/edit#gid=0"",""Table 1: Study characteristics!A4:A171""), $A1236=IMPORTRANGE(""https://docs.google.com/spreadsheets/d/1kGrh75X1cNR1D7_FcY9zMnHP8iPO4M5RCRjy6nZY0TY/"&amp;"edit#gid=0"",""Table 1: Study characteristics!B4:B171"")))&gt;0
),
""Include""
)"),"Exclude")</f>
        <v>Exclude</v>
      </c>
      <c r="G1236" s="5" t="str">
        <f>IFERROR(__xludf.DUMMYFUNCTION("IFS(
D1236=""Exclude"",
FILTER(IMPORTRANGE(""https://docs.google.com/spreadsheets/d/1BJSV3WBYJGRhQ6zExamkszQ5VutGIcaQqmbD9ZTVXMQ/edit#gid=1251630045"",""articles_with_PRISMA_reasons!AB2:AB2113""), $A1236=IMPORTRANGE(""https://docs.google.com/spreadsheets/"&amp;"d/1BJSV3WBYJGRhQ6zExamkszQ5VutGIcaQqmbD9ZTVXMQ/edit#gid=1251630045"",""articles_with_PRISMA_reasons!B2:B2113"")),
E1236=""Exclude"",
FILTER(IMPORTRANGE(""https://docs.google.com/spreadsheets/d/1qpEmbGH0JjaJbUdp21-y2cPbobDbMjr09BbtdKROZWc/edit#gid=14448656"&amp;"54"",""articles_with_PRISMA_reasons!Z2:Z2113""), $A1236=IMPORTRANGE(""https://docs.google.com/spreadsheets/d/1qpEmbGH0JjaJbUdp21-y2cPbobDbMjr09BbtdKROZWc/edit#gid=1444865654"",""articles_with_PRISMA_reasons!B2:B2113"")),F1236
=""Include"",FILTER(IMPORTRAN"&amp;"GE(""https://docs.google.com/spreadsheets/d/1kGrh75X1cNR1D7_FcY9zMnHP8iPO4M5RCRjy6nZY0TY/edit#gid=0"",""Table 1: Study characteristics!A4:A171""), $A1236=IMPORTRANGE(""https://docs.google.com/spreadsheets/d/1kGrh75X1cNR1D7_FcY9zMnHP8iPO4M5RCRjy6nZY0TY/edi"&amp;"t#gid=0"",""Table 1: Study characteristics!B4:B171""))
)"),"text not accessible")</f>
        <v>text not accessible</v>
      </c>
    </row>
    <row r="1237">
      <c r="A1237" s="4" t="str">
        <f>IFERROR(__xludf.DUMMYFUNCTION("""COMPUTED_VALUE"""),"Myelomeningocele and tethered cord: Caring for an aging population")</f>
        <v>Myelomeningocele and tethered cord: Caring for an aging population</v>
      </c>
      <c r="B1237" s="5" t="str">
        <f>IFERROR(__xludf.DUMMYFUNCTION("LEFT(FILTER(IMPORTRANGE(""https://docs.google.com/spreadsheets/d/1BJSV3WBYJGRhQ6zExamkszQ5VutGIcaQqmbD9ZTVXMQ/edit#gid=1251630045"",""articles_with_PRISMA_reasons!K2:K2113""), $A1237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$A1237=IMPORTRANGE(""https://docs.google.com/spreadsheets/d/1BJSV3WBYJGRhQ6zExamkszQ5VutGIcaQqmbD9ZTVXMQ/edit#gid=1251630045"",""articles_with_PRISMA_reasons!B2:B2113"")))-1)"),"Moores")</f>
        <v>Moores</v>
      </c>
      <c r="C1237" s="6">
        <f>IFERROR(__xludf.DUMMYFUNCTION("FILTER(IMPORTRANGE(""https://docs.google.com/spreadsheets/d/1BJSV3WBYJGRhQ6zExamkszQ5VutGIcaQqmbD9ZTVXMQ/edit#gid=1251630045"",""articles_with_PRISMA_reasons!C2:C2113""), $A1237=IMPORTRANGE(""https://docs.google.com/spreadsheets/d/1BJSV3WBYJGRhQ6zExamkszQ"&amp;"5VutGIcaQqmbD9ZTVXMQ/edit#gid=1251630045"",""articles_with_PRISMA_reasons!B2:B2113""))"),2002.0)</f>
        <v>2002</v>
      </c>
      <c r="D1237" s="5" t="str">
        <f>IFERROR(__xludf.DUMMYFUNCTION("IFS(AND(
FILTER(IMPORTRANGE(""https://docs.google.com/spreadsheets/d/1BJSV3WBYJGRhQ6zExamkszQ5VutGIcaQqmbD9ZTVXMQ/edit#gid=1251630045"",""articles_with_PRISMA_reasons!Y2:Y2113""), $A1237=IMPORTRANGE(""https://docs.google.com/spreadsheets/d/1BJSV3WBYJGRhQ6"&amp;"zExamkszQ5VutGIcaQqmbD9ZTVXMQ/edit#gid=1251630045"",""articles_with_PRISMA_reasons!B2:B2113""))&gt;=2,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$A1237=IMPORTRANGE(""https://docs.google.com/spreadsheets/d/1BJSV3WBYJGRhQ6zExamkszQ5VutGIcaQqmbD9ZTVXMQ/edit#gid=1251630045"",""articles_with_PRISMA_reasons!B2:B2113""))&lt;2),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$A1237=IMPORTRANGE(""https://docs.google.com/spreadsheets/d/1BJSV3WBYJGRhQ6zExamkszQ5VutGIcaQqmbD9ZTVXMQ/edit#gid=1251630045"",""a"&amp;"rticles_with_PRISMA_reasons!B2:B2113""))&lt;2,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$A1237=IMPORTRANGE(""https://docs.google"&amp;".com/spreadsheets/d/1BJSV3WBYJGRhQ6zExamkszQ5VutGIcaQqmbD9ZTVXMQ/edit#gid=1251630045"",""articles_with_PRISMA_reasons!B2:B2113""))&gt;=2),
""Exclude""
)"),"Exclude")</f>
        <v>Exclude</v>
      </c>
      <c r="E1237" s="5" t="str">
        <f>IFERROR(__xludf.DUMMYFUNCTION("IFS(
D1237=""Exclude"",""Exclude"",
AND(
FILTER(IMPORTRANGE(""https://docs.google.com/spreadsheets/d/1qpEmbGH0JjaJbUdp21-y2cPbobDbMjr09BbtdKROZWc/edit#gid=1444865654"",""articles_with_PRISMA_reasons!W2:W2113""), $A1237=IMPORTRANGE(""https://docs.google.co"&amp;"m/spreadsheets/d/1qpEmbGH0JjaJbUdp21-y2cPbobDbMjr09BbtdKROZWc/edit#gid=1444865654"",""articles_with_PRISMA_reasons!B2:B2113""))&gt;=2,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$A1237=IMPORTRANGE(""https://docs.google.com/spreadsheets/d/1qpEmbGH0JjaJbUdp21-y2cPbobDbMjr09BbtdKROZWc/edit#gid=1444865654"",""articles_with_PRISMA_reasons!B2:B2113""))&lt;2),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$A1237=IMPORTRANGE(""https://docs.google.com/spreadsheets/d/1qpEmbGH0JjaJbUdp21-y2cPbobDbMjr09Bbtd"&amp;"KROZWc/edit#gid=1444865654"",""articles_with_PRISMA_reasons!B2:B2113""))&lt;2,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$A1237=I"&amp;"MPORTRANGE(""https://docs.google.com/spreadsheets/d/1qpEmbGH0JjaJbUdp21-y2cPbobDbMjr09BbtdKROZWc/edit#gid=1444865654"",""articles_with_PRISMA_reasons!B2:B2113""))&gt;=2),
""Exclude""
)"),"Exclude")</f>
        <v>Exclude</v>
      </c>
      <c r="F1237" s="5" t="str">
        <f>IFERROR(__xludf.DUMMYFUNCTION("IFS(
E1237=""Exclude"",""Exclude"",
AND(
COUNTIF(
IMPORTRANGE(""https://docs.google.com/spreadsheets/d/1kGrh75X1cNR1D7_FcY9zMnHP8iPO4M5RCRjy6nZY0TY/edit#gid=0"",""Table 1: Study characteristics!B4:B171""),A1237)&gt;0,
COUNTIF(Studies!$A$2:$A$85,FILTER(IMPORT"&amp;"RANGE(""https://docs.google.com/spreadsheets/d/1kGrh75X1cNR1D7_FcY9zMnHP8iPO4M5RCRjy6nZY0TY/edit#gid=0"",""Table 1: Study characteristics!A4:A171""), $A1237=IMPORTRANGE(""https://docs.google.com/spreadsheets/d/1kGrh75X1cNR1D7_FcY9zMnHP8iPO4M5RCRjy6nZY0TY/"&amp;"edit#gid=0"",""Table 1: Study characteristics!B4:B171"")))&gt;0
),
""Include""
)"),"Exclude")</f>
        <v>Exclude</v>
      </c>
      <c r="G1237" s="5" t="str">
        <f>IFERROR(__xludf.DUMMYFUNCTION("IFS(
D1237=""Exclude"",
FILTER(IMPORTRANGE(""https://docs.google.com/spreadsheets/d/1BJSV3WBYJGRhQ6zExamkszQ5VutGIcaQqmbD9ZTVXMQ/edit#gid=1251630045"",""articles_with_PRISMA_reasons!AB2:AB2113""), $A1237=IMPORTRANGE(""https://docs.google.com/spreadsheets/"&amp;"d/1BJSV3WBYJGRhQ6zExamkszQ5VutGIcaQqmbD9ZTVXMQ/edit#gid=1251630045"",""articles_with_PRISMA_reasons!B2:B2113"")),
E1237=""Exclude"",
FILTER(IMPORTRANGE(""https://docs.google.com/spreadsheets/d/1qpEmbGH0JjaJbUdp21-y2cPbobDbMjr09BbtdKROZWc/edit#gid=14448656"&amp;"54"",""articles_with_PRISMA_reasons!Z2:Z2113""), $A1237=IMPORTRANGE(""https://docs.google.com/spreadsheets/d/1qpEmbGH0JjaJbUdp21-y2cPbobDbMjr09BbtdKROZWc/edit#gid=1444865654"",""articles_with_PRISMA_reasons!B2:B2113"")),F1237
=""Include"",FILTER(IMPORTRAN"&amp;"GE(""https://docs.google.com/spreadsheets/d/1kGrh75X1cNR1D7_FcY9zMnHP8iPO4M5RCRjy6nZY0TY/edit#gid=0"",""Table 1: Study characteristics!A4:A171""), $A1237=IMPORTRANGE(""https://docs.google.com/spreadsheets/d/1kGrh75X1cNR1D7_FcY9zMnHP8iPO4M5RCRjy6nZY0TY/edi"&amp;"t#gid=0"",""Table 1: Study characteristics!B4:B171""))
)"),"wrong study design")</f>
        <v>wrong study design</v>
      </c>
    </row>
    <row r="1238">
      <c r="A1238" s="4" t="str">
        <f>IFERROR(__xludf.DUMMYFUNCTION("""COMPUTED_VALUE"""),"Myelomeningocele associated with split cord malformation Type I")</f>
        <v>Myelomeningocele associated with split cord malformation Type I</v>
      </c>
      <c r="B1238" s="5" t="str">
        <f>IFERROR(__xludf.DUMMYFUNCTION("LEFT(FILTER(IMPORTRANGE(""https://docs.google.com/spreadsheets/d/1BJSV3WBYJGRhQ6zExamkszQ5VutGIcaQqmbD9ZTVXMQ/edit#gid=1251630045"",""articles_with_PRISMA_reasons!K2:K2113""), $A1238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$A1238=IMPORTRANGE(""https://docs.google.com/spreadsheets/d/1BJSV3WBYJGRhQ6zExamkszQ5VutGIcaQqmbD9ZTVXMQ/edit#gid=1251630045"",""articles_with_PRISMA_reasons!B2:B2113"")))-1)"),"Higashida")</f>
        <v>Higashida</v>
      </c>
      <c r="C1238" s="6">
        <f>IFERROR(__xludf.DUMMYFUNCTION("FILTER(IMPORTRANGE(""https://docs.google.com/spreadsheets/d/1BJSV3WBYJGRhQ6zExamkszQ5VutGIcaQqmbD9ZTVXMQ/edit#gid=1251630045"",""articles_with_PRISMA_reasons!C2:C2113""), $A1238=IMPORTRANGE(""https://docs.google.com/spreadsheets/d/1BJSV3WBYJGRhQ6zExamkszQ"&amp;"5VutGIcaQqmbD9ZTVXMQ/edit#gid=1251630045"",""articles_with_PRISMA_reasons!B2:B2113""))"),2010.0)</f>
        <v>2010</v>
      </c>
      <c r="D1238" s="5" t="str">
        <f>IFERROR(__xludf.DUMMYFUNCTION("IFS(AND(
FILTER(IMPORTRANGE(""https://docs.google.com/spreadsheets/d/1BJSV3WBYJGRhQ6zExamkszQ5VutGIcaQqmbD9ZTVXMQ/edit#gid=1251630045"",""articles_with_PRISMA_reasons!Y2:Y2113""), $A1238=IMPORTRANGE(""https://docs.google.com/spreadsheets/d/1BJSV3WBYJGRhQ6"&amp;"zExamkszQ5VutGIcaQqmbD9ZTVXMQ/edit#gid=1251630045"",""articles_with_PRISMA_reasons!B2:B2113""))&gt;=2,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$A1238=IMPORTRANGE(""https://docs.google.com/spreadsheets/d/1BJSV3WBYJGRhQ6zExamkszQ5VutGIcaQqmbD9ZTVXMQ/edit#gid=1251630045"",""articles_with_PRISMA_reasons!B2:B2113""))&lt;2),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$A1238=IMPORTRANGE(""https://docs.google.com/spreadsheets/d/1BJSV3WBYJGRhQ6zExamkszQ5VutGIcaQqmbD9ZTVXMQ/edit#gid=1251630045"",""a"&amp;"rticles_with_PRISMA_reasons!B2:B2113""))&lt;2,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$A1238=IMPORTRANGE(""https://docs.google"&amp;".com/spreadsheets/d/1BJSV3WBYJGRhQ6zExamkszQ5VutGIcaQqmbD9ZTVXMQ/edit#gid=1251630045"",""articles_with_PRISMA_reasons!B2:B2113""))&gt;=2),
""Exclude""
)"),"Exclude")</f>
        <v>Exclude</v>
      </c>
      <c r="E1238" s="5" t="str">
        <f>IFERROR(__xludf.DUMMYFUNCTION("IFS(
D1238=""Exclude"",""Exclude"",
AND(
FILTER(IMPORTRANGE(""https://docs.google.com/spreadsheets/d/1qpEmbGH0JjaJbUdp21-y2cPbobDbMjr09BbtdKROZWc/edit#gid=1444865654"",""articles_with_PRISMA_reasons!W2:W2113""), $A1238=IMPORTRANGE(""https://docs.google.co"&amp;"m/spreadsheets/d/1qpEmbGH0JjaJbUdp21-y2cPbobDbMjr09BbtdKROZWc/edit#gid=1444865654"",""articles_with_PRISMA_reasons!B2:B2113""))&gt;=2,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$A1238=IMPORTRANGE(""https://docs.google.com/spreadsheets/d/1qpEmbGH0JjaJbUdp21-y2cPbobDbMjr09BbtdKROZWc/edit#gid=1444865654"",""articles_with_PRISMA_reasons!B2:B2113""))&lt;2),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$A1238=IMPORTRANGE(""https://docs.google.com/spreadsheets/d/1qpEmbGH0JjaJbUdp21-y2cPbobDbMjr09Bbtd"&amp;"KROZWc/edit#gid=1444865654"",""articles_with_PRISMA_reasons!B2:B2113""))&lt;2,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$A1238=I"&amp;"MPORTRANGE(""https://docs.google.com/spreadsheets/d/1qpEmbGH0JjaJbUdp21-y2cPbobDbMjr09BbtdKROZWc/edit#gid=1444865654"",""articles_with_PRISMA_reasons!B2:B2113""))&gt;=2),
""Exclude""
)"),"Exclude")</f>
        <v>Exclude</v>
      </c>
      <c r="F1238" s="5" t="str">
        <f>IFERROR(__xludf.DUMMYFUNCTION("IFS(
E1238=""Exclude"",""Exclude"",
AND(
COUNTIF(
IMPORTRANGE(""https://docs.google.com/spreadsheets/d/1kGrh75X1cNR1D7_FcY9zMnHP8iPO4M5RCRjy6nZY0TY/edit#gid=0"",""Table 1: Study characteristics!B4:B171""),A1238)&gt;0,
COUNTIF(Studies!$A$2:$A$85,FILTER(IMPORT"&amp;"RANGE(""https://docs.google.com/spreadsheets/d/1kGrh75X1cNR1D7_FcY9zMnHP8iPO4M5RCRjy6nZY0TY/edit#gid=0"",""Table 1: Study characteristics!A4:A171""), $A1238=IMPORTRANGE(""https://docs.google.com/spreadsheets/d/1kGrh75X1cNR1D7_FcY9zMnHP8iPO4M5RCRjy6nZY0TY/"&amp;"edit#gid=0"",""Table 1: Study characteristics!B4:B171"")))&gt;0
),
""Include""
)"),"Exclude")</f>
        <v>Exclude</v>
      </c>
      <c r="G1238" s="5" t="str">
        <f>IFERROR(__xludf.DUMMYFUNCTION("IFS(
D1238=""Exclude"",
FILTER(IMPORTRANGE(""https://docs.google.com/spreadsheets/d/1BJSV3WBYJGRhQ6zExamkszQ5VutGIcaQqmbD9ZTVXMQ/edit#gid=1251630045"",""articles_with_PRISMA_reasons!AB2:AB2113""), $A1238=IMPORTRANGE(""https://docs.google.com/spreadsheets/"&amp;"d/1BJSV3WBYJGRhQ6zExamkszQ5VutGIcaQqmbD9ZTVXMQ/edit#gid=1251630045"",""articles_with_PRISMA_reasons!B2:B2113"")),
E1238=""Exclude"",
FILTER(IMPORTRANGE(""https://docs.google.com/spreadsheets/d/1qpEmbGH0JjaJbUdp21-y2cPbobDbMjr09BbtdKROZWc/edit#gid=14448656"&amp;"54"",""articles_with_PRISMA_reasons!Z2:Z2113""), $A1238=IMPORTRANGE(""https://docs.google.com/spreadsheets/d/1qpEmbGH0JjaJbUdp21-y2cPbobDbMjr09BbtdKROZWc/edit#gid=1444865654"",""articles_with_PRISMA_reasons!B2:B2113"")),F1238
=""Include"",FILTER(IMPORTRAN"&amp;"GE(""https://docs.google.com/spreadsheets/d/1kGrh75X1cNR1D7_FcY9zMnHP8iPO4M5RCRjy6nZY0TY/edit#gid=0"",""Table 1: Study characteristics!A4:A171""), $A1238=IMPORTRANGE(""https://docs.google.com/spreadsheets/d/1kGrh75X1cNR1D7_FcY9zMnHP8iPO4M5RCRjy6nZY0TY/edi"&amp;"t#gid=0"",""Table 1: Study characteristics!B4:B171""))
)"),"Duplicate")</f>
        <v>Duplicate</v>
      </c>
    </row>
    <row r="1239">
      <c r="A1239" s="4" t="str">
        <f>IFERROR(__xludf.DUMMYFUNCTION("""COMPUTED_VALUE"""),"Myelomeningocele before birth")</f>
        <v>Myelomeningocele before birth</v>
      </c>
      <c r="B1239" s="5" t="str">
        <f>IFERROR(__xludf.DUMMYFUNCTION("LEFT(FILTER(IMPORTRANGE(""https://docs.google.com/spreadsheets/d/1BJSV3WBYJGRhQ6zExamkszQ5VutGIcaQqmbD9ZTVXMQ/edit#gid=1251630045"",""articles_with_PRISMA_reasons!K2:K2113""), $A1239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$A1239=IMPORTRANGE(""https://docs.google.com/spreadsheets/d/1BJSV3WBYJGRhQ6zExamkszQ5VutGIcaQqmbD9ZTVXMQ/edit#gid=1251630045"",""articles_with_PRISMA_reasons!B2:B2113"")))-1)"),"Osaka")</f>
        <v>Osaka</v>
      </c>
      <c r="C1239" s="6">
        <f>IFERROR(__xludf.DUMMYFUNCTION("FILTER(IMPORTRANGE(""https://docs.google.com/spreadsheets/d/1BJSV3WBYJGRhQ6zExamkszQ5VutGIcaQqmbD9ZTVXMQ/edit#gid=1251630045"",""articles_with_PRISMA_reasons!C2:C2113""), $A1239=IMPORTRANGE(""https://docs.google.com/spreadsheets/d/1BJSV3WBYJGRhQ6zExamkszQ"&amp;"5VutGIcaQqmbD9ZTVXMQ/edit#gid=1251630045"",""articles_with_PRISMA_reasons!B2:B2113""))"),1978.0)</f>
        <v>1978</v>
      </c>
      <c r="D1239" s="5" t="str">
        <f>IFERROR(__xludf.DUMMYFUNCTION("IFS(AND(
FILTER(IMPORTRANGE(""https://docs.google.com/spreadsheets/d/1BJSV3WBYJGRhQ6zExamkszQ5VutGIcaQqmbD9ZTVXMQ/edit#gid=1251630045"",""articles_with_PRISMA_reasons!Y2:Y2113""), $A1239=IMPORTRANGE(""https://docs.google.com/spreadsheets/d/1BJSV3WBYJGRhQ6"&amp;"zExamkszQ5VutGIcaQqmbD9ZTVXMQ/edit#gid=1251630045"",""articles_with_PRISMA_reasons!B2:B2113""))&gt;=2,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$A1239=IMPORTRANGE(""https://docs.google.com/spreadsheets/d/1BJSV3WBYJGRhQ6zExamkszQ5VutGIcaQqmbD9ZTVXMQ/edit#gid=1251630045"",""articles_with_PRISMA_reasons!B2:B2113""))&lt;2),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$A1239=IMPORTRANGE(""https://docs.google.com/spreadsheets/d/1BJSV3WBYJGRhQ6zExamkszQ5VutGIcaQqmbD9ZTVXMQ/edit#gid=1251630045"",""a"&amp;"rticles_with_PRISMA_reasons!B2:B2113""))&lt;2,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$A1239=IMPORTRANGE(""https://docs.google"&amp;".com/spreadsheets/d/1BJSV3WBYJGRhQ6zExamkszQ5VutGIcaQqmbD9ZTVXMQ/edit#gid=1251630045"",""articles_with_PRISMA_reasons!B2:B2113""))&gt;=2),
""Exclude""
)"),"Exclude")</f>
        <v>Exclude</v>
      </c>
      <c r="E1239" s="5" t="str">
        <f>IFERROR(__xludf.DUMMYFUNCTION("IFS(
D1239=""Exclude"",""Exclude"",
AND(
FILTER(IMPORTRANGE(""https://docs.google.com/spreadsheets/d/1qpEmbGH0JjaJbUdp21-y2cPbobDbMjr09BbtdKROZWc/edit#gid=1444865654"",""articles_with_PRISMA_reasons!W2:W2113""), $A1239=IMPORTRANGE(""https://docs.google.co"&amp;"m/spreadsheets/d/1qpEmbGH0JjaJbUdp21-y2cPbobDbMjr09BbtdKROZWc/edit#gid=1444865654"",""articles_with_PRISMA_reasons!B2:B2113""))&gt;=2,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$A1239=IMPORTRANGE(""https://docs.google.com/spreadsheets/d/1qpEmbGH0JjaJbUdp21-y2cPbobDbMjr09BbtdKROZWc/edit#gid=1444865654"",""articles_with_PRISMA_reasons!B2:B2113""))&lt;2),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$A1239=IMPORTRANGE(""https://docs.google.com/spreadsheets/d/1qpEmbGH0JjaJbUdp21-y2cPbobDbMjr09Bbtd"&amp;"KROZWc/edit#gid=1444865654"",""articles_with_PRISMA_reasons!B2:B2113""))&lt;2,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$A1239=I"&amp;"MPORTRANGE(""https://docs.google.com/spreadsheets/d/1qpEmbGH0JjaJbUdp21-y2cPbobDbMjr09BbtdKROZWc/edit#gid=1444865654"",""articles_with_PRISMA_reasons!B2:B2113""))&gt;=2),
""Exclude""
)"),"Exclude")</f>
        <v>Exclude</v>
      </c>
      <c r="F1239" s="5" t="str">
        <f>IFERROR(__xludf.DUMMYFUNCTION("IFS(
E1239=""Exclude"",""Exclude"",
AND(
COUNTIF(
IMPORTRANGE(""https://docs.google.com/spreadsheets/d/1kGrh75X1cNR1D7_FcY9zMnHP8iPO4M5RCRjy6nZY0TY/edit#gid=0"",""Table 1: Study characteristics!B4:B171""),A1239)&gt;0,
COUNTIF(Studies!$A$2:$A$85,FILTER(IMPORT"&amp;"RANGE(""https://docs.google.com/spreadsheets/d/1kGrh75X1cNR1D7_FcY9zMnHP8iPO4M5RCRjy6nZY0TY/edit#gid=0"",""Table 1: Study characteristics!A4:A171""), $A1239=IMPORTRANGE(""https://docs.google.com/spreadsheets/d/1kGrh75X1cNR1D7_FcY9zMnHP8iPO4M5RCRjy6nZY0TY/"&amp;"edit#gid=0"",""Table 1: Study characteristics!B4:B171"")))&gt;0
),
""Include""
)"),"Exclude")</f>
        <v>Exclude</v>
      </c>
      <c r="G1239" s="5" t="str">
        <f>IFERROR(__xludf.DUMMYFUNCTION("IFS(
D1239=""Exclude"",
FILTER(IMPORTRANGE(""https://docs.google.com/spreadsheets/d/1BJSV3WBYJGRhQ6zExamkszQ5VutGIcaQqmbD9ZTVXMQ/edit#gid=1251630045"",""articles_with_PRISMA_reasons!AB2:AB2113""), $A1239=IMPORTRANGE(""https://docs.google.com/spreadsheets/"&amp;"d/1BJSV3WBYJGRhQ6zExamkszQ5VutGIcaQqmbD9ZTVXMQ/edit#gid=1251630045"",""articles_with_PRISMA_reasons!B2:B2113"")),
E1239=""Exclude"",
FILTER(IMPORTRANGE(""https://docs.google.com/spreadsheets/d/1qpEmbGH0JjaJbUdp21-y2cPbobDbMjr09BbtdKROZWc/edit#gid=14448656"&amp;"54"",""articles_with_PRISMA_reasons!Z2:Z2113""), $A1239=IMPORTRANGE(""https://docs.google.com/spreadsheets/d/1qpEmbGH0JjaJbUdp21-y2cPbobDbMjr09BbtdKROZWc/edit#gid=1444865654"",""articles_with_PRISMA_reasons!B2:B2113"")),F1239
=""Include"",FILTER(IMPORTRAN"&amp;"GE(""https://docs.google.com/spreadsheets/d/1kGrh75X1cNR1D7_FcY9zMnHP8iPO4M5RCRjy6nZY0TY/edit#gid=0"",""Table 1: Study characteristics!A4:A171""), $A1239=IMPORTRANGE(""https://docs.google.com/spreadsheets/d/1kGrh75X1cNR1D7_FcY9zMnHP8iPO4M5RCRjy6nZY0TY/edi"&amp;"t#gid=0"",""Table 1: Study characteristics!B4:B171""))
)"),"antenatal intervention")</f>
        <v>antenatal intervention</v>
      </c>
    </row>
    <row r="1240">
      <c r="A1240" s="4" t="str">
        <f>IFERROR(__xludf.DUMMYFUNCTION("""COMPUTED_VALUE"""),"Myelomeningocele birth defect. Habilitation of the child")</f>
        <v>Myelomeningocele birth defect. Habilitation of the child</v>
      </c>
      <c r="B1240" s="5" t="str">
        <f>IFERROR(__xludf.DUMMYFUNCTION("LEFT(FILTER(IMPORTRANGE(""https://docs.google.com/spreadsheets/d/1BJSV3WBYJGRhQ6zExamkszQ5VutGIcaQqmbD9ZTVXMQ/edit#gid=1251630045"",""articles_with_PRISMA_reasons!K2:K2113""), $A1240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$A1240=IMPORTRANGE(""https://docs.google.com/spreadsheets/d/1BJSV3WBYJGRhQ6zExamkszQ5VutGIcaQqmbD9ZTVXMQ/edit#gid=1251630045"",""articles_with_PRISMA_reasons!B2:B2113"")))-1)"),"Bensman")</f>
        <v>Bensman</v>
      </c>
      <c r="C1240" s="6">
        <f>IFERROR(__xludf.DUMMYFUNCTION("FILTER(IMPORTRANGE(""https://docs.google.com/spreadsheets/d/1BJSV3WBYJGRhQ6zExamkszQ5VutGIcaQqmbD9ZTVXMQ/edit#gid=1251630045"",""articles_with_PRISMA_reasons!C2:C2113""), $A1240=IMPORTRANGE(""https://docs.google.com/spreadsheets/d/1BJSV3WBYJGRhQ6zExamkszQ"&amp;"5VutGIcaQqmbD9ZTVXMQ/edit#gid=1251630045"",""articles_with_PRISMA_reasons!B2:B2113""))"),1971.0)</f>
        <v>1971</v>
      </c>
      <c r="D1240" s="5" t="str">
        <f>IFERROR(__xludf.DUMMYFUNCTION("IFS(AND(
FILTER(IMPORTRANGE(""https://docs.google.com/spreadsheets/d/1BJSV3WBYJGRhQ6zExamkszQ5VutGIcaQqmbD9ZTVXMQ/edit#gid=1251630045"",""articles_with_PRISMA_reasons!Y2:Y2113""), $A1240=IMPORTRANGE(""https://docs.google.com/spreadsheets/d/1BJSV3WBYJGRhQ6"&amp;"zExamkszQ5VutGIcaQqmbD9ZTVXMQ/edit#gid=1251630045"",""articles_with_PRISMA_reasons!B2:B2113""))&gt;=2,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$A1240=IMPORTRANGE(""https://docs.google.com/spreadsheets/d/1BJSV3WBYJGRhQ6zExamkszQ5VutGIcaQqmbD9ZTVXMQ/edit#gid=1251630045"",""articles_with_PRISMA_reasons!B2:B2113""))&lt;2),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$A1240=IMPORTRANGE(""https://docs.google.com/spreadsheets/d/1BJSV3WBYJGRhQ6zExamkszQ5VutGIcaQqmbD9ZTVXMQ/edit#gid=1251630045"",""a"&amp;"rticles_with_PRISMA_reasons!B2:B2113""))&lt;2,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$A1240=IMPORTRANGE(""https://docs.google"&amp;".com/spreadsheets/d/1BJSV3WBYJGRhQ6zExamkszQ5VutGIcaQqmbD9ZTVXMQ/edit#gid=1251630045"",""articles_with_PRISMA_reasons!B2:B2113""))&gt;=2),
""Exclude""
)"),"Exclude")</f>
        <v>Exclude</v>
      </c>
      <c r="E1240" s="5" t="str">
        <f>IFERROR(__xludf.DUMMYFUNCTION("IFS(
D1240=""Exclude"",""Exclude"",
AND(
FILTER(IMPORTRANGE(""https://docs.google.com/spreadsheets/d/1qpEmbGH0JjaJbUdp21-y2cPbobDbMjr09BbtdKROZWc/edit#gid=1444865654"",""articles_with_PRISMA_reasons!W2:W2113""), $A1240=IMPORTRANGE(""https://docs.google.co"&amp;"m/spreadsheets/d/1qpEmbGH0JjaJbUdp21-y2cPbobDbMjr09BbtdKROZWc/edit#gid=1444865654"",""articles_with_PRISMA_reasons!B2:B2113""))&gt;=2,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$A1240=IMPORTRANGE(""https://docs.google.com/spreadsheets/d/1qpEmbGH0JjaJbUdp21-y2cPbobDbMjr09BbtdKROZWc/edit#gid=1444865654"",""articles_with_PRISMA_reasons!B2:B2113""))&lt;2),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$A1240=IMPORTRANGE(""https://docs.google.com/spreadsheets/d/1qpEmbGH0JjaJbUdp21-y2cPbobDbMjr09Bbtd"&amp;"KROZWc/edit#gid=1444865654"",""articles_with_PRISMA_reasons!B2:B2113""))&lt;2,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$A1240=I"&amp;"MPORTRANGE(""https://docs.google.com/spreadsheets/d/1qpEmbGH0JjaJbUdp21-y2cPbobDbMjr09BbtdKROZWc/edit#gid=1444865654"",""articles_with_PRISMA_reasons!B2:B2113""))&gt;=2),
""Exclude""
)"),"Exclude")</f>
        <v>Exclude</v>
      </c>
      <c r="F1240" s="5" t="str">
        <f>IFERROR(__xludf.DUMMYFUNCTION("IFS(
E1240=""Exclude"",""Exclude"",
AND(
COUNTIF(
IMPORTRANGE(""https://docs.google.com/spreadsheets/d/1kGrh75X1cNR1D7_FcY9zMnHP8iPO4M5RCRjy6nZY0TY/edit#gid=0"",""Table 1: Study characteristics!B4:B171""),A1240)&gt;0,
COUNTIF(Studies!$A$2:$A$85,FILTER(IMPORT"&amp;"RANGE(""https://docs.google.com/spreadsheets/d/1kGrh75X1cNR1D7_FcY9zMnHP8iPO4M5RCRjy6nZY0TY/edit#gid=0"",""Table 1: Study characteristics!A4:A171""), $A1240=IMPORTRANGE(""https://docs.google.com/spreadsheets/d/1kGrh75X1cNR1D7_FcY9zMnHP8iPO4M5RCRjy6nZY0TY/"&amp;"edit#gid=0"",""Table 1: Study characteristics!B4:B171"")))&gt;0
),
""Include""
)"),"Exclude")</f>
        <v>Exclude</v>
      </c>
      <c r="G1240" s="5" t="str">
        <f>IFERROR(__xludf.DUMMYFUNCTION("IFS(
D1240=""Exclude"",
FILTER(IMPORTRANGE(""https://docs.google.com/spreadsheets/d/1BJSV3WBYJGRhQ6zExamkszQ5VutGIcaQqmbD9ZTVXMQ/edit#gid=1251630045"",""articles_with_PRISMA_reasons!AB2:AB2113""), $A1240=IMPORTRANGE(""https://docs.google.com/spreadsheets/"&amp;"d/1BJSV3WBYJGRhQ6zExamkszQ5VutGIcaQqmbD9ZTVXMQ/edit#gid=1251630045"",""articles_with_PRISMA_reasons!B2:B2113"")),
E1240=""Exclude"",
FILTER(IMPORTRANGE(""https://docs.google.com/spreadsheets/d/1qpEmbGH0JjaJbUdp21-y2cPbobDbMjr09BbtdKROZWc/edit#gid=14448656"&amp;"54"",""articles_with_PRISMA_reasons!Z2:Z2113""), $A1240=IMPORTRANGE(""https://docs.google.com/spreadsheets/d/1qpEmbGH0JjaJbUdp21-y2cPbobDbMjr09BbtdKROZWc/edit#gid=1444865654"",""articles_with_PRISMA_reasons!B2:B2113"")),F1240
=""Include"",FILTER(IMPORTRAN"&amp;"GE(""https://docs.google.com/spreadsheets/d/1kGrh75X1cNR1D7_FcY9zMnHP8iPO4M5RCRjy6nZY0TY/edit#gid=0"",""Table 1: Study characteristics!A4:A171""), $A1240=IMPORTRANGE(""https://docs.google.com/spreadsheets/d/1kGrh75X1cNR1D7_FcY9zMnHP8iPO4M5RCRjy6nZY0TY/edi"&amp;"t#gid=0"",""Table 1: Study characteristics!B4:B171""))
)"),"wrong population")</f>
        <v>wrong population</v>
      </c>
    </row>
    <row r="1241">
      <c r="A1241" s="4" t="str">
        <f>IFERROR(__xludf.DUMMYFUNCTION("""COMPUTED_VALUE"""),"Myelomeningocele born of the epileptic women")</f>
        <v>Myelomeningocele born of the epileptic women</v>
      </c>
      <c r="B1241" s="5" t="str">
        <f>IFERROR(__xludf.DUMMYFUNCTION("LEFT(FILTER(IMPORTRANGE(""https://docs.google.com/spreadsheets/d/1BJSV3WBYJGRhQ6zExamkszQ5VutGIcaQqmbD9ZTVXMQ/edit#gid=1251630045"",""articles_with_PRISMA_reasons!K2:K2113""), $A1241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$A1241=IMPORTRANGE(""https://docs.google.com/spreadsheets/d/1BJSV3WBYJGRhQ6zExamkszQ5VutGIcaQqmbD9ZTVXMQ/edit#gid=1251630045"",""articles_with_PRISMA_reasons!B2:B2113"")))-1)"),"Kikuchi")</f>
        <v>Kikuchi</v>
      </c>
      <c r="C1241" s="6">
        <f>IFERROR(__xludf.DUMMYFUNCTION("FILTER(IMPORTRANGE(""https://docs.google.com/spreadsheets/d/1BJSV3WBYJGRhQ6zExamkszQ5VutGIcaQqmbD9ZTVXMQ/edit#gid=1251630045"",""articles_with_PRISMA_reasons!C2:C2113""), $A1241=IMPORTRANGE(""https://docs.google.com/spreadsheets/d/1BJSV3WBYJGRhQ6zExamkszQ"&amp;"5VutGIcaQqmbD9ZTVXMQ/edit#gid=1251630045"",""articles_with_PRISMA_reasons!B2:B2113""))"),1998.0)</f>
        <v>1998</v>
      </c>
      <c r="D1241" s="5" t="str">
        <f>IFERROR(__xludf.DUMMYFUNCTION("IFS(AND(
FILTER(IMPORTRANGE(""https://docs.google.com/spreadsheets/d/1BJSV3WBYJGRhQ6zExamkszQ5VutGIcaQqmbD9ZTVXMQ/edit#gid=1251630045"",""articles_with_PRISMA_reasons!Y2:Y2113""), $A1241=IMPORTRANGE(""https://docs.google.com/spreadsheets/d/1BJSV3WBYJGRhQ6"&amp;"zExamkszQ5VutGIcaQqmbD9ZTVXMQ/edit#gid=1251630045"",""articles_with_PRISMA_reasons!B2:B2113""))&gt;=2,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$A1241=IMPORTRANGE(""https://docs.google.com/spreadsheets/d/1BJSV3WBYJGRhQ6zExamkszQ5VutGIcaQqmbD9ZTVXMQ/edit#gid=1251630045"",""articles_with_PRISMA_reasons!B2:B2113""))&lt;2),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$A1241=IMPORTRANGE(""https://docs.google.com/spreadsheets/d/1BJSV3WBYJGRhQ6zExamkszQ5VutGIcaQqmbD9ZTVXMQ/edit#gid=1251630045"",""a"&amp;"rticles_with_PRISMA_reasons!B2:B2113""))&lt;2,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$A1241=IMPORTRANGE(""https://docs.google"&amp;".com/spreadsheets/d/1BJSV3WBYJGRhQ6zExamkszQ5VutGIcaQqmbD9ZTVXMQ/edit#gid=1251630045"",""articles_with_PRISMA_reasons!B2:B2113""))&gt;=2),
""Exclude""
)"),"Exclude")</f>
        <v>Exclude</v>
      </c>
      <c r="E1241" s="5" t="str">
        <f>IFERROR(__xludf.DUMMYFUNCTION("IFS(
D1241=""Exclude"",""Exclude"",
AND(
FILTER(IMPORTRANGE(""https://docs.google.com/spreadsheets/d/1qpEmbGH0JjaJbUdp21-y2cPbobDbMjr09BbtdKROZWc/edit#gid=1444865654"",""articles_with_PRISMA_reasons!W2:W2113""), $A1241=IMPORTRANGE(""https://docs.google.co"&amp;"m/spreadsheets/d/1qpEmbGH0JjaJbUdp21-y2cPbobDbMjr09BbtdKROZWc/edit#gid=1444865654"",""articles_with_PRISMA_reasons!B2:B2113""))&gt;=2,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$A1241=IMPORTRANGE(""https://docs.google.com/spreadsheets/d/1qpEmbGH0JjaJbUdp21-y2cPbobDbMjr09BbtdKROZWc/edit#gid=1444865654"",""articles_with_PRISMA_reasons!B2:B2113""))&lt;2),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$A1241=IMPORTRANGE(""https://docs.google.com/spreadsheets/d/1qpEmbGH0JjaJbUdp21-y2cPbobDbMjr09Bbtd"&amp;"KROZWc/edit#gid=1444865654"",""articles_with_PRISMA_reasons!B2:B2113""))&lt;2,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$A1241=I"&amp;"MPORTRANGE(""https://docs.google.com/spreadsheets/d/1qpEmbGH0JjaJbUdp21-y2cPbobDbMjr09BbtdKROZWc/edit#gid=1444865654"",""articles_with_PRISMA_reasons!B2:B2113""))&gt;=2),
""Exclude""
)"),"Exclude")</f>
        <v>Exclude</v>
      </c>
      <c r="F1241" s="5" t="str">
        <f>IFERROR(__xludf.DUMMYFUNCTION("IFS(
E1241=""Exclude"",""Exclude"",
AND(
COUNTIF(
IMPORTRANGE(""https://docs.google.com/spreadsheets/d/1kGrh75X1cNR1D7_FcY9zMnHP8iPO4M5RCRjy6nZY0TY/edit#gid=0"",""Table 1: Study characteristics!B4:B171""),A1241)&gt;0,
COUNTIF(Studies!$A$2:$A$85,FILTER(IMPORT"&amp;"RANGE(""https://docs.google.com/spreadsheets/d/1kGrh75X1cNR1D7_FcY9zMnHP8iPO4M5RCRjy6nZY0TY/edit#gid=0"",""Table 1: Study characteristics!A4:A171""), $A1241=IMPORTRANGE(""https://docs.google.com/spreadsheets/d/1kGrh75X1cNR1D7_FcY9zMnHP8iPO4M5RCRjy6nZY0TY/"&amp;"edit#gid=0"",""Table 1: Study characteristics!B4:B171"")))&gt;0
),
""Include""
)"),"Exclude")</f>
        <v>Exclude</v>
      </c>
      <c r="G1241" s="5" t="str">
        <f>IFERROR(__xludf.DUMMYFUNCTION("IFS(
D1241=""Exclude"",
FILTER(IMPORTRANGE(""https://docs.google.com/spreadsheets/d/1BJSV3WBYJGRhQ6zExamkszQ5VutGIcaQqmbD9ZTVXMQ/edit#gid=1251630045"",""articles_with_PRISMA_reasons!AB2:AB2113""), $A1241=IMPORTRANGE(""https://docs.google.com/spreadsheets/"&amp;"d/1BJSV3WBYJGRhQ6zExamkszQ5VutGIcaQqmbD9ZTVXMQ/edit#gid=1251630045"",""articles_with_PRISMA_reasons!B2:B2113"")),
E1241=""Exclude"",
FILTER(IMPORTRANGE(""https://docs.google.com/spreadsheets/d/1qpEmbGH0JjaJbUdp21-y2cPbobDbMjr09BbtdKROZWc/edit#gid=14448656"&amp;"54"",""articles_with_PRISMA_reasons!Z2:Z2113""), $A1241=IMPORTRANGE(""https://docs.google.com/spreadsheets/d/1qpEmbGH0JjaJbUdp21-y2cPbobDbMjr09BbtdKROZWc/edit#gid=1444865654"",""articles_with_PRISMA_reasons!B2:B2113"")),F1241
=""Include"",FILTER(IMPORTRAN"&amp;"GE(""https://docs.google.com/spreadsheets/d/1kGrh75X1cNR1D7_FcY9zMnHP8iPO4M5RCRjy6nZY0TY/edit#gid=0"",""Table 1: Study characteristics!A4:A171""), $A1241=IMPORTRANGE(""https://docs.google.com/spreadsheets/d/1kGrh75X1cNR1D7_FcY9zMnHP8iPO4M5RCRjy6nZY0TY/edi"&amp;"t#gid=0"",""Table 1: Study characteristics!B4:B171""))
)"),"Ante-natal intervention")</f>
        <v>Ante-natal intervention</v>
      </c>
    </row>
    <row r="1242">
      <c r="A1242" s="4" t="str">
        <f>IFERROR(__xludf.DUMMYFUNCTION("""COMPUTED_VALUE"""),"Myelomeningocele defect reconstruction with keystone flaps: Vascular rationale for the design and operative technique")</f>
        <v>Myelomeningocele defect reconstruction with keystone flaps: Vascular rationale for the design and operative technique</v>
      </c>
      <c r="B1242" s="5" t="str">
        <f>IFERROR(__xludf.DUMMYFUNCTION("LEFT(FILTER(IMPORTRANGE(""https://docs.google.com/spreadsheets/d/1BJSV3WBYJGRhQ6zExamkszQ5VutGIcaQqmbD9ZTVXMQ/edit#gid=1251630045"",""articles_with_PRISMA_reasons!K2:K2113""), $A1242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$A1242=IMPORTRANGE(""https://docs.google.com/spreadsheets/d/1BJSV3WBYJGRhQ6zExamkszQ5VutGIcaQqmbD9ZTVXMQ/edit#gid=1251630045"",""articles_with_PRISMA_reasons!B2:B2113"")))-1)"),"Kushida-Contreras")</f>
        <v>Kushida-Contreras</v>
      </c>
      <c r="C1242" s="6">
        <f>IFERROR(__xludf.DUMMYFUNCTION("FILTER(IMPORTRANGE(""https://docs.google.com/spreadsheets/d/1BJSV3WBYJGRhQ6zExamkszQ5VutGIcaQqmbD9ZTVXMQ/edit#gid=1251630045"",""articles_with_PRISMA_reasons!C2:C2113""), $A1242=IMPORTRANGE(""https://docs.google.com/spreadsheets/d/1BJSV3WBYJGRhQ6zExamkszQ"&amp;"5VutGIcaQqmbD9ZTVXMQ/edit#gid=1251630045"",""articles_with_PRISMA_reasons!B2:B2113""))"),2021.0)</f>
        <v>2021</v>
      </c>
      <c r="D1242" s="5" t="str">
        <f>IFERROR(__xludf.DUMMYFUNCTION("IFS(AND(
FILTER(IMPORTRANGE(""https://docs.google.com/spreadsheets/d/1BJSV3WBYJGRhQ6zExamkszQ5VutGIcaQqmbD9ZTVXMQ/edit#gid=1251630045"",""articles_with_PRISMA_reasons!Y2:Y2113""), $A1242=IMPORTRANGE(""https://docs.google.com/spreadsheets/d/1BJSV3WBYJGRhQ6"&amp;"zExamkszQ5VutGIcaQqmbD9ZTVXMQ/edit#gid=1251630045"",""articles_with_PRISMA_reasons!B2:B2113""))&gt;=2,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$A1242=IMPORTRANGE(""https://docs.google.com/spreadsheets/d/1BJSV3WBYJGRhQ6zExamkszQ5VutGIcaQqmbD9ZTVXMQ/edit#gid=1251630045"",""articles_with_PRISMA_reasons!B2:B2113""))&lt;2),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$A1242=IMPORTRANGE(""https://docs.google.com/spreadsheets/d/1BJSV3WBYJGRhQ6zExamkszQ5VutGIcaQqmbD9ZTVXMQ/edit#gid=1251630045"",""a"&amp;"rticles_with_PRISMA_reasons!B2:B2113""))&lt;2,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$A1242=IMPORTRANGE(""https://docs.google"&amp;".com/spreadsheets/d/1BJSV3WBYJGRhQ6zExamkszQ5VutGIcaQqmbD9ZTVXMQ/edit#gid=1251630045"",""articles_with_PRISMA_reasons!B2:B2113""))&gt;=2),
""Exclude""
)"),"Exclude")</f>
        <v>Exclude</v>
      </c>
      <c r="E1242" s="5" t="str">
        <f>IFERROR(__xludf.DUMMYFUNCTION("IFS(
D1242=""Exclude"",""Exclude"",
AND(
FILTER(IMPORTRANGE(""https://docs.google.com/spreadsheets/d/1qpEmbGH0JjaJbUdp21-y2cPbobDbMjr09BbtdKROZWc/edit#gid=1444865654"",""articles_with_PRISMA_reasons!W2:W2113""), $A1242=IMPORTRANGE(""https://docs.google.co"&amp;"m/spreadsheets/d/1qpEmbGH0JjaJbUdp21-y2cPbobDbMjr09BbtdKROZWc/edit#gid=1444865654"",""articles_with_PRISMA_reasons!B2:B2113""))&gt;=2,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$A1242=IMPORTRANGE(""https://docs.google.com/spreadsheets/d/1qpEmbGH0JjaJbUdp21-y2cPbobDbMjr09BbtdKROZWc/edit#gid=1444865654"",""articles_with_PRISMA_reasons!B2:B2113""))&lt;2),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$A1242=IMPORTRANGE(""https://docs.google.com/spreadsheets/d/1qpEmbGH0JjaJbUdp21-y2cPbobDbMjr09Bbtd"&amp;"KROZWc/edit#gid=1444865654"",""articles_with_PRISMA_reasons!B2:B2113""))&lt;2,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$A1242=I"&amp;"MPORTRANGE(""https://docs.google.com/spreadsheets/d/1qpEmbGH0JjaJbUdp21-y2cPbobDbMjr09BbtdKROZWc/edit#gid=1444865654"",""articles_with_PRISMA_reasons!B2:B2113""))&gt;=2),
""Exclude""
)"),"Exclude")</f>
        <v>Exclude</v>
      </c>
      <c r="F1242" s="5" t="str">
        <f>IFERROR(__xludf.DUMMYFUNCTION("IFS(
E1242=""Exclude"",""Exclude"",
AND(
COUNTIF(
IMPORTRANGE(""https://docs.google.com/spreadsheets/d/1kGrh75X1cNR1D7_FcY9zMnHP8iPO4M5RCRjy6nZY0TY/edit#gid=0"",""Table 1: Study characteristics!B4:B171""),A1242)&gt;0,
COUNTIF(Studies!$A$2:$A$85,FILTER(IMPORT"&amp;"RANGE(""https://docs.google.com/spreadsheets/d/1kGrh75X1cNR1D7_FcY9zMnHP8iPO4M5RCRjy6nZY0TY/edit#gid=0"",""Table 1: Study characteristics!A4:A171""), $A1242=IMPORTRANGE(""https://docs.google.com/spreadsheets/d/1kGrh75X1cNR1D7_FcY9zMnHP8iPO4M5RCRjy6nZY0TY/"&amp;"edit#gid=0"",""Table 1: Study characteristics!B4:B171"")))&gt;0
),
""Include""
)"),"Exclude")</f>
        <v>Exclude</v>
      </c>
      <c r="G1242" s="5" t="str">
        <f>IFERROR(__xludf.DUMMYFUNCTION("IFS(
D1242=""Exclude"",
FILTER(IMPORTRANGE(""https://docs.google.com/spreadsheets/d/1BJSV3WBYJGRhQ6zExamkszQ5VutGIcaQqmbD9ZTVXMQ/edit#gid=1251630045"",""articles_with_PRISMA_reasons!AB2:AB2113""), $A1242=IMPORTRANGE(""https://docs.google.com/spreadsheets/"&amp;"d/1BJSV3WBYJGRhQ6zExamkszQ5VutGIcaQqmbD9ZTVXMQ/edit#gid=1251630045"",""articles_with_PRISMA_reasons!B2:B2113"")),
E1242=""Exclude"",
FILTER(IMPORTRANGE(""https://docs.google.com/spreadsheets/d/1qpEmbGH0JjaJbUdp21-y2cPbobDbMjr09BbtdKROZWc/edit#gid=14448656"&amp;"54"",""articles_with_PRISMA_reasons!Z2:Z2113""), $A1242=IMPORTRANGE(""https://docs.google.com/spreadsheets/d/1qpEmbGH0JjaJbUdp21-y2cPbobDbMjr09BbtdKROZWc/edit#gid=1444865654"",""articles_with_PRISMA_reasons!B2:B2113"")),F1242
=""Include"",FILTER(IMPORTRAN"&amp;"GE(""https://docs.google.com/spreadsheets/d/1kGrh75X1cNR1D7_FcY9zMnHP8iPO4M5RCRjy6nZY0TY/edit#gid=0"",""Table 1: Study characteristics!A4:A171""), $A1242=IMPORTRANGE(""https://docs.google.com/spreadsheets/d/1kGrh75X1cNR1D7_FcY9zMnHP8iPO4M5RCRjy6nZY0TY/edi"&amp;"t#gid=0"",""Table 1: Study characteristics!B4:B171""))
)"),"wrong study design")</f>
        <v>wrong study design</v>
      </c>
    </row>
    <row r="1243">
      <c r="A1243" s="4" t="str">
        <f>IFERROR(__xludf.DUMMYFUNCTION("""COMPUTED_VALUE"""),"MYELOMENINGOCELE IN ONE IDENTICAL TWIN")</f>
        <v>MYELOMENINGOCELE IN ONE IDENTICAL TWIN</v>
      </c>
      <c r="B1243" s="5" t="str">
        <f>IFERROR(__xludf.DUMMYFUNCTION("LEFT(FILTER(IMPORTRANGE(""https://docs.google.com/spreadsheets/d/1BJSV3WBYJGRhQ6zExamkszQ5VutGIcaQqmbD9ZTVXMQ/edit#gid=1251630045"",""articles_with_PRISMA_reasons!K2:K2113""), $A1243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$A1243=IMPORTRANGE(""https://docs.google.com/spreadsheets/d/1BJSV3WBYJGRhQ6zExamkszQ5VutGIcaQqmbD9ZTVXMQ/edit#gid=1251630045"",""articles_with_PRISMA_reasons!B2:B2113"")))-1)"),"Gross")</f>
        <v>Gross</v>
      </c>
      <c r="C1243" s="6">
        <f>IFERROR(__xludf.DUMMYFUNCTION("FILTER(IMPORTRANGE(""https://docs.google.com/spreadsheets/d/1BJSV3WBYJGRhQ6zExamkszQ5VutGIcaQqmbD9ZTVXMQ/edit#gid=1251630045"",""articles_with_PRISMA_reasons!C2:C2113""), $A1243=IMPORTRANGE(""https://docs.google.com/spreadsheets/d/1BJSV3WBYJGRhQ6zExamkszQ"&amp;"5VutGIcaQqmbD9ZTVXMQ/edit#gid=1251630045"",""articles_with_PRISMA_reasons!B2:B2113""))"),1963.0)</f>
        <v>1963</v>
      </c>
      <c r="D1243" s="5" t="str">
        <f>IFERROR(__xludf.DUMMYFUNCTION("IFS(AND(
FILTER(IMPORTRANGE(""https://docs.google.com/spreadsheets/d/1BJSV3WBYJGRhQ6zExamkszQ5VutGIcaQqmbD9ZTVXMQ/edit#gid=1251630045"",""articles_with_PRISMA_reasons!Y2:Y2113""), $A1243=IMPORTRANGE(""https://docs.google.com/spreadsheets/d/1BJSV3WBYJGRhQ6"&amp;"zExamkszQ5VutGIcaQqmbD9ZTVXMQ/edit#gid=1251630045"",""articles_with_PRISMA_reasons!B2:B2113""))&gt;=2,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$A1243=IMPORTRANGE(""https://docs.google.com/spreadsheets/d/1BJSV3WBYJGRhQ6zExamkszQ5VutGIcaQqmbD9ZTVXMQ/edit#gid=1251630045"",""articles_with_PRISMA_reasons!B2:B2113""))&lt;2),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$A1243=IMPORTRANGE(""https://docs.google.com/spreadsheets/d/1BJSV3WBYJGRhQ6zExamkszQ5VutGIcaQqmbD9ZTVXMQ/edit#gid=1251630045"",""a"&amp;"rticles_with_PRISMA_reasons!B2:B2113""))&lt;2,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$A1243=IMPORTRANGE(""https://docs.google"&amp;".com/spreadsheets/d/1BJSV3WBYJGRhQ6zExamkszQ5VutGIcaQqmbD9ZTVXMQ/edit#gid=1251630045"",""articles_with_PRISMA_reasons!B2:B2113""))&gt;=2),
""Exclude""
)"),"Exclude")</f>
        <v>Exclude</v>
      </c>
      <c r="E1243" s="5" t="str">
        <f>IFERROR(__xludf.DUMMYFUNCTION("IFS(
D1243=""Exclude"",""Exclude"",
AND(
FILTER(IMPORTRANGE(""https://docs.google.com/spreadsheets/d/1qpEmbGH0JjaJbUdp21-y2cPbobDbMjr09BbtdKROZWc/edit#gid=1444865654"",""articles_with_PRISMA_reasons!W2:W2113""), $A1243=IMPORTRANGE(""https://docs.google.co"&amp;"m/spreadsheets/d/1qpEmbGH0JjaJbUdp21-y2cPbobDbMjr09BbtdKROZWc/edit#gid=1444865654"",""articles_with_PRISMA_reasons!B2:B2113""))&gt;=2,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$A1243=IMPORTRANGE(""https://docs.google.com/spreadsheets/d/1qpEmbGH0JjaJbUdp21-y2cPbobDbMjr09BbtdKROZWc/edit#gid=1444865654"",""articles_with_PRISMA_reasons!B2:B2113""))&lt;2),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$A1243=IMPORTRANGE(""https://docs.google.com/spreadsheets/d/1qpEmbGH0JjaJbUdp21-y2cPbobDbMjr09Bbtd"&amp;"KROZWc/edit#gid=1444865654"",""articles_with_PRISMA_reasons!B2:B2113""))&lt;2,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$A1243=I"&amp;"MPORTRANGE(""https://docs.google.com/spreadsheets/d/1qpEmbGH0JjaJbUdp21-y2cPbobDbMjr09BbtdKROZWc/edit#gid=1444865654"",""articles_with_PRISMA_reasons!B2:B2113""))&gt;=2),
""Exclude""
)"),"Exclude")</f>
        <v>Exclude</v>
      </c>
      <c r="F1243" s="5" t="str">
        <f>IFERROR(__xludf.DUMMYFUNCTION("IFS(
E1243=""Exclude"",""Exclude"",
AND(
COUNTIF(
IMPORTRANGE(""https://docs.google.com/spreadsheets/d/1kGrh75X1cNR1D7_FcY9zMnHP8iPO4M5RCRjy6nZY0TY/edit#gid=0"",""Table 1: Study characteristics!B4:B171""),A1243)&gt;0,
COUNTIF(Studies!$A$2:$A$85,FILTER(IMPORT"&amp;"RANGE(""https://docs.google.com/spreadsheets/d/1kGrh75X1cNR1D7_FcY9zMnHP8iPO4M5RCRjy6nZY0TY/edit#gid=0"",""Table 1: Study characteristics!A4:A171""), $A1243=IMPORTRANGE(""https://docs.google.com/spreadsheets/d/1kGrh75X1cNR1D7_FcY9zMnHP8iPO4M5RCRjy6nZY0TY/"&amp;"edit#gid=0"",""Table 1: Study characteristics!B4:B171"")))&gt;0
),
""Include""
)"),"Exclude")</f>
        <v>Exclude</v>
      </c>
      <c r="G1243" s="5" t="str">
        <f>IFERROR(__xludf.DUMMYFUNCTION("IFS(
D1243=""Exclude"",
FILTER(IMPORTRANGE(""https://docs.google.com/spreadsheets/d/1BJSV3WBYJGRhQ6zExamkszQ5VutGIcaQqmbD9ZTVXMQ/edit#gid=1251630045"",""articles_with_PRISMA_reasons!AB2:AB2113""), $A1243=IMPORTRANGE(""https://docs.google.com/spreadsheets/"&amp;"d/1BJSV3WBYJGRhQ6zExamkszQ5VutGIcaQqmbD9ZTVXMQ/edit#gid=1251630045"",""articles_with_PRISMA_reasons!B2:B2113"")),
E1243=""Exclude"",
FILTER(IMPORTRANGE(""https://docs.google.com/spreadsheets/d/1qpEmbGH0JjaJbUdp21-y2cPbobDbMjr09BbtdKROZWc/edit#gid=14448656"&amp;"54"",""articles_with_PRISMA_reasons!Z2:Z2113""), $A1243=IMPORTRANGE(""https://docs.google.com/spreadsheets/d/1qpEmbGH0JjaJbUdp21-y2cPbobDbMjr09BbtdKROZWc/edit#gid=1444865654"",""articles_with_PRISMA_reasons!B2:B2113"")),F1243
=""Include"",FILTER(IMPORTRAN"&amp;"GE(""https://docs.google.com/spreadsheets/d/1kGrh75X1cNR1D7_FcY9zMnHP8iPO4M5RCRjy6nZY0TY/edit#gid=0"",""Table 1: Study characteristics!A4:A171""), $A1243=IMPORTRANGE(""https://docs.google.com/spreadsheets/d/1kGrh75X1cNR1D7_FcY9zMnHP8iPO4M5RCRjy6nZY0TY/edi"&amp;"t#gid=0"",""Table 1: Study characteristics!B4:B171""))
)"),"wrong study design")</f>
        <v>wrong study design</v>
      </c>
    </row>
    <row r="1244">
      <c r="A1244" s="4" t="str">
        <f>IFERROR(__xludf.DUMMYFUNCTION("""COMPUTED_VALUE"""),"Myelomeningocele in Slovenia: Results of a 10-year follow-up")</f>
        <v>Myelomeningocele in Slovenia: Results of a 10-year follow-up</v>
      </c>
      <c r="B1244" s="5" t="str">
        <f>IFERROR(__xludf.DUMMYFUNCTION("LEFT(FILTER(IMPORTRANGE(""https://docs.google.com/spreadsheets/d/1BJSV3WBYJGRhQ6zExamkszQ5VutGIcaQqmbD9ZTVXMQ/edit#gid=1251630045"",""articles_with_PRISMA_reasons!K2:K2113""), $A1244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$A1244=IMPORTRANGE(""https://docs.google.com/spreadsheets/d/1BJSV3WBYJGRhQ6zExamkszQ5VutGIcaQqmbD9ZTVXMQ/edit#gid=1251630045"",""articles_with_PRISMA_reasons!B2:B2113"")))-1)"),"Spazzapan")</f>
        <v>Spazzapan</v>
      </c>
      <c r="C1244" s="6">
        <f>IFERROR(__xludf.DUMMYFUNCTION("FILTER(IMPORTRANGE(""https://docs.google.com/spreadsheets/d/1BJSV3WBYJGRhQ6zExamkszQ5VutGIcaQqmbD9ZTVXMQ/edit#gid=1251630045"",""articles_with_PRISMA_reasons!C2:C2113""), $A1244=IMPORTRANGE(""https://docs.google.com/spreadsheets/d/1BJSV3WBYJGRhQ6zExamkszQ"&amp;"5VutGIcaQqmbD9ZTVXMQ/edit#gid=1251630045"",""articles_with_PRISMA_reasons!B2:B2113""))"),2021.0)</f>
        <v>2021</v>
      </c>
      <c r="D1244" s="5" t="str">
        <f>IFERROR(__xludf.DUMMYFUNCTION("IFS(AND(
FILTER(IMPORTRANGE(""https://docs.google.com/spreadsheets/d/1BJSV3WBYJGRhQ6zExamkszQ5VutGIcaQqmbD9ZTVXMQ/edit#gid=1251630045"",""articles_with_PRISMA_reasons!Y2:Y2113""), $A1244=IMPORTRANGE(""https://docs.google.com/spreadsheets/d/1BJSV3WBYJGRhQ6"&amp;"zExamkszQ5VutGIcaQqmbD9ZTVXMQ/edit#gid=1251630045"",""articles_with_PRISMA_reasons!B2:B2113""))&gt;=2,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$A1244=IMPORTRANGE(""https://docs.google.com/spreadsheets/d/1BJSV3WBYJGRhQ6zExamkszQ5VutGIcaQqmbD9ZTVXMQ/edit#gid=1251630045"",""articles_with_PRISMA_reasons!B2:B2113""))&lt;2),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$A1244=IMPORTRANGE(""https://docs.google.com/spreadsheets/d/1BJSV3WBYJGRhQ6zExamkszQ5VutGIcaQqmbD9ZTVXMQ/edit#gid=1251630045"",""a"&amp;"rticles_with_PRISMA_reasons!B2:B2113""))&lt;2,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$A1244=IMPORTRANGE(""https://docs.google"&amp;".com/spreadsheets/d/1BJSV3WBYJGRhQ6zExamkszQ5VutGIcaQqmbD9ZTVXMQ/edit#gid=1251630045"",""articles_with_PRISMA_reasons!B2:B2113""))&gt;=2),
""Exclude""
)"),"Include")</f>
        <v>Include</v>
      </c>
      <c r="E1244" s="5" t="str">
        <f>IFERROR(__xludf.DUMMYFUNCTION("IFS(
D1244=""Exclude"",""Exclude"",
AND(
FILTER(IMPORTRANGE(""https://docs.google.com/spreadsheets/d/1qpEmbGH0JjaJbUdp21-y2cPbobDbMjr09BbtdKROZWc/edit#gid=1444865654"",""articles_with_PRISMA_reasons!W2:W2113""), $A1244=IMPORTRANGE(""https://docs.google.co"&amp;"m/spreadsheets/d/1qpEmbGH0JjaJbUdp21-y2cPbobDbMjr09BbtdKROZWc/edit#gid=1444865654"",""articles_with_PRISMA_reasons!B2:B2113""))&gt;=2,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$A1244=IMPORTRANGE(""https://docs.google.com/spreadsheets/d/1qpEmbGH0JjaJbUdp21-y2cPbobDbMjr09BbtdKROZWc/edit#gid=1444865654"",""articles_with_PRISMA_reasons!B2:B2113""))&lt;2),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$A1244=IMPORTRANGE(""https://docs.google.com/spreadsheets/d/1qpEmbGH0JjaJbUdp21-y2cPbobDbMjr09Bbtd"&amp;"KROZWc/edit#gid=1444865654"",""articles_with_PRISMA_reasons!B2:B2113""))&lt;2,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$A1244=I"&amp;"MPORTRANGE(""https://docs.google.com/spreadsheets/d/1qpEmbGH0JjaJbUdp21-y2cPbobDbMjr09BbtdKROZWc/edit#gid=1444865654"",""articles_with_PRISMA_reasons!B2:B2113""))&gt;=2),
""Exclude""
)"),"Exclude")</f>
        <v>Exclude</v>
      </c>
      <c r="F1244" s="5" t="str">
        <f>IFERROR(__xludf.DUMMYFUNCTION("IFS(
E1244=""Exclude"",""Exclude"",
AND(
COUNTIF(
IMPORTRANGE(""https://docs.google.com/spreadsheets/d/1kGrh75X1cNR1D7_FcY9zMnHP8iPO4M5RCRjy6nZY0TY/edit#gid=0"",""Table 1: Study characteristics!B4:B171""),A1244)&gt;0,
COUNTIF(Studies!$A$2:$A$85,FILTER(IMPORT"&amp;"RANGE(""https://docs.google.com/spreadsheets/d/1kGrh75X1cNR1D7_FcY9zMnHP8iPO4M5RCRjy6nZY0TY/edit#gid=0"",""Table 1: Study characteristics!A4:A171""), $A1244=IMPORTRANGE(""https://docs.google.com/spreadsheets/d/1kGrh75X1cNR1D7_FcY9zMnHP8iPO4M5RCRjy6nZY0TY/"&amp;"edit#gid=0"",""Table 1: Study characteristics!B4:B171"")))&gt;0
),
""Include""
)"),"Exclude")</f>
        <v>Exclude</v>
      </c>
      <c r="G1244" s="5" t="str">
        <f>IFERROR(__xludf.DUMMYFUNCTION("IFS(
D1244=""Exclude"",
FILTER(IMPORTRANGE(""https://docs.google.com/spreadsheets/d/1BJSV3WBYJGRhQ6zExamkszQ5VutGIcaQqmbD9ZTVXMQ/edit#gid=1251630045"",""articles_with_PRISMA_reasons!AB2:AB2113""), $A1244=IMPORTRANGE(""https://docs.google.com/spreadsheets/"&amp;"d/1BJSV3WBYJGRhQ6zExamkszQ5VutGIcaQqmbD9ZTVXMQ/edit#gid=1251630045"",""articles_with_PRISMA_reasons!B2:B2113"")),
E1244=""Exclude"",
FILTER(IMPORTRANGE(""https://docs.google.com/spreadsheets/d/1qpEmbGH0JjaJbUdp21-y2cPbobDbMjr09BbtdKROZWc/edit#gid=14448656"&amp;"54"",""articles_with_PRISMA_reasons!Z2:Z2113""), $A1244=IMPORTRANGE(""https://docs.google.com/spreadsheets/d/1qpEmbGH0JjaJbUdp21-y2cPbobDbMjr09BbtdKROZWc/edit#gid=1444865654"",""articles_with_PRISMA_reasons!B2:B2113"")),F1244
=""Include"",FILTER(IMPORTRAN"&amp;"GE(""https://docs.google.com/spreadsheets/d/1kGrh75X1cNR1D7_FcY9zMnHP8iPO4M5RCRjy6nZY0TY/edit#gid=0"",""Table 1: Study characteristics!A4:A171""), $A1244=IMPORTRANGE(""https://docs.google.com/spreadsheets/d/1kGrh75X1cNR1D7_FcY9zMnHP8iPO4M5RCRjy6nZY0TY/edi"&amp;"t#gid=0"",""Table 1: Study characteristics!B4:B171""))
)"),"text not accessible")</f>
        <v>text not accessible</v>
      </c>
    </row>
    <row r="1245">
      <c r="A1245" s="4" t="str">
        <f>IFERROR(__xludf.DUMMYFUNCTION("""COMPUTED_VALUE"""),"Myelomeningocele newborn management: time for parental decision")</f>
        <v>Myelomeningocele newborn management: time for parental decision</v>
      </c>
      <c r="B1245" s="5" t="str">
        <f>IFERROR(__xludf.DUMMYFUNCTION("LEFT(FILTER(IMPORTRANGE(""https://docs.google.com/spreadsheets/d/1BJSV3WBYJGRhQ6zExamkszQ5VutGIcaQqmbD9ZTVXMQ/edit#gid=1251630045"",""articles_with_PRISMA_reasons!K2:K2113""), $A1245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$A1245=IMPORTRANGE(""https://docs.google.com/spreadsheets/d/1BJSV3WBYJGRhQ6zExamkszQ5VutGIcaQqmbD9ZTVXMQ/edit#gid=1251630045"",""articles_with_PRISMA_reasons!B2:B2113"")))-1)"),"Charney")</f>
        <v>Charney</v>
      </c>
      <c r="C1245" s="6">
        <f>IFERROR(__xludf.DUMMYFUNCTION("FILTER(IMPORTRANGE(""https://docs.google.com/spreadsheets/d/1BJSV3WBYJGRhQ6zExamkszQ5VutGIcaQqmbD9ZTVXMQ/edit#gid=1251630045"",""articles_with_PRISMA_reasons!C2:C2113""), $A1245=IMPORTRANGE(""https://docs.google.com/spreadsheets/d/1BJSV3WBYJGRhQ6zExamkszQ"&amp;"5VutGIcaQqmbD9ZTVXMQ/edit#gid=1251630045"",""articles_with_PRISMA_reasons!B2:B2113""))"),1983.0)</f>
        <v>1983</v>
      </c>
      <c r="D1245" s="5" t="str">
        <f>IFERROR(__xludf.DUMMYFUNCTION("IFS(AND(
FILTER(IMPORTRANGE(""https://docs.google.com/spreadsheets/d/1BJSV3WBYJGRhQ6zExamkszQ5VutGIcaQqmbD9ZTVXMQ/edit#gid=1251630045"",""articles_with_PRISMA_reasons!Y2:Y2113""), $A1245=IMPORTRANGE(""https://docs.google.com/spreadsheets/d/1BJSV3WBYJGRhQ6"&amp;"zExamkszQ5VutGIcaQqmbD9ZTVXMQ/edit#gid=1251630045"",""articles_with_PRISMA_reasons!B2:B2113""))&gt;=2,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$A1245=IMPORTRANGE(""https://docs.google.com/spreadsheets/d/1BJSV3WBYJGRhQ6zExamkszQ5VutGIcaQqmbD9ZTVXMQ/edit#gid=1251630045"",""articles_with_PRISMA_reasons!B2:B2113""))&lt;2),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$A1245=IMPORTRANGE(""https://docs.google.com/spreadsheets/d/1BJSV3WBYJGRhQ6zExamkszQ5VutGIcaQqmbD9ZTVXMQ/edit#gid=1251630045"",""a"&amp;"rticles_with_PRISMA_reasons!B2:B2113""))&lt;2,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$A1245=IMPORTRANGE(""https://docs.google"&amp;".com/spreadsheets/d/1BJSV3WBYJGRhQ6zExamkszQ5VutGIcaQqmbD9ZTVXMQ/edit#gid=1251630045"",""articles_with_PRISMA_reasons!B2:B2113""))&gt;=2),
""Exclude""
)"),"Exclude")</f>
        <v>Exclude</v>
      </c>
      <c r="E1245" s="5" t="str">
        <f>IFERROR(__xludf.DUMMYFUNCTION("IFS(
D1245=""Exclude"",""Exclude"",
AND(
FILTER(IMPORTRANGE(""https://docs.google.com/spreadsheets/d/1qpEmbGH0JjaJbUdp21-y2cPbobDbMjr09BbtdKROZWc/edit#gid=1444865654"",""articles_with_PRISMA_reasons!W2:W2113""), $A1245=IMPORTRANGE(""https://docs.google.co"&amp;"m/spreadsheets/d/1qpEmbGH0JjaJbUdp21-y2cPbobDbMjr09BbtdKROZWc/edit#gid=1444865654"",""articles_with_PRISMA_reasons!B2:B2113""))&gt;=2,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$A1245=IMPORTRANGE(""https://docs.google.com/spreadsheets/d/1qpEmbGH0JjaJbUdp21-y2cPbobDbMjr09BbtdKROZWc/edit#gid=1444865654"",""articles_with_PRISMA_reasons!B2:B2113""))&lt;2),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$A1245=IMPORTRANGE(""https://docs.google.com/spreadsheets/d/1qpEmbGH0JjaJbUdp21-y2cPbobDbMjr09Bbtd"&amp;"KROZWc/edit#gid=1444865654"",""articles_with_PRISMA_reasons!B2:B2113""))&lt;2,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$A1245=I"&amp;"MPORTRANGE(""https://docs.google.com/spreadsheets/d/1qpEmbGH0JjaJbUdp21-y2cPbobDbMjr09BbtdKROZWc/edit#gid=1444865654"",""articles_with_PRISMA_reasons!B2:B2113""))&gt;=2),
""Exclude""
)"),"Exclude")</f>
        <v>Exclude</v>
      </c>
      <c r="F1245" s="5" t="str">
        <f>IFERROR(__xludf.DUMMYFUNCTION("IFS(
E1245=""Exclude"",""Exclude"",
AND(
COUNTIF(
IMPORTRANGE(""https://docs.google.com/spreadsheets/d/1kGrh75X1cNR1D7_FcY9zMnHP8iPO4M5RCRjy6nZY0TY/edit#gid=0"",""Table 1: Study characteristics!B4:B171""),A1245)&gt;0,
COUNTIF(Studies!$A$2:$A$85,FILTER(IMPORT"&amp;"RANGE(""https://docs.google.com/spreadsheets/d/1kGrh75X1cNR1D7_FcY9zMnHP8iPO4M5RCRjy6nZY0TY/edit#gid=0"",""Table 1: Study characteristics!A4:A171""), $A1245=IMPORTRANGE(""https://docs.google.com/spreadsheets/d/1kGrh75X1cNR1D7_FcY9zMnHP8iPO4M5RCRjy6nZY0TY/"&amp;"edit#gid=0"",""Table 1: Study characteristics!B4:B171"")))&gt;0
),
""Include""
)"),"Exclude")</f>
        <v>Exclude</v>
      </c>
      <c r="G1245" s="5" t="str">
        <f>IFERROR(__xludf.DUMMYFUNCTION("IFS(
D1245=""Exclude"",
FILTER(IMPORTRANGE(""https://docs.google.com/spreadsheets/d/1BJSV3WBYJGRhQ6zExamkszQ5VutGIcaQqmbD9ZTVXMQ/edit#gid=1251630045"",""articles_with_PRISMA_reasons!AB2:AB2113""), $A1245=IMPORTRANGE(""https://docs.google.com/spreadsheets/"&amp;"d/1BJSV3WBYJGRhQ6zExamkszQ5VutGIcaQqmbD9ZTVXMQ/edit#gid=1251630045"",""articles_with_PRISMA_reasons!B2:B2113"")),
E1245=""Exclude"",
FILTER(IMPORTRANGE(""https://docs.google.com/spreadsheets/d/1qpEmbGH0JjaJbUdp21-y2cPbobDbMjr09BbtdKROZWc/edit#gid=14448656"&amp;"54"",""articles_with_PRISMA_reasons!Z2:Z2113""), $A1245=IMPORTRANGE(""https://docs.google.com/spreadsheets/d/1qpEmbGH0JjaJbUdp21-y2cPbobDbMjr09BbtdKROZWc/edit#gid=1444865654"",""articles_with_PRISMA_reasons!B2:B2113"")),F1245
=""Include"",FILTER(IMPORTRAN"&amp;"GE(""https://docs.google.com/spreadsheets/d/1kGrh75X1cNR1D7_FcY9zMnHP8iPO4M5RCRjy6nZY0TY/edit#gid=0"",""Table 1: Study characteristics!A4:A171""), $A1245=IMPORTRANGE(""https://docs.google.com/spreadsheets/d/1kGrh75X1cNR1D7_FcY9zMnHP8iPO4M5RCRjy6nZY0TY/edi"&amp;"t#gid=0"",""Table 1: Study characteristics!B4:B171""))
)"),"wrong population")</f>
        <v>wrong population</v>
      </c>
    </row>
    <row r="1246">
      <c r="A1246" s="4" t="str">
        <f>IFERROR(__xludf.DUMMYFUNCTION("""COMPUTED_VALUE"""),"Myelomeningocele profile in a pediatric hospital")</f>
        <v>Myelomeningocele profile in a pediatric hospital</v>
      </c>
      <c r="B1246" s="5" t="str">
        <f>IFERROR(__xludf.DUMMYFUNCTION("LEFT(FILTER(IMPORTRANGE(""https://docs.google.com/spreadsheets/d/1BJSV3WBYJGRhQ6zExamkszQ5VutGIcaQqmbD9ZTVXMQ/edit#gid=1251630045"",""articles_with_PRISMA_reasons!K2:K2113""), $A1246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$A1246=IMPORTRANGE(""https://docs.google.com/spreadsheets/d/1BJSV3WBYJGRhQ6zExamkszQ5VutGIcaQqmbD9ZTVXMQ/edit#gid=1251630045"",""articles_with_PRISMA_reasons!B2:B2113"")))-1)"),"Neto")</f>
        <v>Neto</v>
      </c>
      <c r="C1246" s="6">
        <f>IFERROR(__xludf.DUMMYFUNCTION("FILTER(IMPORTRANGE(""https://docs.google.com/spreadsheets/d/1BJSV3WBYJGRhQ6zExamkszQ5VutGIcaQqmbD9ZTVXMQ/edit#gid=1251630045"",""articles_with_PRISMA_reasons!C2:C2113""), $A1246=IMPORTRANGE(""https://docs.google.com/spreadsheets/d/1BJSV3WBYJGRhQ6zExamkszQ"&amp;"5VutGIcaQqmbD9ZTVXMQ/edit#gid=1251630045"",""articles_with_PRISMA_reasons!B2:B2113""))"),1999.0)</f>
        <v>1999</v>
      </c>
      <c r="D1246" s="5" t="str">
        <f>IFERROR(__xludf.DUMMYFUNCTION("IFS(AND(
FILTER(IMPORTRANGE(""https://docs.google.com/spreadsheets/d/1BJSV3WBYJGRhQ6zExamkszQ5VutGIcaQqmbD9ZTVXMQ/edit#gid=1251630045"",""articles_with_PRISMA_reasons!Y2:Y2113""), $A1246=IMPORTRANGE(""https://docs.google.com/spreadsheets/d/1BJSV3WBYJGRhQ6"&amp;"zExamkszQ5VutGIcaQqmbD9ZTVXMQ/edit#gid=1251630045"",""articles_with_PRISMA_reasons!B2:B2113""))&gt;=2,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$A1246=IMPORTRANGE(""https://docs.google.com/spreadsheets/d/1BJSV3WBYJGRhQ6zExamkszQ5VutGIcaQqmbD9ZTVXMQ/edit#gid=1251630045"",""articles_with_PRISMA_reasons!B2:B2113""))&lt;2),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$A1246=IMPORTRANGE(""https://docs.google.com/spreadsheets/d/1BJSV3WBYJGRhQ6zExamkszQ5VutGIcaQqmbD9ZTVXMQ/edit#gid=1251630045"",""a"&amp;"rticles_with_PRISMA_reasons!B2:B2113""))&lt;2,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$A1246=IMPORTRANGE(""https://docs.google"&amp;".com/spreadsheets/d/1BJSV3WBYJGRhQ6zExamkszQ5VutGIcaQqmbD9ZTVXMQ/edit#gid=1251630045"",""articles_with_PRISMA_reasons!B2:B2113""))&gt;=2),
""Exclude""
)"),"Exclude")</f>
        <v>Exclude</v>
      </c>
      <c r="E1246" s="5" t="str">
        <f>IFERROR(__xludf.DUMMYFUNCTION("IFS(
D1246=""Exclude"",""Exclude"",
AND(
FILTER(IMPORTRANGE(""https://docs.google.com/spreadsheets/d/1qpEmbGH0JjaJbUdp21-y2cPbobDbMjr09BbtdKROZWc/edit#gid=1444865654"",""articles_with_PRISMA_reasons!W2:W2113""), $A1246=IMPORTRANGE(""https://docs.google.co"&amp;"m/spreadsheets/d/1qpEmbGH0JjaJbUdp21-y2cPbobDbMjr09BbtdKROZWc/edit#gid=1444865654"",""articles_with_PRISMA_reasons!B2:B2113""))&gt;=2,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$A1246=IMPORTRANGE(""https://docs.google.com/spreadsheets/d/1qpEmbGH0JjaJbUdp21-y2cPbobDbMjr09BbtdKROZWc/edit#gid=1444865654"",""articles_with_PRISMA_reasons!B2:B2113""))&lt;2),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$A1246=IMPORTRANGE(""https://docs.google.com/spreadsheets/d/1qpEmbGH0JjaJbUdp21-y2cPbobDbMjr09Bbtd"&amp;"KROZWc/edit#gid=1444865654"",""articles_with_PRISMA_reasons!B2:B2113""))&lt;2,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$A1246=I"&amp;"MPORTRANGE(""https://docs.google.com/spreadsheets/d/1qpEmbGH0JjaJbUdp21-y2cPbobDbMjr09BbtdKROZWc/edit#gid=1444865654"",""articles_with_PRISMA_reasons!B2:B2113""))&gt;=2),
""Exclude""
)"),"Exclude")</f>
        <v>Exclude</v>
      </c>
      <c r="F1246" s="5" t="str">
        <f>IFERROR(__xludf.DUMMYFUNCTION("IFS(
E1246=""Exclude"",""Exclude"",
AND(
COUNTIF(
IMPORTRANGE(""https://docs.google.com/spreadsheets/d/1kGrh75X1cNR1D7_FcY9zMnHP8iPO4M5RCRjy6nZY0TY/edit#gid=0"",""Table 1: Study characteristics!B4:B171""),A1246)&gt;0,
COUNTIF(Studies!$A$2:$A$85,FILTER(IMPORT"&amp;"RANGE(""https://docs.google.com/spreadsheets/d/1kGrh75X1cNR1D7_FcY9zMnHP8iPO4M5RCRjy6nZY0TY/edit#gid=0"",""Table 1: Study characteristics!A4:A171""), $A1246=IMPORTRANGE(""https://docs.google.com/spreadsheets/d/1kGrh75X1cNR1D7_FcY9zMnHP8iPO4M5RCRjy6nZY0TY/"&amp;"edit#gid=0"",""Table 1: Study characteristics!B4:B171"")))&gt;0
),
""Include""
)"),"Exclude")</f>
        <v>Exclude</v>
      </c>
      <c r="G1246" s="5" t="str">
        <f>IFERROR(__xludf.DUMMYFUNCTION("IFS(
D1246=""Exclude"",
FILTER(IMPORTRANGE(""https://docs.google.com/spreadsheets/d/1BJSV3WBYJGRhQ6zExamkszQ5VutGIcaQqmbD9ZTVXMQ/edit#gid=1251630045"",""articles_with_PRISMA_reasons!AB2:AB2113""), $A1246=IMPORTRANGE(""https://docs.google.com/spreadsheets/"&amp;"d/1BJSV3WBYJGRhQ6zExamkszQ5VutGIcaQqmbD9ZTVXMQ/edit#gid=1251630045"",""articles_with_PRISMA_reasons!B2:B2113"")),
E1246=""Exclude"",
FILTER(IMPORTRANGE(""https://docs.google.com/spreadsheets/d/1qpEmbGH0JjaJbUdp21-y2cPbobDbMjr09BbtdKROZWc/edit#gid=14448656"&amp;"54"",""articles_with_PRISMA_reasons!Z2:Z2113""), $A1246=IMPORTRANGE(""https://docs.google.com/spreadsheets/d/1qpEmbGH0JjaJbUdp21-y2cPbobDbMjr09BbtdKROZWc/edit#gid=1444865654"",""articles_with_PRISMA_reasons!B2:B2113"")),F1246
=""Include"",FILTER(IMPORTRAN"&amp;"GE(""https://docs.google.com/spreadsheets/d/1kGrh75X1cNR1D7_FcY9zMnHP8iPO4M5RCRjy6nZY0TY/edit#gid=0"",""Table 1: Study characteristics!A4:A171""), $A1246=IMPORTRANGE(""https://docs.google.com/spreadsheets/d/1kGrh75X1cNR1D7_FcY9zMnHP8iPO4M5RCRjy6nZY0TY/edi"&amp;"t#gid=0"",""Table 1: Study characteristics!B4:B171""))
)"),"wrong study design")</f>
        <v>wrong study design</v>
      </c>
    </row>
    <row r="1247">
      <c r="A1247" s="4" t="str">
        <f>IFERROR(__xludf.DUMMYFUNCTION("""COMPUTED_VALUE"""),"Myelomeningocele Repair Combining a Double Cryopreserved Amniotic Membrane Homograft and the Keystone Flap in a 3-Year-Old Child: A Case Report")</f>
        <v>Myelomeningocele Repair Combining a Double Cryopreserved Amniotic Membrane Homograft and the Keystone Flap in a 3-Year-Old Child: A Case Report</v>
      </c>
      <c r="B1247" s="5" t="str">
        <f>IFERROR(__xludf.DUMMYFUNCTION("LEFT(FILTER(IMPORTRANGE(""https://docs.google.com/spreadsheets/d/1BJSV3WBYJGRhQ6zExamkszQ5VutGIcaQqmbD9ZTVXMQ/edit#gid=1251630045"",""articles_with_PRISMA_reasons!K2:K2113""), $A1247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$A1247=IMPORTRANGE(""https://docs.google.com/spreadsheets/d/1BJSV3WBYJGRhQ6zExamkszQ5VutGIcaQqmbD9ZTVXMQ/edit#gid=1251630045"",""articles_with_PRISMA_reasons!B2:B2113"")))-1)"),"Pignatti")</f>
        <v>Pignatti</v>
      </c>
      <c r="C1247" s="6">
        <f>IFERROR(__xludf.DUMMYFUNCTION("FILTER(IMPORTRANGE(""https://docs.google.com/spreadsheets/d/1BJSV3WBYJGRhQ6zExamkszQ5VutGIcaQqmbD9ZTVXMQ/edit#gid=1251630045"",""articles_with_PRISMA_reasons!C2:C2113""), $A1247=IMPORTRANGE(""https://docs.google.com/spreadsheets/d/1BJSV3WBYJGRhQ6zExamkszQ"&amp;"5VutGIcaQqmbD9ZTVXMQ/edit#gid=1251630045"",""articles_with_PRISMA_reasons!B2:B2113""))"),2020.0)</f>
        <v>2020</v>
      </c>
      <c r="D1247" s="5" t="str">
        <f>IFERROR(__xludf.DUMMYFUNCTION("IFS(AND(
FILTER(IMPORTRANGE(""https://docs.google.com/spreadsheets/d/1BJSV3WBYJGRhQ6zExamkszQ5VutGIcaQqmbD9ZTVXMQ/edit#gid=1251630045"",""articles_with_PRISMA_reasons!Y2:Y2113""), $A1247=IMPORTRANGE(""https://docs.google.com/spreadsheets/d/1BJSV3WBYJGRhQ6"&amp;"zExamkszQ5VutGIcaQqmbD9ZTVXMQ/edit#gid=1251630045"",""articles_with_PRISMA_reasons!B2:B2113""))&gt;=2,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$A1247=IMPORTRANGE(""https://docs.google.com/spreadsheets/d/1BJSV3WBYJGRhQ6zExamkszQ5VutGIcaQqmbD9ZTVXMQ/edit#gid=1251630045"",""articles_with_PRISMA_reasons!B2:B2113""))&lt;2),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$A1247=IMPORTRANGE(""https://docs.google.com/spreadsheets/d/1BJSV3WBYJGRhQ6zExamkszQ5VutGIcaQqmbD9ZTVXMQ/edit#gid=1251630045"",""a"&amp;"rticles_with_PRISMA_reasons!B2:B2113""))&lt;2,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$A1247=IMPORTRANGE(""https://docs.google"&amp;".com/spreadsheets/d/1BJSV3WBYJGRhQ6zExamkszQ5VutGIcaQqmbD9ZTVXMQ/edit#gid=1251630045"",""articles_with_PRISMA_reasons!B2:B2113""))&gt;=2),
""Exclude""
)"),"Exclude")</f>
        <v>Exclude</v>
      </c>
      <c r="E1247" s="5" t="str">
        <f>IFERROR(__xludf.DUMMYFUNCTION("IFS(
D1247=""Exclude"",""Exclude"",
AND(
FILTER(IMPORTRANGE(""https://docs.google.com/spreadsheets/d/1qpEmbGH0JjaJbUdp21-y2cPbobDbMjr09BbtdKROZWc/edit#gid=1444865654"",""articles_with_PRISMA_reasons!W2:W2113""), $A1247=IMPORTRANGE(""https://docs.google.co"&amp;"m/spreadsheets/d/1qpEmbGH0JjaJbUdp21-y2cPbobDbMjr09BbtdKROZWc/edit#gid=1444865654"",""articles_with_PRISMA_reasons!B2:B2113""))&gt;=2,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$A1247=IMPORTRANGE(""https://docs.google.com/spreadsheets/d/1qpEmbGH0JjaJbUdp21-y2cPbobDbMjr09BbtdKROZWc/edit#gid=1444865654"",""articles_with_PRISMA_reasons!B2:B2113""))&lt;2),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$A1247=IMPORTRANGE(""https://docs.google.com/spreadsheets/d/1qpEmbGH0JjaJbUdp21-y2cPbobDbMjr09Bbtd"&amp;"KROZWc/edit#gid=1444865654"",""articles_with_PRISMA_reasons!B2:B2113""))&lt;2,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$A1247=I"&amp;"MPORTRANGE(""https://docs.google.com/spreadsheets/d/1qpEmbGH0JjaJbUdp21-y2cPbobDbMjr09BbtdKROZWc/edit#gid=1444865654"",""articles_with_PRISMA_reasons!B2:B2113""))&gt;=2),
""Exclude""
)"),"Exclude")</f>
        <v>Exclude</v>
      </c>
      <c r="F1247" s="5" t="str">
        <f>IFERROR(__xludf.DUMMYFUNCTION("IFS(
E1247=""Exclude"",""Exclude"",
AND(
COUNTIF(
IMPORTRANGE(""https://docs.google.com/spreadsheets/d/1kGrh75X1cNR1D7_FcY9zMnHP8iPO4M5RCRjy6nZY0TY/edit#gid=0"",""Table 1: Study characteristics!B4:B171""),A1247)&gt;0,
COUNTIF(Studies!$A$2:$A$85,FILTER(IMPORT"&amp;"RANGE(""https://docs.google.com/spreadsheets/d/1kGrh75X1cNR1D7_FcY9zMnHP8iPO4M5RCRjy6nZY0TY/edit#gid=0"",""Table 1: Study characteristics!A4:A171""), $A1247=IMPORTRANGE(""https://docs.google.com/spreadsheets/d/1kGrh75X1cNR1D7_FcY9zMnHP8iPO4M5RCRjy6nZY0TY/"&amp;"edit#gid=0"",""Table 1: Study characteristics!B4:B171"")))&gt;0
),
""Include""
)"),"Exclude")</f>
        <v>Exclude</v>
      </c>
      <c r="G1247" s="5" t="str">
        <f>IFERROR(__xludf.DUMMYFUNCTION("IFS(
D1247=""Exclude"",
FILTER(IMPORTRANGE(""https://docs.google.com/spreadsheets/d/1BJSV3WBYJGRhQ6zExamkszQ5VutGIcaQqmbD9ZTVXMQ/edit#gid=1251630045"",""articles_with_PRISMA_reasons!AB2:AB2113""), $A1247=IMPORTRANGE(""https://docs.google.com/spreadsheets/"&amp;"d/1BJSV3WBYJGRhQ6zExamkszQ5VutGIcaQqmbD9ZTVXMQ/edit#gid=1251630045"",""articles_with_PRISMA_reasons!B2:B2113"")),
E1247=""Exclude"",
FILTER(IMPORTRANGE(""https://docs.google.com/spreadsheets/d/1qpEmbGH0JjaJbUdp21-y2cPbobDbMjr09BbtdKROZWc/edit#gid=14448656"&amp;"54"",""articles_with_PRISMA_reasons!Z2:Z2113""), $A1247=IMPORTRANGE(""https://docs.google.com/spreadsheets/d/1qpEmbGH0JjaJbUdp21-y2cPbobDbMjr09BbtdKROZWc/edit#gid=1444865654"",""articles_with_PRISMA_reasons!B2:B2113"")),F1247
=""Include"",FILTER(IMPORTRAN"&amp;"GE(""https://docs.google.com/spreadsheets/d/1kGrh75X1cNR1D7_FcY9zMnHP8iPO4M5RCRjy6nZY0TY/edit#gid=0"",""Table 1: Study characteristics!A4:A171""), $A1247=IMPORTRANGE(""https://docs.google.com/spreadsheets/d/1kGrh75X1cNR1D7_FcY9zMnHP8iPO4M5RCRjy6nZY0TY/edi"&amp;"t#gid=0"",""Table 1: Study characteristics!B4:B171""))
)"),"wrong publication type")</f>
        <v>wrong publication type</v>
      </c>
    </row>
    <row r="1248">
      <c r="A1248" s="4" t="str">
        <f>IFERROR(__xludf.DUMMYFUNCTION("""COMPUTED_VALUE"""),"Myelomeningocele repair: Surgical management based on a 30-year experience")</f>
        <v>Myelomeningocele repair: Surgical management based on a 30-year experience</v>
      </c>
      <c r="B1248" s="5" t="str">
        <f>IFERROR(__xludf.DUMMYFUNCTION("LEFT(FILTER(IMPORTRANGE(""https://docs.google.com/spreadsheets/d/1BJSV3WBYJGRhQ6zExamkszQ5VutGIcaQqmbD9ZTVXMQ/edit#gid=1251630045"",""articles_with_PRISMA_reasons!K2:K2113""), $A1248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$A1248=IMPORTRANGE(""https://docs.google.com/spreadsheets/d/1BJSV3WBYJGRhQ6zExamkszQ5VutGIcaQqmbD9ZTVXMQ/edit#gid=1251630045"",""articles_with_PRISMA_reasons!B2:B2113"")))-1)"),"Mattogno")</f>
        <v>Mattogno</v>
      </c>
      <c r="C1248" s="6">
        <f>IFERROR(__xludf.DUMMYFUNCTION("FILTER(IMPORTRANGE(""https://docs.google.com/spreadsheets/d/1BJSV3WBYJGRhQ6zExamkszQ5VutGIcaQqmbD9ZTVXMQ/edit#gid=1251630045"",""articles_with_PRISMA_reasons!C2:C2113""), $A1248=IMPORTRANGE(""https://docs.google.com/spreadsheets/d/1BJSV3WBYJGRhQ6zExamkszQ"&amp;"5VutGIcaQqmbD9ZTVXMQ/edit#gid=1251630045"",""articles_with_PRISMA_reasons!B2:B2113""))"),2017.0)</f>
        <v>2017</v>
      </c>
      <c r="D1248" s="5" t="str">
        <f>IFERROR(__xludf.DUMMYFUNCTION("IFS(AND(
FILTER(IMPORTRANGE(""https://docs.google.com/spreadsheets/d/1BJSV3WBYJGRhQ6zExamkszQ5VutGIcaQqmbD9ZTVXMQ/edit#gid=1251630045"",""articles_with_PRISMA_reasons!Y2:Y2113""), $A1248=IMPORTRANGE(""https://docs.google.com/spreadsheets/d/1BJSV3WBYJGRhQ6"&amp;"zExamkszQ5VutGIcaQqmbD9ZTVXMQ/edit#gid=1251630045"",""articles_with_PRISMA_reasons!B2:B2113""))&gt;=2,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$A1248=IMPORTRANGE(""https://docs.google.com/spreadsheets/d/1BJSV3WBYJGRhQ6zExamkszQ5VutGIcaQqmbD9ZTVXMQ/edit#gid=1251630045"",""articles_with_PRISMA_reasons!B2:B2113""))&lt;2),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$A1248=IMPORTRANGE(""https://docs.google.com/spreadsheets/d/1BJSV3WBYJGRhQ6zExamkszQ5VutGIcaQqmbD9ZTVXMQ/edit#gid=1251630045"",""a"&amp;"rticles_with_PRISMA_reasons!B2:B2113""))&lt;2,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$A1248=IMPORTRANGE(""https://docs.google"&amp;".com/spreadsheets/d/1BJSV3WBYJGRhQ6zExamkszQ5VutGIcaQqmbD9ZTVXMQ/edit#gid=1251630045"",""articles_with_PRISMA_reasons!B2:B2113""))&gt;=2),
""Exclude""
)"),"Exclude")</f>
        <v>Exclude</v>
      </c>
      <c r="E1248" s="5" t="str">
        <f>IFERROR(__xludf.DUMMYFUNCTION("IFS(
D1248=""Exclude"",""Exclude"",
AND(
FILTER(IMPORTRANGE(""https://docs.google.com/spreadsheets/d/1qpEmbGH0JjaJbUdp21-y2cPbobDbMjr09BbtdKROZWc/edit#gid=1444865654"",""articles_with_PRISMA_reasons!W2:W2113""), $A1248=IMPORTRANGE(""https://docs.google.co"&amp;"m/spreadsheets/d/1qpEmbGH0JjaJbUdp21-y2cPbobDbMjr09BbtdKROZWc/edit#gid=1444865654"",""articles_with_PRISMA_reasons!B2:B2113""))&gt;=2,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$A1248=IMPORTRANGE(""https://docs.google.com/spreadsheets/d/1qpEmbGH0JjaJbUdp21-y2cPbobDbMjr09BbtdKROZWc/edit#gid=1444865654"",""articles_with_PRISMA_reasons!B2:B2113""))&lt;2),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$A1248=IMPORTRANGE(""https://docs.google.com/spreadsheets/d/1qpEmbGH0JjaJbUdp21-y2cPbobDbMjr09Bbtd"&amp;"KROZWc/edit#gid=1444865654"",""articles_with_PRISMA_reasons!B2:B2113""))&lt;2,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$A1248=I"&amp;"MPORTRANGE(""https://docs.google.com/spreadsheets/d/1qpEmbGH0JjaJbUdp21-y2cPbobDbMjr09BbtdKROZWc/edit#gid=1444865654"",""articles_with_PRISMA_reasons!B2:B2113""))&gt;=2),
""Exclude""
)"),"Exclude")</f>
        <v>Exclude</v>
      </c>
      <c r="F1248" s="5" t="str">
        <f>IFERROR(__xludf.DUMMYFUNCTION("IFS(
E1248=""Exclude"",""Exclude"",
AND(
COUNTIF(
IMPORTRANGE(""https://docs.google.com/spreadsheets/d/1kGrh75X1cNR1D7_FcY9zMnHP8iPO4M5RCRjy6nZY0TY/edit#gid=0"",""Table 1: Study characteristics!B4:B171""),A1248)&gt;0,
COUNTIF(Studies!$A$2:$A$85,FILTER(IMPORT"&amp;"RANGE(""https://docs.google.com/spreadsheets/d/1kGrh75X1cNR1D7_FcY9zMnHP8iPO4M5RCRjy6nZY0TY/edit#gid=0"",""Table 1: Study characteristics!A4:A171""), $A1248=IMPORTRANGE(""https://docs.google.com/spreadsheets/d/1kGrh75X1cNR1D7_FcY9zMnHP8iPO4M5RCRjy6nZY0TY/"&amp;"edit#gid=0"",""Table 1: Study characteristics!B4:B171"")))&gt;0
),
""Include""
)"),"Exclude")</f>
        <v>Exclude</v>
      </c>
      <c r="G1248" s="5" t="str">
        <f>IFERROR(__xludf.DUMMYFUNCTION("IFS(
D1248=""Exclude"",
FILTER(IMPORTRANGE(""https://docs.google.com/spreadsheets/d/1BJSV3WBYJGRhQ6zExamkszQ5VutGIcaQqmbD9ZTVXMQ/edit#gid=1251630045"",""articles_with_PRISMA_reasons!AB2:AB2113""), $A1248=IMPORTRANGE(""https://docs.google.com/spreadsheets/"&amp;"d/1BJSV3WBYJGRhQ6zExamkszQ5VutGIcaQqmbD9ZTVXMQ/edit#gid=1251630045"",""articles_with_PRISMA_reasons!B2:B2113"")),
E1248=""Exclude"",
FILTER(IMPORTRANGE(""https://docs.google.com/spreadsheets/d/1qpEmbGH0JjaJbUdp21-y2cPbobDbMjr09BbtdKROZWc/edit#gid=14448656"&amp;"54"",""articles_with_PRISMA_reasons!Z2:Z2113""), $A1248=IMPORTRANGE(""https://docs.google.com/spreadsheets/d/1qpEmbGH0JjaJbUdp21-y2cPbobDbMjr09BbtdKROZWc/edit#gid=1444865654"",""articles_with_PRISMA_reasons!B2:B2113"")),F1248
=""Include"",FILTER(IMPORTRAN"&amp;"GE(""https://docs.google.com/spreadsheets/d/1kGrh75X1cNR1D7_FcY9zMnHP8iPO4M5RCRjy6nZY0TY/edit#gid=0"",""Table 1: Study characteristics!A4:A171""), $A1248=IMPORTRANGE(""https://docs.google.com/spreadsheets/d/1kGrh75X1cNR1D7_FcY9zMnHP8iPO4M5RCRjy6nZY0TY/edi"&amp;"t#gid=0"",""Table 1: Study characteristics!B4:B171""))
)"),"wrong study design")</f>
        <v>wrong study design</v>
      </c>
    </row>
    <row r="1249">
      <c r="A1249" s="4" t="str">
        <f>IFERROR(__xludf.DUMMYFUNCTION("""COMPUTED_VALUE"""),"Myelomeningocele repair: Technical considerations and complications")</f>
        <v>Myelomeningocele repair: Technical considerations and complications</v>
      </c>
      <c r="B1249" s="5" t="str">
        <f>IFERROR(__xludf.DUMMYFUNCTION("LEFT(FILTER(IMPORTRANGE(""https://docs.google.com/spreadsheets/d/1BJSV3WBYJGRhQ6zExamkszQ5VutGIcaQqmbD9ZTVXMQ/edit#gid=1251630045"",""articles_with_PRISMA_reasons!K2:K2113""), $A1249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$A1249=IMPORTRANGE(""https://docs.google.com/spreadsheets/d/1BJSV3WBYJGRhQ6zExamkszQ5VutGIcaQqmbD9ZTVXMQ/edit#gid=1251630045"",""articles_with_PRISMA_reasons!B2:B2113"")))-1)"),"McCullough")</f>
        <v>McCullough</v>
      </c>
      <c r="C1249" s="6">
        <f>IFERROR(__xludf.DUMMYFUNCTION("FILTER(IMPORTRANGE(""https://docs.google.com/spreadsheets/d/1BJSV3WBYJGRhQ6zExamkszQ5VutGIcaQqmbD9ZTVXMQ/edit#gid=1251630045"",""articles_with_PRISMA_reasons!C2:C2113""), $A1249=IMPORTRANGE(""https://docs.google.com/spreadsheets/d/1BJSV3WBYJGRhQ6zExamkszQ"&amp;"5VutGIcaQqmbD9ZTVXMQ/edit#gid=1251630045"",""articles_with_PRISMA_reasons!B2:B2113""))"),1994.0)</f>
        <v>1994</v>
      </c>
      <c r="D1249" s="5" t="str">
        <f>IFERROR(__xludf.DUMMYFUNCTION("IFS(AND(
FILTER(IMPORTRANGE(""https://docs.google.com/spreadsheets/d/1BJSV3WBYJGRhQ6zExamkszQ5VutGIcaQqmbD9ZTVXMQ/edit#gid=1251630045"",""articles_with_PRISMA_reasons!Y2:Y2113""), $A1249=IMPORTRANGE(""https://docs.google.com/spreadsheets/d/1BJSV3WBYJGRhQ6"&amp;"zExamkszQ5VutGIcaQqmbD9ZTVXMQ/edit#gid=1251630045"",""articles_with_PRISMA_reasons!B2:B2113""))&gt;=2,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$A1249=IMPORTRANGE(""https://docs.google.com/spreadsheets/d/1BJSV3WBYJGRhQ6zExamkszQ5VutGIcaQqmbD9ZTVXMQ/edit#gid=1251630045"",""articles_with_PRISMA_reasons!B2:B2113""))&lt;2),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$A1249=IMPORTRANGE(""https://docs.google.com/spreadsheets/d/1BJSV3WBYJGRhQ6zExamkszQ5VutGIcaQqmbD9ZTVXMQ/edit#gid=1251630045"",""a"&amp;"rticles_with_PRISMA_reasons!B2:B2113""))&lt;2,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$A1249=IMPORTRANGE(""https://docs.google"&amp;".com/spreadsheets/d/1BJSV3WBYJGRhQ6zExamkszQ5VutGIcaQqmbD9ZTVXMQ/edit#gid=1251630045"",""articles_with_PRISMA_reasons!B2:B2113""))&gt;=2),
""Exclude""
)"),"Exclude")</f>
        <v>Exclude</v>
      </c>
      <c r="E1249" s="5" t="str">
        <f>IFERROR(__xludf.DUMMYFUNCTION("IFS(
D1249=""Exclude"",""Exclude"",
AND(
FILTER(IMPORTRANGE(""https://docs.google.com/spreadsheets/d/1qpEmbGH0JjaJbUdp21-y2cPbobDbMjr09BbtdKROZWc/edit#gid=1444865654"",""articles_with_PRISMA_reasons!W2:W2113""), $A1249=IMPORTRANGE(""https://docs.google.co"&amp;"m/spreadsheets/d/1qpEmbGH0JjaJbUdp21-y2cPbobDbMjr09BbtdKROZWc/edit#gid=1444865654"",""articles_with_PRISMA_reasons!B2:B2113""))&gt;=2,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$A1249=IMPORTRANGE(""https://docs.google.com/spreadsheets/d/1qpEmbGH0JjaJbUdp21-y2cPbobDbMjr09BbtdKROZWc/edit#gid=1444865654"",""articles_with_PRISMA_reasons!B2:B2113""))&lt;2),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$A1249=IMPORTRANGE(""https://docs.google.com/spreadsheets/d/1qpEmbGH0JjaJbUdp21-y2cPbobDbMjr09Bbtd"&amp;"KROZWc/edit#gid=1444865654"",""articles_with_PRISMA_reasons!B2:B2113""))&lt;2,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$A1249=I"&amp;"MPORTRANGE(""https://docs.google.com/spreadsheets/d/1qpEmbGH0JjaJbUdp21-y2cPbobDbMjr09BbtdKROZWc/edit#gid=1444865654"",""articles_with_PRISMA_reasons!B2:B2113""))&gt;=2),
""Exclude""
)"),"Exclude")</f>
        <v>Exclude</v>
      </c>
      <c r="F1249" s="5" t="str">
        <f>IFERROR(__xludf.DUMMYFUNCTION("IFS(
E1249=""Exclude"",""Exclude"",
AND(
COUNTIF(
IMPORTRANGE(""https://docs.google.com/spreadsheets/d/1kGrh75X1cNR1D7_FcY9zMnHP8iPO4M5RCRjy6nZY0TY/edit#gid=0"",""Table 1: Study characteristics!B4:B171""),A1249)&gt;0,
COUNTIF(Studies!$A$2:$A$85,FILTER(IMPORT"&amp;"RANGE(""https://docs.google.com/spreadsheets/d/1kGrh75X1cNR1D7_FcY9zMnHP8iPO4M5RCRjy6nZY0TY/edit#gid=0"",""Table 1: Study characteristics!A4:A171""), $A1249=IMPORTRANGE(""https://docs.google.com/spreadsheets/d/1kGrh75X1cNR1D7_FcY9zMnHP8iPO4M5RCRjy6nZY0TY/"&amp;"edit#gid=0"",""Table 1: Study characteristics!B4:B171"")))&gt;0
),
""Include""
)"),"Exclude")</f>
        <v>Exclude</v>
      </c>
      <c r="G1249" s="5" t="str">
        <f>IFERROR(__xludf.DUMMYFUNCTION("IFS(
D1249=""Exclude"",
FILTER(IMPORTRANGE(""https://docs.google.com/spreadsheets/d/1BJSV3WBYJGRhQ6zExamkszQ5VutGIcaQqmbD9ZTVXMQ/edit#gid=1251630045"",""articles_with_PRISMA_reasons!AB2:AB2113""), $A1249=IMPORTRANGE(""https://docs.google.com/spreadsheets/"&amp;"d/1BJSV3WBYJGRhQ6zExamkszQ5VutGIcaQqmbD9ZTVXMQ/edit#gid=1251630045"",""articles_with_PRISMA_reasons!B2:B2113"")),
E1249=""Exclude"",
FILTER(IMPORTRANGE(""https://docs.google.com/spreadsheets/d/1qpEmbGH0JjaJbUdp21-y2cPbobDbMjr09BbtdKROZWc/edit#gid=14448656"&amp;"54"",""articles_with_PRISMA_reasons!Z2:Z2113""), $A1249=IMPORTRANGE(""https://docs.google.com/spreadsheets/d/1qpEmbGH0JjaJbUdp21-y2cPbobDbMjr09BbtdKROZWc/edit#gid=1444865654"",""articles_with_PRISMA_reasons!B2:B2113"")),F1249
=""Include"",FILTER(IMPORTRAN"&amp;"GE(""https://docs.google.com/spreadsheets/d/1kGrh75X1cNR1D7_FcY9zMnHP8iPO4M5RCRjy6nZY0TY/edit#gid=0"",""Table 1: Study characteristics!A4:A171""), $A1249=IMPORTRANGE(""https://docs.google.com/spreadsheets/d/1kGrh75X1cNR1D7_FcY9zMnHP8iPO4M5RCRjy6nZY0TY/edi"&amp;"t#gid=0"",""Table 1: Study characteristics!B4:B171""))
)"),"wrong study design")</f>
        <v>wrong study design</v>
      </c>
    </row>
    <row r="1250">
      <c r="A1250" s="4" t="str">
        <f>IFERROR(__xludf.DUMMYFUNCTION("""COMPUTED_VALUE"""),"Myelomeningocele with Associated Anomalies - Case Report and Literature Review")</f>
        <v>Myelomeningocele with Associated Anomalies - Case Report and Literature Review</v>
      </c>
      <c r="B1250" s="5" t="str">
        <f>IFERROR(__xludf.DUMMYFUNCTION("LEFT(FILTER(IMPORTRANGE(""https://docs.google.com/spreadsheets/d/1BJSV3WBYJGRhQ6zExamkszQ5VutGIcaQqmbD9ZTVXMQ/edit#gid=1251630045"",""articles_with_PRISMA_reasons!K2:K2113""), $A1250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$A1250=IMPORTRANGE(""https://docs.google.com/spreadsheets/d/1BJSV3WBYJGRhQ6zExamkszQ5VutGIcaQqmbD9ZTVXMQ/edit#gid=1251630045"",""articles_with_PRISMA_reasons!B2:B2113"")))-1)"),"Kitov")</f>
        <v>Kitov</v>
      </c>
      <c r="C1250" s="6">
        <f>IFERROR(__xludf.DUMMYFUNCTION("FILTER(IMPORTRANGE(""https://docs.google.com/spreadsheets/d/1BJSV3WBYJGRhQ6zExamkszQ5VutGIcaQqmbD9ZTVXMQ/edit#gid=1251630045"",""articles_with_PRISMA_reasons!C2:C2113""), $A1250=IMPORTRANGE(""https://docs.google.com/spreadsheets/d/1BJSV3WBYJGRhQ6zExamkszQ"&amp;"5VutGIcaQqmbD9ZTVXMQ/edit#gid=1251630045"",""articles_with_PRISMA_reasons!B2:B2113""))"),2019.0)</f>
        <v>2019</v>
      </c>
      <c r="D1250" s="5" t="str">
        <f>IFERROR(__xludf.DUMMYFUNCTION("IFS(AND(
FILTER(IMPORTRANGE(""https://docs.google.com/spreadsheets/d/1BJSV3WBYJGRhQ6zExamkszQ5VutGIcaQqmbD9ZTVXMQ/edit#gid=1251630045"",""articles_with_PRISMA_reasons!Y2:Y2113""), $A1250=IMPORTRANGE(""https://docs.google.com/spreadsheets/d/1BJSV3WBYJGRhQ6"&amp;"zExamkszQ5VutGIcaQqmbD9ZTVXMQ/edit#gid=1251630045"",""articles_with_PRISMA_reasons!B2:B2113""))&gt;=2,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$A1250=IMPORTRANGE(""https://docs.google.com/spreadsheets/d/1BJSV3WBYJGRhQ6zExamkszQ5VutGIcaQqmbD9ZTVXMQ/edit#gid=1251630045"",""articles_with_PRISMA_reasons!B2:B2113""))&lt;2),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$A1250=IMPORTRANGE(""https://docs.google.com/spreadsheets/d/1BJSV3WBYJGRhQ6zExamkszQ5VutGIcaQqmbD9ZTVXMQ/edit#gid=1251630045"",""a"&amp;"rticles_with_PRISMA_reasons!B2:B2113""))&lt;2,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$A1250=IMPORTRANGE(""https://docs.google"&amp;".com/spreadsheets/d/1BJSV3WBYJGRhQ6zExamkszQ5VutGIcaQqmbD9ZTVXMQ/edit#gid=1251630045"",""articles_with_PRISMA_reasons!B2:B2113""))&gt;=2),
""Exclude""
)"),"Exclude")</f>
        <v>Exclude</v>
      </c>
      <c r="E1250" s="5" t="str">
        <f>IFERROR(__xludf.DUMMYFUNCTION("IFS(
D1250=""Exclude"",""Exclude"",
AND(
FILTER(IMPORTRANGE(""https://docs.google.com/spreadsheets/d/1qpEmbGH0JjaJbUdp21-y2cPbobDbMjr09BbtdKROZWc/edit#gid=1444865654"",""articles_with_PRISMA_reasons!W2:W2113""), $A1250=IMPORTRANGE(""https://docs.google.co"&amp;"m/spreadsheets/d/1qpEmbGH0JjaJbUdp21-y2cPbobDbMjr09BbtdKROZWc/edit#gid=1444865654"",""articles_with_PRISMA_reasons!B2:B2113""))&gt;=2,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$A1250=IMPORTRANGE(""https://docs.google.com/spreadsheets/d/1qpEmbGH0JjaJbUdp21-y2cPbobDbMjr09BbtdKROZWc/edit#gid=1444865654"",""articles_with_PRISMA_reasons!B2:B2113""))&lt;2),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$A1250=IMPORTRANGE(""https://docs.google.com/spreadsheets/d/1qpEmbGH0JjaJbUdp21-y2cPbobDbMjr09Bbtd"&amp;"KROZWc/edit#gid=1444865654"",""articles_with_PRISMA_reasons!B2:B2113""))&lt;2,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$A1250=I"&amp;"MPORTRANGE(""https://docs.google.com/spreadsheets/d/1qpEmbGH0JjaJbUdp21-y2cPbobDbMjr09BbtdKROZWc/edit#gid=1444865654"",""articles_with_PRISMA_reasons!B2:B2113""))&gt;=2),
""Exclude""
)"),"Exclude")</f>
        <v>Exclude</v>
      </c>
      <c r="F1250" s="5" t="str">
        <f>IFERROR(__xludf.DUMMYFUNCTION("IFS(
E1250=""Exclude"",""Exclude"",
AND(
COUNTIF(
IMPORTRANGE(""https://docs.google.com/spreadsheets/d/1kGrh75X1cNR1D7_FcY9zMnHP8iPO4M5RCRjy6nZY0TY/edit#gid=0"",""Table 1: Study characteristics!B4:B171""),A1250)&gt;0,
COUNTIF(Studies!$A$2:$A$85,FILTER(IMPORT"&amp;"RANGE(""https://docs.google.com/spreadsheets/d/1kGrh75X1cNR1D7_FcY9zMnHP8iPO4M5RCRjy6nZY0TY/edit#gid=0"",""Table 1: Study characteristics!A4:A171""), $A1250=IMPORTRANGE(""https://docs.google.com/spreadsheets/d/1kGrh75X1cNR1D7_FcY9zMnHP8iPO4M5RCRjy6nZY0TY/"&amp;"edit#gid=0"",""Table 1: Study characteristics!B4:B171"")))&gt;0
),
""Include""
)"),"Exclude")</f>
        <v>Exclude</v>
      </c>
      <c r="G1250" s="5" t="str">
        <f>IFERROR(__xludf.DUMMYFUNCTION("IFS(
D1250=""Exclude"",
FILTER(IMPORTRANGE(""https://docs.google.com/spreadsheets/d/1BJSV3WBYJGRhQ6zExamkszQ5VutGIcaQqmbD9ZTVXMQ/edit#gid=1251630045"",""articles_with_PRISMA_reasons!AB2:AB2113""), $A1250=IMPORTRANGE(""https://docs.google.com/spreadsheets/"&amp;"d/1BJSV3WBYJGRhQ6zExamkszQ5VutGIcaQqmbD9ZTVXMQ/edit#gid=1251630045"",""articles_with_PRISMA_reasons!B2:B2113"")),
E1250=""Exclude"",
FILTER(IMPORTRANGE(""https://docs.google.com/spreadsheets/d/1qpEmbGH0JjaJbUdp21-y2cPbobDbMjr09BbtdKROZWc/edit#gid=14448656"&amp;"54"",""articles_with_PRISMA_reasons!Z2:Z2113""), $A1250=IMPORTRANGE(""https://docs.google.com/spreadsheets/d/1qpEmbGH0JjaJbUdp21-y2cPbobDbMjr09BbtdKROZWc/edit#gid=1444865654"",""articles_with_PRISMA_reasons!B2:B2113"")),F1250
=""Include"",FILTER(IMPORTRAN"&amp;"GE(""https://docs.google.com/spreadsheets/d/1kGrh75X1cNR1D7_FcY9zMnHP8iPO4M5RCRjy6nZY0TY/edit#gid=0"",""Table 1: Study characteristics!A4:A171""), $A1250=IMPORTRANGE(""https://docs.google.com/spreadsheets/d/1kGrh75X1cNR1D7_FcY9zMnHP8iPO4M5RCRjy6nZY0TY/edi"&amp;"t#gid=0"",""Table 1: Study characteristics!B4:B171""))
)"),"wrong study design")</f>
        <v>wrong study design</v>
      </c>
    </row>
    <row r="1251">
      <c r="A1251" s="4" t="str">
        <f>IFERROR(__xludf.DUMMYFUNCTION("""COMPUTED_VALUE"""),"Myelomeningocele with hydrocephalus and agenesis of corpus callosum")</f>
        <v>Myelomeningocele with hydrocephalus and agenesis of corpus callosum</v>
      </c>
      <c r="B1251" s="5" t="str">
        <f>IFERROR(__xludf.DUMMYFUNCTION("LEFT(FILTER(IMPORTRANGE(""https://docs.google.com/spreadsheets/d/1BJSV3WBYJGRhQ6zExamkszQ5VutGIcaQqmbD9ZTVXMQ/edit#gid=1251630045"",""articles_with_PRISMA_reasons!K2:K2113""), $A1251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$A1251=IMPORTRANGE(""https://docs.google.com/spreadsheets/d/1BJSV3WBYJGRhQ6zExamkszQ5VutGIcaQqmbD9ZTVXMQ/edit#gid=1251630045"",""articles_with_PRISMA_reasons!B2:B2113"")))-1)"),"Datta")</f>
        <v>Datta</v>
      </c>
      <c r="C1251" s="6">
        <f>IFERROR(__xludf.DUMMYFUNCTION("FILTER(IMPORTRANGE(""https://docs.google.com/spreadsheets/d/1BJSV3WBYJGRhQ6zExamkszQ5VutGIcaQqmbD9ZTVXMQ/edit#gid=1251630045"",""articles_with_PRISMA_reasons!C2:C2113""), $A1251=IMPORTRANGE(""https://docs.google.com/spreadsheets/d/1BJSV3WBYJGRhQ6zExamkszQ"&amp;"5VutGIcaQqmbD9ZTVXMQ/edit#gid=1251630045"",""articles_with_PRISMA_reasons!B2:B2113""))"),2009.0)</f>
        <v>2009</v>
      </c>
      <c r="D1251" s="5" t="str">
        <f>IFERROR(__xludf.DUMMYFUNCTION("IFS(AND(
FILTER(IMPORTRANGE(""https://docs.google.com/spreadsheets/d/1BJSV3WBYJGRhQ6zExamkszQ5VutGIcaQqmbD9ZTVXMQ/edit#gid=1251630045"",""articles_with_PRISMA_reasons!Y2:Y2113""), $A1251=IMPORTRANGE(""https://docs.google.com/spreadsheets/d/1BJSV3WBYJGRhQ6"&amp;"zExamkszQ5VutGIcaQqmbD9ZTVXMQ/edit#gid=1251630045"",""articles_with_PRISMA_reasons!B2:B2113""))&gt;=2,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$A1251=IMPORTRANGE(""https://docs.google.com/spreadsheets/d/1BJSV3WBYJGRhQ6zExamkszQ5VutGIcaQqmbD9ZTVXMQ/edit#gid=1251630045"",""articles_with_PRISMA_reasons!B2:B2113""))&lt;2),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$A1251=IMPORTRANGE(""https://docs.google.com/spreadsheets/d/1BJSV3WBYJGRhQ6zExamkszQ5VutGIcaQqmbD9ZTVXMQ/edit#gid=1251630045"",""a"&amp;"rticles_with_PRISMA_reasons!B2:B2113""))&lt;2,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$A1251=IMPORTRANGE(""https://docs.google"&amp;".com/spreadsheets/d/1BJSV3WBYJGRhQ6zExamkszQ5VutGIcaQqmbD9ZTVXMQ/edit#gid=1251630045"",""articles_with_PRISMA_reasons!B2:B2113""))&gt;=2),
""Exclude""
)"),"Exclude")</f>
        <v>Exclude</v>
      </c>
      <c r="E1251" s="5" t="str">
        <f>IFERROR(__xludf.DUMMYFUNCTION("IFS(
D1251=""Exclude"",""Exclude"",
AND(
FILTER(IMPORTRANGE(""https://docs.google.com/spreadsheets/d/1qpEmbGH0JjaJbUdp21-y2cPbobDbMjr09BbtdKROZWc/edit#gid=1444865654"",""articles_with_PRISMA_reasons!W2:W2113""), $A1251=IMPORTRANGE(""https://docs.google.co"&amp;"m/spreadsheets/d/1qpEmbGH0JjaJbUdp21-y2cPbobDbMjr09BbtdKROZWc/edit#gid=1444865654"",""articles_with_PRISMA_reasons!B2:B2113""))&gt;=2,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$A1251=IMPORTRANGE(""https://docs.google.com/spreadsheets/d/1qpEmbGH0JjaJbUdp21-y2cPbobDbMjr09BbtdKROZWc/edit#gid=1444865654"",""articles_with_PRISMA_reasons!B2:B2113""))&lt;2),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$A1251=IMPORTRANGE(""https://docs.google.com/spreadsheets/d/1qpEmbGH0JjaJbUdp21-y2cPbobDbMjr09Bbtd"&amp;"KROZWc/edit#gid=1444865654"",""articles_with_PRISMA_reasons!B2:B2113""))&lt;2,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$A1251=I"&amp;"MPORTRANGE(""https://docs.google.com/spreadsheets/d/1qpEmbGH0JjaJbUdp21-y2cPbobDbMjr09BbtdKROZWc/edit#gid=1444865654"",""articles_with_PRISMA_reasons!B2:B2113""))&gt;=2),
""Exclude""
)"),"Exclude")</f>
        <v>Exclude</v>
      </c>
      <c r="F1251" s="5" t="str">
        <f>IFERROR(__xludf.DUMMYFUNCTION("IFS(
E1251=""Exclude"",""Exclude"",
AND(
COUNTIF(
IMPORTRANGE(""https://docs.google.com/spreadsheets/d/1kGrh75X1cNR1D7_FcY9zMnHP8iPO4M5RCRjy6nZY0TY/edit#gid=0"",""Table 1: Study characteristics!B4:B171""),A1251)&gt;0,
COUNTIF(Studies!$A$2:$A$85,FILTER(IMPORT"&amp;"RANGE(""https://docs.google.com/spreadsheets/d/1kGrh75X1cNR1D7_FcY9zMnHP8iPO4M5RCRjy6nZY0TY/edit#gid=0"",""Table 1: Study characteristics!A4:A171""), $A1251=IMPORTRANGE(""https://docs.google.com/spreadsheets/d/1kGrh75X1cNR1D7_FcY9zMnHP8iPO4M5RCRjy6nZY0TY/"&amp;"edit#gid=0"",""Table 1: Study characteristics!B4:B171"")))&gt;0
),
""Include""
)"),"Exclude")</f>
        <v>Exclude</v>
      </c>
      <c r="G1251" s="5" t="str">
        <f>IFERROR(__xludf.DUMMYFUNCTION("IFS(
D1251=""Exclude"",
FILTER(IMPORTRANGE(""https://docs.google.com/spreadsheets/d/1BJSV3WBYJGRhQ6zExamkszQ5VutGIcaQqmbD9ZTVXMQ/edit#gid=1251630045"",""articles_with_PRISMA_reasons!AB2:AB2113""), $A1251=IMPORTRANGE(""https://docs.google.com/spreadsheets/"&amp;"d/1BJSV3WBYJGRhQ6zExamkszQ5VutGIcaQqmbD9ZTVXMQ/edit#gid=1251630045"",""articles_with_PRISMA_reasons!B2:B2113"")),
E1251=""Exclude"",
FILTER(IMPORTRANGE(""https://docs.google.com/spreadsheets/d/1qpEmbGH0JjaJbUdp21-y2cPbobDbMjr09BbtdKROZWc/edit#gid=14448656"&amp;"54"",""articles_with_PRISMA_reasons!Z2:Z2113""), $A1251=IMPORTRANGE(""https://docs.google.com/spreadsheets/d/1qpEmbGH0JjaJbUdp21-y2cPbobDbMjr09BbtdKROZWc/edit#gid=1444865654"",""articles_with_PRISMA_reasons!B2:B2113"")),F1251
=""Include"",FILTER(IMPORTRAN"&amp;"GE(""https://docs.google.com/spreadsheets/d/1kGrh75X1cNR1D7_FcY9zMnHP8iPO4M5RCRjy6nZY0TY/edit#gid=0"",""Table 1: Study characteristics!A4:A171""), $A1251=IMPORTRANGE(""https://docs.google.com/spreadsheets/d/1kGrh75X1cNR1D7_FcY9zMnHP8iPO4M5RCRjy6nZY0TY/edi"&amp;"t#gid=0"",""Table 1: Study characteristics!B4:B171""))
)"),"wrong study design")</f>
        <v>wrong study design</v>
      </c>
    </row>
    <row r="1252">
      <c r="A1252" s="4" t="str">
        <f>IFERROR(__xludf.DUMMYFUNCTION("""COMPUTED_VALUE"""),"Myelomeningocele-associated hydrocephalus: nationwide analysis and systematic review")</f>
        <v>Myelomeningocele-associated hydrocephalus: nationwide analysis and systematic review</v>
      </c>
      <c r="B1252" s="5" t="str">
        <f>IFERROR(__xludf.DUMMYFUNCTION("LEFT(FILTER(IMPORTRANGE(""https://docs.google.com/spreadsheets/d/1BJSV3WBYJGRhQ6zExamkszQ5VutGIcaQqmbD9ZTVXMQ/edit#gid=1251630045"",""articles_with_PRISMA_reasons!K2:K2113""), $A1252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$A1252=IMPORTRANGE(""https://docs.google.com/spreadsheets/d/1BJSV3WBYJGRhQ6zExamkszQ5VutGIcaQqmbD9ZTVXMQ/edit#gid=1251630045"",""articles_with_PRISMA_reasons!B2:B2113"")))-1)"),"McCarthy")</f>
        <v>McCarthy</v>
      </c>
      <c r="C1252" s="6">
        <f>IFERROR(__xludf.DUMMYFUNCTION("FILTER(IMPORTRANGE(""https://docs.google.com/spreadsheets/d/1BJSV3WBYJGRhQ6zExamkszQ5VutGIcaQqmbD9ZTVXMQ/edit#gid=1251630045"",""articles_with_PRISMA_reasons!C2:C2113""), $A1252=IMPORTRANGE(""https://docs.google.com/spreadsheets/d/1BJSV3WBYJGRhQ6zExamkszQ"&amp;"5VutGIcaQqmbD9ZTVXMQ/edit#gid=1251630045"",""articles_with_PRISMA_reasons!B2:B2113""))"),2019.0)</f>
        <v>2019</v>
      </c>
      <c r="D1252" s="5" t="str">
        <f>IFERROR(__xludf.DUMMYFUNCTION("IFS(AND(
FILTER(IMPORTRANGE(""https://docs.google.com/spreadsheets/d/1BJSV3WBYJGRhQ6zExamkszQ5VutGIcaQqmbD9ZTVXMQ/edit#gid=1251630045"",""articles_with_PRISMA_reasons!Y2:Y2113""), $A1252=IMPORTRANGE(""https://docs.google.com/spreadsheets/d/1BJSV3WBYJGRhQ6"&amp;"zExamkszQ5VutGIcaQqmbD9ZTVXMQ/edit#gid=1251630045"",""articles_with_PRISMA_reasons!B2:B2113""))&gt;=2,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$A1252=IMPORTRANGE(""https://docs.google.com/spreadsheets/d/1BJSV3WBYJGRhQ6zExamkszQ5VutGIcaQqmbD9ZTVXMQ/edit#gid=1251630045"",""articles_with_PRISMA_reasons!B2:B2113""))&lt;2),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$A1252=IMPORTRANGE(""https://docs.google.com/spreadsheets/d/1BJSV3WBYJGRhQ6zExamkszQ5VutGIcaQqmbD9ZTVXMQ/edit#gid=1251630045"",""a"&amp;"rticles_with_PRISMA_reasons!B2:B2113""))&lt;2,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$A1252=IMPORTRANGE(""https://docs.google"&amp;".com/spreadsheets/d/1BJSV3WBYJGRhQ6zExamkszQ5VutGIcaQqmbD9ZTVXMQ/edit#gid=1251630045"",""articles_with_PRISMA_reasons!B2:B2113""))&gt;=2),
""Exclude""
)"),"Exclude")</f>
        <v>Exclude</v>
      </c>
      <c r="E1252" s="5" t="str">
        <f>IFERROR(__xludf.DUMMYFUNCTION("IFS(
D1252=""Exclude"",""Exclude"",
AND(
FILTER(IMPORTRANGE(""https://docs.google.com/spreadsheets/d/1qpEmbGH0JjaJbUdp21-y2cPbobDbMjr09BbtdKROZWc/edit#gid=1444865654"",""articles_with_PRISMA_reasons!W2:W2113""), $A1252=IMPORTRANGE(""https://docs.google.co"&amp;"m/spreadsheets/d/1qpEmbGH0JjaJbUdp21-y2cPbobDbMjr09BbtdKROZWc/edit#gid=1444865654"",""articles_with_PRISMA_reasons!B2:B2113""))&gt;=2,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$A1252=IMPORTRANGE(""https://docs.google.com/spreadsheets/d/1qpEmbGH0JjaJbUdp21-y2cPbobDbMjr09BbtdKROZWc/edit#gid=1444865654"",""articles_with_PRISMA_reasons!B2:B2113""))&lt;2),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$A1252=IMPORTRANGE(""https://docs.google.com/spreadsheets/d/1qpEmbGH0JjaJbUdp21-y2cPbobDbMjr09Bbtd"&amp;"KROZWc/edit#gid=1444865654"",""articles_with_PRISMA_reasons!B2:B2113""))&lt;2,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$A1252=I"&amp;"MPORTRANGE(""https://docs.google.com/spreadsheets/d/1qpEmbGH0JjaJbUdp21-y2cPbobDbMjr09BbtdKROZWc/edit#gid=1444865654"",""articles_with_PRISMA_reasons!B2:B2113""))&gt;=2),
""Exclude""
)"),"Exclude")</f>
        <v>Exclude</v>
      </c>
      <c r="F1252" s="5" t="str">
        <f>IFERROR(__xludf.DUMMYFUNCTION("IFS(
E1252=""Exclude"",""Exclude"",
AND(
COUNTIF(
IMPORTRANGE(""https://docs.google.com/spreadsheets/d/1kGrh75X1cNR1D7_FcY9zMnHP8iPO4M5RCRjy6nZY0TY/edit#gid=0"",""Table 1: Study characteristics!B4:B171""),A1252)&gt;0,
COUNTIF(Studies!$A$2:$A$85,FILTER(IMPORT"&amp;"RANGE(""https://docs.google.com/spreadsheets/d/1kGrh75X1cNR1D7_FcY9zMnHP8iPO4M5RCRjy6nZY0TY/edit#gid=0"",""Table 1: Study characteristics!A4:A171""), $A1252=IMPORTRANGE(""https://docs.google.com/spreadsheets/d/1kGrh75X1cNR1D7_FcY9zMnHP8iPO4M5RCRjy6nZY0TY/"&amp;"edit#gid=0"",""Table 1: Study characteristics!B4:B171"")))&gt;0
),
""Include""
)"),"Exclude")</f>
        <v>Exclude</v>
      </c>
      <c r="G1252" s="5" t="str">
        <f>IFERROR(__xludf.DUMMYFUNCTION("IFS(
D1252=""Exclude"",
FILTER(IMPORTRANGE(""https://docs.google.com/spreadsheets/d/1BJSV3WBYJGRhQ6zExamkszQ5VutGIcaQqmbD9ZTVXMQ/edit#gid=1251630045"",""articles_with_PRISMA_reasons!AB2:AB2113""), $A1252=IMPORTRANGE(""https://docs.google.com/spreadsheets/"&amp;"d/1BJSV3WBYJGRhQ6zExamkszQ5VutGIcaQqmbD9ZTVXMQ/edit#gid=1251630045"",""articles_with_PRISMA_reasons!B2:B2113"")),
E1252=""Exclude"",
FILTER(IMPORTRANGE(""https://docs.google.com/spreadsheets/d/1qpEmbGH0JjaJbUdp21-y2cPbobDbMjr09BbtdKROZWc/edit#gid=14448656"&amp;"54"",""articles_with_PRISMA_reasons!Z2:Z2113""), $A1252=IMPORTRANGE(""https://docs.google.com/spreadsheets/d/1qpEmbGH0JjaJbUdp21-y2cPbobDbMjr09BbtdKROZWc/edit#gid=1444865654"",""articles_with_PRISMA_reasons!B2:B2113"")),F1252
=""Include"",FILTER(IMPORTRAN"&amp;"GE(""https://docs.google.com/spreadsheets/d/1kGrh75X1cNR1D7_FcY9zMnHP8iPO4M5RCRjy6nZY0TY/edit#gid=0"",""Table 1: Study characteristics!A4:A171""), $A1252=IMPORTRANGE(""https://docs.google.com/spreadsheets/d/1kGrh75X1cNR1D7_FcY9zMnHP8iPO4M5RCRjy6nZY0TY/edi"&amp;"t#gid=0"",""Table 1: Study characteristics!B4:B171""))
)"),"wrong study design")</f>
        <v>wrong study design</v>
      </c>
    </row>
    <row r="1253">
      <c r="A1253" s="4" t="str">
        <f>IFERROR(__xludf.DUMMYFUNCTION("""COMPUTED_VALUE"""),"Myelomeningocele, Arnold-Chiari anomaly and hydrocephalus in focal dermal hypoplasia")</f>
        <v>Myelomeningocele, Arnold-Chiari anomaly and hydrocephalus in focal dermal hypoplasia</v>
      </c>
      <c r="B1253" s="5" t="str">
        <f>IFERROR(__xludf.DUMMYFUNCTION("LEFT(FILTER(IMPORTRANGE(""https://docs.google.com/spreadsheets/d/1BJSV3WBYJGRhQ6zExamkszQ5VutGIcaQqmbD9ZTVXMQ/edit#gid=1251630045"",""articles_with_PRISMA_reasons!K2:K2113""), $A1253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$A1253=IMPORTRANGE(""https://docs.google.com/spreadsheets/d/1BJSV3WBYJGRhQ6zExamkszQ5VutGIcaQqmbD9ZTVXMQ/edit#gid=1251630045"",""articles_with_PRISMA_reasons!B2:B2113"")))-1)"),"Almeida")</f>
        <v>Almeida</v>
      </c>
      <c r="C1253" s="6">
        <f>IFERROR(__xludf.DUMMYFUNCTION("FILTER(IMPORTRANGE(""https://docs.google.com/spreadsheets/d/1BJSV3WBYJGRhQ6zExamkszQ5VutGIcaQqmbD9ZTVXMQ/edit#gid=1251630045"",""articles_with_PRISMA_reasons!C2:C2113""), $A1253=IMPORTRANGE(""https://docs.google.com/spreadsheets/d/1BJSV3WBYJGRhQ6zExamkszQ"&amp;"5VutGIcaQqmbD9ZTVXMQ/edit#gid=1251630045"",""articles_with_PRISMA_reasons!B2:B2113""))"),1988.0)</f>
        <v>1988</v>
      </c>
      <c r="D1253" s="5" t="str">
        <f>IFERROR(__xludf.DUMMYFUNCTION("IFS(AND(
FILTER(IMPORTRANGE(""https://docs.google.com/spreadsheets/d/1BJSV3WBYJGRhQ6zExamkszQ5VutGIcaQqmbD9ZTVXMQ/edit#gid=1251630045"",""articles_with_PRISMA_reasons!Y2:Y2113""), $A1253=IMPORTRANGE(""https://docs.google.com/spreadsheets/d/1BJSV3WBYJGRhQ6"&amp;"zExamkszQ5VutGIcaQqmbD9ZTVXMQ/edit#gid=1251630045"",""articles_with_PRISMA_reasons!B2:B2113""))&gt;=2,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$A1253=IMPORTRANGE(""https://docs.google.com/spreadsheets/d/1BJSV3WBYJGRhQ6zExamkszQ5VutGIcaQqmbD9ZTVXMQ/edit#gid=1251630045"",""articles_with_PRISMA_reasons!B2:B2113""))&lt;2),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$A1253=IMPORTRANGE(""https://docs.google.com/spreadsheets/d/1BJSV3WBYJGRhQ6zExamkszQ5VutGIcaQqmbD9ZTVXMQ/edit#gid=1251630045"",""a"&amp;"rticles_with_PRISMA_reasons!B2:B2113""))&lt;2,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$A1253=IMPORTRANGE(""https://docs.google"&amp;".com/spreadsheets/d/1BJSV3WBYJGRhQ6zExamkszQ5VutGIcaQqmbD9ZTVXMQ/edit#gid=1251630045"",""articles_with_PRISMA_reasons!B2:B2113""))&gt;=2),
""Exclude""
)"),"Exclude")</f>
        <v>Exclude</v>
      </c>
      <c r="E1253" s="5" t="str">
        <f>IFERROR(__xludf.DUMMYFUNCTION("IFS(
D1253=""Exclude"",""Exclude"",
AND(
FILTER(IMPORTRANGE(""https://docs.google.com/spreadsheets/d/1qpEmbGH0JjaJbUdp21-y2cPbobDbMjr09BbtdKROZWc/edit#gid=1444865654"",""articles_with_PRISMA_reasons!W2:W2113""), $A1253=IMPORTRANGE(""https://docs.google.co"&amp;"m/spreadsheets/d/1qpEmbGH0JjaJbUdp21-y2cPbobDbMjr09BbtdKROZWc/edit#gid=1444865654"",""articles_with_PRISMA_reasons!B2:B2113""))&gt;=2,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$A1253=IMPORTRANGE(""https://docs.google.com/spreadsheets/d/1qpEmbGH0JjaJbUdp21-y2cPbobDbMjr09BbtdKROZWc/edit#gid=1444865654"",""articles_with_PRISMA_reasons!B2:B2113""))&lt;2),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$A1253=IMPORTRANGE(""https://docs.google.com/spreadsheets/d/1qpEmbGH0JjaJbUdp21-y2cPbobDbMjr09Bbtd"&amp;"KROZWc/edit#gid=1444865654"",""articles_with_PRISMA_reasons!B2:B2113""))&lt;2,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$A1253=I"&amp;"MPORTRANGE(""https://docs.google.com/spreadsheets/d/1qpEmbGH0JjaJbUdp21-y2cPbobDbMjr09BbtdKROZWc/edit#gid=1444865654"",""articles_with_PRISMA_reasons!B2:B2113""))&gt;=2),
""Exclude""
)"),"Exclude")</f>
        <v>Exclude</v>
      </c>
      <c r="F1253" s="5" t="str">
        <f>IFERROR(__xludf.DUMMYFUNCTION("IFS(
E1253=""Exclude"",""Exclude"",
AND(
COUNTIF(
IMPORTRANGE(""https://docs.google.com/spreadsheets/d/1kGrh75X1cNR1D7_FcY9zMnHP8iPO4M5RCRjy6nZY0TY/edit#gid=0"",""Table 1: Study characteristics!B4:B171""),A1253)&gt;0,
COUNTIF(Studies!$A$2:$A$85,FILTER(IMPORT"&amp;"RANGE(""https://docs.google.com/spreadsheets/d/1kGrh75X1cNR1D7_FcY9zMnHP8iPO4M5RCRjy6nZY0TY/edit#gid=0"",""Table 1: Study characteristics!A4:A171""), $A1253=IMPORTRANGE(""https://docs.google.com/spreadsheets/d/1kGrh75X1cNR1D7_FcY9zMnHP8iPO4M5RCRjy6nZY0TY/"&amp;"edit#gid=0"",""Table 1: Study characteristics!B4:B171"")))&gt;0
),
""Include""
)"),"Exclude")</f>
        <v>Exclude</v>
      </c>
      <c r="G1253" s="5" t="str">
        <f>IFERROR(__xludf.DUMMYFUNCTION("IFS(
D1253=""Exclude"",
FILTER(IMPORTRANGE(""https://docs.google.com/spreadsheets/d/1BJSV3WBYJGRhQ6zExamkszQ5VutGIcaQqmbD9ZTVXMQ/edit#gid=1251630045"",""articles_with_PRISMA_reasons!AB2:AB2113""), $A1253=IMPORTRANGE(""https://docs.google.com/spreadsheets/"&amp;"d/1BJSV3WBYJGRhQ6zExamkszQ5VutGIcaQqmbD9ZTVXMQ/edit#gid=1251630045"",""articles_with_PRISMA_reasons!B2:B2113"")),
E1253=""Exclude"",
FILTER(IMPORTRANGE(""https://docs.google.com/spreadsheets/d/1qpEmbGH0JjaJbUdp21-y2cPbobDbMjr09BbtdKROZWc/edit#gid=14448656"&amp;"54"",""articles_with_PRISMA_reasons!Z2:Z2113""), $A1253=IMPORTRANGE(""https://docs.google.com/spreadsheets/d/1qpEmbGH0JjaJbUdp21-y2cPbobDbMjr09BbtdKROZWc/edit#gid=1444865654"",""articles_with_PRISMA_reasons!B2:B2113"")),F1253
=""Include"",FILTER(IMPORTRAN"&amp;"GE(""https://docs.google.com/spreadsheets/d/1kGrh75X1cNR1D7_FcY9zMnHP8iPO4M5RCRjy6nZY0TY/edit#gid=0"",""Table 1: Study characteristics!A4:A171""), $A1253=IMPORTRANGE(""https://docs.google.com/spreadsheets/d/1kGrh75X1cNR1D7_FcY9zMnHP8iPO4M5RCRjy6nZY0TY/edi"&amp;"t#gid=0"",""Table 1: Study characteristics!B4:B171""))
)"),"wrong study design")</f>
        <v>wrong study design</v>
      </c>
    </row>
    <row r="1254">
      <c r="A1254" s="4" t="str">
        <f>IFERROR(__xludf.DUMMYFUNCTION("""COMPUTED_VALUE"""),"Myelomeningocele, temperament patterns, and parental perceptions")</f>
        <v>Myelomeningocele, temperament patterns, and parental perceptions</v>
      </c>
      <c r="B1254" s="5" t="str">
        <f>IFERROR(__xludf.DUMMYFUNCTION("LEFT(FILTER(IMPORTRANGE(""https://docs.google.com/spreadsheets/d/1BJSV3WBYJGRhQ6zExamkszQ5VutGIcaQqmbD9ZTVXMQ/edit#gid=1251630045"",""articles_with_PRISMA_reasons!K2:K2113""), $A1254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$A1254=IMPORTRANGE(""https://docs.google.com/spreadsheets/d/1BJSV3WBYJGRhQ6zExamkszQ5VutGIcaQqmbD9ZTVXMQ/edit#gid=1251630045"",""articles_with_PRISMA_reasons!B2:B2113"")))-1)"),"Adams")</f>
        <v>Adams</v>
      </c>
      <c r="C1254" s="6">
        <f>IFERROR(__xludf.DUMMYFUNCTION("FILTER(IMPORTRANGE(""https://docs.google.com/spreadsheets/d/1BJSV3WBYJGRhQ6zExamkszQ5VutGIcaQqmbD9ZTVXMQ/edit#gid=1251630045"",""articles_with_PRISMA_reasons!C2:C2113""), $A1254=IMPORTRANGE(""https://docs.google.com/spreadsheets/d/1BJSV3WBYJGRhQ6zExamkszQ"&amp;"5VutGIcaQqmbD9ZTVXMQ/edit#gid=1251630045"",""articles_with_PRISMA_reasons!B2:B2113""))"),2005.0)</f>
        <v>2005</v>
      </c>
      <c r="D1254" s="5" t="str">
        <f>IFERROR(__xludf.DUMMYFUNCTION("IFS(AND(
FILTER(IMPORTRANGE(""https://docs.google.com/spreadsheets/d/1BJSV3WBYJGRhQ6zExamkszQ5VutGIcaQqmbD9ZTVXMQ/edit#gid=1251630045"",""articles_with_PRISMA_reasons!Y2:Y2113""), $A1254=IMPORTRANGE(""https://docs.google.com/spreadsheets/d/1BJSV3WBYJGRhQ6"&amp;"zExamkszQ5VutGIcaQqmbD9ZTVXMQ/edit#gid=1251630045"",""articles_with_PRISMA_reasons!B2:B2113""))&gt;=2,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$A1254=IMPORTRANGE(""https://docs.google.com/spreadsheets/d/1BJSV3WBYJGRhQ6zExamkszQ5VutGIcaQqmbD9ZTVXMQ/edit#gid=1251630045"",""articles_with_PRISMA_reasons!B2:B2113""))&lt;2),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$A1254=IMPORTRANGE(""https://docs.google.com/spreadsheets/d/1BJSV3WBYJGRhQ6zExamkszQ5VutGIcaQqmbD9ZTVXMQ/edit#gid=1251630045"",""a"&amp;"rticles_with_PRISMA_reasons!B2:B2113""))&lt;2,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$A1254=IMPORTRANGE(""https://docs.google"&amp;".com/spreadsheets/d/1BJSV3WBYJGRhQ6zExamkszQ5VutGIcaQqmbD9ZTVXMQ/edit#gid=1251630045"",""articles_with_PRISMA_reasons!B2:B2113""))&gt;=2),
""Exclude""
)"),"Exclude")</f>
        <v>Exclude</v>
      </c>
      <c r="E1254" s="5" t="str">
        <f>IFERROR(__xludf.DUMMYFUNCTION("IFS(
D1254=""Exclude"",""Exclude"",
AND(
FILTER(IMPORTRANGE(""https://docs.google.com/spreadsheets/d/1qpEmbGH0JjaJbUdp21-y2cPbobDbMjr09BbtdKROZWc/edit#gid=1444865654"",""articles_with_PRISMA_reasons!W2:W2113""), $A1254=IMPORTRANGE(""https://docs.google.co"&amp;"m/spreadsheets/d/1qpEmbGH0JjaJbUdp21-y2cPbobDbMjr09BbtdKROZWc/edit#gid=1444865654"",""articles_with_PRISMA_reasons!B2:B2113""))&gt;=2,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$A1254=IMPORTRANGE(""https://docs.google.com/spreadsheets/d/1qpEmbGH0JjaJbUdp21-y2cPbobDbMjr09BbtdKROZWc/edit#gid=1444865654"",""articles_with_PRISMA_reasons!B2:B2113""))&lt;2),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$A1254=IMPORTRANGE(""https://docs.google.com/spreadsheets/d/1qpEmbGH0JjaJbUdp21-y2cPbobDbMjr09Bbtd"&amp;"KROZWc/edit#gid=1444865654"",""articles_with_PRISMA_reasons!B2:B2113""))&lt;2,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$A1254=I"&amp;"MPORTRANGE(""https://docs.google.com/spreadsheets/d/1qpEmbGH0JjaJbUdp21-y2cPbobDbMjr09BbtdKROZWc/edit#gid=1444865654"",""articles_with_PRISMA_reasons!B2:B2113""))&gt;=2),
""Exclude""
)"),"Exclude")</f>
        <v>Exclude</v>
      </c>
      <c r="F1254" s="5" t="str">
        <f>IFERROR(__xludf.DUMMYFUNCTION("IFS(
E1254=""Exclude"",""Exclude"",
AND(
COUNTIF(
IMPORTRANGE(""https://docs.google.com/spreadsheets/d/1kGrh75X1cNR1D7_FcY9zMnHP8iPO4M5RCRjy6nZY0TY/edit#gid=0"",""Table 1: Study characteristics!B4:B171""),A1254)&gt;0,
COUNTIF(Studies!$A$2:$A$85,FILTER(IMPORT"&amp;"RANGE(""https://docs.google.com/spreadsheets/d/1kGrh75X1cNR1D7_FcY9zMnHP8iPO4M5RCRjy6nZY0TY/edit#gid=0"",""Table 1: Study characteristics!A4:A171""), $A1254=IMPORTRANGE(""https://docs.google.com/spreadsheets/d/1kGrh75X1cNR1D7_FcY9zMnHP8iPO4M5RCRjy6nZY0TY/"&amp;"edit#gid=0"",""Table 1: Study characteristics!B4:B171"")))&gt;0
),
""Include""
)"),"Exclude")</f>
        <v>Exclude</v>
      </c>
      <c r="G1254" s="5" t="str">
        <f>IFERROR(__xludf.DUMMYFUNCTION("IFS(
D1254=""Exclude"",
FILTER(IMPORTRANGE(""https://docs.google.com/spreadsheets/d/1BJSV3WBYJGRhQ6zExamkszQ5VutGIcaQqmbD9ZTVXMQ/edit#gid=1251630045"",""articles_with_PRISMA_reasons!AB2:AB2113""), $A1254=IMPORTRANGE(""https://docs.google.com/spreadsheets/"&amp;"d/1BJSV3WBYJGRhQ6zExamkszQ5VutGIcaQqmbD9ZTVXMQ/edit#gid=1251630045"",""articles_with_PRISMA_reasons!B2:B2113"")),
E1254=""Exclude"",
FILTER(IMPORTRANGE(""https://docs.google.com/spreadsheets/d/1qpEmbGH0JjaJbUdp21-y2cPbobDbMjr09BbtdKROZWc/edit#gid=14448656"&amp;"54"",""articles_with_PRISMA_reasons!Z2:Z2113""), $A1254=IMPORTRANGE(""https://docs.google.com/spreadsheets/d/1qpEmbGH0JjaJbUdp21-y2cPbobDbMjr09BbtdKROZWc/edit#gid=1444865654"",""articles_with_PRISMA_reasons!B2:B2113"")),F1254
=""Include"",FILTER(IMPORTRAN"&amp;"GE(""https://docs.google.com/spreadsheets/d/1kGrh75X1cNR1D7_FcY9zMnHP8iPO4M5RCRjy6nZY0TY/edit#gid=0"",""Table 1: Study characteristics!A4:A171""), $A1254=IMPORTRANGE(""https://docs.google.com/spreadsheets/d/1kGrh75X1cNR1D7_FcY9zMnHP8iPO4M5RCRjy6nZY0TY/edi"&amp;"t#gid=0"",""Table 1: Study characteristics!B4:B171""))
)"),"wrong study design")</f>
        <v>wrong study design</v>
      </c>
    </row>
    <row r="1255">
      <c r="A1255" s="4" t="str">
        <f>IFERROR(__xludf.DUMMYFUNCTION("""COMPUTED_VALUE"""),"Myelomeningocele: A Brazilian University Hospital experience")</f>
        <v>Myelomeningocele: A Brazilian University Hospital experience</v>
      </c>
      <c r="B1255" s="5" t="str">
        <f>IFERROR(__xludf.DUMMYFUNCTION("LEFT(FILTER(IMPORTRANGE(""https://docs.google.com/spreadsheets/d/1BJSV3WBYJGRhQ6zExamkszQ5VutGIcaQqmbD9ZTVXMQ/edit#gid=1251630045"",""articles_with_PRISMA_reasons!K2:K2113""), $A1255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$A1255=IMPORTRANGE(""https://docs.google.com/spreadsheets/d/1BJSV3WBYJGRhQ6zExamkszQ5VutGIcaQqmbD9ZTVXMQ/edit#gid=1251630045"",""articles_with_PRISMA_reasons!B2:B2113"")))-1)"),"Ulsenheimer")</f>
        <v>Ulsenheimer</v>
      </c>
      <c r="C1255" s="6">
        <f>IFERROR(__xludf.DUMMYFUNCTION("FILTER(IMPORTRANGE(""https://docs.google.com/spreadsheets/d/1BJSV3WBYJGRhQ6zExamkszQ5VutGIcaQqmbD9ZTVXMQ/edit#gid=1251630045"",""articles_with_PRISMA_reasons!C2:C2113""), $A1255=IMPORTRANGE(""https://docs.google.com/spreadsheets/d/1BJSV3WBYJGRhQ6zExamkszQ"&amp;"5VutGIcaQqmbD9ZTVXMQ/edit#gid=1251630045"",""articles_with_PRISMA_reasons!B2:B2113""))"),2004.0)</f>
        <v>2004</v>
      </c>
      <c r="D1255" s="5" t="str">
        <f>IFERROR(__xludf.DUMMYFUNCTION("IFS(AND(
FILTER(IMPORTRANGE(""https://docs.google.com/spreadsheets/d/1BJSV3WBYJGRhQ6zExamkszQ5VutGIcaQqmbD9ZTVXMQ/edit#gid=1251630045"",""articles_with_PRISMA_reasons!Y2:Y2113""), $A1255=IMPORTRANGE(""https://docs.google.com/spreadsheets/d/1BJSV3WBYJGRhQ6"&amp;"zExamkszQ5VutGIcaQqmbD9ZTVXMQ/edit#gid=1251630045"",""articles_with_PRISMA_reasons!B2:B2113""))&gt;=2,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$A1255=IMPORTRANGE(""https://docs.google.com/spreadsheets/d/1BJSV3WBYJGRhQ6zExamkszQ5VutGIcaQqmbD9ZTVXMQ/edit#gid=1251630045"",""articles_with_PRISMA_reasons!B2:B2113""))&lt;2),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$A1255=IMPORTRANGE(""https://docs.google.com/spreadsheets/d/1BJSV3WBYJGRhQ6zExamkszQ5VutGIcaQqmbD9ZTVXMQ/edit#gid=1251630045"",""a"&amp;"rticles_with_PRISMA_reasons!B2:B2113""))&lt;2,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$A1255=IMPORTRANGE(""https://docs.google"&amp;".com/spreadsheets/d/1BJSV3WBYJGRhQ6zExamkszQ5VutGIcaQqmbD9ZTVXMQ/edit#gid=1251630045"",""articles_with_PRISMA_reasons!B2:B2113""))&gt;=2),
""Exclude""
)"),"Include")</f>
        <v>Include</v>
      </c>
      <c r="E1255" s="5" t="str">
        <f>IFERROR(__xludf.DUMMYFUNCTION("IFS(
D1255=""Exclude"",""Exclude"",
AND(
FILTER(IMPORTRANGE(""https://docs.google.com/spreadsheets/d/1qpEmbGH0JjaJbUdp21-y2cPbobDbMjr09BbtdKROZWc/edit#gid=1444865654"",""articles_with_PRISMA_reasons!W2:W2113""), $A1255=IMPORTRANGE(""https://docs.google.co"&amp;"m/spreadsheets/d/1qpEmbGH0JjaJbUdp21-y2cPbobDbMjr09BbtdKROZWc/edit#gid=1444865654"",""articles_with_PRISMA_reasons!B2:B2113""))&gt;=2,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$A1255=IMPORTRANGE(""https://docs.google.com/spreadsheets/d/1qpEmbGH0JjaJbUdp21-y2cPbobDbMjr09BbtdKROZWc/edit#gid=1444865654"",""articles_with_PRISMA_reasons!B2:B2113""))&lt;2),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$A1255=IMPORTRANGE(""https://docs.google.com/spreadsheets/d/1qpEmbGH0JjaJbUdp21-y2cPbobDbMjr09Bbtd"&amp;"KROZWc/edit#gid=1444865654"",""articles_with_PRISMA_reasons!B2:B2113""))&lt;2,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$A1255=I"&amp;"MPORTRANGE(""https://docs.google.com/spreadsheets/d/1qpEmbGH0JjaJbUdp21-y2cPbobDbMjr09BbtdKROZWc/edit#gid=1444865654"",""articles_with_PRISMA_reasons!B2:B2113""))&gt;=2),
""Exclude""
)"),"Include")</f>
        <v>Include</v>
      </c>
      <c r="F1255" s="5" t="str">
        <f>IFERROR(__xludf.DUMMYFUNCTION("IFS(
E1255=""Exclude"",""Exclude"",
AND(
COUNTIF(
IMPORTRANGE(""https://docs.google.com/spreadsheets/d/1kGrh75X1cNR1D7_FcY9zMnHP8iPO4M5RCRjy6nZY0TY/edit#gid=0"",""Table 1: Study characteristics!B4:B171""),A1255)&gt;0,
COUNTIF(Studies!$A$2:$A$85,FILTER(IMPORT"&amp;"RANGE(""https://docs.google.com/spreadsheets/d/1kGrh75X1cNR1D7_FcY9zMnHP8iPO4M5RCRjy6nZY0TY/edit#gid=0"",""Table 1: Study characteristics!A4:A171""), $A1255=IMPORTRANGE(""https://docs.google.com/spreadsheets/d/1kGrh75X1cNR1D7_FcY9zMnHP8iPO4M5RCRjy6nZY0TY/"&amp;"edit#gid=0"",""Table 1: Study characteristics!B4:B171"")))&gt;0
),
""Include""
)"),"Include")</f>
        <v>Include</v>
      </c>
      <c r="G1255" s="5" t="str">
        <f>IFERROR(__xludf.DUMMYFUNCTION("IFS(
D1255=""Exclude"",
FILTER(IMPORTRANGE(""https://docs.google.com/spreadsheets/d/1BJSV3WBYJGRhQ6zExamkszQ5VutGIcaQqmbD9ZTVXMQ/edit#gid=1251630045"",""articles_with_PRISMA_reasons!AB2:AB2113""), $A1255=IMPORTRANGE(""https://docs.google.com/spreadsheets/"&amp;"d/1BJSV3WBYJGRhQ6zExamkszQ5VutGIcaQqmbD9ZTVXMQ/edit#gid=1251630045"",""articles_with_PRISMA_reasons!B2:B2113"")),
E1255=""Exclude"",
FILTER(IMPORTRANGE(""https://docs.google.com/spreadsheets/d/1qpEmbGH0JjaJbUdp21-y2cPbobDbMjr09BbtdKROZWc/edit#gid=14448656"&amp;"54"",""articles_with_PRISMA_reasons!Z2:Z2113""), $A1255=IMPORTRANGE(""https://docs.google.com/spreadsheets/d/1qpEmbGH0JjaJbUdp21-y2cPbobDbMjr09BbtdKROZWc/edit#gid=1444865654"",""articles_with_PRISMA_reasons!B2:B2113"")),F1255
=""Include"",FILTER(IMPORTRAN"&amp;"GE(""https://docs.google.com/spreadsheets/d/1kGrh75X1cNR1D7_FcY9zMnHP8iPO4M5RCRjy6nZY0TY/edit#gid=0"",""Table 1: Study characteristics!A4:A171""), $A1255=IMPORTRANGE(""https://docs.google.com/spreadsheets/d/1kGrh75X1cNR1D7_FcY9zMnHP8iPO4M5RCRjy6nZY0TY/edi"&amp;"t#gid=0"",""Table 1: Study characteristics!B4:B171""))
)"),"ID 88")</f>
        <v>ID 88</v>
      </c>
    </row>
    <row r="1256">
      <c r="A1256" s="4" t="str">
        <f>IFERROR(__xludf.DUMMYFUNCTION("""COMPUTED_VALUE"""),"Myelomeningocele: a review and update")</f>
        <v>Myelomeningocele: a review and update</v>
      </c>
      <c r="B1256" s="5" t="str">
        <f>IFERROR(__xludf.DUMMYFUNCTION("LEFT(FILTER(IMPORTRANGE(""https://docs.google.com/spreadsheets/d/1BJSV3WBYJGRhQ6zExamkszQ5VutGIcaQqmbD9ZTVXMQ/edit#gid=1251630045"",""articles_with_PRISMA_reasons!K2:K2113""), $A1256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$A1256=IMPORTRANGE(""https://docs.google.com/spreadsheets/d/1BJSV3WBYJGRhQ6zExamkszQ5VutGIcaQqmbD9ZTVXMQ/edit#gid=1251630045"",""articles_with_PRISMA_reasons!B2:B2113"")))-1)"),"Scarff")</f>
        <v>Scarff</v>
      </c>
      <c r="C1256" s="6" t="str">
        <f>IFERROR(__xludf.DUMMYFUNCTION("FILTER(IMPORTRANGE(""https://docs.google.com/spreadsheets/d/1BJSV3WBYJGRhQ6zExamkszQ5VutGIcaQqmbD9ZTVXMQ/edit#gid=1251630045"",""articles_with_PRISMA_reasons!C2:C2113""), $A1256=IMPORTRANGE(""https://docs.google.com/spreadsheets/d/1BJSV3WBYJGRhQ6zExamkszQ"&amp;"5VutGIcaQqmbD9ZTVXMQ/edit#gid=1251630045"",""articles_with_PRISMA_reasons!B2:B2113""))"),"Nov")</f>
        <v>Nov</v>
      </c>
      <c r="D1256" s="5" t="str">
        <f>IFERROR(__xludf.DUMMYFUNCTION("IFS(AND(
FILTER(IMPORTRANGE(""https://docs.google.com/spreadsheets/d/1BJSV3WBYJGRhQ6zExamkszQ5VutGIcaQqmbD9ZTVXMQ/edit#gid=1251630045"",""articles_with_PRISMA_reasons!Y2:Y2113""), $A1256=IMPORTRANGE(""https://docs.google.com/spreadsheets/d/1BJSV3WBYJGRhQ6"&amp;"zExamkszQ5VutGIcaQqmbD9ZTVXMQ/edit#gid=1251630045"",""articles_with_PRISMA_reasons!B2:B2113""))&gt;=2,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$A1256=IMPORTRANGE(""https://docs.google.com/spreadsheets/d/1BJSV3WBYJGRhQ6zExamkszQ5VutGIcaQqmbD9ZTVXMQ/edit#gid=1251630045"",""articles_with_PRISMA_reasons!B2:B2113""))&lt;2),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$A1256=IMPORTRANGE(""https://docs.google.com/spreadsheets/d/1BJSV3WBYJGRhQ6zExamkszQ5VutGIcaQqmbD9ZTVXMQ/edit#gid=1251630045"",""a"&amp;"rticles_with_PRISMA_reasons!B2:B2113""))&lt;2,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$A1256=IMPORTRANGE(""https://docs.google"&amp;".com/spreadsheets/d/1BJSV3WBYJGRhQ6zExamkszQ5VutGIcaQqmbD9ZTVXMQ/edit#gid=1251630045"",""articles_with_PRISMA_reasons!B2:B2113""))&gt;=2),
""Exclude""
)"),"Exclude")</f>
        <v>Exclude</v>
      </c>
      <c r="E1256" s="5" t="str">
        <f>IFERROR(__xludf.DUMMYFUNCTION("IFS(
D1256=""Exclude"",""Exclude"",
AND(
FILTER(IMPORTRANGE(""https://docs.google.com/spreadsheets/d/1qpEmbGH0JjaJbUdp21-y2cPbobDbMjr09BbtdKROZWc/edit#gid=1444865654"",""articles_with_PRISMA_reasons!W2:W2113""), $A1256=IMPORTRANGE(""https://docs.google.co"&amp;"m/spreadsheets/d/1qpEmbGH0JjaJbUdp21-y2cPbobDbMjr09BbtdKROZWc/edit#gid=1444865654"",""articles_with_PRISMA_reasons!B2:B2113""))&gt;=2,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$A1256=IMPORTRANGE(""https://docs.google.com/spreadsheets/d/1qpEmbGH0JjaJbUdp21-y2cPbobDbMjr09BbtdKROZWc/edit#gid=1444865654"",""articles_with_PRISMA_reasons!B2:B2113""))&lt;2),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$A1256=IMPORTRANGE(""https://docs.google.com/spreadsheets/d/1qpEmbGH0JjaJbUdp21-y2cPbobDbMjr09Bbtd"&amp;"KROZWc/edit#gid=1444865654"",""articles_with_PRISMA_reasons!B2:B2113""))&lt;2,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$A1256=I"&amp;"MPORTRANGE(""https://docs.google.com/spreadsheets/d/1qpEmbGH0JjaJbUdp21-y2cPbobDbMjr09BbtdKROZWc/edit#gid=1444865654"",""articles_with_PRISMA_reasons!B2:B2113""))&gt;=2),
""Exclude""
)"),"Exclude")</f>
        <v>Exclude</v>
      </c>
      <c r="F1256" s="5" t="str">
        <f>IFERROR(__xludf.DUMMYFUNCTION("IFS(
E1256=""Exclude"",""Exclude"",
AND(
COUNTIF(
IMPORTRANGE(""https://docs.google.com/spreadsheets/d/1kGrh75X1cNR1D7_FcY9zMnHP8iPO4M5RCRjy6nZY0TY/edit#gid=0"",""Table 1: Study characteristics!B4:B171""),A1256)&gt;0,
COUNTIF(Studies!$A$2:$A$85,FILTER(IMPORT"&amp;"RANGE(""https://docs.google.com/spreadsheets/d/1kGrh75X1cNR1D7_FcY9zMnHP8iPO4M5RCRjy6nZY0TY/edit#gid=0"",""Table 1: Study characteristics!A4:A171""), $A1256=IMPORTRANGE(""https://docs.google.com/spreadsheets/d/1kGrh75X1cNR1D7_FcY9zMnHP8iPO4M5RCRjy6nZY0TY/"&amp;"edit#gid=0"",""Table 1: Study characteristics!B4:B171"")))&gt;0
),
""Include""
)"),"Exclude")</f>
        <v>Exclude</v>
      </c>
      <c r="G1256" s="5" t="str">
        <f>IFERROR(__xludf.DUMMYFUNCTION("IFS(
D1256=""Exclude"",
FILTER(IMPORTRANGE(""https://docs.google.com/spreadsheets/d/1BJSV3WBYJGRhQ6zExamkszQ5VutGIcaQqmbD9ZTVXMQ/edit#gid=1251630045"",""articles_with_PRISMA_reasons!AB2:AB2113""), $A1256=IMPORTRANGE(""https://docs.google.com/spreadsheets/"&amp;"d/1BJSV3WBYJGRhQ6zExamkszQ5VutGIcaQqmbD9ZTVXMQ/edit#gid=1251630045"",""articles_with_PRISMA_reasons!B2:B2113"")),
E1256=""Exclude"",
FILTER(IMPORTRANGE(""https://docs.google.com/spreadsheets/d/1qpEmbGH0JjaJbUdp21-y2cPbobDbMjr09BbtdKROZWc/edit#gid=14448656"&amp;"54"",""articles_with_PRISMA_reasons!Z2:Z2113""), $A1256=IMPORTRANGE(""https://docs.google.com/spreadsheets/d/1qpEmbGH0JjaJbUdp21-y2cPbobDbMjr09BbtdKROZWc/edit#gid=1444865654"",""articles_with_PRISMA_reasons!B2:B2113"")),F1256
=""Include"",FILTER(IMPORTRAN"&amp;"GE(""https://docs.google.com/spreadsheets/d/1kGrh75X1cNR1D7_FcY9zMnHP8iPO4M5RCRjy6nZY0TY/edit#gid=0"",""Table 1: Study characteristics!A4:A171""), $A1256=IMPORTRANGE(""https://docs.google.com/spreadsheets/d/1kGrh75X1cNR1D7_FcY9zMnHP8iPO4M5RCRjy6nZY0TY/edi"&amp;"t#gid=0"",""Table 1: Study characteristics!B4:B171""))
)"),"Duplicate")</f>
        <v>Duplicate</v>
      </c>
    </row>
    <row r="1257">
      <c r="A1257" s="4" t="str">
        <f>IFERROR(__xludf.DUMMYFUNCTION("""COMPUTED_VALUE"""),"Myelomeningocele: A review of the orthopaedic aspects of 206 patients treated from birth with no selection criteria")</f>
        <v>Myelomeningocele: A review of the orthopaedic aspects of 206 patients treated from birth with no selection criteria</v>
      </c>
      <c r="B1257" s="5" t="str">
        <f>IFERROR(__xludf.DUMMYFUNCTION("LEFT(FILTER(IMPORTRANGE(""https://docs.google.com/spreadsheets/d/1BJSV3WBYJGRhQ6zExamkszQ5VutGIcaQqmbD9ZTVXMQ/edit#gid=1251630045"",""articles_with_PRISMA_reasons!K2:K2113""), $A1257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$A1257=IMPORTRANGE(""https://docs.google.com/spreadsheets/d/1BJSV3WBYJGRhQ6zExamkszQ5VutGIcaQqmbD9ZTVXMQ/edit#gid=1251630045"",""articles_with_PRISMA_reasons!B2:B2113"")))-1)"),"Swank")</f>
        <v>Swank</v>
      </c>
      <c r="C1257" s="6">
        <f>IFERROR(__xludf.DUMMYFUNCTION("FILTER(IMPORTRANGE(""https://docs.google.com/spreadsheets/d/1BJSV3WBYJGRhQ6zExamkszQ5VutGIcaQqmbD9ZTVXMQ/edit#gid=1251630045"",""articles_with_PRISMA_reasons!C2:C2113""), $A1257=IMPORTRANGE(""https://docs.google.com/spreadsheets/d/1BJSV3WBYJGRhQ6zExamkszQ"&amp;"5VutGIcaQqmbD9ZTVXMQ/edit#gid=1251630045"",""articles_with_PRISMA_reasons!B2:B2113""))"),1992.0)</f>
        <v>1992</v>
      </c>
      <c r="D1257" s="5" t="str">
        <f>IFERROR(__xludf.DUMMYFUNCTION("IFS(AND(
FILTER(IMPORTRANGE(""https://docs.google.com/spreadsheets/d/1BJSV3WBYJGRhQ6zExamkszQ5VutGIcaQqmbD9ZTVXMQ/edit#gid=1251630045"",""articles_with_PRISMA_reasons!Y2:Y2113""), $A1257=IMPORTRANGE(""https://docs.google.com/spreadsheets/d/1BJSV3WBYJGRhQ6"&amp;"zExamkszQ5VutGIcaQqmbD9ZTVXMQ/edit#gid=1251630045"",""articles_with_PRISMA_reasons!B2:B2113""))&gt;=2,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$A1257=IMPORTRANGE(""https://docs.google.com/spreadsheets/d/1BJSV3WBYJGRhQ6zExamkszQ5VutGIcaQqmbD9ZTVXMQ/edit#gid=1251630045"",""articles_with_PRISMA_reasons!B2:B2113""))&lt;2),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$A1257=IMPORTRANGE(""https://docs.google.com/spreadsheets/d/1BJSV3WBYJGRhQ6zExamkszQ5VutGIcaQqmbD9ZTVXMQ/edit#gid=1251630045"",""a"&amp;"rticles_with_PRISMA_reasons!B2:B2113""))&lt;2,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$A1257=IMPORTRANGE(""https://docs.google"&amp;".com/spreadsheets/d/1BJSV3WBYJGRhQ6zExamkszQ5VutGIcaQqmbD9ZTVXMQ/edit#gid=1251630045"",""articles_with_PRISMA_reasons!B2:B2113""))&gt;=2),
""Exclude""
)"),"Exclude")</f>
        <v>Exclude</v>
      </c>
      <c r="E1257" s="5" t="str">
        <f>IFERROR(__xludf.DUMMYFUNCTION("IFS(
D1257=""Exclude"",""Exclude"",
AND(
FILTER(IMPORTRANGE(""https://docs.google.com/spreadsheets/d/1qpEmbGH0JjaJbUdp21-y2cPbobDbMjr09BbtdKROZWc/edit#gid=1444865654"",""articles_with_PRISMA_reasons!W2:W2113""), $A1257=IMPORTRANGE(""https://docs.google.co"&amp;"m/spreadsheets/d/1qpEmbGH0JjaJbUdp21-y2cPbobDbMjr09BbtdKROZWc/edit#gid=1444865654"",""articles_with_PRISMA_reasons!B2:B2113""))&gt;=2,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$A1257=IMPORTRANGE(""https://docs.google.com/spreadsheets/d/1qpEmbGH0JjaJbUdp21-y2cPbobDbMjr09BbtdKROZWc/edit#gid=1444865654"",""articles_with_PRISMA_reasons!B2:B2113""))&lt;2),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$A1257=IMPORTRANGE(""https://docs.google.com/spreadsheets/d/1qpEmbGH0JjaJbUdp21-y2cPbobDbMjr09Bbtd"&amp;"KROZWc/edit#gid=1444865654"",""articles_with_PRISMA_reasons!B2:B2113""))&lt;2,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$A1257=I"&amp;"MPORTRANGE(""https://docs.google.com/spreadsheets/d/1qpEmbGH0JjaJbUdp21-y2cPbobDbMjr09BbtdKROZWc/edit#gid=1444865654"",""articles_with_PRISMA_reasons!B2:B2113""))&gt;=2),
""Exclude""
)"),"Exclude")</f>
        <v>Exclude</v>
      </c>
      <c r="F1257" s="5" t="str">
        <f>IFERROR(__xludf.DUMMYFUNCTION("IFS(
E1257=""Exclude"",""Exclude"",
AND(
COUNTIF(
IMPORTRANGE(""https://docs.google.com/spreadsheets/d/1kGrh75X1cNR1D7_FcY9zMnHP8iPO4M5RCRjy6nZY0TY/edit#gid=0"",""Table 1: Study characteristics!B4:B171""),A1257)&gt;0,
COUNTIF(Studies!$A$2:$A$85,FILTER(IMPORT"&amp;"RANGE(""https://docs.google.com/spreadsheets/d/1kGrh75X1cNR1D7_FcY9zMnHP8iPO4M5RCRjy6nZY0TY/edit#gid=0"",""Table 1: Study characteristics!A4:A171""), $A1257=IMPORTRANGE(""https://docs.google.com/spreadsheets/d/1kGrh75X1cNR1D7_FcY9zMnHP8iPO4M5RCRjy6nZY0TY/"&amp;"edit#gid=0"",""Table 1: Study characteristics!B4:B171"")))&gt;0
),
""Include""
)"),"Exclude")</f>
        <v>Exclude</v>
      </c>
      <c r="G1257" s="5" t="str">
        <f>IFERROR(__xludf.DUMMYFUNCTION("IFS(
D1257=""Exclude"",
FILTER(IMPORTRANGE(""https://docs.google.com/spreadsheets/d/1BJSV3WBYJGRhQ6zExamkszQ5VutGIcaQqmbD9ZTVXMQ/edit#gid=1251630045"",""articles_with_PRISMA_reasons!AB2:AB2113""), $A1257=IMPORTRANGE(""https://docs.google.com/spreadsheets/"&amp;"d/1BJSV3WBYJGRhQ6zExamkszQ5VutGIcaQqmbD9ZTVXMQ/edit#gid=1251630045"",""articles_with_PRISMA_reasons!B2:B2113"")),
E1257=""Exclude"",
FILTER(IMPORTRANGE(""https://docs.google.com/spreadsheets/d/1qpEmbGH0JjaJbUdp21-y2cPbobDbMjr09BbtdKROZWc/edit#gid=14448656"&amp;"54"",""articles_with_PRISMA_reasons!Z2:Z2113""), $A1257=IMPORTRANGE(""https://docs.google.com/spreadsheets/d/1qpEmbGH0JjaJbUdp21-y2cPbobDbMjr09BbtdKROZWc/edit#gid=1444865654"",""articles_with_PRISMA_reasons!B2:B2113"")),F1257
=""Include"",FILTER(IMPORTRAN"&amp;"GE(""https://docs.google.com/spreadsheets/d/1kGrh75X1cNR1D7_FcY9zMnHP8iPO4M5RCRjy6nZY0TY/edit#gid=0"",""Table 1: Study characteristics!A4:A171""), $A1257=IMPORTRANGE(""https://docs.google.com/spreadsheets/d/1kGrh75X1cNR1D7_FcY9zMnHP8iPO4M5RCRjy6nZY0TY/edi"&amp;"t#gid=0"",""Table 1: Study characteristics!B4:B171""))
)"),"wrong study design")</f>
        <v>wrong study design</v>
      </c>
    </row>
    <row r="1258">
      <c r="A1258" s="4" t="str">
        <f>IFERROR(__xludf.DUMMYFUNCTION("""COMPUTED_VALUE"""),"Myelomeningocele: An overview")</f>
        <v>Myelomeningocele: An overview</v>
      </c>
      <c r="B1258" s="5" t="str">
        <f>IFERROR(__xludf.DUMMYFUNCTION("LEFT(FILTER(IMPORTRANGE(""https://docs.google.com/spreadsheets/d/1BJSV3WBYJGRhQ6zExamkszQ5VutGIcaQqmbD9ZTVXMQ/edit#gid=1251630045"",""articles_with_PRISMA_reasons!K2:K2113""), $A1258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$A1258=IMPORTRANGE(""https://docs.google.com/spreadsheets/d/1BJSV3WBYJGRhQ6zExamkszQ5VutGIcaQqmbD9ZTVXMQ/edit#gid=1251630045"",""articles_with_PRISMA_reasons!B2:B2113"")))-1)"),"Di Rocco")</f>
        <v>Di Rocco</v>
      </c>
      <c r="C1258" s="6">
        <f>IFERROR(__xludf.DUMMYFUNCTION("FILTER(IMPORTRANGE(""https://docs.google.com/spreadsheets/d/1BJSV3WBYJGRhQ6zExamkszQ5VutGIcaQqmbD9ZTVXMQ/edit#gid=1251630045"",""articles_with_PRISMA_reasons!C2:C2113""), $A1258=IMPORTRANGE(""https://docs.google.com/spreadsheets/d/1BJSV3WBYJGRhQ6zExamkszQ"&amp;"5VutGIcaQqmbD9ZTVXMQ/edit#gid=1251630045"",""articles_with_PRISMA_reasons!B2:B2113""))"),2014.0)</f>
        <v>2014</v>
      </c>
      <c r="D1258" s="5" t="str">
        <f>IFERROR(__xludf.DUMMYFUNCTION("IFS(AND(
FILTER(IMPORTRANGE(""https://docs.google.com/spreadsheets/d/1BJSV3WBYJGRhQ6zExamkszQ5VutGIcaQqmbD9ZTVXMQ/edit#gid=1251630045"",""articles_with_PRISMA_reasons!Y2:Y2113""), $A1258=IMPORTRANGE(""https://docs.google.com/spreadsheets/d/1BJSV3WBYJGRhQ6"&amp;"zExamkszQ5VutGIcaQqmbD9ZTVXMQ/edit#gid=1251630045"",""articles_with_PRISMA_reasons!B2:B2113""))&gt;=2,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$A1258=IMPORTRANGE(""https://docs.google.com/spreadsheets/d/1BJSV3WBYJGRhQ6zExamkszQ5VutGIcaQqmbD9ZTVXMQ/edit#gid=1251630045"",""articles_with_PRISMA_reasons!B2:B2113""))&lt;2),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$A1258=IMPORTRANGE(""https://docs.google.com/spreadsheets/d/1BJSV3WBYJGRhQ6zExamkszQ5VutGIcaQqmbD9ZTVXMQ/edit#gid=1251630045"",""a"&amp;"rticles_with_PRISMA_reasons!B2:B2113""))&lt;2,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$A1258=IMPORTRANGE(""https://docs.google"&amp;".com/spreadsheets/d/1BJSV3WBYJGRhQ6zExamkszQ5VutGIcaQqmbD9ZTVXMQ/edit#gid=1251630045"",""articles_with_PRISMA_reasons!B2:B2113""))&gt;=2),
""Exclude""
)"),"Exclude")</f>
        <v>Exclude</v>
      </c>
      <c r="E1258" s="5" t="str">
        <f>IFERROR(__xludf.DUMMYFUNCTION("IFS(
D1258=""Exclude"",""Exclude"",
AND(
FILTER(IMPORTRANGE(""https://docs.google.com/spreadsheets/d/1qpEmbGH0JjaJbUdp21-y2cPbobDbMjr09BbtdKROZWc/edit#gid=1444865654"",""articles_with_PRISMA_reasons!W2:W2113""), $A1258=IMPORTRANGE(""https://docs.google.co"&amp;"m/spreadsheets/d/1qpEmbGH0JjaJbUdp21-y2cPbobDbMjr09BbtdKROZWc/edit#gid=1444865654"",""articles_with_PRISMA_reasons!B2:B2113""))&gt;=2,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$A1258=IMPORTRANGE(""https://docs.google.com/spreadsheets/d/1qpEmbGH0JjaJbUdp21-y2cPbobDbMjr09BbtdKROZWc/edit#gid=1444865654"",""articles_with_PRISMA_reasons!B2:B2113""))&lt;2),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$A1258=IMPORTRANGE(""https://docs.google.com/spreadsheets/d/1qpEmbGH0JjaJbUdp21-y2cPbobDbMjr09Bbtd"&amp;"KROZWc/edit#gid=1444865654"",""articles_with_PRISMA_reasons!B2:B2113""))&lt;2,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$A1258=I"&amp;"MPORTRANGE(""https://docs.google.com/spreadsheets/d/1qpEmbGH0JjaJbUdp21-y2cPbobDbMjr09BbtdKROZWc/edit#gid=1444865654"",""articles_with_PRISMA_reasons!B2:B2113""))&gt;=2),
""Exclude""
)"),"Exclude")</f>
        <v>Exclude</v>
      </c>
      <c r="F1258" s="5" t="str">
        <f>IFERROR(__xludf.DUMMYFUNCTION("IFS(
E1258=""Exclude"",""Exclude"",
AND(
COUNTIF(
IMPORTRANGE(""https://docs.google.com/spreadsheets/d/1kGrh75X1cNR1D7_FcY9zMnHP8iPO4M5RCRjy6nZY0TY/edit#gid=0"",""Table 1: Study characteristics!B4:B171""),A1258)&gt;0,
COUNTIF(Studies!$A$2:$A$85,FILTER(IMPORT"&amp;"RANGE(""https://docs.google.com/spreadsheets/d/1kGrh75X1cNR1D7_FcY9zMnHP8iPO4M5RCRjy6nZY0TY/edit#gid=0"",""Table 1: Study characteristics!A4:A171""), $A1258=IMPORTRANGE(""https://docs.google.com/spreadsheets/d/1kGrh75X1cNR1D7_FcY9zMnHP8iPO4M5RCRjy6nZY0TY/"&amp;"edit#gid=0"",""Table 1: Study characteristics!B4:B171"")))&gt;0
),
""Include""
)"),"Exclude")</f>
        <v>Exclude</v>
      </c>
      <c r="G1258" s="5" t="str">
        <f>IFERROR(__xludf.DUMMYFUNCTION("IFS(
D1258=""Exclude"",
FILTER(IMPORTRANGE(""https://docs.google.com/spreadsheets/d/1BJSV3WBYJGRhQ6zExamkszQ5VutGIcaQqmbD9ZTVXMQ/edit#gid=1251630045"",""articles_with_PRISMA_reasons!AB2:AB2113""), $A1258=IMPORTRANGE(""https://docs.google.com/spreadsheets/"&amp;"d/1BJSV3WBYJGRhQ6zExamkszQ5VutGIcaQqmbD9ZTVXMQ/edit#gid=1251630045"",""articles_with_PRISMA_reasons!B2:B2113"")),
E1258=""Exclude"",
FILTER(IMPORTRANGE(""https://docs.google.com/spreadsheets/d/1qpEmbGH0JjaJbUdp21-y2cPbobDbMjr09BbtdKROZWc/edit#gid=14448656"&amp;"54"",""articles_with_PRISMA_reasons!Z2:Z2113""), $A1258=IMPORTRANGE(""https://docs.google.com/spreadsheets/d/1qpEmbGH0JjaJbUdp21-y2cPbobDbMjr09BbtdKROZWc/edit#gid=1444865654"",""articles_with_PRISMA_reasons!B2:B2113"")),F1258
=""Include"",FILTER(IMPORTRAN"&amp;"GE(""https://docs.google.com/spreadsheets/d/1kGrh75X1cNR1D7_FcY9zMnHP8iPO4M5RCRjy6nZY0TY/edit#gid=0"",""Table 1: Study characteristics!A4:A171""), $A1258=IMPORTRANGE(""https://docs.google.com/spreadsheets/d/1kGrh75X1cNR1D7_FcY9zMnHP8iPO4M5RCRjy6nZY0TY/edi"&amp;"t#gid=0"",""Table 1: Study characteristics!B4:B171""))
)"),"background article")</f>
        <v>background article</v>
      </c>
    </row>
    <row r="1259">
      <c r="A1259" s="4" t="str">
        <f>IFERROR(__xludf.DUMMYFUNCTION("""COMPUTED_VALUE"""),"Myelomeningocele: characterization of a surgically induced sheep model and its central nervous system similarities and differences to the human disease")</f>
        <v>Myelomeningocele: characterization of a surgically induced sheep model and its central nervous system similarities and differences to the human disease</v>
      </c>
      <c r="B1259" s="5" t="str">
        <f>IFERROR(__xludf.DUMMYFUNCTION("LEFT(FILTER(IMPORTRANGE(""https://docs.google.com/spreadsheets/d/1BJSV3WBYJGRhQ6zExamkszQ5VutGIcaQqmbD9ZTVXMQ/edit#gid=1251630045"",""articles_with_PRISMA_reasons!K2:K2113""), $A1259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$A1259=IMPORTRANGE(""https://docs.google.com/spreadsheets/d/1BJSV3WBYJGRhQ6zExamkszQ5VutGIcaQqmbD9ZTVXMQ/edit#gid=1251630045"",""articles_with_PRISMA_reasons!B2:B2113"")))-1)"),"von Koch")</f>
        <v>von Koch</v>
      </c>
      <c r="C1259" s="6">
        <f>IFERROR(__xludf.DUMMYFUNCTION("FILTER(IMPORTRANGE(""https://docs.google.com/spreadsheets/d/1BJSV3WBYJGRhQ6zExamkszQ5VutGIcaQqmbD9ZTVXMQ/edit#gid=1251630045"",""articles_with_PRISMA_reasons!C2:C2113""), $A1259=IMPORTRANGE(""https://docs.google.com/spreadsheets/d/1BJSV3WBYJGRhQ6zExamkszQ"&amp;"5VutGIcaQqmbD9ZTVXMQ/edit#gid=1251630045"",""articles_with_PRISMA_reasons!B2:B2113""))"),2005.0)</f>
        <v>2005</v>
      </c>
      <c r="D1259" s="5" t="str">
        <f>IFERROR(__xludf.DUMMYFUNCTION("IFS(AND(
FILTER(IMPORTRANGE(""https://docs.google.com/spreadsheets/d/1BJSV3WBYJGRhQ6zExamkszQ5VutGIcaQqmbD9ZTVXMQ/edit#gid=1251630045"",""articles_with_PRISMA_reasons!Y2:Y2113""), $A1259=IMPORTRANGE(""https://docs.google.com/spreadsheets/d/1BJSV3WBYJGRhQ6"&amp;"zExamkszQ5VutGIcaQqmbD9ZTVXMQ/edit#gid=1251630045"",""articles_with_PRISMA_reasons!B2:B2113""))&gt;=2,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$A1259=IMPORTRANGE(""https://docs.google.com/spreadsheets/d/1BJSV3WBYJGRhQ6zExamkszQ5VutGIcaQqmbD9ZTVXMQ/edit#gid=1251630045"",""articles_with_PRISMA_reasons!B2:B2113""))&lt;2),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$A1259=IMPORTRANGE(""https://docs.google.com/spreadsheets/d/1BJSV3WBYJGRhQ6zExamkszQ5VutGIcaQqmbD9ZTVXMQ/edit#gid=1251630045"",""a"&amp;"rticles_with_PRISMA_reasons!B2:B2113""))&lt;2,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$A1259=IMPORTRANGE(""https://docs.google"&amp;".com/spreadsheets/d/1BJSV3WBYJGRhQ6zExamkszQ5VutGIcaQqmbD9ZTVXMQ/edit#gid=1251630045"",""articles_with_PRISMA_reasons!B2:B2113""))&gt;=2),
""Exclude""
)"),"Exclude")</f>
        <v>Exclude</v>
      </c>
      <c r="E1259" s="5" t="str">
        <f>IFERROR(__xludf.DUMMYFUNCTION("IFS(
D1259=""Exclude"",""Exclude"",
AND(
FILTER(IMPORTRANGE(""https://docs.google.com/spreadsheets/d/1qpEmbGH0JjaJbUdp21-y2cPbobDbMjr09BbtdKROZWc/edit#gid=1444865654"",""articles_with_PRISMA_reasons!W2:W2113""), $A1259=IMPORTRANGE(""https://docs.google.co"&amp;"m/spreadsheets/d/1qpEmbGH0JjaJbUdp21-y2cPbobDbMjr09BbtdKROZWc/edit#gid=1444865654"",""articles_with_PRISMA_reasons!B2:B2113""))&gt;=2,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$A1259=IMPORTRANGE(""https://docs.google.com/spreadsheets/d/1qpEmbGH0JjaJbUdp21-y2cPbobDbMjr09BbtdKROZWc/edit#gid=1444865654"",""articles_with_PRISMA_reasons!B2:B2113""))&lt;2),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$A1259=IMPORTRANGE(""https://docs.google.com/spreadsheets/d/1qpEmbGH0JjaJbUdp21-y2cPbobDbMjr09Bbtd"&amp;"KROZWc/edit#gid=1444865654"",""articles_with_PRISMA_reasons!B2:B2113""))&lt;2,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$A1259=I"&amp;"MPORTRANGE(""https://docs.google.com/spreadsheets/d/1qpEmbGH0JjaJbUdp21-y2cPbobDbMjr09BbtdKROZWc/edit#gid=1444865654"",""articles_with_PRISMA_reasons!B2:B2113""))&gt;=2),
""Exclude""
)"),"Exclude")</f>
        <v>Exclude</v>
      </c>
      <c r="F1259" s="5" t="str">
        <f>IFERROR(__xludf.DUMMYFUNCTION("IFS(
E1259=""Exclude"",""Exclude"",
AND(
COUNTIF(
IMPORTRANGE(""https://docs.google.com/spreadsheets/d/1kGrh75X1cNR1D7_FcY9zMnHP8iPO4M5RCRjy6nZY0TY/edit#gid=0"",""Table 1: Study characteristics!B4:B171""),A1259)&gt;0,
COUNTIF(Studies!$A$2:$A$85,FILTER(IMPORT"&amp;"RANGE(""https://docs.google.com/spreadsheets/d/1kGrh75X1cNR1D7_FcY9zMnHP8iPO4M5RCRjy6nZY0TY/edit#gid=0"",""Table 1: Study characteristics!A4:A171""), $A1259=IMPORTRANGE(""https://docs.google.com/spreadsheets/d/1kGrh75X1cNR1D7_FcY9zMnHP8iPO4M5RCRjy6nZY0TY/"&amp;"edit#gid=0"",""Table 1: Study characteristics!B4:B171"")))&gt;0
),
""Include""
)"),"Exclude")</f>
        <v>Exclude</v>
      </c>
      <c r="G1259" s="5" t="str">
        <f>IFERROR(__xludf.DUMMYFUNCTION("IFS(
D1259=""Exclude"",
FILTER(IMPORTRANGE(""https://docs.google.com/spreadsheets/d/1BJSV3WBYJGRhQ6zExamkszQ5VutGIcaQqmbD9ZTVXMQ/edit#gid=1251630045"",""articles_with_PRISMA_reasons!AB2:AB2113""), $A1259=IMPORTRANGE(""https://docs.google.com/spreadsheets/"&amp;"d/1BJSV3WBYJGRhQ6zExamkszQ5VutGIcaQqmbD9ZTVXMQ/edit#gid=1251630045"",""articles_with_PRISMA_reasons!B2:B2113"")),
E1259=""Exclude"",
FILTER(IMPORTRANGE(""https://docs.google.com/spreadsheets/d/1qpEmbGH0JjaJbUdp21-y2cPbobDbMjr09BbtdKROZWc/edit#gid=14448656"&amp;"54"",""articles_with_PRISMA_reasons!Z2:Z2113""), $A1259=IMPORTRANGE(""https://docs.google.com/spreadsheets/d/1qpEmbGH0JjaJbUdp21-y2cPbobDbMjr09BbtdKROZWc/edit#gid=1444865654"",""articles_with_PRISMA_reasons!B2:B2113"")),F1259
=""Include"",FILTER(IMPORTRAN"&amp;"GE(""https://docs.google.com/spreadsheets/d/1kGrh75X1cNR1D7_FcY9zMnHP8iPO4M5RCRjy6nZY0TY/edit#gid=0"",""Table 1: Study characteristics!A4:A171""), $A1259=IMPORTRANGE(""https://docs.google.com/spreadsheets/d/1kGrh75X1cNR1D7_FcY9zMnHP8iPO4M5RCRjy6nZY0TY/edi"&amp;"t#gid=0"",""Table 1: Study characteristics!B4:B171""))
)"),"wrong study design")</f>
        <v>wrong study design</v>
      </c>
    </row>
    <row r="1260">
      <c r="A1260" s="4" t="str">
        <f>IFERROR(__xludf.DUMMYFUNCTION("""COMPUTED_VALUE"""),"Myelomeningocele: Current concepts of management")</f>
        <v>Myelomeningocele: Current concepts of management</v>
      </c>
      <c r="B1260" s="5" t="str">
        <f>IFERROR(__xludf.DUMMYFUNCTION("LEFT(FILTER(IMPORTRANGE(""https://docs.google.com/spreadsheets/d/1BJSV3WBYJGRhQ6zExamkszQ5VutGIcaQqmbD9ZTVXMQ/edit#gid=1251630045"",""articles_with_PRISMA_reasons!K2:K2113""), $A1260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$A1260=IMPORTRANGE(""https://docs.google.com/spreadsheets/d/1BJSV3WBYJGRhQ6zExamkszQ5VutGIcaQqmbD9ZTVXMQ/edit#gid=1251630045"",""articles_with_PRISMA_reasons!B2:B2113"")))-1)"),"Noetzel")</f>
        <v>Noetzel</v>
      </c>
      <c r="C1260" s="6">
        <f>IFERROR(__xludf.DUMMYFUNCTION("FILTER(IMPORTRANGE(""https://docs.google.com/spreadsheets/d/1BJSV3WBYJGRhQ6zExamkszQ5VutGIcaQqmbD9ZTVXMQ/edit#gid=1251630045"",""articles_with_PRISMA_reasons!C2:C2113""), $A1260=IMPORTRANGE(""https://docs.google.com/spreadsheets/d/1BJSV3WBYJGRhQ6zExamkszQ"&amp;"5VutGIcaQqmbD9ZTVXMQ/edit#gid=1251630045"",""articles_with_PRISMA_reasons!B2:B2113""))"),1989.0)</f>
        <v>1989</v>
      </c>
      <c r="D1260" s="5" t="str">
        <f>IFERROR(__xludf.DUMMYFUNCTION("IFS(AND(
FILTER(IMPORTRANGE(""https://docs.google.com/spreadsheets/d/1BJSV3WBYJGRhQ6zExamkszQ5VutGIcaQqmbD9ZTVXMQ/edit#gid=1251630045"",""articles_with_PRISMA_reasons!Y2:Y2113""), $A1260=IMPORTRANGE(""https://docs.google.com/spreadsheets/d/1BJSV3WBYJGRhQ6"&amp;"zExamkszQ5VutGIcaQqmbD9ZTVXMQ/edit#gid=1251630045"",""articles_with_PRISMA_reasons!B2:B2113""))&gt;=2,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$A1260=IMPORTRANGE(""https://docs.google.com/spreadsheets/d/1BJSV3WBYJGRhQ6zExamkszQ5VutGIcaQqmbD9ZTVXMQ/edit#gid=1251630045"",""articles_with_PRISMA_reasons!B2:B2113""))&lt;2),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$A1260=IMPORTRANGE(""https://docs.google.com/spreadsheets/d/1BJSV3WBYJGRhQ6zExamkszQ5VutGIcaQqmbD9ZTVXMQ/edit#gid=1251630045"",""a"&amp;"rticles_with_PRISMA_reasons!B2:B2113""))&lt;2,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$A1260=IMPORTRANGE(""https://docs.google"&amp;".com/spreadsheets/d/1BJSV3WBYJGRhQ6zExamkszQ5VutGIcaQqmbD9ZTVXMQ/edit#gid=1251630045"",""articles_with_PRISMA_reasons!B2:B2113""))&gt;=2),
""Exclude""
)"),"Exclude")</f>
        <v>Exclude</v>
      </c>
      <c r="E1260" s="5" t="str">
        <f>IFERROR(__xludf.DUMMYFUNCTION("IFS(
D1260=""Exclude"",""Exclude"",
AND(
FILTER(IMPORTRANGE(""https://docs.google.com/spreadsheets/d/1qpEmbGH0JjaJbUdp21-y2cPbobDbMjr09BbtdKROZWc/edit#gid=1444865654"",""articles_with_PRISMA_reasons!W2:W2113""), $A1260=IMPORTRANGE(""https://docs.google.co"&amp;"m/spreadsheets/d/1qpEmbGH0JjaJbUdp21-y2cPbobDbMjr09BbtdKROZWc/edit#gid=1444865654"",""articles_with_PRISMA_reasons!B2:B2113""))&gt;=2,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$A1260=IMPORTRANGE(""https://docs.google.com/spreadsheets/d/1qpEmbGH0JjaJbUdp21-y2cPbobDbMjr09BbtdKROZWc/edit#gid=1444865654"",""articles_with_PRISMA_reasons!B2:B2113""))&lt;2),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$A1260=IMPORTRANGE(""https://docs.google.com/spreadsheets/d/1qpEmbGH0JjaJbUdp21-y2cPbobDbMjr09Bbtd"&amp;"KROZWc/edit#gid=1444865654"",""articles_with_PRISMA_reasons!B2:B2113""))&lt;2,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$A1260=I"&amp;"MPORTRANGE(""https://docs.google.com/spreadsheets/d/1qpEmbGH0JjaJbUdp21-y2cPbobDbMjr09BbtdKROZWc/edit#gid=1444865654"",""articles_with_PRISMA_reasons!B2:B2113""))&gt;=2),
""Exclude""
)"),"Exclude")</f>
        <v>Exclude</v>
      </c>
      <c r="F1260" s="5" t="str">
        <f>IFERROR(__xludf.DUMMYFUNCTION("IFS(
E1260=""Exclude"",""Exclude"",
AND(
COUNTIF(
IMPORTRANGE(""https://docs.google.com/spreadsheets/d/1kGrh75X1cNR1D7_FcY9zMnHP8iPO4M5RCRjy6nZY0TY/edit#gid=0"",""Table 1: Study characteristics!B4:B171""),A1260)&gt;0,
COUNTIF(Studies!$A$2:$A$85,FILTER(IMPORT"&amp;"RANGE(""https://docs.google.com/spreadsheets/d/1kGrh75X1cNR1D7_FcY9zMnHP8iPO4M5RCRjy6nZY0TY/edit#gid=0"",""Table 1: Study characteristics!A4:A171""), $A1260=IMPORTRANGE(""https://docs.google.com/spreadsheets/d/1kGrh75X1cNR1D7_FcY9zMnHP8iPO4M5RCRjy6nZY0TY/"&amp;"edit#gid=0"",""Table 1: Study characteristics!B4:B171"")))&gt;0
),
""Include""
)"),"Exclude")</f>
        <v>Exclude</v>
      </c>
      <c r="G1260" s="5" t="str">
        <f>IFERROR(__xludf.DUMMYFUNCTION("IFS(
D1260=""Exclude"",
FILTER(IMPORTRANGE(""https://docs.google.com/spreadsheets/d/1BJSV3WBYJGRhQ6zExamkszQ5VutGIcaQqmbD9ZTVXMQ/edit#gid=1251630045"",""articles_with_PRISMA_reasons!AB2:AB2113""), $A1260=IMPORTRANGE(""https://docs.google.com/spreadsheets/"&amp;"d/1BJSV3WBYJGRhQ6zExamkszQ5VutGIcaQqmbD9ZTVXMQ/edit#gid=1251630045"",""articles_with_PRISMA_reasons!B2:B2113"")),
E1260=""Exclude"",
FILTER(IMPORTRANGE(""https://docs.google.com/spreadsheets/d/1qpEmbGH0JjaJbUdp21-y2cPbobDbMjr09BbtdKROZWc/edit#gid=14448656"&amp;"54"",""articles_with_PRISMA_reasons!Z2:Z2113""), $A1260=IMPORTRANGE(""https://docs.google.com/spreadsheets/d/1qpEmbGH0JjaJbUdp21-y2cPbobDbMjr09BbtdKROZWc/edit#gid=1444865654"",""articles_with_PRISMA_reasons!B2:B2113"")),F1260
=""Include"",FILTER(IMPORTRAN"&amp;"GE(""https://docs.google.com/spreadsheets/d/1kGrh75X1cNR1D7_FcY9zMnHP8iPO4M5RCRjy6nZY0TY/edit#gid=0"",""Table 1: Study characteristics!A4:A171""), $A1260=IMPORTRANGE(""https://docs.google.com/spreadsheets/d/1kGrh75X1cNR1D7_FcY9zMnHP8iPO4M5RCRjy6nZY0TY/edi"&amp;"t#gid=0"",""Table 1: Study characteristics!B4:B171""))
)"),"wrong study design")</f>
        <v>wrong study design</v>
      </c>
    </row>
    <row r="1261">
      <c r="A1261" s="4" t="str">
        <f>IFERROR(__xludf.DUMMYFUNCTION("""COMPUTED_VALUE"""),"Myelomeningocele: long-term neurosurgical treatment and follow-up in 202 patients")</f>
        <v>Myelomeningocele: long-term neurosurgical treatment and follow-up in 202 patients</v>
      </c>
      <c r="B1261" s="2" t="s">
        <v>33</v>
      </c>
      <c r="C1261" s="3">
        <v>2007.0</v>
      </c>
      <c r="D1261" s="5" t="str">
        <f>IFERROR(__xludf.DUMMYFUNCTION("IFS(AND(
FILTER(IMPORTRANGE(""https://docs.google.com/spreadsheets/d/1BJSV3WBYJGRhQ6zExamkszQ5VutGIcaQqmbD9ZTVXMQ/edit#gid=1251630045"",""articles_with_PRISMA_reasons!Y2:Y2113""), $A1261=IMPORTRANGE(""https://docs.google.com/spreadsheets/d/1BJSV3WBYJGRhQ6"&amp;"zExamkszQ5VutGIcaQqmbD9ZTVXMQ/edit#gid=1251630045"",""articles_with_PRISMA_reasons!B2:B2113""))&gt;=2,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$A1261=IMPORTRANGE(""https://docs.google.com/spreadsheets/d/1BJSV3WBYJGRhQ6zExamkszQ5VutGIcaQqmbD9ZTVXMQ/edit#gid=1251630045"",""articles_with_PRISMA_reasons!B2:B2113""))&lt;2),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$A1261=IMPORTRANGE(""https://docs.google.com/spreadsheets/d/1BJSV3WBYJGRhQ6zExamkszQ5VutGIcaQqmbD9ZTVXMQ/edit#gid=1251630045"",""a"&amp;"rticles_with_PRISMA_reasons!B2:B2113""))&lt;2,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$A1261=IMPORTRANGE(""https://docs.google"&amp;".com/spreadsheets/d/1BJSV3WBYJGRhQ6zExamkszQ5VutGIcaQqmbD9ZTVXMQ/edit#gid=1251630045"",""articles_with_PRISMA_reasons!B2:B2113""))&gt;=2),
""Exclude""
)"),"Include")</f>
        <v>Include</v>
      </c>
      <c r="E1261" s="5" t="str">
        <f>IFERROR(__xludf.DUMMYFUNCTION("IFS(
D1261=""Exclude"",""Exclude"",
AND(
FILTER(IMPORTRANGE(""https://docs.google.com/spreadsheets/d/1qpEmbGH0JjaJbUdp21-y2cPbobDbMjr09BbtdKROZWc/edit#gid=1444865654"",""articles_with_PRISMA_reasons!W2:W2113""), $A1261=IMPORTRANGE(""https://docs.google.co"&amp;"m/spreadsheets/d/1qpEmbGH0JjaJbUdp21-y2cPbobDbMjr09BbtdKROZWc/edit#gid=1444865654"",""articles_with_PRISMA_reasons!B2:B2113""))&gt;=2,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$A1261=IMPORTRANGE(""https://docs.google.com/spreadsheets/d/1qpEmbGH0JjaJbUdp21-y2cPbobDbMjr09BbtdKROZWc/edit#gid=1444865654"",""articles_with_PRISMA_reasons!B2:B2113""))&lt;2),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$A1261=IMPORTRANGE(""https://docs.google.com/spreadsheets/d/1qpEmbGH0JjaJbUdp21-y2cPbobDbMjr09Bbtd"&amp;"KROZWc/edit#gid=1444865654"",""articles_with_PRISMA_reasons!B2:B2113""))&lt;2,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$A1261=I"&amp;"MPORTRANGE(""https://docs.google.com/spreadsheets/d/1qpEmbGH0JjaJbUdp21-y2cPbobDbMjr09BbtdKROZWc/edit#gid=1444865654"",""articles_with_PRISMA_reasons!B2:B2113""))&gt;=2),
""Exclude""
)"),"Exclude")</f>
        <v>Exclude</v>
      </c>
      <c r="F1261" s="5" t="str">
        <f>IFERROR(__xludf.DUMMYFUNCTION("IFS(
E1261=""Exclude"",""Exclude"",
AND(
COUNTIF(
IMPORTRANGE(""https://docs.google.com/spreadsheets/d/1kGrh75X1cNR1D7_FcY9zMnHP8iPO4M5RCRjy6nZY0TY/edit#gid=0"",""Table 1: Study characteristics!B4:B171""),A1261)&gt;0,
COUNTIF(Studies!$A$2:$A$85,FILTER(IMPORT"&amp;"RANGE(""https://docs.google.com/spreadsheets/d/1kGrh75X1cNR1D7_FcY9zMnHP8iPO4M5RCRjy6nZY0TY/edit#gid=0"",""Table 1: Study characteristics!A4:A171""), $A1261=IMPORTRANGE(""https://docs.google.com/spreadsheets/d/1kGrh75X1cNR1D7_FcY9zMnHP8iPO4M5RCRjy6nZY0TY/"&amp;"edit#gid=0"",""Table 1: Study characteristics!B4:B171"")))&gt;0
),
""Include""
)"),"Exclude")</f>
        <v>Exclude</v>
      </c>
      <c r="G1261" s="5" t="str">
        <f>IFERROR(__xludf.DUMMYFUNCTION("IFS(
D1261=""Exclude"",
FILTER(IMPORTRANGE(""https://docs.google.com/spreadsheets/d/1BJSV3WBYJGRhQ6zExamkszQ5VutGIcaQqmbD9ZTVXMQ/edit#gid=1251630045"",""articles_with_PRISMA_reasons!AB2:AB2113""), $A1261=IMPORTRANGE(""https://docs.google.com/spreadsheets/"&amp;"d/1BJSV3WBYJGRhQ6zExamkszQ5VutGIcaQqmbD9ZTVXMQ/edit#gid=1251630045"",""articles_with_PRISMA_reasons!B2:B2113"")),
E1261=""Exclude"",
FILTER(IMPORTRANGE(""https://docs.google.com/spreadsheets/d/1qpEmbGH0JjaJbUdp21-y2cPbobDbMjr09BbtdKROZWc/edit#gid=14448656"&amp;"54"",""articles_with_PRISMA_reasons!Z2:Z2113""), $A1261=IMPORTRANGE(""https://docs.google.com/spreadsheets/d/1qpEmbGH0JjaJbUdp21-y2cPbobDbMjr09BbtdKROZWc/edit#gid=1444865654"",""articles_with_PRISMA_reasons!B2:B2113"")),F1261
=""Include"",FILTER(IMPORTRAN"&amp;"GE(""https://docs.google.com/spreadsheets/d/1kGrh75X1cNR1D7_FcY9zMnHP8iPO4M5RCRjy6nZY0TY/edit#gid=0"",""Table 1: Study characteristics!A4:A171""), $A1261=IMPORTRANGE(""https://docs.google.com/spreadsheets/d/1kGrh75X1cNR1D7_FcY9zMnHP8iPO4M5RCRjy6nZY0TY/edi"&amp;"t#gid=0"",""Table 1: Study characteristics!B4:B171""))
)"),"duplicate")</f>
        <v>duplicate</v>
      </c>
    </row>
    <row r="1262">
      <c r="A1262" s="4" t="str">
        <f>IFERROR(__xludf.DUMMYFUNCTION("""COMPUTED_VALUE"""),"Myelomeningocele: long-term neurosurgical treatment and follow-up in 202 patients")</f>
        <v>Myelomeningocele: long-term neurosurgical treatment and follow-up in 202 patients</v>
      </c>
      <c r="B1262" s="2" t="s">
        <v>33</v>
      </c>
      <c r="C1262" s="3">
        <v>2007.0</v>
      </c>
      <c r="D1262" s="5" t="str">
        <f>IFERROR(__xludf.DUMMYFUNCTION("IFS(AND(
FILTER(IMPORTRANGE(""https://docs.google.com/spreadsheets/d/1BJSV3WBYJGRhQ6zExamkszQ5VutGIcaQqmbD9ZTVXMQ/edit#gid=1251630045"",""articles_with_PRISMA_reasons!Y2:Y2113""), $A1262=IMPORTRANGE(""https://docs.google.com/spreadsheets/d/1BJSV3WBYJGRhQ6"&amp;"zExamkszQ5VutGIcaQqmbD9ZTVXMQ/edit#gid=1251630045"",""articles_with_PRISMA_reasons!B2:B2113""))&gt;=2,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$A1262=IMPORTRANGE(""https://docs.google.com/spreadsheets/d/1BJSV3WBYJGRhQ6zExamkszQ5VutGIcaQqmbD9ZTVXMQ/edit#gid=1251630045"",""articles_with_PRISMA_reasons!B2:B2113""))&lt;2),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$A1262=IMPORTRANGE(""https://docs.google.com/spreadsheets/d/1BJSV3WBYJGRhQ6zExamkszQ5VutGIcaQqmbD9ZTVXMQ/edit#gid=1251630045"",""a"&amp;"rticles_with_PRISMA_reasons!B2:B2113""))&lt;2,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$A1262=IMPORTRANGE(""https://docs.google"&amp;".com/spreadsheets/d/1BJSV3WBYJGRhQ6zExamkszQ5VutGIcaQqmbD9ZTVXMQ/edit#gid=1251630045"",""articles_with_PRISMA_reasons!B2:B2113""))&gt;=2),
""Exclude""
)"),"Include")</f>
        <v>Include</v>
      </c>
      <c r="E1262" s="5" t="str">
        <f>IFERROR(__xludf.DUMMYFUNCTION("IFS(
D1262=""Exclude"",""Exclude"",
AND(
FILTER(IMPORTRANGE(""https://docs.google.com/spreadsheets/d/1qpEmbGH0JjaJbUdp21-y2cPbobDbMjr09BbtdKROZWc/edit#gid=1444865654"",""articles_with_PRISMA_reasons!W2:W2113""), $A1262=IMPORTRANGE(""https://docs.google.co"&amp;"m/spreadsheets/d/1qpEmbGH0JjaJbUdp21-y2cPbobDbMjr09BbtdKROZWc/edit#gid=1444865654"",""articles_with_PRISMA_reasons!B2:B2113""))&gt;=2,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$A1262=IMPORTRANGE(""https://docs.google.com/spreadsheets/d/1qpEmbGH0JjaJbUdp21-y2cPbobDbMjr09BbtdKROZWc/edit#gid=1444865654"",""articles_with_PRISMA_reasons!B2:B2113""))&lt;2),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$A1262=IMPORTRANGE(""https://docs.google.com/spreadsheets/d/1qpEmbGH0JjaJbUdp21-y2cPbobDbMjr09Bbtd"&amp;"KROZWc/edit#gid=1444865654"",""articles_with_PRISMA_reasons!B2:B2113""))&lt;2,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$A1262=I"&amp;"MPORTRANGE(""https://docs.google.com/spreadsheets/d/1qpEmbGH0JjaJbUdp21-y2cPbobDbMjr09BbtdKROZWc/edit#gid=1444865654"",""articles_with_PRISMA_reasons!B2:B2113""))&gt;=2),
""Exclude""
)"),"Exclude")</f>
        <v>Exclude</v>
      </c>
      <c r="F1262" s="5" t="str">
        <f>IFERROR(__xludf.DUMMYFUNCTION("IFS(
E1262=""Exclude"",""Exclude"",
AND(
COUNTIF(
IMPORTRANGE(""https://docs.google.com/spreadsheets/d/1kGrh75X1cNR1D7_FcY9zMnHP8iPO4M5RCRjy6nZY0TY/edit#gid=0"",""Table 1: Study characteristics!B4:B171""),A1262)&gt;0,
COUNTIF(Studies!$A$2:$A$85,FILTER(IMPORT"&amp;"RANGE(""https://docs.google.com/spreadsheets/d/1kGrh75X1cNR1D7_FcY9zMnHP8iPO4M5RCRjy6nZY0TY/edit#gid=0"",""Table 1: Study characteristics!A4:A171""), $A1262=IMPORTRANGE(""https://docs.google.com/spreadsheets/d/1kGrh75X1cNR1D7_FcY9zMnHP8iPO4M5RCRjy6nZY0TY/"&amp;"edit#gid=0"",""Table 1: Study characteristics!B4:B171"")))&gt;0
),
""Include""
)"),"Exclude")</f>
        <v>Exclude</v>
      </c>
      <c r="G1262" s="5" t="str">
        <f>IFERROR(__xludf.DUMMYFUNCTION("IFS(
D1262=""Exclude"",
FILTER(IMPORTRANGE(""https://docs.google.com/spreadsheets/d/1BJSV3WBYJGRhQ6zExamkszQ5VutGIcaQqmbD9ZTVXMQ/edit#gid=1251630045"",""articles_with_PRISMA_reasons!AB2:AB2113""), $A1262=IMPORTRANGE(""https://docs.google.com/spreadsheets/"&amp;"d/1BJSV3WBYJGRhQ6zExamkszQ5VutGIcaQqmbD9ZTVXMQ/edit#gid=1251630045"",""articles_with_PRISMA_reasons!B2:B2113"")),
E1262=""Exclude"",
FILTER(IMPORTRANGE(""https://docs.google.com/spreadsheets/d/1qpEmbGH0JjaJbUdp21-y2cPbobDbMjr09BbtdKROZWc/edit#gid=14448656"&amp;"54"",""articles_with_PRISMA_reasons!Z2:Z2113""), $A1262=IMPORTRANGE(""https://docs.google.com/spreadsheets/d/1qpEmbGH0JjaJbUdp21-y2cPbobDbMjr09BbtdKROZWc/edit#gid=1444865654"",""articles_with_PRISMA_reasons!B2:B2113"")),F1262
=""Include"",FILTER(IMPORTRAN"&amp;"GE(""https://docs.google.com/spreadsheets/d/1kGrh75X1cNR1D7_FcY9zMnHP8iPO4M5RCRjy6nZY0TY/edit#gid=0"",""Table 1: Study characteristics!A4:A171""), $A1262=IMPORTRANGE(""https://docs.google.com/spreadsheets/d/1kGrh75X1cNR1D7_FcY9zMnHP8iPO4M5RCRjy6nZY0TY/edi"&amp;"t#gid=0"",""Table 1: Study characteristics!B4:B171""))
)"),"duplicate")</f>
        <v>duplicate</v>
      </c>
    </row>
    <row r="1263">
      <c r="A1263" s="4" t="str">
        <f>IFERROR(__xludf.DUMMYFUNCTION("""COMPUTED_VALUE"""),"Myelomeningocele: Need for long-time complex follow-up - An observational study")</f>
        <v>Myelomeningocele: Need for long-time complex follow-up - An observational study</v>
      </c>
      <c r="B1263" s="5" t="str">
        <f>IFERROR(__xludf.DUMMYFUNCTION("LEFT(FILTER(IMPORTRANGE(""https://docs.google.com/spreadsheets/d/1BJSV3WBYJGRhQ6zExamkszQ5VutGIcaQqmbD9ZTVXMQ/edit#gid=1251630045"",""articles_with_PRISMA_reasons!K2:K2113""), $A1263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$A1263=IMPORTRANGE(""https://docs.google.com/spreadsheets/d/1BJSV3WBYJGRhQ6zExamkszQ5VutGIcaQqmbD9ZTVXMQ/edit#gid=1251630045"",""articles_with_PRISMA_reasons!B2:B2113"")))-1)"),"Bakketun")</f>
        <v>Bakketun</v>
      </c>
      <c r="C1263" s="6">
        <f>IFERROR(__xludf.DUMMYFUNCTION("FILTER(IMPORTRANGE(""https://docs.google.com/spreadsheets/d/1BJSV3WBYJGRhQ6zExamkszQ5VutGIcaQqmbD9ZTVXMQ/edit#gid=1251630045"",""articles_with_PRISMA_reasons!C2:C2113""), $A1263=IMPORTRANGE(""https://docs.google.com/spreadsheets/d/1BJSV3WBYJGRhQ6zExamkszQ"&amp;"5VutGIcaQqmbD9ZTVXMQ/edit#gid=1251630045"",""articles_with_PRISMA_reasons!B2:B2113""))"),2019.0)</f>
        <v>2019</v>
      </c>
      <c r="D1263" s="5" t="str">
        <f>IFERROR(__xludf.DUMMYFUNCTION("IFS(AND(
FILTER(IMPORTRANGE(""https://docs.google.com/spreadsheets/d/1BJSV3WBYJGRhQ6zExamkszQ5VutGIcaQqmbD9ZTVXMQ/edit#gid=1251630045"",""articles_with_PRISMA_reasons!Y2:Y2113""), $A1263=IMPORTRANGE(""https://docs.google.com/spreadsheets/d/1BJSV3WBYJGRhQ6"&amp;"zExamkszQ5VutGIcaQqmbD9ZTVXMQ/edit#gid=1251630045"",""articles_with_PRISMA_reasons!B2:B2113""))&gt;=2,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$A1263=IMPORTRANGE(""https://docs.google.com/spreadsheets/d/1BJSV3WBYJGRhQ6zExamkszQ5VutGIcaQqmbD9ZTVXMQ/edit#gid=1251630045"",""articles_with_PRISMA_reasons!B2:B2113""))&lt;2),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$A1263=IMPORTRANGE(""https://docs.google.com/spreadsheets/d/1BJSV3WBYJGRhQ6zExamkszQ5VutGIcaQqmbD9ZTVXMQ/edit#gid=1251630045"",""a"&amp;"rticles_with_PRISMA_reasons!B2:B2113""))&lt;2,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$A1263=IMPORTRANGE(""https://docs.google"&amp;".com/spreadsheets/d/1BJSV3WBYJGRhQ6zExamkszQ5VutGIcaQqmbD9ZTVXMQ/edit#gid=1251630045"",""articles_with_PRISMA_reasons!B2:B2113""))&gt;=2),
""Exclude""
)"),"Exclude")</f>
        <v>Exclude</v>
      </c>
      <c r="E1263" s="5" t="str">
        <f>IFERROR(__xludf.DUMMYFUNCTION("IFS(
D1263=""Exclude"",""Exclude"",
AND(
FILTER(IMPORTRANGE(""https://docs.google.com/spreadsheets/d/1qpEmbGH0JjaJbUdp21-y2cPbobDbMjr09BbtdKROZWc/edit#gid=1444865654"",""articles_with_PRISMA_reasons!W2:W2113""), $A1263=IMPORTRANGE(""https://docs.google.co"&amp;"m/spreadsheets/d/1qpEmbGH0JjaJbUdp21-y2cPbobDbMjr09BbtdKROZWc/edit#gid=1444865654"",""articles_with_PRISMA_reasons!B2:B2113""))&gt;=2,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$A1263=IMPORTRANGE(""https://docs.google.com/spreadsheets/d/1qpEmbGH0JjaJbUdp21-y2cPbobDbMjr09BbtdKROZWc/edit#gid=1444865654"",""articles_with_PRISMA_reasons!B2:B2113""))&lt;2),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$A1263=IMPORTRANGE(""https://docs.google.com/spreadsheets/d/1qpEmbGH0JjaJbUdp21-y2cPbobDbMjr09Bbtd"&amp;"KROZWc/edit#gid=1444865654"",""articles_with_PRISMA_reasons!B2:B2113""))&lt;2,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$A1263=I"&amp;"MPORTRANGE(""https://docs.google.com/spreadsheets/d/1qpEmbGH0JjaJbUdp21-y2cPbobDbMjr09BbtdKROZWc/edit#gid=1444865654"",""articles_with_PRISMA_reasons!B2:B2113""))&gt;=2),
""Exclude""
)"),"Exclude")</f>
        <v>Exclude</v>
      </c>
      <c r="F1263" s="5" t="str">
        <f>IFERROR(__xludf.DUMMYFUNCTION("IFS(
E1263=""Exclude"",""Exclude"",
AND(
COUNTIF(
IMPORTRANGE(""https://docs.google.com/spreadsheets/d/1kGrh75X1cNR1D7_FcY9zMnHP8iPO4M5RCRjy6nZY0TY/edit#gid=0"",""Table 1: Study characteristics!B4:B171""),A1263)&gt;0,
COUNTIF(Studies!$A$2:$A$85,FILTER(IMPORT"&amp;"RANGE(""https://docs.google.com/spreadsheets/d/1kGrh75X1cNR1D7_FcY9zMnHP8iPO4M5RCRjy6nZY0TY/edit#gid=0"",""Table 1: Study characteristics!A4:A171""), $A1263=IMPORTRANGE(""https://docs.google.com/spreadsheets/d/1kGrh75X1cNR1D7_FcY9zMnHP8iPO4M5RCRjy6nZY0TY/"&amp;"edit#gid=0"",""Table 1: Study characteristics!B4:B171"")))&gt;0
),
""Include""
)"),"Exclude")</f>
        <v>Exclude</v>
      </c>
      <c r="G1263" s="5" t="str">
        <f>IFERROR(__xludf.DUMMYFUNCTION("IFS(
D1263=""Exclude"",
FILTER(IMPORTRANGE(""https://docs.google.com/spreadsheets/d/1BJSV3WBYJGRhQ6zExamkszQ5VutGIcaQqmbD9ZTVXMQ/edit#gid=1251630045"",""articles_with_PRISMA_reasons!AB2:AB2113""), $A1263=IMPORTRANGE(""https://docs.google.com/spreadsheets/"&amp;"d/1BJSV3WBYJGRhQ6zExamkszQ5VutGIcaQqmbD9ZTVXMQ/edit#gid=1251630045"",""articles_with_PRISMA_reasons!B2:B2113"")),
E1263=""Exclude"",
FILTER(IMPORTRANGE(""https://docs.google.com/spreadsheets/d/1qpEmbGH0JjaJbUdp21-y2cPbobDbMjr09BbtdKROZWc/edit#gid=14448656"&amp;"54"",""articles_with_PRISMA_reasons!Z2:Z2113""), $A1263=IMPORTRANGE(""https://docs.google.com/spreadsheets/d/1qpEmbGH0JjaJbUdp21-y2cPbobDbMjr09BbtdKROZWc/edit#gid=1444865654"",""articles_with_PRISMA_reasons!B2:B2113"")),F1263
=""Include"",FILTER(IMPORTRAN"&amp;"GE(""https://docs.google.com/spreadsheets/d/1kGrh75X1cNR1D7_FcY9zMnHP8iPO4M5RCRjy6nZY0TY/edit#gid=0"",""Table 1: Study characteristics!A4:A171""), $A1263=IMPORTRANGE(""https://docs.google.com/spreadsheets/d/1kGrh75X1cNR1D7_FcY9zMnHP8iPO4M5RCRjy6nZY0TY/edi"&amp;"t#gid=0"",""Table 1: Study characteristics!B4:B171""))
)"),"wrong population")</f>
        <v>wrong population</v>
      </c>
    </row>
    <row r="1264">
      <c r="A1264" s="4" t="str">
        <f>IFERROR(__xludf.DUMMYFUNCTION("""COMPUTED_VALUE"""),"Myelomeningocele: neglected aspects")</f>
        <v>Myelomeningocele: neglected aspects</v>
      </c>
      <c r="B1264" s="5" t="str">
        <f>IFERROR(__xludf.DUMMYFUNCTION("LEFT(FILTER(IMPORTRANGE(""https://docs.google.com/spreadsheets/d/1BJSV3WBYJGRhQ6zExamkszQ5VutGIcaQqmbD9ZTVXMQ/edit#gid=1251630045"",""articles_with_PRISMA_reasons!K2:K2113""), $A1264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$A1264=IMPORTRANGE(""https://docs.google.com/spreadsheets/d/1BJSV3WBYJGRhQ6zExamkszQ5VutGIcaQqmbD9ZTVXMQ/edit#gid=1251630045"",""articles_with_PRISMA_reasons!B2:B2113"")))-1)"),"Woodhouse")</f>
        <v>Woodhouse</v>
      </c>
      <c r="C1264" s="6">
        <f>IFERROR(__xludf.DUMMYFUNCTION("FILTER(IMPORTRANGE(""https://docs.google.com/spreadsheets/d/1BJSV3WBYJGRhQ6zExamkszQ5VutGIcaQqmbD9ZTVXMQ/edit#gid=1251630045"",""articles_with_PRISMA_reasons!C2:C2113""), $A1264=IMPORTRANGE(""https://docs.google.com/spreadsheets/d/1BJSV3WBYJGRhQ6zExamkszQ"&amp;"5VutGIcaQqmbD9ZTVXMQ/edit#gid=1251630045"",""articles_with_PRISMA_reasons!B2:B2113""))"),2008.0)</f>
        <v>2008</v>
      </c>
      <c r="D1264" s="5" t="str">
        <f>IFERROR(__xludf.DUMMYFUNCTION("IFS(AND(
FILTER(IMPORTRANGE(""https://docs.google.com/spreadsheets/d/1BJSV3WBYJGRhQ6zExamkszQ5VutGIcaQqmbD9ZTVXMQ/edit#gid=1251630045"",""articles_with_PRISMA_reasons!Y2:Y2113""), $A1264=IMPORTRANGE(""https://docs.google.com/spreadsheets/d/1BJSV3WBYJGRhQ6"&amp;"zExamkszQ5VutGIcaQqmbD9ZTVXMQ/edit#gid=1251630045"",""articles_with_PRISMA_reasons!B2:B2113""))&gt;=2,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$A1264=IMPORTRANGE(""https://docs.google.com/spreadsheets/d/1BJSV3WBYJGRhQ6zExamkszQ5VutGIcaQqmbD9ZTVXMQ/edit#gid=1251630045"",""articles_with_PRISMA_reasons!B2:B2113""))&lt;2),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$A1264=IMPORTRANGE(""https://docs.google.com/spreadsheets/d/1BJSV3WBYJGRhQ6zExamkszQ5VutGIcaQqmbD9ZTVXMQ/edit#gid=1251630045"",""a"&amp;"rticles_with_PRISMA_reasons!B2:B2113""))&lt;2,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$A1264=IMPORTRANGE(""https://docs.google"&amp;".com/spreadsheets/d/1BJSV3WBYJGRhQ6zExamkszQ5VutGIcaQqmbD9ZTVXMQ/edit#gid=1251630045"",""articles_with_PRISMA_reasons!B2:B2113""))&gt;=2),
""Exclude""
)"),"Exclude")</f>
        <v>Exclude</v>
      </c>
      <c r="E1264" s="5" t="str">
        <f>IFERROR(__xludf.DUMMYFUNCTION("IFS(
D1264=""Exclude"",""Exclude"",
AND(
FILTER(IMPORTRANGE(""https://docs.google.com/spreadsheets/d/1qpEmbGH0JjaJbUdp21-y2cPbobDbMjr09BbtdKROZWc/edit#gid=1444865654"",""articles_with_PRISMA_reasons!W2:W2113""), $A1264=IMPORTRANGE(""https://docs.google.co"&amp;"m/spreadsheets/d/1qpEmbGH0JjaJbUdp21-y2cPbobDbMjr09BbtdKROZWc/edit#gid=1444865654"",""articles_with_PRISMA_reasons!B2:B2113""))&gt;=2,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$A1264=IMPORTRANGE(""https://docs.google.com/spreadsheets/d/1qpEmbGH0JjaJbUdp21-y2cPbobDbMjr09BbtdKROZWc/edit#gid=1444865654"",""articles_with_PRISMA_reasons!B2:B2113""))&lt;2),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$A1264=IMPORTRANGE(""https://docs.google.com/spreadsheets/d/1qpEmbGH0JjaJbUdp21-y2cPbobDbMjr09Bbtd"&amp;"KROZWc/edit#gid=1444865654"",""articles_with_PRISMA_reasons!B2:B2113""))&lt;2,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$A1264=I"&amp;"MPORTRANGE(""https://docs.google.com/spreadsheets/d/1qpEmbGH0JjaJbUdp21-y2cPbobDbMjr09BbtdKROZWc/edit#gid=1444865654"",""articles_with_PRISMA_reasons!B2:B2113""))&gt;=2),
""Exclude""
)"),"Exclude")</f>
        <v>Exclude</v>
      </c>
      <c r="F1264" s="5" t="str">
        <f>IFERROR(__xludf.DUMMYFUNCTION("IFS(
E1264=""Exclude"",""Exclude"",
AND(
COUNTIF(
IMPORTRANGE(""https://docs.google.com/spreadsheets/d/1kGrh75X1cNR1D7_FcY9zMnHP8iPO4M5RCRjy6nZY0TY/edit#gid=0"",""Table 1: Study characteristics!B4:B171""),A1264)&gt;0,
COUNTIF(Studies!$A$2:$A$85,FILTER(IMPORT"&amp;"RANGE(""https://docs.google.com/spreadsheets/d/1kGrh75X1cNR1D7_FcY9zMnHP8iPO4M5RCRjy6nZY0TY/edit#gid=0"",""Table 1: Study characteristics!A4:A171""), $A1264=IMPORTRANGE(""https://docs.google.com/spreadsheets/d/1kGrh75X1cNR1D7_FcY9zMnHP8iPO4M5RCRjy6nZY0TY/"&amp;"edit#gid=0"",""Table 1: Study characteristics!B4:B171"")))&gt;0
),
""Include""
)"),"Exclude")</f>
        <v>Exclude</v>
      </c>
      <c r="G1264" s="5" t="str">
        <f>IFERROR(__xludf.DUMMYFUNCTION("IFS(
D1264=""Exclude"",
FILTER(IMPORTRANGE(""https://docs.google.com/spreadsheets/d/1BJSV3WBYJGRhQ6zExamkszQ5VutGIcaQqmbD9ZTVXMQ/edit#gid=1251630045"",""articles_with_PRISMA_reasons!AB2:AB2113""), $A1264=IMPORTRANGE(""https://docs.google.com/spreadsheets/"&amp;"d/1BJSV3WBYJGRhQ6zExamkszQ5VutGIcaQqmbD9ZTVXMQ/edit#gid=1251630045"",""articles_with_PRISMA_reasons!B2:B2113"")),
E1264=""Exclude"",
FILTER(IMPORTRANGE(""https://docs.google.com/spreadsheets/d/1qpEmbGH0JjaJbUdp21-y2cPbobDbMjr09BbtdKROZWc/edit#gid=14448656"&amp;"54"",""articles_with_PRISMA_reasons!Z2:Z2113""), $A1264=IMPORTRANGE(""https://docs.google.com/spreadsheets/d/1qpEmbGH0JjaJbUdp21-y2cPbobDbMjr09BbtdKROZWc/edit#gid=1444865654"",""articles_with_PRISMA_reasons!B2:B2113"")),F1264
=""Include"",FILTER(IMPORTRAN"&amp;"GE(""https://docs.google.com/spreadsheets/d/1kGrh75X1cNR1D7_FcY9zMnHP8iPO4M5RCRjy6nZY0TY/edit#gid=0"",""Table 1: Study characteristics!A4:A171""), $A1264=IMPORTRANGE(""https://docs.google.com/spreadsheets/d/1kGrh75X1cNR1D7_FcY9zMnHP8iPO4M5RCRjy6nZY0TY/edi"&amp;"t#gid=0"",""Table 1: Study characteristics!B4:B171""))
)"),"Duplicate")</f>
        <v>Duplicate</v>
      </c>
    </row>
    <row r="1265">
      <c r="A1265" s="4" t="str">
        <f>IFERROR(__xludf.DUMMYFUNCTION("""COMPUTED_VALUE"""),"Myelomeningocele: Prenatal diagnosis, pathophysiology and management")</f>
        <v>Myelomeningocele: Prenatal diagnosis, pathophysiology and management</v>
      </c>
      <c r="B1265" s="5" t="str">
        <f>IFERROR(__xludf.DUMMYFUNCTION("LEFT(FILTER(IMPORTRANGE(""https://docs.google.com/spreadsheets/d/1BJSV3WBYJGRhQ6zExamkszQ5VutGIcaQqmbD9ZTVXMQ/edit#gid=1251630045"",""articles_with_PRISMA_reasons!K2:K2113""), $A1265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$A1265=IMPORTRANGE(""https://docs.google.com/spreadsheets/d/1BJSV3WBYJGRhQ6zExamkszQ5VutGIcaQqmbD9ZTVXMQ/edit#gid=1251630045"",""articles_with_PRISMA_reasons!B2:B2113"")))-1)"),"Adzick")</f>
        <v>Adzick</v>
      </c>
      <c r="C1265" s="6">
        <f>IFERROR(__xludf.DUMMYFUNCTION("FILTER(IMPORTRANGE(""https://docs.google.com/spreadsheets/d/1BJSV3WBYJGRhQ6zExamkszQ5VutGIcaQqmbD9ZTVXMQ/edit#gid=1251630045"",""articles_with_PRISMA_reasons!C2:C2113""), $A1265=IMPORTRANGE(""https://docs.google.com/spreadsheets/d/1BJSV3WBYJGRhQ6zExamkszQ"&amp;"5VutGIcaQqmbD9ZTVXMQ/edit#gid=1251630045"",""articles_with_PRISMA_reasons!B2:B2113""))"),2003.0)</f>
        <v>2003</v>
      </c>
      <c r="D1265" s="5" t="str">
        <f>IFERROR(__xludf.DUMMYFUNCTION("IFS(AND(
FILTER(IMPORTRANGE(""https://docs.google.com/spreadsheets/d/1BJSV3WBYJGRhQ6zExamkszQ5VutGIcaQqmbD9ZTVXMQ/edit#gid=1251630045"",""articles_with_PRISMA_reasons!Y2:Y2113""), $A1265=IMPORTRANGE(""https://docs.google.com/spreadsheets/d/1BJSV3WBYJGRhQ6"&amp;"zExamkszQ5VutGIcaQqmbD9ZTVXMQ/edit#gid=1251630045"",""articles_with_PRISMA_reasons!B2:B2113""))&gt;=2,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$A1265=IMPORTRANGE(""https://docs.google.com/spreadsheets/d/1BJSV3WBYJGRhQ6zExamkszQ5VutGIcaQqmbD9ZTVXMQ/edit#gid=1251630045"",""articles_with_PRISMA_reasons!B2:B2113""))&lt;2),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$A1265=IMPORTRANGE(""https://docs.google.com/spreadsheets/d/1BJSV3WBYJGRhQ6zExamkszQ5VutGIcaQqmbD9ZTVXMQ/edit#gid=1251630045"",""a"&amp;"rticles_with_PRISMA_reasons!B2:B2113""))&lt;2,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$A1265=IMPORTRANGE(""https://docs.google"&amp;".com/spreadsheets/d/1BJSV3WBYJGRhQ6zExamkszQ5VutGIcaQqmbD9ZTVXMQ/edit#gid=1251630045"",""articles_with_PRISMA_reasons!B2:B2113""))&gt;=2),
""Exclude""
)"),"Include")</f>
        <v>Include</v>
      </c>
      <c r="E1265" s="5" t="str">
        <f>IFERROR(__xludf.DUMMYFUNCTION("IFS(
D1265=""Exclude"",""Exclude"",
AND(
FILTER(IMPORTRANGE(""https://docs.google.com/spreadsheets/d/1qpEmbGH0JjaJbUdp21-y2cPbobDbMjr09BbtdKROZWc/edit#gid=1444865654"",""articles_with_PRISMA_reasons!W2:W2113""), $A1265=IMPORTRANGE(""https://docs.google.co"&amp;"m/spreadsheets/d/1qpEmbGH0JjaJbUdp21-y2cPbobDbMjr09BbtdKROZWc/edit#gid=1444865654"",""articles_with_PRISMA_reasons!B2:B2113""))&gt;=2,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$A1265=IMPORTRANGE(""https://docs.google.com/spreadsheets/d/1qpEmbGH0JjaJbUdp21-y2cPbobDbMjr09BbtdKROZWc/edit#gid=1444865654"",""articles_with_PRISMA_reasons!B2:B2113""))&lt;2),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$A1265=IMPORTRANGE(""https://docs.google.com/spreadsheets/d/1qpEmbGH0JjaJbUdp21-y2cPbobDbMjr09Bbtd"&amp;"KROZWc/edit#gid=1444865654"",""articles_with_PRISMA_reasons!B2:B2113""))&lt;2,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$A1265=I"&amp;"MPORTRANGE(""https://docs.google.com/spreadsheets/d/1qpEmbGH0JjaJbUdp21-y2cPbobDbMjr09BbtdKROZWc/edit#gid=1444865654"",""articles_with_PRISMA_reasons!B2:B2113""))&gt;=2),
""Exclude""
)"),"Exclude")</f>
        <v>Exclude</v>
      </c>
      <c r="F1265" s="5" t="str">
        <f>IFERROR(__xludf.DUMMYFUNCTION("IFS(
E1265=""Exclude"",""Exclude"",
AND(
COUNTIF(
IMPORTRANGE(""https://docs.google.com/spreadsheets/d/1kGrh75X1cNR1D7_FcY9zMnHP8iPO4M5RCRjy6nZY0TY/edit#gid=0"",""Table 1: Study characteristics!B4:B171""),A1265)&gt;0,
COUNTIF(Studies!$A$2:$A$85,FILTER(IMPORT"&amp;"RANGE(""https://docs.google.com/spreadsheets/d/1kGrh75X1cNR1D7_FcY9zMnHP8iPO4M5RCRjy6nZY0TY/edit#gid=0"",""Table 1: Study characteristics!A4:A171""), $A1265=IMPORTRANGE(""https://docs.google.com/spreadsheets/d/1kGrh75X1cNR1D7_FcY9zMnHP8iPO4M5RCRjy6nZY0TY/"&amp;"edit#gid=0"",""Table 1: Study characteristics!B4:B171"")))&gt;0
),
""Include""
)"),"Exclude")</f>
        <v>Exclude</v>
      </c>
      <c r="G1265" s="5" t="str">
        <f>IFERROR(__xludf.DUMMYFUNCTION("IFS(
D1265=""Exclude"",
FILTER(IMPORTRANGE(""https://docs.google.com/spreadsheets/d/1BJSV3WBYJGRhQ6zExamkszQ5VutGIcaQqmbD9ZTVXMQ/edit#gid=1251630045"",""articles_with_PRISMA_reasons!AB2:AB2113""), $A1265=IMPORTRANGE(""https://docs.google.com/spreadsheets/"&amp;"d/1BJSV3WBYJGRhQ6zExamkszQ5VutGIcaQqmbD9ZTVXMQ/edit#gid=1251630045"",""articles_with_PRISMA_reasons!B2:B2113"")),
E1265=""Exclude"",
FILTER(IMPORTRANGE(""https://docs.google.com/spreadsheets/d/1qpEmbGH0JjaJbUdp21-y2cPbobDbMjr09BbtdKROZWc/edit#gid=14448656"&amp;"54"",""articles_with_PRISMA_reasons!Z2:Z2113""), $A1265=IMPORTRANGE(""https://docs.google.com/spreadsheets/d/1qpEmbGH0JjaJbUdp21-y2cPbobDbMjr09BbtdKROZWc/edit#gid=1444865654"",""articles_with_PRISMA_reasons!B2:B2113"")),F1265
=""Include"",FILTER(IMPORTRAN"&amp;"GE(""https://docs.google.com/spreadsheets/d/1kGrh75X1cNR1D7_FcY9zMnHP8iPO4M5RCRjy6nZY0TY/edit#gid=0"",""Table 1: Study characteristics!A4:A171""), $A1265=IMPORTRANGE(""https://docs.google.com/spreadsheets/d/1kGrh75X1cNR1D7_FcY9zMnHP8iPO4M5RCRjy6nZY0TY/edi"&amp;"t#gid=0"",""Table 1: Study characteristics!B4:B171""))
)"),"wrong study design")</f>
        <v>wrong study design</v>
      </c>
    </row>
    <row r="1266">
      <c r="A1266" s="4" t="str">
        <f>IFERROR(__xludf.DUMMYFUNCTION("""COMPUTED_VALUE"""),"Myelomeningocele: The importance of a multidisciplinary approach")</f>
        <v>Myelomeningocele: The importance of a multidisciplinary approach</v>
      </c>
      <c r="B1266" s="5" t="str">
        <f>IFERROR(__xludf.DUMMYFUNCTION("LEFT(FILTER(IMPORTRANGE(""https://docs.google.com/spreadsheets/d/1BJSV3WBYJGRhQ6zExamkszQ5VutGIcaQqmbD9ZTVXMQ/edit#gid=1251630045"",""articles_with_PRISMA_reasons!K2:K2113""), $A1266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$A1266=IMPORTRANGE(""https://docs.google.com/spreadsheets/d/1BJSV3WBYJGRhQ6zExamkszQ5VutGIcaQqmbD9ZTVXMQ/edit#gid=1251630045"",""articles_with_PRISMA_reasons!B2:B2113"")))-1)"),"Marques")</f>
        <v>Marques</v>
      </c>
      <c r="C1266" s="6">
        <f>IFERROR(__xludf.DUMMYFUNCTION("FILTER(IMPORTRANGE(""https://docs.google.com/spreadsheets/d/1BJSV3WBYJGRhQ6zExamkszQ5VutGIcaQqmbD9ZTVXMQ/edit#gid=1251630045"",""articles_with_PRISMA_reasons!C2:C2113""), $A1266=IMPORTRANGE(""https://docs.google.com/spreadsheets/d/1BJSV3WBYJGRhQ6zExamkszQ"&amp;"5VutGIcaQqmbD9ZTVXMQ/edit#gid=1251630045"",""articles_with_PRISMA_reasons!B2:B2113""))"),2015.0)</f>
        <v>2015</v>
      </c>
      <c r="D1266" s="5" t="str">
        <f>IFERROR(__xludf.DUMMYFUNCTION("IFS(AND(
FILTER(IMPORTRANGE(""https://docs.google.com/spreadsheets/d/1BJSV3WBYJGRhQ6zExamkszQ5VutGIcaQqmbD9ZTVXMQ/edit#gid=1251630045"",""articles_with_PRISMA_reasons!Y2:Y2113""), $A1266=IMPORTRANGE(""https://docs.google.com/spreadsheets/d/1BJSV3WBYJGRhQ6"&amp;"zExamkszQ5VutGIcaQqmbD9ZTVXMQ/edit#gid=1251630045"",""articles_with_PRISMA_reasons!B2:B2113""))&gt;=2,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$A1266=IMPORTRANGE(""https://docs.google.com/spreadsheets/d/1BJSV3WBYJGRhQ6zExamkszQ5VutGIcaQqmbD9ZTVXMQ/edit#gid=1251630045"",""articles_with_PRISMA_reasons!B2:B2113""))&lt;2),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$A1266=IMPORTRANGE(""https://docs.google.com/spreadsheets/d/1BJSV3WBYJGRhQ6zExamkszQ5VutGIcaQqmbD9ZTVXMQ/edit#gid=1251630045"",""a"&amp;"rticles_with_PRISMA_reasons!B2:B2113""))&lt;2,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$A1266=IMPORTRANGE(""https://docs.google"&amp;".com/spreadsheets/d/1BJSV3WBYJGRhQ6zExamkszQ5VutGIcaQqmbD9ZTVXMQ/edit#gid=1251630045"",""articles_with_PRISMA_reasons!B2:B2113""))&gt;=2),
""Exclude""
)"),"Exclude")</f>
        <v>Exclude</v>
      </c>
      <c r="E1266" s="5" t="str">
        <f>IFERROR(__xludf.DUMMYFUNCTION("IFS(
D1266=""Exclude"",""Exclude"",
AND(
FILTER(IMPORTRANGE(""https://docs.google.com/spreadsheets/d/1qpEmbGH0JjaJbUdp21-y2cPbobDbMjr09BbtdKROZWc/edit#gid=1444865654"",""articles_with_PRISMA_reasons!W2:W2113""), $A1266=IMPORTRANGE(""https://docs.google.co"&amp;"m/spreadsheets/d/1qpEmbGH0JjaJbUdp21-y2cPbobDbMjr09BbtdKROZWc/edit#gid=1444865654"",""articles_with_PRISMA_reasons!B2:B2113""))&gt;=2,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$A1266=IMPORTRANGE(""https://docs.google.com/spreadsheets/d/1qpEmbGH0JjaJbUdp21-y2cPbobDbMjr09BbtdKROZWc/edit#gid=1444865654"",""articles_with_PRISMA_reasons!B2:B2113""))&lt;2),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$A1266=IMPORTRANGE(""https://docs.google.com/spreadsheets/d/1qpEmbGH0JjaJbUdp21-y2cPbobDbMjr09Bbtd"&amp;"KROZWc/edit#gid=1444865654"",""articles_with_PRISMA_reasons!B2:B2113""))&lt;2,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$A1266=I"&amp;"MPORTRANGE(""https://docs.google.com/spreadsheets/d/1qpEmbGH0JjaJbUdp21-y2cPbobDbMjr09BbtdKROZWc/edit#gid=1444865654"",""articles_with_PRISMA_reasons!B2:B2113""))&gt;=2),
""Exclude""
)"),"Exclude")</f>
        <v>Exclude</v>
      </c>
      <c r="F1266" s="5" t="str">
        <f>IFERROR(__xludf.DUMMYFUNCTION("IFS(
E1266=""Exclude"",""Exclude"",
AND(
COUNTIF(
IMPORTRANGE(""https://docs.google.com/spreadsheets/d/1kGrh75X1cNR1D7_FcY9zMnHP8iPO4M5RCRjy6nZY0TY/edit#gid=0"",""Table 1: Study characteristics!B4:B171""),A1266)&gt;0,
COUNTIF(Studies!$A$2:$A$85,FILTER(IMPORT"&amp;"RANGE(""https://docs.google.com/spreadsheets/d/1kGrh75X1cNR1D7_FcY9zMnHP8iPO4M5RCRjy6nZY0TY/edit#gid=0"",""Table 1: Study characteristics!A4:A171""), $A1266=IMPORTRANGE(""https://docs.google.com/spreadsheets/d/1kGrh75X1cNR1D7_FcY9zMnHP8iPO4M5RCRjy6nZY0TY/"&amp;"edit#gid=0"",""Table 1: Study characteristics!B4:B171"")))&gt;0
),
""Include""
)"),"Exclude")</f>
        <v>Exclude</v>
      </c>
      <c r="G1266" s="5" t="str">
        <f>IFERROR(__xludf.DUMMYFUNCTION("IFS(
D1266=""Exclude"",
FILTER(IMPORTRANGE(""https://docs.google.com/spreadsheets/d/1BJSV3WBYJGRhQ6zExamkszQ5VutGIcaQqmbD9ZTVXMQ/edit#gid=1251630045"",""articles_with_PRISMA_reasons!AB2:AB2113""), $A1266=IMPORTRANGE(""https://docs.google.com/spreadsheets/"&amp;"d/1BJSV3WBYJGRhQ6zExamkszQ5VutGIcaQqmbD9ZTVXMQ/edit#gid=1251630045"",""articles_with_PRISMA_reasons!B2:B2113"")),
E1266=""Exclude"",
FILTER(IMPORTRANGE(""https://docs.google.com/spreadsheets/d/1qpEmbGH0JjaJbUdp21-y2cPbobDbMjr09BbtdKROZWc/edit#gid=14448656"&amp;"54"",""articles_with_PRISMA_reasons!Z2:Z2113""), $A1266=IMPORTRANGE(""https://docs.google.com/spreadsheets/d/1qpEmbGH0JjaJbUdp21-y2cPbobDbMjr09BbtdKROZWc/edit#gid=1444865654"",""articles_with_PRISMA_reasons!B2:B2113"")),F1266
=""Include"",FILTER(IMPORTRAN"&amp;"GE(""https://docs.google.com/spreadsheets/d/1kGrh75X1cNR1D7_FcY9zMnHP8iPO4M5RCRjy6nZY0TY/edit#gid=0"",""Table 1: Study characteristics!A4:A171""), $A1266=IMPORTRANGE(""https://docs.google.com/spreadsheets/d/1kGrh75X1cNR1D7_FcY9zMnHP8iPO4M5RCRjy6nZY0TY/edi"&amp;"t#gid=0"",""Table 1: Study characteristics!B4:B171""))
)"),"background article")</f>
        <v>background article</v>
      </c>
    </row>
    <row r="1267">
      <c r="A1267" s="4" t="str">
        <f>IFERROR(__xludf.DUMMYFUNCTION("""COMPUTED_VALUE"""),"Myelomeningocele: The management of the associated hydrocephalus")</f>
        <v>Myelomeningocele: The management of the associated hydrocephalus</v>
      </c>
      <c r="B1267" s="5" t="str">
        <f>IFERROR(__xludf.DUMMYFUNCTION("LEFT(FILTER(IMPORTRANGE(""https://docs.google.com/spreadsheets/d/1BJSV3WBYJGRhQ6zExamkszQ5VutGIcaQqmbD9ZTVXMQ/edit#gid=1251630045"",""articles_with_PRISMA_reasons!K2:K2113""), $A1267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$A1267=IMPORTRANGE(""https://docs.google.com/spreadsheets/d/1BJSV3WBYJGRhQ6zExamkszQ5VutGIcaQqmbD9ZTVXMQ/edit#gid=1251630045"",""articles_with_PRISMA_reasons!B2:B2113"")))-1)"),"Tamburrini")</f>
        <v>Tamburrini</v>
      </c>
      <c r="C1267" s="6">
        <f>IFERROR(__xludf.DUMMYFUNCTION("FILTER(IMPORTRANGE(""https://docs.google.com/spreadsheets/d/1BJSV3WBYJGRhQ6zExamkszQ5VutGIcaQqmbD9ZTVXMQ/edit#gid=1251630045"",""articles_with_PRISMA_reasons!C2:C2113""), $A1267=IMPORTRANGE(""https://docs.google.com/spreadsheets/d/1BJSV3WBYJGRhQ6zExamkszQ"&amp;"5VutGIcaQqmbD9ZTVXMQ/edit#gid=1251630045"",""articles_with_PRISMA_reasons!B2:B2113""))"),2013.0)</f>
        <v>2013</v>
      </c>
      <c r="D1267" s="5" t="str">
        <f>IFERROR(__xludf.DUMMYFUNCTION("IFS(AND(
FILTER(IMPORTRANGE(""https://docs.google.com/spreadsheets/d/1BJSV3WBYJGRhQ6zExamkszQ5VutGIcaQqmbD9ZTVXMQ/edit#gid=1251630045"",""articles_with_PRISMA_reasons!Y2:Y2113""), $A1267=IMPORTRANGE(""https://docs.google.com/spreadsheets/d/1BJSV3WBYJGRhQ6"&amp;"zExamkszQ5VutGIcaQqmbD9ZTVXMQ/edit#gid=1251630045"",""articles_with_PRISMA_reasons!B2:B2113""))&gt;=2,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$A1267=IMPORTRANGE(""https://docs.google.com/spreadsheets/d/1BJSV3WBYJGRhQ6zExamkszQ5VutGIcaQqmbD9ZTVXMQ/edit#gid=1251630045"",""articles_with_PRISMA_reasons!B2:B2113""))&lt;2),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$A1267=IMPORTRANGE(""https://docs.google.com/spreadsheets/d/1BJSV3WBYJGRhQ6zExamkszQ5VutGIcaQqmbD9ZTVXMQ/edit#gid=1251630045"",""a"&amp;"rticles_with_PRISMA_reasons!B2:B2113""))&lt;2,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$A1267=IMPORTRANGE(""https://docs.google"&amp;".com/spreadsheets/d/1BJSV3WBYJGRhQ6zExamkszQ5VutGIcaQqmbD9ZTVXMQ/edit#gid=1251630045"",""articles_with_PRISMA_reasons!B2:B2113""))&gt;=2),
""Exclude""
)"),"Exclude")</f>
        <v>Exclude</v>
      </c>
      <c r="E1267" s="5" t="str">
        <f>IFERROR(__xludf.DUMMYFUNCTION("IFS(
D1267=""Exclude"",""Exclude"",
AND(
FILTER(IMPORTRANGE(""https://docs.google.com/spreadsheets/d/1qpEmbGH0JjaJbUdp21-y2cPbobDbMjr09BbtdKROZWc/edit#gid=1444865654"",""articles_with_PRISMA_reasons!W2:W2113""), $A1267=IMPORTRANGE(""https://docs.google.co"&amp;"m/spreadsheets/d/1qpEmbGH0JjaJbUdp21-y2cPbobDbMjr09BbtdKROZWc/edit#gid=1444865654"",""articles_with_PRISMA_reasons!B2:B2113""))&gt;=2,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$A1267=IMPORTRANGE(""https://docs.google.com/spreadsheets/d/1qpEmbGH0JjaJbUdp21-y2cPbobDbMjr09BbtdKROZWc/edit#gid=1444865654"",""articles_with_PRISMA_reasons!B2:B2113""))&lt;2),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$A1267=IMPORTRANGE(""https://docs.google.com/spreadsheets/d/1qpEmbGH0JjaJbUdp21-y2cPbobDbMjr09Bbtd"&amp;"KROZWc/edit#gid=1444865654"",""articles_with_PRISMA_reasons!B2:B2113""))&lt;2,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$A1267=I"&amp;"MPORTRANGE(""https://docs.google.com/spreadsheets/d/1qpEmbGH0JjaJbUdp21-y2cPbobDbMjr09BbtdKROZWc/edit#gid=1444865654"",""articles_with_PRISMA_reasons!B2:B2113""))&gt;=2),
""Exclude""
)"),"Exclude")</f>
        <v>Exclude</v>
      </c>
      <c r="F1267" s="5" t="str">
        <f>IFERROR(__xludf.DUMMYFUNCTION("IFS(
E1267=""Exclude"",""Exclude"",
AND(
COUNTIF(
IMPORTRANGE(""https://docs.google.com/spreadsheets/d/1kGrh75X1cNR1D7_FcY9zMnHP8iPO4M5RCRjy6nZY0TY/edit#gid=0"",""Table 1: Study characteristics!B4:B171""),A1267)&gt;0,
COUNTIF(Studies!$A$2:$A$85,FILTER(IMPORT"&amp;"RANGE(""https://docs.google.com/spreadsheets/d/1kGrh75X1cNR1D7_FcY9zMnHP8iPO4M5RCRjy6nZY0TY/edit#gid=0"",""Table 1: Study characteristics!A4:A171""), $A1267=IMPORTRANGE(""https://docs.google.com/spreadsheets/d/1kGrh75X1cNR1D7_FcY9zMnHP8iPO4M5RCRjy6nZY0TY/"&amp;"edit#gid=0"",""Table 1: Study characteristics!B4:B171"")))&gt;0
),
""Include""
)"),"Exclude")</f>
        <v>Exclude</v>
      </c>
      <c r="G1267" s="5" t="str">
        <f>IFERROR(__xludf.DUMMYFUNCTION("IFS(
D1267=""Exclude"",
FILTER(IMPORTRANGE(""https://docs.google.com/spreadsheets/d/1BJSV3WBYJGRhQ6zExamkszQ5VutGIcaQqmbD9ZTVXMQ/edit#gid=1251630045"",""articles_with_PRISMA_reasons!AB2:AB2113""), $A1267=IMPORTRANGE(""https://docs.google.com/spreadsheets/"&amp;"d/1BJSV3WBYJGRhQ6zExamkszQ5VutGIcaQqmbD9ZTVXMQ/edit#gid=1251630045"",""articles_with_PRISMA_reasons!B2:B2113"")),
E1267=""Exclude"",
FILTER(IMPORTRANGE(""https://docs.google.com/spreadsheets/d/1qpEmbGH0JjaJbUdp21-y2cPbobDbMjr09BbtdKROZWc/edit#gid=14448656"&amp;"54"",""articles_with_PRISMA_reasons!Z2:Z2113""), $A1267=IMPORTRANGE(""https://docs.google.com/spreadsheets/d/1qpEmbGH0JjaJbUdp21-y2cPbobDbMjr09BbtdKROZWc/edit#gid=1444865654"",""articles_with_PRISMA_reasons!B2:B2113"")),F1267
=""Include"",FILTER(IMPORTRAN"&amp;"GE(""https://docs.google.com/spreadsheets/d/1kGrh75X1cNR1D7_FcY9zMnHP8iPO4M5RCRjy6nZY0TY/edit#gid=0"",""Table 1: Study characteristics!A4:A171""), $A1267=IMPORTRANGE(""https://docs.google.com/spreadsheets/d/1kGrh75X1cNR1D7_FcY9zMnHP8iPO4M5RCRjy6nZY0TY/edi"&amp;"t#gid=0"",""Table 1: Study characteristics!B4:B171""))
)"),"wrong study design")</f>
        <v>wrong study design</v>
      </c>
    </row>
    <row r="1268">
      <c r="A1268" s="4" t="str">
        <f>IFERROR(__xludf.DUMMYFUNCTION("""COMPUTED_VALUE"""),"Myelomeningocele: the medical aspects")</f>
        <v>Myelomeningocele: the medical aspects</v>
      </c>
      <c r="B1268" s="5" t="str">
        <f>IFERROR(__xludf.DUMMYFUNCTION("LEFT(FILTER(IMPORTRANGE(""https://docs.google.com/spreadsheets/d/1BJSV3WBYJGRhQ6zExamkszQ5VutGIcaQqmbD9ZTVXMQ/edit#gid=1251630045"",""articles_with_PRISMA_reasons!K2:K2113""), $A1268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$A1268=IMPORTRANGE(""https://docs.google.com/spreadsheets/d/1BJSV3WBYJGRhQ6zExamkszQ5VutGIcaQqmbD9ZTVXMQ/edit#gid=1251630045"",""articles_with_PRISMA_reasons!B2:B2113"")))-1)"),"Myers")</f>
        <v>Myers</v>
      </c>
      <c r="C1268" s="6">
        <f>IFERROR(__xludf.DUMMYFUNCTION("FILTER(IMPORTRANGE(""https://docs.google.com/spreadsheets/d/1BJSV3WBYJGRhQ6zExamkszQ5VutGIcaQqmbD9ZTVXMQ/edit#gid=1251630045"",""articles_with_PRISMA_reasons!C2:C2113""), $A1268=IMPORTRANGE(""https://docs.google.com/spreadsheets/d/1BJSV3WBYJGRhQ6zExamkszQ"&amp;"5VutGIcaQqmbD9ZTVXMQ/edit#gid=1251630045"",""articles_with_PRISMA_reasons!B2:B2113""))"),1984.0)</f>
        <v>1984</v>
      </c>
      <c r="D1268" s="5" t="str">
        <f>IFERROR(__xludf.DUMMYFUNCTION("IFS(AND(
FILTER(IMPORTRANGE(""https://docs.google.com/spreadsheets/d/1BJSV3WBYJGRhQ6zExamkszQ5VutGIcaQqmbD9ZTVXMQ/edit#gid=1251630045"",""articles_with_PRISMA_reasons!Y2:Y2113""), $A1268=IMPORTRANGE(""https://docs.google.com/spreadsheets/d/1BJSV3WBYJGRhQ6"&amp;"zExamkszQ5VutGIcaQqmbD9ZTVXMQ/edit#gid=1251630045"",""articles_with_PRISMA_reasons!B2:B2113""))&gt;=2,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$A1268=IMPORTRANGE(""https://docs.google.com/spreadsheets/d/1BJSV3WBYJGRhQ6zExamkszQ5VutGIcaQqmbD9ZTVXMQ/edit#gid=1251630045"",""articles_with_PRISMA_reasons!B2:B2113""))&lt;2),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$A1268=IMPORTRANGE(""https://docs.google.com/spreadsheets/d/1BJSV3WBYJGRhQ6zExamkszQ5VutGIcaQqmbD9ZTVXMQ/edit#gid=1251630045"",""a"&amp;"rticles_with_PRISMA_reasons!B2:B2113""))&lt;2,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$A1268=IMPORTRANGE(""https://docs.google"&amp;".com/spreadsheets/d/1BJSV3WBYJGRhQ6zExamkszQ5VutGIcaQqmbD9ZTVXMQ/edit#gid=1251630045"",""articles_with_PRISMA_reasons!B2:B2113""))&gt;=2),
""Exclude""
)"),"Exclude")</f>
        <v>Exclude</v>
      </c>
      <c r="E1268" s="5" t="str">
        <f>IFERROR(__xludf.DUMMYFUNCTION("IFS(
D1268=""Exclude"",""Exclude"",
AND(
FILTER(IMPORTRANGE(""https://docs.google.com/spreadsheets/d/1qpEmbGH0JjaJbUdp21-y2cPbobDbMjr09BbtdKROZWc/edit#gid=1444865654"",""articles_with_PRISMA_reasons!W2:W2113""), $A1268=IMPORTRANGE(""https://docs.google.co"&amp;"m/spreadsheets/d/1qpEmbGH0JjaJbUdp21-y2cPbobDbMjr09BbtdKROZWc/edit#gid=1444865654"",""articles_with_PRISMA_reasons!B2:B2113""))&gt;=2,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$A1268=IMPORTRANGE(""https://docs.google.com/spreadsheets/d/1qpEmbGH0JjaJbUdp21-y2cPbobDbMjr09BbtdKROZWc/edit#gid=1444865654"",""articles_with_PRISMA_reasons!B2:B2113""))&lt;2),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$A1268=IMPORTRANGE(""https://docs.google.com/spreadsheets/d/1qpEmbGH0JjaJbUdp21-y2cPbobDbMjr09Bbtd"&amp;"KROZWc/edit#gid=1444865654"",""articles_with_PRISMA_reasons!B2:B2113""))&lt;2,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$A1268=I"&amp;"MPORTRANGE(""https://docs.google.com/spreadsheets/d/1qpEmbGH0JjaJbUdp21-y2cPbobDbMjr09BbtdKROZWc/edit#gid=1444865654"",""articles_with_PRISMA_reasons!B2:B2113""))&gt;=2),
""Exclude""
)"),"Exclude")</f>
        <v>Exclude</v>
      </c>
      <c r="F1268" s="5" t="str">
        <f>IFERROR(__xludf.DUMMYFUNCTION("IFS(
E1268=""Exclude"",""Exclude"",
AND(
COUNTIF(
IMPORTRANGE(""https://docs.google.com/spreadsheets/d/1kGrh75X1cNR1D7_FcY9zMnHP8iPO4M5RCRjy6nZY0TY/edit#gid=0"",""Table 1: Study characteristics!B4:B171""),A1268)&gt;0,
COUNTIF(Studies!$A$2:$A$85,FILTER(IMPORT"&amp;"RANGE(""https://docs.google.com/spreadsheets/d/1kGrh75X1cNR1D7_FcY9zMnHP8iPO4M5RCRjy6nZY0TY/edit#gid=0"",""Table 1: Study characteristics!A4:A171""), $A1268=IMPORTRANGE(""https://docs.google.com/spreadsheets/d/1kGrh75X1cNR1D7_FcY9zMnHP8iPO4M5RCRjy6nZY0TY/"&amp;"edit#gid=0"",""Table 1: Study characteristics!B4:B171"")))&gt;0
),
""Include""
)"),"Exclude")</f>
        <v>Exclude</v>
      </c>
      <c r="G1268" s="5" t="str">
        <f>IFERROR(__xludf.DUMMYFUNCTION("IFS(
D1268=""Exclude"",
FILTER(IMPORTRANGE(""https://docs.google.com/spreadsheets/d/1BJSV3WBYJGRhQ6zExamkszQ5VutGIcaQqmbD9ZTVXMQ/edit#gid=1251630045"",""articles_with_PRISMA_reasons!AB2:AB2113""), $A1268=IMPORTRANGE(""https://docs.google.com/spreadsheets/"&amp;"d/1BJSV3WBYJGRhQ6zExamkszQ5VutGIcaQqmbD9ZTVXMQ/edit#gid=1251630045"",""articles_with_PRISMA_reasons!B2:B2113"")),
E1268=""Exclude"",
FILTER(IMPORTRANGE(""https://docs.google.com/spreadsheets/d/1qpEmbGH0JjaJbUdp21-y2cPbobDbMjr09BbtdKROZWc/edit#gid=14448656"&amp;"54"",""articles_with_PRISMA_reasons!Z2:Z2113""), $A1268=IMPORTRANGE(""https://docs.google.com/spreadsheets/d/1qpEmbGH0JjaJbUdp21-y2cPbobDbMjr09BbtdKROZWc/edit#gid=1444865654"",""articles_with_PRISMA_reasons!B2:B2113"")),F1268
=""Include"",FILTER(IMPORTRAN"&amp;"GE(""https://docs.google.com/spreadsheets/d/1kGrh75X1cNR1D7_FcY9zMnHP8iPO4M5RCRjy6nZY0TY/edit#gid=0"",""Table 1: Study characteristics!A4:A171""), $A1268=IMPORTRANGE(""https://docs.google.com/spreadsheets/d/1kGrh75X1cNR1D7_FcY9zMnHP8iPO4M5RCRjy6nZY0TY/edi"&amp;"t#gid=0"",""Table 1: Study characteristics!B4:B171""))
)"),"wrong study design")</f>
        <v>wrong study design</v>
      </c>
    </row>
    <row r="1269">
      <c r="A1269" s="4" t="str">
        <f>IFERROR(__xludf.DUMMYFUNCTION("""COMPUTED_VALUE"""),"Myelomeningoceles and meningoceles: A clinicopathologic study of 43 cases")</f>
        <v>Myelomeningoceles and meningoceles: A clinicopathologic study of 43 cases</v>
      </c>
      <c r="B1269" s="5" t="str">
        <f>IFERROR(__xludf.DUMMYFUNCTION("LEFT(FILTER(IMPORTRANGE(""https://docs.google.com/spreadsheets/d/1BJSV3WBYJGRhQ6zExamkszQ5VutGIcaQqmbD9ZTVXMQ/edit#gid=1251630045"",""articles_with_PRISMA_reasons!K2:K2113""), $A1269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$A1269=IMPORTRANGE(""https://docs.google.com/spreadsheets/d/1BJSV3WBYJGRhQ6zExamkszQ5VutGIcaQqmbD9ZTVXMQ/edit#gid=1251630045"",""articles_with_PRISMA_reasons!B2:B2113"")))-1)"),"Karabagli")</f>
        <v>Karabagli</v>
      </c>
      <c r="C1269" s="6">
        <f>IFERROR(__xludf.DUMMYFUNCTION("FILTER(IMPORTRANGE(""https://docs.google.com/spreadsheets/d/1BJSV3WBYJGRhQ6zExamkszQ5VutGIcaQqmbD9ZTVXMQ/edit#gid=1251630045"",""articles_with_PRISMA_reasons!C2:C2113""), $A1269=IMPORTRANGE(""https://docs.google.com/spreadsheets/d/1BJSV3WBYJGRhQ6zExamkszQ"&amp;"5VutGIcaQqmbD9ZTVXMQ/edit#gid=1251630045"",""articles_with_PRISMA_reasons!B2:B2113""))"),2014.0)</f>
        <v>2014</v>
      </c>
      <c r="D1269" s="5" t="str">
        <f>IFERROR(__xludf.DUMMYFUNCTION("IFS(AND(
FILTER(IMPORTRANGE(""https://docs.google.com/spreadsheets/d/1BJSV3WBYJGRhQ6zExamkszQ5VutGIcaQqmbD9ZTVXMQ/edit#gid=1251630045"",""articles_with_PRISMA_reasons!Y2:Y2113""), $A1269=IMPORTRANGE(""https://docs.google.com/spreadsheets/d/1BJSV3WBYJGRhQ6"&amp;"zExamkszQ5VutGIcaQqmbD9ZTVXMQ/edit#gid=1251630045"",""articles_with_PRISMA_reasons!B2:B2113""))&gt;=2,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$A1269=IMPORTRANGE(""https://docs.google.com/spreadsheets/d/1BJSV3WBYJGRhQ6zExamkszQ5VutGIcaQqmbD9ZTVXMQ/edit#gid=1251630045"",""articles_with_PRISMA_reasons!B2:B2113""))&lt;2),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$A1269=IMPORTRANGE(""https://docs.google.com/spreadsheets/d/1BJSV3WBYJGRhQ6zExamkszQ5VutGIcaQqmbD9ZTVXMQ/edit#gid=1251630045"",""a"&amp;"rticles_with_PRISMA_reasons!B2:B2113""))&lt;2,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$A1269=IMPORTRANGE(""https://docs.google"&amp;".com/spreadsheets/d/1BJSV3WBYJGRhQ6zExamkszQ5VutGIcaQqmbD9ZTVXMQ/edit#gid=1251630045"",""articles_with_PRISMA_reasons!B2:B2113""))&gt;=2),
""Exclude""
)"),"Exclude")</f>
        <v>Exclude</v>
      </c>
      <c r="E1269" s="5" t="str">
        <f>IFERROR(__xludf.DUMMYFUNCTION("IFS(
D1269=""Exclude"",""Exclude"",
AND(
FILTER(IMPORTRANGE(""https://docs.google.com/spreadsheets/d/1qpEmbGH0JjaJbUdp21-y2cPbobDbMjr09BbtdKROZWc/edit#gid=1444865654"",""articles_with_PRISMA_reasons!W2:W2113""), $A1269=IMPORTRANGE(""https://docs.google.co"&amp;"m/spreadsheets/d/1qpEmbGH0JjaJbUdp21-y2cPbobDbMjr09BbtdKROZWc/edit#gid=1444865654"",""articles_with_PRISMA_reasons!B2:B2113""))&gt;=2,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$A1269=IMPORTRANGE(""https://docs.google.com/spreadsheets/d/1qpEmbGH0JjaJbUdp21-y2cPbobDbMjr09BbtdKROZWc/edit#gid=1444865654"",""articles_with_PRISMA_reasons!B2:B2113""))&lt;2),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$A1269=IMPORTRANGE(""https://docs.google.com/spreadsheets/d/1qpEmbGH0JjaJbUdp21-y2cPbobDbMjr09Bbtd"&amp;"KROZWc/edit#gid=1444865654"",""articles_with_PRISMA_reasons!B2:B2113""))&lt;2,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$A1269=I"&amp;"MPORTRANGE(""https://docs.google.com/spreadsheets/d/1qpEmbGH0JjaJbUdp21-y2cPbobDbMjr09BbtdKROZWc/edit#gid=1444865654"",""articles_with_PRISMA_reasons!B2:B2113""))&gt;=2),
""Exclude""
)"),"Exclude")</f>
        <v>Exclude</v>
      </c>
      <c r="F1269" s="5" t="str">
        <f>IFERROR(__xludf.DUMMYFUNCTION("IFS(
E1269=""Exclude"",""Exclude"",
AND(
COUNTIF(
IMPORTRANGE(""https://docs.google.com/spreadsheets/d/1kGrh75X1cNR1D7_FcY9zMnHP8iPO4M5RCRjy6nZY0TY/edit#gid=0"",""Table 1: Study characteristics!B4:B171""),A1269)&gt;0,
COUNTIF(Studies!$A$2:$A$85,FILTER(IMPORT"&amp;"RANGE(""https://docs.google.com/spreadsheets/d/1kGrh75X1cNR1D7_FcY9zMnHP8iPO4M5RCRjy6nZY0TY/edit#gid=0"",""Table 1: Study characteristics!A4:A171""), $A1269=IMPORTRANGE(""https://docs.google.com/spreadsheets/d/1kGrh75X1cNR1D7_FcY9zMnHP8iPO4M5RCRjy6nZY0TY/"&amp;"edit#gid=0"",""Table 1: Study characteristics!B4:B171"")))&gt;0
),
""Include""
)"),"Exclude")</f>
        <v>Exclude</v>
      </c>
      <c r="G1269" s="5" t="str">
        <f>IFERROR(__xludf.DUMMYFUNCTION("IFS(
D1269=""Exclude"",
FILTER(IMPORTRANGE(""https://docs.google.com/spreadsheets/d/1BJSV3WBYJGRhQ6zExamkszQ5VutGIcaQqmbD9ZTVXMQ/edit#gid=1251630045"",""articles_with_PRISMA_reasons!AB2:AB2113""), $A1269=IMPORTRANGE(""https://docs.google.com/spreadsheets/"&amp;"d/1BJSV3WBYJGRhQ6zExamkszQ5VutGIcaQqmbD9ZTVXMQ/edit#gid=1251630045"",""articles_with_PRISMA_reasons!B2:B2113"")),
E1269=""Exclude"",
FILTER(IMPORTRANGE(""https://docs.google.com/spreadsheets/d/1qpEmbGH0JjaJbUdp21-y2cPbobDbMjr09BbtdKROZWc/edit#gid=14448656"&amp;"54"",""articles_with_PRISMA_reasons!Z2:Z2113""), $A1269=IMPORTRANGE(""https://docs.google.com/spreadsheets/d/1qpEmbGH0JjaJbUdp21-y2cPbobDbMjr09BbtdKROZWc/edit#gid=1444865654"",""articles_with_PRISMA_reasons!B2:B2113"")),F1269
=""Include"",FILTER(IMPORTRAN"&amp;"GE(""https://docs.google.com/spreadsheets/d/1kGrh75X1cNR1D7_FcY9zMnHP8iPO4M5RCRjy6nZY0TY/edit#gid=0"",""Table 1: Study characteristics!A4:A171""), $A1269=IMPORTRANGE(""https://docs.google.com/spreadsheets/d/1kGrh75X1cNR1D7_FcY9zMnHP8iPO4M5RCRjy6nZY0TY/edi"&amp;"t#gid=0"",""Table 1: Study characteristics!B4:B171""))
)"),"wrong study design")</f>
        <v>wrong study design</v>
      </c>
    </row>
    <row r="1270">
      <c r="A1270" s="4" t="str">
        <f>IFERROR(__xludf.DUMMYFUNCTION("""COMPUTED_VALUE"""),"Myelomeningoceles: Validity of early postnatal assessment")</f>
        <v>Myelomeningoceles: Validity of early postnatal assessment</v>
      </c>
      <c r="B1270" s="5" t="str">
        <f>IFERROR(__xludf.DUMMYFUNCTION("LEFT(FILTER(IMPORTRANGE(""https://docs.google.com/spreadsheets/d/1BJSV3WBYJGRhQ6zExamkszQ5VutGIcaQqmbD9ZTVXMQ/edit#gid=1251630045"",""articles_with_PRISMA_reasons!K2:K2113""), $A1270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$A1270=IMPORTRANGE(""https://docs.google.com/spreadsheets/d/1BJSV3WBYJGRhQ6zExamkszQ5VutGIcaQqmbD9ZTVXMQ/edit#gid=1251630045"",""articles_with_PRISMA_reasons!B2:B2113"")))-1)"),"Simpson")</f>
        <v>Simpson</v>
      </c>
      <c r="C1270" s="6">
        <f>IFERROR(__xludf.DUMMYFUNCTION("FILTER(IMPORTRANGE(""https://docs.google.com/spreadsheets/d/1BJSV3WBYJGRhQ6zExamkszQ5VutGIcaQqmbD9ZTVXMQ/edit#gid=1251630045"",""articles_with_PRISMA_reasons!C2:C2113""), $A1270=IMPORTRANGE(""https://docs.google.com/spreadsheets/d/1BJSV3WBYJGRhQ6zExamkszQ"&amp;"5VutGIcaQqmbD9ZTVXMQ/edit#gid=1251630045"",""articles_with_PRISMA_reasons!B2:B2113""))"),1985.0)</f>
        <v>1985</v>
      </c>
      <c r="D1270" s="5" t="str">
        <f>IFERROR(__xludf.DUMMYFUNCTION("IFS(AND(
FILTER(IMPORTRANGE(""https://docs.google.com/spreadsheets/d/1BJSV3WBYJGRhQ6zExamkszQ5VutGIcaQqmbD9ZTVXMQ/edit#gid=1251630045"",""articles_with_PRISMA_reasons!Y2:Y2113""), $A1270=IMPORTRANGE(""https://docs.google.com/spreadsheets/d/1BJSV3WBYJGRhQ6"&amp;"zExamkszQ5VutGIcaQqmbD9ZTVXMQ/edit#gid=1251630045"",""articles_with_PRISMA_reasons!B2:B2113""))&gt;=2,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$A1270=IMPORTRANGE(""https://docs.google.com/spreadsheets/d/1BJSV3WBYJGRhQ6zExamkszQ5VutGIcaQqmbD9ZTVXMQ/edit#gid=1251630045"",""articles_with_PRISMA_reasons!B2:B2113""))&lt;2),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$A1270=IMPORTRANGE(""https://docs.google.com/spreadsheets/d/1BJSV3WBYJGRhQ6zExamkszQ5VutGIcaQqmbD9ZTVXMQ/edit#gid=1251630045"",""a"&amp;"rticles_with_PRISMA_reasons!B2:B2113""))&lt;2,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$A1270=IMPORTRANGE(""https://docs.google"&amp;".com/spreadsheets/d/1BJSV3WBYJGRhQ6zExamkszQ5VutGIcaQqmbD9ZTVXMQ/edit#gid=1251630045"",""articles_with_PRISMA_reasons!B2:B2113""))&gt;=2),
""Exclude""
)"),"Exclude")</f>
        <v>Exclude</v>
      </c>
      <c r="E1270" s="5" t="str">
        <f>IFERROR(__xludf.DUMMYFUNCTION("IFS(
D1270=""Exclude"",""Exclude"",
AND(
FILTER(IMPORTRANGE(""https://docs.google.com/spreadsheets/d/1qpEmbGH0JjaJbUdp21-y2cPbobDbMjr09BbtdKROZWc/edit#gid=1444865654"",""articles_with_PRISMA_reasons!W2:W2113""), $A1270=IMPORTRANGE(""https://docs.google.co"&amp;"m/spreadsheets/d/1qpEmbGH0JjaJbUdp21-y2cPbobDbMjr09BbtdKROZWc/edit#gid=1444865654"",""articles_with_PRISMA_reasons!B2:B2113""))&gt;=2,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$A1270=IMPORTRANGE(""https://docs.google.com/spreadsheets/d/1qpEmbGH0JjaJbUdp21-y2cPbobDbMjr09BbtdKROZWc/edit#gid=1444865654"",""articles_with_PRISMA_reasons!B2:B2113""))&lt;2),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$A1270=IMPORTRANGE(""https://docs.google.com/spreadsheets/d/1qpEmbGH0JjaJbUdp21-y2cPbobDbMjr09Bbtd"&amp;"KROZWc/edit#gid=1444865654"",""articles_with_PRISMA_reasons!B2:B2113""))&lt;2,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$A1270=I"&amp;"MPORTRANGE(""https://docs.google.com/spreadsheets/d/1qpEmbGH0JjaJbUdp21-y2cPbobDbMjr09BbtdKROZWc/edit#gid=1444865654"",""articles_with_PRISMA_reasons!B2:B2113""))&gt;=2),
""Exclude""
)"),"Exclude")</f>
        <v>Exclude</v>
      </c>
      <c r="F1270" s="5" t="str">
        <f>IFERROR(__xludf.DUMMYFUNCTION("IFS(
E1270=""Exclude"",""Exclude"",
AND(
COUNTIF(
IMPORTRANGE(""https://docs.google.com/spreadsheets/d/1kGrh75X1cNR1D7_FcY9zMnHP8iPO4M5RCRjy6nZY0TY/edit#gid=0"",""Table 1: Study characteristics!B4:B171""),A1270)&gt;0,
COUNTIF(Studies!$A$2:$A$85,FILTER(IMPORT"&amp;"RANGE(""https://docs.google.com/spreadsheets/d/1kGrh75X1cNR1D7_FcY9zMnHP8iPO4M5RCRjy6nZY0TY/edit#gid=0"",""Table 1: Study characteristics!A4:A171""), $A1270=IMPORTRANGE(""https://docs.google.com/spreadsheets/d/1kGrh75X1cNR1D7_FcY9zMnHP8iPO4M5RCRjy6nZY0TY/"&amp;"edit#gid=0"",""Table 1: Study characteristics!B4:B171"")))&gt;0
),
""Include""
)"),"Exclude")</f>
        <v>Exclude</v>
      </c>
      <c r="G1270" s="5" t="str">
        <f>IFERROR(__xludf.DUMMYFUNCTION("IFS(
D1270=""Exclude"",
FILTER(IMPORTRANGE(""https://docs.google.com/spreadsheets/d/1BJSV3WBYJGRhQ6zExamkszQ5VutGIcaQqmbD9ZTVXMQ/edit#gid=1251630045"",""articles_with_PRISMA_reasons!AB2:AB2113""), $A1270=IMPORTRANGE(""https://docs.google.com/spreadsheets/"&amp;"d/1BJSV3WBYJGRhQ6zExamkszQ5VutGIcaQqmbD9ZTVXMQ/edit#gid=1251630045"",""articles_with_PRISMA_reasons!B2:B2113"")),
E1270=""Exclude"",
FILTER(IMPORTRANGE(""https://docs.google.com/spreadsheets/d/1qpEmbGH0JjaJbUdp21-y2cPbobDbMjr09BbtdKROZWc/edit#gid=14448656"&amp;"54"",""articles_with_PRISMA_reasons!Z2:Z2113""), $A1270=IMPORTRANGE(""https://docs.google.com/spreadsheets/d/1qpEmbGH0JjaJbUdp21-y2cPbobDbMjr09BbtdKROZWc/edit#gid=1444865654"",""articles_with_PRISMA_reasons!B2:B2113"")),F1270
=""Include"",FILTER(IMPORTRAN"&amp;"GE(""https://docs.google.com/spreadsheets/d/1kGrh75X1cNR1D7_FcY9zMnHP8iPO4M5RCRjy6nZY0TY/edit#gid=0"",""Table 1: Study characteristics!A4:A171""), $A1270=IMPORTRANGE(""https://docs.google.com/spreadsheets/d/1kGrh75X1cNR1D7_FcY9zMnHP8iPO4M5RCRjy6nZY0TY/edi"&amp;"t#gid=0"",""Table 1: Study characteristics!B4:B171""))
)"),"wrong intervention")</f>
        <v>wrong intervention</v>
      </c>
    </row>
    <row r="1271">
      <c r="A1271" s="4" t="str">
        <f>IFERROR(__xludf.DUMMYFUNCTION("""COMPUTED_VALUE"""),"Myelomeningocoele in dizygotic twins")</f>
        <v>Myelomeningocoele in dizygotic twins</v>
      </c>
      <c r="B1271" s="5" t="str">
        <f>IFERROR(__xludf.DUMMYFUNCTION("LEFT(FILTER(IMPORTRANGE(""https://docs.google.com/spreadsheets/d/1BJSV3WBYJGRhQ6zExamkszQ5VutGIcaQqmbD9ZTVXMQ/edit#gid=1251630045"",""articles_with_PRISMA_reasons!K2:K2113""), $A1271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$A1271=IMPORTRANGE(""https://docs.google.com/spreadsheets/d/1BJSV3WBYJGRhQ6zExamkszQ5VutGIcaQqmbD9ZTVXMQ/edit#gid=1251630045"",""articles_with_PRISMA_reasons!B2:B2113"")))-1)"),"Ugwu")</f>
        <v>Ugwu</v>
      </c>
      <c r="C1271" s="6">
        <f>IFERROR(__xludf.DUMMYFUNCTION("FILTER(IMPORTRANGE(""https://docs.google.com/spreadsheets/d/1BJSV3WBYJGRhQ6zExamkszQ5VutGIcaQqmbD9ZTVXMQ/edit#gid=1251630045"",""articles_with_PRISMA_reasons!C2:C2113""), $A1271=IMPORTRANGE(""https://docs.google.com/spreadsheets/d/1BJSV3WBYJGRhQ6zExamkszQ"&amp;"5VutGIcaQqmbD9ZTVXMQ/edit#gid=1251630045"",""articles_with_PRISMA_reasons!B2:B2113""))"),2009.0)</f>
        <v>2009</v>
      </c>
      <c r="D1271" s="5" t="str">
        <f>IFERROR(__xludf.DUMMYFUNCTION("IFS(AND(
FILTER(IMPORTRANGE(""https://docs.google.com/spreadsheets/d/1BJSV3WBYJGRhQ6zExamkszQ5VutGIcaQqmbD9ZTVXMQ/edit#gid=1251630045"",""articles_with_PRISMA_reasons!Y2:Y2113""), $A1271=IMPORTRANGE(""https://docs.google.com/spreadsheets/d/1BJSV3WBYJGRhQ6"&amp;"zExamkszQ5VutGIcaQqmbD9ZTVXMQ/edit#gid=1251630045"",""articles_with_PRISMA_reasons!B2:B2113""))&gt;=2,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$A1271=IMPORTRANGE(""https://docs.google.com/spreadsheets/d/1BJSV3WBYJGRhQ6zExamkszQ5VutGIcaQqmbD9ZTVXMQ/edit#gid=1251630045"",""articles_with_PRISMA_reasons!B2:B2113""))&lt;2),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$A1271=IMPORTRANGE(""https://docs.google.com/spreadsheets/d/1BJSV3WBYJGRhQ6zExamkszQ5VutGIcaQqmbD9ZTVXMQ/edit#gid=1251630045"",""a"&amp;"rticles_with_PRISMA_reasons!B2:B2113""))&lt;2,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$A1271=IMPORTRANGE(""https://docs.google"&amp;".com/spreadsheets/d/1BJSV3WBYJGRhQ6zExamkszQ5VutGIcaQqmbD9ZTVXMQ/edit#gid=1251630045"",""articles_with_PRISMA_reasons!B2:B2113""))&gt;=2),
""Exclude""
)"),"Exclude")</f>
        <v>Exclude</v>
      </c>
      <c r="E1271" s="5" t="str">
        <f>IFERROR(__xludf.DUMMYFUNCTION("IFS(
D1271=""Exclude"",""Exclude"",
AND(
FILTER(IMPORTRANGE(""https://docs.google.com/spreadsheets/d/1qpEmbGH0JjaJbUdp21-y2cPbobDbMjr09BbtdKROZWc/edit#gid=1444865654"",""articles_with_PRISMA_reasons!W2:W2113""), $A1271=IMPORTRANGE(""https://docs.google.co"&amp;"m/spreadsheets/d/1qpEmbGH0JjaJbUdp21-y2cPbobDbMjr09BbtdKROZWc/edit#gid=1444865654"",""articles_with_PRISMA_reasons!B2:B2113""))&gt;=2,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$A1271=IMPORTRANGE(""https://docs.google.com/spreadsheets/d/1qpEmbGH0JjaJbUdp21-y2cPbobDbMjr09BbtdKROZWc/edit#gid=1444865654"",""articles_with_PRISMA_reasons!B2:B2113""))&lt;2),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$A1271=IMPORTRANGE(""https://docs.google.com/spreadsheets/d/1qpEmbGH0JjaJbUdp21-y2cPbobDbMjr09Bbtd"&amp;"KROZWc/edit#gid=1444865654"",""articles_with_PRISMA_reasons!B2:B2113""))&lt;2,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$A1271=I"&amp;"MPORTRANGE(""https://docs.google.com/spreadsheets/d/1qpEmbGH0JjaJbUdp21-y2cPbobDbMjr09BbtdKROZWc/edit#gid=1444865654"",""articles_with_PRISMA_reasons!B2:B2113""))&gt;=2),
""Exclude""
)"),"Exclude")</f>
        <v>Exclude</v>
      </c>
      <c r="F1271" s="5" t="str">
        <f>IFERROR(__xludf.DUMMYFUNCTION("IFS(
E1271=""Exclude"",""Exclude"",
AND(
COUNTIF(
IMPORTRANGE(""https://docs.google.com/spreadsheets/d/1kGrh75X1cNR1D7_FcY9zMnHP8iPO4M5RCRjy6nZY0TY/edit#gid=0"",""Table 1: Study characteristics!B4:B171""),A1271)&gt;0,
COUNTIF(Studies!$A$2:$A$85,FILTER(IMPORT"&amp;"RANGE(""https://docs.google.com/spreadsheets/d/1kGrh75X1cNR1D7_FcY9zMnHP8iPO4M5RCRjy6nZY0TY/edit#gid=0"",""Table 1: Study characteristics!A4:A171""), $A1271=IMPORTRANGE(""https://docs.google.com/spreadsheets/d/1kGrh75X1cNR1D7_FcY9zMnHP8iPO4M5RCRjy6nZY0TY/"&amp;"edit#gid=0"",""Table 1: Study characteristics!B4:B171"")))&gt;0
),
""Include""
)"),"Exclude")</f>
        <v>Exclude</v>
      </c>
      <c r="G1271" s="5" t="str">
        <f>IFERROR(__xludf.DUMMYFUNCTION("IFS(
D1271=""Exclude"",
FILTER(IMPORTRANGE(""https://docs.google.com/spreadsheets/d/1BJSV3WBYJGRhQ6zExamkszQ5VutGIcaQqmbD9ZTVXMQ/edit#gid=1251630045"",""articles_with_PRISMA_reasons!AB2:AB2113""), $A1271=IMPORTRANGE(""https://docs.google.com/spreadsheets/"&amp;"d/1BJSV3WBYJGRhQ6zExamkszQ5VutGIcaQqmbD9ZTVXMQ/edit#gid=1251630045"",""articles_with_PRISMA_reasons!B2:B2113"")),
E1271=""Exclude"",
FILTER(IMPORTRANGE(""https://docs.google.com/spreadsheets/d/1qpEmbGH0JjaJbUdp21-y2cPbobDbMjr09BbtdKROZWc/edit#gid=14448656"&amp;"54"",""articles_with_PRISMA_reasons!Z2:Z2113""), $A1271=IMPORTRANGE(""https://docs.google.com/spreadsheets/d/1qpEmbGH0JjaJbUdp21-y2cPbobDbMjr09BbtdKROZWc/edit#gid=1444865654"",""articles_with_PRISMA_reasons!B2:B2113"")),F1271
=""Include"",FILTER(IMPORTRAN"&amp;"GE(""https://docs.google.com/spreadsheets/d/1kGrh75X1cNR1D7_FcY9zMnHP8iPO4M5RCRjy6nZY0TY/edit#gid=0"",""Table 1: Study characteristics!A4:A171""), $A1271=IMPORTRANGE(""https://docs.google.com/spreadsheets/d/1kGrh75X1cNR1D7_FcY9zMnHP8iPO4M5RCRjy6nZY0TY/edi"&amp;"t#gid=0"",""Table 1: Study characteristics!B4:B171""))
)"),"wrong study design")</f>
        <v>wrong study design</v>
      </c>
    </row>
    <row r="1272">
      <c r="A1272" s="4" t="str">
        <f>IFERROR(__xludf.DUMMYFUNCTION("""COMPUTED_VALUE"""),"Native valve endocarditis due to Candida albicans in two children: Two new case reports")</f>
        <v>Native valve endocarditis due to Candida albicans in two children: Two new case reports</v>
      </c>
      <c r="B1272" s="5" t="str">
        <f>IFERROR(__xludf.DUMMYFUNCTION("LEFT(FILTER(IMPORTRANGE(""https://docs.google.com/spreadsheets/d/1BJSV3WBYJGRhQ6zExamkszQ5VutGIcaQqmbD9ZTVXMQ/edit#gid=1251630045"",""articles_with_PRISMA_reasons!K2:K2113""), $A1272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$A1272=IMPORTRANGE(""https://docs.google.com/spreadsheets/d/1BJSV3WBYJGRhQ6zExamkszQ5VutGIcaQqmbD9ZTVXMQ/edit#gid=1251630045"",""articles_with_PRISMA_reasons!B2:B2113"")))-1)"),"Guner")</f>
        <v>Guner</v>
      </c>
      <c r="C1272" s="6">
        <f>IFERROR(__xludf.DUMMYFUNCTION("FILTER(IMPORTRANGE(""https://docs.google.com/spreadsheets/d/1BJSV3WBYJGRhQ6zExamkszQ5VutGIcaQqmbD9ZTVXMQ/edit#gid=1251630045"",""articles_with_PRISMA_reasons!C2:C2113""), $A1272=IMPORTRANGE(""https://docs.google.com/spreadsheets/d/1BJSV3WBYJGRhQ6zExamkszQ"&amp;"5VutGIcaQqmbD9ZTVXMQ/edit#gid=1251630045"",""articles_with_PRISMA_reasons!B2:B2113""))"),2019.0)</f>
        <v>2019</v>
      </c>
      <c r="D1272" s="5" t="str">
        <f>IFERROR(__xludf.DUMMYFUNCTION("IFS(AND(
FILTER(IMPORTRANGE(""https://docs.google.com/spreadsheets/d/1BJSV3WBYJGRhQ6zExamkszQ5VutGIcaQqmbD9ZTVXMQ/edit#gid=1251630045"",""articles_with_PRISMA_reasons!Y2:Y2113""), $A1272=IMPORTRANGE(""https://docs.google.com/spreadsheets/d/1BJSV3WBYJGRhQ6"&amp;"zExamkszQ5VutGIcaQqmbD9ZTVXMQ/edit#gid=1251630045"",""articles_with_PRISMA_reasons!B2:B2113""))&gt;=2,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$A1272=IMPORTRANGE(""https://docs.google.com/spreadsheets/d/1BJSV3WBYJGRhQ6zExamkszQ5VutGIcaQqmbD9ZTVXMQ/edit#gid=1251630045"",""articles_with_PRISMA_reasons!B2:B2113""))&lt;2),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$A1272=IMPORTRANGE(""https://docs.google.com/spreadsheets/d/1BJSV3WBYJGRhQ6zExamkszQ5VutGIcaQqmbD9ZTVXMQ/edit#gid=1251630045"",""a"&amp;"rticles_with_PRISMA_reasons!B2:B2113""))&lt;2,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$A1272=IMPORTRANGE(""https://docs.google"&amp;".com/spreadsheets/d/1BJSV3WBYJGRhQ6zExamkszQ5VutGIcaQqmbD9ZTVXMQ/edit#gid=1251630045"",""articles_with_PRISMA_reasons!B2:B2113""))&gt;=2),
""Exclude""
)"),"Exclude")</f>
        <v>Exclude</v>
      </c>
      <c r="E1272" s="5" t="str">
        <f>IFERROR(__xludf.DUMMYFUNCTION("IFS(
D1272=""Exclude"",""Exclude"",
AND(
FILTER(IMPORTRANGE(""https://docs.google.com/spreadsheets/d/1qpEmbGH0JjaJbUdp21-y2cPbobDbMjr09BbtdKROZWc/edit#gid=1444865654"",""articles_with_PRISMA_reasons!W2:W2113""), $A1272=IMPORTRANGE(""https://docs.google.co"&amp;"m/spreadsheets/d/1qpEmbGH0JjaJbUdp21-y2cPbobDbMjr09BbtdKROZWc/edit#gid=1444865654"",""articles_with_PRISMA_reasons!B2:B2113""))&gt;=2,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$A1272=IMPORTRANGE(""https://docs.google.com/spreadsheets/d/1qpEmbGH0JjaJbUdp21-y2cPbobDbMjr09BbtdKROZWc/edit#gid=1444865654"",""articles_with_PRISMA_reasons!B2:B2113""))&lt;2),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$A1272=IMPORTRANGE(""https://docs.google.com/spreadsheets/d/1qpEmbGH0JjaJbUdp21-y2cPbobDbMjr09Bbtd"&amp;"KROZWc/edit#gid=1444865654"",""articles_with_PRISMA_reasons!B2:B2113""))&lt;2,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$A1272=I"&amp;"MPORTRANGE(""https://docs.google.com/spreadsheets/d/1qpEmbGH0JjaJbUdp21-y2cPbobDbMjr09BbtdKROZWc/edit#gid=1444865654"",""articles_with_PRISMA_reasons!B2:B2113""))&gt;=2),
""Exclude""
)"),"Exclude")</f>
        <v>Exclude</v>
      </c>
      <c r="F1272" s="5" t="str">
        <f>IFERROR(__xludf.DUMMYFUNCTION("IFS(
E1272=""Exclude"",""Exclude"",
AND(
COUNTIF(
IMPORTRANGE(""https://docs.google.com/spreadsheets/d/1kGrh75X1cNR1D7_FcY9zMnHP8iPO4M5RCRjy6nZY0TY/edit#gid=0"",""Table 1: Study characteristics!B4:B171""),A1272)&gt;0,
COUNTIF(Studies!$A$2:$A$85,FILTER(IMPORT"&amp;"RANGE(""https://docs.google.com/spreadsheets/d/1kGrh75X1cNR1D7_FcY9zMnHP8iPO4M5RCRjy6nZY0TY/edit#gid=0"",""Table 1: Study characteristics!A4:A171""), $A1272=IMPORTRANGE(""https://docs.google.com/spreadsheets/d/1kGrh75X1cNR1D7_FcY9zMnHP8iPO4M5RCRjy6nZY0TY/"&amp;"edit#gid=0"",""Table 1: Study characteristics!B4:B171"")))&gt;0
),
""Include""
)"),"Exclude")</f>
        <v>Exclude</v>
      </c>
      <c r="G1272" s="5" t="str">
        <f>IFERROR(__xludf.DUMMYFUNCTION("IFS(
D1272=""Exclude"",
FILTER(IMPORTRANGE(""https://docs.google.com/spreadsheets/d/1BJSV3WBYJGRhQ6zExamkszQ5VutGIcaQqmbD9ZTVXMQ/edit#gid=1251630045"",""articles_with_PRISMA_reasons!AB2:AB2113""), $A1272=IMPORTRANGE(""https://docs.google.com/spreadsheets/"&amp;"d/1BJSV3WBYJGRhQ6zExamkszQ5VutGIcaQqmbD9ZTVXMQ/edit#gid=1251630045"",""articles_with_PRISMA_reasons!B2:B2113"")),
E1272=""Exclude"",
FILTER(IMPORTRANGE(""https://docs.google.com/spreadsheets/d/1qpEmbGH0JjaJbUdp21-y2cPbobDbMjr09BbtdKROZWc/edit#gid=14448656"&amp;"54"",""articles_with_PRISMA_reasons!Z2:Z2113""), $A1272=IMPORTRANGE(""https://docs.google.com/spreadsheets/d/1qpEmbGH0JjaJbUdp21-y2cPbobDbMjr09BbtdKROZWc/edit#gid=1444865654"",""articles_with_PRISMA_reasons!B2:B2113"")),F1272
=""Include"",FILTER(IMPORTRAN"&amp;"GE(""https://docs.google.com/spreadsheets/d/1kGrh75X1cNR1D7_FcY9zMnHP8iPO4M5RCRjy6nZY0TY/edit#gid=0"",""Table 1: Study characteristics!A4:A171""), $A1272=IMPORTRANGE(""https://docs.google.com/spreadsheets/d/1kGrh75X1cNR1D7_FcY9zMnHP8iPO4M5RCRjy6nZY0TY/edi"&amp;"t#gid=0"",""Table 1: Study characteristics!B4:B171""))
)"),"wrong study design")</f>
        <v>wrong study design</v>
      </c>
    </row>
    <row r="1273">
      <c r="A1273" s="4" t="str">
        <f>IFERROR(__xludf.DUMMYFUNCTION("""COMPUTED_VALUE"""),"Natural history of fetal ventriculomegaly")</f>
        <v>Natural history of fetal ventriculomegaly</v>
      </c>
      <c r="B1273" s="5" t="str">
        <f>IFERROR(__xludf.DUMMYFUNCTION("LEFT(FILTER(IMPORTRANGE(""https://docs.google.com/spreadsheets/d/1BJSV3WBYJGRhQ6zExamkszQ5VutGIcaQqmbD9ZTVXMQ/edit#gid=1251630045"",""articles_with_PRISMA_reasons!K2:K2113""), $A1273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$A1273=IMPORTRANGE(""https://docs.google.com/spreadsheets/d/1BJSV3WBYJGRhQ6zExamkszQ5VutGIcaQqmbD9ZTVXMQ/edit#gid=1251630045"",""articles_with_PRISMA_reasons!B2:B2113"")))-1)"),"Hudgins")</f>
        <v>Hudgins</v>
      </c>
      <c r="C1273" s="6">
        <f>IFERROR(__xludf.DUMMYFUNCTION("FILTER(IMPORTRANGE(""https://docs.google.com/spreadsheets/d/1BJSV3WBYJGRhQ6zExamkszQ5VutGIcaQqmbD9ZTVXMQ/edit#gid=1251630045"",""articles_with_PRISMA_reasons!C2:C2113""), $A1273=IMPORTRANGE(""https://docs.google.com/spreadsheets/d/1BJSV3WBYJGRhQ6zExamkszQ"&amp;"5VutGIcaQqmbD9ZTVXMQ/edit#gid=1251630045"",""articles_with_PRISMA_reasons!B2:B2113""))"),1988.0)</f>
        <v>1988</v>
      </c>
      <c r="D1273" s="5" t="str">
        <f>IFERROR(__xludf.DUMMYFUNCTION("IFS(AND(
FILTER(IMPORTRANGE(""https://docs.google.com/spreadsheets/d/1BJSV3WBYJGRhQ6zExamkszQ5VutGIcaQqmbD9ZTVXMQ/edit#gid=1251630045"",""articles_with_PRISMA_reasons!Y2:Y2113""), $A1273=IMPORTRANGE(""https://docs.google.com/spreadsheets/d/1BJSV3WBYJGRhQ6"&amp;"zExamkszQ5VutGIcaQqmbD9ZTVXMQ/edit#gid=1251630045"",""articles_with_PRISMA_reasons!B2:B2113""))&gt;=2,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$A1273=IMPORTRANGE(""https://docs.google.com/spreadsheets/d/1BJSV3WBYJGRhQ6zExamkszQ5VutGIcaQqmbD9ZTVXMQ/edit#gid=1251630045"",""articles_with_PRISMA_reasons!B2:B2113""))&lt;2),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$A1273=IMPORTRANGE(""https://docs.google.com/spreadsheets/d/1BJSV3WBYJGRhQ6zExamkszQ5VutGIcaQqmbD9ZTVXMQ/edit#gid=1251630045"",""a"&amp;"rticles_with_PRISMA_reasons!B2:B2113""))&lt;2,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$A1273=IMPORTRANGE(""https://docs.google"&amp;".com/spreadsheets/d/1BJSV3WBYJGRhQ6zExamkszQ5VutGIcaQqmbD9ZTVXMQ/edit#gid=1251630045"",""articles_with_PRISMA_reasons!B2:B2113""))&gt;=2),
""Exclude""
)"),"Exclude")</f>
        <v>Exclude</v>
      </c>
      <c r="E1273" s="5" t="str">
        <f>IFERROR(__xludf.DUMMYFUNCTION("IFS(
D1273=""Exclude"",""Exclude"",
AND(
FILTER(IMPORTRANGE(""https://docs.google.com/spreadsheets/d/1qpEmbGH0JjaJbUdp21-y2cPbobDbMjr09BbtdKROZWc/edit#gid=1444865654"",""articles_with_PRISMA_reasons!W2:W2113""), $A1273=IMPORTRANGE(""https://docs.google.co"&amp;"m/spreadsheets/d/1qpEmbGH0JjaJbUdp21-y2cPbobDbMjr09BbtdKROZWc/edit#gid=1444865654"",""articles_with_PRISMA_reasons!B2:B2113""))&gt;=2,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$A1273=IMPORTRANGE(""https://docs.google.com/spreadsheets/d/1qpEmbGH0JjaJbUdp21-y2cPbobDbMjr09BbtdKROZWc/edit#gid=1444865654"",""articles_with_PRISMA_reasons!B2:B2113""))&lt;2),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$A1273=IMPORTRANGE(""https://docs.google.com/spreadsheets/d/1qpEmbGH0JjaJbUdp21-y2cPbobDbMjr09Bbtd"&amp;"KROZWc/edit#gid=1444865654"",""articles_with_PRISMA_reasons!B2:B2113""))&lt;2,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$A1273=I"&amp;"MPORTRANGE(""https://docs.google.com/spreadsheets/d/1qpEmbGH0JjaJbUdp21-y2cPbobDbMjr09BbtdKROZWc/edit#gid=1444865654"",""articles_with_PRISMA_reasons!B2:B2113""))&gt;=2),
""Exclude""
)"),"Exclude")</f>
        <v>Exclude</v>
      </c>
      <c r="F1273" s="5" t="str">
        <f>IFERROR(__xludf.DUMMYFUNCTION("IFS(
E1273=""Exclude"",""Exclude"",
AND(
COUNTIF(
IMPORTRANGE(""https://docs.google.com/spreadsheets/d/1kGrh75X1cNR1D7_FcY9zMnHP8iPO4M5RCRjy6nZY0TY/edit#gid=0"",""Table 1: Study characteristics!B4:B171""),A1273)&gt;0,
COUNTIF(Studies!$A$2:$A$85,FILTER(IMPORT"&amp;"RANGE(""https://docs.google.com/spreadsheets/d/1kGrh75X1cNR1D7_FcY9zMnHP8iPO4M5RCRjy6nZY0TY/edit#gid=0"",""Table 1: Study characteristics!A4:A171""), $A1273=IMPORTRANGE(""https://docs.google.com/spreadsheets/d/1kGrh75X1cNR1D7_FcY9zMnHP8iPO4M5RCRjy6nZY0TY/"&amp;"edit#gid=0"",""Table 1: Study characteristics!B4:B171"")))&gt;0
),
""Include""
)"),"Exclude")</f>
        <v>Exclude</v>
      </c>
      <c r="G1273" s="5" t="str">
        <f>IFERROR(__xludf.DUMMYFUNCTION("IFS(
D1273=""Exclude"",
FILTER(IMPORTRANGE(""https://docs.google.com/spreadsheets/d/1BJSV3WBYJGRhQ6zExamkszQ5VutGIcaQqmbD9ZTVXMQ/edit#gid=1251630045"",""articles_with_PRISMA_reasons!AB2:AB2113""), $A1273=IMPORTRANGE(""https://docs.google.com/spreadsheets/"&amp;"d/1BJSV3WBYJGRhQ6zExamkszQ5VutGIcaQqmbD9ZTVXMQ/edit#gid=1251630045"",""articles_with_PRISMA_reasons!B2:B2113"")),
E1273=""Exclude"",
FILTER(IMPORTRANGE(""https://docs.google.com/spreadsheets/d/1qpEmbGH0JjaJbUdp21-y2cPbobDbMjr09BbtdKROZWc/edit#gid=14448656"&amp;"54"",""articles_with_PRISMA_reasons!Z2:Z2113""), $A1273=IMPORTRANGE(""https://docs.google.com/spreadsheets/d/1qpEmbGH0JjaJbUdp21-y2cPbobDbMjr09BbtdKROZWc/edit#gid=1444865654"",""articles_with_PRISMA_reasons!B2:B2113"")),F1273
=""Include"",FILTER(IMPORTRAN"&amp;"GE(""https://docs.google.com/spreadsheets/d/1kGrh75X1cNR1D7_FcY9zMnHP8iPO4M5RCRjy6nZY0TY/edit#gid=0"",""Table 1: Study characteristics!A4:A171""), $A1273=IMPORTRANGE(""https://docs.google.com/spreadsheets/d/1kGrh75X1cNR1D7_FcY9zMnHP8iPO4M5RCRjy6nZY0TY/edi"&amp;"t#gid=0"",""Table 1: Study characteristics!B4:B171""))
)"),"wrong population")</f>
        <v>wrong population</v>
      </c>
    </row>
    <row r="1274">
      <c r="A1274" s="4" t="str">
        <f>IFERROR(__xludf.DUMMYFUNCTION("""COMPUTED_VALUE"""),"Negative-pressure hydrocephalus")</f>
        <v>Negative-pressure hydrocephalus</v>
      </c>
      <c r="B1274" s="5" t="str">
        <f>IFERROR(__xludf.DUMMYFUNCTION("LEFT(FILTER(IMPORTRANGE(""https://docs.google.com/spreadsheets/d/1BJSV3WBYJGRhQ6zExamkszQ5VutGIcaQqmbD9ZTVXMQ/edit#gid=1251630045"",""articles_with_PRISMA_reasons!K2:K2113""), $A1274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$A1274=IMPORTRANGE(""https://docs.google.com/spreadsheets/d/1BJSV3WBYJGRhQ6zExamkszQ5VutGIcaQqmbD9ZTVXMQ/edit#gid=1251630045"",""articles_with_PRISMA_reasons!B2:B2113"")))-1)"),"Vassilyadi")</f>
        <v>Vassilyadi</v>
      </c>
      <c r="C1274" s="6">
        <f>IFERROR(__xludf.DUMMYFUNCTION("FILTER(IMPORTRANGE(""https://docs.google.com/spreadsheets/d/1BJSV3WBYJGRhQ6zExamkszQ5VutGIcaQqmbD9ZTVXMQ/edit#gid=1251630045"",""articles_with_PRISMA_reasons!C2:C2113""), $A1274=IMPORTRANGE(""https://docs.google.com/spreadsheets/d/1BJSV3WBYJGRhQ6zExamkszQ"&amp;"5VutGIcaQqmbD9ZTVXMQ/edit#gid=1251630045"",""articles_with_PRISMA_reasons!B2:B2113""))"),1995.0)</f>
        <v>1995</v>
      </c>
      <c r="D1274" s="5" t="str">
        <f>IFERROR(__xludf.DUMMYFUNCTION("IFS(AND(
FILTER(IMPORTRANGE(""https://docs.google.com/spreadsheets/d/1BJSV3WBYJGRhQ6zExamkszQ5VutGIcaQqmbD9ZTVXMQ/edit#gid=1251630045"",""articles_with_PRISMA_reasons!Y2:Y2113""), $A1274=IMPORTRANGE(""https://docs.google.com/spreadsheets/d/1BJSV3WBYJGRhQ6"&amp;"zExamkszQ5VutGIcaQqmbD9ZTVXMQ/edit#gid=1251630045"",""articles_with_PRISMA_reasons!B2:B2113""))&gt;=2,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$A1274=IMPORTRANGE(""https://docs.google.com/spreadsheets/d/1BJSV3WBYJGRhQ6zExamkszQ5VutGIcaQqmbD9ZTVXMQ/edit#gid=1251630045"",""articles_with_PRISMA_reasons!B2:B2113""))&lt;2),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$A1274=IMPORTRANGE(""https://docs.google.com/spreadsheets/d/1BJSV3WBYJGRhQ6zExamkszQ5VutGIcaQqmbD9ZTVXMQ/edit#gid=1251630045"",""a"&amp;"rticles_with_PRISMA_reasons!B2:B2113""))&lt;2,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$A1274=IMPORTRANGE(""https://docs.google"&amp;".com/spreadsheets/d/1BJSV3WBYJGRhQ6zExamkszQ5VutGIcaQqmbD9ZTVXMQ/edit#gid=1251630045"",""articles_with_PRISMA_reasons!B2:B2113""))&gt;=2),
""Exclude""
)"),"Exclude")</f>
        <v>Exclude</v>
      </c>
      <c r="E1274" s="5" t="str">
        <f>IFERROR(__xludf.DUMMYFUNCTION("IFS(
D1274=""Exclude"",""Exclude"",
AND(
FILTER(IMPORTRANGE(""https://docs.google.com/spreadsheets/d/1qpEmbGH0JjaJbUdp21-y2cPbobDbMjr09BbtdKROZWc/edit#gid=1444865654"",""articles_with_PRISMA_reasons!W2:W2113""), $A1274=IMPORTRANGE(""https://docs.google.co"&amp;"m/spreadsheets/d/1qpEmbGH0JjaJbUdp21-y2cPbobDbMjr09BbtdKROZWc/edit#gid=1444865654"",""articles_with_PRISMA_reasons!B2:B2113""))&gt;=2,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$A1274=IMPORTRANGE(""https://docs.google.com/spreadsheets/d/1qpEmbGH0JjaJbUdp21-y2cPbobDbMjr09BbtdKROZWc/edit#gid=1444865654"",""articles_with_PRISMA_reasons!B2:B2113""))&lt;2),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$A1274=IMPORTRANGE(""https://docs.google.com/spreadsheets/d/1qpEmbGH0JjaJbUdp21-y2cPbobDbMjr09Bbtd"&amp;"KROZWc/edit#gid=1444865654"",""articles_with_PRISMA_reasons!B2:B2113""))&lt;2,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$A1274=I"&amp;"MPORTRANGE(""https://docs.google.com/spreadsheets/d/1qpEmbGH0JjaJbUdp21-y2cPbobDbMjr09BbtdKROZWc/edit#gid=1444865654"",""articles_with_PRISMA_reasons!B2:B2113""))&gt;=2),
""Exclude""
)"),"Exclude")</f>
        <v>Exclude</v>
      </c>
      <c r="F1274" s="5" t="str">
        <f>IFERROR(__xludf.DUMMYFUNCTION("IFS(
E1274=""Exclude"",""Exclude"",
AND(
COUNTIF(
IMPORTRANGE(""https://docs.google.com/spreadsheets/d/1kGrh75X1cNR1D7_FcY9zMnHP8iPO4M5RCRjy6nZY0TY/edit#gid=0"",""Table 1: Study characteristics!B4:B171""),A1274)&gt;0,
COUNTIF(Studies!$A$2:$A$85,FILTER(IMPORT"&amp;"RANGE(""https://docs.google.com/spreadsheets/d/1kGrh75X1cNR1D7_FcY9zMnHP8iPO4M5RCRjy6nZY0TY/edit#gid=0"",""Table 1: Study characteristics!A4:A171""), $A1274=IMPORTRANGE(""https://docs.google.com/spreadsheets/d/1kGrh75X1cNR1D7_FcY9zMnHP8iPO4M5RCRjy6nZY0TY/"&amp;"edit#gid=0"",""Table 1: Study characteristics!B4:B171"")))&gt;0
),
""Include""
)"),"Exclude")</f>
        <v>Exclude</v>
      </c>
      <c r="G1274" s="5" t="str">
        <f>IFERROR(__xludf.DUMMYFUNCTION("IFS(
D1274=""Exclude"",
FILTER(IMPORTRANGE(""https://docs.google.com/spreadsheets/d/1BJSV3WBYJGRhQ6zExamkszQ5VutGIcaQqmbD9ZTVXMQ/edit#gid=1251630045"",""articles_with_PRISMA_reasons!AB2:AB2113""), $A1274=IMPORTRANGE(""https://docs.google.com/spreadsheets/"&amp;"d/1BJSV3WBYJGRhQ6zExamkszQ5VutGIcaQqmbD9ZTVXMQ/edit#gid=1251630045"",""articles_with_PRISMA_reasons!B2:B2113"")),
E1274=""Exclude"",
FILTER(IMPORTRANGE(""https://docs.google.com/spreadsheets/d/1qpEmbGH0JjaJbUdp21-y2cPbobDbMjr09BbtdKROZWc/edit#gid=14448656"&amp;"54"",""articles_with_PRISMA_reasons!Z2:Z2113""), $A1274=IMPORTRANGE(""https://docs.google.com/spreadsheets/d/1qpEmbGH0JjaJbUdp21-y2cPbobDbMjr09BbtdKROZWc/edit#gid=1444865654"",""articles_with_PRISMA_reasons!B2:B2113"")),F1274
=""Include"",FILTER(IMPORTRAN"&amp;"GE(""https://docs.google.com/spreadsheets/d/1kGrh75X1cNR1D7_FcY9zMnHP8iPO4M5RCRjy6nZY0TY/edit#gid=0"",""Table 1: Study characteristics!A4:A171""), $A1274=IMPORTRANGE(""https://docs.google.com/spreadsheets/d/1kGrh75X1cNR1D7_FcY9zMnHP8iPO4M5RCRjy6nZY0TY/edi"&amp;"t#gid=0"",""Table 1: Study characteristics!B4:B171""))
)"),"wrong population")</f>
        <v>wrong population</v>
      </c>
    </row>
    <row r="1275">
      <c r="A1275" s="4" t="str">
        <f>IFERROR(__xludf.DUMMYFUNCTION("""COMPUTED_VALUE"""),"Neocortical reorganization in spina bifida")</f>
        <v>Neocortical reorganization in spina bifida</v>
      </c>
      <c r="B1275" s="5" t="str">
        <f>IFERROR(__xludf.DUMMYFUNCTION("LEFT(FILTER(IMPORTRANGE(""https://docs.google.com/spreadsheets/d/1BJSV3WBYJGRhQ6zExamkszQ5VutGIcaQqmbD9ZTVXMQ/edit#gid=1251630045"",""articles_with_PRISMA_reasons!K2:K2113""), $A1275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$A1275=IMPORTRANGE(""https://docs.google.com/spreadsheets/d/1BJSV3WBYJGRhQ6zExamkszQ5VutGIcaQqmbD9ZTVXMQ/edit#gid=1251630045"",""articles_with_PRISMA_reasons!B2:B2113"")))-1)"),"Juranek")</f>
        <v>Juranek</v>
      </c>
      <c r="C1275" s="3">
        <v>2008.0</v>
      </c>
      <c r="D1275" s="5" t="str">
        <f>IFERROR(__xludf.DUMMYFUNCTION("IFS(AND(
FILTER(IMPORTRANGE(""https://docs.google.com/spreadsheets/d/1BJSV3WBYJGRhQ6zExamkszQ5VutGIcaQqmbD9ZTVXMQ/edit#gid=1251630045"",""articles_with_PRISMA_reasons!Y2:Y2113""), $A1275=IMPORTRANGE(""https://docs.google.com/spreadsheets/d/1BJSV3WBYJGRhQ6"&amp;"zExamkszQ5VutGIcaQqmbD9ZTVXMQ/edit#gid=1251630045"",""articles_with_PRISMA_reasons!B2:B2113""))&gt;=2,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$A1275=IMPORTRANGE(""https://docs.google.com/spreadsheets/d/1BJSV3WBYJGRhQ6zExamkszQ5VutGIcaQqmbD9ZTVXMQ/edit#gid=1251630045"",""articles_with_PRISMA_reasons!B2:B2113""))&lt;2),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$A1275=IMPORTRANGE(""https://docs.google.com/spreadsheets/d/1BJSV3WBYJGRhQ6zExamkszQ5VutGIcaQqmbD9ZTVXMQ/edit#gid=1251630045"",""a"&amp;"rticles_with_PRISMA_reasons!B2:B2113""))&lt;2,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$A1275=IMPORTRANGE(""https://docs.google"&amp;".com/spreadsheets/d/1BJSV3WBYJGRhQ6zExamkszQ5VutGIcaQqmbD9ZTVXMQ/edit#gid=1251630045"",""articles_with_PRISMA_reasons!B2:B2113""))&gt;=2),
""Exclude""
)"),"Exclude")</f>
        <v>Exclude</v>
      </c>
      <c r="E1275" s="5" t="str">
        <f>IFERROR(__xludf.DUMMYFUNCTION("IFS(
D1275=""Exclude"",""Exclude"",
AND(
FILTER(IMPORTRANGE(""https://docs.google.com/spreadsheets/d/1qpEmbGH0JjaJbUdp21-y2cPbobDbMjr09BbtdKROZWc/edit#gid=1444865654"",""articles_with_PRISMA_reasons!W2:W2113""), $A1275=IMPORTRANGE(""https://docs.google.co"&amp;"m/spreadsheets/d/1qpEmbGH0JjaJbUdp21-y2cPbobDbMjr09BbtdKROZWc/edit#gid=1444865654"",""articles_with_PRISMA_reasons!B2:B2113""))&gt;=2,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$A1275=IMPORTRANGE(""https://docs.google.com/spreadsheets/d/1qpEmbGH0JjaJbUdp21-y2cPbobDbMjr09BbtdKROZWc/edit#gid=1444865654"",""articles_with_PRISMA_reasons!B2:B2113""))&lt;2),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$A1275=IMPORTRANGE(""https://docs.google.com/spreadsheets/d/1qpEmbGH0JjaJbUdp21-y2cPbobDbMjr09Bbtd"&amp;"KROZWc/edit#gid=1444865654"",""articles_with_PRISMA_reasons!B2:B2113""))&lt;2,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$A1275=I"&amp;"MPORTRANGE(""https://docs.google.com/spreadsheets/d/1qpEmbGH0JjaJbUdp21-y2cPbobDbMjr09BbtdKROZWc/edit#gid=1444865654"",""articles_with_PRISMA_reasons!B2:B2113""))&gt;=2),
""Exclude""
)"),"Exclude")</f>
        <v>Exclude</v>
      </c>
      <c r="F1275" s="5" t="str">
        <f>IFERROR(__xludf.DUMMYFUNCTION("IFS(
E1275=""Exclude"",""Exclude"",
AND(
COUNTIF(
IMPORTRANGE(""https://docs.google.com/spreadsheets/d/1kGrh75X1cNR1D7_FcY9zMnHP8iPO4M5RCRjy6nZY0TY/edit#gid=0"",""Table 1: Study characteristics!B4:B171""),A1275)&gt;0,
COUNTIF(Studies!$A$2:$A$85,FILTER(IMPORT"&amp;"RANGE(""https://docs.google.com/spreadsheets/d/1kGrh75X1cNR1D7_FcY9zMnHP8iPO4M5RCRjy6nZY0TY/edit#gid=0"",""Table 1: Study characteristics!A4:A171""), $A1275=IMPORTRANGE(""https://docs.google.com/spreadsheets/d/1kGrh75X1cNR1D7_FcY9zMnHP8iPO4M5RCRjy6nZY0TY/"&amp;"edit#gid=0"",""Table 1: Study characteristics!B4:B171"")))&gt;0
),
""Include""
)"),"Exclude")</f>
        <v>Exclude</v>
      </c>
      <c r="G1275" s="2" t="s">
        <v>7</v>
      </c>
    </row>
    <row r="1276">
      <c r="A1276" s="4" t="str">
        <f>IFERROR(__xludf.DUMMYFUNCTION("""COMPUTED_VALUE"""),"Neocortical reorganization in spina bifida")</f>
        <v>Neocortical reorganization in spina bifida</v>
      </c>
      <c r="B1276" s="5" t="str">
        <f>IFERROR(__xludf.DUMMYFUNCTION("LEFT(FILTER(IMPORTRANGE(""https://docs.google.com/spreadsheets/d/1BJSV3WBYJGRhQ6zExamkszQ5VutGIcaQqmbD9ZTVXMQ/edit#gid=1251630045"",""articles_with_PRISMA_reasons!K2:K2113""), $A1276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$A1276=IMPORTRANGE(""https://docs.google.com/spreadsheets/d/1BJSV3WBYJGRhQ6zExamkszQ5VutGIcaQqmbD9ZTVXMQ/edit#gid=1251630045"",""articles_with_PRISMA_reasons!B2:B2113"")))-1)"),"Juranek")</f>
        <v>Juranek</v>
      </c>
      <c r="C1276" s="3">
        <v>2008.0</v>
      </c>
      <c r="D1276" s="5" t="str">
        <f>IFERROR(__xludf.DUMMYFUNCTION("IFS(AND(
FILTER(IMPORTRANGE(""https://docs.google.com/spreadsheets/d/1BJSV3WBYJGRhQ6zExamkszQ5VutGIcaQqmbD9ZTVXMQ/edit#gid=1251630045"",""articles_with_PRISMA_reasons!Y2:Y2113""), $A1276=IMPORTRANGE(""https://docs.google.com/spreadsheets/d/1BJSV3WBYJGRhQ6"&amp;"zExamkszQ5VutGIcaQqmbD9ZTVXMQ/edit#gid=1251630045"",""articles_with_PRISMA_reasons!B2:B2113""))&gt;=2,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$A1276=IMPORTRANGE(""https://docs.google.com/spreadsheets/d/1BJSV3WBYJGRhQ6zExamkszQ5VutGIcaQqmbD9ZTVXMQ/edit#gid=1251630045"",""articles_with_PRISMA_reasons!B2:B2113""))&lt;2),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$A1276=IMPORTRANGE(""https://docs.google.com/spreadsheets/d/1BJSV3WBYJGRhQ6zExamkszQ5VutGIcaQqmbD9ZTVXMQ/edit#gid=1251630045"",""a"&amp;"rticles_with_PRISMA_reasons!B2:B2113""))&lt;2,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$A1276=IMPORTRANGE(""https://docs.google"&amp;".com/spreadsheets/d/1BJSV3WBYJGRhQ6zExamkszQ5VutGIcaQqmbD9ZTVXMQ/edit#gid=1251630045"",""articles_with_PRISMA_reasons!B2:B2113""))&gt;=2),
""Exclude""
)"),"Exclude")</f>
        <v>Exclude</v>
      </c>
      <c r="E1276" s="5" t="str">
        <f>IFERROR(__xludf.DUMMYFUNCTION("IFS(
D1276=""Exclude"",""Exclude"",
AND(
FILTER(IMPORTRANGE(""https://docs.google.com/spreadsheets/d/1qpEmbGH0JjaJbUdp21-y2cPbobDbMjr09BbtdKROZWc/edit#gid=1444865654"",""articles_with_PRISMA_reasons!W2:W2113""), $A1276=IMPORTRANGE(""https://docs.google.co"&amp;"m/spreadsheets/d/1qpEmbGH0JjaJbUdp21-y2cPbobDbMjr09BbtdKROZWc/edit#gid=1444865654"",""articles_with_PRISMA_reasons!B2:B2113""))&gt;=2,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$A1276=IMPORTRANGE(""https://docs.google.com/spreadsheets/d/1qpEmbGH0JjaJbUdp21-y2cPbobDbMjr09BbtdKROZWc/edit#gid=1444865654"",""articles_with_PRISMA_reasons!B2:B2113""))&lt;2),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$A1276=IMPORTRANGE(""https://docs.google.com/spreadsheets/d/1qpEmbGH0JjaJbUdp21-y2cPbobDbMjr09Bbtd"&amp;"KROZWc/edit#gid=1444865654"",""articles_with_PRISMA_reasons!B2:B2113""))&lt;2,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$A1276=I"&amp;"MPORTRANGE(""https://docs.google.com/spreadsheets/d/1qpEmbGH0JjaJbUdp21-y2cPbobDbMjr09BbtdKROZWc/edit#gid=1444865654"",""articles_with_PRISMA_reasons!B2:B2113""))&gt;=2),
""Exclude""
)"),"Exclude")</f>
        <v>Exclude</v>
      </c>
      <c r="F1276" s="5" t="str">
        <f>IFERROR(__xludf.DUMMYFUNCTION("IFS(
E1276=""Exclude"",""Exclude"",
AND(
COUNTIF(
IMPORTRANGE(""https://docs.google.com/spreadsheets/d/1kGrh75X1cNR1D7_FcY9zMnHP8iPO4M5RCRjy6nZY0TY/edit#gid=0"",""Table 1: Study characteristics!B4:B171""),A1276)&gt;0,
COUNTIF(Studies!$A$2:$A$85,FILTER(IMPORT"&amp;"RANGE(""https://docs.google.com/spreadsheets/d/1kGrh75X1cNR1D7_FcY9zMnHP8iPO4M5RCRjy6nZY0TY/edit#gid=0"",""Table 1: Study characteristics!A4:A171""), $A1276=IMPORTRANGE(""https://docs.google.com/spreadsheets/d/1kGrh75X1cNR1D7_FcY9zMnHP8iPO4M5RCRjy6nZY0TY/"&amp;"edit#gid=0"",""Table 1: Study characteristics!B4:B171"")))&gt;0
),
""Include""
)"),"Exclude")</f>
        <v>Exclude</v>
      </c>
      <c r="G1276" s="2" t="s">
        <v>13</v>
      </c>
    </row>
    <row r="1277">
      <c r="A1277" s="4" t="str">
        <f>IFERROR(__xludf.DUMMYFUNCTION("""COMPUTED_VALUE"""),"Neonatal genital prolapse")</f>
        <v>Neonatal genital prolapse</v>
      </c>
      <c r="B1277" s="5" t="str">
        <f>IFERROR(__xludf.DUMMYFUNCTION("LEFT(FILTER(IMPORTRANGE(""https://docs.google.com/spreadsheets/d/1BJSV3WBYJGRhQ6zExamkszQ5VutGIcaQqmbD9ZTVXMQ/edit#gid=1251630045"",""articles_with_PRISMA_reasons!K2:K2113""), $A1277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$A1277=IMPORTRANGE(""https://docs.google.com/spreadsheets/d/1BJSV3WBYJGRhQ6zExamkszQ5VutGIcaQqmbD9ZTVXMQ/edit#gid=1251630045"",""articles_with_PRISMA_reasons!B2:B2113"")))-1)"),"Prasad")</f>
        <v>Prasad</v>
      </c>
      <c r="C1277" s="6">
        <f>IFERROR(__xludf.DUMMYFUNCTION("FILTER(IMPORTRANGE(""https://docs.google.com/spreadsheets/d/1BJSV3WBYJGRhQ6zExamkszQ5VutGIcaQqmbD9ZTVXMQ/edit#gid=1251630045"",""articles_with_PRISMA_reasons!C2:C2113""), $A1277=IMPORTRANGE(""https://docs.google.com/spreadsheets/d/1BJSV3WBYJGRhQ6zExamkszQ"&amp;"5VutGIcaQqmbD9ZTVXMQ/edit#gid=1251630045"",""articles_with_PRISMA_reasons!B2:B2113""))"),2006.0)</f>
        <v>2006</v>
      </c>
      <c r="D1277" s="5" t="str">
        <f>IFERROR(__xludf.DUMMYFUNCTION("IFS(AND(
FILTER(IMPORTRANGE(""https://docs.google.com/spreadsheets/d/1BJSV3WBYJGRhQ6zExamkszQ5VutGIcaQqmbD9ZTVXMQ/edit#gid=1251630045"",""articles_with_PRISMA_reasons!Y2:Y2113""), $A1277=IMPORTRANGE(""https://docs.google.com/spreadsheets/d/1BJSV3WBYJGRhQ6"&amp;"zExamkszQ5VutGIcaQqmbD9ZTVXMQ/edit#gid=1251630045"",""articles_with_PRISMA_reasons!B2:B2113""))&gt;=2,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$A1277=IMPORTRANGE(""https://docs.google.com/spreadsheets/d/1BJSV3WBYJGRhQ6zExamkszQ5VutGIcaQqmbD9ZTVXMQ/edit#gid=1251630045"",""articles_with_PRISMA_reasons!B2:B2113""))&lt;2),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$A1277=IMPORTRANGE(""https://docs.google.com/spreadsheets/d/1BJSV3WBYJGRhQ6zExamkszQ5VutGIcaQqmbD9ZTVXMQ/edit#gid=1251630045"",""a"&amp;"rticles_with_PRISMA_reasons!B2:B2113""))&lt;2,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$A1277=IMPORTRANGE(""https://docs.google"&amp;".com/spreadsheets/d/1BJSV3WBYJGRhQ6zExamkszQ5VutGIcaQqmbD9ZTVXMQ/edit#gid=1251630045"",""articles_with_PRISMA_reasons!B2:B2113""))&gt;=2),
""Exclude""
)"),"Exclude")</f>
        <v>Exclude</v>
      </c>
      <c r="E1277" s="5" t="str">
        <f>IFERROR(__xludf.DUMMYFUNCTION("IFS(
D1277=""Exclude"",""Exclude"",
AND(
FILTER(IMPORTRANGE(""https://docs.google.com/spreadsheets/d/1qpEmbGH0JjaJbUdp21-y2cPbobDbMjr09BbtdKROZWc/edit#gid=1444865654"",""articles_with_PRISMA_reasons!W2:W2113""), $A1277=IMPORTRANGE(""https://docs.google.co"&amp;"m/spreadsheets/d/1qpEmbGH0JjaJbUdp21-y2cPbobDbMjr09BbtdKROZWc/edit#gid=1444865654"",""articles_with_PRISMA_reasons!B2:B2113""))&gt;=2,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$A1277=IMPORTRANGE(""https://docs.google.com/spreadsheets/d/1qpEmbGH0JjaJbUdp21-y2cPbobDbMjr09BbtdKROZWc/edit#gid=1444865654"",""articles_with_PRISMA_reasons!B2:B2113""))&lt;2),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$A1277=IMPORTRANGE(""https://docs.google.com/spreadsheets/d/1qpEmbGH0JjaJbUdp21-y2cPbobDbMjr09Bbtd"&amp;"KROZWc/edit#gid=1444865654"",""articles_with_PRISMA_reasons!B2:B2113""))&lt;2,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$A1277=I"&amp;"MPORTRANGE(""https://docs.google.com/spreadsheets/d/1qpEmbGH0JjaJbUdp21-y2cPbobDbMjr09BbtdKROZWc/edit#gid=1444865654"",""articles_with_PRISMA_reasons!B2:B2113""))&gt;=2),
""Exclude""
)"),"Exclude")</f>
        <v>Exclude</v>
      </c>
      <c r="F1277" s="5" t="str">
        <f>IFERROR(__xludf.DUMMYFUNCTION("IFS(
E1277=""Exclude"",""Exclude"",
AND(
COUNTIF(
IMPORTRANGE(""https://docs.google.com/spreadsheets/d/1kGrh75X1cNR1D7_FcY9zMnHP8iPO4M5RCRjy6nZY0TY/edit#gid=0"",""Table 1: Study characteristics!B4:B171""),A1277)&gt;0,
COUNTIF(Studies!$A$2:$A$85,FILTER(IMPORT"&amp;"RANGE(""https://docs.google.com/spreadsheets/d/1kGrh75X1cNR1D7_FcY9zMnHP8iPO4M5RCRjy6nZY0TY/edit#gid=0"",""Table 1: Study characteristics!A4:A171""), $A1277=IMPORTRANGE(""https://docs.google.com/spreadsheets/d/1kGrh75X1cNR1D7_FcY9zMnHP8iPO4M5RCRjy6nZY0TY/"&amp;"edit#gid=0"",""Table 1: Study characteristics!B4:B171"")))&gt;0
),
""Include""
)"),"Exclude")</f>
        <v>Exclude</v>
      </c>
      <c r="G1277" s="5" t="str">
        <f>IFERROR(__xludf.DUMMYFUNCTION("IFS(
D1277=""Exclude"",
FILTER(IMPORTRANGE(""https://docs.google.com/spreadsheets/d/1BJSV3WBYJGRhQ6zExamkszQ5VutGIcaQqmbD9ZTVXMQ/edit#gid=1251630045"",""articles_with_PRISMA_reasons!AB2:AB2113""), $A1277=IMPORTRANGE(""https://docs.google.com/spreadsheets/"&amp;"d/1BJSV3WBYJGRhQ6zExamkszQ5VutGIcaQqmbD9ZTVXMQ/edit#gid=1251630045"",""articles_with_PRISMA_reasons!B2:B2113"")),
E1277=""Exclude"",
FILTER(IMPORTRANGE(""https://docs.google.com/spreadsheets/d/1qpEmbGH0JjaJbUdp21-y2cPbobDbMjr09BbtdKROZWc/edit#gid=14448656"&amp;"54"",""articles_with_PRISMA_reasons!Z2:Z2113""), $A1277=IMPORTRANGE(""https://docs.google.com/spreadsheets/d/1qpEmbGH0JjaJbUdp21-y2cPbobDbMjr09BbtdKROZWc/edit#gid=1444865654"",""articles_with_PRISMA_reasons!B2:B2113"")),F1277
=""Include"",FILTER(IMPORTRAN"&amp;"GE(""https://docs.google.com/spreadsheets/d/1kGrh75X1cNR1D7_FcY9zMnHP8iPO4M5RCRjy6nZY0TY/edit#gid=0"",""Table 1: Study characteristics!A4:A171""), $A1277=IMPORTRANGE(""https://docs.google.com/spreadsheets/d/1kGrh75X1cNR1D7_FcY9zMnHP8iPO4M5RCRjy6nZY0TY/edi"&amp;"t#gid=0"",""Table 1: Study characteristics!B4:B171""))
)"),"wrong study design")</f>
        <v>wrong study design</v>
      </c>
    </row>
    <row r="1278">
      <c r="A1278" s="4" t="str">
        <f>IFERROR(__xludf.DUMMYFUNCTION("""COMPUTED_VALUE"""),"Neonatal Hydrocephalus Treatment with Ultrasmall Valve Implantation")</f>
        <v>Neonatal Hydrocephalus Treatment with Ultrasmall Valve Implantation</v>
      </c>
      <c r="B1278" s="5" t="str">
        <f>IFERROR(__xludf.DUMMYFUNCTION("LEFT(FILTER(IMPORTRANGE(""https://docs.google.com/spreadsheets/d/1BJSV3WBYJGRhQ6zExamkszQ5VutGIcaQqmbD9ZTVXMQ/edit#gid=1251630045"",""articles_with_PRISMA_reasons!K2:K2113""), $A1278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$A1278=IMPORTRANGE(""https://docs.google.com/spreadsheets/d/1BJSV3WBYJGRhQ6zExamkszQ5VutGIcaQqmbD9ZTVXMQ/edit#gid=1251630045"",""articles_with_PRISMA_reasons!B2:B2113"")))-1)"),"Reed")</f>
        <v>Reed</v>
      </c>
      <c r="C1278" s="6">
        <f>IFERROR(__xludf.DUMMYFUNCTION("FILTER(IMPORTRANGE(""https://docs.google.com/spreadsheets/d/1BJSV3WBYJGRhQ6zExamkszQ5VutGIcaQqmbD9ZTVXMQ/edit#gid=1251630045"",""articles_with_PRISMA_reasons!C2:C2113""), $A1278=IMPORTRANGE(""https://docs.google.com/spreadsheets/d/1BJSV3WBYJGRhQ6zExamkszQ"&amp;"5VutGIcaQqmbD9ZTVXMQ/edit#gid=1251630045"",""articles_with_PRISMA_reasons!B2:B2113""))"),2020.0)</f>
        <v>2020</v>
      </c>
      <c r="D1278" s="5" t="str">
        <f>IFERROR(__xludf.DUMMYFUNCTION("IFS(AND(
FILTER(IMPORTRANGE(""https://docs.google.com/spreadsheets/d/1BJSV3WBYJGRhQ6zExamkszQ5VutGIcaQqmbD9ZTVXMQ/edit#gid=1251630045"",""articles_with_PRISMA_reasons!Y2:Y2113""), $A1278=IMPORTRANGE(""https://docs.google.com/spreadsheets/d/1BJSV3WBYJGRhQ6"&amp;"zExamkszQ5VutGIcaQqmbD9ZTVXMQ/edit#gid=1251630045"",""articles_with_PRISMA_reasons!B2:B2113""))&gt;=2,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$A1278=IMPORTRANGE(""https://docs.google.com/spreadsheets/d/1BJSV3WBYJGRhQ6zExamkszQ5VutGIcaQqmbD9ZTVXMQ/edit#gid=1251630045"",""articles_with_PRISMA_reasons!B2:B2113""))&lt;2),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$A1278=IMPORTRANGE(""https://docs.google.com/spreadsheets/d/1BJSV3WBYJGRhQ6zExamkszQ5VutGIcaQqmbD9ZTVXMQ/edit#gid=1251630045"",""a"&amp;"rticles_with_PRISMA_reasons!B2:B2113""))&lt;2,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$A1278=IMPORTRANGE(""https://docs.google"&amp;".com/spreadsheets/d/1BJSV3WBYJGRhQ6zExamkszQ5VutGIcaQqmbD9ZTVXMQ/edit#gid=1251630045"",""articles_with_PRISMA_reasons!B2:B2113""))&gt;=2),
""Exclude""
)"),"Exclude")</f>
        <v>Exclude</v>
      </c>
      <c r="E1278" s="5" t="str">
        <f>IFERROR(__xludf.DUMMYFUNCTION("IFS(
D1278=""Exclude"",""Exclude"",
AND(
FILTER(IMPORTRANGE(""https://docs.google.com/spreadsheets/d/1qpEmbGH0JjaJbUdp21-y2cPbobDbMjr09BbtdKROZWc/edit#gid=1444865654"",""articles_with_PRISMA_reasons!W2:W2113""), $A1278=IMPORTRANGE(""https://docs.google.co"&amp;"m/spreadsheets/d/1qpEmbGH0JjaJbUdp21-y2cPbobDbMjr09BbtdKROZWc/edit#gid=1444865654"",""articles_with_PRISMA_reasons!B2:B2113""))&gt;=2,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$A1278=IMPORTRANGE(""https://docs.google.com/spreadsheets/d/1qpEmbGH0JjaJbUdp21-y2cPbobDbMjr09BbtdKROZWc/edit#gid=1444865654"",""articles_with_PRISMA_reasons!B2:B2113""))&lt;2),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$A1278=IMPORTRANGE(""https://docs.google.com/spreadsheets/d/1qpEmbGH0JjaJbUdp21-y2cPbobDbMjr09Bbtd"&amp;"KROZWc/edit#gid=1444865654"",""articles_with_PRISMA_reasons!B2:B2113""))&lt;2,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$A1278=I"&amp;"MPORTRANGE(""https://docs.google.com/spreadsheets/d/1qpEmbGH0JjaJbUdp21-y2cPbobDbMjr09BbtdKROZWc/edit#gid=1444865654"",""articles_with_PRISMA_reasons!B2:B2113""))&gt;=2),
""Exclude""
)"),"Exclude")</f>
        <v>Exclude</v>
      </c>
      <c r="F1278" s="5" t="str">
        <f>IFERROR(__xludf.DUMMYFUNCTION("IFS(
E1278=""Exclude"",""Exclude"",
AND(
COUNTIF(
IMPORTRANGE(""https://docs.google.com/spreadsheets/d/1kGrh75X1cNR1D7_FcY9zMnHP8iPO4M5RCRjy6nZY0TY/edit#gid=0"",""Table 1: Study characteristics!B4:B171""),A1278)&gt;0,
COUNTIF(Studies!$A$2:$A$85,FILTER(IMPORT"&amp;"RANGE(""https://docs.google.com/spreadsheets/d/1kGrh75X1cNR1D7_FcY9zMnHP8iPO4M5RCRjy6nZY0TY/edit#gid=0"",""Table 1: Study characteristics!A4:A171""), $A1278=IMPORTRANGE(""https://docs.google.com/spreadsheets/d/1kGrh75X1cNR1D7_FcY9zMnHP8iPO4M5RCRjy6nZY0TY/"&amp;"edit#gid=0"",""Table 1: Study characteristics!B4:B171"")))&gt;0
),
""Include""
)"),"Exclude")</f>
        <v>Exclude</v>
      </c>
      <c r="G1278" s="5" t="str">
        <f>IFERROR(__xludf.DUMMYFUNCTION("IFS(
D1278=""Exclude"",
FILTER(IMPORTRANGE(""https://docs.google.com/spreadsheets/d/1BJSV3WBYJGRhQ6zExamkszQ5VutGIcaQqmbD9ZTVXMQ/edit#gid=1251630045"",""articles_with_PRISMA_reasons!AB2:AB2113""), $A1278=IMPORTRANGE(""https://docs.google.com/spreadsheets/"&amp;"d/1BJSV3WBYJGRhQ6zExamkszQ5VutGIcaQqmbD9ZTVXMQ/edit#gid=1251630045"",""articles_with_PRISMA_reasons!B2:B2113"")),
E1278=""Exclude"",
FILTER(IMPORTRANGE(""https://docs.google.com/spreadsheets/d/1qpEmbGH0JjaJbUdp21-y2cPbobDbMjr09BbtdKROZWc/edit#gid=14448656"&amp;"54"",""articles_with_PRISMA_reasons!Z2:Z2113""), $A1278=IMPORTRANGE(""https://docs.google.com/spreadsheets/d/1qpEmbGH0JjaJbUdp21-y2cPbobDbMjr09BbtdKROZWc/edit#gid=1444865654"",""articles_with_PRISMA_reasons!B2:B2113"")),F1278
=""Include"",FILTER(IMPORTRAN"&amp;"GE(""https://docs.google.com/spreadsheets/d/1kGrh75X1cNR1D7_FcY9zMnHP8iPO4M5RCRjy6nZY0TY/edit#gid=0"",""Table 1: Study characteristics!A4:A171""), $A1278=IMPORTRANGE(""https://docs.google.com/spreadsheets/d/1kGrh75X1cNR1D7_FcY9zMnHP8iPO4M5RCRjy6nZY0TY/edi"&amp;"t#gid=0"",""Table 1: Study characteristics!B4:B171""))
)"),"wrong population")</f>
        <v>wrong population</v>
      </c>
    </row>
    <row r="1279">
      <c r="A1279" s="4" t="str">
        <f>IFERROR(__xludf.DUMMYFUNCTION("""COMPUTED_VALUE"""),"Neonatal imaging using an on-site small footprint MR scanner")</f>
        <v>Neonatal imaging using an on-site small footprint MR scanner</v>
      </c>
      <c r="B1279" s="5" t="str">
        <f>IFERROR(__xludf.DUMMYFUNCTION("LEFT(FILTER(IMPORTRANGE(""https://docs.google.com/spreadsheets/d/1BJSV3WBYJGRhQ6zExamkszQ5VutGIcaQqmbD9ZTVXMQ/edit#gid=1251630045"",""articles_with_PRISMA_reasons!K2:K2113""), $A1279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$A1279=IMPORTRANGE(""https://docs.google.com/spreadsheets/d/1BJSV3WBYJGRhQ6zExamkszQ5VutGIcaQqmbD9ZTVXMQ/edit#gid=1251630045"",""articles_with_PRISMA_reasons!B2:B2113"")))-1)"),"Merhar")</f>
        <v>Merhar</v>
      </c>
      <c r="C1279" s="6">
        <f>IFERROR(__xludf.DUMMYFUNCTION("FILTER(IMPORTRANGE(""https://docs.google.com/spreadsheets/d/1BJSV3WBYJGRhQ6zExamkszQ5VutGIcaQqmbD9ZTVXMQ/edit#gid=1251630045"",""articles_with_PRISMA_reasons!C2:C2113""), $A1279=IMPORTRANGE(""https://docs.google.com/spreadsheets/d/1BJSV3WBYJGRhQ6zExamkszQ"&amp;"5VutGIcaQqmbD9ZTVXMQ/edit#gid=1251630045"",""articles_with_PRISMA_reasons!B2:B2113""))"),2017.0)</f>
        <v>2017</v>
      </c>
      <c r="D1279" s="5" t="str">
        <f>IFERROR(__xludf.DUMMYFUNCTION("IFS(AND(
FILTER(IMPORTRANGE(""https://docs.google.com/spreadsheets/d/1BJSV3WBYJGRhQ6zExamkszQ5VutGIcaQqmbD9ZTVXMQ/edit#gid=1251630045"",""articles_with_PRISMA_reasons!Y2:Y2113""), $A1279=IMPORTRANGE(""https://docs.google.com/spreadsheets/d/1BJSV3WBYJGRhQ6"&amp;"zExamkszQ5VutGIcaQqmbD9ZTVXMQ/edit#gid=1251630045"",""articles_with_PRISMA_reasons!B2:B2113""))&gt;=2,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$A1279=IMPORTRANGE(""https://docs.google.com/spreadsheets/d/1BJSV3WBYJGRhQ6zExamkszQ5VutGIcaQqmbD9ZTVXMQ/edit#gid=1251630045"",""articles_with_PRISMA_reasons!B2:B2113""))&lt;2),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$A1279=IMPORTRANGE(""https://docs.google.com/spreadsheets/d/1BJSV3WBYJGRhQ6zExamkszQ5VutGIcaQqmbD9ZTVXMQ/edit#gid=1251630045"",""a"&amp;"rticles_with_PRISMA_reasons!B2:B2113""))&lt;2,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$A1279=IMPORTRANGE(""https://docs.google"&amp;".com/spreadsheets/d/1BJSV3WBYJGRhQ6zExamkszQ5VutGIcaQqmbD9ZTVXMQ/edit#gid=1251630045"",""articles_with_PRISMA_reasons!B2:B2113""))&gt;=2),
""Exclude""
)"),"Exclude")</f>
        <v>Exclude</v>
      </c>
      <c r="E1279" s="5" t="str">
        <f>IFERROR(__xludf.DUMMYFUNCTION("IFS(
D1279=""Exclude"",""Exclude"",
AND(
FILTER(IMPORTRANGE(""https://docs.google.com/spreadsheets/d/1qpEmbGH0JjaJbUdp21-y2cPbobDbMjr09BbtdKROZWc/edit#gid=1444865654"",""articles_with_PRISMA_reasons!W2:W2113""), $A1279=IMPORTRANGE(""https://docs.google.co"&amp;"m/spreadsheets/d/1qpEmbGH0JjaJbUdp21-y2cPbobDbMjr09BbtdKROZWc/edit#gid=1444865654"",""articles_with_PRISMA_reasons!B2:B2113""))&gt;=2,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$A1279=IMPORTRANGE(""https://docs.google.com/spreadsheets/d/1qpEmbGH0JjaJbUdp21-y2cPbobDbMjr09BbtdKROZWc/edit#gid=1444865654"",""articles_with_PRISMA_reasons!B2:B2113""))&lt;2),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$A1279=IMPORTRANGE(""https://docs.google.com/spreadsheets/d/1qpEmbGH0JjaJbUdp21-y2cPbobDbMjr09Bbtd"&amp;"KROZWc/edit#gid=1444865654"",""articles_with_PRISMA_reasons!B2:B2113""))&lt;2,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$A1279=I"&amp;"MPORTRANGE(""https://docs.google.com/spreadsheets/d/1qpEmbGH0JjaJbUdp21-y2cPbobDbMjr09BbtdKROZWc/edit#gid=1444865654"",""articles_with_PRISMA_reasons!B2:B2113""))&gt;=2),
""Exclude""
)"),"Exclude")</f>
        <v>Exclude</v>
      </c>
      <c r="F1279" s="5" t="str">
        <f>IFERROR(__xludf.DUMMYFUNCTION("IFS(
E1279=""Exclude"",""Exclude"",
AND(
COUNTIF(
IMPORTRANGE(""https://docs.google.com/spreadsheets/d/1kGrh75X1cNR1D7_FcY9zMnHP8iPO4M5RCRjy6nZY0TY/edit#gid=0"",""Table 1: Study characteristics!B4:B171""),A1279)&gt;0,
COUNTIF(Studies!$A$2:$A$85,FILTER(IMPORT"&amp;"RANGE(""https://docs.google.com/spreadsheets/d/1kGrh75X1cNR1D7_FcY9zMnHP8iPO4M5RCRjy6nZY0TY/edit#gid=0"",""Table 1: Study characteristics!A4:A171""), $A1279=IMPORTRANGE(""https://docs.google.com/spreadsheets/d/1kGrh75X1cNR1D7_FcY9zMnHP8iPO4M5RCRjy6nZY0TY/"&amp;"edit#gid=0"",""Table 1: Study characteristics!B4:B171"")))&gt;0
),
""Include""
)"),"Exclude")</f>
        <v>Exclude</v>
      </c>
      <c r="G1279" s="5" t="str">
        <f>IFERROR(__xludf.DUMMYFUNCTION("IFS(
D1279=""Exclude"",
FILTER(IMPORTRANGE(""https://docs.google.com/spreadsheets/d/1BJSV3WBYJGRhQ6zExamkszQ5VutGIcaQqmbD9ZTVXMQ/edit#gid=1251630045"",""articles_with_PRISMA_reasons!AB2:AB2113""), $A1279=IMPORTRANGE(""https://docs.google.com/spreadsheets/"&amp;"d/1BJSV3WBYJGRhQ6zExamkszQ5VutGIcaQqmbD9ZTVXMQ/edit#gid=1251630045"",""articles_with_PRISMA_reasons!B2:B2113"")),
E1279=""Exclude"",
FILTER(IMPORTRANGE(""https://docs.google.com/spreadsheets/d/1qpEmbGH0JjaJbUdp21-y2cPbobDbMjr09BbtdKROZWc/edit#gid=14448656"&amp;"54"",""articles_with_PRISMA_reasons!Z2:Z2113""), $A1279=IMPORTRANGE(""https://docs.google.com/spreadsheets/d/1qpEmbGH0JjaJbUdp21-y2cPbobDbMjr09BbtdKROZWc/edit#gid=1444865654"",""articles_with_PRISMA_reasons!B2:B2113"")),F1279
=""Include"",FILTER(IMPORTRAN"&amp;"GE(""https://docs.google.com/spreadsheets/d/1kGrh75X1cNR1D7_FcY9zMnHP8iPO4M5RCRjy6nZY0TY/edit#gid=0"",""Table 1: Study characteristics!A4:A171""), $A1279=IMPORTRANGE(""https://docs.google.com/spreadsheets/d/1kGrh75X1cNR1D7_FcY9zMnHP8iPO4M5RCRjy6nZY0TY/edi"&amp;"t#gid=0"",""Table 1: Study characteristics!B4:B171""))
)"),"wrong population")</f>
        <v>wrong population</v>
      </c>
    </row>
    <row r="1280">
      <c r="A1280" s="4" t="str">
        <f>IFERROR(__xludf.DUMMYFUNCTION("""COMPUTED_VALUE"""),"Neonatal surgery: A ten year audit from a university hospital")</f>
        <v>Neonatal surgery: A ten year audit from a university hospital</v>
      </c>
      <c r="B1280" s="5" t="str">
        <f>IFERROR(__xludf.DUMMYFUNCTION("LEFT(FILTER(IMPORTRANGE(""https://docs.google.com/spreadsheets/d/1BJSV3WBYJGRhQ6zExamkszQ5VutGIcaQqmbD9ZTVXMQ/edit#gid=1251630045"",""articles_with_PRISMA_reasons!K2:K2113""), $A1280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$A1280=IMPORTRANGE(""https://docs.google.com/spreadsheets/d/1BJSV3WBYJGRhQ6zExamkszQ5VutGIcaQqmbD9ZTVXMQ/edit#gid=1251630045"",""articles_with_PRISMA_reasons!B2:B2113"")))-1)"),"Upadhyaya")</f>
        <v>Upadhyaya</v>
      </c>
      <c r="C1280" s="6">
        <f>IFERROR(__xludf.DUMMYFUNCTION("FILTER(IMPORTRANGE(""https://docs.google.com/spreadsheets/d/1BJSV3WBYJGRhQ6zExamkszQ5VutGIcaQqmbD9ZTVXMQ/edit#gid=1251630045"",""articles_with_PRISMA_reasons!C2:C2113""), $A1280=IMPORTRANGE(""https://docs.google.com/spreadsheets/d/1BJSV3WBYJGRhQ6zExamkszQ"&amp;"5VutGIcaQqmbD9ZTVXMQ/edit#gid=1251630045"",""articles_with_PRISMA_reasons!B2:B2113""))"),2008.0)</f>
        <v>2008</v>
      </c>
      <c r="D1280" s="5" t="str">
        <f>IFERROR(__xludf.DUMMYFUNCTION("IFS(AND(
FILTER(IMPORTRANGE(""https://docs.google.com/spreadsheets/d/1BJSV3WBYJGRhQ6zExamkszQ5VutGIcaQqmbD9ZTVXMQ/edit#gid=1251630045"",""articles_with_PRISMA_reasons!Y2:Y2113""), $A1280=IMPORTRANGE(""https://docs.google.com/spreadsheets/d/1BJSV3WBYJGRhQ6"&amp;"zExamkszQ5VutGIcaQqmbD9ZTVXMQ/edit#gid=1251630045"",""articles_with_PRISMA_reasons!B2:B2113""))&gt;=2,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$A1280=IMPORTRANGE(""https://docs.google.com/spreadsheets/d/1BJSV3WBYJGRhQ6zExamkszQ5VutGIcaQqmbD9ZTVXMQ/edit#gid=1251630045"",""articles_with_PRISMA_reasons!B2:B2113""))&lt;2),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$A1280=IMPORTRANGE(""https://docs.google.com/spreadsheets/d/1BJSV3WBYJGRhQ6zExamkszQ5VutGIcaQqmbD9ZTVXMQ/edit#gid=1251630045"",""a"&amp;"rticles_with_PRISMA_reasons!B2:B2113""))&lt;2,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$A1280=IMPORTRANGE(""https://docs.google"&amp;".com/spreadsheets/d/1BJSV3WBYJGRhQ6zExamkszQ5VutGIcaQqmbD9ZTVXMQ/edit#gid=1251630045"",""articles_with_PRISMA_reasons!B2:B2113""))&gt;=2),
""Exclude""
)"),"Exclude")</f>
        <v>Exclude</v>
      </c>
      <c r="E1280" s="5" t="str">
        <f>IFERROR(__xludf.DUMMYFUNCTION("IFS(
D1280=""Exclude"",""Exclude"",
AND(
FILTER(IMPORTRANGE(""https://docs.google.com/spreadsheets/d/1qpEmbGH0JjaJbUdp21-y2cPbobDbMjr09BbtdKROZWc/edit#gid=1444865654"",""articles_with_PRISMA_reasons!W2:W2113""), $A1280=IMPORTRANGE(""https://docs.google.co"&amp;"m/spreadsheets/d/1qpEmbGH0JjaJbUdp21-y2cPbobDbMjr09BbtdKROZWc/edit#gid=1444865654"",""articles_with_PRISMA_reasons!B2:B2113""))&gt;=2,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$A1280=IMPORTRANGE(""https://docs.google.com/spreadsheets/d/1qpEmbGH0JjaJbUdp21-y2cPbobDbMjr09BbtdKROZWc/edit#gid=1444865654"",""articles_with_PRISMA_reasons!B2:B2113""))&lt;2),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$A1280=IMPORTRANGE(""https://docs.google.com/spreadsheets/d/1qpEmbGH0JjaJbUdp21-y2cPbobDbMjr09Bbtd"&amp;"KROZWc/edit#gid=1444865654"",""articles_with_PRISMA_reasons!B2:B2113""))&lt;2,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$A1280=I"&amp;"MPORTRANGE(""https://docs.google.com/spreadsheets/d/1qpEmbGH0JjaJbUdp21-y2cPbobDbMjr09BbtdKROZWc/edit#gid=1444865654"",""articles_with_PRISMA_reasons!B2:B2113""))&gt;=2),
""Exclude""
)"),"Exclude")</f>
        <v>Exclude</v>
      </c>
      <c r="F1280" s="5" t="str">
        <f>IFERROR(__xludf.DUMMYFUNCTION("IFS(
E1280=""Exclude"",""Exclude"",
AND(
COUNTIF(
IMPORTRANGE(""https://docs.google.com/spreadsheets/d/1kGrh75X1cNR1D7_FcY9zMnHP8iPO4M5RCRjy6nZY0TY/edit#gid=0"",""Table 1: Study characteristics!B4:B171""),A1280)&gt;0,
COUNTIF(Studies!$A$2:$A$85,FILTER(IMPORT"&amp;"RANGE(""https://docs.google.com/spreadsheets/d/1kGrh75X1cNR1D7_FcY9zMnHP8iPO4M5RCRjy6nZY0TY/edit#gid=0"",""Table 1: Study characteristics!A4:A171""), $A1280=IMPORTRANGE(""https://docs.google.com/spreadsheets/d/1kGrh75X1cNR1D7_FcY9zMnHP8iPO4M5RCRjy6nZY0TY/"&amp;"edit#gid=0"",""Table 1: Study characteristics!B4:B171"")))&gt;0
),
""Include""
)"),"Exclude")</f>
        <v>Exclude</v>
      </c>
      <c r="G1280" s="5" t="str">
        <f>IFERROR(__xludf.DUMMYFUNCTION("IFS(
D1280=""Exclude"",
FILTER(IMPORTRANGE(""https://docs.google.com/spreadsheets/d/1BJSV3WBYJGRhQ6zExamkszQ5VutGIcaQqmbD9ZTVXMQ/edit#gid=1251630045"",""articles_with_PRISMA_reasons!AB2:AB2113""), $A1280=IMPORTRANGE(""https://docs.google.com/spreadsheets/"&amp;"d/1BJSV3WBYJGRhQ6zExamkszQ5VutGIcaQqmbD9ZTVXMQ/edit#gid=1251630045"",""articles_with_PRISMA_reasons!B2:B2113"")),
E1280=""Exclude"",
FILTER(IMPORTRANGE(""https://docs.google.com/spreadsheets/d/1qpEmbGH0JjaJbUdp21-y2cPbobDbMjr09BbtdKROZWc/edit#gid=14448656"&amp;"54"",""articles_with_PRISMA_reasons!Z2:Z2113""), $A1280=IMPORTRANGE(""https://docs.google.com/spreadsheets/d/1qpEmbGH0JjaJbUdp21-y2cPbobDbMjr09BbtdKROZWc/edit#gid=1444865654"",""articles_with_PRISMA_reasons!B2:B2113"")),F1280
=""Include"",FILTER(IMPORTRAN"&amp;"GE(""https://docs.google.com/spreadsheets/d/1kGrh75X1cNR1D7_FcY9zMnHP8iPO4M5RCRjy6nZY0TY/edit#gid=0"",""Table 1: Study characteristics!A4:A171""), $A1280=IMPORTRANGE(""https://docs.google.com/spreadsheets/d/1kGrh75X1cNR1D7_FcY9zMnHP8iPO4M5RCRjy6nZY0TY/edi"&amp;"t#gid=0"",""Table 1: Study characteristics!B4:B171""))
)"),"wrong study design")</f>
        <v>wrong study design</v>
      </c>
    </row>
    <row r="1281">
      <c r="A1281" s="4" t="str">
        <f>IFERROR(__xludf.DUMMYFUNCTION("""COMPUTED_VALUE"""),"Neonatal surgery: changing patterns 1972-1980")</f>
        <v>Neonatal surgery: changing patterns 1972-1980</v>
      </c>
      <c r="B1281" s="5" t="str">
        <f>IFERROR(__xludf.DUMMYFUNCTION("LEFT(FILTER(IMPORTRANGE(""https://docs.google.com/spreadsheets/d/1BJSV3WBYJGRhQ6zExamkszQ5VutGIcaQqmbD9ZTVXMQ/edit#gid=1251630045"",""articles_with_PRISMA_reasons!K2:K2113""), $A1281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$A1281=IMPORTRANGE(""https://docs.google.com/spreadsheets/d/1BJSV3WBYJGRhQ6zExamkszQ5VutGIcaQqmbD9ZTVXMQ/edit#gid=1251630045"",""articles_with_PRISMA_reasons!B2:B2113"")))-1)"),"Battaglia")</f>
        <v>Battaglia</v>
      </c>
      <c r="C1281" s="6">
        <f>IFERROR(__xludf.DUMMYFUNCTION("FILTER(IMPORTRANGE(""https://docs.google.com/spreadsheets/d/1BJSV3WBYJGRhQ6zExamkszQ5VutGIcaQqmbD9ZTVXMQ/edit#gid=1251630045"",""articles_with_PRISMA_reasons!C2:C2113""), $A1281=IMPORTRANGE(""https://docs.google.com/spreadsheets/d/1BJSV3WBYJGRhQ6zExamkszQ"&amp;"5VutGIcaQqmbD9ZTVXMQ/edit#gid=1251630045"",""articles_with_PRISMA_reasons!B2:B2113""))"),1982.0)</f>
        <v>1982</v>
      </c>
      <c r="D1281" s="5" t="str">
        <f>IFERROR(__xludf.DUMMYFUNCTION("IFS(AND(
FILTER(IMPORTRANGE(""https://docs.google.com/spreadsheets/d/1BJSV3WBYJGRhQ6zExamkszQ5VutGIcaQqmbD9ZTVXMQ/edit#gid=1251630045"",""articles_with_PRISMA_reasons!Y2:Y2113""), $A1281=IMPORTRANGE(""https://docs.google.com/spreadsheets/d/1BJSV3WBYJGRhQ6"&amp;"zExamkszQ5VutGIcaQqmbD9ZTVXMQ/edit#gid=1251630045"",""articles_with_PRISMA_reasons!B2:B2113""))&gt;=2,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$A1281=IMPORTRANGE(""https://docs.google.com/spreadsheets/d/1BJSV3WBYJGRhQ6zExamkszQ5VutGIcaQqmbD9ZTVXMQ/edit#gid=1251630045"",""articles_with_PRISMA_reasons!B2:B2113""))&lt;2),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$A1281=IMPORTRANGE(""https://docs.google.com/spreadsheets/d/1BJSV3WBYJGRhQ6zExamkszQ5VutGIcaQqmbD9ZTVXMQ/edit#gid=1251630045"",""a"&amp;"rticles_with_PRISMA_reasons!B2:B2113""))&lt;2,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$A1281=IMPORTRANGE(""https://docs.google"&amp;".com/spreadsheets/d/1BJSV3WBYJGRhQ6zExamkszQ5VutGIcaQqmbD9ZTVXMQ/edit#gid=1251630045"",""articles_with_PRISMA_reasons!B2:B2113""))&gt;=2),
""Exclude""
)"),"Exclude")</f>
        <v>Exclude</v>
      </c>
      <c r="E1281" s="5" t="str">
        <f>IFERROR(__xludf.DUMMYFUNCTION("IFS(
D1281=""Exclude"",""Exclude"",
AND(
FILTER(IMPORTRANGE(""https://docs.google.com/spreadsheets/d/1qpEmbGH0JjaJbUdp21-y2cPbobDbMjr09BbtdKROZWc/edit#gid=1444865654"",""articles_with_PRISMA_reasons!W2:W2113""), $A1281=IMPORTRANGE(""https://docs.google.co"&amp;"m/spreadsheets/d/1qpEmbGH0JjaJbUdp21-y2cPbobDbMjr09BbtdKROZWc/edit#gid=1444865654"",""articles_with_PRISMA_reasons!B2:B2113""))&gt;=2,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$A1281=IMPORTRANGE(""https://docs.google.com/spreadsheets/d/1qpEmbGH0JjaJbUdp21-y2cPbobDbMjr09BbtdKROZWc/edit#gid=1444865654"",""articles_with_PRISMA_reasons!B2:B2113""))&lt;2),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$A1281=IMPORTRANGE(""https://docs.google.com/spreadsheets/d/1qpEmbGH0JjaJbUdp21-y2cPbobDbMjr09Bbtd"&amp;"KROZWc/edit#gid=1444865654"",""articles_with_PRISMA_reasons!B2:B2113""))&lt;2,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$A1281=I"&amp;"MPORTRANGE(""https://docs.google.com/spreadsheets/d/1qpEmbGH0JjaJbUdp21-y2cPbobDbMjr09BbtdKROZWc/edit#gid=1444865654"",""articles_with_PRISMA_reasons!B2:B2113""))&gt;=2),
""Exclude""
)"),"Exclude")</f>
        <v>Exclude</v>
      </c>
      <c r="F1281" s="5" t="str">
        <f>IFERROR(__xludf.DUMMYFUNCTION("IFS(
E1281=""Exclude"",""Exclude"",
AND(
COUNTIF(
IMPORTRANGE(""https://docs.google.com/spreadsheets/d/1kGrh75X1cNR1D7_FcY9zMnHP8iPO4M5RCRjy6nZY0TY/edit#gid=0"",""Table 1: Study characteristics!B4:B171""),A1281)&gt;0,
COUNTIF(Studies!$A$2:$A$85,FILTER(IMPORT"&amp;"RANGE(""https://docs.google.com/spreadsheets/d/1kGrh75X1cNR1D7_FcY9zMnHP8iPO4M5RCRjy6nZY0TY/edit#gid=0"",""Table 1: Study characteristics!A4:A171""), $A1281=IMPORTRANGE(""https://docs.google.com/spreadsheets/d/1kGrh75X1cNR1D7_FcY9zMnHP8iPO4M5RCRjy6nZY0TY/"&amp;"edit#gid=0"",""Table 1: Study characteristics!B4:B171"")))&gt;0
),
""Include""
)"),"Exclude")</f>
        <v>Exclude</v>
      </c>
      <c r="G1281" s="5" t="str">
        <f>IFERROR(__xludf.DUMMYFUNCTION("IFS(
D1281=""Exclude"",
FILTER(IMPORTRANGE(""https://docs.google.com/spreadsheets/d/1BJSV3WBYJGRhQ6zExamkszQ5VutGIcaQqmbD9ZTVXMQ/edit#gid=1251630045"",""articles_with_PRISMA_reasons!AB2:AB2113""), $A1281=IMPORTRANGE(""https://docs.google.com/spreadsheets/"&amp;"d/1BJSV3WBYJGRhQ6zExamkszQ5VutGIcaQqmbD9ZTVXMQ/edit#gid=1251630045"",""articles_with_PRISMA_reasons!B2:B2113"")),
E1281=""Exclude"",
FILTER(IMPORTRANGE(""https://docs.google.com/spreadsheets/d/1qpEmbGH0JjaJbUdp21-y2cPbobDbMjr09BbtdKROZWc/edit#gid=14448656"&amp;"54"",""articles_with_PRISMA_reasons!Z2:Z2113""), $A1281=IMPORTRANGE(""https://docs.google.com/spreadsheets/d/1qpEmbGH0JjaJbUdp21-y2cPbobDbMjr09BbtdKROZWc/edit#gid=1444865654"",""articles_with_PRISMA_reasons!B2:B2113"")),F1281
=""Include"",FILTER(IMPORTRAN"&amp;"GE(""https://docs.google.com/spreadsheets/d/1kGrh75X1cNR1D7_FcY9zMnHP8iPO4M5RCRjy6nZY0TY/edit#gid=0"",""Table 1: Study characteristics!A4:A171""), $A1281=IMPORTRANGE(""https://docs.google.com/spreadsheets/d/1kGrh75X1cNR1D7_FcY9zMnHP8iPO4M5RCRjy6nZY0TY/edi"&amp;"t#gid=0"",""Table 1: Study characteristics!B4:B171""))
)"),"wrong study design")</f>
        <v>wrong study design</v>
      </c>
    </row>
    <row r="1282">
      <c r="A1282" s="4" t="str">
        <f>IFERROR(__xludf.DUMMYFUNCTION("""COMPUTED_VALUE"""),"Neonate with ventriculitis caused by Empedobacter brevis: Report of a case in Peru")</f>
        <v>Neonate with ventriculitis caused by Empedobacter brevis: Report of a case in Peru</v>
      </c>
      <c r="B1282" s="5" t="str">
        <f>IFERROR(__xludf.DUMMYFUNCTION("LEFT(FILTER(IMPORTRANGE(""https://docs.google.com/spreadsheets/d/1BJSV3WBYJGRhQ6zExamkszQ5VutGIcaQqmbD9ZTVXMQ/edit#gid=1251630045"",""articles_with_PRISMA_reasons!K2:K2113""), $A1282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$A1282=IMPORTRANGE(""https://docs.google.com/spreadsheets/d/1BJSV3WBYJGRhQ6zExamkszQ5VutGIcaQqmbD9ZTVXMQ/edit#gid=1251630045"",""articles_with_PRISMA_reasons!B2:B2113"")))-1)"),"Rojas-Contreras")</f>
        <v>Rojas-Contreras</v>
      </c>
      <c r="C1282" s="6">
        <f>IFERROR(__xludf.DUMMYFUNCTION("FILTER(IMPORTRANGE(""https://docs.google.com/spreadsheets/d/1BJSV3WBYJGRhQ6zExamkszQ5VutGIcaQqmbD9ZTVXMQ/edit#gid=1251630045"",""articles_with_PRISMA_reasons!C2:C2113""), $A1282=IMPORTRANGE(""https://docs.google.com/spreadsheets/d/1BJSV3WBYJGRhQ6zExamkszQ"&amp;"5VutGIcaQqmbD9ZTVXMQ/edit#gid=1251630045"",""articles_with_PRISMA_reasons!B2:B2113""))"),2018.0)</f>
        <v>2018</v>
      </c>
      <c r="D1282" s="5" t="str">
        <f>IFERROR(__xludf.DUMMYFUNCTION("IFS(AND(
FILTER(IMPORTRANGE(""https://docs.google.com/spreadsheets/d/1BJSV3WBYJGRhQ6zExamkszQ5VutGIcaQqmbD9ZTVXMQ/edit#gid=1251630045"",""articles_with_PRISMA_reasons!Y2:Y2113""), $A1282=IMPORTRANGE(""https://docs.google.com/spreadsheets/d/1BJSV3WBYJGRhQ6"&amp;"zExamkszQ5VutGIcaQqmbD9ZTVXMQ/edit#gid=1251630045"",""articles_with_PRISMA_reasons!B2:B2113""))&gt;=2,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$A1282=IMPORTRANGE(""https://docs.google.com/spreadsheets/d/1BJSV3WBYJGRhQ6zExamkszQ5VutGIcaQqmbD9ZTVXMQ/edit#gid=1251630045"",""articles_with_PRISMA_reasons!B2:B2113""))&lt;2),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$A1282=IMPORTRANGE(""https://docs.google.com/spreadsheets/d/1BJSV3WBYJGRhQ6zExamkszQ5VutGIcaQqmbD9ZTVXMQ/edit#gid=1251630045"",""a"&amp;"rticles_with_PRISMA_reasons!B2:B2113""))&lt;2,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$A1282=IMPORTRANGE(""https://docs.google"&amp;".com/spreadsheets/d/1BJSV3WBYJGRhQ6zExamkszQ5VutGIcaQqmbD9ZTVXMQ/edit#gid=1251630045"",""articles_with_PRISMA_reasons!B2:B2113""))&gt;=2),
""Exclude""
)"),"Exclude")</f>
        <v>Exclude</v>
      </c>
      <c r="E1282" s="5" t="str">
        <f>IFERROR(__xludf.DUMMYFUNCTION("IFS(
D1282=""Exclude"",""Exclude"",
AND(
FILTER(IMPORTRANGE(""https://docs.google.com/spreadsheets/d/1qpEmbGH0JjaJbUdp21-y2cPbobDbMjr09BbtdKROZWc/edit#gid=1444865654"",""articles_with_PRISMA_reasons!W2:W2113""), $A1282=IMPORTRANGE(""https://docs.google.co"&amp;"m/spreadsheets/d/1qpEmbGH0JjaJbUdp21-y2cPbobDbMjr09BbtdKROZWc/edit#gid=1444865654"",""articles_with_PRISMA_reasons!B2:B2113""))&gt;=2,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$A1282=IMPORTRANGE(""https://docs.google.com/spreadsheets/d/1qpEmbGH0JjaJbUdp21-y2cPbobDbMjr09BbtdKROZWc/edit#gid=1444865654"",""articles_with_PRISMA_reasons!B2:B2113""))&lt;2),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$A1282=IMPORTRANGE(""https://docs.google.com/spreadsheets/d/1qpEmbGH0JjaJbUdp21-y2cPbobDbMjr09Bbtd"&amp;"KROZWc/edit#gid=1444865654"",""articles_with_PRISMA_reasons!B2:B2113""))&lt;2,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$A1282=I"&amp;"MPORTRANGE(""https://docs.google.com/spreadsheets/d/1qpEmbGH0JjaJbUdp21-y2cPbobDbMjr09BbtdKROZWc/edit#gid=1444865654"",""articles_with_PRISMA_reasons!B2:B2113""))&gt;=2),
""Exclude""
)"),"Exclude")</f>
        <v>Exclude</v>
      </c>
      <c r="F1282" s="5" t="str">
        <f>IFERROR(__xludf.DUMMYFUNCTION("IFS(
E1282=""Exclude"",""Exclude"",
AND(
COUNTIF(
IMPORTRANGE(""https://docs.google.com/spreadsheets/d/1kGrh75X1cNR1D7_FcY9zMnHP8iPO4M5RCRjy6nZY0TY/edit#gid=0"",""Table 1: Study characteristics!B4:B171""),A1282)&gt;0,
COUNTIF(Studies!$A$2:$A$85,FILTER(IMPORT"&amp;"RANGE(""https://docs.google.com/spreadsheets/d/1kGrh75X1cNR1D7_FcY9zMnHP8iPO4M5RCRjy6nZY0TY/edit#gid=0"",""Table 1: Study characteristics!A4:A171""), $A1282=IMPORTRANGE(""https://docs.google.com/spreadsheets/d/1kGrh75X1cNR1D7_FcY9zMnHP8iPO4M5RCRjy6nZY0TY/"&amp;"edit#gid=0"",""Table 1: Study characteristics!B4:B171"")))&gt;0
),
""Include""
)"),"Exclude")</f>
        <v>Exclude</v>
      </c>
      <c r="G1282" s="5" t="str">
        <f>IFERROR(__xludf.DUMMYFUNCTION("IFS(
D1282=""Exclude"",
FILTER(IMPORTRANGE(""https://docs.google.com/spreadsheets/d/1BJSV3WBYJGRhQ6zExamkszQ5VutGIcaQqmbD9ZTVXMQ/edit#gid=1251630045"",""articles_with_PRISMA_reasons!AB2:AB2113""), $A1282=IMPORTRANGE(""https://docs.google.com/spreadsheets/"&amp;"d/1BJSV3WBYJGRhQ6zExamkszQ5VutGIcaQqmbD9ZTVXMQ/edit#gid=1251630045"",""articles_with_PRISMA_reasons!B2:B2113"")),
E1282=""Exclude"",
FILTER(IMPORTRANGE(""https://docs.google.com/spreadsheets/d/1qpEmbGH0JjaJbUdp21-y2cPbobDbMjr09BbtdKROZWc/edit#gid=14448656"&amp;"54"",""articles_with_PRISMA_reasons!Z2:Z2113""), $A1282=IMPORTRANGE(""https://docs.google.com/spreadsheets/d/1qpEmbGH0JjaJbUdp21-y2cPbobDbMjr09BbtdKROZWc/edit#gid=1444865654"",""articles_with_PRISMA_reasons!B2:B2113"")),F1282
=""Include"",FILTER(IMPORTRAN"&amp;"GE(""https://docs.google.com/spreadsheets/d/1kGrh75X1cNR1D7_FcY9zMnHP8iPO4M5RCRjy6nZY0TY/edit#gid=0"",""Table 1: Study characteristics!A4:A171""), $A1282=IMPORTRANGE(""https://docs.google.com/spreadsheets/d/1kGrh75X1cNR1D7_FcY9zMnHP8iPO4M5RCRjy6nZY0TY/edi"&amp;"t#gid=0"",""Table 1: Study characteristics!B4:B171""))
)"),"wrong publication type")</f>
        <v>wrong publication type</v>
      </c>
    </row>
    <row r="1283">
      <c r="A1283" s="4" t="str">
        <f>IFERROR(__xludf.DUMMYFUNCTION("""COMPUTED_VALUE"""),"Neonato con Ventriculitis causada por Empedobacter Brevis: Reporte de un caso en Perú")</f>
        <v>Neonato con Ventriculitis causada por Empedobacter Brevis: Reporte de un caso en Perú</v>
      </c>
      <c r="B1283" s="5" t="str">
        <f>IFERROR(__xludf.DUMMYFUNCTION("LEFT(FILTER(IMPORTRANGE(""https://docs.google.com/spreadsheets/d/1BJSV3WBYJGRhQ6zExamkszQ5VutGIcaQqmbD9ZTVXMQ/edit#gid=1251630045"",""articles_with_PRISMA_reasons!K2:K2113""), $A1283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$A1283=IMPORTRANGE(""https://docs.google.com/spreadsheets/d/1BJSV3WBYJGRhQ6zExamkszQ5VutGIcaQqmbD9ZTVXMQ/edit#gid=1251630045"",""articles_with_PRISMA_reasons!B2:B2113"")))-1)"),"Rojas-Contreras")</f>
        <v>Rojas-Contreras</v>
      </c>
      <c r="C1283" s="6">
        <f>IFERROR(__xludf.DUMMYFUNCTION("FILTER(IMPORTRANGE(""https://docs.google.com/spreadsheets/d/1BJSV3WBYJGRhQ6zExamkszQ5VutGIcaQqmbD9ZTVXMQ/edit#gid=1251630045"",""articles_with_PRISMA_reasons!C2:C2113""), $A1283=IMPORTRANGE(""https://docs.google.com/spreadsheets/d/1BJSV3WBYJGRhQ6zExamkszQ"&amp;"5VutGIcaQqmbD9ZTVXMQ/edit#gid=1251630045"",""articles_with_PRISMA_reasons!B2:B2113""))"),2018.0)</f>
        <v>2018</v>
      </c>
      <c r="D1283" s="5" t="str">
        <f>IFERROR(__xludf.DUMMYFUNCTION("IFS(AND(
FILTER(IMPORTRANGE(""https://docs.google.com/spreadsheets/d/1BJSV3WBYJGRhQ6zExamkszQ5VutGIcaQqmbD9ZTVXMQ/edit#gid=1251630045"",""articles_with_PRISMA_reasons!Y2:Y2113""), $A1283=IMPORTRANGE(""https://docs.google.com/spreadsheets/d/1BJSV3WBYJGRhQ6"&amp;"zExamkszQ5VutGIcaQqmbD9ZTVXMQ/edit#gid=1251630045"",""articles_with_PRISMA_reasons!B2:B2113""))&gt;=2,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$A1283=IMPORTRANGE(""https://docs.google.com/spreadsheets/d/1BJSV3WBYJGRhQ6zExamkszQ5VutGIcaQqmbD9ZTVXMQ/edit#gid=1251630045"",""articles_with_PRISMA_reasons!B2:B2113""))&lt;2),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$A1283=IMPORTRANGE(""https://docs.google.com/spreadsheets/d/1BJSV3WBYJGRhQ6zExamkszQ5VutGIcaQqmbD9ZTVXMQ/edit#gid=1251630045"",""a"&amp;"rticles_with_PRISMA_reasons!B2:B2113""))&lt;2,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$A1283=IMPORTRANGE(""https://docs.google"&amp;".com/spreadsheets/d/1BJSV3WBYJGRhQ6zExamkszQ5VutGIcaQqmbD9ZTVXMQ/edit#gid=1251630045"",""articles_with_PRISMA_reasons!B2:B2113""))&gt;=2),
""Exclude""
)"),"Exclude")</f>
        <v>Exclude</v>
      </c>
      <c r="E1283" s="5" t="str">
        <f>IFERROR(__xludf.DUMMYFUNCTION("IFS(
D1283=""Exclude"",""Exclude"",
AND(
FILTER(IMPORTRANGE(""https://docs.google.com/spreadsheets/d/1qpEmbGH0JjaJbUdp21-y2cPbobDbMjr09BbtdKROZWc/edit#gid=1444865654"",""articles_with_PRISMA_reasons!W2:W2113""), $A1283=IMPORTRANGE(""https://docs.google.co"&amp;"m/spreadsheets/d/1qpEmbGH0JjaJbUdp21-y2cPbobDbMjr09BbtdKROZWc/edit#gid=1444865654"",""articles_with_PRISMA_reasons!B2:B2113""))&gt;=2,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$A1283=IMPORTRANGE(""https://docs.google.com/spreadsheets/d/1qpEmbGH0JjaJbUdp21-y2cPbobDbMjr09BbtdKROZWc/edit#gid=1444865654"",""articles_with_PRISMA_reasons!B2:B2113""))&lt;2),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$A1283=IMPORTRANGE(""https://docs.google.com/spreadsheets/d/1qpEmbGH0JjaJbUdp21-y2cPbobDbMjr09Bbtd"&amp;"KROZWc/edit#gid=1444865654"",""articles_with_PRISMA_reasons!B2:B2113""))&lt;2,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$A1283=I"&amp;"MPORTRANGE(""https://docs.google.com/spreadsheets/d/1qpEmbGH0JjaJbUdp21-y2cPbobDbMjr09BbtdKROZWc/edit#gid=1444865654"",""articles_with_PRISMA_reasons!B2:B2113""))&gt;=2),
""Exclude""
)"),"Exclude")</f>
        <v>Exclude</v>
      </c>
      <c r="F1283" s="5" t="str">
        <f>IFERROR(__xludf.DUMMYFUNCTION("IFS(
E1283=""Exclude"",""Exclude"",
AND(
COUNTIF(
IMPORTRANGE(""https://docs.google.com/spreadsheets/d/1kGrh75X1cNR1D7_FcY9zMnHP8iPO4M5RCRjy6nZY0TY/edit#gid=0"",""Table 1: Study characteristics!B4:B171""),A1283)&gt;0,
COUNTIF(Studies!$A$2:$A$85,FILTER(IMPORT"&amp;"RANGE(""https://docs.google.com/spreadsheets/d/1kGrh75X1cNR1D7_FcY9zMnHP8iPO4M5RCRjy6nZY0TY/edit#gid=0"",""Table 1: Study characteristics!A4:A171""), $A1283=IMPORTRANGE(""https://docs.google.com/spreadsheets/d/1kGrh75X1cNR1D7_FcY9zMnHP8iPO4M5RCRjy6nZY0TY/"&amp;"edit#gid=0"",""Table 1: Study characteristics!B4:B171"")))&gt;0
),
""Include""
)"),"Exclude")</f>
        <v>Exclude</v>
      </c>
      <c r="G1283" s="5" t="str">
        <f>IFERROR(__xludf.DUMMYFUNCTION("IFS(
D1283=""Exclude"",
FILTER(IMPORTRANGE(""https://docs.google.com/spreadsheets/d/1BJSV3WBYJGRhQ6zExamkszQ5VutGIcaQqmbD9ZTVXMQ/edit#gid=1251630045"",""articles_with_PRISMA_reasons!AB2:AB2113""), $A1283=IMPORTRANGE(""https://docs.google.com/spreadsheets/"&amp;"d/1BJSV3WBYJGRhQ6zExamkszQ5VutGIcaQqmbD9ZTVXMQ/edit#gid=1251630045"",""articles_with_PRISMA_reasons!B2:B2113"")),
E1283=""Exclude"",
FILTER(IMPORTRANGE(""https://docs.google.com/spreadsheets/d/1qpEmbGH0JjaJbUdp21-y2cPbobDbMjr09BbtdKROZWc/edit#gid=14448656"&amp;"54"",""articles_with_PRISMA_reasons!Z2:Z2113""), $A1283=IMPORTRANGE(""https://docs.google.com/spreadsheets/d/1qpEmbGH0JjaJbUdp21-y2cPbobDbMjr09BbtdKROZWc/edit#gid=1444865654"",""articles_with_PRISMA_reasons!B2:B2113"")),F1283
=""Include"",FILTER(IMPORTRAN"&amp;"GE(""https://docs.google.com/spreadsheets/d/1kGrh75X1cNR1D7_FcY9zMnHP8iPO4M5RCRjy6nZY0TY/edit#gid=0"",""Table 1: Study characteristics!A4:A171""), $A1283=IMPORTRANGE(""https://docs.google.com/spreadsheets/d/1kGrh75X1cNR1D7_FcY9zMnHP8iPO4M5RCRjy6nZY0TY/edi"&amp;"t#gid=0"",""Table 1: Study characteristics!B4:B171""))
)"),"wrong population")</f>
        <v>wrong population</v>
      </c>
    </row>
    <row r="1284">
      <c r="A1284" s="4" t="str">
        <f>IFERROR(__xludf.DUMMYFUNCTION("""COMPUTED_VALUE"""),"Neonatology--then and now. Central nervous system investigation (1961)")</f>
        <v>Neonatology--then and now. Central nervous system investigation (1961)</v>
      </c>
      <c r="B1284" s="5" t="str">
        <f>IFERROR(__xludf.DUMMYFUNCTION("LEFT(FILTER(IMPORTRANGE(""https://docs.google.com/spreadsheets/d/1BJSV3WBYJGRhQ6zExamkszQ5VutGIcaQqmbD9ZTVXMQ/edit#gid=1251630045"",""articles_with_PRISMA_reasons!K2:K2113""), $A1284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$A1284=IMPORTRANGE(""https://docs.google.com/spreadsheets/d/1BJSV3WBYJGRhQ6zExamkszQ5VutGIcaQqmbD9ZTVXMQ/edit#gid=1251630045"",""articles_with_PRISMA_reasons!B2:B2113"")))-1)"),"Walker")</f>
        <v>Walker</v>
      </c>
      <c r="C1284" s="6">
        <f>IFERROR(__xludf.DUMMYFUNCTION("FILTER(IMPORTRANGE(""https://docs.google.com/spreadsheets/d/1BJSV3WBYJGRhQ6zExamkszQ5VutGIcaQqmbD9ZTVXMQ/edit#gid=1251630045"",""articles_with_PRISMA_reasons!C2:C2113""), $A1284=IMPORTRANGE(""https://docs.google.com/spreadsheets/d/1BJSV3WBYJGRhQ6zExamkszQ"&amp;"5VutGIcaQqmbD9ZTVXMQ/edit#gid=1251630045"",""articles_with_PRISMA_reasons!B2:B2113""))"),1990.0)</f>
        <v>1990</v>
      </c>
      <c r="D1284" s="5" t="str">
        <f>IFERROR(__xludf.DUMMYFUNCTION("IFS(AND(
FILTER(IMPORTRANGE(""https://docs.google.com/spreadsheets/d/1BJSV3WBYJGRhQ6zExamkszQ5VutGIcaQqmbD9ZTVXMQ/edit#gid=1251630045"",""articles_with_PRISMA_reasons!Y2:Y2113""), $A1284=IMPORTRANGE(""https://docs.google.com/spreadsheets/d/1BJSV3WBYJGRhQ6"&amp;"zExamkszQ5VutGIcaQqmbD9ZTVXMQ/edit#gid=1251630045"",""articles_with_PRISMA_reasons!B2:B2113""))&gt;=2,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$A1284=IMPORTRANGE(""https://docs.google.com/spreadsheets/d/1BJSV3WBYJGRhQ6zExamkszQ5VutGIcaQqmbD9ZTVXMQ/edit#gid=1251630045"",""articles_with_PRISMA_reasons!B2:B2113""))&lt;2),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$A1284=IMPORTRANGE(""https://docs.google.com/spreadsheets/d/1BJSV3WBYJGRhQ6zExamkszQ5VutGIcaQqmbD9ZTVXMQ/edit#gid=1251630045"",""a"&amp;"rticles_with_PRISMA_reasons!B2:B2113""))&lt;2,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$A1284=IMPORTRANGE(""https://docs.google"&amp;".com/spreadsheets/d/1BJSV3WBYJGRhQ6zExamkszQ5VutGIcaQqmbD9ZTVXMQ/edit#gid=1251630045"",""articles_with_PRISMA_reasons!B2:B2113""))&gt;=2),
""Exclude""
)"),"Exclude")</f>
        <v>Exclude</v>
      </c>
      <c r="E1284" s="5" t="str">
        <f>IFERROR(__xludf.DUMMYFUNCTION("IFS(
D1284=""Exclude"",""Exclude"",
AND(
FILTER(IMPORTRANGE(""https://docs.google.com/spreadsheets/d/1qpEmbGH0JjaJbUdp21-y2cPbobDbMjr09BbtdKROZWc/edit#gid=1444865654"",""articles_with_PRISMA_reasons!W2:W2113""), $A1284=IMPORTRANGE(""https://docs.google.co"&amp;"m/spreadsheets/d/1qpEmbGH0JjaJbUdp21-y2cPbobDbMjr09BbtdKROZWc/edit#gid=1444865654"",""articles_with_PRISMA_reasons!B2:B2113""))&gt;=2,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$A1284=IMPORTRANGE(""https://docs.google.com/spreadsheets/d/1qpEmbGH0JjaJbUdp21-y2cPbobDbMjr09BbtdKROZWc/edit#gid=1444865654"",""articles_with_PRISMA_reasons!B2:B2113""))&lt;2),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$A1284=IMPORTRANGE(""https://docs.google.com/spreadsheets/d/1qpEmbGH0JjaJbUdp21-y2cPbobDbMjr09Bbtd"&amp;"KROZWc/edit#gid=1444865654"",""articles_with_PRISMA_reasons!B2:B2113""))&lt;2,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$A1284=I"&amp;"MPORTRANGE(""https://docs.google.com/spreadsheets/d/1qpEmbGH0JjaJbUdp21-y2cPbobDbMjr09BbtdKROZWc/edit#gid=1444865654"",""articles_with_PRISMA_reasons!B2:B2113""))&gt;=2),
""Exclude""
)"),"Exclude")</f>
        <v>Exclude</v>
      </c>
      <c r="F1284" s="5" t="str">
        <f>IFERROR(__xludf.DUMMYFUNCTION("IFS(
E1284=""Exclude"",""Exclude"",
AND(
COUNTIF(
IMPORTRANGE(""https://docs.google.com/spreadsheets/d/1kGrh75X1cNR1D7_FcY9zMnHP8iPO4M5RCRjy6nZY0TY/edit#gid=0"",""Table 1: Study characteristics!B4:B171""),A1284)&gt;0,
COUNTIF(Studies!$A$2:$A$85,FILTER(IMPORT"&amp;"RANGE(""https://docs.google.com/spreadsheets/d/1kGrh75X1cNR1D7_FcY9zMnHP8iPO4M5RCRjy6nZY0TY/edit#gid=0"",""Table 1: Study characteristics!A4:A171""), $A1284=IMPORTRANGE(""https://docs.google.com/spreadsheets/d/1kGrh75X1cNR1D7_FcY9zMnHP8iPO4M5RCRjy6nZY0TY/"&amp;"edit#gid=0"",""Table 1: Study characteristics!B4:B171"")))&gt;0
),
""Include""
)"),"Exclude")</f>
        <v>Exclude</v>
      </c>
      <c r="G1284" s="5" t="str">
        <f>IFERROR(__xludf.DUMMYFUNCTION("IFS(
D1284=""Exclude"",
FILTER(IMPORTRANGE(""https://docs.google.com/spreadsheets/d/1BJSV3WBYJGRhQ6zExamkszQ5VutGIcaQqmbD9ZTVXMQ/edit#gid=1251630045"",""articles_with_PRISMA_reasons!AB2:AB2113""), $A1284=IMPORTRANGE(""https://docs.google.com/spreadsheets/"&amp;"d/1BJSV3WBYJGRhQ6zExamkszQ5VutGIcaQqmbD9ZTVXMQ/edit#gid=1251630045"",""articles_with_PRISMA_reasons!B2:B2113"")),
E1284=""Exclude"",
FILTER(IMPORTRANGE(""https://docs.google.com/spreadsheets/d/1qpEmbGH0JjaJbUdp21-y2cPbobDbMjr09BbtdKROZWc/edit#gid=14448656"&amp;"54"",""articles_with_PRISMA_reasons!Z2:Z2113""), $A1284=IMPORTRANGE(""https://docs.google.com/spreadsheets/d/1qpEmbGH0JjaJbUdp21-y2cPbobDbMjr09BbtdKROZWc/edit#gid=1444865654"",""articles_with_PRISMA_reasons!B2:B2113"")),F1284
=""Include"",FILTER(IMPORTRAN"&amp;"GE(""https://docs.google.com/spreadsheets/d/1kGrh75X1cNR1D7_FcY9zMnHP8iPO4M5RCRjy6nZY0TY/edit#gid=0"",""Table 1: Study characteristics!A4:A171""), $A1284=IMPORTRANGE(""https://docs.google.com/spreadsheets/d/1kGrh75X1cNR1D7_FcY9zMnHP8iPO4M5RCRjy6nZY0TY/edi"&amp;"t#gid=0"",""Table 1: Study characteristics!B4:B171""))
)"),"background article")</f>
        <v>background article</v>
      </c>
    </row>
    <row r="1285">
      <c r="A1285" s="4" t="str">
        <f>IFERROR(__xludf.DUMMYFUNCTION("""COMPUTED_VALUE"""),"Nerve Growth Factor (NGF) up-regulation in the cerebrospinal fluid of newborns with myelomeningocele")</f>
        <v>Nerve Growth Factor (NGF) up-regulation in the cerebrospinal fluid of newborns with myelomeningocele</v>
      </c>
      <c r="B1285" s="5" t="str">
        <f>IFERROR(__xludf.DUMMYFUNCTION("LEFT(FILTER(IMPORTRANGE(""https://docs.google.com/spreadsheets/d/1BJSV3WBYJGRhQ6zExamkszQ5VutGIcaQqmbD9ZTVXMQ/edit#gid=1251630045"",""articles_with_PRISMA_reasons!K2:K2113""), $A1285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$A1285=IMPORTRANGE(""https://docs.google.com/spreadsheets/d/1BJSV3WBYJGRhQ6zExamkszQ5VutGIcaQqmbD9ZTVXMQ/edit#gid=1251630045"",""articles_with_PRISMA_reasons!B2:B2113"")))-1)"),"Chiaretti")</f>
        <v>Chiaretti</v>
      </c>
      <c r="C1285" s="6">
        <f>IFERROR(__xludf.DUMMYFUNCTION("FILTER(IMPORTRANGE(""https://docs.google.com/spreadsheets/d/1BJSV3WBYJGRhQ6zExamkszQ5VutGIcaQqmbD9ZTVXMQ/edit#gid=1251630045"",""articles_with_PRISMA_reasons!C2:C2113""), $A1285=IMPORTRANGE(""https://docs.google.com/spreadsheets/d/1BJSV3WBYJGRhQ6zExamkszQ"&amp;"5VutGIcaQqmbD9ZTVXMQ/edit#gid=1251630045"",""articles_with_PRISMA_reasons!B2:B2113""))"),2014.0)</f>
        <v>2014</v>
      </c>
      <c r="D1285" s="5" t="str">
        <f>IFERROR(__xludf.DUMMYFUNCTION("IFS(AND(
FILTER(IMPORTRANGE(""https://docs.google.com/spreadsheets/d/1BJSV3WBYJGRhQ6zExamkszQ5VutGIcaQqmbD9ZTVXMQ/edit#gid=1251630045"",""articles_with_PRISMA_reasons!Y2:Y2113""), $A1285=IMPORTRANGE(""https://docs.google.com/spreadsheets/d/1BJSV3WBYJGRhQ6"&amp;"zExamkszQ5VutGIcaQqmbD9ZTVXMQ/edit#gid=1251630045"",""articles_with_PRISMA_reasons!B2:B2113""))&gt;=2,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$A1285=IMPORTRANGE(""https://docs.google.com/spreadsheets/d/1BJSV3WBYJGRhQ6zExamkszQ5VutGIcaQqmbD9ZTVXMQ/edit#gid=1251630045"",""articles_with_PRISMA_reasons!B2:B2113""))&lt;2),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$A1285=IMPORTRANGE(""https://docs.google.com/spreadsheets/d/1BJSV3WBYJGRhQ6zExamkszQ5VutGIcaQqmbD9ZTVXMQ/edit#gid=1251630045"",""a"&amp;"rticles_with_PRISMA_reasons!B2:B2113""))&lt;2,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$A1285=IMPORTRANGE(""https://docs.google"&amp;".com/spreadsheets/d/1BJSV3WBYJGRhQ6zExamkszQ5VutGIcaQqmbD9ZTVXMQ/edit#gid=1251630045"",""articles_with_PRISMA_reasons!B2:B2113""))&gt;=2),
""Exclude""
)"),"Exclude")</f>
        <v>Exclude</v>
      </c>
      <c r="E1285" s="5" t="str">
        <f>IFERROR(__xludf.DUMMYFUNCTION("IFS(
D1285=""Exclude"",""Exclude"",
AND(
FILTER(IMPORTRANGE(""https://docs.google.com/spreadsheets/d/1qpEmbGH0JjaJbUdp21-y2cPbobDbMjr09BbtdKROZWc/edit#gid=1444865654"",""articles_with_PRISMA_reasons!W2:W2113""), $A1285=IMPORTRANGE(""https://docs.google.co"&amp;"m/spreadsheets/d/1qpEmbGH0JjaJbUdp21-y2cPbobDbMjr09BbtdKROZWc/edit#gid=1444865654"",""articles_with_PRISMA_reasons!B2:B2113""))&gt;=2,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$A1285=IMPORTRANGE(""https://docs.google.com/spreadsheets/d/1qpEmbGH0JjaJbUdp21-y2cPbobDbMjr09BbtdKROZWc/edit#gid=1444865654"",""articles_with_PRISMA_reasons!B2:B2113""))&lt;2),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$A1285=IMPORTRANGE(""https://docs.google.com/spreadsheets/d/1qpEmbGH0JjaJbUdp21-y2cPbobDbMjr09Bbtd"&amp;"KROZWc/edit#gid=1444865654"",""articles_with_PRISMA_reasons!B2:B2113""))&lt;2,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$A1285=I"&amp;"MPORTRANGE(""https://docs.google.com/spreadsheets/d/1qpEmbGH0JjaJbUdp21-y2cPbobDbMjr09BbtdKROZWc/edit#gid=1444865654"",""articles_with_PRISMA_reasons!B2:B2113""))&gt;=2),
""Exclude""
)"),"Exclude")</f>
        <v>Exclude</v>
      </c>
      <c r="F1285" s="5" t="str">
        <f>IFERROR(__xludf.DUMMYFUNCTION("IFS(
E1285=""Exclude"",""Exclude"",
AND(
COUNTIF(
IMPORTRANGE(""https://docs.google.com/spreadsheets/d/1kGrh75X1cNR1D7_FcY9zMnHP8iPO4M5RCRjy6nZY0TY/edit#gid=0"",""Table 1: Study characteristics!B4:B171""),A1285)&gt;0,
COUNTIF(Studies!$A$2:$A$85,FILTER(IMPORT"&amp;"RANGE(""https://docs.google.com/spreadsheets/d/1kGrh75X1cNR1D7_FcY9zMnHP8iPO4M5RCRjy6nZY0TY/edit#gid=0"",""Table 1: Study characteristics!A4:A171""), $A1285=IMPORTRANGE(""https://docs.google.com/spreadsheets/d/1kGrh75X1cNR1D7_FcY9zMnHP8iPO4M5RCRjy6nZY0TY/"&amp;"edit#gid=0"",""Table 1: Study characteristics!B4:B171"")))&gt;0
),
""Include""
)"),"Exclude")</f>
        <v>Exclude</v>
      </c>
      <c r="G1285" s="5" t="str">
        <f>IFERROR(__xludf.DUMMYFUNCTION("IFS(
D1285=""Exclude"",
FILTER(IMPORTRANGE(""https://docs.google.com/spreadsheets/d/1BJSV3WBYJGRhQ6zExamkszQ5VutGIcaQqmbD9ZTVXMQ/edit#gid=1251630045"",""articles_with_PRISMA_reasons!AB2:AB2113""), $A1285=IMPORTRANGE(""https://docs.google.com/spreadsheets/"&amp;"d/1BJSV3WBYJGRhQ6zExamkszQ5VutGIcaQqmbD9ZTVXMQ/edit#gid=1251630045"",""articles_with_PRISMA_reasons!B2:B2113"")),
E1285=""Exclude"",
FILTER(IMPORTRANGE(""https://docs.google.com/spreadsheets/d/1qpEmbGH0JjaJbUdp21-y2cPbobDbMjr09BbtdKROZWc/edit#gid=14448656"&amp;"54"",""articles_with_PRISMA_reasons!Z2:Z2113""), $A1285=IMPORTRANGE(""https://docs.google.com/spreadsheets/d/1qpEmbGH0JjaJbUdp21-y2cPbobDbMjr09BbtdKROZWc/edit#gid=1444865654"",""articles_with_PRISMA_reasons!B2:B2113"")),F1285
=""Include"",FILTER(IMPORTRAN"&amp;"GE(""https://docs.google.com/spreadsheets/d/1kGrh75X1cNR1D7_FcY9zMnHP8iPO4M5RCRjy6nZY0TY/edit#gid=0"",""Table 1: Study characteristics!A4:A171""), $A1285=IMPORTRANGE(""https://docs.google.com/spreadsheets/d/1kGrh75X1cNR1D7_FcY9zMnHP8iPO4M5RCRjy6nZY0TY/edi"&amp;"t#gid=0"",""Table 1: Study characteristics!B4:B171""))
)"),"wrong population")</f>
        <v>wrong population</v>
      </c>
    </row>
    <row r="1286">
      <c r="A1286" s="4" t="str">
        <f>IFERROR(__xludf.DUMMYFUNCTION("""COMPUTED_VALUE"""),"Nervous System Malformations")</f>
        <v>Nervous System Malformations</v>
      </c>
      <c r="B1286" s="5" t="str">
        <f>IFERROR(__xludf.DUMMYFUNCTION("LEFT(FILTER(IMPORTRANGE(""https://docs.google.com/spreadsheets/d/1BJSV3WBYJGRhQ6zExamkszQ5VutGIcaQqmbD9ZTVXMQ/edit#gid=1251630045"",""articles_with_PRISMA_reasons!K2:K2113""), $A1286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$A1286=IMPORTRANGE(""https://docs.google.com/spreadsheets/d/1BJSV3WBYJGRhQ6zExamkszQ5VutGIcaQqmbD9ZTVXMQ/edit#gid=1251630045"",""articles_with_PRISMA_reasons!B2:B2113"")))-1)"),"Gaitanis")</f>
        <v>Gaitanis</v>
      </c>
      <c r="C1286" s="6">
        <f>IFERROR(__xludf.DUMMYFUNCTION("FILTER(IMPORTRANGE(""https://docs.google.com/spreadsheets/d/1BJSV3WBYJGRhQ6zExamkszQ5VutGIcaQqmbD9ZTVXMQ/edit#gid=1251630045"",""articles_with_PRISMA_reasons!C2:C2113""), $A1286=IMPORTRANGE(""https://docs.google.com/spreadsheets/d/1BJSV3WBYJGRhQ6zExamkszQ"&amp;"5VutGIcaQqmbD9ZTVXMQ/edit#gid=1251630045"",""articles_with_PRISMA_reasons!B2:B2113""))"),2018.0)</f>
        <v>2018</v>
      </c>
      <c r="D1286" s="5" t="str">
        <f>IFERROR(__xludf.DUMMYFUNCTION("IFS(AND(
FILTER(IMPORTRANGE(""https://docs.google.com/spreadsheets/d/1BJSV3WBYJGRhQ6zExamkszQ5VutGIcaQqmbD9ZTVXMQ/edit#gid=1251630045"",""articles_with_PRISMA_reasons!Y2:Y2113""), $A1286=IMPORTRANGE(""https://docs.google.com/spreadsheets/d/1BJSV3WBYJGRhQ6"&amp;"zExamkszQ5VutGIcaQqmbD9ZTVXMQ/edit#gid=1251630045"",""articles_with_PRISMA_reasons!B2:B2113""))&gt;=2,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$A1286=IMPORTRANGE(""https://docs.google.com/spreadsheets/d/1BJSV3WBYJGRhQ6zExamkszQ5VutGIcaQqmbD9ZTVXMQ/edit#gid=1251630045"",""articles_with_PRISMA_reasons!B2:B2113""))&lt;2),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$A1286=IMPORTRANGE(""https://docs.google.com/spreadsheets/d/1BJSV3WBYJGRhQ6zExamkszQ5VutGIcaQqmbD9ZTVXMQ/edit#gid=1251630045"",""a"&amp;"rticles_with_PRISMA_reasons!B2:B2113""))&lt;2,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$A1286=IMPORTRANGE(""https://docs.google"&amp;".com/spreadsheets/d/1BJSV3WBYJGRhQ6zExamkszQ5VutGIcaQqmbD9ZTVXMQ/edit#gid=1251630045"",""articles_with_PRISMA_reasons!B2:B2113""))&gt;=2),
""Exclude""
)"),"Exclude")</f>
        <v>Exclude</v>
      </c>
      <c r="E1286" s="5" t="str">
        <f>IFERROR(__xludf.DUMMYFUNCTION("IFS(
D1286=""Exclude"",""Exclude"",
AND(
FILTER(IMPORTRANGE(""https://docs.google.com/spreadsheets/d/1qpEmbGH0JjaJbUdp21-y2cPbobDbMjr09BbtdKROZWc/edit#gid=1444865654"",""articles_with_PRISMA_reasons!W2:W2113""), $A1286=IMPORTRANGE(""https://docs.google.co"&amp;"m/spreadsheets/d/1qpEmbGH0JjaJbUdp21-y2cPbobDbMjr09BbtdKROZWc/edit#gid=1444865654"",""articles_with_PRISMA_reasons!B2:B2113""))&gt;=2,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$A1286=IMPORTRANGE(""https://docs.google.com/spreadsheets/d/1qpEmbGH0JjaJbUdp21-y2cPbobDbMjr09BbtdKROZWc/edit#gid=1444865654"",""articles_with_PRISMA_reasons!B2:B2113""))&lt;2),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$A1286=IMPORTRANGE(""https://docs.google.com/spreadsheets/d/1qpEmbGH0JjaJbUdp21-y2cPbobDbMjr09Bbtd"&amp;"KROZWc/edit#gid=1444865654"",""articles_with_PRISMA_reasons!B2:B2113""))&lt;2,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$A1286=I"&amp;"MPORTRANGE(""https://docs.google.com/spreadsheets/d/1qpEmbGH0JjaJbUdp21-y2cPbobDbMjr09BbtdKROZWc/edit#gid=1444865654"",""articles_with_PRISMA_reasons!B2:B2113""))&gt;=2),
""Exclude""
)"),"Exclude")</f>
        <v>Exclude</v>
      </c>
      <c r="F1286" s="5" t="str">
        <f>IFERROR(__xludf.DUMMYFUNCTION("IFS(
E1286=""Exclude"",""Exclude"",
AND(
COUNTIF(
IMPORTRANGE(""https://docs.google.com/spreadsheets/d/1kGrh75X1cNR1D7_FcY9zMnHP8iPO4M5RCRjy6nZY0TY/edit#gid=0"",""Table 1: Study characteristics!B4:B171""),A1286)&gt;0,
COUNTIF(Studies!$A$2:$A$85,FILTER(IMPORT"&amp;"RANGE(""https://docs.google.com/spreadsheets/d/1kGrh75X1cNR1D7_FcY9zMnHP8iPO4M5RCRjy6nZY0TY/edit#gid=0"",""Table 1: Study characteristics!A4:A171""), $A1286=IMPORTRANGE(""https://docs.google.com/spreadsheets/d/1kGrh75X1cNR1D7_FcY9zMnHP8iPO4M5RCRjy6nZY0TY/"&amp;"edit#gid=0"",""Table 1: Study characteristics!B4:B171"")))&gt;0
),
""Include""
)"),"Exclude")</f>
        <v>Exclude</v>
      </c>
      <c r="G1286" s="5" t="str">
        <f>IFERROR(__xludf.DUMMYFUNCTION("IFS(
D1286=""Exclude"",
FILTER(IMPORTRANGE(""https://docs.google.com/spreadsheets/d/1BJSV3WBYJGRhQ6zExamkszQ5VutGIcaQqmbD9ZTVXMQ/edit#gid=1251630045"",""articles_with_PRISMA_reasons!AB2:AB2113""), $A1286=IMPORTRANGE(""https://docs.google.com/spreadsheets/"&amp;"d/1BJSV3WBYJGRhQ6zExamkszQ5VutGIcaQqmbD9ZTVXMQ/edit#gid=1251630045"",""articles_with_PRISMA_reasons!B2:B2113"")),
E1286=""Exclude"",
FILTER(IMPORTRANGE(""https://docs.google.com/spreadsheets/d/1qpEmbGH0JjaJbUdp21-y2cPbobDbMjr09BbtdKROZWc/edit#gid=14448656"&amp;"54"",""articles_with_PRISMA_reasons!Z2:Z2113""), $A1286=IMPORTRANGE(""https://docs.google.com/spreadsheets/d/1qpEmbGH0JjaJbUdp21-y2cPbobDbMjr09BbtdKROZWc/edit#gid=1444865654"",""articles_with_PRISMA_reasons!B2:B2113"")),F1286
=""Include"",FILTER(IMPORTRAN"&amp;"GE(""https://docs.google.com/spreadsheets/d/1kGrh75X1cNR1D7_FcY9zMnHP8iPO4M5RCRjy6nZY0TY/edit#gid=0"",""Table 1: Study characteristics!A4:A171""), $A1286=IMPORTRANGE(""https://docs.google.com/spreadsheets/d/1kGrh75X1cNR1D7_FcY9zMnHP8iPO4M5RCRjy6nZY0TY/edi"&amp;"t#gid=0"",""Table 1: Study characteristics!B4:B171""))
)"),"background article")</f>
        <v>background article</v>
      </c>
    </row>
    <row r="1287">
      <c r="A1287" s="4" t="str">
        <f>IFERROR(__xludf.DUMMYFUNCTION("""COMPUTED_VALUE"""),"Neural tube defect family with recessive trait linked to chromosome 9q21.12-21.31")</f>
        <v>Neural tube defect family with recessive trait linked to chromosome 9q21.12-21.31</v>
      </c>
      <c r="B1287" s="5" t="str">
        <f>IFERROR(__xludf.DUMMYFUNCTION("LEFT(FILTER(IMPORTRANGE(""https://docs.google.com/spreadsheets/d/1BJSV3WBYJGRhQ6zExamkszQ5VutGIcaQqmbD9ZTVXMQ/edit#gid=1251630045"",""articles_with_PRISMA_reasons!K2:K2113""), $A1287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$A1287=IMPORTRANGE(""https://docs.google.com/spreadsheets/d/1BJSV3WBYJGRhQ6zExamkszQ5VutGIcaQqmbD9ZTVXMQ/edit#gid=1251630045"",""articles_with_PRISMA_reasons!B2:B2113"")))-1)"),"Bayri")</f>
        <v>Bayri</v>
      </c>
      <c r="C1287" s="6">
        <f>IFERROR(__xludf.DUMMYFUNCTION("FILTER(IMPORTRANGE(""https://docs.google.com/spreadsheets/d/1BJSV3WBYJGRhQ6zExamkszQ5VutGIcaQqmbD9ZTVXMQ/edit#gid=1251630045"",""articles_with_PRISMA_reasons!C2:C2113""), $A1287=IMPORTRANGE(""https://docs.google.com/spreadsheets/d/1BJSV3WBYJGRhQ6zExamkszQ"&amp;"5VutGIcaQqmbD9ZTVXMQ/edit#gid=1251630045"",""articles_with_PRISMA_reasons!B2:B2113""))"),2015.0)</f>
        <v>2015</v>
      </c>
      <c r="D1287" s="5" t="str">
        <f>IFERROR(__xludf.DUMMYFUNCTION("IFS(AND(
FILTER(IMPORTRANGE(""https://docs.google.com/spreadsheets/d/1BJSV3WBYJGRhQ6zExamkszQ5VutGIcaQqmbD9ZTVXMQ/edit#gid=1251630045"",""articles_with_PRISMA_reasons!Y2:Y2113""), $A1287=IMPORTRANGE(""https://docs.google.com/spreadsheets/d/1BJSV3WBYJGRhQ6"&amp;"zExamkszQ5VutGIcaQqmbD9ZTVXMQ/edit#gid=1251630045"",""articles_with_PRISMA_reasons!B2:B2113""))&gt;=2,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$A1287=IMPORTRANGE(""https://docs.google.com/spreadsheets/d/1BJSV3WBYJGRhQ6zExamkszQ5VutGIcaQqmbD9ZTVXMQ/edit#gid=1251630045"",""articles_with_PRISMA_reasons!B2:B2113""))&lt;2),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$A1287=IMPORTRANGE(""https://docs.google.com/spreadsheets/d/1BJSV3WBYJGRhQ6zExamkszQ5VutGIcaQqmbD9ZTVXMQ/edit#gid=1251630045"",""a"&amp;"rticles_with_PRISMA_reasons!B2:B2113""))&lt;2,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$A1287=IMPORTRANGE(""https://docs.google"&amp;".com/spreadsheets/d/1BJSV3WBYJGRhQ6zExamkszQ5VutGIcaQqmbD9ZTVXMQ/edit#gid=1251630045"",""articles_with_PRISMA_reasons!B2:B2113""))&gt;=2),
""Exclude""
)"),"Exclude")</f>
        <v>Exclude</v>
      </c>
      <c r="E1287" s="5" t="str">
        <f>IFERROR(__xludf.DUMMYFUNCTION("IFS(
D1287=""Exclude"",""Exclude"",
AND(
FILTER(IMPORTRANGE(""https://docs.google.com/spreadsheets/d/1qpEmbGH0JjaJbUdp21-y2cPbobDbMjr09BbtdKROZWc/edit#gid=1444865654"",""articles_with_PRISMA_reasons!W2:W2113""), $A1287=IMPORTRANGE(""https://docs.google.co"&amp;"m/spreadsheets/d/1qpEmbGH0JjaJbUdp21-y2cPbobDbMjr09BbtdKROZWc/edit#gid=1444865654"",""articles_with_PRISMA_reasons!B2:B2113""))&gt;=2,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$A1287=IMPORTRANGE(""https://docs.google.com/spreadsheets/d/1qpEmbGH0JjaJbUdp21-y2cPbobDbMjr09BbtdKROZWc/edit#gid=1444865654"",""articles_with_PRISMA_reasons!B2:B2113""))&lt;2),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$A1287=IMPORTRANGE(""https://docs.google.com/spreadsheets/d/1qpEmbGH0JjaJbUdp21-y2cPbobDbMjr09Bbtd"&amp;"KROZWc/edit#gid=1444865654"",""articles_with_PRISMA_reasons!B2:B2113""))&lt;2,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$A1287=I"&amp;"MPORTRANGE(""https://docs.google.com/spreadsheets/d/1qpEmbGH0JjaJbUdp21-y2cPbobDbMjr09BbtdKROZWc/edit#gid=1444865654"",""articles_with_PRISMA_reasons!B2:B2113""))&gt;=2),
""Exclude""
)"),"Exclude")</f>
        <v>Exclude</v>
      </c>
      <c r="F1287" s="5" t="str">
        <f>IFERROR(__xludf.DUMMYFUNCTION("IFS(
E1287=""Exclude"",""Exclude"",
AND(
COUNTIF(
IMPORTRANGE(""https://docs.google.com/spreadsheets/d/1kGrh75X1cNR1D7_FcY9zMnHP8iPO4M5RCRjy6nZY0TY/edit#gid=0"",""Table 1: Study characteristics!B4:B171""),A1287)&gt;0,
COUNTIF(Studies!$A$2:$A$85,FILTER(IMPORT"&amp;"RANGE(""https://docs.google.com/spreadsheets/d/1kGrh75X1cNR1D7_FcY9zMnHP8iPO4M5RCRjy6nZY0TY/edit#gid=0"",""Table 1: Study characteristics!A4:A171""), $A1287=IMPORTRANGE(""https://docs.google.com/spreadsheets/d/1kGrh75X1cNR1D7_FcY9zMnHP8iPO4M5RCRjy6nZY0TY/"&amp;"edit#gid=0"",""Table 1: Study characteristics!B4:B171"")))&gt;0
),
""Include""
)"),"Exclude")</f>
        <v>Exclude</v>
      </c>
      <c r="G1287" s="5" t="str">
        <f>IFERROR(__xludf.DUMMYFUNCTION("IFS(
D1287=""Exclude"",
FILTER(IMPORTRANGE(""https://docs.google.com/spreadsheets/d/1BJSV3WBYJGRhQ6zExamkszQ5VutGIcaQqmbD9ZTVXMQ/edit#gid=1251630045"",""articles_with_PRISMA_reasons!AB2:AB2113""), $A1287=IMPORTRANGE(""https://docs.google.com/spreadsheets/"&amp;"d/1BJSV3WBYJGRhQ6zExamkszQ5VutGIcaQqmbD9ZTVXMQ/edit#gid=1251630045"",""articles_with_PRISMA_reasons!B2:B2113"")),
E1287=""Exclude"",
FILTER(IMPORTRANGE(""https://docs.google.com/spreadsheets/d/1qpEmbGH0JjaJbUdp21-y2cPbobDbMjr09BbtdKROZWc/edit#gid=14448656"&amp;"54"",""articles_with_PRISMA_reasons!Z2:Z2113""), $A1287=IMPORTRANGE(""https://docs.google.com/spreadsheets/d/1qpEmbGH0JjaJbUdp21-y2cPbobDbMjr09BbtdKROZWc/edit#gid=1444865654"",""articles_with_PRISMA_reasons!B2:B2113"")),F1287
=""Include"",FILTER(IMPORTRAN"&amp;"GE(""https://docs.google.com/spreadsheets/d/1kGrh75X1cNR1D7_FcY9zMnHP8iPO4M5RCRjy6nZY0TY/edit#gid=0"",""Table 1: Study characteristics!A4:A171""), $A1287=IMPORTRANGE(""https://docs.google.com/spreadsheets/d/1kGrh75X1cNR1D7_FcY9zMnHP8iPO4M5RCRjy6nZY0TY/edi"&amp;"t#gid=0"",""Table 1: Study characteristics!B4:B171""))
)"),"wrong study design")</f>
        <v>wrong study design</v>
      </c>
    </row>
    <row r="1288">
      <c r="A1288" s="4" t="str">
        <f>IFERROR(__xludf.DUMMYFUNCTION("""COMPUTED_VALUE"""),"Neural tube defects among neonates delivered in Al-Ramadi Maternity and Children's Hospital, western Iraq")</f>
        <v>Neural tube defects among neonates delivered in Al-Ramadi Maternity and Children's Hospital, western Iraq</v>
      </c>
      <c r="B1288" s="5" t="str">
        <f>IFERROR(__xludf.DUMMYFUNCTION("LEFT(FILTER(IMPORTRANGE(""https://docs.google.com/spreadsheets/d/1BJSV3WBYJGRhQ6zExamkszQ5VutGIcaQqmbD9ZTVXMQ/edit#gid=1251630045"",""articles_with_PRISMA_reasons!K2:K2113""), $A1288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$A1288=IMPORTRANGE(""https://docs.google.com/spreadsheets/d/1BJSV3WBYJGRhQ6zExamkszQ5VutGIcaQqmbD9ZTVXMQ/edit#gid=1251630045"",""articles_with_PRISMA_reasons!B2:B2113"")))-1)"),"Al-Ani")</f>
        <v>Al-Ani</v>
      </c>
      <c r="C1288" s="6">
        <f>IFERROR(__xludf.DUMMYFUNCTION("FILTER(IMPORTRANGE(""https://docs.google.com/spreadsheets/d/1BJSV3WBYJGRhQ6zExamkszQ5VutGIcaQqmbD9ZTVXMQ/edit#gid=1251630045"",""articles_with_PRISMA_reasons!C2:C2113""), $A1288=IMPORTRANGE(""https://docs.google.com/spreadsheets/d/1BJSV3WBYJGRhQ6zExamkszQ"&amp;"5VutGIcaQqmbD9ZTVXMQ/edit#gid=1251630045"",""articles_with_PRISMA_reasons!B2:B2113""))"),2010.0)</f>
        <v>2010</v>
      </c>
      <c r="D1288" s="5" t="str">
        <f>IFERROR(__xludf.DUMMYFUNCTION("IFS(AND(
FILTER(IMPORTRANGE(""https://docs.google.com/spreadsheets/d/1BJSV3WBYJGRhQ6zExamkszQ5VutGIcaQqmbD9ZTVXMQ/edit#gid=1251630045"",""articles_with_PRISMA_reasons!Y2:Y2113""), $A1288=IMPORTRANGE(""https://docs.google.com/spreadsheets/d/1BJSV3WBYJGRhQ6"&amp;"zExamkszQ5VutGIcaQqmbD9ZTVXMQ/edit#gid=1251630045"",""articles_with_PRISMA_reasons!B2:B2113""))&gt;=2,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$A1288=IMPORTRANGE(""https://docs.google.com/spreadsheets/d/1BJSV3WBYJGRhQ6zExamkszQ5VutGIcaQqmbD9ZTVXMQ/edit#gid=1251630045"",""articles_with_PRISMA_reasons!B2:B2113""))&lt;2),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$A1288=IMPORTRANGE(""https://docs.google.com/spreadsheets/d/1BJSV3WBYJGRhQ6zExamkszQ5VutGIcaQqmbD9ZTVXMQ/edit#gid=1251630045"",""a"&amp;"rticles_with_PRISMA_reasons!B2:B2113""))&lt;2,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$A1288=IMPORTRANGE(""https://docs.google"&amp;".com/spreadsheets/d/1BJSV3WBYJGRhQ6zExamkszQ5VutGIcaQqmbD9ZTVXMQ/edit#gid=1251630045"",""articles_with_PRISMA_reasons!B2:B2113""))&gt;=2),
""Exclude""
)"),"Exclude")</f>
        <v>Exclude</v>
      </c>
      <c r="E1288" s="5" t="str">
        <f>IFERROR(__xludf.DUMMYFUNCTION("IFS(
D1288=""Exclude"",""Exclude"",
AND(
FILTER(IMPORTRANGE(""https://docs.google.com/spreadsheets/d/1qpEmbGH0JjaJbUdp21-y2cPbobDbMjr09BbtdKROZWc/edit#gid=1444865654"",""articles_with_PRISMA_reasons!W2:W2113""), $A1288=IMPORTRANGE(""https://docs.google.co"&amp;"m/spreadsheets/d/1qpEmbGH0JjaJbUdp21-y2cPbobDbMjr09BbtdKROZWc/edit#gid=1444865654"",""articles_with_PRISMA_reasons!B2:B2113""))&gt;=2,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$A1288=IMPORTRANGE(""https://docs.google.com/spreadsheets/d/1qpEmbGH0JjaJbUdp21-y2cPbobDbMjr09BbtdKROZWc/edit#gid=1444865654"",""articles_with_PRISMA_reasons!B2:B2113""))&lt;2),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$A1288=IMPORTRANGE(""https://docs.google.com/spreadsheets/d/1qpEmbGH0JjaJbUdp21-y2cPbobDbMjr09Bbtd"&amp;"KROZWc/edit#gid=1444865654"",""articles_with_PRISMA_reasons!B2:B2113""))&lt;2,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$A1288=I"&amp;"MPORTRANGE(""https://docs.google.com/spreadsheets/d/1qpEmbGH0JjaJbUdp21-y2cPbobDbMjr09BbtdKROZWc/edit#gid=1444865654"",""articles_with_PRISMA_reasons!B2:B2113""))&gt;=2),
""Exclude""
)"),"Exclude")</f>
        <v>Exclude</v>
      </c>
      <c r="F1288" s="5" t="str">
        <f>IFERROR(__xludf.DUMMYFUNCTION("IFS(
E1288=""Exclude"",""Exclude"",
AND(
COUNTIF(
IMPORTRANGE(""https://docs.google.com/spreadsheets/d/1kGrh75X1cNR1D7_FcY9zMnHP8iPO4M5RCRjy6nZY0TY/edit#gid=0"",""Table 1: Study characteristics!B4:B171""),A1288)&gt;0,
COUNTIF(Studies!$A$2:$A$85,FILTER(IMPORT"&amp;"RANGE(""https://docs.google.com/spreadsheets/d/1kGrh75X1cNR1D7_FcY9zMnHP8iPO4M5RCRjy6nZY0TY/edit#gid=0"",""Table 1: Study characteristics!A4:A171""), $A1288=IMPORTRANGE(""https://docs.google.com/spreadsheets/d/1kGrh75X1cNR1D7_FcY9zMnHP8iPO4M5RCRjy6nZY0TY/"&amp;"edit#gid=0"",""Table 1: Study characteristics!B4:B171"")))&gt;0
),
""Include""
)"),"Exclude")</f>
        <v>Exclude</v>
      </c>
      <c r="G1288" s="5" t="str">
        <f>IFERROR(__xludf.DUMMYFUNCTION("IFS(
D1288=""Exclude"",
FILTER(IMPORTRANGE(""https://docs.google.com/spreadsheets/d/1BJSV3WBYJGRhQ6zExamkszQ5VutGIcaQqmbD9ZTVXMQ/edit#gid=1251630045"",""articles_with_PRISMA_reasons!AB2:AB2113""), $A1288=IMPORTRANGE(""https://docs.google.com/spreadsheets/"&amp;"d/1BJSV3WBYJGRhQ6zExamkszQ5VutGIcaQqmbD9ZTVXMQ/edit#gid=1251630045"",""articles_with_PRISMA_reasons!B2:B2113"")),
E1288=""Exclude"",
FILTER(IMPORTRANGE(""https://docs.google.com/spreadsheets/d/1qpEmbGH0JjaJbUdp21-y2cPbobDbMjr09BbtdKROZWc/edit#gid=14448656"&amp;"54"",""articles_with_PRISMA_reasons!Z2:Z2113""), $A1288=IMPORTRANGE(""https://docs.google.com/spreadsheets/d/1qpEmbGH0JjaJbUdp21-y2cPbobDbMjr09BbtdKROZWc/edit#gid=1444865654"",""articles_with_PRISMA_reasons!B2:B2113"")),F1288
=""Include"",FILTER(IMPORTRAN"&amp;"GE(""https://docs.google.com/spreadsheets/d/1kGrh75X1cNR1D7_FcY9zMnHP8iPO4M5RCRjy6nZY0TY/edit#gid=0"",""Table 1: Study characteristics!A4:A171""), $A1288=IMPORTRANGE(""https://docs.google.com/spreadsheets/d/1kGrh75X1cNR1D7_FcY9zMnHP8iPO4M5RCRjy6nZY0TY/edi"&amp;"t#gid=0"",""Table 1: Study characteristics!B4:B171""))
)"),"wrong population")</f>
        <v>wrong population</v>
      </c>
    </row>
    <row r="1289">
      <c r="A1289" s="4" t="str">
        <f>IFERROR(__xludf.DUMMYFUNCTION("""COMPUTED_VALUE"""),"Neural tube defects and associated anomalies in a fetal and perinatal autopsy series")</f>
        <v>Neural tube defects and associated anomalies in a fetal and perinatal autopsy series</v>
      </c>
      <c r="B1289" s="5" t="str">
        <f>IFERROR(__xludf.DUMMYFUNCTION("LEFT(FILTER(IMPORTRANGE(""https://docs.google.com/spreadsheets/d/1BJSV3WBYJGRhQ6zExamkszQ5VutGIcaQqmbD9ZTVXMQ/edit#gid=1251630045"",""articles_with_PRISMA_reasons!K2:K2113""), $A1289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$A1289=IMPORTRANGE(""https://docs.google.com/spreadsheets/d/1BJSV3WBYJGRhQ6zExamkszQ5VutGIcaQqmbD9ZTVXMQ/edit#gid=1251630045"",""articles_with_PRISMA_reasons!B2:B2113"")))-1)"),"Nielsen")</f>
        <v>Nielsen</v>
      </c>
      <c r="C1289" s="6">
        <f>IFERROR(__xludf.DUMMYFUNCTION("FILTER(IMPORTRANGE(""https://docs.google.com/spreadsheets/d/1BJSV3WBYJGRhQ6zExamkszQ5VutGIcaQqmbD9ZTVXMQ/edit#gid=1251630045"",""articles_with_PRISMA_reasons!C2:C2113""), $A1289=IMPORTRANGE(""https://docs.google.com/spreadsheets/d/1BJSV3WBYJGRhQ6zExamkszQ"&amp;"5VutGIcaQqmbD9ZTVXMQ/edit#gid=1251630045"",""articles_with_PRISMA_reasons!B2:B2113""))"),2006.0)</f>
        <v>2006</v>
      </c>
      <c r="D1289" s="5" t="str">
        <f>IFERROR(__xludf.DUMMYFUNCTION("IFS(AND(
FILTER(IMPORTRANGE(""https://docs.google.com/spreadsheets/d/1BJSV3WBYJGRhQ6zExamkszQ5VutGIcaQqmbD9ZTVXMQ/edit#gid=1251630045"",""articles_with_PRISMA_reasons!Y2:Y2113""), $A1289=IMPORTRANGE(""https://docs.google.com/spreadsheets/d/1BJSV3WBYJGRhQ6"&amp;"zExamkszQ5VutGIcaQqmbD9ZTVXMQ/edit#gid=1251630045"",""articles_with_PRISMA_reasons!B2:B2113""))&gt;=2,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$A1289=IMPORTRANGE(""https://docs.google.com/spreadsheets/d/1BJSV3WBYJGRhQ6zExamkszQ5VutGIcaQqmbD9ZTVXMQ/edit#gid=1251630045"",""articles_with_PRISMA_reasons!B2:B2113""))&lt;2),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$A1289=IMPORTRANGE(""https://docs.google.com/spreadsheets/d/1BJSV3WBYJGRhQ6zExamkszQ5VutGIcaQqmbD9ZTVXMQ/edit#gid=1251630045"",""a"&amp;"rticles_with_PRISMA_reasons!B2:B2113""))&lt;2,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$A1289=IMPORTRANGE(""https://docs.google"&amp;".com/spreadsheets/d/1BJSV3WBYJGRhQ6zExamkszQ5VutGIcaQqmbD9ZTVXMQ/edit#gid=1251630045"",""articles_with_PRISMA_reasons!B2:B2113""))&gt;=2),
""Exclude""
)"),"Exclude")</f>
        <v>Exclude</v>
      </c>
      <c r="E1289" s="5" t="str">
        <f>IFERROR(__xludf.DUMMYFUNCTION("IFS(
D1289=""Exclude"",""Exclude"",
AND(
FILTER(IMPORTRANGE(""https://docs.google.com/spreadsheets/d/1qpEmbGH0JjaJbUdp21-y2cPbobDbMjr09BbtdKROZWc/edit#gid=1444865654"",""articles_with_PRISMA_reasons!W2:W2113""), $A1289=IMPORTRANGE(""https://docs.google.co"&amp;"m/spreadsheets/d/1qpEmbGH0JjaJbUdp21-y2cPbobDbMjr09BbtdKROZWc/edit#gid=1444865654"",""articles_with_PRISMA_reasons!B2:B2113""))&gt;=2,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$A1289=IMPORTRANGE(""https://docs.google.com/spreadsheets/d/1qpEmbGH0JjaJbUdp21-y2cPbobDbMjr09BbtdKROZWc/edit#gid=1444865654"",""articles_with_PRISMA_reasons!B2:B2113""))&lt;2),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$A1289=IMPORTRANGE(""https://docs.google.com/spreadsheets/d/1qpEmbGH0JjaJbUdp21-y2cPbobDbMjr09Bbtd"&amp;"KROZWc/edit#gid=1444865654"",""articles_with_PRISMA_reasons!B2:B2113""))&lt;2,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$A1289=I"&amp;"MPORTRANGE(""https://docs.google.com/spreadsheets/d/1qpEmbGH0JjaJbUdp21-y2cPbobDbMjr09BbtdKROZWc/edit#gid=1444865654"",""articles_with_PRISMA_reasons!B2:B2113""))&gt;=2),
""Exclude""
)"),"Exclude")</f>
        <v>Exclude</v>
      </c>
      <c r="F1289" s="5" t="str">
        <f>IFERROR(__xludf.DUMMYFUNCTION("IFS(
E1289=""Exclude"",""Exclude"",
AND(
COUNTIF(
IMPORTRANGE(""https://docs.google.com/spreadsheets/d/1kGrh75X1cNR1D7_FcY9zMnHP8iPO4M5RCRjy6nZY0TY/edit#gid=0"",""Table 1: Study characteristics!B4:B171""),A1289)&gt;0,
COUNTIF(Studies!$A$2:$A$85,FILTER(IMPORT"&amp;"RANGE(""https://docs.google.com/spreadsheets/d/1kGrh75X1cNR1D7_FcY9zMnHP8iPO4M5RCRjy6nZY0TY/edit#gid=0"",""Table 1: Study characteristics!A4:A171""), $A1289=IMPORTRANGE(""https://docs.google.com/spreadsheets/d/1kGrh75X1cNR1D7_FcY9zMnHP8iPO4M5RCRjy6nZY0TY/"&amp;"edit#gid=0"",""Table 1: Study characteristics!B4:B171"")))&gt;0
),
""Include""
)"),"Exclude")</f>
        <v>Exclude</v>
      </c>
      <c r="G1289" s="5" t="str">
        <f>IFERROR(__xludf.DUMMYFUNCTION("IFS(
D1289=""Exclude"",
FILTER(IMPORTRANGE(""https://docs.google.com/spreadsheets/d/1BJSV3WBYJGRhQ6zExamkszQ5VutGIcaQqmbD9ZTVXMQ/edit#gid=1251630045"",""articles_with_PRISMA_reasons!AB2:AB2113""), $A1289=IMPORTRANGE(""https://docs.google.com/spreadsheets/"&amp;"d/1BJSV3WBYJGRhQ6zExamkszQ5VutGIcaQqmbD9ZTVXMQ/edit#gid=1251630045"",""articles_with_PRISMA_reasons!B2:B2113"")),
E1289=""Exclude"",
FILTER(IMPORTRANGE(""https://docs.google.com/spreadsheets/d/1qpEmbGH0JjaJbUdp21-y2cPbobDbMjr09BbtdKROZWc/edit#gid=14448656"&amp;"54"",""articles_with_PRISMA_reasons!Z2:Z2113""), $A1289=IMPORTRANGE(""https://docs.google.com/spreadsheets/d/1qpEmbGH0JjaJbUdp21-y2cPbobDbMjr09BbtdKROZWc/edit#gid=1444865654"",""articles_with_PRISMA_reasons!B2:B2113"")),F1289
=""Include"",FILTER(IMPORTRAN"&amp;"GE(""https://docs.google.com/spreadsheets/d/1kGrh75X1cNR1D7_FcY9zMnHP8iPO4M5RCRjy6nZY0TY/edit#gid=0"",""Table 1: Study characteristics!A4:A171""), $A1289=IMPORTRANGE(""https://docs.google.com/spreadsheets/d/1kGrh75X1cNR1D7_FcY9zMnHP8iPO4M5RCRjy6nZY0TY/edi"&amp;"t#gid=0"",""Table 1: Study characteristics!B4:B171""))
)"),"background article")</f>
        <v>background article</v>
      </c>
    </row>
    <row r="1290">
      <c r="A1290" s="4" t="str">
        <f>IFERROR(__xludf.DUMMYFUNCTION("""COMPUTED_VALUE"""),"Neural tube defects and atypical deletion on 22q11.2")</f>
        <v>Neural tube defects and atypical deletion on 22q11.2</v>
      </c>
      <c r="B1290" s="5" t="str">
        <f>IFERROR(__xludf.DUMMYFUNCTION("LEFT(FILTER(IMPORTRANGE(""https://docs.google.com/spreadsheets/d/1BJSV3WBYJGRhQ6zExamkszQ5VutGIcaQqmbD9ZTVXMQ/edit#gid=1251630045"",""articles_with_PRISMA_reasons!K2:K2113""), $A1290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$A1290=IMPORTRANGE(""https://docs.google.com/spreadsheets/d/1BJSV3WBYJGRhQ6zExamkszQ5VutGIcaQqmbD9ZTVXMQ/edit#gid=1251630045"",""articles_with_PRISMA_reasons!B2:B2113"")))-1)"),"Leoni")</f>
        <v>Leoni</v>
      </c>
      <c r="C1290" s="6">
        <f>IFERROR(__xludf.DUMMYFUNCTION("FILTER(IMPORTRANGE(""https://docs.google.com/spreadsheets/d/1BJSV3WBYJGRhQ6zExamkszQ5VutGIcaQqmbD9ZTVXMQ/edit#gid=1251630045"",""articles_with_PRISMA_reasons!C2:C2113""), $A1290=IMPORTRANGE(""https://docs.google.com/spreadsheets/d/1BJSV3WBYJGRhQ6zExamkszQ"&amp;"5VutGIcaQqmbD9ZTVXMQ/edit#gid=1251630045"",""articles_with_PRISMA_reasons!B2:B2113""))"),2014.0)</f>
        <v>2014</v>
      </c>
      <c r="D1290" s="5" t="str">
        <f>IFERROR(__xludf.DUMMYFUNCTION("IFS(AND(
FILTER(IMPORTRANGE(""https://docs.google.com/spreadsheets/d/1BJSV3WBYJGRhQ6zExamkszQ5VutGIcaQqmbD9ZTVXMQ/edit#gid=1251630045"",""articles_with_PRISMA_reasons!Y2:Y2113""), $A1290=IMPORTRANGE(""https://docs.google.com/spreadsheets/d/1BJSV3WBYJGRhQ6"&amp;"zExamkszQ5VutGIcaQqmbD9ZTVXMQ/edit#gid=1251630045"",""articles_with_PRISMA_reasons!B2:B2113""))&gt;=2,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$A1290=IMPORTRANGE(""https://docs.google.com/spreadsheets/d/1BJSV3WBYJGRhQ6zExamkszQ5VutGIcaQqmbD9ZTVXMQ/edit#gid=1251630045"",""articles_with_PRISMA_reasons!B2:B2113""))&lt;2),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$A1290=IMPORTRANGE(""https://docs.google.com/spreadsheets/d/1BJSV3WBYJGRhQ6zExamkszQ5VutGIcaQqmbD9ZTVXMQ/edit#gid=1251630045"",""a"&amp;"rticles_with_PRISMA_reasons!B2:B2113""))&lt;2,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$A1290=IMPORTRANGE(""https://docs.google"&amp;".com/spreadsheets/d/1BJSV3WBYJGRhQ6zExamkszQ5VutGIcaQqmbD9ZTVXMQ/edit#gid=1251630045"",""articles_with_PRISMA_reasons!B2:B2113""))&gt;=2),
""Exclude""
)"),"Exclude")</f>
        <v>Exclude</v>
      </c>
      <c r="E1290" s="5" t="str">
        <f>IFERROR(__xludf.DUMMYFUNCTION("IFS(
D1290=""Exclude"",""Exclude"",
AND(
FILTER(IMPORTRANGE(""https://docs.google.com/spreadsheets/d/1qpEmbGH0JjaJbUdp21-y2cPbobDbMjr09BbtdKROZWc/edit#gid=1444865654"",""articles_with_PRISMA_reasons!W2:W2113""), $A1290=IMPORTRANGE(""https://docs.google.co"&amp;"m/spreadsheets/d/1qpEmbGH0JjaJbUdp21-y2cPbobDbMjr09BbtdKROZWc/edit#gid=1444865654"",""articles_with_PRISMA_reasons!B2:B2113""))&gt;=2,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$A1290=IMPORTRANGE(""https://docs.google.com/spreadsheets/d/1qpEmbGH0JjaJbUdp21-y2cPbobDbMjr09BbtdKROZWc/edit#gid=1444865654"",""articles_with_PRISMA_reasons!B2:B2113""))&lt;2),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$A1290=IMPORTRANGE(""https://docs.google.com/spreadsheets/d/1qpEmbGH0JjaJbUdp21-y2cPbobDbMjr09Bbtd"&amp;"KROZWc/edit#gid=1444865654"",""articles_with_PRISMA_reasons!B2:B2113""))&lt;2,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$A1290=I"&amp;"MPORTRANGE(""https://docs.google.com/spreadsheets/d/1qpEmbGH0JjaJbUdp21-y2cPbobDbMjr09BbtdKROZWc/edit#gid=1444865654"",""articles_with_PRISMA_reasons!B2:B2113""))&gt;=2),
""Exclude""
)"),"Exclude")</f>
        <v>Exclude</v>
      </c>
      <c r="F1290" s="5" t="str">
        <f>IFERROR(__xludf.DUMMYFUNCTION("IFS(
E1290=""Exclude"",""Exclude"",
AND(
COUNTIF(
IMPORTRANGE(""https://docs.google.com/spreadsheets/d/1kGrh75X1cNR1D7_FcY9zMnHP8iPO4M5RCRjy6nZY0TY/edit#gid=0"",""Table 1: Study characteristics!B4:B171""),A1290)&gt;0,
COUNTIF(Studies!$A$2:$A$85,FILTER(IMPORT"&amp;"RANGE(""https://docs.google.com/spreadsheets/d/1kGrh75X1cNR1D7_FcY9zMnHP8iPO4M5RCRjy6nZY0TY/edit#gid=0"",""Table 1: Study characteristics!A4:A171""), $A1290=IMPORTRANGE(""https://docs.google.com/spreadsheets/d/1kGrh75X1cNR1D7_FcY9zMnHP8iPO4M5RCRjy6nZY0TY/"&amp;"edit#gid=0"",""Table 1: Study characteristics!B4:B171"")))&gt;0
),
""Include""
)"),"Exclude")</f>
        <v>Exclude</v>
      </c>
      <c r="G1290" s="5" t="str">
        <f>IFERROR(__xludf.DUMMYFUNCTION("IFS(
D1290=""Exclude"",
FILTER(IMPORTRANGE(""https://docs.google.com/spreadsheets/d/1BJSV3WBYJGRhQ6zExamkszQ5VutGIcaQqmbD9ZTVXMQ/edit#gid=1251630045"",""articles_with_PRISMA_reasons!AB2:AB2113""), $A1290=IMPORTRANGE(""https://docs.google.com/spreadsheets/"&amp;"d/1BJSV3WBYJGRhQ6zExamkszQ5VutGIcaQqmbD9ZTVXMQ/edit#gid=1251630045"",""articles_with_PRISMA_reasons!B2:B2113"")),
E1290=""Exclude"",
FILTER(IMPORTRANGE(""https://docs.google.com/spreadsheets/d/1qpEmbGH0JjaJbUdp21-y2cPbobDbMjr09BbtdKROZWc/edit#gid=14448656"&amp;"54"",""articles_with_PRISMA_reasons!Z2:Z2113""), $A1290=IMPORTRANGE(""https://docs.google.com/spreadsheets/d/1qpEmbGH0JjaJbUdp21-y2cPbobDbMjr09BbtdKROZWc/edit#gid=1444865654"",""articles_with_PRISMA_reasons!B2:B2113"")),F1290
=""Include"",FILTER(IMPORTRAN"&amp;"GE(""https://docs.google.com/spreadsheets/d/1kGrh75X1cNR1D7_FcY9zMnHP8iPO4M5RCRjy6nZY0TY/edit#gid=0"",""Table 1: Study characteristics!A4:A171""), $A1290=IMPORTRANGE(""https://docs.google.com/spreadsheets/d/1kGrh75X1cNR1D7_FcY9zMnHP8iPO4M5RCRjy6nZY0TY/edi"&amp;"t#gid=0"",""Table 1: Study characteristics!B4:B171""))
)"),"background article")</f>
        <v>background article</v>
      </c>
    </row>
    <row r="1291">
      <c r="A1291" s="4" t="str">
        <f>IFERROR(__xludf.DUMMYFUNCTION("""COMPUTED_VALUE"""),"Neural tube defects in jarcho-levin syndrome: Study of twenty-eight cases")</f>
        <v>Neural tube defects in jarcho-levin syndrome: Study of twenty-eight cases</v>
      </c>
      <c r="B1291" s="5" t="str">
        <f>IFERROR(__xludf.DUMMYFUNCTION("LEFT(FILTER(IMPORTRANGE(""https://docs.google.com/spreadsheets/d/1BJSV3WBYJGRhQ6zExamkszQ5VutGIcaQqmbD9ZTVXMQ/edit#gid=1251630045"",""articles_with_PRISMA_reasons!K2:K2113""), $A1291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$A1291=IMPORTRANGE(""https://docs.google.com/spreadsheets/d/1BJSV3WBYJGRhQ6zExamkszQ5VutGIcaQqmbD9ZTVXMQ/edit#gid=1251630045"",""articles_with_PRISMA_reasons!B2:B2113"")))-1)"),"Alatas")</f>
        <v>Alatas</v>
      </c>
      <c r="C1291" s="6">
        <f>IFERROR(__xludf.DUMMYFUNCTION("FILTER(IMPORTRANGE(""https://docs.google.com/spreadsheets/d/1BJSV3WBYJGRhQ6zExamkszQ5VutGIcaQqmbD9ZTVXMQ/edit#gid=1251630045"",""articles_with_PRISMA_reasons!C2:C2113""), $A1291=IMPORTRANGE(""https://docs.google.com/spreadsheets/d/1BJSV3WBYJGRhQ6zExamkszQ"&amp;"5VutGIcaQqmbD9ZTVXMQ/edit#gid=1251630045"",""articles_with_PRISMA_reasons!B2:B2113""))"),2015.0)</f>
        <v>2015</v>
      </c>
      <c r="D1291" s="5" t="str">
        <f>IFERROR(__xludf.DUMMYFUNCTION("IFS(AND(
FILTER(IMPORTRANGE(""https://docs.google.com/spreadsheets/d/1BJSV3WBYJGRhQ6zExamkszQ5VutGIcaQqmbD9ZTVXMQ/edit#gid=1251630045"",""articles_with_PRISMA_reasons!Y2:Y2113""), $A1291=IMPORTRANGE(""https://docs.google.com/spreadsheets/d/1BJSV3WBYJGRhQ6"&amp;"zExamkszQ5VutGIcaQqmbD9ZTVXMQ/edit#gid=1251630045"",""articles_with_PRISMA_reasons!B2:B2113""))&gt;=2,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$A1291=IMPORTRANGE(""https://docs.google.com/spreadsheets/d/1BJSV3WBYJGRhQ6zExamkszQ5VutGIcaQqmbD9ZTVXMQ/edit#gid=1251630045"",""articles_with_PRISMA_reasons!B2:B2113""))&lt;2),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$A1291=IMPORTRANGE(""https://docs.google.com/spreadsheets/d/1BJSV3WBYJGRhQ6zExamkszQ5VutGIcaQqmbD9ZTVXMQ/edit#gid=1251630045"",""a"&amp;"rticles_with_PRISMA_reasons!B2:B2113""))&lt;2,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$A1291=IMPORTRANGE(""https://docs.google"&amp;".com/spreadsheets/d/1BJSV3WBYJGRhQ6zExamkszQ5VutGIcaQqmbD9ZTVXMQ/edit#gid=1251630045"",""articles_with_PRISMA_reasons!B2:B2113""))&gt;=2),
""Exclude""
)"),"Exclude")</f>
        <v>Exclude</v>
      </c>
      <c r="E1291" s="5" t="str">
        <f>IFERROR(__xludf.DUMMYFUNCTION("IFS(
D1291=""Exclude"",""Exclude"",
AND(
FILTER(IMPORTRANGE(""https://docs.google.com/spreadsheets/d/1qpEmbGH0JjaJbUdp21-y2cPbobDbMjr09BbtdKROZWc/edit#gid=1444865654"",""articles_with_PRISMA_reasons!W2:W2113""), $A1291=IMPORTRANGE(""https://docs.google.co"&amp;"m/spreadsheets/d/1qpEmbGH0JjaJbUdp21-y2cPbobDbMjr09BbtdKROZWc/edit#gid=1444865654"",""articles_with_PRISMA_reasons!B2:B2113""))&gt;=2,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$A1291=IMPORTRANGE(""https://docs.google.com/spreadsheets/d/1qpEmbGH0JjaJbUdp21-y2cPbobDbMjr09BbtdKROZWc/edit#gid=1444865654"",""articles_with_PRISMA_reasons!B2:B2113""))&lt;2),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$A1291=IMPORTRANGE(""https://docs.google.com/spreadsheets/d/1qpEmbGH0JjaJbUdp21-y2cPbobDbMjr09Bbtd"&amp;"KROZWc/edit#gid=1444865654"",""articles_with_PRISMA_reasons!B2:B2113""))&lt;2,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$A1291=I"&amp;"MPORTRANGE(""https://docs.google.com/spreadsheets/d/1qpEmbGH0JjaJbUdp21-y2cPbobDbMjr09BbtdKROZWc/edit#gid=1444865654"",""articles_with_PRISMA_reasons!B2:B2113""))&gt;=2),
""Exclude""
)"),"Exclude")</f>
        <v>Exclude</v>
      </c>
      <c r="F1291" s="5" t="str">
        <f>IFERROR(__xludf.DUMMYFUNCTION("IFS(
E1291=""Exclude"",""Exclude"",
AND(
COUNTIF(
IMPORTRANGE(""https://docs.google.com/spreadsheets/d/1kGrh75X1cNR1D7_FcY9zMnHP8iPO4M5RCRjy6nZY0TY/edit#gid=0"",""Table 1: Study characteristics!B4:B171""),A1291)&gt;0,
COUNTIF(Studies!$A$2:$A$85,FILTER(IMPORT"&amp;"RANGE(""https://docs.google.com/spreadsheets/d/1kGrh75X1cNR1D7_FcY9zMnHP8iPO4M5RCRjy6nZY0TY/edit#gid=0"",""Table 1: Study characteristics!A4:A171""), $A1291=IMPORTRANGE(""https://docs.google.com/spreadsheets/d/1kGrh75X1cNR1D7_FcY9zMnHP8iPO4M5RCRjy6nZY0TY/"&amp;"edit#gid=0"",""Table 1: Study characteristics!B4:B171"")))&gt;0
),
""Include""
)"),"Exclude")</f>
        <v>Exclude</v>
      </c>
      <c r="G1291" s="5" t="str">
        <f>IFERROR(__xludf.DUMMYFUNCTION("IFS(
D1291=""Exclude"",
FILTER(IMPORTRANGE(""https://docs.google.com/spreadsheets/d/1BJSV3WBYJGRhQ6zExamkszQ5VutGIcaQqmbD9ZTVXMQ/edit#gid=1251630045"",""articles_with_PRISMA_reasons!AB2:AB2113""), $A1291=IMPORTRANGE(""https://docs.google.com/spreadsheets/"&amp;"d/1BJSV3WBYJGRhQ6zExamkszQ5VutGIcaQqmbD9ZTVXMQ/edit#gid=1251630045"",""articles_with_PRISMA_reasons!B2:B2113"")),
E1291=""Exclude"",
FILTER(IMPORTRANGE(""https://docs.google.com/spreadsheets/d/1qpEmbGH0JjaJbUdp21-y2cPbobDbMjr09BbtdKROZWc/edit#gid=14448656"&amp;"54"",""articles_with_PRISMA_reasons!Z2:Z2113""), $A1291=IMPORTRANGE(""https://docs.google.com/spreadsheets/d/1qpEmbGH0JjaJbUdp21-y2cPbobDbMjr09BbtdKROZWc/edit#gid=1444865654"",""articles_with_PRISMA_reasons!B2:B2113"")),F1291
=""Include"",FILTER(IMPORTRAN"&amp;"GE(""https://docs.google.com/spreadsheets/d/1kGrh75X1cNR1D7_FcY9zMnHP8iPO4M5RCRjy6nZY0TY/edit#gid=0"",""Table 1: Study characteristics!A4:A171""), $A1291=IMPORTRANGE(""https://docs.google.com/spreadsheets/d/1kGrh75X1cNR1D7_FcY9zMnHP8iPO4M5RCRjy6nZY0TY/edi"&amp;"t#gid=0"",""Table 1: Study characteristics!B4:B171""))
)"),"wrong population")</f>
        <v>wrong population</v>
      </c>
    </row>
    <row r="1292">
      <c r="A1292" s="4" t="str">
        <f>IFERROR(__xludf.DUMMYFUNCTION("""COMPUTED_VALUE"""),"Neural tube defects in the Asir region of Saudi Arabia")</f>
        <v>Neural tube defects in the Asir region of Saudi Arabia</v>
      </c>
      <c r="B1292" s="5" t="str">
        <f>IFERROR(__xludf.DUMMYFUNCTION("LEFT(FILTER(IMPORTRANGE(""https://docs.google.com/spreadsheets/d/1BJSV3WBYJGRhQ6zExamkszQ5VutGIcaQqmbD9ZTVXMQ/edit#gid=1251630045"",""articles_with_PRISMA_reasons!K2:K2113""), $A1292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$A1292=IMPORTRANGE(""https://docs.google.com/spreadsheets/d/1BJSV3WBYJGRhQ6zExamkszQ5VutGIcaQqmbD9ZTVXMQ/edit#gid=1251630045"",""articles_with_PRISMA_reasons!B2:B2113"")))-1)"),"Asindi")</f>
        <v>Asindi</v>
      </c>
      <c r="C1292" s="6">
        <f>IFERROR(__xludf.DUMMYFUNCTION("FILTER(IMPORTRANGE(""https://docs.google.com/spreadsheets/d/1BJSV3WBYJGRhQ6zExamkszQ5VutGIcaQqmbD9ZTVXMQ/edit#gid=1251630045"",""articles_with_PRISMA_reasons!C2:C2113""), $A1292=IMPORTRANGE(""https://docs.google.com/spreadsheets/d/1BJSV3WBYJGRhQ6zExamkszQ"&amp;"5VutGIcaQqmbD9ZTVXMQ/edit#gid=1251630045"",""articles_with_PRISMA_reasons!B2:B2113""))"),2001.0)</f>
        <v>2001</v>
      </c>
      <c r="D1292" s="5" t="str">
        <f>IFERROR(__xludf.DUMMYFUNCTION("IFS(AND(
FILTER(IMPORTRANGE(""https://docs.google.com/spreadsheets/d/1BJSV3WBYJGRhQ6zExamkszQ5VutGIcaQqmbD9ZTVXMQ/edit#gid=1251630045"",""articles_with_PRISMA_reasons!Y2:Y2113""), $A1292=IMPORTRANGE(""https://docs.google.com/spreadsheets/d/1BJSV3WBYJGRhQ6"&amp;"zExamkszQ5VutGIcaQqmbD9ZTVXMQ/edit#gid=1251630045"",""articles_with_PRISMA_reasons!B2:B2113""))&gt;=2,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$A1292=IMPORTRANGE(""https://docs.google.com/spreadsheets/d/1BJSV3WBYJGRhQ6zExamkszQ5VutGIcaQqmbD9ZTVXMQ/edit#gid=1251630045"",""articles_with_PRISMA_reasons!B2:B2113""))&lt;2),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$A1292=IMPORTRANGE(""https://docs.google.com/spreadsheets/d/1BJSV3WBYJGRhQ6zExamkszQ5VutGIcaQqmbD9ZTVXMQ/edit#gid=1251630045"",""a"&amp;"rticles_with_PRISMA_reasons!B2:B2113""))&lt;2,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$A1292=IMPORTRANGE(""https://docs.google"&amp;".com/spreadsheets/d/1BJSV3WBYJGRhQ6zExamkszQ5VutGIcaQqmbD9ZTVXMQ/edit#gid=1251630045"",""articles_with_PRISMA_reasons!B2:B2113""))&gt;=2),
""Exclude""
)"),"Exclude")</f>
        <v>Exclude</v>
      </c>
      <c r="E1292" s="5" t="str">
        <f>IFERROR(__xludf.DUMMYFUNCTION("IFS(
D1292=""Exclude"",""Exclude"",
AND(
FILTER(IMPORTRANGE(""https://docs.google.com/spreadsheets/d/1qpEmbGH0JjaJbUdp21-y2cPbobDbMjr09BbtdKROZWc/edit#gid=1444865654"",""articles_with_PRISMA_reasons!W2:W2113""), $A1292=IMPORTRANGE(""https://docs.google.co"&amp;"m/spreadsheets/d/1qpEmbGH0JjaJbUdp21-y2cPbobDbMjr09BbtdKROZWc/edit#gid=1444865654"",""articles_with_PRISMA_reasons!B2:B2113""))&gt;=2,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$A1292=IMPORTRANGE(""https://docs.google.com/spreadsheets/d/1qpEmbGH0JjaJbUdp21-y2cPbobDbMjr09BbtdKROZWc/edit#gid=1444865654"",""articles_with_PRISMA_reasons!B2:B2113""))&lt;2),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$A1292=IMPORTRANGE(""https://docs.google.com/spreadsheets/d/1qpEmbGH0JjaJbUdp21-y2cPbobDbMjr09Bbtd"&amp;"KROZWc/edit#gid=1444865654"",""articles_with_PRISMA_reasons!B2:B2113""))&lt;2,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$A1292=I"&amp;"MPORTRANGE(""https://docs.google.com/spreadsheets/d/1qpEmbGH0JjaJbUdp21-y2cPbobDbMjr09BbtdKROZWc/edit#gid=1444865654"",""articles_with_PRISMA_reasons!B2:B2113""))&gt;=2),
""Exclude""
)"),"Exclude")</f>
        <v>Exclude</v>
      </c>
      <c r="F1292" s="5" t="str">
        <f>IFERROR(__xludf.DUMMYFUNCTION("IFS(
E1292=""Exclude"",""Exclude"",
AND(
COUNTIF(
IMPORTRANGE(""https://docs.google.com/spreadsheets/d/1kGrh75X1cNR1D7_FcY9zMnHP8iPO4M5RCRjy6nZY0TY/edit#gid=0"",""Table 1: Study characteristics!B4:B171""),A1292)&gt;0,
COUNTIF(Studies!$A$2:$A$85,FILTER(IMPORT"&amp;"RANGE(""https://docs.google.com/spreadsheets/d/1kGrh75X1cNR1D7_FcY9zMnHP8iPO4M5RCRjy6nZY0TY/edit#gid=0"",""Table 1: Study characteristics!A4:A171""), $A1292=IMPORTRANGE(""https://docs.google.com/spreadsheets/d/1kGrh75X1cNR1D7_FcY9zMnHP8iPO4M5RCRjy6nZY0TY/"&amp;"edit#gid=0"",""Table 1: Study characteristics!B4:B171"")))&gt;0
),
""Include""
)"),"Exclude")</f>
        <v>Exclude</v>
      </c>
      <c r="G1292" s="5" t="str">
        <f>IFERROR(__xludf.DUMMYFUNCTION("IFS(
D1292=""Exclude"",
FILTER(IMPORTRANGE(""https://docs.google.com/spreadsheets/d/1BJSV3WBYJGRhQ6zExamkszQ5VutGIcaQqmbD9ZTVXMQ/edit#gid=1251630045"",""articles_with_PRISMA_reasons!AB2:AB2113""), $A1292=IMPORTRANGE(""https://docs.google.com/spreadsheets/"&amp;"d/1BJSV3WBYJGRhQ6zExamkszQ5VutGIcaQqmbD9ZTVXMQ/edit#gid=1251630045"",""articles_with_PRISMA_reasons!B2:B2113"")),
E1292=""Exclude"",
FILTER(IMPORTRANGE(""https://docs.google.com/spreadsheets/d/1qpEmbGH0JjaJbUdp21-y2cPbobDbMjr09BbtdKROZWc/edit#gid=14448656"&amp;"54"",""articles_with_PRISMA_reasons!Z2:Z2113""), $A1292=IMPORTRANGE(""https://docs.google.com/spreadsheets/d/1qpEmbGH0JjaJbUdp21-y2cPbobDbMjr09BbtdKROZWc/edit#gid=1444865654"",""articles_with_PRISMA_reasons!B2:B2113"")),F1292
=""Include"",FILTER(IMPORTRAN"&amp;"GE(""https://docs.google.com/spreadsheets/d/1kGrh75X1cNR1D7_FcY9zMnHP8iPO4M5RCRjy6nZY0TY/edit#gid=0"",""Table 1: Study characteristics!A4:A171""), $A1292=IMPORTRANGE(""https://docs.google.com/spreadsheets/d/1kGrh75X1cNR1D7_FcY9zMnHP8iPO4M5RCRjy6nZY0TY/edi"&amp;"t#gid=0"",""Table 1: Study characteristics!B4:B171""))
)"),"wrong study design")</f>
        <v>wrong study design</v>
      </c>
    </row>
    <row r="1293">
      <c r="A1293" s="4" t="str">
        <f>IFERROR(__xludf.DUMMYFUNCTION("""COMPUTED_VALUE"""),"Neural tube defects in Uganda: follow-up outcomes from a national referral hospital")</f>
        <v>Neural tube defects in Uganda: follow-up outcomes from a national referral hospital</v>
      </c>
      <c r="B1293" s="5" t="str">
        <f>IFERROR(__xludf.DUMMYFUNCTION("LEFT(FILTER(IMPORTRANGE(""https://docs.google.com/spreadsheets/d/1BJSV3WBYJGRhQ6zExamkszQ5VutGIcaQqmbD9ZTVXMQ/edit#gid=1251630045"",""articles_with_PRISMA_reasons!K2:K2113""), $A1293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$A1293=IMPORTRANGE(""https://docs.google.com/spreadsheets/d/1BJSV3WBYJGRhQ6zExamkszQ5VutGIcaQqmbD9ZTVXMQ/edit#gid=1251630045"",""articles_with_PRISMA_reasons!B2:B2113"")))-1)"),"Xu")</f>
        <v>Xu</v>
      </c>
      <c r="C1293" s="6">
        <f>IFERROR(__xludf.DUMMYFUNCTION("FILTER(IMPORTRANGE(""https://docs.google.com/spreadsheets/d/1BJSV3WBYJGRhQ6zExamkszQ5VutGIcaQqmbD9ZTVXMQ/edit#gid=1251630045"",""articles_with_PRISMA_reasons!C2:C2113""), $A1293=IMPORTRANGE(""https://docs.google.com/spreadsheets/d/1BJSV3WBYJGRhQ6zExamkszQ"&amp;"5VutGIcaQqmbD9ZTVXMQ/edit#gid=1251630045"",""articles_with_PRISMA_reasons!B2:B2113""))"),2018.0)</f>
        <v>2018</v>
      </c>
      <c r="D1293" s="5" t="str">
        <f>IFERROR(__xludf.DUMMYFUNCTION("IFS(AND(
FILTER(IMPORTRANGE(""https://docs.google.com/spreadsheets/d/1BJSV3WBYJGRhQ6zExamkszQ5VutGIcaQqmbD9ZTVXMQ/edit#gid=1251630045"",""articles_with_PRISMA_reasons!Y2:Y2113""), $A1293=IMPORTRANGE(""https://docs.google.com/spreadsheets/d/1BJSV3WBYJGRhQ6"&amp;"zExamkszQ5VutGIcaQqmbD9ZTVXMQ/edit#gid=1251630045"",""articles_with_PRISMA_reasons!B2:B2113""))&gt;=2,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$A1293=IMPORTRANGE(""https://docs.google.com/spreadsheets/d/1BJSV3WBYJGRhQ6zExamkszQ5VutGIcaQqmbD9ZTVXMQ/edit#gid=1251630045"",""articles_with_PRISMA_reasons!B2:B2113""))&lt;2),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$A1293=IMPORTRANGE(""https://docs.google.com/spreadsheets/d/1BJSV3WBYJGRhQ6zExamkszQ5VutGIcaQqmbD9ZTVXMQ/edit#gid=1251630045"",""a"&amp;"rticles_with_PRISMA_reasons!B2:B2113""))&lt;2,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$A1293=IMPORTRANGE(""https://docs.google"&amp;".com/spreadsheets/d/1BJSV3WBYJGRhQ6zExamkszQ5VutGIcaQqmbD9ZTVXMQ/edit#gid=1251630045"",""articles_with_PRISMA_reasons!B2:B2113""))&gt;=2),
""Exclude""
)"),"Include")</f>
        <v>Include</v>
      </c>
      <c r="E1293" s="5" t="str">
        <f>IFERROR(__xludf.DUMMYFUNCTION("IFS(
D1293=""Exclude"",""Exclude"",
AND(
FILTER(IMPORTRANGE(""https://docs.google.com/spreadsheets/d/1qpEmbGH0JjaJbUdp21-y2cPbobDbMjr09BbtdKROZWc/edit#gid=1444865654"",""articles_with_PRISMA_reasons!W2:W2113""), $A1293=IMPORTRANGE(""https://docs.google.co"&amp;"m/spreadsheets/d/1qpEmbGH0JjaJbUdp21-y2cPbobDbMjr09BbtdKROZWc/edit#gid=1444865654"",""articles_with_PRISMA_reasons!B2:B2113""))&gt;=2,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$A1293=IMPORTRANGE(""https://docs.google.com/spreadsheets/d/1qpEmbGH0JjaJbUdp21-y2cPbobDbMjr09BbtdKROZWc/edit#gid=1444865654"",""articles_with_PRISMA_reasons!B2:B2113""))&lt;2),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$A1293=IMPORTRANGE(""https://docs.google.com/spreadsheets/d/1qpEmbGH0JjaJbUdp21-y2cPbobDbMjr09Bbtd"&amp;"KROZWc/edit#gid=1444865654"",""articles_with_PRISMA_reasons!B2:B2113""))&lt;2,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$A1293=I"&amp;"MPORTRANGE(""https://docs.google.com/spreadsheets/d/1qpEmbGH0JjaJbUdp21-y2cPbobDbMjr09BbtdKROZWc/edit#gid=1444865654"",""articles_with_PRISMA_reasons!B2:B2113""))&gt;=2),
""Exclude""
)"),"Include")</f>
        <v>Include</v>
      </c>
      <c r="F1293" s="5" t="str">
        <f>IFERROR(__xludf.DUMMYFUNCTION("IFS(
E1293=""Exclude"",""Exclude"",
AND(
COUNTIF(
IMPORTRANGE(""https://docs.google.com/spreadsheets/d/1kGrh75X1cNR1D7_FcY9zMnHP8iPO4M5RCRjy6nZY0TY/edit#gid=0"",""Table 1: Study characteristics!B4:B171""),A1293)&gt;0,
COUNTIF(Studies!$A$2:$A$85,FILTER(IMPORT"&amp;"RANGE(""https://docs.google.com/spreadsheets/d/1kGrh75X1cNR1D7_FcY9zMnHP8iPO4M5RCRjy6nZY0TY/edit#gid=0"",""Table 1: Study characteristics!A4:A171""), $A1293=IMPORTRANGE(""https://docs.google.com/spreadsheets/d/1kGrh75X1cNR1D7_FcY9zMnHP8iPO4M5RCRjy6nZY0TY/"&amp;"edit#gid=0"",""Table 1: Study characteristics!B4:B171"")))&gt;0
),
""Include""
)"),"Include")</f>
        <v>Include</v>
      </c>
      <c r="G1293" s="5" t="str">
        <f>IFERROR(__xludf.DUMMYFUNCTION("IFS(
D1293=""Exclude"",
FILTER(IMPORTRANGE(""https://docs.google.com/spreadsheets/d/1BJSV3WBYJGRhQ6zExamkszQ5VutGIcaQqmbD9ZTVXMQ/edit#gid=1251630045"",""articles_with_PRISMA_reasons!AB2:AB2113""), $A1293=IMPORTRANGE(""https://docs.google.com/spreadsheets/"&amp;"d/1BJSV3WBYJGRhQ6zExamkszQ5VutGIcaQqmbD9ZTVXMQ/edit#gid=1251630045"",""articles_with_PRISMA_reasons!B2:B2113"")),
E1293=""Exclude"",
FILTER(IMPORTRANGE(""https://docs.google.com/spreadsheets/d/1qpEmbGH0JjaJbUdp21-y2cPbobDbMjr09BbtdKROZWc/edit#gid=14448656"&amp;"54"",""articles_with_PRISMA_reasons!Z2:Z2113""), $A1293=IMPORTRANGE(""https://docs.google.com/spreadsheets/d/1qpEmbGH0JjaJbUdp21-y2cPbobDbMjr09BbtdKROZWc/edit#gid=1444865654"",""articles_with_PRISMA_reasons!B2:B2113"")),F1293
=""Include"",FILTER(IMPORTRAN"&amp;"GE(""https://docs.google.com/spreadsheets/d/1kGrh75X1cNR1D7_FcY9zMnHP8iPO4M5RCRjy6nZY0TY/edit#gid=0"",""Table 1: Study characteristics!A4:A171""), $A1293=IMPORTRANGE(""https://docs.google.com/spreadsheets/d/1kGrh75X1cNR1D7_FcY9zMnHP8iPO4M5RCRjy6nZY0TY/edi"&amp;"t#gid=0"",""Table 1: Study characteristics!B4:B171""))
)"),"ID 89")</f>
        <v>ID 89</v>
      </c>
    </row>
    <row r="1294">
      <c r="A1294" s="4" t="str">
        <f>IFERROR(__xludf.DUMMYFUNCTION("""COMPUTED_VALUE"""),"Neural tube defects in Waardenburg syndrome: A case report and review of the literature")</f>
        <v>Neural tube defects in Waardenburg syndrome: A case report and review of the literature</v>
      </c>
      <c r="B1294" s="5" t="str">
        <f>IFERROR(__xludf.DUMMYFUNCTION("LEFT(FILTER(IMPORTRANGE(""https://docs.google.com/spreadsheets/d/1BJSV3WBYJGRhQ6zExamkszQ5VutGIcaQqmbD9ZTVXMQ/edit#gid=1251630045"",""articles_with_PRISMA_reasons!K2:K2113""), $A1294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$A1294=IMPORTRANGE(""https://docs.google.com/spreadsheets/d/1BJSV3WBYJGRhQ6zExamkszQ5VutGIcaQqmbD9ZTVXMQ/edit#gid=1251630045"",""articles_with_PRISMA_reasons!B2:B2113"")))-1)"),"Hart")</f>
        <v>Hart</v>
      </c>
      <c r="C1294" s="6">
        <f>IFERROR(__xludf.DUMMYFUNCTION("FILTER(IMPORTRANGE(""https://docs.google.com/spreadsheets/d/1BJSV3WBYJGRhQ6zExamkszQ5VutGIcaQqmbD9ZTVXMQ/edit#gid=1251630045"",""articles_with_PRISMA_reasons!C2:C2113""), $A1294=IMPORTRANGE(""https://docs.google.com/spreadsheets/d/1BJSV3WBYJGRhQ6zExamkszQ"&amp;"5VutGIcaQqmbD9ZTVXMQ/edit#gid=1251630045"",""articles_with_PRISMA_reasons!B2:B2113""))"),2017.0)</f>
        <v>2017</v>
      </c>
      <c r="D1294" s="5" t="str">
        <f>IFERROR(__xludf.DUMMYFUNCTION("IFS(AND(
FILTER(IMPORTRANGE(""https://docs.google.com/spreadsheets/d/1BJSV3WBYJGRhQ6zExamkszQ5VutGIcaQqmbD9ZTVXMQ/edit#gid=1251630045"",""articles_with_PRISMA_reasons!Y2:Y2113""), $A1294=IMPORTRANGE(""https://docs.google.com/spreadsheets/d/1BJSV3WBYJGRhQ6"&amp;"zExamkszQ5VutGIcaQqmbD9ZTVXMQ/edit#gid=1251630045"",""articles_with_PRISMA_reasons!B2:B2113""))&gt;=2,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$A1294=IMPORTRANGE(""https://docs.google.com/spreadsheets/d/1BJSV3WBYJGRhQ6zExamkszQ5VutGIcaQqmbD9ZTVXMQ/edit#gid=1251630045"",""articles_with_PRISMA_reasons!B2:B2113""))&lt;2),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$A1294=IMPORTRANGE(""https://docs.google.com/spreadsheets/d/1BJSV3WBYJGRhQ6zExamkszQ5VutGIcaQqmbD9ZTVXMQ/edit#gid=1251630045"",""a"&amp;"rticles_with_PRISMA_reasons!B2:B2113""))&lt;2,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$A1294=IMPORTRANGE(""https://docs.google"&amp;".com/spreadsheets/d/1BJSV3WBYJGRhQ6zExamkszQ5VutGIcaQqmbD9ZTVXMQ/edit#gid=1251630045"",""articles_with_PRISMA_reasons!B2:B2113""))&gt;=2),
""Exclude""
)"),"Exclude")</f>
        <v>Exclude</v>
      </c>
      <c r="E1294" s="5" t="str">
        <f>IFERROR(__xludf.DUMMYFUNCTION("IFS(
D1294=""Exclude"",""Exclude"",
AND(
FILTER(IMPORTRANGE(""https://docs.google.com/spreadsheets/d/1qpEmbGH0JjaJbUdp21-y2cPbobDbMjr09BbtdKROZWc/edit#gid=1444865654"",""articles_with_PRISMA_reasons!W2:W2113""), $A1294=IMPORTRANGE(""https://docs.google.co"&amp;"m/spreadsheets/d/1qpEmbGH0JjaJbUdp21-y2cPbobDbMjr09BbtdKROZWc/edit#gid=1444865654"",""articles_with_PRISMA_reasons!B2:B2113""))&gt;=2,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$A1294=IMPORTRANGE(""https://docs.google.com/spreadsheets/d/1qpEmbGH0JjaJbUdp21-y2cPbobDbMjr09BbtdKROZWc/edit#gid=1444865654"",""articles_with_PRISMA_reasons!B2:B2113""))&lt;2),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$A1294=IMPORTRANGE(""https://docs.google.com/spreadsheets/d/1qpEmbGH0JjaJbUdp21-y2cPbobDbMjr09Bbtd"&amp;"KROZWc/edit#gid=1444865654"",""articles_with_PRISMA_reasons!B2:B2113""))&lt;2,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$A1294=I"&amp;"MPORTRANGE(""https://docs.google.com/spreadsheets/d/1qpEmbGH0JjaJbUdp21-y2cPbobDbMjr09BbtdKROZWc/edit#gid=1444865654"",""articles_with_PRISMA_reasons!B2:B2113""))&gt;=2),
""Exclude""
)"),"Exclude")</f>
        <v>Exclude</v>
      </c>
      <c r="F1294" s="5" t="str">
        <f>IFERROR(__xludf.DUMMYFUNCTION("IFS(
E1294=""Exclude"",""Exclude"",
AND(
COUNTIF(
IMPORTRANGE(""https://docs.google.com/spreadsheets/d/1kGrh75X1cNR1D7_FcY9zMnHP8iPO4M5RCRjy6nZY0TY/edit#gid=0"",""Table 1: Study characteristics!B4:B171""),A1294)&gt;0,
COUNTIF(Studies!$A$2:$A$85,FILTER(IMPORT"&amp;"RANGE(""https://docs.google.com/spreadsheets/d/1kGrh75X1cNR1D7_FcY9zMnHP8iPO4M5RCRjy6nZY0TY/edit#gid=0"",""Table 1: Study characteristics!A4:A171""), $A1294=IMPORTRANGE(""https://docs.google.com/spreadsheets/d/1kGrh75X1cNR1D7_FcY9zMnHP8iPO4M5RCRjy6nZY0TY/"&amp;"edit#gid=0"",""Table 1: Study characteristics!B4:B171"")))&gt;0
),
""Include""
)"),"Exclude")</f>
        <v>Exclude</v>
      </c>
      <c r="G1294" s="5" t="str">
        <f>IFERROR(__xludf.DUMMYFUNCTION("IFS(
D1294=""Exclude"",
FILTER(IMPORTRANGE(""https://docs.google.com/spreadsheets/d/1BJSV3WBYJGRhQ6zExamkszQ5VutGIcaQqmbD9ZTVXMQ/edit#gid=1251630045"",""articles_with_PRISMA_reasons!AB2:AB2113""), $A1294=IMPORTRANGE(""https://docs.google.com/spreadsheets/"&amp;"d/1BJSV3WBYJGRhQ6zExamkszQ5VutGIcaQqmbD9ZTVXMQ/edit#gid=1251630045"",""articles_with_PRISMA_reasons!B2:B2113"")),
E1294=""Exclude"",
FILTER(IMPORTRANGE(""https://docs.google.com/spreadsheets/d/1qpEmbGH0JjaJbUdp21-y2cPbobDbMjr09BbtdKROZWc/edit#gid=14448656"&amp;"54"",""articles_with_PRISMA_reasons!Z2:Z2113""), $A1294=IMPORTRANGE(""https://docs.google.com/spreadsheets/d/1qpEmbGH0JjaJbUdp21-y2cPbobDbMjr09BbtdKROZWc/edit#gid=1444865654"",""articles_with_PRISMA_reasons!B2:B2113"")),F1294
=""Include"",FILTER(IMPORTRAN"&amp;"GE(""https://docs.google.com/spreadsheets/d/1kGrh75X1cNR1D7_FcY9zMnHP8iPO4M5RCRjy6nZY0TY/edit#gid=0"",""Table 1: Study characteristics!A4:A171""), $A1294=IMPORTRANGE(""https://docs.google.com/spreadsheets/d/1kGrh75X1cNR1D7_FcY9zMnHP8iPO4M5RCRjy6nZY0TY/edi"&amp;"t#gid=0"",""Table 1: Study characteristics!B4:B171""))
)"),"wrong publication type")</f>
        <v>wrong publication type</v>
      </c>
    </row>
    <row r="1295">
      <c r="A1295" s="4" t="str">
        <f>IFERROR(__xludf.DUMMYFUNCTION("""COMPUTED_VALUE"""),"Neural tube defects-disorders of neurulation and related embryonic processes")</f>
        <v>Neural tube defects-disorders of neurulation and related embryonic processes</v>
      </c>
      <c r="B1295" s="5" t="str">
        <f>IFERROR(__xludf.DUMMYFUNCTION("LEFT(FILTER(IMPORTRANGE(""https://docs.google.com/spreadsheets/d/1BJSV3WBYJGRhQ6zExamkszQ5VutGIcaQqmbD9ZTVXMQ/edit#gid=1251630045"",""articles_with_PRISMA_reasons!K2:K2113""), $A1295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$A1295=IMPORTRANGE(""https://docs.google.com/spreadsheets/d/1BJSV3WBYJGRhQ6zExamkszQ5VutGIcaQqmbD9ZTVXMQ/edit#gid=1251630045"",""articles_with_PRISMA_reasons!B2:B2113"")))-1)"),"Copp")</f>
        <v>Copp</v>
      </c>
      <c r="C1295" s="6">
        <f>IFERROR(__xludf.DUMMYFUNCTION("FILTER(IMPORTRANGE(""https://docs.google.com/spreadsheets/d/1BJSV3WBYJGRhQ6zExamkszQ5VutGIcaQqmbD9ZTVXMQ/edit#gid=1251630045"",""articles_with_PRISMA_reasons!C2:C2113""), $A1295=IMPORTRANGE(""https://docs.google.com/spreadsheets/d/1BJSV3WBYJGRhQ6zExamkszQ"&amp;"5VutGIcaQqmbD9ZTVXMQ/edit#gid=1251630045"",""articles_with_PRISMA_reasons!B2:B2113""))"),2013.0)</f>
        <v>2013</v>
      </c>
      <c r="D1295" s="5" t="str">
        <f>IFERROR(__xludf.DUMMYFUNCTION("IFS(AND(
FILTER(IMPORTRANGE(""https://docs.google.com/spreadsheets/d/1BJSV3WBYJGRhQ6zExamkszQ5VutGIcaQqmbD9ZTVXMQ/edit#gid=1251630045"",""articles_with_PRISMA_reasons!Y2:Y2113""), $A1295=IMPORTRANGE(""https://docs.google.com/spreadsheets/d/1BJSV3WBYJGRhQ6"&amp;"zExamkszQ5VutGIcaQqmbD9ZTVXMQ/edit#gid=1251630045"",""articles_with_PRISMA_reasons!B2:B2113""))&gt;=2,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$A1295=IMPORTRANGE(""https://docs.google.com/spreadsheets/d/1BJSV3WBYJGRhQ6zExamkszQ5VutGIcaQqmbD9ZTVXMQ/edit#gid=1251630045"",""articles_with_PRISMA_reasons!B2:B2113""))&lt;2),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$A1295=IMPORTRANGE(""https://docs.google.com/spreadsheets/d/1BJSV3WBYJGRhQ6zExamkszQ5VutGIcaQqmbD9ZTVXMQ/edit#gid=1251630045"",""a"&amp;"rticles_with_PRISMA_reasons!B2:B2113""))&lt;2,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$A1295=IMPORTRANGE(""https://docs.google"&amp;".com/spreadsheets/d/1BJSV3WBYJGRhQ6zExamkszQ5VutGIcaQqmbD9ZTVXMQ/edit#gid=1251630045"",""articles_with_PRISMA_reasons!B2:B2113""))&gt;=2),
""Exclude""
)"),"Exclude")</f>
        <v>Exclude</v>
      </c>
      <c r="E1295" s="5" t="str">
        <f>IFERROR(__xludf.DUMMYFUNCTION("IFS(
D1295=""Exclude"",""Exclude"",
AND(
FILTER(IMPORTRANGE(""https://docs.google.com/spreadsheets/d/1qpEmbGH0JjaJbUdp21-y2cPbobDbMjr09BbtdKROZWc/edit#gid=1444865654"",""articles_with_PRISMA_reasons!W2:W2113""), $A1295=IMPORTRANGE(""https://docs.google.co"&amp;"m/spreadsheets/d/1qpEmbGH0JjaJbUdp21-y2cPbobDbMjr09BbtdKROZWc/edit#gid=1444865654"",""articles_with_PRISMA_reasons!B2:B2113""))&gt;=2,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$A1295=IMPORTRANGE(""https://docs.google.com/spreadsheets/d/1qpEmbGH0JjaJbUdp21-y2cPbobDbMjr09BbtdKROZWc/edit#gid=1444865654"",""articles_with_PRISMA_reasons!B2:B2113""))&lt;2),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$A1295=IMPORTRANGE(""https://docs.google.com/spreadsheets/d/1qpEmbGH0JjaJbUdp21-y2cPbobDbMjr09Bbtd"&amp;"KROZWc/edit#gid=1444865654"",""articles_with_PRISMA_reasons!B2:B2113""))&lt;2,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$A1295=I"&amp;"MPORTRANGE(""https://docs.google.com/spreadsheets/d/1qpEmbGH0JjaJbUdp21-y2cPbobDbMjr09BbtdKROZWc/edit#gid=1444865654"",""articles_with_PRISMA_reasons!B2:B2113""))&gt;=2),
""Exclude""
)"),"Exclude")</f>
        <v>Exclude</v>
      </c>
      <c r="F1295" s="5" t="str">
        <f>IFERROR(__xludf.DUMMYFUNCTION("IFS(
E1295=""Exclude"",""Exclude"",
AND(
COUNTIF(
IMPORTRANGE(""https://docs.google.com/spreadsheets/d/1kGrh75X1cNR1D7_FcY9zMnHP8iPO4M5RCRjy6nZY0TY/edit#gid=0"",""Table 1: Study characteristics!B4:B171""),A1295)&gt;0,
COUNTIF(Studies!$A$2:$A$85,FILTER(IMPORT"&amp;"RANGE(""https://docs.google.com/spreadsheets/d/1kGrh75X1cNR1D7_FcY9zMnHP8iPO4M5RCRjy6nZY0TY/edit#gid=0"",""Table 1: Study characteristics!A4:A171""), $A1295=IMPORTRANGE(""https://docs.google.com/spreadsheets/d/1kGrh75X1cNR1D7_FcY9zMnHP8iPO4M5RCRjy6nZY0TY/"&amp;"edit#gid=0"",""Table 1: Study characteristics!B4:B171"")))&gt;0
),
""Include""
)"),"Exclude")</f>
        <v>Exclude</v>
      </c>
      <c r="G1295" s="5" t="str">
        <f>IFERROR(__xludf.DUMMYFUNCTION("IFS(
D1295=""Exclude"",
FILTER(IMPORTRANGE(""https://docs.google.com/spreadsheets/d/1BJSV3WBYJGRhQ6zExamkszQ5VutGIcaQqmbD9ZTVXMQ/edit#gid=1251630045"",""articles_with_PRISMA_reasons!AB2:AB2113""), $A1295=IMPORTRANGE(""https://docs.google.com/spreadsheets/"&amp;"d/1BJSV3WBYJGRhQ6zExamkszQ5VutGIcaQqmbD9ZTVXMQ/edit#gid=1251630045"",""articles_with_PRISMA_reasons!B2:B2113"")),
E1295=""Exclude"",
FILTER(IMPORTRANGE(""https://docs.google.com/spreadsheets/d/1qpEmbGH0JjaJbUdp21-y2cPbobDbMjr09BbtdKROZWc/edit#gid=14448656"&amp;"54"",""articles_with_PRISMA_reasons!Z2:Z2113""), $A1295=IMPORTRANGE(""https://docs.google.com/spreadsheets/d/1qpEmbGH0JjaJbUdp21-y2cPbobDbMjr09BbtdKROZWc/edit#gid=1444865654"",""articles_with_PRISMA_reasons!B2:B2113"")),F1295
=""Include"",FILTER(IMPORTRAN"&amp;"GE(""https://docs.google.com/spreadsheets/d/1kGrh75X1cNR1D7_FcY9zMnHP8iPO4M5RCRjy6nZY0TY/edit#gid=0"",""Table 1: Study characteristics!A4:A171""), $A1295=IMPORTRANGE(""https://docs.google.com/spreadsheets/d/1kGrh75X1cNR1D7_FcY9zMnHP8iPO4M5RCRjy6nZY0TY/edi"&amp;"t#gid=0"",""Table 1: Study characteristics!B4:B171""))
)"),"background article")</f>
        <v>background article</v>
      </c>
    </row>
    <row r="1296">
      <c r="A1296" s="4" t="str">
        <f>IFERROR(__xludf.DUMMYFUNCTION("""COMPUTED_VALUE"""),"Neural tube defects: A need for population-based prevention program")</f>
        <v>Neural tube defects: A need for population-based prevention program</v>
      </c>
      <c r="B1296" s="5" t="str">
        <f>IFERROR(__xludf.DUMMYFUNCTION("LEFT(FILTER(IMPORTRANGE(""https://docs.google.com/spreadsheets/d/1BJSV3WBYJGRhQ6zExamkszQ5VutGIcaQqmbD9ZTVXMQ/edit#gid=1251630045"",""articles_with_PRISMA_reasons!K2:K2113""), $A1296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$A1296=IMPORTRANGE(""https://docs.google.com/spreadsheets/d/1BJSV3WBYJGRhQ6zExamkszQ5VutGIcaQqmbD9ZTVXMQ/edit#gid=1251630045"",""articles_with_PRISMA_reasons!B2:B2113"")))-1)"),"Agarwal")</f>
        <v>Agarwal</v>
      </c>
      <c r="C1296" s="6">
        <f>IFERROR(__xludf.DUMMYFUNCTION("FILTER(IMPORTRANGE(""https://docs.google.com/spreadsheets/d/1BJSV3WBYJGRhQ6zExamkszQ5VutGIcaQqmbD9ZTVXMQ/edit#gid=1251630045"",""articles_with_PRISMA_reasons!C2:C2113""), $A1296=IMPORTRANGE(""https://docs.google.com/spreadsheets/d/1BJSV3WBYJGRhQ6zExamkszQ"&amp;"5VutGIcaQqmbD9ZTVXMQ/edit#gid=1251630045"",""articles_with_PRISMA_reasons!B2:B2113""))"),2012.0)</f>
        <v>2012</v>
      </c>
      <c r="D1296" s="5" t="str">
        <f>IFERROR(__xludf.DUMMYFUNCTION("IFS(AND(
FILTER(IMPORTRANGE(""https://docs.google.com/spreadsheets/d/1BJSV3WBYJGRhQ6zExamkszQ5VutGIcaQqmbD9ZTVXMQ/edit#gid=1251630045"",""articles_with_PRISMA_reasons!Y2:Y2113""), $A1296=IMPORTRANGE(""https://docs.google.com/spreadsheets/d/1BJSV3WBYJGRhQ6"&amp;"zExamkszQ5VutGIcaQqmbD9ZTVXMQ/edit#gid=1251630045"",""articles_with_PRISMA_reasons!B2:B2113""))&gt;=2,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$A1296=IMPORTRANGE(""https://docs.google.com/spreadsheets/d/1BJSV3WBYJGRhQ6zExamkszQ5VutGIcaQqmbD9ZTVXMQ/edit#gid=1251630045"",""articles_with_PRISMA_reasons!B2:B2113""))&lt;2),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$A1296=IMPORTRANGE(""https://docs.google.com/spreadsheets/d/1BJSV3WBYJGRhQ6zExamkszQ5VutGIcaQqmbD9ZTVXMQ/edit#gid=1251630045"",""a"&amp;"rticles_with_PRISMA_reasons!B2:B2113""))&lt;2,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$A1296=IMPORTRANGE(""https://docs.google"&amp;".com/spreadsheets/d/1BJSV3WBYJGRhQ6zExamkszQ5VutGIcaQqmbD9ZTVXMQ/edit#gid=1251630045"",""articles_with_PRISMA_reasons!B2:B2113""))&gt;=2),
""Exclude""
)"),"Exclude")</f>
        <v>Exclude</v>
      </c>
      <c r="E1296" s="5" t="str">
        <f>IFERROR(__xludf.DUMMYFUNCTION("IFS(
D1296=""Exclude"",""Exclude"",
AND(
FILTER(IMPORTRANGE(""https://docs.google.com/spreadsheets/d/1qpEmbGH0JjaJbUdp21-y2cPbobDbMjr09BbtdKROZWc/edit#gid=1444865654"",""articles_with_PRISMA_reasons!W2:W2113""), $A1296=IMPORTRANGE(""https://docs.google.co"&amp;"m/spreadsheets/d/1qpEmbGH0JjaJbUdp21-y2cPbobDbMjr09BbtdKROZWc/edit#gid=1444865654"",""articles_with_PRISMA_reasons!B2:B2113""))&gt;=2,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$A1296=IMPORTRANGE(""https://docs.google.com/spreadsheets/d/1qpEmbGH0JjaJbUdp21-y2cPbobDbMjr09BbtdKROZWc/edit#gid=1444865654"",""articles_with_PRISMA_reasons!B2:B2113""))&lt;2),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$A1296=IMPORTRANGE(""https://docs.google.com/spreadsheets/d/1qpEmbGH0JjaJbUdp21-y2cPbobDbMjr09Bbtd"&amp;"KROZWc/edit#gid=1444865654"",""articles_with_PRISMA_reasons!B2:B2113""))&lt;2,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$A1296=I"&amp;"MPORTRANGE(""https://docs.google.com/spreadsheets/d/1qpEmbGH0JjaJbUdp21-y2cPbobDbMjr09BbtdKROZWc/edit#gid=1444865654"",""articles_with_PRISMA_reasons!B2:B2113""))&gt;=2),
""Exclude""
)"),"Exclude")</f>
        <v>Exclude</v>
      </c>
      <c r="F1296" s="5" t="str">
        <f>IFERROR(__xludf.DUMMYFUNCTION("IFS(
E1296=""Exclude"",""Exclude"",
AND(
COUNTIF(
IMPORTRANGE(""https://docs.google.com/spreadsheets/d/1kGrh75X1cNR1D7_FcY9zMnHP8iPO4M5RCRjy6nZY0TY/edit#gid=0"",""Table 1: Study characteristics!B4:B171""),A1296)&gt;0,
COUNTIF(Studies!$A$2:$A$85,FILTER(IMPORT"&amp;"RANGE(""https://docs.google.com/spreadsheets/d/1kGrh75X1cNR1D7_FcY9zMnHP8iPO4M5RCRjy6nZY0TY/edit#gid=0"",""Table 1: Study characteristics!A4:A171""), $A1296=IMPORTRANGE(""https://docs.google.com/spreadsheets/d/1kGrh75X1cNR1D7_FcY9zMnHP8iPO4M5RCRjy6nZY0TY/"&amp;"edit#gid=0"",""Table 1: Study characteristics!B4:B171"")))&gt;0
),
""Include""
)"),"Exclude")</f>
        <v>Exclude</v>
      </c>
      <c r="G1296" s="5" t="str">
        <f>IFERROR(__xludf.DUMMYFUNCTION("IFS(
D1296=""Exclude"",
FILTER(IMPORTRANGE(""https://docs.google.com/spreadsheets/d/1BJSV3WBYJGRhQ6zExamkszQ5VutGIcaQqmbD9ZTVXMQ/edit#gid=1251630045"",""articles_with_PRISMA_reasons!AB2:AB2113""), $A1296=IMPORTRANGE(""https://docs.google.com/spreadsheets/"&amp;"d/1BJSV3WBYJGRhQ6zExamkszQ5VutGIcaQqmbD9ZTVXMQ/edit#gid=1251630045"",""articles_with_PRISMA_reasons!B2:B2113"")),
E1296=""Exclude"",
FILTER(IMPORTRANGE(""https://docs.google.com/spreadsheets/d/1qpEmbGH0JjaJbUdp21-y2cPbobDbMjr09BbtdKROZWc/edit#gid=14448656"&amp;"54"",""articles_with_PRISMA_reasons!Z2:Z2113""), $A1296=IMPORTRANGE(""https://docs.google.com/spreadsheets/d/1qpEmbGH0JjaJbUdp21-y2cPbobDbMjr09BbtdKROZWc/edit#gid=1444865654"",""articles_with_PRISMA_reasons!B2:B2113"")),F1296
=""Include"",FILTER(IMPORTRAN"&amp;"GE(""https://docs.google.com/spreadsheets/d/1kGrh75X1cNR1D7_FcY9zMnHP8iPO4M5RCRjy6nZY0TY/edit#gid=0"",""Table 1: Study characteristics!A4:A171""), $A1296=IMPORTRANGE(""https://docs.google.com/spreadsheets/d/1kGrh75X1cNR1D7_FcY9zMnHP8iPO4M5RCRjy6nZY0TY/edi"&amp;"t#gid=0"",""Table 1: Study characteristics!B4:B171""))
)"),"wrong study design")</f>
        <v>wrong study design</v>
      </c>
    </row>
    <row r="1297">
      <c r="A1297" s="4" t="str">
        <f>IFERROR(__xludf.DUMMYFUNCTION("""COMPUTED_VALUE"""),"Neural tube defects: Recent advances, unsolved questions, and controversies")</f>
        <v>Neural tube defects: Recent advances, unsolved questions, and controversies</v>
      </c>
      <c r="B1297" s="5" t="str">
        <f>IFERROR(__xludf.DUMMYFUNCTION("LEFT(FILTER(IMPORTRANGE(""https://docs.google.com/spreadsheets/d/1BJSV3WBYJGRhQ6zExamkszQ5VutGIcaQqmbD9ZTVXMQ/edit#gid=1251630045"",""articles_with_PRISMA_reasons!K2:K2113""), $A1297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$A1297=IMPORTRANGE(""https://docs.google.com/spreadsheets/d/1BJSV3WBYJGRhQ6zExamkszQ5VutGIcaQqmbD9ZTVXMQ/edit#gid=1251630045"",""articles_with_PRISMA_reasons!B2:B2113"")))-1)"),"Copp")</f>
        <v>Copp</v>
      </c>
      <c r="C1297" s="6">
        <f>IFERROR(__xludf.DUMMYFUNCTION("FILTER(IMPORTRANGE(""https://docs.google.com/spreadsheets/d/1BJSV3WBYJGRhQ6zExamkszQ5VutGIcaQqmbD9ZTVXMQ/edit#gid=1251630045"",""articles_with_PRISMA_reasons!C2:C2113""), $A1297=IMPORTRANGE(""https://docs.google.com/spreadsheets/d/1BJSV3WBYJGRhQ6zExamkszQ"&amp;"5VutGIcaQqmbD9ZTVXMQ/edit#gid=1251630045"",""articles_with_PRISMA_reasons!B2:B2113""))"),2013.0)</f>
        <v>2013</v>
      </c>
      <c r="D1297" s="5" t="str">
        <f>IFERROR(__xludf.DUMMYFUNCTION("IFS(AND(
FILTER(IMPORTRANGE(""https://docs.google.com/spreadsheets/d/1BJSV3WBYJGRhQ6zExamkszQ5VutGIcaQqmbD9ZTVXMQ/edit#gid=1251630045"",""articles_with_PRISMA_reasons!Y2:Y2113""), $A1297=IMPORTRANGE(""https://docs.google.com/spreadsheets/d/1BJSV3WBYJGRhQ6"&amp;"zExamkszQ5VutGIcaQqmbD9ZTVXMQ/edit#gid=1251630045"",""articles_with_PRISMA_reasons!B2:B2113""))&gt;=2,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$A1297=IMPORTRANGE(""https://docs.google.com/spreadsheets/d/1BJSV3WBYJGRhQ6zExamkszQ5VutGIcaQqmbD9ZTVXMQ/edit#gid=1251630045"",""articles_with_PRISMA_reasons!B2:B2113""))&lt;2),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$A1297=IMPORTRANGE(""https://docs.google.com/spreadsheets/d/1BJSV3WBYJGRhQ6zExamkszQ5VutGIcaQqmbD9ZTVXMQ/edit#gid=1251630045"",""a"&amp;"rticles_with_PRISMA_reasons!B2:B2113""))&lt;2,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$A1297=IMPORTRANGE(""https://docs.google"&amp;".com/spreadsheets/d/1BJSV3WBYJGRhQ6zExamkszQ5VutGIcaQqmbD9ZTVXMQ/edit#gid=1251630045"",""articles_with_PRISMA_reasons!B2:B2113""))&gt;=2),
""Exclude""
)"),"Exclude")</f>
        <v>Exclude</v>
      </c>
      <c r="E1297" s="5" t="str">
        <f>IFERROR(__xludf.DUMMYFUNCTION("IFS(
D1297=""Exclude"",""Exclude"",
AND(
FILTER(IMPORTRANGE(""https://docs.google.com/spreadsheets/d/1qpEmbGH0JjaJbUdp21-y2cPbobDbMjr09BbtdKROZWc/edit#gid=1444865654"",""articles_with_PRISMA_reasons!W2:W2113""), $A1297=IMPORTRANGE(""https://docs.google.co"&amp;"m/spreadsheets/d/1qpEmbGH0JjaJbUdp21-y2cPbobDbMjr09BbtdKROZWc/edit#gid=1444865654"",""articles_with_PRISMA_reasons!B2:B2113""))&gt;=2,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$A1297=IMPORTRANGE(""https://docs.google.com/spreadsheets/d/1qpEmbGH0JjaJbUdp21-y2cPbobDbMjr09BbtdKROZWc/edit#gid=1444865654"",""articles_with_PRISMA_reasons!B2:B2113""))&lt;2),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$A1297=IMPORTRANGE(""https://docs.google.com/spreadsheets/d/1qpEmbGH0JjaJbUdp21-y2cPbobDbMjr09Bbtd"&amp;"KROZWc/edit#gid=1444865654"",""articles_with_PRISMA_reasons!B2:B2113""))&lt;2,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$A1297=I"&amp;"MPORTRANGE(""https://docs.google.com/spreadsheets/d/1qpEmbGH0JjaJbUdp21-y2cPbobDbMjr09BbtdKROZWc/edit#gid=1444865654"",""articles_with_PRISMA_reasons!B2:B2113""))&gt;=2),
""Exclude""
)"),"Exclude")</f>
        <v>Exclude</v>
      </c>
      <c r="F1297" s="5" t="str">
        <f>IFERROR(__xludf.DUMMYFUNCTION("IFS(
E1297=""Exclude"",""Exclude"",
AND(
COUNTIF(
IMPORTRANGE(""https://docs.google.com/spreadsheets/d/1kGrh75X1cNR1D7_FcY9zMnHP8iPO4M5RCRjy6nZY0TY/edit#gid=0"",""Table 1: Study characteristics!B4:B171""),A1297)&gt;0,
COUNTIF(Studies!$A$2:$A$85,FILTER(IMPORT"&amp;"RANGE(""https://docs.google.com/spreadsheets/d/1kGrh75X1cNR1D7_FcY9zMnHP8iPO4M5RCRjy6nZY0TY/edit#gid=0"",""Table 1: Study characteristics!A4:A171""), $A1297=IMPORTRANGE(""https://docs.google.com/spreadsheets/d/1kGrh75X1cNR1D7_FcY9zMnHP8iPO4M5RCRjy6nZY0TY/"&amp;"edit#gid=0"",""Table 1: Study characteristics!B4:B171"")))&gt;0
),
""Include""
)"),"Exclude")</f>
        <v>Exclude</v>
      </c>
      <c r="G1297" s="5" t="str">
        <f>IFERROR(__xludf.DUMMYFUNCTION("IFS(
D1297=""Exclude"",
FILTER(IMPORTRANGE(""https://docs.google.com/spreadsheets/d/1BJSV3WBYJGRhQ6zExamkszQ5VutGIcaQqmbD9ZTVXMQ/edit#gid=1251630045"",""articles_with_PRISMA_reasons!AB2:AB2113""), $A1297=IMPORTRANGE(""https://docs.google.com/spreadsheets/"&amp;"d/1BJSV3WBYJGRhQ6zExamkszQ5VutGIcaQqmbD9ZTVXMQ/edit#gid=1251630045"",""articles_with_PRISMA_reasons!B2:B2113"")),
E1297=""Exclude"",
FILTER(IMPORTRANGE(""https://docs.google.com/spreadsheets/d/1qpEmbGH0JjaJbUdp21-y2cPbobDbMjr09BbtdKROZWc/edit#gid=14448656"&amp;"54"",""articles_with_PRISMA_reasons!Z2:Z2113""), $A1297=IMPORTRANGE(""https://docs.google.com/spreadsheets/d/1qpEmbGH0JjaJbUdp21-y2cPbobDbMjr09BbtdKROZWc/edit#gid=1444865654"",""articles_with_PRISMA_reasons!B2:B2113"")),F1297
=""Include"",FILTER(IMPORTRAN"&amp;"GE(""https://docs.google.com/spreadsheets/d/1kGrh75X1cNR1D7_FcY9zMnHP8iPO4M5RCRjy6nZY0TY/edit#gid=0"",""Table 1: Study characteristics!A4:A171""), $A1297=IMPORTRANGE(""https://docs.google.com/spreadsheets/d/1kGrh75X1cNR1D7_FcY9zMnHP8iPO4M5RCRjy6nZY0TY/edi"&amp;"t#gid=0"",""Table 1: Study characteristics!B4:B171""))
)"),"background article")</f>
        <v>background article</v>
      </c>
    </row>
    <row r="1298">
      <c r="A1298" s="4" t="str">
        <f>IFERROR(__xludf.DUMMYFUNCTION("""COMPUTED_VALUE"""),"Neural tube defects. Experience in a hospital in Toluca, Mexico")</f>
        <v>Neural tube defects. Experience in a hospital in Toluca, Mexico</v>
      </c>
      <c r="B1298" s="5" t="str">
        <f>IFERROR(__xludf.DUMMYFUNCTION("LEFT(FILTER(IMPORTRANGE(""https://docs.google.com/spreadsheets/d/1BJSV3WBYJGRhQ6zExamkszQ5VutGIcaQqmbD9ZTVXMQ/edit#gid=1251630045"",""articles_with_PRISMA_reasons!K2:K2113""), $A1298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$A1298=IMPORTRANGE(""https://docs.google.com/spreadsheets/d/1BJSV3WBYJGRhQ6zExamkszQ5VutGIcaQqmbD9ZTVXMQ/edit#gid=1251630045"",""articles_with_PRISMA_reasons!B2:B2113"")))-1)"),"Trejo-Lucero")</f>
        <v>Trejo-Lucero</v>
      </c>
      <c r="C1298" s="6">
        <f>IFERROR(__xludf.DUMMYFUNCTION("FILTER(IMPORTRANGE(""https://docs.google.com/spreadsheets/d/1BJSV3WBYJGRhQ6zExamkszQ5VutGIcaQqmbD9ZTVXMQ/edit#gid=1251630045"",""articles_with_PRISMA_reasons!C2:C2113""), $A1298=IMPORTRANGE(""https://docs.google.com/spreadsheets/d/1BJSV3WBYJGRhQ6zExamkszQ"&amp;"5VutGIcaQqmbD9ZTVXMQ/edit#gid=1251630045"",""articles_with_PRISMA_reasons!B2:B2113""))"),2007.0)</f>
        <v>2007</v>
      </c>
      <c r="D1298" s="5" t="str">
        <f>IFERROR(__xludf.DUMMYFUNCTION("IFS(AND(
FILTER(IMPORTRANGE(""https://docs.google.com/spreadsheets/d/1BJSV3WBYJGRhQ6zExamkszQ5VutGIcaQqmbD9ZTVXMQ/edit#gid=1251630045"",""articles_with_PRISMA_reasons!Y2:Y2113""), $A1298=IMPORTRANGE(""https://docs.google.com/spreadsheets/d/1BJSV3WBYJGRhQ6"&amp;"zExamkszQ5VutGIcaQqmbD9ZTVXMQ/edit#gid=1251630045"",""articles_with_PRISMA_reasons!B2:B2113""))&gt;=2,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$A1298=IMPORTRANGE(""https://docs.google.com/spreadsheets/d/1BJSV3WBYJGRhQ6zExamkszQ5VutGIcaQqmbD9ZTVXMQ/edit#gid=1251630045"",""articles_with_PRISMA_reasons!B2:B2113""))&lt;2),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$A1298=IMPORTRANGE(""https://docs.google.com/spreadsheets/d/1BJSV3WBYJGRhQ6zExamkszQ5VutGIcaQqmbD9ZTVXMQ/edit#gid=1251630045"",""a"&amp;"rticles_with_PRISMA_reasons!B2:B2113""))&lt;2,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$A1298=IMPORTRANGE(""https://docs.google"&amp;".com/spreadsheets/d/1BJSV3WBYJGRhQ6zExamkszQ5VutGIcaQqmbD9ZTVXMQ/edit#gid=1251630045"",""articles_with_PRISMA_reasons!B2:B2113""))&gt;=2),
""Exclude""
)"),"Exclude")</f>
        <v>Exclude</v>
      </c>
      <c r="E1298" s="5" t="str">
        <f>IFERROR(__xludf.DUMMYFUNCTION("IFS(
D1298=""Exclude"",""Exclude"",
AND(
FILTER(IMPORTRANGE(""https://docs.google.com/spreadsheets/d/1qpEmbGH0JjaJbUdp21-y2cPbobDbMjr09BbtdKROZWc/edit#gid=1444865654"",""articles_with_PRISMA_reasons!W2:W2113""), $A1298=IMPORTRANGE(""https://docs.google.co"&amp;"m/spreadsheets/d/1qpEmbGH0JjaJbUdp21-y2cPbobDbMjr09BbtdKROZWc/edit#gid=1444865654"",""articles_with_PRISMA_reasons!B2:B2113""))&gt;=2,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$A1298=IMPORTRANGE(""https://docs.google.com/spreadsheets/d/1qpEmbGH0JjaJbUdp21-y2cPbobDbMjr09BbtdKROZWc/edit#gid=1444865654"",""articles_with_PRISMA_reasons!B2:B2113""))&lt;2),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$A1298=IMPORTRANGE(""https://docs.google.com/spreadsheets/d/1qpEmbGH0JjaJbUdp21-y2cPbobDbMjr09Bbtd"&amp;"KROZWc/edit#gid=1444865654"",""articles_with_PRISMA_reasons!B2:B2113""))&lt;2,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$A1298=I"&amp;"MPORTRANGE(""https://docs.google.com/spreadsheets/d/1qpEmbGH0JjaJbUdp21-y2cPbobDbMjr09BbtdKROZWc/edit#gid=1444865654"",""articles_with_PRISMA_reasons!B2:B2113""))&gt;=2),
""Exclude""
)"),"Exclude")</f>
        <v>Exclude</v>
      </c>
      <c r="F1298" s="5" t="str">
        <f>IFERROR(__xludf.DUMMYFUNCTION("IFS(
E1298=""Exclude"",""Exclude"",
AND(
COUNTIF(
IMPORTRANGE(""https://docs.google.com/spreadsheets/d/1kGrh75X1cNR1D7_FcY9zMnHP8iPO4M5RCRjy6nZY0TY/edit#gid=0"",""Table 1: Study characteristics!B4:B171""),A1298)&gt;0,
COUNTIF(Studies!$A$2:$A$85,FILTER(IMPORT"&amp;"RANGE(""https://docs.google.com/spreadsheets/d/1kGrh75X1cNR1D7_FcY9zMnHP8iPO4M5RCRjy6nZY0TY/edit#gid=0"",""Table 1: Study characteristics!A4:A171""), $A1298=IMPORTRANGE(""https://docs.google.com/spreadsheets/d/1kGrh75X1cNR1D7_FcY9zMnHP8iPO4M5RCRjy6nZY0TY/"&amp;"edit#gid=0"",""Table 1: Study characteristics!B4:B171"")))&gt;0
),
""Include""
)"),"Exclude")</f>
        <v>Exclude</v>
      </c>
      <c r="G1298" s="5" t="str">
        <f>IFERROR(__xludf.DUMMYFUNCTION("IFS(
D1298=""Exclude"",
FILTER(IMPORTRANGE(""https://docs.google.com/spreadsheets/d/1BJSV3WBYJGRhQ6zExamkszQ5VutGIcaQqmbD9ZTVXMQ/edit#gid=1251630045"",""articles_with_PRISMA_reasons!AB2:AB2113""), $A1298=IMPORTRANGE(""https://docs.google.com/spreadsheets/"&amp;"d/1BJSV3WBYJGRhQ6zExamkszQ5VutGIcaQqmbD9ZTVXMQ/edit#gid=1251630045"",""articles_with_PRISMA_reasons!B2:B2113"")),
E1298=""Exclude"",
FILTER(IMPORTRANGE(""https://docs.google.com/spreadsheets/d/1qpEmbGH0JjaJbUdp21-y2cPbobDbMjr09BbtdKROZWc/edit#gid=14448656"&amp;"54"",""articles_with_PRISMA_reasons!Z2:Z2113""), $A1298=IMPORTRANGE(""https://docs.google.com/spreadsheets/d/1qpEmbGH0JjaJbUdp21-y2cPbobDbMjr09BbtdKROZWc/edit#gid=1444865654"",""articles_with_PRISMA_reasons!B2:B2113"")),F1298
=""Include"",FILTER(IMPORTRAN"&amp;"GE(""https://docs.google.com/spreadsheets/d/1kGrh75X1cNR1D7_FcY9zMnHP8iPO4M5RCRjy6nZY0TY/edit#gid=0"",""Table 1: Study characteristics!A4:A171""), $A1298=IMPORTRANGE(""https://docs.google.com/spreadsheets/d/1kGrh75X1cNR1D7_FcY9zMnHP8iPO4M5RCRjy6nZY0TY/edi"&amp;"t#gid=0"",""Table 1: Study characteristics!B4:B171""))
)"),"wrong study design")</f>
        <v>wrong study design</v>
      </c>
    </row>
    <row r="1299">
      <c r="A1299" s="4" t="str">
        <f>IFERROR(__xludf.DUMMYFUNCTION("""COMPUTED_VALUE"""),"Neural tube dysraphism: meningomyelocele and related disorders")</f>
        <v>Neural tube dysraphism: meningomyelocele and related disorders</v>
      </c>
      <c r="B1299" s="5" t="str">
        <f>IFERROR(__xludf.DUMMYFUNCTION("LEFT(FILTER(IMPORTRANGE(""https://docs.google.com/spreadsheets/d/1BJSV3WBYJGRhQ6zExamkszQ5VutGIcaQqmbD9ZTVXMQ/edit#gid=1251630045"",""articles_with_PRISMA_reasons!K2:K2113""), $A1299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$A1299=IMPORTRANGE(""https://docs.google.com/spreadsheets/d/1BJSV3WBYJGRhQ6zExamkszQ5VutGIcaQqmbD9ZTVXMQ/edit#gid=1251630045"",""articles_with_PRISMA_reasons!B2:B2113"")))-1)"),"Heljic")</f>
        <v>Heljic</v>
      </c>
      <c r="C1299" s="6">
        <f>IFERROR(__xludf.DUMMYFUNCTION("FILTER(IMPORTRANGE(""https://docs.google.com/spreadsheets/d/1BJSV3WBYJGRhQ6zExamkszQ5VutGIcaQqmbD9ZTVXMQ/edit#gid=1251630045"",""articles_with_PRISMA_reasons!C2:C2113""), $A1299=IMPORTRANGE(""https://docs.google.com/spreadsheets/d/1BJSV3WBYJGRhQ6zExamkszQ"&amp;"5VutGIcaQqmbD9ZTVXMQ/edit#gid=1251630045"",""articles_with_PRISMA_reasons!B2:B2113""))"),2002.0)</f>
        <v>2002</v>
      </c>
      <c r="D1299" s="5" t="str">
        <f>IFERROR(__xludf.DUMMYFUNCTION("IFS(AND(
FILTER(IMPORTRANGE(""https://docs.google.com/spreadsheets/d/1BJSV3WBYJGRhQ6zExamkszQ5VutGIcaQqmbD9ZTVXMQ/edit#gid=1251630045"",""articles_with_PRISMA_reasons!Y2:Y2113""), $A1299=IMPORTRANGE(""https://docs.google.com/spreadsheets/d/1BJSV3WBYJGRhQ6"&amp;"zExamkszQ5VutGIcaQqmbD9ZTVXMQ/edit#gid=1251630045"",""articles_with_PRISMA_reasons!B2:B2113""))&gt;=2,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$A1299=IMPORTRANGE(""https://docs.google.com/spreadsheets/d/1BJSV3WBYJGRhQ6zExamkszQ5VutGIcaQqmbD9ZTVXMQ/edit#gid=1251630045"",""articles_with_PRISMA_reasons!B2:B2113""))&lt;2),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$A1299=IMPORTRANGE(""https://docs.google.com/spreadsheets/d/1BJSV3WBYJGRhQ6zExamkszQ5VutGIcaQqmbD9ZTVXMQ/edit#gid=1251630045"",""a"&amp;"rticles_with_PRISMA_reasons!B2:B2113""))&lt;2,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$A1299=IMPORTRANGE(""https://docs.google"&amp;".com/spreadsheets/d/1BJSV3WBYJGRhQ6zExamkszQ5VutGIcaQqmbD9ZTVXMQ/edit#gid=1251630045"",""articles_with_PRISMA_reasons!B2:B2113""))&gt;=2),
""Exclude""
)"),"Exclude")</f>
        <v>Exclude</v>
      </c>
      <c r="E1299" s="5" t="str">
        <f>IFERROR(__xludf.DUMMYFUNCTION("IFS(
D1299=""Exclude"",""Exclude"",
AND(
FILTER(IMPORTRANGE(""https://docs.google.com/spreadsheets/d/1qpEmbGH0JjaJbUdp21-y2cPbobDbMjr09BbtdKROZWc/edit#gid=1444865654"",""articles_with_PRISMA_reasons!W2:W2113""), $A1299=IMPORTRANGE(""https://docs.google.co"&amp;"m/spreadsheets/d/1qpEmbGH0JjaJbUdp21-y2cPbobDbMjr09BbtdKROZWc/edit#gid=1444865654"",""articles_with_PRISMA_reasons!B2:B2113""))&gt;=2,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$A1299=IMPORTRANGE(""https://docs.google.com/spreadsheets/d/1qpEmbGH0JjaJbUdp21-y2cPbobDbMjr09BbtdKROZWc/edit#gid=1444865654"",""articles_with_PRISMA_reasons!B2:B2113""))&lt;2),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$A1299=IMPORTRANGE(""https://docs.google.com/spreadsheets/d/1qpEmbGH0JjaJbUdp21-y2cPbobDbMjr09Bbtd"&amp;"KROZWc/edit#gid=1444865654"",""articles_with_PRISMA_reasons!B2:B2113""))&lt;2,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$A1299=I"&amp;"MPORTRANGE(""https://docs.google.com/spreadsheets/d/1qpEmbGH0JjaJbUdp21-y2cPbobDbMjr09BbtdKROZWc/edit#gid=1444865654"",""articles_with_PRISMA_reasons!B2:B2113""))&gt;=2),
""Exclude""
)"),"Exclude")</f>
        <v>Exclude</v>
      </c>
      <c r="F1299" s="5" t="str">
        <f>IFERROR(__xludf.DUMMYFUNCTION("IFS(
E1299=""Exclude"",""Exclude"",
AND(
COUNTIF(
IMPORTRANGE(""https://docs.google.com/spreadsheets/d/1kGrh75X1cNR1D7_FcY9zMnHP8iPO4M5RCRjy6nZY0TY/edit#gid=0"",""Table 1: Study characteristics!B4:B171""),A1299)&gt;0,
COUNTIF(Studies!$A$2:$A$85,FILTER(IMPORT"&amp;"RANGE(""https://docs.google.com/spreadsheets/d/1kGrh75X1cNR1D7_FcY9zMnHP8iPO4M5RCRjy6nZY0TY/edit#gid=0"",""Table 1: Study characteristics!A4:A171""), $A1299=IMPORTRANGE(""https://docs.google.com/spreadsheets/d/1kGrh75X1cNR1D7_FcY9zMnHP8iPO4M5RCRjy6nZY0TY/"&amp;"edit#gid=0"",""Table 1: Study characteristics!B4:B171"")))&gt;0
),
""Include""
)"),"Exclude")</f>
        <v>Exclude</v>
      </c>
      <c r="G1299" s="5" t="str">
        <f>IFERROR(__xludf.DUMMYFUNCTION("IFS(
D1299=""Exclude"",
FILTER(IMPORTRANGE(""https://docs.google.com/spreadsheets/d/1BJSV3WBYJGRhQ6zExamkszQ5VutGIcaQqmbD9ZTVXMQ/edit#gid=1251630045"",""articles_with_PRISMA_reasons!AB2:AB2113""), $A1299=IMPORTRANGE(""https://docs.google.com/spreadsheets/"&amp;"d/1BJSV3WBYJGRhQ6zExamkszQ5VutGIcaQqmbD9ZTVXMQ/edit#gid=1251630045"",""articles_with_PRISMA_reasons!B2:B2113"")),
E1299=""Exclude"",
FILTER(IMPORTRANGE(""https://docs.google.com/spreadsheets/d/1qpEmbGH0JjaJbUdp21-y2cPbobDbMjr09BbtdKROZWc/edit#gid=14448656"&amp;"54"",""articles_with_PRISMA_reasons!Z2:Z2113""), $A1299=IMPORTRANGE(""https://docs.google.com/spreadsheets/d/1qpEmbGH0JjaJbUdp21-y2cPbobDbMjr09BbtdKROZWc/edit#gid=1444865654"",""articles_with_PRISMA_reasons!B2:B2113"")),F1299
=""Include"",FILTER(IMPORTRAN"&amp;"GE(""https://docs.google.com/spreadsheets/d/1kGrh75X1cNR1D7_FcY9zMnHP8iPO4M5RCRjy6nZY0TY/edit#gid=0"",""Table 1: Study characteristics!A4:A171""), $A1299=IMPORTRANGE(""https://docs.google.com/spreadsheets/d/1kGrh75X1cNR1D7_FcY9zMnHP8iPO4M5RCRjy6nZY0TY/edi"&amp;"t#gid=0"",""Table 1: Study characteristics!B4:B171""))
)"),"background article")</f>
        <v>background article</v>
      </c>
    </row>
    <row r="1300">
      <c r="A1300" s="4" t="str">
        <f>IFERROR(__xludf.DUMMYFUNCTION("""COMPUTED_VALUE"""),"Neuraxial dysraphism in EPAS1- A ssociated syndrome due to improper mesenchymal transition")</f>
        <v>Neuraxial dysraphism in EPAS1- A ssociated syndrome due to improper mesenchymal transition</v>
      </c>
      <c r="B1300" s="5" t="str">
        <f>IFERROR(__xludf.DUMMYFUNCTION("LEFT(FILTER(IMPORTRANGE(""https://docs.google.com/spreadsheets/d/1BJSV3WBYJGRhQ6zExamkszQ5VutGIcaQqmbD9ZTVXMQ/edit#gid=1251630045"",""articles_with_PRISMA_reasons!K2:K2113""), $A1300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$A1300=IMPORTRANGE(""https://docs.google.com/spreadsheets/d/1BJSV3WBYJGRhQ6zExamkszQ5VutGIcaQqmbD9ZTVXMQ/edit#gid=1251630045"",""articles_with_PRISMA_reasons!B2:B2113"")))-1)"),"Rosenblum")</f>
        <v>Rosenblum</v>
      </c>
      <c r="C1300" s="6">
        <f>IFERROR(__xludf.DUMMYFUNCTION("FILTER(IMPORTRANGE(""https://docs.google.com/spreadsheets/d/1BJSV3WBYJGRhQ6zExamkszQ5VutGIcaQqmbD9ZTVXMQ/edit#gid=1251630045"",""articles_with_PRISMA_reasons!C2:C2113""), $A1300=IMPORTRANGE(""https://docs.google.com/spreadsheets/d/1BJSV3WBYJGRhQ6zExamkszQ"&amp;"5VutGIcaQqmbD9ZTVXMQ/edit#gid=1251630045"",""articles_with_PRISMA_reasons!B2:B2113""))"),2020.0)</f>
        <v>2020</v>
      </c>
      <c r="D1300" s="5" t="str">
        <f>IFERROR(__xludf.DUMMYFUNCTION("IFS(AND(
FILTER(IMPORTRANGE(""https://docs.google.com/spreadsheets/d/1BJSV3WBYJGRhQ6zExamkszQ5VutGIcaQqmbD9ZTVXMQ/edit#gid=1251630045"",""articles_with_PRISMA_reasons!Y2:Y2113""), $A1300=IMPORTRANGE(""https://docs.google.com/spreadsheets/d/1BJSV3WBYJGRhQ6"&amp;"zExamkszQ5VutGIcaQqmbD9ZTVXMQ/edit#gid=1251630045"",""articles_with_PRISMA_reasons!B2:B2113""))&gt;=2,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$A1300=IMPORTRANGE(""https://docs.google"&amp;".com/spreadsheets/d/1BJSV3WBYJGRhQ6zExamkszQ5VutGIcaQqmbD9ZTVXMQ/edit#gid=1251630045"",""articles_with_PRISMA_reasons!B2:B2113""))&gt;=2),
""Exclude""
)"),"Exclude")</f>
        <v>Exclude</v>
      </c>
      <c r="E1300" s="5" t="str">
        <f>IFERROR(__xludf.DUMMYFUNCTION("IFS(
D1300=""Exclude"",""Exclude"",
AND(
FILTER(IMPORTRANGE(""https://docs.google.com/spreadsheets/d/1qpEmbGH0JjaJbUdp21-y2cPbobDbMjr09BbtdKROZWc/edit#gid=1444865654"",""articles_with_PRISMA_reasons!W2:W2113""), $A1300=IMPORTRANGE(""https://docs.google.co"&amp;"m/spreadsheets/d/1qpEmbGH0JjaJbUdp21-y2cPbobDbMjr09BbtdKROZWc/edit#gid=1444865654"",""articles_with_PRISMA_reasons!B2:B2113""))&gt;=2,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$A1300=IMPORTRANGE(""https://docs.google.com/spreadsheets/d/1qpEmbGH0JjaJbUdp21-y2cPbobDbMjr09BbtdKROZWc/edit#gid=1444865654"",""articles_with_PRISMA_reasons!B2:B2113""))&lt;2),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$A1300=IMPORTRANGE(""https://docs.google.com/spreadsheets/d/1qpEmbGH0JjaJbUdp21-y2cPbobDbMjr09Bbtd"&amp;"KROZWc/edit#gid=1444865654"",""articles_with_PRISMA_reasons!B2:B2113""))&lt;2,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$A1300=I"&amp;"MPORTRANGE(""https://docs.google.com/spreadsheets/d/1qpEmbGH0JjaJbUdp21-y2cPbobDbMjr09BbtdKROZWc/edit#gid=1444865654"",""articles_with_PRISMA_reasons!B2:B2113""))&gt;=2),
""Exclude""
)"),"Exclude")</f>
        <v>Exclude</v>
      </c>
      <c r="F1300" s="5" t="str">
        <f>IFERROR(__xludf.DUMMYFUNCTION("IFS(
E1300=""Exclude"",""Exclude"",
AND(
COUNTIF(
IMPORTRANGE(""https://docs.google.com/spreadsheets/d/1kGrh75X1cNR1D7_FcY9zMnHP8iPO4M5RCRjy6nZY0TY/edit#gid=0"",""Table 1: Study characteristics!B4:B171""),A1300)&gt;0,
COUNTIF(Studies!$A$2:$A$85,FILTER(IMPORT"&amp;"RANGE(""https://docs.google.com/spreadsheets/d/1kGrh75X1cNR1D7_FcY9zMnHP8iPO4M5RCRjy6nZY0TY/edit#gid=0"",""Table 1: Study characteristics!A4:A171""), $A1300=IMPORTRANGE(""https://docs.google.com/spreadsheets/d/1kGrh75X1cNR1D7_FcY9zMnHP8iPO4M5RCRjy6nZY0TY/"&amp;"edit#gid=0"",""Table 1: Study characteristics!B4:B171"")))&gt;0
),
""Include""
)"),"Exclude")</f>
        <v>Exclude</v>
      </c>
      <c r="G1300" s="5" t="str">
        <f>IFERROR(__xludf.DUMMYFUNCTION("IFS(
D1300=""Exclude"",
FILTER(IMPORTRANGE(""https://docs.google.com/spreadsheets/d/1BJSV3WBYJGRhQ6zExamkszQ5VutGIcaQqmbD9ZTVXMQ/edit#gid=1251630045"",""articles_with_PRISMA_reasons!AB2:AB2113""), $A1300=IMPORTRANGE(""https://docs.google.com/spreadsheets/"&amp;"d/1BJSV3WBYJGRhQ6zExamkszQ5VutGIcaQqmbD9ZTVXMQ/edit#gid=1251630045"",""articles_with_PRISMA_reasons!B2:B2113"")),
E1300=""Exclude"",
FILTER(IMPORTRANGE(""https://docs.google.com/spreadsheets/d/1qpEmbGH0JjaJbUdp21-y2cPbobDbMjr09BbtdKROZWc/edit#gid=14448656"&amp;"54"",""articles_with_PRISMA_reasons!Z2:Z2113""), $A1300=IMPORTRANGE(""https://docs.google.com/spreadsheets/d/1qpEmbGH0JjaJbUdp21-y2cPbobDbMjr09BbtdKROZWc/edit#gid=1444865654"",""articles_with_PRISMA_reasons!B2:B2113"")),F1300
=""Include"",FILTER(IMPORTRAN"&amp;"GE(""https://docs.google.com/spreadsheets/d/1kGrh75X1cNR1D7_FcY9zMnHP8iPO4M5RCRjy6nZY0TY/edit#gid=0"",""Table 1: Study characteristics!A4:A171""), $A1300=IMPORTRANGE(""https://docs.google.com/spreadsheets/d/1kGrh75X1cNR1D7_FcY9zMnHP8iPO4M5RCRjy6nZY0TY/edi"&amp;"t#gid=0"",""Table 1: Study characteristics!B4:B171""))
)"),"wrong study design")</f>
        <v>wrong study design</v>
      </c>
    </row>
    <row r="1301">
      <c r="A1301" s="4" t="str">
        <f>IFERROR(__xludf.DUMMYFUNCTION("""COMPUTED_VALUE"""),"Neuro-ophthalmological findings in relation to CNS lesions in patients with myelomeningocele")</f>
        <v>Neuro-ophthalmological findings in relation to CNS lesions in patients with myelomeningocele</v>
      </c>
      <c r="B1301" s="5" t="str">
        <f>IFERROR(__xludf.DUMMYFUNCTION("LEFT(FILTER(IMPORTRANGE(""https://docs.google.com/spreadsheets/d/1BJSV3WBYJGRhQ6zExamkszQ5VutGIcaQqmbD9ZTVXMQ/edit#gid=1251630045"",""articles_with_PRISMA_reasons!K2:K2113""), $A1301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$A1301=IMPORTRANGE(""https://docs.google.com/spreadsheets/d/1BJSV3WBYJGRhQ6zExamkszQ5VutGIcaQqmbD9ZTVXMQ/edit#gid=1251630045"",""articles_with_PRISMA_reasons!B2:B2113"")))-1)"),"Lennerstr and ")</f>
        <v>Lennerstr and </v>
      </c>
      <c r="C1301" s="6" t="str">
        <f>IFERROR(__xludf.DUMMYFUNCTION("FILTER(IMPORTRANGE(""https://docs.google.com/spreadsheets/d/1BJSV3WBYJGRhQ6zExamkszQ5VutGIcaQqmbD9ZTVXMQ/edit#gid=1251630045"",""articles_with_PRISMA_reasons!C2:C2113""), $A1301=IMPORTRANGE(""https://docs.google.com/spreadsheets/d/1BJSV3WBYJGRhQ6zExamkszQ"&amp;"5VutGIcaQqmbD9ZTVXMQ/edit#gid=1251630045"",""articles_with_PRISMA_reasons!B2:B2113""))"),"May")</f>
        <v>May</v>
      </c>
      <c r="D1301" s="5" t="str">
        <f>IFERROR(__xludf.DUMMYFUNCTION("IFS(AND(
FILTER(IMPORTRANGE(""https://docs.google.com/spreadsheets/d/1BJSV3WBYJGRhQ6zExamkszQ5VutGIcaQqmbD9ZTVXMQ/edit#gid=1251630045"",""articles_with_PRISMA_reasons!Y2:Y2113""), $A1301=IMPORTRANGE(""https://docs.google.com/spreadsheets/d/1BJSV3WBYJGRhQ6"&amp;"zExamkszQ5VutGIcaQqmbD9ZTVXMQ/edit#gid=1251630045"",""articles_with_PRISMA_reasons!B2:B2113""))&gt;=2,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$A1301=IMPORTRANGE(""https://docs.google"&amp;".com/spreadsheets/d/1BJSV3WBYJGRhQ6zExamkszQ5VutGIcaQqmbD9ZTVXMQ/edit#gid=1251630045"",""articles_with_PRISMA_reasons!B2:B2113""))&gt;=2),
""Exclude""
)"),"Exclude")</f>
        <v>Exclude</v>
      </c>
      <c r="E1301" s="5" t="str">
        <f>IFERROR(__xludf.DUMMYFUNCTION("IFS(
D1301=""Exclude"",""Exclude"",
AND(
FILTER(IMPORTRANGE(""https://docs.google.com/spreadsheets/d/1qpEmbGH0JjaJbUdp21-y2cPbobDbMjr09BbtdKROZWc/edit#gid=1444865654"",""articles_with_PRISMA_reasons!W2:W2113""), $A1301=IMPORTRANGE(""https://docs.google.co"&amp;"m/spreadsheets/d/1qpEmbGH0JjaJbUdp21-y2cPbobDbMjr09BbtdKROZWc/edit#gid=1444865654"",""articles_with_PRISMA_reasons!B2:B2113""))&gt;=2,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$A1301=IMPORTRANGE(""https://docs.google.com/spreadsheets/d/1qpEmbGH0JjaJbUdp21-y2cPbobDbMjr09BbtdKROZWc/edit#gid=1444865654"",""articles_with_PRISMA_reasons!B2:B2113""))&lt;2),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$A1301=IMPORTRANGE(""https://docs.google.com/spreadsheets/d/1qpEmbGH0JjaJbUdp21-y2cPbobDbMjr09Bbtd"&amp;"KROZWc/edit#gid=1444865654"",""articles_with_PRISMA_reasons!B2:B2113""))&lt;2,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$A1301=I"&amp;"MPORTRANGE(""https://docs.google.com/spreadsheets/d/1qpEmbGH0JjaJbUdp21-y2cPbobDbMjr09BbtdKROZWc/edit#gid=1444865654"",""articles_with_PRISMA_reasons!B2:B2113""))&gt;=2),
""Exclude""
)"),"Exclude")</f>
        <v>Exclude</v>
      </c>
      <c r="F1301" s="5" t="str">
        <f>IFERROR(__xludf.DUMMYFUNCTION("IFS(
E1301=""Exclude"",""Exclude"",
AND(
COUNTIF(
IMPORTRANGE(""https://docs.google.com/spreadsheets/d/1kGrh75X1cNR1D7_FcY9zMnHP8iPO4M5RCRjy6nZY0TY/edit#gid=0"",""Table 1: Study characteristics!B4:B171""),A1301)&gt;0,
COUNTIF(Studies!$A$2:$A$85,FILTER(IMPORT"&amp;"RANGE(""https://docs.google.com/spreadsheets/d/1kGrh75X1cNR1D7_FcY9zMnHP8iPO4M5RCRjy6nZY0TY/edit#gid=0"",""Table 1: Study characteristics!A4:A171""), $A1301=IMPORTRANGE(""https://docs.google.com/spreadsheets/d/1kGrh75X1cNR1D7_FcY9zMnHP8iPO4M5RCRjy6nZY0TY/"&amp;"edit#gid=0"",""Table 1: Study characteristics!B4:B171"")))&gt;0
),
""Include""
)"),"Exclude")</f>
        <v>Exclude</v>
      </c>
      <c r="G1301" s="5" t="str">
        <f>IFERROR(__xludf.DUMMYFUNCTION("IFS(
D1301=""Exclude"",
FILTER(IMPORTRANGE(""https://docs.google.com/spreadsheets/d/1BJSV3WBYJGRhQ6zExamkszQ5VutGIcaQqmbD9ZTVXMQ/edit#gid=1251630045"",""articles_with_PRISMA_reasons!AB2:AB2113""), $A1301=IMPORTRANGE(""https://docs.google.com/spreadsheets/"&amp;"d/1BJSV3WBYJGRhQ6zExamkszQ5VutGIcaQqmbD9ZTVXMQ/edit#gid=1251630045"",""articles_with_PRISMA_reasons!B2:B2113"")),
E1301=""Exclude"",
FILTER(IMPORTRANGE(""https://docs.google.com/spreadsheets/d/1qpEmbGH0JjaJbUdp21-y2cPbobDbMjr09BbtdKROZWc/edit#gid=14448656"&amp;"54"",""articles_with_PRISMA_reasons!Z2:Z2113""), $A1301=IMPORTRANGE(""https://docs.google.com/spreadsheets/d/1qpEmbGH0JjaJbUdp21-y2cPbobDbMjr09BbtdKROZWc/edit#gid=1444865654"",""articles_with_PRISMA_reasons!B2:B2113"")),F1301
=""Include"",FILTER(IMPORTRAN"&amp;"GE(""https://docs.google.com/spreadsheets/d/1kGrh75X1cNR1D7_FcY9zMnHP8iPO4M5RCRjy6nZY0TY/edit#gid=0"",""Table 1: Study characteristics!A4:A171""), $A1301=IMPORTRANGE(""https://docs.google.com/spreadsheets/d/1kGrh75X1cNR1D7_FcY9zMnHP8iPO4M5RCRjy6nZY0TY/edi"&amp;"t#gid=0"",""Table 1: Study characteristics!B4:B171""))
)"),"wrong population")</f>
        <v>wrong population</v>
      </c>
    </row>
    <row r="1302">
      <c r="A1302" s="4" t="str">
        <f>IFERROR(__xludf.DUMMYFUNCTION("""COMPUTED_VALUE"""),"Neuroanatomic examination of spina bifida aperta and the Arnold-Chiari malformation in a 130-day human fetus")</f>
        <v>Neuroanatomic examination of spina bifida aperta and the Arnold-Chiari malformation in a 130-day human fetus</v>
      </c>
      <c r="B1302" s="5" t="str">
        <f>IFERROR(__xludf.DUMMYFUNCTION("LEFT(FILTER(IMPORTRANGE(""https://docs.google.com/spreadsheets/d/1BJSV3WBYJGRhQ6zExamkszQ5VutGIcaQqmbD9ZTVXMQ/edit#gid=1251630045"",""articles_with_PRISMA_reasons!K2:K2113""), $A1302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$A1302=IMPORTRANGE(""https://docs.google.com/spreadsheets/d/1BJSV3WBYJGRhQ6zExamkszQ5VutGIcaQqmbD9ZTVXMQ/edit#gid=1251630045"",""articles_with_PRISMA_reasons!B2:B2113"")))-1)"),"Jennings")</f>
        <v>Jennings</v>
      </c>
      <c r="C1302" s="6">
        <f>IFERROR(__xludf.DUMMYFUNCTION("FILTER(IMPORTRANGE(""https://docs.google.com/spreadsheets/d/1BJSV3WBYJGRhQ6zExamkszQ5VutGIcaQqmbD9ZTVXMQ/edit#gid=1251630045"",""articles_with_PRISMA_reasons!C2:C2113""), $A1302=IMPORTRANGE(""https://docs.google.com/spreadsheets/d/1BJSV3WBYJGRhQ6zExamkszQ"&amp;"5VutGIcaQqmbD9ZTVXMQ/edit#gid=1251630045"",""articles_with_PRISMA_reasons!B2:B2113""))"),1982.0)</f>
        <v>1982</v>
      </c>
      <c r="D1302" s="5" t="str">
        <f>IFERROR(__xludf.DUMMYFUNCTION("IFS(AND(
FILTER(IMPORTRANGE(""https://docs.google.com/spreadsheets/d/1BJSV3WBYJGRhQ6zExamkszQ5VutGIcaQqmbD9ZTVXMQ/edit#gid=1251630045"",""articles_with_PRISMA_reasons!Y2:Y2113""), $A1302=IMPORTRANGE(""https://docs.google.com/spreadsheets/d/1BJSV3WBYJGRhQ6"&amp;"zExamkszQ5VutGIcaQqmbD9ZTVXMQ/edit#gid=1251630045"",""articles_with_PRISMA_reasons!B2:B2113""))&gt;=2,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$A1302=IMPORTRANGE(""https://docs.google.com/spreadsheets/d/1BJSV3WBYJGRhQ6zExamkszQ5VutGIcaQqmbD9ZTVXMQ/edit#gid=1251630045"",""articles_with_PRISMA_reasons!B2:B2113""))&lt;2),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$A1302=IMPORTRANGE(""https://docs.google.com/spreadsheets/d/1BJSV3WBYJGRhQ6zExamkszQ5VutGIcaQqmbD9ZTVXMQ/edit#gid=1251630045"",""a"&amp;"rticles_with_PRISMA_reasons!B2:B2113""))&lt;2,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$A1302=IMPORTRANGE(""https://docs.google"&amp;".com/spreadsheets/d/1BJSV3WBYJGRhQ6zExamkszQ5VutGIcaQqmbD9ZTVXMQ/edit#gid=1251630045"",""articles_with_PRISMA_reasons!B2:B2113""))&gt;=2),
""Exclude""
)"),"Exclude")</f>
        <v>Exclude</v>
      </c>
      <c r="E1302" s="5" t="str">
        <f>IFERROR(__xludf.DUMMYFUNCTION("IFS(
D1302=""Exclude"",""Exclude"",
AND(
FILTER(IMPORTRANGE(""https://docs.google.com/spreadsheets/d/1qpEmbGH0JjaJbUdp21-y2cPbobDbMjr09BbtdKROZWc/edit#gid=1444865654"",""articles_with_PRISMA_reasons!W2:W2113""), $A1302=IMPORTRANGE(""https://docs.google.co"&amp;"m/spreadsheets/d/1qpEmbGH0JjaJbUdp21-y2cPbobDbMjr09BbtdKROZWc/edit#gid=1444865654"",""articles_with_PRISMA_reasons!B2:B2113""))&gt;=2,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$A1302=I"&amp;"MPORTRANGE(""https://docs.google.com/spreadsheets/d/1qpEmbGH0JjaJbUdp21-y2cPbobDbMjr09BbtdKROZWc/edit#gid=1444865654"",""articles_with_PRISMA_reasons!B2:B2113""))&gt;=2),
""Exclude""
)"),"Exclude")</f>
        <v>Exclude</v>
      </c>
      <c r="F1302" s="5" t="str">
        <f>IFERROR(__xludf.DUMMYFUNCTION("IFS(
E1302=""Exclude"",""Exclude"",
AND(
COUNTIF(
IMPORTRANGE(""https://docs.google.com/spreadsheets/d/1kGrh75X1cNR1D7_FcY9zMnHP8iPO4M5RCRjy6nZY0TY/edit#gid=0"",""Table 1: Study characteristics!B4:B171""),A1302)&gt;0,
COUNTIF(Studies!$A$2:$A$85,FILTER(IMPORT"&amp;"RANGE(""https://docs.google.com/spreadsheets/d/1kGrh75X1cNR1D7_FcY9zMnHP8iPO4M5RCRjy6nZY0TY/edit#gid=0"",""Table 1: Study characteristics!A4:A171""), $A1302=IMPORTRANGE(""https://docs.google.com/spreadsheets/d/1kGrh75X1cNR1D7_FcY9zMnHP8iPO4M5RCRjy6nZY0TY/"&amp;"edit#gid=0"",""Table 1: Study characteristics!B4:B171"")))&gt;0
),
""Include""
)"),"Exclude")</f>
        <v>Exclude</v>
      </c>
      <c r="G1302" s="5" t="str">
        <f>IFERROR(__xludf.DUMMYFUNCTION("IFS(
D1302=""Exclude"",
FILTER(IMPORTRANGE(""https://docs.google.com/spreadsheets/d/1BJSV3WBYJGRhQ6zExamkszQ5VutGIcaQqmbD9ZTVXMQ/edit#gid=1251630045"",""articles_with_PRISMA_reasons!AB2:AB2113""), $A1302=IMPORTRANGE(""https://docs.google.com/spreadsheets/"&amp;"d/1BJSV3WBYJGRhQ6zExamkszQ5VutGIcaQqmbD9ZTVXMQ/edit#gid=1251630045"",""articles_with_PRISMA_reasons!B2:B2113"")),
E1302=""Exclude"",
FILTER(IMPORTRANGE(""https://docs.google.com/spreadsheets/d/1qpEmbGH0JjaJbUdp21-y2cPbobDbMjr09BbtdKROZWc/edit#gid=14448656"&amp;"54"",""articles_with_PRISMA_reasons!Z2:Z2113""), $A1302=IMPORTRANGE(""https://docs.google.com/spreadsheets/d/1qpEmbGH0JjaJbUdp21-y2cPbobDbMjr09BbtdKROZWc/edit#gid=1444865654"",""articles_with_PRISMA_reasons!B2:B2113"")),F1302
=""Include"",FILTER(IMPORTRAN"&amp;"GE(""https://docs.google.com/spreadsheets/d/1kGrh75X1cNR1D7_FcY9zMnHP8iPO4M5RCRjy6nZY0TY/edit#gid=0"",""Table 1: Study characteristics!A4:A171""), $A1302=IMPORTRANGE(""https://docs.google.com/spreadsheets/d/1kGrh75X1cNR1D7_FcY9zMnHP8iPO4M5RCRjy6nZY0TY/edi"&amp;"t#gid=0"",""Table 1: Study characteristics!B4:B171""))
)"),"background article")</f>
        <v>background article</v>
      </c>
    </row>
    <row r="1303">
      <c r="A1303" s="4" t="str">
        <f>IFERROR(__xludf.DUMMYFUNCTION("""COMPUTED_VALUE"""),"Neuroanesthesiology update")</f>
        <v>Neuroanesthesiology update</v>
      </c>
      <c r="B1303" s="5" t="str">
        <f>IFERROR(__xludf.DUMMYFUNCTION("LEFT(FILTER(IMPORTRANGE(""https://docs.google.com/spreadsheets/d/1BJSV3WBYJGRhQ6zExamkszQ5VutGIcaQqmbD9ZTVXMQ/edit#gid=1251630045"",""articles_with_PRISMA_reasons!K2:K2113""), $A1303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$A1303=IMPORTRANGE(""https://docs.google.com/spreadsheets/d/1BJSV3WBYJGRhQ6zExamkszQ5VutGIcaQqmbD9ZTVXMQ/edit#gid=1251630045"",""articles_with_PRISMA_reasons!B2:B2113"")))-1)"),"Pasternak")</f>
        <v>Pasternak</v>
      </c>
      <c r="C1303" s="6">
        <f>IFERROR(__xludf.DUMMYFUNCTION("FILTER(IMPORTRANGE(""https://docs.google.com/spreadsheets/d/1BJSV3WBYJGRhQ6zExamkszQ5VutGIcaQqmbD9ZTVXMQ/edit#gid=1251630045"",""articles_with_PRISMA_reasons!C2:C2113""), $A1303=IMPORTRANGE(""https://docs.google.com/spreadsheets/d/1BJSV3WBYJGRhQ6zExamkszQ"&amp;"5VutGIcaQqmbD9ZTVXMQ/edit#gid=1251630045"",""articles_with_PRISMA_reasons!B2:B2113""))"),2012.0)</f>
        <v>2012</v>
      </c>
      <c r="D1303" s="5" t="str">
        <f>IFERROR(__xludf.DUMMYFUNCTION("IFS(AND(
FILTER(IMPORTRANGE(""https://docs.google.com/spreadsheets/d/1BJSV3WBYJGRhQ6zExamkszQ5VutGIcaQqmbD9ZTVXMQ/edit#gid=1251630045"",""articles_with_PRISMA_reasons!Y2:Y2113""), $A1303=IMPORTRANGE(""https://docs.google.com/spreadsheets/d/1BJSV3WBYJGRhQ6"&amp;"zExamkszQ5VutGIcaQqmbD9ZTVXMQ/edit#gid=1251630045"",""articles_with_PRISMA_reasons!B2:B2113""))&gt;=2,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$A1303=IMPORTRANGE(""https://docs.google"&amp;".com/spreadsheets/d/1BJSV3WBYJGRhQ6zExamkszQ5VutGIcaQqmbD9ZTVXMQ/edit#gid=1251630045"",""articles_with_PRISMA_reasons!B2:B2113""))&gt;=2),
""Exclude""
)"),"Exclude")</f>
        <v>Exclude</v>
      </c>
      <c r="E1303" s="5" t="str">
        <f>IFERROR(__xludf.DUMMYFUNCTION("IFS(
D1303=""Exclude"",""Exclude"",
AND(
FILTER(IMPORTRANGE(""https://docs.google.com/spreadsheets/d/1qpEmbGH0JjaJbUdp21-y2cPbobDbMjr09BbtdKROZWc/edit#gid=1444865654"",""articles_with_PRISMA_reasons!W2:W2113""), $A1303=IMPORTRANGE(""https://docs.google.co"&amp;"m/spreadsheets/d/1qpEmbGH0JjaJbUdp21-y2cPbobDbMjr09BbtdKROZWc/edit#gid=1444865654"",""articles_with_PRISMA_reasons!B2:B2113""))&gt;=2,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$A1303=I"&amp;"MPORTRANGE(""https://docs.google.com/spreadsheets/d/1qpEmbGH0JjaJbUdp21-y2cPbobDbMjr09BbtdKROZWc/edit#gid=1444865654"",""articles_with_PRISMA_reasons!B2:B2113""))&gt;=2),
""Exclude""
)"),"Exclude")</f>
        <v>Exclude</v>
      </c>
      <c r="F1303" s="5" t="str">
        <f>IFERROR(__xludf.DUMMYFUNCTION("IFS(
E1303=""Exclude"",""Exclude"",
AND(
COUNTIF(
IMPORTRANGE(""https://docs.google.com/spreadsheets/d/1kGrh75X1cNR1D7_FcY9zMnHP8iPO4M5RCRjy6nZY0TY/edit#gid=0"",""Table 1: Study characteristics!B4:B171""),A1303)&gt;0,
COUNTIF(Studies!$A$2:$A$85,FILTER(IMPORT"&amp;"RANGE(""https://docs.google.com/spreadsheets/d/1kGrh75X1cNR1D7_FcY9zMnHP8iPO4M5RCRjy6nZY0TY/edit#gid=0"",""Table 1: Study characteristics!A4:A171""), $A1303=IMPORTRANGE(""https://docs.google.com/spreadsheets/d/1kGrh75X1cNR1D7_FcY9zMnHP8iPO4M5RCRjy6nZY0TY/"&amp;"edit#gid=0"",""Table 1: Study characteristics!B4:B171"")))&gt;0
),
""Include""
)"),"Exclude")</f>
        <v>Exclude</v>
      </c>
      <c r="G1303" s="5" t="str">
        <f>IFERROR(__xludf.DUMMYFUNCTION("IFS(
D1303=""Exclude"",
FILTER(IMPORTRANGE(""https://docs.google.com/spreadsheets/d/1BJSV3WBYJGRhQ6zExamkszQ5VutGIcaQqmbD9ZTVXMQ/edit#gid=1251630045"",""articles_with_PRISMA_reasons!AB2:AB2113""), $A1303=IMPORTRANGE(""https://docs.google.com/spreadsheets/"&amp;"d/1BJSV3WBYJGRhQ6zExamkszQ5VutGIcaQqmbD9ZTVXMQ/edit#gid=1251630045"",""articles_with_PRISMA_reasons!B2:B2113"")),
E1303=""Exclude"",
FILTER(IMPORTRANGE(""https://docs.google.com/spreadsheets/d/1qpEmbGH0JjaJbUdp21-y2cPbobDbMjr09BbtdKROZWc/edit#gid=14448656"&amp;"54"",""articles_with_PRISMA_reasons!Z2:Z2113""), $A1303=IMPORTRANGE(""https://docs.google.com/spreadsheets/d/1qpEmbGH0JjaJbUdp21-y2cPbobDbMjr09BbtdKROZWc/edit#gid=1444865654"",""articles_with_PRISMA_reasons!B2:B2113"")),F1303
=""Include"",FILTER(IMPORTRAN"&amp;"GE(""https://docs.google.com/spreadsheets/d/1kGrh75X1cNR1D7_FcY9zMnHP8iPO4M5RCRjy6nZY0TY/edit#gid=0"",""Table 1: Study characteristics!A4:A171""), $A1303=IMPORTRANGE(""https://docs.google.com/spreadsheets/d/1kGrh75X1cNR1D7_FcY9zMnHP8iPO4M5RCRjy6nZY0TY/edi"&amp;"t#gid=0"",""Table 1: Study characteristics!B4:B171""))
)"),"wrong study design")</f>
        <v>wrong study design</v>
      </c>
    </row>
    <row r="1304">
      <c r="A1304" s="4" t="str">
        <f>IFERROR(__xludf.DUMMYFUNCTION("""COMPUTED_VALUE"""),"Neurobehavioral outcomes in patients with myelomeningocele")</f>
        <v>Neurobehavioral outcomes in patients with myelomeningocele</v>
      </c>
      <c r="B1304" s="5" t="str">
        <f>IFERROR(__xludf.DUMMYFUNCTION("LEFT(FILTER(IMPORTRANGE(""https://docs.google.com/spreadsheets/d/1BJSV3WBYJGRhQ6zExamkszQ5VutGIcaQqmbD9ZTVXMQ/edit#gid=1251630045"",""articles_with_PRISMA_reasons!K2:K2113""), $A1304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$A1304=IMPORTRANGE(""https://docs.google.com/spreadsheets/d/1BJSV3WBYJGRhQ6zExamkszQ5VutGIcaQqmbD9ZTVXMQ/edit#gid=1251630045"",""articles_with_PRISMA_reasons!B2:B2113"")))-1)"),"Foss")</f>
        <v>Foss</v>
      </c>
      <c r="C1304" s="6">
        <f>IFERROR(__xludf.DUMMYFUNCTION("FILTER(IMPORTRANGE(""https://docs.google.com/spreadsheets/d/1BJSV3WBYJGRhQ6zExamkszQ5VutGIcaQqmbD9ZTVXMQ/edit#gid=1251630045"",""articles_with_PRISMA_reasons!C2:C2113""), $A1304=IMPORTRANGE(""https://docs.google.com/spreadsheets/d/1BJSV3WBYJGRhQ6zExamkszQ"&amp;"5VutGIcaQqmbD9ZTVXMQ/edit#gid=1251630045"",""articles_with_PRISMA_reasons!B2:B2113""))"),2019.0)</f>
        <v>2019</v>
      </c>
      <c r="D1304" s="5" t="str">
        <f>IFERROR(__xludf.DUMMYFUNCTION("IFS(AND(
FILTER(IMPORTRANGE(""https://docs.google.com/spreadsheets/d/1BJSV3WBYJGRhQ6zExamkszQ5VutGIcaQqmbD9ZTVXMQ/edit#gid=1251630045"",""articles_with_PRISMA_reasons!Y2:Y2113""), $A1304=IMPORTRANGE(""https://docs.google.com/spreadsheets/d/1BJSV3WBYJGRhQ6"&amp;"zExamkszQ5VutGIcaQqmbD9ZTVXMQ/edit#gid=1251630045"",""articles_with_PRISMA_reasons!B2:B2113""))&gt;=2,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$A1304=IMPORTRANGE(""https://docs.google"&amp;".com/spreadsheets/d/1BJSV3WBYJGRhQ6zExamkszQ5VutGIcaQqmbD9ZTVXMQ/edit#gid=1251630045"",""articles_with_PRISMA_reasons!B2:B2113""))&gt;=2),
""Exclude""
)"),"Exclude")</f>
        <v>Exclude</v>
      </c>
      <c r="E1304" s="5" t="str">
        <f>IFERROR(__xludf.DUMMYFUNCTION("IFS(
D1304=""Exclude"",""Exclude"",
AND(
FILTER(IMPORTRANGE(""https://docs.google.com/spreadsheets/d/1qpEmbGH0JjaJbUdp21-y2cPbobDbMjr09BbtdKROZWc/edit#gid=1444865654"",""articles_with_PRISMA_reasons!W2:W2113""), $A1304=IMPORTRANGE(""https://docs.google.co"&amp;"m/spreadsheets/d/1qpEmbGH0JjaJbUdp21-y2cPbobDbMjr09BbtdKROZWc/edit#gid=1444865654"",""articles_with_PRISMA_reasons!B2:B2113""))&gt;=2,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$A1304=I"&amp;"MPORTRANGE(""https://docs.google.com/spreadsheets/d/1qpEmbGH0JjaJbUdp21-y2cPbobDbMjr09BbtdKROZWc/edit#gid=1444865654"",""articles_with_PRISMA_reasons!B2:B2113""))&gt;=2),
""Exclude""
)"),"Exclude")</f>
        <v>Exclude</v>
      </c>
      <c r="F1304" s="5" t="str">
        <f>IFERROR(__xludf.DUMMYFUNCTION("IFS(
E1304=""Exclude"",""Exclude"",
AND(
COUNTIF(
IMPORTRANGE(""https://docs.google.com/spreadsheets/d/1kGrh75X1cNR1D7_FcY9zMnHP8iPO4M5RCRjy6nZY0TY/edit#gid=0"",""Table 1: Study characteristics!B4:B171""),A1304)&gt;0,
COUNTIF(Studies!$A$2:$A$85,FILTER(IMPORT"&amp;"RANGE(""https://docs.google.com/spreadsheets/d/1kGrh75X1cNR1D7_FcY9zMnHP8iPO4M5RCRjy6nZY0TY/edit#gid=0"",""Table 1: Study characteristics!A4:A171""), $A1304=IMPORTRANGE(""https://docs.google.com/spreadsheets/d/1kGrh75X1cNR1D7_FcY9zMnHP8iPO4M5RCRjy6nZY0TY/"&amp;"edit#gid=0"",""Table 1: Study characteristics!B4:B171"")))&gt;0
),
""Include""
)"),"Exclude")</f>
        <v>Exclude</v>
      </c>
      <c r="G1304" s="5" t="str">
        <f>IFERROR(__xludf.DUMMYFUNCTION("IFS(
D1304=""Exclude"",
FILTER(IMPORTRANGE(""https://docs.google.com/spreadsheets/d/1BJSV3WBYJGRhQ6zExamkszQ5VutGIcaQqmbD9ZTVXMQ/edit#gid=1251630045"",""articles_with_PRISMA_reasons!AB2:AB2113""), $A1304=IMPORTRANGE(""https://docs.google.com/spreadsheets/"&amp;"d/1BJSV3WBYJGRhQ6zExamkszQ5VutGIcaQqmbD9ZTVXMQ/edit#gid=1251630045"",""articles_with_PRISMA_reasons!B2:B2113"")),
E1304=""Exclude"",
FILTER(IMPORTRANGE(""https://docs.google.com/spreadsheets/d/1qpEmbGH0JjaJbUdp21-y2cPbobDbMjr09BbtdKROZWc/edit#gid=14448656"&amp;"54"",""articles_with_PRISMA_reasons!Z2:Z2113""), $A1304=IMPORTRANGE(""https://docs.google.com/spreadsheets/d/1qpEmbGH0JjaJbUdp21-y2cPbobDbMjr09BbtdKROZWc/edit#gid=1444865654"",""articles_with_PRISMA_reasons!B2:B2113"")),F1304
=""Include"",FILTER(IMPORTRAN"&amp;"GE(""https://docs.google.com/spreadsheets/d/1kGrh75X1cNR1D7_FcY9zMnHP8iPO4M5RCRjy6nZY0TY/edit#gid=0"",""Table 1: Study characteristics!A4:A171""), $A1304=IMPORTRANGE(""https://docs.google.com/spreadsheets/d/1kGrh75X1cNR1D7_FcY9zMnHP8iPO4M5RCRjy6nZY0TY/edi"&amp;"t#gid=0"",""Table 1: Study characteristics!B4:B171""))
)"),"wrong population")</f>
        <v>wrong population</v>
      </c>
    </row>
    <row r="1305">
      <c r="A1305" s="4" t="str">
        <f>IFERROR(__xludf.DUMMYFUNCTION("""COMPUTED_VALUE"""),"Neurobiology of perceptual and motor timing in children with spina bifida in relation to cerebellar volume")</f>
        <v>Neurobiology of perceptual and motor timing in children with spina bifida in relation to cerebellar volume</v>
      </c>
      <c r="B1305" s="5" t="str">
        <f>IFERROR(__xludf.DUMMYFUNCTION("LEFT(FILTER(IMPORTRANGE(""https://docs.google.com/spreadsheets/d/1BJSV3WBYJGRhQ6zExamkszQ5VutGIcaQqmbD9ZTVXMQ/edit#gid=1251630045"",""articles_with_PRISMA_reasons!K2:K2113""), $A1305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$A1305=IMPORTRANGE(""https://docs.google.com/spreadsheets/d/1BJSV3WBYJGRhQ6zExamkszQ5VutGIcaQqmbD9ZTVXMQ/edit#gid=1251630045"",""articles_with_PRISMA_reasons!B2:B2113"")))-1)"),"Edelstein")</f>
        <v>Edelstein</v>
      </c>
      <c r="C1305" s="6">
        <f>IFERROR(__xludf.DUMMYFUNCTION("FILTER(IMPORTRANGE(""https://docs.google.com/spreadsheets/d/1BJSV3WBYJGRhQ6zExamkszQ5VutGIcaQqmbD9ZTVXMQ/edit#gid=1251630045"",""articles_with_PRISMA_reasons!C2:C2113""), $A1305=IMPORTRANGE(""https://docs.google.com/spreadsheets/d/1BJSV3WBYJGRhQ6zExamkszQ"&amp;"5VutGIcaQqmbD9ZTVXMQ/edit#gid=1251630045"",""articles_with_PRISMA_reasons!B2:B2113""))"),2004.0)</f>
        <v>2004</v>
      </c>
      <c r="D1305" s="5" t="str">
        <f>IFERROR(__xludf.DUMMYFUNCTION("IFS(AND(
FILTER(IMPORTRANGE(""https://docs.google.com/spreadsheets/d/1BJSV3WBYJGRhQ6zExamkszQ5VutGIcaQqmbD9ZTVXMQ/edit#gid=1251630045"",""articles_with_PRISMA_reasons!Y2:Y2113""), $A1305=IMPORTRANGE(""https://docs.google.com/spreadsheets/d/1BJSV3WBYJGRhQ6"&amp;"zExamkszQ5VutGIcaQqmbD9ZTVXMQ/edit#gid=1251630045"",""articles_with_PRISMA_reasons!B2:B2113""))&gt;=2,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$A1305=IMPORTRANGE(""https://docs.google"&amp;".com/spreadsheets/d/1BJSV3WBYJGRhQ6zExamkszQ5VutGIcaQqmbD9ZTVXMQ/edit#gid=1251630045"",""articles_with_PRISMA_reasons!B2:B2113""))&gt;=2),
""Exclude""
)"),"Exclude")</f>
        <v>Exclude</v>
      </c>
      <c r="E1305" s="5" t="str">
        <f>IFERROR(__xludf.DUMMYFUNCTION("IFS(
D1305=""Exclude"",""Exclude"",
AND(
FILTER(IMPORTRANGE(""https://docs.google.com/spreadsheets/d/1qpEmbGH0JjaJbUdp21-y2cPbobDbMjr09BbtdKROZWc/edit#gid=1444865654"",""articles_with_PRISMA_reasons!W2:W2113""), $A1305=IMPORTRANGE(""https://docs.google.co"&amp;"m/spreadsheets/d/1qpEmbGH0JjaJbUdp21-y2cPbobDbMjr09BbtdKROZWc/edit#gid=1444865654"",""articles_with_PRISMA_reasons!B2:B2113""))&gt;=2,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$A1305=I"&amp;"MPORTRANGE(""https://docs.google.com/spreadsheets/d/1qpEmbGH0JjaJbUdp21-y2cPbobDbMjr09BbtdKROZWc/edit#gid=1444865654"",""articles_with_PRISMA_reasons!B2:B2113""))&gt;=2),
""Exclude""
)"),"Exclude")</f>
        <v>Exclude</v>
      </c>
      <c r="F1305" s="5" t="str">
        <f>IFERROR(__xludf.DUMMYFUNCTION("IFS(
E1305=""Exclude"",""Exclude"",
AND(
COUNTIF(
IMPORTRANGE(""https://docs.google.com/spreadsheets/d/1kGrh75X1cNR1D7_FcY9zMnHP8iPO4M5RCRjy6nZY0TY/edit#gid=0"",""Table 1: Study characteristics!B4:B171""),A1305)&gt;0,
COUNTIF(Studies!$A$2:$A$85,FILTER(IMPORT"&amp;"RANGE(""https://docs.google.com/spreadsheets/d/1kGrh75X1cNR1D7_FcY9zMnHP8iPO4M5RCRjy6nZY0TY/edit#gid=0"",""Table 1: Study characteristics!A4:A171""), $A1305=IMPORTRANGE(""https://docs.google.com/spreadsheets/d/1kGrh75X1cNR1D7_FcY9zMnHP8iPO4M5RCRjy6nZY0TY/"&amp;"edit#gid=0"",""Table 1: Study characteristics!B4:B171"")))&gt;0
),
""Include""
)"),"Exclude")</f>
        <v>Exclude</v>
      </c>
      <c r="G1305" s="5" t="str">
        <f>IFERROR(__xludf.DUMMYFUNCTION("IFS(
D1305=""Exclude"",
FILTER(IMPORTRANGE(""https://docs.google.com/spreadsheets/d/1BJSV3WBYJGRhQ6zExamkszQ5VutGIcaQqmbD9ZTVXMQ/edit#gid=1251630045"",""articles_with_PRISMA_reasons!AB2:AB2113""), $A1305=IMPORTRANGE(""https://docs.google.com/spreadsheets/"&amp;"d/1BJSV3WBYJGRhQ6zExamkszQ5VutGIcaQqmbD9ZTVXMQ/edit#gid=1251630045"",""articles_with_PRISMA_reasons!B2:B2113"")),
E1305=""Exclude"",
FILTER(IMPORTRANGE(""https://docs.google.com/spreadsheets/d/1qpEmbGH0JjaJbUdp21-y2cPbobDbMjr09BbtdKROZWc/edit#gid=14448656"&amp;"54"",""articles_with_PRISMA_reasons!Z2:Z2113""), $A1305=IMPORTRANGE(""https://docs.google.com/spreadsheets/d/1qpEmbGH0JjaJbUdp21-y2cPbobDbMjr09BbtdKROZWc/edit#gid=1444865654"",""articles_with_PRISMA_reasons!B2:B2113"")),F1305
=""Include"",FILTER(IMPORTRAN"&amp;"GE(""https://docs.google.com/spreadsheets/d/1kGrh75X1cNR1D7_FcY9zMnHP8iPO4M5RCRjy6nZY0TY/edit#gid=0"",""Table 1: Study characteristics!A4:A171""), $A1305=IMPORTRANGE(""https://docs.google.com/spreadsheets/d/1kGrh75X1cNR1D7_FcY9zMnHP8iPO4M5RCRjy6nZY0TY/edi"&amp;"t#gid=0"",""Table 1: Study characteristics!B4:B171""))
)"),"wrong study design")</f>
        <v>wrong study design</v>
      </c>
    </row>
    <row r="1306">
      <c r="A1306" s="4" t="str">
        <f>IFERROR(__xludf.DUMMYFUNCTION("""COMPUTED_VALUE"""),"Neurocognitive outcome and ventricular volume in children with myelomeningocele treated for hydrocephalus in Uganda")</f>
        <v>Neurocognitive outcome and ventricular volume in children with myelomeningocele treated for hydrocephalus in Uganda</v>
      </c>
      <c r="B1306" s="5" t="str">
        <f>IFERROR(__xludf.DUMMYFUNCTION("LEFT(FILTER(IMPORTRANGE(""https://docs.google.com/spreadsheets/d/1BJSV3WBYJGRhQ6zExamkszQ5VutGIcaQqmbD9ZTVXMQ/edit#gid=1251630045"",""articles_with_PRISMA_reasons!K2:K2113""), $A1306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$A1306=IMPORTRANGE(""https://docs.google.com/spreadsheets/d/1BJSV3WBYJGRhQ6zExamkszQ5VutGIcaQqmbD9ZTVXMQ/edit#gid=1251630045"",""articles_with_PRISMA_reasons!B2:B2113"")))-1)"),"Warf")</f>
        <v>Warf</v>
      </c>
      <c r="C1306" s="6">
        <f>IFERROR(__xludf.DUMMYFUNCTION("FILTER(IMPORTRANGE(""https://docs.google.com/spreadsheets/d/1BJSV3WBYJGRhQ6zExamkszQ5VutGIcaQqmbD9ZTVXMQ/edit#gid=1251630045"",""articles_with_PRISMA_reasons!C2:C2113""), $A1306=IMPORTRANGE(""https://docs.google.com/spreadsheets/d/1BJSV3WBYJGRhQ6zExamkszQ"&amp;"5VutGIcaQqmbD9ZTVXMQ/edit#gid=1251630045"",""articles_with_PRISMA_reasons!B2:B2113""))"),2009.0)</f>
        <v>2009</v>
      </c>
      <c r="D1306" s="5" t="str">
        <f>IFERROR(__xludf.DUMMYFUNCTION("IFS(AND(
FILTER(IMPORTRANGE(""https://docs.google.com/spreadsheets/d/1BJSV3WBYJGRhQ6zExamkszQ5VutGIcaQqmbD9ZTVXMQ/edit#gid=1251630045"",""articles_with_PRISMA_reasons!Y2:Y2113""), $A1306=IMPORTRANGE(""https://docs.google.com/spreadsheets/d/1BJSV3WBYJGRhQ6"&amp;"zExamkszQ5VutGIcaQqmbD9ZTVXMQ/edit#gid=1251630045"",""articles_with_PRISMA_reasons!B2:B2113""))&gt;=2,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$A1306=IMPORTRANGE(""https://docs.google"&amp;".com/spreadsheets/d/1BJSV3WBYJGRhQ6zExamkszQ5VutGIcaQqmbD9ZTVXMQ/edit#gid=1251630045"",""articles_with_PRISMA_reasons!B2:B2113""))&gt;=2),
""Exclude""
)"),"Include")</f>
        <v>Include</v>
      </c>
      <c r="E1306" s="5" t="str">
        <f>IFERROR(__xludf.DUMMYFUNCTION("IFS(
D1306=""Exclude"",""Exclude"",
AND(
FILTER(IMPORTRANGE(""https://docs.google.com/spreadsheets/d/1qpEmbGH0JjaJbUdp21-y2cPbobDbMjr09BbtdKROZWc/edit#gid=1444865654"",""articles_with_PRISMA_reasons!W2:W2113""), $A1306=IMPORTRANGE(""https://docs.google.co"&amp;"m/spreadsheets/d/1qpEmbGH0JjaJbUdp21-y2cPbobDbMjr09BbtdKROZWc/edit#gid=1444865654"",""articles_with_PRISMA_reasons!B2:B2113""))&gt;=2,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$A1306=I"&amp;"MPORTRANGE(""https://docs.google.com/spreadsheets/d/1qpEmbGH0JjaJbUdp21-y2cPbobDbMjr09BbtdKROZWc/edit#gid=1444865654"",""articles_with_PRISMA_reasons!B2:B2113""))&gt;=2),
""Exclude""
)"),"Include")</f>
        <v>Include</v>
      </c>
      <c r="F1306" s="2" t="s">
        <v>8</v>
      </c>
      <c r="G1306" s="2" t="s">
        <v>17</v>
      </c>
    </row>
    <row r="1307">
      <c r="A1307" s="4" t="str">
        <f>IFERROR(__xludf.DUMMYFUNCTION("""COMPUTED_VALUE"""),"Neuroendoscopia: Utilidad en el manejo de la hidrocefalia en niños de países en vías de desarrollo")</f>
        <v>Neuroendoscopia: Utilidad en el manejo de la hidrocefalia en niños de países en vías de desarrollo</v>
      </c>
      <c r="B1307" s="5" t="str">
        <f>IFERROR(__xludf.DUMMYFUNCTION("LEFT(FILTER(IMPORTRANGE(""https://docs.google.com/spreadsheets/d/1BJSV3WBYJGRhQ6zExamkszQ5VutGIcaQqmbD9ZTVXMQ/edit#gid=1251630045"",""articles_with_PRISMA_reasons!K2:K2113""), $A1307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$A1307=IMPORTRANGE(""https://docs.google.com/spreadsheets/d/1BJSV3WBYJGRhQ6zExamkszQ5VutGIcaQqmbD9ZTVXMQ/edit#gid=1251630045"",""articles_with_PRISMA_reasons!B2:B2113"")))-1)"),"Jiménez-León")</f>
        <v>Jiménez-León</v>
      </c>
      <c r="C1307" s="6">
        <f>IFERROR(__xludf.DUMMYFUNCTION("FILTER(IMPORTRANGE(""https://docs.google.com/spreadsheets/d/1BJSV3WBYJGRhQ6zExamkszQ5VutGIcaQqmbD9ZTVXMQ/edit#gid=1251630045"",""articles_with_PRISMA_reasons!C2:C2113""), $A1307=IMPORTRANGE(""https://docs.google.com/spreadsheets/d/1BJSV3WBYJGRhQ6zExamkszQ"&amp;"5VutGIcaQqmbD9ZTVXMQ/edit#gid=1251630045"",""articles_with_PRISMA_reasons!B2:B2113""))"),2007.0)</f>
        <v>2007</v>
      </c>
      <c r="D1307" s="5" t="str">
        <f>IFERROR(__xludf.DUMMYFUNCTION("IFS(AND(
FILTER(IMPORTRANGE(""https://docs.google.com/spreadsheets/d/1BJSV3WBYJGRhQ6zExamkszQ5VutGIcaQqmbD9ZTVXMQ/edit#gid=1251630045"",""articles_with_PRISMA_reasons!Y2:Y2113""), $A1307=IMPORTRANGE(""https://docs.google.com/spreadsheets/d/1BJSV3WBYJGRhQ6"&amp;"zExamkszQ5VutGIcaQqmbD9ZTVXMQ/edit#gid=1251630045"",""articles_with_PRISMA_reasons!B2:B2113""))&gt;=2,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$A1307=IMPORTRANGE(""https://docs.google"&amp;".com/spreadsheets/d/1BJSV3WBYJGRhQ6zExamkszQ5VutGIcaQqmbD9ZTVXMQ/edit#gid=1251630045"",""articles_with_PRISMA_reasons!B2:B2113""))&gt;=2),
""Exclude""
)"),"Include")</f>
        <v>Include</v>
      </c>
      <c r="E1307" s="5" t="str">
        <f>IFERROR(__xludf.DUMMYFUNCTION("IFS(
D1307=""Exclude"",""Exclude"",
AND(
FILTER(IMPORTRANGE(""https://docs.google.com/spreadsheets/d/1qpEmbGH0JjaJbUdp21-y2cPbobDbMjr09BbtdKROZWc/edit#gid=1444865654"",""articles_with_PRISMA_reasons!W2:W2113""), $A1307=IMPORTRANGE(""https://docs.google.co"&amp;"m/spreadsheets/d/1qpEmbGH0JjaJbUdp21-y2cPbobDbMjr09BbtdKROZWc/edit#gid=1444865654"",""articles_with_PRISMA_reasons!B2:B2113""))&gt;=2,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$A1307=I"&amp;"MPORTRANGE(""https://docs.google.com/spreadsheets/d/1qpEmbGH0JjaJbUdp21-y2cPbobDbMjr09BbtdKROZWc/edit#gid=1444865654"",""articles_with_PRISMA_reasons!B2:B2113""))&gt;=2),
""Exclude""
)"),"Include")</f>
        <v>Include</v>
      </c>
      <c r="F1307" s="2" t="s">
        <v>8</v>
      </c>
      <c r="G1307" s="2" t="s">
        <v>16</v>
      </c>
    </row>
    <row r="1308">
      <c r="A1308" s="4" t="str">
        <f>IFERROR(__xludf.DUMMYFUNCTION("""COMPUTED_VALUE"""),"Neuroendoscopic assessment of choroid plexus coagulation to release ventricular catheter: Note on the Seldinger technique")</f>
        <v>Neuroendoscopic assessment of choroid plexus coagulation to release ventricular catheter: Note on the Seldinger technique</v>
      </c>
      <c r="B1308" s="5" t="str">
        <f>IFERROR(__xludf.DUMMYFUNCTION("LEFT(FILTER(IMPORTRANGE(""https://docs.google.com/spreadsheets/d/1BJSV3WBYJGRhQ6zExamkszQ5VutGIcaQqmbD9ZTVXMQ/edit#gid=1251630045"",""articles_with_PRISMA_reasons!K2:K2113""), $A1308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$A1308=IMPORTRANGE(""https://docs.google.com/spreadsheets/d/1BJSV3WBYJGRhQ6zExamkszQ5VutGIcaQqmbD9ZTVXMQ/edit#gid=1251630045"",""articles_with_PRISMA_reasons!B2:B2113"")))-1)"),"Leme")</f>
        <v>Leme</v>
      </c>
      <c r="C1308" s="6">
        <f>IFERROR(__xludf.DUMMYFUNCTION("FILTER(IMPORTRANGE(""https://docs.google.com/spreadsheets/d/1BJSV3WBYJGRhQ6zExamkszQ5VutGIcaQqmbD9ZTVXMQ/edit#gid=1251630045"",""articles_with_PRISMA_reasons!C2:C2113""), $A1308=IMPORTRANGE(""https://docs.google.com/spreadsheets/d/1BJSV3WBYJGRhQ6zExamkszQ"&amp;"5VutGIcaQqmbD9ZTVXMQ/edit#gid=1251630045"",""articles_with_PRISMA_reasons!B2:B2113""))"),2013.0)</f>
        <v>2013</v>
      </c>
      <c r="D1308" s="5" t="str">
        <f>IFERROR(__xludf.DUMMYFUNCTION("IFS(AND(
FILTER(IMPORTRANGE(""https://docs.google.com/spreadsheets/d/1BJSV3WBYJGRhQ6zExamkszQ5VutGIcaQqmbD9ZTVXMQ/edit#gid=1251630045"",""articles_with_PRISMA_reasons!Y2:Y2113""), $A1308=IMPORTRANGE(""https://docs.google.com/spreadsheets/d/1BJSV3WBYJGRhQ6"&amp;"zExamkszQ5VutGIcaQqmbD9ZTVXMQ/edit#gid=1251630045"",""articles_with_PRISMA_reasons!B2:B2113""))&gt;=2,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$A1308=IMPORTRANGE(""https://docs.google"&amp;".com/spreadsheets/d/1BJSV3WBYJGRhQ6zExamkszQ5VutGIcaQqmbD9ZTVXMQ/edit#gid=1251630045"",""articles_with_PRISMA_reasons!B2:B2113""))&gt;=2),
""Exclude""
)"),"Exclude")</f>
        <v>Exclude</v>
      </c>
      <c r="E1308" s="5" t="str">
        <f>IFERROR(__xludf.DUMMYFUNCTION("IFS(
D1308=""Exclude"",""Exclude"",
AND(
FILTER(IMPORTRANGE(""https://docs.google.com/spreadsheets/d/1qpEmbGH0JjaJbUdp21-y2cPbobDbMjr09BbtdKROZWc/edit#gid=1444865654"",""articles_with_PRISMA_reasons!W2:W2113""), $A1308=IMPORTRANGE(""https://docs.google.co"&amp;"m/spreadsheets/d/1qpEmbGH0JjaJbUdp21-y2cPbobDbMjr09BbtdKROZWc/edit#gid=1444865654"",""articles_with_PRISMA_reasons!B2:B2113""))&gt;=2,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$A1308=I"&amp;"MPORTRANGE(""https://docs.google.com/spreadsheets/d/1qpEmbGH0JjaJbUdp21-y2cPbobDbMjr09BbtdKROZWc/edit#gid=1444865654"",""articles_with_PRISMA_reasons!B2:B2113""))&gt;=2),
""Exclude""
)"),"Exclude")</f>
        <v>Exclude</v>
      </c>
      <c r="F1308" s="5" t="str">
        <f>IFERROR(__xludf.DUMMYFUNCTION("IFS(
E1308=""Exclude"",""Exclude"",
AND(
COUNTIF(
IMPORTRANGE(""https://docs.google.com/spreadsheets/d/1kGrh75X1cNR1D7_FcY9zMnHP8iPO4M5RCRjy6nZY0TY/edit#gid=0"",""Table 1: Study characteristics!B4:B171""),A1308)&gt;0,
COUNTIF(Studies!$A$2:$A$85,FILTER(IMPORT"&amp;"RANGE(""https://docs.google.com/spreadsheets/d/1kGrh75X1cNR1D7_FcY9zMnHP8iPO4M5RCRjy6nZY0TY/edit#gid=0"",""Table 1: Study characteristics!A4:A171""), $A1308=IMPORTRANGE(""https://docs.google.com/spreadsheets/d/1kGrh75X1cNR1D7_FcY9zMnHP8iPO4M5RCRjy6nZY0TY/"&amp;"edit#gid=0"",""Table 1: Study characteristics!B4:B171"")))&gt;0
),
""Include""
)"),"Exclude")</f>
        <v>Exclude</v>
      </c>
      <c r="G1308" s="5" t="str">
        <f>IFERROR(__xludf.DUMMYFUNCTION("IFS(
D1308=""Exclude"",
FILTER(IMPORTRANGE(""https://docs.google.com/spreadsheets/d/1BJSV3WBYJGRhQ6zExamkszQ5VutGIcaQqmbD9ZTVXMQ/edit#gid=1251630045"",""articles_with_PRISMA_reasons!AB2:AB2113""), $A1308=IMPORTRANGE(""https://docs.google.com/spreadsheets/"&amp;"d/1BJSV3WBYJGRhQ6zExamkszQ5VutGIcaQqmbD9ZTVXMQ/edit#gid=1251630045"",""articles_with_PRISMA_reasons!B2:B2113"")),
E1308=""Exclude"",
FILTER(IMPORTRANGE(""https://docs.google.com/spreadsheets/d/1qpEmbGH0JjaJbUdp21-y2cPbobDbMjr09BbtdKROZWc/edit#gid=14448656"&amp;"54"",""articles_with_PRISMA_reasons!Z2:Z2113""), $A1308=IMPORTRANGE(""https://docs.google.com/spreadsheets/d/1qpEmbGH0JjaJbUdp21-y2cPbobDbMjr09BbtdKROZWc/edit#gid=1444865654"",""articles_with_PRISMA_reasons!B2:B2113"")),F1308
=""Include"",FILTER(IMPORTRAN"&amp;"GE(""https://docs.google.com/spreadsheets/d/1kGrh75X1cNR1D7_FcY9zMnHP8iPO4M5RCRjy6nZY0TY/edit#gid=0"",""Table 1: Study characteristics!A4:A171""), $A1308=IMPORTRANGE(""https://docs.google.com/spreadsheets/d/1kGrh75X1cNR1D7_FcY9zMnHP8iPO4M5RCRjy6nZY0TY/edi"&amp;"t#gid=0"",""Table 1: Study characteristics!B4:B171""))
)"),"wrong population")</f>
        <v>wrong population</v>
      </c>
    </row>
    <row r="1309">
      <c r="A1309" s="4" t="str">
        <f>IFERROR(__xludf.DUMMYFUNCTION("""COMPUTED_VALUE"""),"Neuroepithelial cyst of the posterior fossa: Two case reports with radiologic-pathologic correlation")</f>
        <v>Neuroepithelial cyst of the posterior fossa: Two case reports with radiologic-pathologic correlation</v>
      </c>
      <c r="B1309" s="5" t="str">
        <f>IFERROR(__xludf.DUMMYFUNCTION("LEFT(FILTER(IMPORTRANGE(""https://docs.google.com/spreadsheets/d/1BJSV3WBYJGRhQ6zExamkszQ5VutGIcaQqmbD9ZTVXMQ/edit#gid=1251630045"",""articles_with_PRISMA_reasons!K2:K2113""), $A1309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$A1309=IMPORTRANGE(""https://docs.google.com/spreadsheets/d/1BJSV3WBYJGRhQ6zExamkszQ5VutGIcaQqmbD9ZTVXMQ/edit#gid=1251630045"",""articles_with_PRISMA_reasons!B2:B2113"")))-1)"),"Maguire")</f>
        <v>Maguire</v>
      </c>
      <c r="C1309" s="6">
        <f>IFERROR(__xludf.DUMMYFUNCTION("FILTER(IMPORTRANGE(""https://docs.google.com/spreadsheets/d/1BJSV3WBYJGRhQ6zExamkszQ5VutGIcaQqmbD9ZTVXMQ/edit#gid=1251630045"",""articles_with_PRISMA_reasons!C2:C2113""), $A1309=IMPORTRANGE(""https://docs.google.com/spreadsheets/d/1BJSV3WBYJGRhQ6zExamkszQ"&amp;"5VutGIcaQqmbD9ZTVXMQ/edit#gid=1251630045"",""articles_with_PRISMA_reasons!B2:B2113""))"),1996.0)</f>
        <v>1996</v>
      </c>
      <c r="D1309" s="5" t="str">
        <f>IFERROR(__xludf.DUMMYFUNCTION("IFS(AND(
FILTER(IMPORTRANGE(""https://docs.google.com/spreadsheets/d/1BJSV3WBYJGRhQ6zExamkszQ5VutGIcaQqmbD9ZTVXMQ/edit#gid=1251630045"",""articles_with_PRISMA_reasons!Y2:Y2113""), $A1309=IMPORTRANGE(""https://docs.google.com/spreadsheets/d/1BJSV3WBYJGRhQ6"&amp;"zExamkszQ5VutGIcaQqmbD9ZTVXMQ/edit#gid=1251630045"",""articles_with_PRISMA_reasons!B2:B2113""))&gt;=2,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$A1309=IMPORTRANGE(""https://docs.google"&amp;".com/spreadsheets/d/1BJSV3WBYJGRhQ6zExamkszQ5VutGIcaQqmbD9ZTVXMQ/edit#gid=1251630045"",""articles_with_PRISMA_reasons!B2:B2113""))&gt;=2),
""Exclude""
)"),"Exclude")</f>
        <v>Exclude</v>
      </c>
      <c r="E1309" s="5" t="str">
        <f>IFERROR(__xludf.DUMMYFUNCTION("IFS(
D1309=""Exclude"",""Exclude"",
AND(
FILTER(IMPORTRANGE(""https://docs.google.com/spreadsheets/d/1qpEmbGH0JjaJbUdp21-y2cPbobDbMjr09BbtdKROZWc/edit#gid=1444865654"",""articles_with_PRISMA_reasons!W2:W2113""), $A1309=IMPORTRANGE(""https://docs.google.co"&amp;"m/spreadsheets/d/1qpEmbGH0JjaJbUdp21-y2cPbobDbMjr09BbtdKROZWc/edit#gid=1444865654"",""articles_with_PRISMA_reasons!B2:B2113""))&gt;=2,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$A1309=I"&amp;"MPORTRANGE(""https://docs.google.com/spreadsheets/d/1qpEmbGH0JjaJbUdp21-y2cPbobDbMjr09BbtdKROZWc/edit#gid=1444865654"",""articles_with_PRISMA_reasons!B2:B2113""))&gt;=2),
""Exclude""
)"),"Exclude")</f>
        <v>Exclude</v>
      </c>
      <c r="F1309" s="5" t="str">
        <f>IFERROR(__xludf.DUMMYFUNCTION("IFS(
E1309=""Exclude"",""Exclude"",
AND(
COUNTIF(
IMPORTRANGE(""https://docs.google.com/spreadsheets/d/1kGrh75X1cNR1D7_FcY9zMnHP8iPO4M5RCRjy6nZY0TY/edit#gid=0"",""Table 1: Study characteristics!B4:B171""),A1309)&gt;0,
COUNTIF(Studies!$A$2:$A$85,FILTER(IMPORT"&amp;"RANGE(""https://docs.google.com/spreadsheets/d/1kGrh75X1cNR1D7_FcY9zMnHP8iPO4M5RCRjy6nZY0TY/edit#gid=0"",""Table 1: Study characteristics!A4:A171""), $A1309=IMPORTRANGE(""https://docs.google.com/spreadsheets/d/1kGrh75X1cNR1D7_FcY9zMnHP8iPO4M5RCRjy6nZY0TY/"&amp;"edit#gid=0"",""Table 1: Study characteristics!B4:B171"")))&gt;0
),
""Include""
)"),"Exclude")</f>
        <v>Exclude</v>
      </c>
      <c r="G1309" s="5" t="str">
        <f>IFERROR(__xludf.DUMMYFUNCTION("IFS(
D1309=""Exclude"",
FILTER(IMPORTRANGE(""https://docs.google.com/spreadsheets/d/1BJSV3WBYJGRhQ6zExamkszQ5VutGIcaQqmbD9ZTVXMQ/edit#gid=1251630045"",""articles_with_PRISMA_reasons!AB2:AB2113""), $A1309=IMPORTRANGE(""https://docs.google.com/spreadsheets/"&amp;"d/1BJSV3WBYJGRhQ6zExamkszQ5VutGIcaQqmbD9ZTVXMQ/edit#gid=1251630045"",""articles_with_PRISMA_reasons!B2:B2113"")),
E1309=""Exclude"",
FILTER(IMPORTRANGE(""https://docs.google.com/spreadsheets/d/1qpEmbGH0JjaJbUdp21-y2cPbobDbMjr09BbtdKROZWc/edit#gid=14448656"&amp;"54"",""articles_with_PRISMA_reasons!Z2:Z2113""), $A1309=IMPORTRANGE(""https://docs.google.com/spreadsheets/d/1qpEmbGH0JjaJbUdp21-y2cPbobDbMjr09BbtdKROZWc/edit#gid=1444865654"",""articles_with_PRISMA_reasons!B2:B2113"")),F1309
=""Include"",FILTER(IMPORTRAN"&amp;"GE(""https://docs.google.com/spreadsheets/d/1kGrh75X1cNR1D7_FcY9zMnHP8iPO4M5RCRjy6nZY0TY/edit#gid=0"",""Table 1: Study characteristics!A4:A171""), $A1309=IMPORTRANGE(""https://docs.google.com/spreadsheets/d/1kGrh75X1cNR1D7_FcY9zMnHP8iPO4M5RCRjy6nZY0TY/edi"&amp;"t#gid=0"",""Table 1: Study characteristics!B4:B171""))
)"),"wrong publication type")</f>
        <v>wrong publication type</v>
      </c>
    </row>
    <row r="1310">
      <c r="A1310" s="4" t="str">
        <f>IFERROR(__xludf.DUMMYFUNCTION("""COMPUTED_VALUE"""),"Neurogenic Bladder Dysfunction as Signal of Late Failure of Endoscopic Third Ventriculostomy in Child with Spina Bifida")</f>
        <v>Neurogenic Bladder Dysfunction as Signal of Late Failure of Endoscopic Third Ventriculostomy in Child with Spina Bifida</v>
      </c>
      <c r="B1310" s="5" t="str">
        <f>IFERROR(__xludf.DUMMYFUNCTION("LEFT(FILTER(IMPORTRANGE(""https://docs.google.com/spreadsheets/d/1BJSV3WBYJGRhQ6zExamkszQ5VutGIcaQqmbD9ZTVXMQ/edit#gid=1251630045"",""articles_with_PRISMA_reasons!K2:K2113""), $A1310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$A1310=IMPORTRANGE(""https://docs.google.com/spreadsheets/d/1BJSV3WBYJGRhQ6zExamkszQ5VutGIcaQqmbD9ZTVXMQ/edit#gid=1251630045"",""articles_with_PRISMA_reasons!B2:B2113"")))-1)"),"Uruguay")</f>
        <v>Uruguay</v>
      </c>
      <c r="C1310" s="6">
        <f>IFERROR(__xludf.DUMMYFUNCTION("FILTER(IMPORTRANGE(""https://docs.google.com/spreadsheets/d/1BJSV3WBYJGRhQ6zExamkszQ5VutGIcaQqmbD9ZTVXMQ/edit#gid=1251630045"",""articles_with_PRISMA_reasons!C2:C2113""), $A1310=IMPORTRANGE(""https://docs.google.com/spreadsheets/d/1BJSV3WBYJGRhQ6zExamkszQ"&amp;"5VutGIcaQqmbD9ZTVXMQ/edit#gid=1251630045"",""articles_with_PRISMA_reasons!B2:B2113""))"),2019.0)</f>
        <v>2019</v>
      </c>
      <c r="D1310" s="5" t="str">
        <f>IFERROR(__xludf.DUMMYFUNCTION("IFS(AND(
FILTER(IMPORTRANGE(""https://docs.google.com/spreadsheets/d/1BJSV3WBYJGRhQ6zExamkszQ5VutGIcaQqmbD9ZTVXMQ/edit#gid=1251630045"",""articles_with_PRISMA_reasons!Y2:Y2113""), $A1310=IMPORTRANGE(""https://docs.google.com/spreadsheets/d/1BJSV3WBYJGRhQ6"&amp;"zExamkszQ5VutGIcaQqmbD9ZTVXMQ/edit#gid=1251630045"",""articles_with_PRISMA_reasons!B2:B2113""))&gt;=2,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$A1310=IMPORTRANGE(""https://docs.google"&amp;".com/spreadsheets/d/1BJSV3WBYJGRhQ6zExamkszQ5VutGIcaQqmbD9ZTVXMQ/edit#gid=1251630045"",""articles_with_PRISMA_reasons!B2:B2113""))&gt;=2),
""Exclude""
)"),"Exclude")</f>
        <v>Exclude</v>
      </c>
      <c r="E1310" s="5" t="str">
        <f>IFERROR(__xludf.DUMMYFUNCTION("IFS(
D1310=""Exclude"",""Exclude"",
AND(
FILTER(IMPORTRANGE(""https://docs.google.com/spreadsheets/d/1qpEmbGH0JjaJbUdp21-y2cPbobDbMjr09BbtdKROZWc/edit#gid=1444865654"",""articles_with_PRISMA_reasons!W2:W2113""), $A1310=IMPORTRANGE(""https://docs.google.co"&amp;"m/spreadsheets/d/1qpEmbGH0JjaJbUdp21-y2cPbobDbMjr09BbtdKROZWc/edit#gid=1444865654"",""articles_with_PRISMA_reasons!B2:B2113""))&gt;=2,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$A1310=I"&amp;"MPORTRANGE(""https://docs.google.com/spreadsheets/d/1qpEmbGH0JjaJbUdp21-y2cPbobDbMjr09BbtdKROZWc/edit#gid=1444865654"",""articles_with_PRISMA_reasons!B2:B2113""))&gt;=2),
""Exclude""
)"),"Exclude")</f>
        <v>Exclude</v>
      </c>
      <c r="F1310" s="5" t="str">
        <f>IFERROR(__xludf.DUMMYFUNCTION("IFS(
E1310=""Exclude"",""Exclude"",
AND(
COUNTIF(
IMPORTRANGE(""https://docs.google.com/spreadsheets/d/1kGrh75X1cNR1D7_FcY9zMnHP8iPO4M5RCRjy6nZY0TY/edit#gid=0"",""Table 1: Study characteristics!B4:B171""),A1310)&gt;0,
COUNTIF(Studies!$A$2:$A$85,FILTER(IMPORT"&amp;"RANGE(""https://docs.google.com/spreadsheets/d/1kGrh75X1cNR1D7_FcY9zMnHP8iPO4M5RCRjy6nZY0TY/edit#gid=0"",""Table 1: Study characteristics!A4:A171""), $A1310=IMPORTRANGE(""https://docs.google.com/spreadsheets/d/1kGrh75X1cNR1D7_FcY9zMnHP8iPO4M5RCRjy6nZY0TY/"&amp;"edit#gid=0"",""Table 1: Study characteristics!B4:B171"")))&gt;0
),
""Include""
)"),"Exclude")</f>
        <v>Exclude</v>
      </c>
      <c r="G1310" s="5" t="str">
        <f>IFERROR(__xludf.DUMMYFUNCTION("IFS(
D1310=""Exclude"",
FILTER(IMPORTRANGE(""https://docs.google.com/spreadsheets/d/1BJSV3WBYJGRhQ6zExamkszQ5VutGIcaQqmbD9ZTVXMQ/edit#gid=1251630045"",""articles_with_PRISMA_reasons!AB2:AB2113""), $A1310=IMPORTRANGE(""https://docs.google.com/spreadsheets/"&amp;"d/1BJSV3WBYJGRhQ6zExamkszQ5VutGIcaQqmbD9ZTVXMQ/edit#gid=1251630045"",""articles_with_PRISMA_reasons!B2:B2113"")),
E1310=""Exclude"",
FILTER(IMPORTRANGE(""https://docs.google.com/spreadsheets/d/1qpEmbGH0JjaJbUdp21-y2cPbobDbMjr09BbtdKROZWc/edit#gid=14448656"&amp;"54"",""articles_with_PRISMA_reasons!Z2:Z2113""), $A1310=IMPORTRANGE(""https://docs.google.com/spreadsheets/d/1qpEmbGH0JjaJbUdp21-y2cPbobDbMjr09BbtdKROZWc/edit#gid=1444865654"",""articles_with_PRISMA_reasons!B2:B2113"")),F1310
=""Include"",FILTER(IMPORTRAN"&amp;"GE(""https://docs.google.com/spreadsheets/d/1kGrh75X1cNR1D7_FcY9zMnHP8iPO4M5RCRjy6nZY0TY/edit#gid=0"",""Table 1: Study characteristics!A4:A171""), $A1310=IMPORTRANGE(""https://docs.google.com/spreadsheets/d/1kGrh75X1cNR1D7_FcY9zMnHP8iPO4M5RCRjy6nZY0TY/edi"&amp;"t#gid=0"",""Table 1: Study characteristics!B4:B171""))
)"),"wrong study design")</f>
        <v>wrong study design</v>
      </c>
    </row>
    <row r="1311">
      <c r="A1311" s="4" t="str">
        <f>IFERROR(__xludf.DUMMYFUNCTION("""COMPUTED_VALUE"""),"Neurogenic Bladder in Patients with Mylomeningocele in Pediatric Age")</f>
        <v>Neurogenic Bladder in Patients with Mylomeningocele in Pediatric Age</v>
      </c>
      <c r="B1311" s="5" t="str">
        <f>IFERROR(__xludf.DUMMYFUNCTION("LEFT(FILTER(IMPORTRANGE(""https://docs.google.com/spreadsheets/d/1BJSV3WBYJGRhQ6zExamkszQ5VutGIcaQqmbD9ZTVXMQ/edit#gid=1251630045"",""articles_with_PRISMA_reasons!K2:K2113""), $A1311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$A1311=IMPORTRANGE(""https://docs.google.com/spreadsheets/d/1BJSV3WBYJGRhQ6zExamkszQ5VutGIcaQqmbD9ZTVXMQ/edit#gid=1251630045"",""articles_with_PRISMA_reasons!B2:B2113"")))-1)"),"Albayati")</f>
        <v>Albayati</v>
      </c>
      <c r="C1311" s="6">
        <f>IFERROR(__xludf.DUMMYFUNCTION("FILTER(IMPORTRANGE(""https://docs.google.com/spreadsheets/d/1BJSV3WBYJGRhQ6zExamkszQ5VutGIcaQqmbD9ZTVXMQ/edit#gid=1251630045"",""articles_with_PRISMA_reasons!C2:C2113""), $A1311=IMPORTRANGE(""https://docs.google.com/spreadsheets/d/1BJSV3WBYJGRhQ6zExamkszQ"&amp;"5VutGIcaQqmbD9ZTVXMQ/edit#gid=1251630045"",""articles_with_PRISMA_reasons!B2:B2113""))"),2021.0)</f>
        <v>2021</v>
      </c>
      <c r="D1311" s="5" t="str">
        <f>IFERROR(__xludf.DUMMYFUNCTION("IFS(AND(
FILTER(IMPORTRANGE(""https://docs.google.com/spreadsheets/d/1BJSV3WBYJGRhQ6zExamkszQ5VutGIcaQqmbD9ZTVXMQ/edit#gid=1251630045"",""articles_with_PRISMA_reasons!Y2:Y2113""), $A1311=IMPORTRANGE(""https://docs.google.com/spreadsheets/d/1BJSV3WBYJGRhQ6"&amp;"zExamkszQ5VutGIcaQqmbD9ZTVXMQ/edit#gid=1251630045"",""articles_with_PRISMA_reasons!B2:B2113""))&gt;=2,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$A1311=IMPORTRANGE(""https://docs.google"&amp;".com/spreadsheets/d/1BJSV3WBYJGRhQ6zExamkszQ5VutGIcaQqmbD9ZTVXMQ/edit#gid=1251630045"",""articles_with_PRISMA_reasons!B2:B2113""))&gt;=2),
""Exclude""
)"),"Exclude")</f>
        <v>Exclude</v>
      </c>
      <c r="E1311" s="5" t="str">
        <f>IFERROR(__xludf.DUMMYFUNCTION("IFS(
D1311=""Exclude"",""Exclude"",
AND(
FILTER(IMPORTRANGE(""https://docs.google.com/spreadsheets/d/1qpEmbGH0JjaJbUdp21-y2cPbobDbMjr09BbtdKROZWc/edit#gid=1444865654"",""articles_with_PRISMA_reasons!W2:W2113""), $A1311=IMPORTRANGE(""https://docs.google.co"&amp;"m/spreadsheets/d/1qpEmbGH0JjaJbUdp21-y2cPbobDbMjr09BbtdKROZWc/edit#gid=1444865654"",""articles_with_PRISMA_reasons!B2:B2113""))&gt;=2,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$A1311=I"&amp;"MPORTRANGE(""https://docs.google.com/spreadsheets/d/1qpEmbGH0JjaJbUdp21-y2cPbobDbMjr09BbtdKROZWc/edit#gid=1444865654"",""articles_with_PRISMA_reasons!B2:B2113""))&gt;=2),
""Exclude""
)"),"Exclude")</f>
        <v>Exclude</v>
      </c>
      <c r="F1311" s="5" t="str">
        <f>IFERROR(__xludf.DUMMYFUNCTION("IFS(
E1311=""Exclude"",""Exclude"",
AND(
COUNTIF(
IMPORTRANGE(""https://docs.google.com/spreadsheets/d/1kGrh75X1cNR1D7_FcY9zMnHP8iPO4M5RCRjy6nZY0TY/edit#gid=0"",""Table 1: Study characteristics!B4:B171""),A1311)&gt;0,
COUNTIF(Studies!$A$2:$A$85,FILTER(IMPORT"&amp;"RANGE(""https://docs.google.com/spreadsheets/d/1kGrh75X1cNR1D7_FcY9zMnHP8iPO4M5RCRjy6nZY0TY/edit#gid=0"",""Table 1: Study characteristics!A4:A171""), $A1311=IMPORTRANGE(""https://docs.google.com/spreadsheets/d/1kGrh75X1cNR1D7_FcY9zMnHP8iPO4M5RCRjy6nZY0TY/"&amp;"edit#gid=0"",""Table 1: Study characteristics!B4:B171"")))&gt;0
),
""Include""
)"),"Exclude")</f>
        <v>Exclude</v>
      </c>
      <c r="G1311" s="5" t="str">
        <f>IFERROR(__xludf.DUMMYFUNCTION("IFS(
D1311=""Exclude"",
FILTER(IMPORTRANGE(""https://docs.google.com/spreadsheets/d/1BJSV3WBYJGRhQ6zExamkszQ5VutGIcaQqmbD9ZTVXMQ/edit#gid=1251630045"",""articles_with_PRISMA_reasons!AB2:AB2113""), $A1311=IMPORTRANGE(""https://docs.google.com/spreadsheets/"&amp;"d/1BJSV3WBYJGRhQ6zExamkszQ5VutGIcaQqmbD9ZTVXMQ/edit#gid=1251630045"",""articles_with_PRISMA_reasons!B2:B2113"")),
E1311=""Exclude"",
FILTER(IMPORTRANGE(""https://docs.google.com/spreadsheets/d/1qpEmbGH0JjaJbUdp21-y2cPbobDbMjr09BbtdKROZWc/edit#gid=14448656"&amp;"54"",""articles_with_PRISMA_reasons!Z2:Z2113""), $A1311=IMPORTRANGE(""https://docs.google.com/spreadsheets/d/1qpEmbGH0JjaJbUdp21-y2cPbobDbMjr09BbtdKROZWc/edit#gid=1444865654"",""articles_with_PRISMA_reasons!B2:B2113"")),F1311
=""Include"",FILTER(IMPORTRAN"&amp;"GE(""https://docs.google.com/spreadsheets/d/1kGrh75X1cNR1D7_FcY9zMnHP8iPO4M5RCRjy6nZY0TY/edit#gid=0"",""Table 1: Study characteristics!A4:A171""), $A1311=IMPORTRANGE(""https://docs.google.com/spreadsheets/d/1kGrh75X1cNR1D7_FcY9zMnHP8iPO4M5RCRjy6nZY0TY/edi"&amp;"t#gid=0"",""Table 1: Study characteristics!B4:B171""))
)"),"wrong study design")</f>
        <v>wrong study design</v>
      </c>
    </row>
    <row r="1312">
      <c r="A1312" s="4" t="str">
        <f>IFERROR(__xludf.DUMMYFUNCTION("""COMPUTED_VALUE"""),"Neurogenic disorders of bladder emptying in children")</f>
        <v>Neurogenic disorders of bladder emptying in children</v>
      </c>
      <c r="B1312" s="5" t="str">
        <f>IFERROR(__xludf.DUMMYFUNCTION("LEFT(FILTER(IMPORTRANGE(""https://docs.google.com/spreadsheets/d/1BJSV3WBYJGRhQ6zExamkszQ5VutGIcaQqmbD9ZTVXMQ/edit#gid=1251630045"",""articles_with_PRISMA_reasons!K2:K2113""), $A1312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$A1312=IMPORTRANGE(""https://docs.google.com/spreadsheets/d/1BJSV3WBYJGRhQ6zExamkszQ5VutGIcaQqmbD9ZTVXMQ/edit#gid=1251630045"",""articles_with_PRISMA_reasons!B2:B2113"")))-1)"),"Tischer")</f>
        <v>Tischer</v>
      </c>
      <c r="C1312" s="6">
        <f>IFERROR(__xludf.DUMMYFUNCTION("FILTER(IMPORTRANGE(""https://docs.google.com/spreadsheets/d/1BJSV3WBYJGRhQ6zExamkszQ5VutGIcaQqmbD9ZTVXMQ/edit#gid=1251630045"",""articles_with_PRISMA_reasons!C2:C2113""), $A1312=IMPORTRANGE(""https://docs.google.com/spreadsheets/d/1BJSV3WBYJGRhQ6zExamkszQ"&amp;"5VutGIcaQqmbD9ZTVXMQ/edit#gid=1251630045"",""articles_with_PRISMA_reasons!B2:B2113""))"),1979.0)</f>
        <v>1979</v>
      </c>
      <c r="D1312" s="5" t="str">
        <f>IFERROR(__xludf.DUMMYFUNCTION("IFS(AND(
FILTER(IMPORTRANGE(""https://docs.google.com/spreadsheets/d/1BJSV3WBYJGRhQ6zExamkszQ5VutGIcaQqmbD9ZTVXMQ/edit#gid=1251630045"",""articles_with_PRISMA_reasons!Y2:Y2113""), $A1312=IMPORTRANGE(""https://docs.google.com/spreadsheets/d/1BJSV3WBYJGRhQ6"&amp;"zExamkszQ5VutGIcaQqmbD9ZTVXMQ/edit#gid=1251630045"",""articles_with_PRISMA_reasons!B2:B2113""))&gt;=2,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$A1312=IMPORTRANGE(""https://docs.google"&amp;".com/spreadsheets/d/1BJSV3WBYJGRhQ6zExamkszQ5VutGIcaQqmbD9ZTVXMQ/edit#gid=1251630045"",""articles_with_PRISMA_reasons!B2:B2113""))&gt;=2),
""Exclude""
)"),"Exclude")</f>
        <v>Exclude</v>
      </c>
      <c r="E1312" s="5" t="str">
        <f>IFERROR(__xludf.DUMMYFUNCTION("IFS(
D1312=""Exclude"",""Exclude"",
AND(
FILTER(IMPORTRANGE(""https://docs.google.com/spreadsheets/d/1qpEmbGH0JjaJbUdp21-y2cPbobDbMjr09BbtdKROZWc/edit#gid=1444865654"",""articles_with_PRISMA_reasons!W2:W2113""), $A1312=IMPORTRANGE(""https://docs.google.co"&amp;"m/spreadsheets/d/1qpEmbGH0JjaJbUdp21-y2cPbobDbMjr09BbtdKROZWc/edit#gid=1444865654"",""articles_with_PRISMA_reasons!B2:B2113""))&gt;=2,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$A1312=I"&amp;"MPORTRANGE(""https://docs.google.com/spreadsheets/d/1qpEmbGH0JjaJbUdp21-y2cPbobDbMjr09BbtdKROZWc/edit#gid=1444865654"",""articles_with_PRISMA_reasons!B2:B2113""))&gt;=2),
""Exclude""
)"),"Exclude")</f>
        <v>Exclude</v>
      </c>
      <c r="F1312" s="5" t="str">
        <f>IFERROR(__xludf.DUMMYFUNCTION("IFS(
E1312=""Exclude"",""Exclude"",
AND(
COUNTIF(
IMPORTRANGE(""https://docs.google.com/spreadsheets/d/1kGrh75X1cNR1D7_FcY9zMnHP8iPO4M5RCRjy6nZY0TY/edit#gid=0"",""Table 1: Study characteristics!B4:B171""),A1312)&gt;0,
COUNTIF(Studies!$A$2:$A$85,FILTER(IMPORT"&amp;"RANGE(""https://docs.google.com/spreadsheets/d/1kGrh75X1cNR1D7_FcY9zMnHP8iPO4M5RCRjy6nZY0TY/edit#gid=0"",""Table 1: Study characteristics!A4:A171""), $A1312=IMPORTRANGE(""https://docs.google.com/spreadsheets/d/1kGrh75X1cNR1D7_FcY9zMnHP8iPO4M5RCRjy6nZY0TY/"&amp;"edit#gid=0"",""Table 1: Study characteristics!B4:B171"")))&gt;0
),
""Include""
)"),"Exclude")</f>
        <v>Exclude</v>
      </c>
      <c r="G1312" s="5" t="str">
        <f>IFERROR(__xludf.DUMMYFUNCTION("IFS(
D1312=""Exclude"",
FILTER(IMPORTRANGE(""https://docs.google.com/spreadsheets/d/1BJSV3WBYJGRhQ6zExamkszQ5VutGIcaQqmbD9ZTVXMQ/edit#gid=1251630045"",""articles_with_PRISMA_reasons!AB2:AB2113""), $A1312=IMPORTRANGE(""https://docs.google.com/spreadsheets/"&amp;"d/1BJSV3WBYJGRhQ6zExamkszQ5VutGIcaQqmbD9ZTVXMQ/edit#gid=1251630045"",""articles_with_PRISMA_reasons!B2:B2113"")),
E1312=""Exclude"",
FILTER(IMPORTRANGE(""https://docs.google.com/spreadsheets/d/1qpEmbGH0JjaJbUdp21-y2cPbobDbMjr09BbtdKROZWc/edit#gid=14448656"&amp;"54"",""articles_with_PRISMA_reasons!Z2:Z2113""), $A1312=IMPORTRANGE(""https://docs.google.com/spreadsheets/d/1qpEmbGH0JjaJbUdp21-y2cPbobDbMjr09BbtdKROZWc/edit#gid=1444865654"",""articles_with_PRISMA_reasons!B2:B2113"")),F1312
=""Include"",FILTER(IMPORTRAN"&amp;"GE(""https://docs.google.com/spreadsheets/d/1kGrh75X1cNR1D7_FcY9zMnHP8iPO4M5RCRjy6nZY0TY/edit#gid=0"",""Table 1: Study characteristics!A4:A171""), $A1312=IMPORTRANGE(""https://docs.google.com/spreadsheets/d/1kGrh75X1cNR1D7_FcY9zMnHP8iPO4M5RCRjy6nZY0TY/edi"&amp;"t#gid=0"",""Table 1: Study characteristics!B4:B171""))
)"),"background article")</f>
        <v>background article</v>
      </c>
    </row>
    <row r="1313">
      <c r="A1313" s="4" t="str">
        <f>IFERROR(__xludf.DUMMYFUNCTION("""COMPUTED_VALUE"""),"Neurologic status of spina bifida patients and the orthopedic surgeon")</f>
        <v>Neurologic status of spina bifida patients and the orthopedic surgeon</v>
      </c>
      <c r="B1313" s="5" t="str">
        <f>IFERROR(__xludf.DUMMYFUNCTION("LEFT(FILTER(IMPORTRANGE(""https://docs.google.com/spreadsheets/d/1BJSV3WBYJGRhQ6zExamkszQ5VutGIcaQqmbD9ZTVXMQ/edit#gid=1251630045"",""articles_with_PRISMA_reasons!K2:K2113""), $A1313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$A1313=IMPORTRANGE(""https://docs.google.com/spreadsheets/d/1BJSV3WBYJGRhQ6zExamkszQ5VutGIcaQqmbD9ZTVXMQ/edit#gid=1251630045"",""articles_with_PRISMA_reasons!B2:B2113"")))-1)"),"Mazur")</f>
        <v>Mazur</v>
      </c>
      <c r="C1313" s="6">
        <f>IFERROR(__xludf.DUMMYFUNCTION("FILTER(IMPORTRANGE(""https://docs.google.com/spreadsheets/d/1BJSV3WBYJGRhQ6zExamkszQ5VutGIcaQqmbD9ZTVXMQ/edit#gid=1251630045"",""articles_with_PRISMA_reasons!C2:C2113""), $A1313=IMPORTRANGE(""https://docs.google.com/spreadsheets/d/1BJSV3WBYJGRhQ6zExamkszQ"&amp;"5VutGIcaQqmbD9ZTVXMQ/edit#gid=1251630045"",""articles_with_PRISMA_reasons!B2:B2113""))"),1991.0)</f>
        <v>1991</v>
      </c>
      <c r="D1313" s="5" t="str">
        <f>IFERROR(__xludf.DUMMYFUNCTION("IFS(AND(
FILTER(IMPORTRANGE(""https://docs.google.com/spreadsheets/d/1BJSV3WBYJGRhQ6zExamkszQ5VutGIcaQqmbD9ZTVXMQ/edit#gid=1251630045"",""articles_with_PRISMA_reasons!Y2:Y2113""), $A1313=IMPORTRANGE(""https://docs.google.com/spreadsheets/d/1BJSV3WBYJGRhQ6"&amp;"zExamkszQ5VutGIcaQqmbD9ZTVXMQ/edit#gid=1251630045"",""articles_with_PRISMA_reasons!B2:B2113""))&gt;=2,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$A1313=IMPORTRANGE(""https://docs.google"&amp;".com/spreadsheets/d/1BJSV3WBYJGRhQ6zExamkszQ5VutGIcaQqmbD9ZTVXMQ/edit#gid=1251630045"",""articles_with_PRISMA_reasons!B2:B2113""))&gt;=2),
""Exclude""
)"),"Exclude")</f>
        <v>Exclude</v>
      </c>
      <c r="E1313" s="5" t="str">
        <f>IFERROR(__xludf.DUMMYFUNCTION("IFS(
D1313=""Exclude"",""Exclude"",
AND(
FILTER(IMPORTRANGE(""https://docs.google.com/spreadsheets/d/1qpEmbGH0JjaJbUdp21-y2cPbobDbMjr09BbtdKROZWc/edit#gid=1444865654"",""articles_with_PRISMA_reasons!W2:W2113""), $A1313=IMPORTRANGE(""https://docs.google.co"&amp;"m/spreadsheets/d/1qpEmbGH0JjaJbUdp21-y2cPbobDbMjr09BbtdKROZWc/edit#gid=1444865654"",""articles_with_PRISMA_reasons!B2:B2113""))&gt;=2,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$A1313=I"&amp;"MPORTRANGE(""https://docs.google.com/spreadsheets/d/1qpEmbGH0JjaJbUdp21-y2cPbobDbMjr09BbtdKROZWc/edit#gid=1444865654"",""articles_with_PRISMA_reasons!B2:B2113""))&gt;=2),
""Exclude""
)"),"Exclude")</f>
        <v>Exclude</v>
      </c>
      <c r="F1313" s="5" t="str">
        <f>IFERROR(__xludf.DUMMYFUNCTION("IFS(
E1313=""Exclude"",""Exclude"",
AND(
COUNTIF(
IMPORTRANGE(""https://docs.google.com/spreadsheets/d/1kGrh75X1cNR1D7_FcY9zMnHP8iPO4M5RCRjy6nZY0TY/edit#gid=0"",""Table 1: Study characteristics!B4:B171""),A1313)&gt;0,
COUNTIF(Studies!$A$2:$A$85,FILTER(IMPORT"&amp;"RANGE(""https://docs.google.com/spreadsheets/d/1kGrh75X1cNR1D7_FcY9zMnHP8iPO4M5RCRjy6nZY0TY/edit#gid=0"",""Table 1: Study characteristics!A4:A171""), $A1313=IMPORTRANGE(""https://docs.google.com/spreadsheets/d/1kGrh75X1cNR1D7_FcY9zMnHP8iPO4M5RCRjy6nZY0TY/"&amp;"edit#gid=0"",""Table 1: Study characteristics!B4:B171"")))&gt;0
),
""Include""
)"),"Exclude")</f>
        <v>Exclude</v>
      </c>
      <c r="G1313" s="5" t="str">
        <f>IFERROR(__xludf.DUMMYFUNCTION("IFS(
D1313=""Exclude"",
FILTER(IMPORTRANGE(""https://docs.google.com/spreadsheets/d/1BJSV3WBYJGRhQ6zExamkszQ5VutGIcaQqmbD9ZTVXMQ/edit#gid=1251630045"",""articles_with_PRISMA_reasons!AB2:AB2113""), $A1313=IMPORTRANGE(""https://docs.google.com/spreadsheets/"&amp;"d/1BJSV3WBYJGRhQ6zExamkszQ5VutGIcaQqmbD9ZTVXMQ/edit#gid=1251630045"",""articles_with_PRISMA_reasons!B2:B2113"")),
E1313=""Exclude"",
FILTER(IMPORTRANGE(""https://docs.google.com/spreadsheets/d/1qpEmbGH0JjaJbUdp21-y2cPbobDbMjr09BbtdKROZWc/edit#gid=14448656"&amp;"54"",""articles_with_PRISMA_reasons!Z2:Z2113""), $A1313=IMPORTRANGE(""https://docs.google.com/spreadsheets/d/1qpEmbGH0JjaJbUdp21-y2cPbobDbMjr09BbtdKROZWc/edit#gid=1444865654"",""articles_with_PRISMA_reasons!B2:B2113"")),F1313
=""Include"",FILTER(IMPORTRAN"&amp;"GE(""https://docs.google.com/spreadsheets/d/1kGrh75X1cNR1D7_FcY9zMnHP8iPO4M5RCRjy6nZY0TY/edit#gid=0"",""Table 1: Study characteristics!A4:A171""), $A1313=IMPORTRANGE(""https://docs.google.com/spreadsheets/d/1kGrh75X1cNR1D7_FcY9zMnHP8iPO4M5RCRjy6nZY0TY/edi"&amp;"t#gid=0"",""Table 1: Study characteristics!B4:B171""))
)"),"wrong population")</f>
        <v>wrong population</v>
      </c>
    </row>
    <row r="1314">
      <c r="A1314" s="4" t="str">
        <f>IFERROR(__xludf.DUMMYFUNCTION("""COMPUTED_VALUE"""),"Neurological abnormalities, major orthopaedic deformities and ambulation analysis in a myelomeningocele population in Catalonia (Spain)")</f>
        <v>Neurological abnormalities, major orthopaedic deformities and ambulation analysis in a myelomeningocele population in Catalonia (Spain)</v>
      </c>
      <c r="B1314" s="5" t="str">
        <f>IFERROR(__xludf.DUMMYFUNCTION("LEFT(FILTER(IMPORTRANGE(""https://docs.google.com/spreadsheets/d/1BJSV3WBYJGRhQ6zExamkszQ5VutGIcaQqmbD9ZTVXMQ/edit#gid=1251630045"",""articles_with_PRISMA_reasons!K2:K2113""), $A1314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$A1314=IMPORTRANGE(""https://docs.google.com/spreadsheets/d/1BJSV3WBYJGRhQ6zExamkszQ5VutGIcaQqmbD9ZTVXMQ/edit#gid=1251630045"",""articles_with_PRISMA_reasons!B2:B2113"")))-1)"),"Iborra")</f>
        <v>Iborra</v>
      </c>
      <c r="C1314" s="6">
        <f>IFERROR(__xludf.DUMMYFUNCTION("FILTER(IMPORTRANGE(""https://docs.google.com/spreadsheets/d/1BJSV3WBYJGRhQ6zExamkszQ5VutGIcaQqmbD9ZTVXMQ/edit#gid=1251630045"",""articles_with_PRISMA_reasons!C2:C2113""), $A1314=IMPORTRANGE(""https://docs.google.com/spreadsheets/d/1BJSV3WBYJGRhQ6zExamkszQ"&amp;"5VutGIcaQqmbD9ZTVXMQ/edit#gid=1251630045"",""articles_with_PRISMA_reasons!B2:B2113""))"),1999.0)</f>
        <v>1999</v>
      </c>
      <c r="D1314" s="5" t="str">
        <f>IFERROR(__xludf.DUMMYFUNCTION("IFS(AND(
FILTER(IMPORTRANGE(""https://docs.google.com/spreadsheets/d/1BJSV3WBYJGRhQ6zExamkszQ5VutGIcaQqmbD9ZTVXMQ/edit#gid=1251630045"",""articles_with_PRISMA_reasons!Y2:Y2113""), $A1314=IMPORTRANGE(""https://docs.google.com/spreadsheets/d/1BJSV3WBYJGRhQ6"&amp;"zExamkszQ5VutGIcaQqmbD9ZTVXMQ/edit#gid=1251630045"",""articles_with_PRISMA_reasons!B2:B2113""))&gt;=2,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$A1314=IMPORTRANGE(""https://docs.google.com/spreadsheets/d/1BJSV3WBYJGRhQ6zExamkszQ5VutGIcaQqmbD9ZTVXMQ/edit#gid=1251630045"",""articles_with_PRISMA_reasons!B2:B2113""))&lt;2),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$A1314=IMPORTRANGE(""https://docs.google.com/spreadsheets/d/1BJSV3WBYJGRhQ6zExamkszQ5VutGIcaQqmbD9ZTVXMQ/edit#gid=1251630045"",""a"&amp;"rticles_with_PRISMA_reasons!B2:B2113""))&lt;2,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$A1314=IMPORTRANGE(""https://docs.google"&amp;".com/spreadsheets/d/1BJSV3WBYJGRhQ6zExamkszQ5VutGIcaQqmbD9ZTVXMQ/edit#gid=1251630045"",""articles_with_PRISMA_reasons!B2:B2113""))&gt;=2),
""Exclude""
)"),"Exclude")</f>
        <v>Exclude</v>
      </c>
      <c r="E1314" s="5" t="str">
        <f>IFERROR(__xludf.DUMMYFUNCTION("IFS(
D1314=""Exclude"",""Exclude"",
AND(
FILTER(IMPORTRANGE(""https://docs.google.com/spreadsheets/d/1qpEmbGH0JjaJbUdp21-y2cPbobDbMjr09BbtdKROZWc/edit#gid=1444865654"",""articles_with_PRISMA_reasons!W2:W2113""), $A1314=IMPORTRANGE(""https://docs.google.co"&amp;"m/spreadsheets/d/1qpEmbGH0JjaJbUdp21-y2cPbobDbMjr09BbtdKROZWc/edit#gid=1444865654"",""articles_with_PRISMA_reasons!B2:B2113""))&gt;=2,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$A1314=IMPORTRANGE(""https://docs.google.com/spreadsheets/d/1qpEmbGH0JjaJbUdp21-y2cPbobDbMjr09BbtdKROZWc/edit#gid=1444865654"",""articles_with_PRISMA_reasons!B2:B2113""))&lt;2),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$A1314=IMPORTRANGE(""https://docs.google.com/spreadsheets/d/1qpEmbGH0JjaJbUdp21-y2cPbobDbMjr09Bbtd"&amp;"KROZWc/edit#gid=1444865654"",""articles_with_PRISMA_reasons!B2:B2113""))&lt;2,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$A1314=I"&amp;"MPORTRANGE(""https://docs.google.com/spreadsheets/d/1qpEmbGH0JjaJbUdp21-y2cPbobDbMjr09BbtdKROZWc/edit#gid=1444865654"",""articles_with_PRISMA_reasons!B2:B2113""))&gt;=2),
""Exclude""
)"),"Exclude")</f>
        <v>Exclude</v>
      </c>
      <c r="F1314" s="5" t="str">
        <f>IFERROR(__xludf.DUMMYFUNCTION("IFS(
E1314=""Exclude"",""Exclude"",
AND(
COUNTIF(
IMPORTRANGE(""https://docs.google.com/spreadsheets/d/1kGrh75X1cNR1D7_FcY9zMnHP8iPO4M5RCRjy6nZY0TY/edit#gid=0"",""Table 1: Study characteristics!B4:B171""),A1314)&gt;0,
COUNTIF(Studies!$A$2:$A$85,FILTER(IMPORT"&amp;"RANGE(""https://docs.google.com/spreadsheets/d/1kGrh75X1cNR1D7_FcY9zMnHP8iPO4M5RCRjy6nZY0TY/edit#gid=0"",""Table 1: Study characteristics!A4:A171""), $A1314=IMPORTRANGE(""https://docs.google.com/spreadsheets/d/1kGrh75X1cNR1D7_FcY9zMnHP8iPO4M5RCRjy6nZY0TY/"&amp;"edit#gid=0"",""Table 1: Study characteristics!B4:B171"")))&gt;0
),
""Include""
)"),"Exclude")</f>
        <v>Exclude</v>
      </c>
      <c r="G1314" s="5" t="str">
        <f>IFERROR(__xludf.DUMMYFUNCTION("IFS(
D1314=""Exclude"",
FILTER(IMPORTRANGE(""https://docs.google.com/spreadsheets/d/1BJSV3WBYJGRhQ6zExamkszQ5VutGIcaQqmbD9ZTVXMQ/edit#gid=1251630045"",""articles_with_PRISMA_reasons!AB2:AB2113""), $A1314=IMPORTRANGE(""https://docs.google.com/spreadsheets/"&amp;"d/1BJSV3WBYJGRhQ6zExamkszQ5VutGIcaQqmbD9ZTVXMQ/edit#gid=1251630045"",""articles_with_PRISMA_reasons!B2:B2113"")),
E1314=""Exclude"",
FILTER(IMPORTRANGE(""https://docs.google.com/spreadsheets/d/1qpEmbGH0JjaJbUdp21-y2cPbobDbMjr09BbtdKROZWc/edit#gid=14448656"&amp;"54"",""articles_with_PRISMA_reasons!Z2:Z2113""), $A1314=IMPORTRANGE(""https://docs.google.com/spreadsheets/d/1qpEmbGH0JjaJbUdp21-y2cPbobDbMjr09BbtdKROZWc/edit#gid=1444865654"",""articles_with_PRISMA_reasons!B2:B2113"")),F1314
=""Include"",FILTER(IMPORTRAN"&amp;"GE(""https://docs.google.com/spreadsheets/d/1kGrh75X1cNR1D7_FcY9zMnHP8iPO4M5RCRjy6nZY0TY/edit#gid=0"",""Table 1: Study characteristics!A4:A171""), $A1314=IMPORTRANGE(""https://docs.google.com/spreadsheets/d/1kGrh75X1cNR1D7_FcY9zMnHP8iPO4M5RCRjy6nZY0TY/edi"&amp;"t#gid=0"",""Table 1: Study characteristics!B4:B171""))
)"),"wrong study design")</f>
        <v>wrong study design</v>
      </c>
    </row>
    <row r="1315">
      <c r="A1315" s="4" t="str">
        <f>IFERROR(__xludf.DUMMYFUNCTION("""COMPUTED_VALUE"""),"Neurological congenital malformations in a tertiary hospital in south Brazil")</f>
        <v>Neurological congenital malformations in a tertiary hospital in south Brazil</v>
      </c>
      <c r="B1315" s="5" t="str">
        <f>IFERROR(__xludf.DUMMYFUNCTION("LEFT(FILTER(IMPORTRANGE(""https://docs.google.com/spreadsheets/d/1BJSV3WBYJGRhQ6zExamkszQ5VutGIcaQqmbD9ZTVXMQ/edit#gid=1251630045"",""articles_with_PRISMA_reasons!K2:K2113""), $A1315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$A1315=IMPORTRANGE(""https://docs.google.com/spreadsheets/d/1BJSV3WBYJGRhQ6zExamkszQ5VutGIcaQqmbD9ZTVXMQ/edit#gid=1251630045"",""articles_with_PRISMA_reasons!B2:B2113"")))-1)"),"Koltermann")</f>
        <v>Koltermann</v>
      </c>
      <c r="C1315" s="6">
        <f>IFERROR(__xludf.DUMMYFUNCTION("FILTER(IMPORTRANGE(""https://docs.google.com/spreadsheets/d/1BJSV3WBYJGRhQ6zExamkszQ5VutGIcaQqmbD9ZTVXMQ/edit#gid=1251630045"",""articles_with_PRISMA_reasons!C2:C2113""), $A1315=IMPORTRANGE(""https://docs.google.com/spreadsheets/d/1BJSV3WBYJGRhQ6zExamkszQ"&amp;"5VutGIcaQqmbD9ZTVXMQ/edit#gid=1251630045"",""articles_with_PRISMA_reasons!B2:B2113""))"),2009.0)</f>
        <v>2009</v>
      </c>
      <c r="D1315" s="5" t="str">
        <f>IFERROR(__xludf.DUMMYFUNCTION("IFS(AND(
FILTER(IMPORTRANGE(""https://docs.google.com/spreadsheets/d/1BJSV3WBYJGRhQ6zExamkszQ5VutGIcaQqmbD9ZTVXMQ/edit#gid=1251630045"",""articles_with_PRISMA_reasons!Y2:Y2113""), $A1315=IMPORTRANGE(""https://docs.google.com/spreadsheets/d/1BJSV3WBYJGRhQ6"&amp;"zExamkszQ5VutGIcaQqmbD9ZTVXMQ/edit#gid=1251630045"",""articles_with_PRISMA_reasons!B2:B2113""))&gt;=2,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$A1315=IMPORTRANGE(""https://docs.google.com/spreadsheets/d/1BJSV3WBYJGRhQ6zExamkszQ5VutGIcaQqmbD9ZTVXMQ/edit#gid=1251630045"",""articles_with_PRISMA_reasons!B2:B2113""))&lt;2),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$A1315=IMPORTRANGE(""https://docs.google.com/spreadsheets/d/1BJSV3WBYJGRhQ6zExamkszQ5VutGIcaQqmbD9ZTVXMQ/edit#gid=1251630045"",""a"&amp;"rticles_with_PRISMA_reasons!B2:B2113""))&lt;2,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$A1315=IMPORTRANGE(""https://docs.google"&amp;".com/spreadsheets/d/1BJSV3WBYJGRhQ6zExamkszQ5VutGIcaQqmbD9ZTVXMQ/edit#gid=1251630045"",""articles_with_PRISMA_reasons!B2:B2113""))&gt;=2),
""Exclude""
)"),"Exclude")</f>
        <v>Exclude</v>
      </c>
      <c r="E1315" s="5" t="str">
        <f>IFERROR(__xludf.DUMMYFUNCTION("IFS(
D1315=""Exclude"",""Exclude"",
AND(
FILTER(IMPORTRANGE(""https://docs.google.com/spreadsheets/d/1qpEmbGH0JjaJbUdp21-y2cPbobDbMjr09BbtdKROZWc/edit#gid=1444865654"",""articles_with_PRISMA_reasons!W2:W2113""), $A1315=IMPORTRANGE(""https://docs.google.co"&amp;"m/spreadsheets/d/1qpEmbGH0JjaJbUdp21-y2cPbobDbMjr09BbtdKROZWc/edit#gid=1444865654"",""articles_with_PRISMA_reasons!B2:B2113""))&gt;=2,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$A1315=IMPORTRANGE(""https://docs.google.com/spreadsheets/d/1qpEmbGH0JjaJbUdp21-y2cPbobDbMjr09BbtdKROZWc/edit#gid=1444865654"",""articles_with_PRISMA_reasons!B2:B2113""))&lt;2),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$A1315=IMPORTRANGE(""https://docs.google.com/spreadsheets/d/1qpEmbGH0JjaJbUdp21-y2cPbobDbMjr09Bbtd"&amp;"KROZWc/edit#gid=1444865654"",""articles_with_PRISMA_reasons!B2:B2113""))&lt;2,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$A1315=I"&amp;"MPORTRANGE(""https://docs.google.com/spreadsheets/d/1qpEmbGH0JjaJbUdp21-y2cPbobDbMjr09BbtdKROZWc/edit#gid=1444865654"",""articles_with_PRISMA_reasons!B2:B2113""))&gt;=2),
""Exclude""
)"),"Exclude")</f>
        <v>Exclude</v>
      </c>
      <c r="F1315" s="5" t="str">
        <f>IFERROR(__xludf.DUMMYFUNCTION("IFS(
E1315=""Exclude"",""Exclude"",
AND(
COUNTIF(
IMPORTRANGE(""https://docs.google.com/spreadsheets/d/1kGrh75X1cNR1D7_FcY9zMnHP8iPO4M5RCRjy6nZY0TY/edit#gid=0"",""Table 1: Study characteristics!B4:B171""),A1315)&gt;0,
COUNTIF(Studies!$A$2:$A$85,FILTER(IMPORT"&amp;"RANGE(""https://docs.google.com/spreadsheets/d/1kGrh75X1cNR1D7_FcY9zMnHP8iPO4M5RCRjy6nZY0TY/edit#gid=0"",""Table 1: Study characteristics!A4:A171""), $A1315=IMPORTRANGE(""https://docs.google.com/spreadsheets/d/1kGrh75X1cNR1D7_FcY9zMnHP8iPO4M5RCRjy6nZY0TY/"&amp;"edit#gid=0"",""Table 1: Study characteristics!B4:B171"")))&gt;0
),
""Include""
)"),"Exclude")</f>
        <v>Exclude</v>
      </c>
      <c r="G1315" s="5" t="str">
        <f>IFERROR(__xludf.DUMMYFUNCTION("IFS(
D1315=""Exclude"",
FILTER(IMPORTRANGE(""https://docs.google.com/spreadsheets/d/1BJSV3WBYJGRhQ6zExamkszQ5VutGIcaQqmbD9ZTVXMQ/edit#gid=1251630045"",""articles_with_PRISMA_reasons!AB2:AB2113""), $A1315=IMPORTRANGE(""https://docs.google.com/spreadsheets/"&amp;"d/1BJSV3WBYJGRhQ6zExamkszQ5VutGIcaQqmbD9ZTVXMQ/edit#gid=1251630045"",""articles_with_PRISMA_reasons!B2:B2113"")),
E1315=""Exclude"",
FILTER(IMPORTRANGE(""https://docs.google.com/spreadsheets/d/1qpEmbGH0JjaJbUdp21-y2cPbobDbMjr09BbtdKROZWc/edit#gid=14448656"&amp;"54"",""articles_with_PRISMA_reasons!Z2:Z2113""), $A1315=IMPORTRANGE(""https://docs.google.com/spreadsheets/d/1qpEmbGH0JjaJbUdp21-y2cPbobDbMjr09BbtdKROZWc/edit#gid=1444865654"",""articles_with_PRISMA_reasons!B2:B2113"")),F1315
=""Include"",FILTER(IMPORTRAN"&amp;"GE(""https://docs.google.com/spreadsheets/d/1kGrh75X1cNR1D7_FcY9zMnHP8iPO4M5RCRjy6nZY0TY/edit#gid=0"",""Table 1: Study characteristics!A4:A171""), $A1315=IMPORTRANGE(""https://docs.google.com/spreadsheets/d/1kGrh75X1cNR1D7_FcY9zMnHP8iPO4M5RCRjy6nZY0TY/edi"&amp;"t#gid=0"",""Table 1: Study characteristics!B4:B171""))
)"),"wrong population")</f>
        <v>wrong population</v>
      </c>
    </row>
    <row r="1316">
      <c r="A1316" s="4" t="str">
        <f>IFERROR(__xludf.DUMMYFUNCTION("""COMPUTED_VALUE"""),"Neurological deterioration years after closure of myelomeningocoele - 'The second lesion'")</f>
        <v>Neurological deterioration years after closure of myelomeningocoele - 'The second lesion'</v>
      </c>
      <c r="B1316" s="5" t="str">
        <f>IFERROR(__xludf.DUMMYFUNCTION("LEFT(FILTER(IMPORTRANGE(""https://docs.google.com/spreadsheets/d/1BJSV3WBYJGRhQ6zExamkszQ5VutGIcaQqmbD9ZTVXMQ/edit#gid=1251630045"",""articles_with_PRISMA_reasons!K2:K2113""), $A1316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$A1316=IMPORTRANGE(""https://docs.google.com/spreadsheets/d/1BJSV3WBYJGRhQ6zExamkszQ5VutGIcaQqmbD9ZTVXMQ/edit#gid=1251630045"",""articles_with_PRISMA_reasons!B2:B2113"")))-1)"),"Macarthur")</f>
        <v>Macarthur</v>
      </c>
      <c r="C1316" s="6">
        <f>IFERROR(__xludf.DUMMYFUNCTION("FILTER(IMPORTRANGE(""https://docs.google.com/spreadsheets/d/1BJSV3WBYJGRhQ6zExamkszQ5VutGIcaQqmbD9ZTVXMQ/edit#gid=1251630045"",""articles_with_PRISMA_reasons!C2:C2113""), $A1316=IMPORTRANGE(""https://docs.google.com/spreadsheets/d/1BJSV3WBYJGRhQ6zExamkszQ"&amp;"5VutGIcaQqmbD9ZTVXMQ/edit#gid=1251630045"",""articles_with_PRISMA_reasons!B2:B2113""))"),2001.0)</f>
        <v>2001</v>
      </c>
      <c r="D1316" s="5" t="str">
        <f>IFERROR(__xludf.DUMMYFUNCTION("IFS(AND(
FILTER(IMPORTRANGE(""https://docs.google.com/spreadsheets/d/1BJSV3WBYJGRhQ6zExamkszQ5VutGIcaQqmbD9ZTVXMQ/edit#gid=1251630045"",""articles_with_PRISMA_reasons!Y2:Y2113""), $A1316=IMPORTRANGE(""https://docs.google.com/spreadsheets/d/1BJSV3WBYJGRhQ6"&amp;"zExamkszQ5VutGIcaQqmbD9ZTVXMQ/edit#gid=1251630045"",""articles_with_PRISMA_reasons!B2:B2113""))&gt;=2,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$A1316=IMPORTRANGE(""https://docs.google.com/spreadsheets/d/1BJSV3WBYJGRhQ6zExamkszQ5VutGIcaQqmbD9ZTVXMQ/edit#gid=1251630045"",""articles_with_PRISMA_reasons!B2:B2113""))&lt;2),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$A1316=IMPORTRANGE(""https://docs.google.com/spreadsheets/d/1BJSV3WBYJGRhQ6zExamkszQ5VutGIcaQqmbD9ZTVXMQ/edit#gid=1251630045"",""a"&amp;"rticles_with_PRISMA_reasons!B2:B2113""))&lt;2,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$A1316=IMPORTRANGE(""https://docs.google"&amp;".com/spreadsheets/d/1BJSV3WBYJGRhQ6zExamkszQ5VutGIcaQqmbD9ZTVXMQ/edit#gid=1251630045"",""articles_with_PRISMA_reasons!B2:B2113""))&gt;=2),
""Exclude""
)"),"Exclude")</f>
        <v>Exclude</v>
      </c>
      <c r="E1316" s="5" t="str">
        <f>IFERROR(__xludf.DUMMYFUNCTION("IFS(
D1316=""Exclude"",""Exclude"",
AND(
FILTER(IMPORTRANGE(""https://docs.google.com/spreadsheets/d/1qpEmbGH0JjaJbUdp21-y2cPbobDbMjr09BbtdKROZWc/edit#gid=1444865654"",""articles_with_PRISMA_reasons!W2:W2113""), $A1316=IMPORTRANGE(""https://docs.google.co"&amp;"m/spreadsheets/d/1qpEmbGH0JjaJbUdp21-y2cPbobDbMjr09BbtdKROZWc/edit#gid=1444865654"",""articles_with_PRISMA_reasons!B2:B2113""))&gt;=2,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$A1316=IMPORTRANGE(""https://docs.google.com/spreadsheets/d/1qpEmbGH0JjaJbUdp21-y2cPbobDbMjr09BbtdKROZWc/edit#gid=1444865654"",""articles_with_PRISMA_reasons!B2:B2113""))&lt;2),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$A1316=IMPORTRANGE(""https://docs.google.com/spreadsheets/d/1qpEmbGH0JjaJbUdp21-y2cPbobDbMjr09Bbtd"&amp;"KROZWc/edit#gid=1444865654"",""articles_with_PRISMA_reasons!B2:B2113""))&lt;2,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$A1316=I"&amp;"MPORTRANGE(""https://docs.google.com/spreadsheets/d/1qpEmbGH0JjaJbUdp21-y2cPbobDbMjr09BbtdKROZWc/edit#gid=1444865654"",""articles_with_PRISMA_reasons!B2:B2113""))&gt;=2),
""Exclude""
)"),"Exclude")</f>
        <v>Exclude</v>
      </c>
      <c r="F1316" s="5" t="str">
        <f>IFERROR(__xludf.DUMMYFUNCTION("IFS(
E1316=""Exclude"",""Exclude"",
AND(
COUNTIF(
IMPORTRANGE(""https://docs.google.com/spreadsheets/d/1kGrh75X1cNR1D7_FcY9zMnHP8iPO4M5RCRjy6nZY0TY/edit#gid=0"",""Table 1: Study characteristics!B4:B171""),A1316)&gt;0,
COUNTIF(Studies!$A$2:$A$85,FILTER(IMPORT"&amp;"RANGE(""https://docs.google.com/spreadsheets/d/1kGrh75X1cNR1D7_FcY9zMnHP8iPO4M5RCRjy6nZY0TY/edit#gid=0"",""Table 1: Study characteristics!A4:A171""), $A1316=IMPORTRANGE(""https://docs.google.com/spreadsheets/d/1kGrh75X1cNR1D7_FcY9zMnHP8iPO4M5RCRjy6nZY0TY/"&amp;"edit#gid=0"",""Table 1: Study characteristics!B4:B171"")))&gt;0
),
""Include""
)"),"Exclude")</f>
        <v>Exclude</v>
      </c>
      <c r="G1316" s="5" t="str">
        <f>IFERROR(__xludf.DUMMYFUNCTION("IFS(
D1316=""Exclude"",
FILTER(IMPORTRANGE(""https://docs.google.com/spreadsheets/d/1BJSV3WBYJGRhQ6zExamkszQ5VutGIcaQqmbD9ZTVXMQ/edit#gid=1251630045"",""articles_with_PRISMA_reasons!AB2:AB2113""), $A1316=IMPORTRANGE(""https://docs.google.com/spreadsheets/"&amp;"d/1BJSV3WBYJGRhQ6zExamkszQ5VutGIcaQqmbD9ZTVXMQ/edit#gid=1251630045"",""articles_with_PRISMA_reasons!B2:B2113"")),
E1316=""Exclude"",
FILTER(IMPORTRANGE(""https://docs.google.com/spreadsheets/d/1qpEmbGH0JjaJbUdp21-y2cPbobDbMjr09BbtdKROZWc/edit#gid=14448656"&amp;"54"",""articles_with_PRISMA_reasons!Z2:Z2113""), $A1316=IMPORTRANGE(""https://docs.google.com/spreadsheets/d/1qpEmbGH0JjaJbUdp21-y2cPbobDbMjr09BbtdKROZWc/edit#gid=1444865654"",""articles_with_PRISMA_reasons!B2:B2113"")),F1316
=""Include"",FILTER(IMPORTRAN"&amp;"GE(""https://docs.google.com/spreadsheets/d/1kGrh75X1cNR1D7_FcY9zMnHP8iPO4M5RCRjy6nZY0TY/edit#gid=0"",""Table 1: Study characteristics!A4:A171""), $A1316=IMPORTRANGE(""https://docs.google.com/spreadsheets/d/1kGrh75X1cNR1D7_FcY9zMnHP8iPO4M5RCRjy6nZY0TY/edi"&amp;"t#gid=0"",""Table 1: Study characteristics!B4:B171""))
)"),"wrong study design")</f>
        <v>wrong study design</v>
      </c>
    </row>
    <row r="1317">
      <c r="A1317" s="4" t="str">
        <f>IFERROR(__xludf.DUMMYFUNCTION("""COMPUTED_VALUE"""),"Neuropathic arthropathy of the elbow in a paediatric patient with myelomeningocele")</f>
        <v>Neuropathic arthropathy of the elbow in a paediatric patient with myelomeningocele</v>
      </c>
      <c r="B1317" s="5" t="str">
        <f>IFERROR(__xludf.DUMMYFUNCTION("LEFT(FILTER(IMPORTRANGE(""https://docs.google.com/spreadsheets/d/1BJSV3WBYJGRhQ6zExamkszQ5VutGIcaQqmbD9ZTVXMQ/edit#gid=1251630045"",""articles_with_PRISMA_reasons!K2:K2113""), $A1317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$A1317=IMPORTRANGE(""https://docs.google.com/spreadsheets/d/1BJSV3WBYJGRhQ6zExamkszQ5VutGIcaQqmbD9ZTVXMQ/edit#gid=1251630045"",""articles_with_PRISMA_reasons!B2:B2113"")))-1)"),"Zimmermann")</f>
        <v>Zimmermann</v>
      </c>
      <c r="C1317" s="6">
        <f>IFERROR(__xludf.DUMMYFUNCTION("FILTER(IMPORTRANGE(""https://docs.google.com/spreadsheets/d/1BJSV3WBYJGRhQ6zExamkszQ5VutGIcaQqmbD9ZTVXMQ/edit#gid=1251630045"",""articles_with_PRISMA_reasons!C2:C2113""), $A1317=IMPORTRANGE(""https://docs.google.com/spreadsheets/d/1BJSV3WBYJGRhQ6zExamkszQ"&amp;"5VutGIcaQqmbD9ZTVXMQ/edit#gid=1251630045"",""articles_with_PRISMA_reasons!B2:B2113""))"),2007.0)</f>
        <v>2007</v>
      </c>
      <c r="D1317" s="5" t="str">
        <f>IFERROR(__xludf.DUMMYFUNCTION("IFS(AND(
FILTER(IMPORTRANGE(""https://docs.google.com/spreadsheets/d/1BJSV3WBYJGRhQ6zExamkszQ5VutGIcaQqmbD9ZTVXMQ/edit#gid=1251630045"",""articles_with_PRISMA_reasons!Y2:Y2113""), $A1317=IMPORTRANGE(""https://docs.google.com/spreadsheets/d/1BJSV3WBYJGRhQ6"&amp;"zExamkszQ5VutGIcaQqmbD9ZTVXMQ/edit#gid=1251630045"",""articles_with_PRISMA_reasons!B2:B2113""))&gt;=2,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$A1317=IMPORTRANGE(""https://docs.google.com/spreadsheets/d/1BJSV3WBYJGRhQ6zExamkszQ5VutGIcaQqmbD9ZTVXMQ/edit#gid=1251630045"",""articles_with_PRISMA_reasons!B2:B2113""))&lt;2),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$A1317=IMPORTRANGE(""https://docs.google.com/spreadsheets/d/1BJSV3WBYJGRhQ6zExamkszQ5VutGIcaQqmbD9ZTVXMQ/edit#gid=1251630045"",""a"&amp;"rticles_with_PRISMA_reasons!B2:B2113""))&lt;2,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$A1317=IMPORTRANGE(""https://docs.google"&amp;".com/spreadsheets/d/1BJSV3WBYJGRhQ6zExamkszQ5VutGIcaQqmbD9ZTVXMQ/edit#gid=1251630045"",""articles_with_PRISMA_reasons!B2:B2113""))&gt;=2),
""Exclude""
)"),"Exclude")</f>
        <v>Exclude</v>
      </c>
      <c r="E1317" s="5" t="str">
        <f>IFERROR(__xludf.DUMMYFUNCTION("IFS(
D1317=""Exclude"",""Exclude"",
AND(
FILTER(IMPORTRANGE(""https://docs.google.com/spreadsheets/d/1qpEmbGH0JjaJbUdp21-y2cPbobDbMjr09BbtdKROZWc/edit#gid=1444865654"",""articles_with_PRISMA_reasons!W2:W2113""), $A1317=IMPORTRANGE(""https://docs.google.co"&amp;"m/spreadsheets/d/1qpEmbGH0JjaJbUdp21-y2cPbobDbMjr09BbtdKROZWc/edit#gid=1444865654"",""articles_with_PRISMA_reasons!B2:B2113""))&gt;=2,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$A1317=IMPORTRANGE(""https://docs.google.com/spreadsheets/d/1qpEmbGH0JjaJbUdp21-y2cPbobDbMjr09BbtdKROZWc/edit#gid=1444865654"",""articles_with_PRISMA_reasons!B2:B2113""))&lt;2),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$A1317=IMPORTRANGE(""https://docs.google.com/spreadsheets/d/1qpEmbGH0JjaJbUdp21-y2cPbobDbMjr09Bbtd"&amp;"KROZWc/edit#gid=1444865654"",""articles_with_PRISMA_reasons!B2:B2113""))&lt;2,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$A1317=I"&amp;"MPORTRANGE(""https://docs.google.com/spreadsheets/d/1qpEmbGH0JjaJbUdp21-y2cPbobDbMjr09BbtdKROZWc/edit#gid=1444865654"",""articles_with_PRISMA_reasons!B2:B2113""))&gt;=2),
""Exclude""
)"),"Exclude")</f>
        <v>Exclude</v>
      </c>
      <c r="F1317" s="5" t="str">
        <f>IFERROR(__xludf.DUMMYFUNCTION("IFS(
E1317=""Exclude"",""Exclude"",
AND(
COUNTIF(
IMPORTRANGE(""https://docs.google.com/spreadsheets/d/1kGrh75X1cNR1D7_FcY9zMnHP8iPO4M5RCRjy6nZY0TY/edit#gid=0"",""Table 1: Study characteristics!B4:B171""),A1317)&gt;0,
COUNTIF(Studies!$A$2:$A$85,FILTER(IMPORT"&amp;"RANGE(""https://docs.google.com/spreadsheets/d/1kGrh75X1cNR1D7_FcY9zMnHP8iPO4M5RCRjy6nZY0TY/edit#gid=0"",""Table 1: Study characteristics!A4:A171""), $A1317=IMPORTRANGE(""https://docs.google.com/spreadsheets/d/1kGrh75X1cNR1D7_FcY9zMnHP8iPO4M5RCRjy6nZY0TY/"&amp;"edit#gid=0"",""Table 1: Study characteristics!B4:B171"")))&gt;0
),
""Include""
)"),"Exclude")</f>
        <v>Exclude</v>
      </c>
      <c r="G1317" s="5" t="str">
        <f>IFERROR(__xludf.DUMMYFUNCTION("IFS(
D1317=""Exclude"",
FILTER(IMPORTRANGE(""https://docs.google.com/spreadsheets/d/1BJSV3WBYJGRhQ6zExamkszQ5VutGIcaQqmbD9ZTVXMQ/edit#gid=1251630045"",""articles_with_PRISMA_reasons!AB2:AB2113""), $A1317=IMPORTRANGE(""https://docs.google.com/spreadsheets/"&amp;"d/1BJSV3WBYJGRhQ6zExamkszQ5VutGIcaQqmbD9ZTVXMQ/edit#gid=1251630045"",""articles_with_PRISMA_reasons!B2:B2113"")),
E1317=""Exclude"",
FILTER(IMPORTRANGE(""https://docs.google.com/spreadsheets/d/1qpEmbGH0JjaJbUdp21-y2cPbobDbMjr09BbtdKROZWc/edit#gid=14448656"&amp;"54"",""articles_with_PRISMA_reasons!Z2:Z2113""), $A1317=IMPORTRANGE(""https://docs.google.com/spreadsheets/d/1qpEmbGH0JjaJbUdp21-y2cPbobDbMjr09BbtdKROZWc/edit#gid=1444865654"",""articles_with_PRISMA_reasons!B2:B2113"")),F1317
=""Include"",FILTER(IMPORTRAN"&amp;"GE(""https://docs.google.com/spreadsheets/d/1kGrh75X1cNR1D7_FcY9zMnHP8iPO4M5RCRjy6nZY0TY/edit#gid=0"",""Table 1: Study characteristics!A4:A171""), $A1317=IMPORTRANGE(""https://docs.google.com/spreadsheets/d/1kGrh75X1cNR1D7_FcY9zMnHP8iPO4M5RCRjy6nZY0TY/edi"&amp;"t#gid=0"",""Table 1: Study characteristics!B4:B171""))
)"),"wrong publication type")</f>
        <v>wrong publication type</v>
      </c>
    </row>
    <row r="1318">
      <c r="A1318" s="4" t="str">
        <f>IFERROR(__xludf.DUMMYFUNCTION("""COMPUTED_VALUE"""),"Neuropathological hallmarks of fetal hydrocephalus linked to CCDC88C pathogenic variants")</f>
        <v>Neuropathological hallmarks of fetal hydrocephalus linked to CCDC88C pathogenic variants</v>
      </c>
      <c r="B1318" s="5" t="str">
        <f>IFERROR(__xludf.DUMMYFUNCTION("LEFT(FILTER(IMPORTRANGE(""https://docs.google.com/spreadsheets/d/1BJSV3WBYJGRhQ6zExamkszQ5VutGIcaQqmbD9ZTVXMQ/edit#gid=1251630045"",""articles_with_PRISMA_reasons!K2:K2113""), $A1318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$A1318=IMPORTRANGE(""https://docs.google.com/spreadsheets/d/1BJSV3WBYJGRhQ6zExamkszQ5VutGIcaQqmbD9ZTVXMQ/edit#gid=1251630045"",""articles_with_PRISMA_reasons!B2:B2113"")))-1)"),"Marguet")</f>
        <v>Marguet</v>
      </c>
      <c r="C1318" s="6">
        <f>IFERROR(__xludf.DUMMYFUNCTION("FILTER(IMPORTRANGE(""https://docs.google.com/spreadsheets/d/1BJSV3WBYJGRhQ6zExamkszQ5VutGIcaQqmbD9ZTVXMQ/edit#gid=1251630045"",""articles_with_PRISMA_reasons!C2:C2113""), $A1318=IMPORTRANGE(""https://docs.google.com/spreadsheets/d/1BJSV3WBYJGRhQ6zExamkszQ"&amp;"5VutGIcaQqmbD9ZTVXMQ/edit#gid=1251630045"",""articles_with_PRISMA_reasons!B2:B2113""))"),2021.0)</f>
        <v>2021</v>
      </c>
      <c r="D1318" s="5" t="str">
        <f>IFERROR(__xludf.DUMMYFUNCTION("IFS(AND(
FILTER(IMPORTRANGE(""https://docs.google.com/spreadsheets/d/1BJSV3WBYJGRhQ6zExamkszQ5VutGIcaQqmbD9ZTVXMQ/edit#gid=1251630045"",""articles_with_PRISMA_reasons!Y2:Y2113""), $A1318=IMPORTRANGE(""https://docs.google.com/spreadsheets/d/1BJSV3WBYJGRhQ6"&amp;"zExamkszQ5VutGIcaQqmbD9ZTVXMQ/edit#gid=1251630045"",""articles_with_PRISMA_reasons!B2:B2113""))&gt;=2,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$A1318=IMPORTRANGE(""https://docs.google.com/spreadsheets/d/1BJSV3WBYJGRhQ6zExamkszQ5VutGIcaQqmbD9ZTVXMQ/edit#gid=1251630045"",""articles_with_PRISMA_reasons!B2:B2113""))&lt;2),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$A1318=IMPORTRANGE(""https://docs.google.com/spreadsheets/d/1BJSV3WBYJGRhQ6zExamkszQ5VutGIcaQqmbD9ZTVXMQ/edit#gid=1251630045"",""a"&amp;"rticles_with_PRISMA_reasons!B2:B2113""))&lt;2,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$A1318=IMPORTRANGE(""https://docs.google"&amp;".com/spreadsheets/d/1BJSV3WBYJGRhQ6zExamkszQ5VutGIcaQqmbD9ZTVXMQ/edit#gid=1251630045"",""articles_with_PRISMA_reasons!B2:B2113""))&gt;=2),
""Exclude""
)"),"Exclude")</f>
        <v>Exclude</v>
      </c>
      <c r="E1318" s="5" t="str">
        <f>IFERROR(__xludf.DUMMYFUNCTION("IFS(
D1318=""Exclude"",""Exclude"",
AND(
FILTER(IMPORTRANGE(""https://docs.google.com/spreadsheets/d/1qpEmbGH0JjaJbUdp21-y2cPbobDbMjr09BbtdKROZWc/edit#gid=1444865654"",""articles_with_PRISMA_reasons!W2:W2113""), $A1318=IMPORTRANGE(""https://docs.google.co"&amp;"m/spreadsheets/d/1qpEmbGH0JjaJbUdp21-y2cPbobDbMjr09BbtdKROZWc/edit#gid=1444865654"",""articles_with_PRISMA_reasons!B2:B2113""))&gt;=2,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$A1318=IMPORTRANGE(""https://docs.google.com/spreadsheets/d/1qpEmbGH0JjaJbUdp21-y2cPbobDbMjr09BbtdKROZWc/edit#gid=1444865654"",""articles_with_PRISMA_reasons!B2:B2113""))&lt;2),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$A1318=IMPORTRANGE(""https://docs.google.com/spreadsheets/d/1qpEmbGH0JjaJbUdp21-y2cPbobDbMjr09Bbtd"&amp;"KROZWc/edit#gid=1444865654"",""articles_with_PRISMA_reasons!B2:B2113""))&lt;2,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$A1318=I"&amp;"MPORTRANGE(""https://docs.google.com/spreadsheets/d/1qpEmbGH0JjaJbUdp21-y2cPbobDbMjr09BbtdKROZWc/edit#gid=1444865654"",""articles_with_PRISMA_reasons!B2:B2113""))&gt;=2),
""Exclude""
)"),"Exclude")</f>
        <v>Exclude</v>
      </c>
      <c r="F1318" s="5" t="str">
        <f>IFERROR(__xludf.DUMMYFUNCTION("IFS(
E1318=""Exclude"",""Exclude"",
AND(
COUNTIF(
IMPORTRANGE(""https://docs.google.com/spreadsheets/d/1kGrh75X1cNR1D7_FcY9zMnHP8iPO4M5RCRjy6nZY0TY/edit#gid=0"",""Table 1: Study characteristics!B4:B171""),A1318)&gt;0,
COUNTIF(Studies!$A$2:$A$85,FILTER(IMPORT"&amp;"RANGE(""https://docs.google.com/spreadsheets/d/1kGrh75X1cNR1D7_FcY9zMnHP8iPO4M5RCRjy6nZY0TY/edit#gid=0"",""Table 1: Study characteristics!A4:A171""), $A1318=IMPORTRANGE(""https://docs.google.com/spreadsheets/d/1kGrh75X1cNR1D7_FcY9zMnHP8iPO4M5RCRjy6nZY0TY/"&amp;"edit#gid=0"",""Table 1: Study characteristics!B4:B171"")))&gt;0
),
""Include""
)"),"Exclude")</f>
        <v>Exclude</v>
      </c>
      <c r="G1318" s="5" t="str">
        <f>IFERROR(__xludf.DUMMYFUNCTION("IFS(
D1318=""Exclude"",
FILTER(IMPORTRANGE(""https://docs.google.com/spreadsheets/d/1BJSV3WBYJGRhQ6zExamkszQ5VutGIcaQqmbD9ZTVXMQ/edit#gid=1251630045"",""articles_with_PRISMA_reasons!AB2:AB2113""), $A1318=IMPORTRANGE(""https://docs.google.com/spreadsheets/"&amp;"d/1BJSV3WBYJGRhQ6zExamkszQ5VutGIcaQqmbD9ZTVXMQ/edit#gid=1251630045"",""articles_with_PRISMA_reasons!B2:B2113"")),
E1318=""Exclude"",
FILTER(IMPORTRANGE(""https://docs.google.com/spreadsheets/d/1qpEmbGH0JjaJbUdp21-y2cPbobDbMjr09BbtdKROZWc/edit#gid=14448656"&amp;"54"",""articles_with_PRISMA_reasons!Z2:Z2113""), $A1318=IMPORTRANGE(""https://docs.google.com/spreadsheets/d/1qpEmbGH0JjaJbUdp21-y2cPbobDbMjr09BbtdKROZWc/edit#gid=1444865654"",""articles_with_PRISMA_reasons!B2:B2113"")),F1318
=""Include"",FILTER(IMPORTRAN"&amp;"GE(""https://docs.google.com/spreadsheets/d/1kGrh75X1cNR1D7_FcY9zMnHP8iPO4M5RCRjy6nZY0TY/edit#gid=0"",""Table 1: Study characteristics!A4:A171""), $A1318=IMPORTRANGE(""https://docs.google.com/spreadsheets/d/1kGrh75X1cNR1D7_FcY9zMnHP8iPO4M5RCRjy6nZY0TY/edi"&amp;"t#gid=0"",""Table 1: Study characteristics!B4:B171""))
)"),"wrong study design")</f>
        <v>wrong study design</v>
      </c>
    </row>
    <row r="1319">
      <c r="A1319" s="4" t="str">
        <f>IFERROR(__xludf.DUMMYFUNCTION("""COMPUTED_VALUE"""),"Neuropathology of holoprosencephaly")</f>
        <v>Neuropathology of holoprosencephaly</v>
      </c>
      <c r="B1319" s="5" t="str">
        <f>IFERROR(__xludf.DUMMYFUNCTION("LEFT(FILTER(IMPORTRANGE(""https://docs.google.com/spreadsheets/d/1BJSV3WBYJGRhQ6zExamkszQ5VutGIcaQqmbD9ZTVXMQ/edit#gid=1251630045"",""articles_with_PRISMA_reasons!K2:K2113""), $A1319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$A1319=IMPORTRANGE(""https://docs.google.com/spreadsheets/d/1BJSV3WBYJGRhQ6zExamkszQ5VutGIcaQqmbD9ZTVXMQ/edit#gid=1251630045"",""articles_with_PRISMA_reasons!B2:B2113"")))-1)"),"Marcorelles")</f>
        <v>Marcorelles</v>
      </c>
      <c r="C1319" s="6">
        <f>IFERROR(__xludf.DUMMYFUNCTION("FILTER(IMPORTRANGE(""https://docs.google.com/spreadsheets/d/1BJSV3WBYJGRhQ6zExamkszQ5VutGIcaQqmbD9ZTVXMQ/edit#gid=1251630045"",""articles_with_PRISMA_reasons!C2:C2113""), $A1319=IMPORTRANGE(""https://docs.google.com/spreadsheets/d/1BJSV3WBYJGRhQ6zExamkszQ"&amp;"5VutGIcaQqmbD9ZTVXMQ/edit#gid=1251630045"",""articles_with_PRISMA_reasons!B2:B2113""))"),2010.0)</f>
        <v>2010</v>
      </c>
      <c r="D1319" s="5" t="str">
        <f>IFERROR(__xludf.DUMMYFUNCTION("IFS(AND(
FILTER(IMPORTRANGE(""https://docs.google.com/spreadsheets/d/1BJSV3WBYJGRhQ6zExamkszQ5VutGIcaQqmbD9ZTVXMQ/edit#gid=1251630045"",""articles_with_PRISMA_reasons!Y2:Y2113""), $A1319=IMPORTRANGE(""https://docs.google.com/spreadsheets/d/1BJSV3WBYJGRhQ6"&amp;"zExamkszQ5VutGIcaQqmbD9ZTVXMQ/edit#gid=1251630045"",""articles_with_PRISMA_reasons!B2:B2113""))&gt;=2,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$A1319=IMPORTRANGE(""https://docs.google.com/spreadsheets/d/1BJSV3WBYJGRhQ6zExamkszQ5VutGIcaQqmbD9ZTVXMQ/edit#gid=1251630045"",""articles_with_PRISMA_reasons!B2:B2113""))&lt;2),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$A1319=IMPORTRANGE(""https://docs.google.com/spreadsheets/d/1BJSV3WBYJGRhQ6zExamkszQ5VutGIcaQqmbD9ZTVXMQ/edit#gid=1251630045"",""a"&amp;"rticles_with_PRISMA_reasons!B2:B2113""))&lt;2,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$A1319=IMPORTRANGE(""https://docs.google"&amp;".com/spreadsheets/d/1BJSV3WBYJGRhQ6zExamkszQ5VutGIcaQqmbD9ZTVXMQ/edit#gid=1251630045"",""articles_with_PRISMA_reasons!B2:B2113""))&gt;=2),
""Exclude""
)"),"Exclude")</f>
        <v>Exclude</v>
      </c>
      <c r="E1319" s="5" t="str">
        <f>IFERROR(__xludf.DUMMYFUNCTION("IFS(
D1319=""Exclude"",""Exclude"",
AND(
FILTER(IMPORTRANGE(""https://docs.google.com/spreadsheets/d/1qpEmbGH0JjaJbUdp21-y2cPbobDbMjr09BbtdKROZWc/edit#gid=1444865654"",""articles_with_PRISMA_reasons!W2:W2113""), $A1319=IMPORTRANGE(""https://docs.google.co"&amp;"m/spreadsheets/d/1qpEmbGH0JjaJbUdp21-y2cPbobDbMjr09BbtdKROZWc/edit#gid=1444865654"",""articles_with_PRISMA_reasons!B2:B2113""))&gt;=2,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$A1319=IMPORTRANGE(""https://docs.google.com/spreadsheets/d/1qpEmbGH0JjaJbUdp21-y2cPbobDbMjr09BbtdKROZWc/edit#gid=1444865654"",""articles_with_PRISMA_reasons!B2:B2113""))&lt;2),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$A1319=IMPORTRANGE(""https://docs.google.com/spreadsheets/d/1qpEmbGH0JjaJbUdp21-y2cPbobDbMjr09Bbtd"&amp;"KROZWc/edit#gid=1444865654"",""articles_with_PRISMA_reasons!B2:B2113""))&lt;2,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$A1319=I"&amp;"MPORTRANGE(""https://docs.google.com/spreadsheets/d/1qpEmbGH0JjaJbUdp21-y2cPbobDbMjr09BbtdKROZWc/edit#gid=1444865654"",""articles_with_PRISMA_reasons!B2:B2113""))&gt;=2),
""Exclude""
)"),"Exclude")</f>
        <v>Exclude</v>
      </c>
      <c r="F1319" s="5" t="str">
        <f>IFERROR(__xludf.DUMMYFUNCTION("IFS(
E1319=""Exclude"",""Exclude"",
AND(
COUNTIF(
IMPORTRANGE(""https://docs.google.com/spreadsheets/d/1kGrh75X1cNR1D7_FcY9zMnHP8iPO4M5RCRjy6nZY0TY/edit#gid=0"",""Table 1: Study characteristics!B4:B171""),A1319)&gt;0,
COUNTIF(Studies!$A$2:$A$85,FILTER(IMPORT"&amp;"RANGE(""https://docs.google.com/spreadsheets/d/1kGrh75X1cNR1D7_FcY9zMnHP8iPO4M5RCRjy6nZY0TY/edit#gid=0"",""Table 1: Study characteristics!A4:A171""), $A1319=IMPORTRANGE(""https://docs.google.com/spreadsheets/d/1kGrh75X1cNR1D7_FcY9zMnHP8iPO4M5RCRjy6nZY0TY/"&amp;"edit#gid=0"",""Table 1: Study characteristics!B4:B171"")))&gt;0
),
""Include""
)"),"Exclude")</f>
        <v>Exclude</v>
      </c>
      <c r="G1319" s="5" t="str">
        <f>IFERROR(__xludf.DUMMYFUNCTION("IFS(
D1319=""Exclude"",
FILTER(IMPORTRANGE(""https://docs.google.com/spreadsheets/d/1BJSV3WBYJGRhQ6zExamkszQ5VutGIcaQqmbD9ZTVXMQ/edit#gid=1251630045"",""articles_with_PRISMA_reasons!AB2:AB2113""), $A1319=IMPORTRANGE(""https://docs.google.com/spreadsheets/"&amp;"d/1BJSV3WBYJGRhQ6zExamkszQ5VutGIcaQqmbD9ZTVXMQ/edit#gid=1251630045"",""articles_with_PRISMA_reasons!B2:B2113"")),
E1319=""Exclude"",
FILTER(IMPORTRANGE(""https://docs.google.com/spreadsheets/d/1qpEmbGH0JjaJbUdp21-y2cPbobDbMjr09BbtdKROZWc/edit#gid=14448656"&amp;"54"",""articles_with_PRISMA_reasons!Z2:Z2113""), $A1319=IMPORTRANGE(""https://docs.google.com/spreadsheets/d/1qpEmbGH0JjaJbUdp21-y2cPbobDbMjr09BbtdKROZWc/edit#gid=1444865654"",""articles_with_PRISMA_reasons!B2:B2113"")),F1319
=""Include"",FILTER(IMPORTRAN"&amp;"GE(""https://docs.google.com/spreadsheets/d/1kGrh75X1cNR1D7_FcY9zMnHP8iPO4M5RCRjy6nZY0TY/edit#gid=0"",""Table 1: Study characteristics!A4:A171""), $A1319=IMPORTRANGE(""https://docs.google.com/spreadsheets/d/1kGrh75X1cNR1D7_FcY9zMnHP8iPO4M5RCRjy6nZY0TY/edi"&amp;"t#gid=0"",""Table 1: Study characteristics!B4:B171""))
)"),"wrong study design")</f>
        <v>wrong study design</v>
      </c>
    </row>
    <row r="1320">
      <c r="A1320" s="4" t="str">
        <f>IFERROR(__xludf.DUMMYFUNCTION("""COMPUTED_VALUE"""),"Neuropsychological assessment of attention in children with spina bifida")</f>
        <v>Neuropsychological assessment of attention in children with spina bifida</v>
      </c>
      <c r="B1320" s="5" t="str">
        <f>IFERROR(__xludf.DUMMYFUNCTION("LEFT(FILTER(IMPORTRANGE(""https://docs.google.com/spreadsheets/d/1BJSV3WBYJGRhQ6zExamkszQ5VutGIcaQqmbD9ZTVXMQ/edit#gid=1251630045"",""articles_with_PRISMA_reasons!K2:K2113""), $A1320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$A1320=IMPORTRANGE(""https://docs.google.com/spreadsheets/d/1BJSV3WBYJGRhQ6zExamkszQ5VutGIcaQqmbD9ZTVXMQ/edit#gid=1251630045"",""articles_with_PRISMA_reasons!B2:B2113"")))-1)"),"Maassen")</f>
        <v>Maassen</v>
      </c>
      <c r="C1320" s="6">
        <f>IFERROR(__xludf.DUMMYFUNCTION("FILTER(IMPORTRANGE(""https://docs.google.com/spreadsheets/d/1BJSV3WBYJGRhQ6zExamkszQ5VutGIcaQqmbD9ZTVXMQ/edit#gid=1251630045"",""articles_with_PRISMA_reasons!C2:C2113""), $A1320=IMPORTRANGE(""https://docs.google.com/spreadsheets/d/1BJSV3WBYJGRhQ6zExamkszQ"&amp;"5VutGIcaQqmbD9ZTVXMQ/edit#gid=1251630045"",""articles_with_PRISMA_reasons!B2:B2113""))"),2009.0)</f>
        <v>2009</v>
      </c>
      <c r="D1320" s="5" t="str">
        <f>IFERROR(__xludf.DUMMYFUNCTION("IFS(AND(
FILTER(IMPORTRANGE(""https://docs.google.com/spreadsheets/d/1BJSV3WBYJGRhQ6zExamkszQ5VutGIcaQqmbD9ZTVXMQ/edit#gid=1251630045"",""articles_with_PRISMA_reasons!Y2:Y2113""), $A1320=IMPORTRANGE(""https://docs.google.com/spreadsheets/d/1BJSV3WBYJGRhQ6"&amp;"zExamkszQ5VutGIcaQqmbD9ZTVXMQ/edit#gid=1251630045"",""articles_with_PRISMA_reasons!B2:B2113""))&gt;=2,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$A1320=IMPORTRANGE(""https://docs.google.com/spreadsheets/d/1BJSV3WBYJGRhQ6zExamkszQ5VutGIcaQqmbD9ZTVXMQ/edit#gid=1251630045"",""articles_with_PRISMA_reasons!B2:B2113""))&lt;2),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$A1320=IMPORTRANGE(""https://docs.google.com/spreadsheets/d/1BJSV3WBYJGRhQ6zExamkszQ5VutGIcaQqmbD9ZTVXMQ/edit#gid=1251630045"",""a"&amp;"rticles_with_PRISMA_reasons!B2:B2113""))&lt;2,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$A1320=IMPORTRANGE(""https://docs.google"&amp;".com/spreadsheets/d/1BJSV3WBYJGRhQ6zExamkszQ5VutGIcaQqmbD9ZTVXMQ/edit#gid=1251630045"",""articles_with_PRISMA_reasons!B2:B2113""))&gt;=2),
""Exclude""
)"),"Exclude")</f>
        <v>Exclude</v>
      </c>
      <c r="E1320" s="5" t="str">
        <f>IFERROR(__xludf.DUMMYFUNCTION("IFS(
D1320=""Exclude"",""Exclude"",
AND(
FILTER(IMPORTRANGE(""https://docs.google.com/spreadsheets/d/1qpEmbGH0JjaJbUdp21-y2cPbobDbMjr09BbtdKROZWc/edit#gid=1444865654"",""articles_with_PRISMA_reasons!W2:W2113""), $A1320=IMPORTRANGE(""https://docs.google.co"&amp;"m/spreadsheets/d/1qpEmbGH0JjaJbUdp21-y2cPbobDbMjr09BbtdKROZWc/edit#gid=1444865654"",""articles_with_PRISMA_reasons!B2:B2113""))&gt;=2,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$A1320=IMPORTRANGE(""https://docs.google.com/spreadsheets/d/1qpEmbGH0JjaJbUdp21-y2cPbobDbMjr09BbtdKROZWc/edit#gid=1444865654"",""articles_with_PRISMA_reasons!B2:B2113""))&lt;2),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$A1320=IMPORTRANGE(""https://docs.google.com/spreadsheets/d/1qpEmbGH0JjaJbUdp21-y2cPbobDbMjr09Bbtd"&amp;"KROZWc/edit#gid=1444865654"",""articles_with_PRISMA_reasons!B2:B2113""))&lt;2,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$A1320=I"&amp;"MPORTRANGE(""https://docs.google.com/spreadsheets/d/1qpEmbGH0JjaJbUdp21-y2cPbobDbMjr09BbtdKROZWc/edit#gid=1444865654"",""articles_with_PRISMA_reasons!B2:B2113""))&gt;=2),
""Exclude""
)"),"Exclude")</f>
        <v>Exclude</v>
      </c>
      <c r="F1320" s="5" t="str">
        <f>IFERROR(__xludf.DUMMYFUNCTION("IFS(
E1320=""Exclude"",""Exclude"",
AND(
COUNTIF(
IMPORTRANGE(""https://docs.google.com/spreadsheets/d/1kGrh75X1cNR1D7_FcY9zMnHP8iPO4M5RCRjy6nZY0TY/edit#gid=0"",""Table 1: Study characteristics!B4:B171""),A1320)&gt;0,
COUNTIF(Studies!$A$2:$A$85,FILTER(IMPORT"&amp;"RANGE(""https://docs.google.com/spreadsheets/d/1kGrh75X1cNR1D7_FcY9zMnHP8iPO4M5RCRjy6nZY0TY/edit#gid=0"",""Table 1: Study characteristics!A4:A171""), $A1320=IMPORTRANGE(""https://docs.google.com/spreadsheets/d/1kGrh75X1cNR1D7_FcY9zMnHP8iPO4M5RCRjy6nZY0TY/"&amp;"edit#gid=0"",""Table 1: Study characteristics!B4:B171"")))&gt;0
),
""Include""
)"),"Exclude")</f>
        <v>Exclude</v>
      </c>
      <c r="G1320" s="5" t="str">
        <f>IFERROR(__xludf.DUMMYFUNCTION("IFS(
D1320=""Exclude"",
FILTER(IMPORTRANGE(""https://docs.google.com/spreadsheets/d/1BJSV3WBYJGRhQ6zExamkszQ5VutGIcaQqmbD9ZTVXMQ/edit#gid=1251630045"",""articles_with_PRISMA_reasons!AB2:AB2113""), $A1320=IMPORTRANGE(""https://docs.google.com/spreadsheets/"&amp;"d/1BJSV3WBYJGRhQ6zExamkszQ5VutGIcaQqmbD9ZTVXMQ/edit#gid=1251630045"",""articles_with_PRISMA_reasons!B2:B2113"")),
E1320=""Exclude"",
FILTER(IMPORTRANGE(""https://docs.google.com/spreadsheets/d/1qpEmbGH0JjaJbUdp21-y2cPbobDbMjr09BbtdKROZWc/edit#gid=14448656"&amp;"54"",""articles_with_PRISMA_reasons!Z2:Z2113""), $A1320=IMPORTRANGE(""https://docs.google.com/spreadsheets/d/1qpEmbGH0JjaJbUdp21-y2cPbobDbMjr09BbtdKROZWc/edit#gid=1444865654"",""articles_with_PRISMA_reasons!B2:B2113"")),F1320
=""Include"",FILTER(IMPORTRAN"&amp;"GE(""https://docs.google.com/spreadsheets/d/1kGrh75X1cNR1D7_FcY9zMnHP8iPO4M5RCRjy6nZY0TY/edit#gid=0"",""Table 1: Study characteristics!A4:A171""), $A1320=IMPORTRANGE(""https://docs.google.com/spreadsheets/d/1kGrh75X1cNR1D7_FcY9zMnHP8iPO4M5RCRjy6nZY0TY/edi"&amp;"t#gid=0"",""Table 1: Study characteristics!B4:B171""))
)"),"wrong population")</f>
        <v>wrong population</v>
      </c>
    </row>
    <row r="1321">
      <c r="A1321" s="4" t="str">
        <f>IFERROR(__xludf.DUMMYFUNCTION("""COMPUTED_VALUE"""),"Neuropsychological impairment in early-onset hydrocephalus and epilepsy with continuous spike-waves during slow-wave sleep: A case report and literature review")</f>
        <v>Neuropsychological impairment in early-onset hydrocephalus and epilepsy with continuous spike-waves during slow-wave sleep: A case report and literature review</v>
      </c>
      <c r="B1321" s="5" t="str">
        <f>IFERROR(__xludf.DUMMYFUNCTION("LEFT(FILTER(IMPORTRANGE(""https://docs.google.com/spreadsheets/d/1BJSV3WBYJGRhQ6zExamkszQ5VutGIcaQqmbD9ZTVXMQ/edit#gid=1251630045"",""articles_with_PRISMA_reasons!K2:K2113""), $A1321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$A1321=IMPORTRANGE(""https://docs.google.com/spreadsheets/d/1BJSV3WBYJGRhQ6zExamkszQ5VutGIcaQqmbD9ZTVXMQ/edit#gid=1251630045"",""articles_with_PRISMA_reasons!B2:B2113"")))-1)"),"Posar")</f>
        <v>Posar</v>
      </c>
      <c r="C1321" s="6">
        <f>IFERROR(__xludf.DUMMYFUNCTION("FILTER(IMPORTRANGE(""https://docs.google.com/spreadsheets/d/1BJSV3WBYJGRhQ6zExamkszQ5VutGIcaQqmbD9ZTVXMQ/edit#gid=1251630045"",""articles_with_PRISMA_reasons!C2:C2113""), $A1321=IMPORTRANGE(""https://docs.google.com/spreadsheets/d/1BJSV3WBYJGRhQ6zExamkszQ"&amp;"5VutGIcaQqmbD9ZTVXMQ/edit#gid=1251630045"",""articles_with_PRISMA_reasons!B2:B2113""))"),2013.0)</f>
        <v>2013</v>
      </c>
      <c r="D1321" s="5" t="str">
        <f>IFERROR(__xludf.DUMMYFUNCTION("IFS(AND(
FILTER(IMPORTRANGE(""https://docs.google.com/spreadsheets/d/1BJSV3WBYJGRhQ6zExamkszQ5VutGIcaQqmbD9ZTVXMQ/edit#gid=1251630045"",""articles_with_PRISMA_reasons!Y2:Y2113""), $A1321=IMPORTRANGE(""https://docs.google.com/spreadsheets/d/1BJSV3WBYJGRhQ6"&amp;"zExamkszQ5VutGIcaQqmbD9ZTVXMQ/edit#gid=1251630045"",""articles_with_PRISMA_reasons!B2:B2113""))&gt;=2,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$A1321=IMPORTRANGE(""https://docs.google.com/spreadsheets/d/1BJSV3WBYJGRhQ6zExamkszQ5VutGIcaQqmbD9ZTVXMQ/edit#gid=1251630045"",""articles_with_PRISMA_reasons!B2:B2113""))&lt;2),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$A1321=IMPORTRANGE(""https://docs.google.com/spreadsheets/d/1BJSV3WBYJGRhQ6zExamkszQ5VutGIcaQqmbD9ZTVXMQ/edit#gid=1251630045"",""a"&amp;"rticles_with_PRISMA_reasons!B2:B2113""))&lt;2,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$A1321=IMPORTRANGE(""https://docs.google"&amp;".com/spreadsheets/d/1BJSV3WBYJGRhQ6zExamkszQ5VutGIcaQqmbD9ZTVXMQ/edit#gid=1251630045"",""articles_with_PRISMA_reasons!B2:B2113""))&gt;=2),
""Exclude""
)"),"Exclude")</f>
        <v>Exclude</v>
      </c>
      <c r="E1321" s="5" t="str">
        <f>IFERROR(__xludf.DUMMYFUNCTION("IFS(
D1321=""Exclude"",""Exclude"",
AND(
FILTER(IMPORTRANGE(""https://docs.google.com/spreadsheets/d/1qpEmbGH0JjaJbUdp21-y2cPbobDbMjr09BbtdKROZWc/edit#gid=1444865654"",""articles_with_PRISMA_reasons!W2:W2113""), $A1321=IMPORTRANGE(""https://docs.google.co"&amp;"m/spreadsheets/d/1qpEmbGH0JjaJbUdp21-y2cPbobDbMjr09BbtdKROZWc/edit#gid=1444865654"",""articles_with_PRISMA_reasons!B2:B2113""))&gt;=2,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$A1321=IMPORTRANGE(""https://docs.google.com/spreadsheets/d/1qpEmbGH0JjaJbUdp21-y2cPbobDbMjr09BbtdKROZWc/edit#gid=1444865654"",""articles_with_PRISMA_reasons!B2:B2113""))&lt;2),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$A1321=IMPORTRANGE(""https://docs.google.com/spreadsheets/d/1qpEmbGH0JjaJbUdp21-y2cPbobDbMjr09Bbtd"&amp;"KROZWc/edit#gid=1444865654"",""articles_with_PRISMA_reasons!B2:B2113""))&lt;2,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$A1321=I"&amp;"MPORTRANGE(""https://docs.google.com/spreadsheets/d/1qpEmbGH0JjaJbUdp21-y2cPbobDbMjr09BbtdKROZWc/edit#gid=1444865654"",""articles_with_PRISMA_reasons!B2:B2113""))&gt;=2),
""Exclude""
)"),"Exclude")</f>
        <v>Exclude</v>
      </c>
      <c r="F1321" s="5" t="str">
        <f>IFERROR(__xludf.DUMMYFUNCTION("IFS(
E1321=""Exclude"",""Exclude"",
AND(
COUNTIF(
IMPORTRANGE(""https://docs.google.com/spreadsheets/d/1kGrh75X1cNR1D7_FcY9zMnHP8iPO4M5RCRjy6nZY0TY/edit#gid=0"",""Table 1: Study characteristics!B4:B171""),A1321)&gt;0,
COUNTIF(Studies!$A$2:$A$85,FILTER(IMPORT"&amp;"RANGE(""https://docs.google.com/spreadsheets/d/1kGrh75X1cNR1D7_FcY9zMnHP8iPO4M5RCRjy6nZY0TY/edit#gid=0"",""Table 1: Study characteristics!A4:A171""), $A1321=IMPORTRANGE(""https://docs.google.com/spreadsheets/d/1kGrh75X1cNR1D7_FcY9zMnHP8iPO4M5RCRjy6nZY0TY/"&amp;"edit#gid=0"",""Table 1: Study characteristics!B4:B171"")))&gt;0
),
""Include""
)"),"Exclude")</f>
        <v>Exclude</v>
      </c>
      <c r="G1321" s="5" t="str">
        <f>IFERROR(__xludf.DUMMYFUNCTION("IFS(
D1321=""Exclude"",
FILTER(IMPORTRANGE(""https://docs.google.com/spreadsheets/d/1BJSV3WBYJGRhQ6zExamkszQ5VutGIcaQqmbD9ZTVXMQ/edit#gid=1251630045"",""articles_with_PRISMA_reasons!AB2:AB2113""), $A1321=IMPORTRANGE(""https://docs.google.com/spreadsheets/"&amp;"d/1BJSV3WBYJGRhQ6zExamkszQ5VutGIcaQqmbD9ZTVXMQ/edit#gid=1251630045"",""articles_with_PRISMA_reasons!B2:B2113"")),
E1321=""Exclude"",
FILTER(IMPORTRANGE(""https://docs.google.com/spreadsheets/d/1qpEmbGH0JjaJbUdp21-y2cPbobDbMjr09BbtdKROZWc/edit#gid=14448656"&amp;"54"",""articles_with_PRISMA_reasons!Z2:Z2113""), $A1321=IMPORTRANGE(""https://docs.google.com/spreadsheets/d/1qpEmbGH0JjaJbUdp21-y2cPbobDbMjr09BbtdKROZWc/edit#gid=1444865654"",""articles_with_PRISMA_reasons!B2:B2113"")),F1321
=""Include"",FILTER(IMPORTRAN"&amp;"GE(""https://docs.google.com/spreadsheets/d/1kGrh75X1cNR1D7_FcY9zMnHP8iPO4M5RCRjy6nZY0TY/edit#gid=0"",""Table 1: Study characteristics!A4:A171""), $A1321=IMPORTRANGE(""https://docs.google.com/spreadsheets/d/1kGrh75X1cNR1D7_FcY9zMnHP8iPO4M5RCRjy6nZY0TY/edi"&amp;"t#gid=0"",""Table 1: Study characteristics!B4:B171""))
)"),"wrong study design")</f>
        <v>wrong study design</v>
      </c>
    </row>
    <row r="1322">
      <c r="A1322" s="4" t="str">
        <f>IFERROR(__xludf.DUMMYFUNCTION("""COMPUTED_VALUE"""),"Neuropsychological profile in spina bifida and hidrocephalus")</f>
        <v>Neuropsychological profile in spina bifida and hidrocephalus</v>
      </c>
      <c r="B1322" s="5" t="str">
        <f>IFERROR(__xludf.DUMMYFUNCTION("LEFT(FILTER(IMPORTRANGE(""https://docs.google.com/spreadsheets/d/1BJSV3WBYJGRhQ6zExamkszQ5VutGIcaQqmbD9ZTVXMQ/edit#gid=1251630045"",""articles_with_PRISMA_reasons!K2:K2113""), $A1322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$A1322=IMPORTRANGE(""https://docs.google.com/spreadsheets/d/1BJSV3WBYJGRhQ6zExamkszQ5VutGIcaQqmbD9ZTVXMQ/edit#gid=1251630045"",""articles_with_PRISMA_reasons!B2:B2113"")))-1)"),"Munoz Marron")</f>
        <v>Munoz Marron</v>
      </c>
      <c r="C1322" s="6">
        <f>IFERROR(__xludf.DUMMYFUNCTION("FILTER(IMPORTRANGE(""https://docs.google.com/spreadsheets/d/1BJSV3WBYJGRhQ6zExamkszQ5VutGIcaQqmbD9ZTVXMQ/edit#gid=1251630045"",""articles_with_PRISMA_reasons!C2:C2113""), $A1322=IMPORTRANGE(""https://docs.google.com/spreadsheets/d/1BJSV3WBYJGRhQ6zExamkszQ"&amp;"5VutGIcaQqmbD9ZTVXMQ/edit#gid=1251630045"",""articles_with_PRISMA_reasons!B2:B2113""))"),2007.0)</f>
        <v>2007</v>
      </c>
      <c r="D1322" s="5" t="str">
        <f>IFERROR(__xludf.DUMMYFUNCTION("IFS(AND(
FILTER(IMPORTRANGE(""https://docs.google.com/spreadsheets/d/1BJSV3WBYJGRhQ6zExamkszQ5VutGIcaQqmbD9ZTVXMQ/edit#gid=1251630045"",""articles_with_PRISMA_reasons!Y2:Y2113""), $A1322=IMPORTRANGE(""https://docs.google.com/spreadsheets/d/1BJSV3WBYJGRhQ6"&amp;"zExamkszQ5VutGIcaQqmbD9ZTVXMQ/edit#gid=1251630045"",""articles_with_PRISMA_reasons!B2:B2113""))&gt;=2,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$A1322=IMPORTRANGE(""https://docs.google.com/spreadsheets/d/1BJSV3WBYJGRhQ6zExamkszQ5VutGIcaQqmbD9ZTVXMQ/edit#gid=1251630045"",""articles_with_PRISMA_reasons!B2:B2113""))&lt;2),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$A1322=IMPORTRANGE(""https://docs.google.com/spreadsheets/d/1BJSV3WBYJGRhQ6zExamkszQ5VutGIcaQqmbD9ZTVXMQ/edit#gid=1251630045"",""a"&amp;"rticles_with_PRISMA_reasons!B2:B2113""))&lt;2,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$A1322=IMPORTRANGE(""https://docs.google"&amp;".com/spreadsheets/d/1BJSV3WBYJGRhQ6zExamkszQ5VutGIcaQqmbD9ZTVXMQ/edit#gid=1251630045"",""articles_with_PRISMA_reasons!B2:B2113""))&gt;=2),
""Exclude""
)"),"Exclude")</f>
        <v>Exclude</v>
      </c>
      <c r="E1322" s="5" t="str">
        <f>IFERROR(__xludf.DUMMYFUNCTION("IFS(
D1322=""Exclude"",""Exclude"",
AND(
FILTER(IMPORTRANGE(""https://docs.google.com/spreadsheets/d/1qpEmbGH0JjaJbUdp21-y2cPbobDbMjr09BbtdKROZWc/edit#gid=1444865654"",""articles_with_PRISMA_reasons!W2:W2113""), $A1322=IMPORTRANGE(""https://docs.google.co"&amp;"m/spreadsheets/d/1qpEmbGH0JjaJbUdp21-y2cPbobDbMjr09BbtdKROZWc/edit#gid=1444865654"",""articles_with_PRISMA_reasons!B2:B2113""))&gt;=2,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$A1322=IMPORTRANGE(""https://docs.google.com/spreadsheets/d/1qpEmbGH0JjaJbUdp21-y2cPbobDbMjr09BbtdKROZWc/edit#gid=1444865654"",""articles_with_PRISMA_reasons!B2:B2113""))&lt;2),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$A1322=IMPORTRANGE(""https://docs.google.com/spreadsheets/d/1qpEmbGH0JjaJbUdp21-y2cPbobDbMjr09Bbtd"&amp;"KROZWc/edit#gid=1444865654"",""articles_with_PRISMA_reasons!B2:B2113""))&lt;2,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$A1322=I"&amp;"MPORTRANGE(""https://docs.google.com/spreadsheets/d/1qpEmbGH0JjaJbUdp21-y2cPbobDbMjr09BbtdKROZWc/edit#gid=1444865654"",""articles_with_PRISMA_reasons!B2:B2113""))&gt;=2),
""Exclude""
)"),"Exclude")</f>
        <v>Exclude</v>
      </c>
      <c r="F1322" s="5" t="str">
        <f>IFERROR(__xludf.DUMMYFUNCTION("IFS(
E1322=""Exclude"",""Exclude"",
AND(
COUNTIF(
IMPORTRANGE(""https://docs.google.com/spreadsheets/d/1kGrh75X1cNR1D7_FcY9zMnHP8iPO4M5RCRjy6nZY0TY/edit#gid=0"",""Table 1: Study characteristics!B4:B171""),A1322)&gt;0,
COUNTIF(Studies!$A$2:$A$85,FILTER(IMPORT"&amp;"RANGE(""https://docs.google.com/spreadsheets/d/1kGrh75X1cNR1D7_FcY9zMnHP8iPO4M5RCRjy6nZY0TY/edit#gid=0"",""Table 1: Study characteristics!A4:A171""), $A1322=IMPORTRANGE(""https://docs.google.com/spreadsheets/d/1kGrh75X1cNR1D7_FcY9zMnHP8iPO4M5RCRjy6nZY0TY/"&amp;"edit#gid=0"",""Table 1: Study characteristics!B4:B171"")))&gt;0
),
""Include""
)"),"Exclude")</f>
        <v>Exclude</v>
      </c>
      <c r="G1322" s="5" t="str">
        <f>IFERROR(__xludf.DUMMYFUNCTION("IFS(
D1322=""Exclude"",
FILTER(IMPORTRANGE(""https://docs.google.com/spreadsheets/d/1BJSV3WBYJGRhQ6zExamkszQ5VutGIcaQqmbD9ZTVXMQ/edit#gid=1251630045"",""articles_with_PRISMA_reasons!AB2:AB2113""), $A1322=IMPORTRANGE(""https://docs.google.com/spreadsheets/"&amp;"d/1BJSV3WBYJGRhQ6zExamkszQ5VutGIcaQqmbD9ZTVXMQ/edit#gid=1251630045"",""articles_with_PRISMA_reasons!B2:B2113"")),
E1322=""Exclude"",
FILTER(IMPORTRANGE(""https://docs.google.com/spreadsheets/d/1qpEmbGH0JjaJbUdp21-y2cPbobDbMjr09BbtdKROZWc/edit#gid=14448656"&amp;"54"",""articles_with_PRISMA_reasons!Z2:Z2113""), $A1322=IMPORTRANGE(""https://docs.google.com/spreadsheets/d/1qpEmbGH0JjaJbUdp21-y2cPbobDbMjr09BbtdKROZWc/edit#gid=1444865654"",""articles_with_PRISMA_reasons!B2:B2113"")),F1322
=""Include"",FILTER(IMPORTRAN"&amp;"GE(""https://docs.google.com/spreadsheets/d/1kGrh75X1cNR1D7_FcY9zMnHP8iPO4M5RCRjy6nZY0TY/edit#gid=0"",""Table 1: Study characteristics!A4:A171""), $A1322=IMPORTRANGE(""https://docs.google.com/spreadsheets/d/1kGrh75X1cNR1D7_FcY9zMnHP8iPO4M5RCRjy6nZY0TY/edi"&amp;"t#gid=0"",""Table 1: Study characteristics!B4:B171""))
)"),"wrong population")</f>
        <v>wrong population</v>
      </c>
    </row>
    <row r="1323">
      <c r="A1323" s="4" t="str">
        <f>IFERROR(__xludf.DUMMYFUNCTION("""COMPUTED_VALUE"""),"Neuropsychological profiles in children and young adults with spina bifida")</f>
        <v>Neuropsychological profiles in children and young adults with spina bifida</v>
      </c>
      <c r="B1323" s="5" t="str">
        <f>IFERROR(__xludf.DUMMYFUNCTION("LEFT(FILTER(IMPORTRANGE(""https://docs.google.com/spreadsheets/d/1BJSV3WBYJGRhQ6zExamkszQ5VutGIcaQqmbD9ZTVXMQ/edit#gid=1251630045"",""articles_with_PRISMA_reasons!K2:K2113""), $A1323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$A1323=IMPORTRANGE(""https://docs.google.com/spreadsheets/d/1BJSV3WBYJGRhQ6zExamkszQ5VutGIcaQqmbD9ZTVXMQ/edit#gid=1251630045"",""articles_with_PRISMA_reasons!B2:B2113"")))-1)"),"Rendeli")</f>
        <v>Rendeli</v>
      </c>
      <c r="C1323" s="6">
        <f>IFERROR(__xludf.DUMMYFUNCTION("FILTER(IMPORTRANGE(""https://docs.google.com/spreadsheets/d/1BJSV3WBYJGRhQ6zExamkszQ5VutGIcaQqmbD9ZTVXMQ/edit#gid=1251630045"",""articles_with_PRISMA_reasons!C2:C2113""), $A1323=IMPORTRANGE(""https://docs.google.com/spreadsheets/d/1BJSV3WBYJGRhQ6zExamkszQ"&amp;"5VutGIcaQqmbD9ZTVXMQ/edit#gid=1251630045"",""articles_with_PRISMA_reasons!B2:B2113""))"),2021.0)</f>
        <v>2021</v>
      </c>
      <c r="D1323" s="5" t="str">
        <f>IFERROR(__xludf.DUMMYFUNCTION("IFS(AND(
FILTER(IMPORTRANGE(""https://docs.google.com/spreadsheets/d/1BJSV3WBYJGRhQ6zExamkszQ5VutGIcaQqmbD9ZTVXMQ/edit#gid=1251630045"",""articles_with_PRISMA_reasons!Y2:Y2113""), $A1323=IMPORTRANGE(""https://docs.google.com/spreadsheets/d/1BJSV3WBYJGRhQ6"&amp;"zExamkszQ5VutGIcaQqmbD9ZTVXMQ/edit#gid=1251630045"",""articles_with_PRISMA_reasons!B2:B2113""))&gt;=2,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$A1323=IMPORTRANGE(""https://docs.google.com/spreadsheets/d/1BJSV3WBYJGRhQ6zExamkszQ5VutGIcaQqmbD9ZTVXMQ/edit#gid=1251630045"",""articles_with_PRISMA_reasons!B2:B2113""))&lt;2),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$A1323=IMPORTRANGE(""https://docs.google.com/spreadsheets/d/1BJSV3WBYJGRhQ6zExamkszQ5VutGIcaQqmbD9ZTVXMQ/edit#gid=1251630045"",""a"&amp;"rticles_with_PRISMA_reasons!B2:B2113""))&lt;2,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$A1323=IMPORTRANGE(""https://docs.google"&amp;".com/spreadsheets/d/1BJSV3WBYJGRhQ6zExamkszQ5VutGIcaQqmbD9ZTVXMQ/edit#gid=1251630045"",""articles_with_PRISMA_reasons!B2:B2113""))&gt;=2),
""Exclude""
)"),"Exclude")</f>
        <v>Exclude</v>
      </c>
      <c r="E1323" s="5" t="str">
        <f>IFERROR(__xludf.DUMMYFUNCTION("IFS(
D1323=""Exclude"",""Exclude"",
AND(
FILTER(IMPORTRANGE(""https://docs.google.com/spreadsheets/d/1qpEmbGH0JjaJbUdp21-y2cPbobDbMjr09BbtdKROZWc/edit#gid=1444865654"",""articles_with_PRISMA_reasons!W2:W2113""), $A1323=IMPORTRANGE(""https://docs.google.co"&amp;"m/spreadsheets/d/1qpEmbGH0JjaJbUdp21-y2cPbobDbMjr09BbtdKROZWc/edit#gid=1444865654"",""articles_with_PRISMA_reasons!B2:B2113""))&gt;=2,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$A1323=IMPORTRANGE(""https://docs.google.com/spreadsheets/d/1qpEmbGH0JjaJbUdp21-y2cPbobDbMjr09BbtdKROZWc/edit#gid=1444865654"",""articles_with_PRISMA_reasons!B2:B2113""))&lt;2),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$A1323=IMPORTRANGE(""https://docs.google.com/spreadsheets/d/1qpEmbGH0JjaJbUdp21-y2cPbobDbMjr09Bbtd"&amp;"KROZWc/edit#gid=1444865654"",""articles_with_PRISMA_reasons!B2:B2113""))&lt;2,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$A1323=I"&amp;"MPORTRANGE(""https://docs.google.com/spreadsheets/d/1qpEmbGH0JjaJbUdp21-y2cPbobDbMjr09BbtdKROZWc/edit#gid=1444865654"",""articles_with_PRISMA_reasons!B2:B2113""))&gt;=2),
""Exclude""
)"),"Exclude")</f>
        <v>Exclude</v>
      </c>
      <c r="F1323" s="5" t="str">
        <f>IFERROR(__xludf.DUMMYFUNCTION("IFS(
E1323=""Exclude"",""Exclude"",
AND(
COUNTIF(
IMPORTRANGE(""https://docs.google.com/spreadsheets/d/1kGrh75X1cNR1D7_FcY9zMnHP8iPO4M5RCRjy6nZY0TY/edit#gid=0"",""Table 1: Study characteristics!B4:B171""),A1323)&gt;0,
COUNTIF(Studies!$A$2:$A$85,FILTER(IMPORT"&amp;"RANGE(""https://docs.google.com/spreadsheets/d/1kGrh75X1cNR1D7_FcY9zMnHP8iPO4M5RCRjy6nZY0TY/edit#gid=0"",""Table 1: Study characteristics!A4:A171""), $A1323=IMPORTRANGE(""https://docs.google.com/spreadsheets/d/1kGrh75X1cNR1D7_FcY9zMnHP8iPO4M5RCRjy6nZY0TY/"&amp;"edit#gid=0"",""Table 1: Study characteristics!B4:B171"")))&gt;0
),
""Include""
)"),"Exclude")</f>
        <v>Exclude</v>
      </c>
      <c r="G1323" s="5" t="str">
        <f>IFERROR(__xludf.DUMMYFUNCTION("IFS(
D1323=""Exclude"",
FILTER(IMPORTRANGE(""https://docs.google.com/spreadsheets/d/1BJSV3WBYJGRhQ6zExamkszQ5VutGIcaQqmbD9ZTVXMQ/edit#gid=1251630045"",""articles_with_PRISMA_reasons!AB2:AB2113""), $A1323=IMPORTRANGE(""https://docs.google.com/spreadsheets/"&amp;"d/1BJSV3WBYJGRhQ6zExamkszQ5VutGIcaQqmbD9ZTVXMQ/edit#gid=1251630045"",""articles_with_PRISMA_reasons!B2:B2113"")),
E1323=""Exclude"",
FILTER(IMPORTRANGE(""https://docs.google.com/spreadsheets/d/1qpEmbGH0JjaJbUdp21-y2cPbobDbMjr09BbtdKROZWc/edit#gid=14448656"&amp;"54"",""articles_with_PRISMA_reasons!Z2:Z2113""), $A1323=IMPORTRANGE(""https://docs.google.com/spreadsheets/d/1qpEmbGH0JjaJbUdp21-y2cPbobDbMjr09BbtdKROZWc/edit#gid=1444865654"",""articles_with_PRISMA_reasons!B2:B2113"")),F1323
=""Include"",FILTER(IMPORTRAN"&amp;"GE(""https://docs.google.com/spreadsheets/d/1kGrh75X1cNR1D7_FcY9zMnHP8iPO4M5RCRjy6nZY0TY/edit#gid=0"",""Table 1: Study characteristics!A4:A171""), $A1323=IMPORTRANGE(""https://docs.google.com/spreadsheets/d/1kGrh75X1cNR1D7_FcY9zMnHP8iPO4M5RCRjy6nZY0TY/edi"&amp;"t#gid=0"",""Table 1: Study characteristics!B4:B171""))
)"),"wrong population")</f>
        <v>wrong population</v>
      </c>
    </row>
    <row r="1324">
      <c r="A1324" s="4" t="str">
        <f>IFERROR(__xludf.DUMMYFUNCTION("""COMPUTED_VALUE"""),"Neuropsychological profiles of children with aqueductal stenosis and Spina Bifida myelomeningocele")</f>
        <v>Neuropsychological profiles of children with aqueductal stenosis and Spina Bifida myelomeningocele</v>
      </c>
      <c r="B1324" s="5" t="str">
        <f>IFERROR(__xludf.DUMMYFUNCTION("LEFT(FILTER(IMPORTRANGE(""https://docs.google.com/spreadsheets/d/1BJSV3WBYJGRhQ6zExamkszQ5VutGIcaQqmbD9ZTVXMQ/edit#gid=1251630045"",""articles_with_PRISMA_reasons!K2:K2113""), $A1324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$A1324=IMPORTRANGE(""https://docs.google.com/spreadsheets/d/1BJSV3WBYJGRhQ6zExamkszQ5VutGIcaQqmbD9ZTVXMQ/edit#gid=1251630045"",""articles_with_PRISMA_reasons!B2:B2113"")))-1)"),"Hampton")</f>
        <v>Hampton</v>
      </c>
      <c r="C1324" s="6">
        <f>IFERROR(__xludf.DUMMYFUNCTION("FILTER(IMPORTRANGE(""https://docs.google.com/spreadsheets/d/1BJSV3WBYJGRhQ6zExamkszQ5VutGIcaQqmbD9ZTVXMQ/edit#gid=1251630045"",""articles_with_PRISMA_reasons!C2:C2113""), $A1324=IMPORTRANGE(""https://docs.google.com/spreadsheets/d/1BJSV3WBYJGRhQ6zExamkszQ"&amp;"5VutGIcaQqmbD9ZTVXMQ/edit#gid=1251630045"",""articles_with_PRISMA_reasons!B2:B2113""))"),2013.0)</f>
        <v>2013</v>
      </c>
      <c r="D1324" s="5" t="str">
        <f>IFERROR(__xludf.DUMMYFUNCTION("IFS(AND(
FILTER(IMPORTRANGE(""https://docs.google.com/spreadsheets/d/1BJSV3WBYJGRhQ6zExamkszQ5VutGIcaQqmbD9ZTVXMQ/edit#gid=1251630045"",""articles_with_PRISMA_reasons!Y2:Y2113""), $A1324=IMPORTRANGE(""https://docs.google.com/spreadsheets/d/1BJSV3WBYJGRhQ6"&amp;"zExamkszQ5VutGIcaQqmbD9ZTVXMQ/edit#gid=1251630045"",""articles_with_PRISMA_reasons!B2:B2113""))&gt;=2,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$A1324=IMPORTRANGE(""https://docs.google.com/spreadsheets/d/1BJSV3WBYJGRhQ6zExamkszQ5VutGIcaQqmbD9ZTVXMQ/edit#gid=1251630045"",""articles_with_PRISMA_reasons!B2:B2113""))&lt;2),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$A1324=IMPORTRANGE(""https://docs.google.com/spreadsheets/d/1BJSV3WBYJGRhQ6zExamkszQ5VutGIcaQqmbD9ZTVXMQ/edit#gid=1251630045"",""a"&amp;"rticles_with_PRISMA_reasons!B2:B2113""))&lt;2,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$A1324=IMPORTRANGE(""https://docs.google"&amp;".com/spreadsheets/d/1BJSV3WBYJGRhQ6zExamkszQ5VutGIcaQqmbD9ZTVXMQ/edit#gid=1251630045"",""articles_with_PRISMA_reasons!B2:B2113""))&gt;=2),
""Exclude""
)"),"Exclude")</f>
        <v>Exclude</v>
      </c>
      <c r="E1324" s="5" t="str">
        <f>IFERROR(__xludf.DUMMYFUNCTION("IFS(
D1324=""Exclude"",""Exclude"",
AND(
FILTER(IMPORTRANGE(""https://docs.google.com/spreadsheets/d/1qpEmbGH0JjaJbUdp21-y2cPbobDbMjr09BbtdKROZWc/edit#gid=1444865654"",""articles_with_PRISMA_reasons!W2:W2113""), $A1324=IMPORTRANGE(""https://docs.google.co"&amp;"m/spreadsheets/d/1qpEmbGH0JjaJbUdp21-y2cPbobDbMjr09BbtdKROZWc/edit#gid=1444865654"",""articles_with_PRISMA_reasons!B2:B2113""))&gt;=2,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$A1324=IMPORTRANGE(""https://docs.google.com/spreadsheets/d/1qpEmbGH0JjaJbUdp21-y2cPbobDbMjr09BbtdKROZWc/edit#gid=1444865654"",""articles_with_PRISMA_reasons!B2:B2113""))&lt;2),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$A1324=IMPORTRANGE(""https://docs.google.com/spreadsheets/d/1qpEmbGH0JjaJbUdp21-y2cPbobDbMjr09Bbtd"&amp;"KROZWc/edit#gid=1444865654"",""articles_with_PRISMA_reasons!B2:B2113""))&lt;2,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$A1324=I"&amp;"MPORTRANGE(""https://docs.google.com/spreadsheets/d/1qpEmbGH0JjaJbUdp21-y2cPbobDbMjr09BbtdKROZWc/edit#gid=1444865654"",""articles_with_PRISMA_reasons!B2:B2113""))&gt;=2),
""Exclude""
)"),"Exclude")</f>
        <v>Exclude</v>
      </c>
      <c r="F1324" s="5" t="str">
        <f>IFERROR(__xludf.DUMMYFUNCTION("IFS(
E1324=""Exclude"",""Exclude"",
AND(
COUNTIF(
IMPORTRANGE(""https://docs.google.com/spreadsheets/d/1kGrh75X1cNR1D7_FcY9zMnHP8iPO4M5RCRjy6nZY0TY/edit#gid=0"",""Table 1: Study characteristics!B4:B171""),A1324)&gt;0,
COUNTIF(Studies!$A$2:$A$85,FILTER(IMPORT"&amp;"RANGE(""https://docs.google.com/spreadsheets/d/1kGrh75X1cNR1D7_FcY9zMnHP8iPO4M5RCRjy6nZY0TY/edit#gid=0"",""Table 1: Study characteristics!A4:A171""), $A1324=IMPORTRANGE(""https://docs.google.com/spreadsheets/d/1kGrh75X1cNR1D7_FcY9zMnHP8iPO4M5RCRjy6nZY0TY/"&amp;"edit#gid=0"",""Table 1: Study characteristics!B4:B171"")))&gt;0
),
""Include""
)"),"Exclude")</f>
        <v>Exclude</v>
      </c>
      <c r="G1324" s="5" t="str">
        <f>IFERROR(__xludf.DUMMYFUNCTION("IFS(
D1324=""Exclude"",
FILTER(IMPORTRANGE(""https://docs.google.com/spreadsheets/d/1BJSV3WBYJGRhQ6zExamkszQ5VutGIcaQqmbD9ZTVXMQ/edit#gid=1251630045"",""articles_with_PRISMA_reasons!AB2:AB2113""), $A1324=IMPORTRANGE(""https://docs.google.com/spreadsheets/"&amp;"d/1BJSV3WBYJGRhQ6zExamkszQ5VutGIcaQqmbD9ZTVXMQ/edit#gid=1251630045"",""articles_with_PRISMA_reasons!B2:B2113"")),
E1324=""Exclude"",
FILTER(IMPORTRANGE(""https://docs.google.com/spreadsheets/d/1qpEmbGH0JjaJbUdp21-y2cPbobDbMjr09BbtdKROZWc/edit#gid=14448656"&amp;"54"",""articles_with_PRISMA_reasons!Z2:Z2113""), $A1324=IMPORTRANGE(""https://docs.google.com/spreadsheets/d/1qpEmbGH0JjaJbUdp21-y2cPbobDbMjr09BbtdKROZWc/edit#gid=1444865654"",""articles_with_PRISMA_reasons!B2:B2113"")),F1324
=""Include"",FILTER(IMPORTRAN"&amp;"GE(""https://docs.google.com/spreadsheets/d/1kGrh75X1cNR1D7_FcY9zMnHP8iPO4M5RCRjy6nZY0TY/edit#gid=0"",""Table 1: Study characteristics!A4:A171""), $A1324=IMPORTRANGE(""https://docs.google.com/spreadsheets/d/1kGrh75X1cNR1D7_FcY9zMnHP8iPO4M5RCRjy6nZY0TY/edi"&amp;"t#gid=0"",""Table 1: Study characteristics!B4:B171""))
)"),"Duplicate")</f>
        <v>Duplicate</v>
      </c>
    </row>
    <row r="1325">
      <c r="A1325" s="4" t="str">
        <f>IFERROR(__xludf.DUMMYFUNCTION("""COMPUTED_VALUE"""),"Neurosonography")</f>
        <v>Neurosonography</v>
      </c>
      <c r="B1325" s="5" t="str">
        <f>IFERROR(__xludf.DUMMYFUNCTION("LEFT(FILTER(IMPORTRANGE(""https://docs.google.com/spreadsheets/d/1BJSV3WBYJGRhQ6zExamkszQ5VutGIcaQqmbD9ZTVXMQ/edit#gid=1251630045"",""articles_with_PRISMA_reasons!K2:K2113""), $A1325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$A1325=IMPORTRANGE(""https://docs.google.com/spreadsheets/d/1BJSV3WBYJGRhQ6zExamkszQ5VutGIcaQqmbD9ZTVXMQ/edit#gid=1251630045"",""articles_with_PRISMA_reasons!B2:B2113"")))-1)"),"Barr")</f>
        <v>Barr</v>
      </c>
      <c r="C1325" s="6">
        <f>IFERROR(__xludf.DUMMYFUNCTION("FILTER(IMPORTRANGE(""https://docs.google.com/spreadsheets/d/1BJSV3WBYJGRhQ6zExamkszQ5VutGIcaQqmbD9ZTVXMQ/edit#gid=1251630045"",""articles_with_PRISMA_reasons!C2:C2113""), $A1325=IMPORTRANGE(""https://docs.google.com/spreadsheets/d/1BJSV3WBYJGRhQ6zExamkszQ"&amp;"5VutGIcaQqmbD9ZTVXMQ/edit#gid=1251630045"",""articles_with_PRISMA_reasons!B2:B2113""))"),2009.0)</f>
        <v>2009</v>
      </c>
      <c r="D1325" s="5" t="str">
        <f>IFERROR(__xludf.DUMMYFUNCTION("IFS(AND(
FILTER(IMPORTRANGE(""https://docs.google.com/spreadsheets/d/1BJSV3WBYJGRhQ6zExamkszQ5VutGIcaQqmbD9ZTVXMQ/edit#gid=1251630045"",""articles_with_PRISMA_reasons!Y2:Y2113""), $A1325=IMPORTRANGE(""https://docs.google.com/spreadsheets/d/1BJSV3WBYJGRhQ6"&amp;"zExamkszQ5VutGIcaQqmbD9ZTVXMQ/edit#gid=1251630045"",""articles_with_PRISMA_reasons!B2:B2113""))&gt;=2,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$A1325=IMPORTRANGE(""https://docs.google.com/spreadsheets/d/1BJSV3WBYJGRhQ6zExamkszQ5VutGIcaQqmbD9ZTVXMQ/edit#gid=1251630045"",""articles_with_PRISMA_reasons!B2:B2113""))&lt;2),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$A1325=IMPORTRANGE(""https://docs.google.com/spreadsheets/d/1BJSV3WBYJGRhQ6zExamkszQ5VutGIcaQqmbD9ZTVXMQ/edit#gid=1251630045"",""a"&amp;"rticles_with_PRISMA_reasons!B2:B2113""))&lt;2,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$A1325=IMPORTRANGE(""https://docs.google"&amp;".com/spreadsheets/d/1BJSV3WBYJGRhQ6zExamkszQ5VutGIcaQqmbD9ZTVXMQ/edit#gid=1251630045"",""articles_with_PRISMA_reasons!B2:B2113""))&gt;=2),
""Exclude""
)"),"Exclude")</f>
        <v>Exclude</v>
      </c>
      <c r="E1325" s="5" t="str">
        <f>IFERROR(__xludf.DUMMYFUNCTION("IFS(
D1325=""Exclude"",""Exclude"",
AND(
FILTER(IMPORTRANGE(""https://docs.google.com/spreadsheets/d/1qpEmbGH0JjaJbUdp21-y2cPbobDbMjr09BbtdKROZWc/edit#gid=1444865654"",""articles_with_PRISMA_reasons!W2:W2113""), $A1325=IMPORTRANGE(""https://docs.google.co"&amp;"m/spreadsheets/d/1qpEmbGH0JjaJbUdp21-y2cPbobDbMjr09BbtdKROZWc/edit#gid=1444865654"",""articles_with_PRISMA_reasons!B2:B2113""))&gt;=2,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$A1325=IMPORTRANGE(""https://docs.google.com/spreadsheets/d/1qpEmbGH0JjaJbUdp21-y2cPbobDbMjr09BbtdKROZWc/edit#gid=1444865654"",""articles_with_PRISMA_reasons!B2:B2113""))&lt;2),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$A1325=IMPORTRANGE(""https://docs.google.com/spreadsheets/d/1qpEmbGH0JjaJbUdp21-y2cPbobDbMjr09Bbtd"&amp;"KROZWc/edit#gid=1444865654"",""articles_with_PRISMA_reasons!B2:B2113""))&lt;2,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$A1325=I"&amp;"MPORTRANGE(""https://docs.google.com/spreadsheets/d/1qpEmbGH0JjaJbUdp21-y2cPbobDbMjr09BbtdKROZWc/edit#gid=1444865654"",""articles_with_PRISMA_reasons!B2:B2113""))&gt;=2),
""Exclude""
)"),"Exclude")</f>
        <v>Exclude</v>
      </c>
      <c r="F1325" s="5" t="str">
        <f>IFERROR(__xludf.DUMMYFUNCTION("IFS(
E1325=""Exclude"",""Exclude"",
AND(
COUNTIF(
IMPORTRANGE(""https://docs.google.com/spreadsheets/d/1kGrh75X1cNR1D7_FcY9zMnHP8iPO4M5RCRjy6nZY0TY/edit#gid=0"",""Table 1: Study characteristics!B4:B171""),A1325)&gt;0,
COUNTIF(Studies!$A$2:$A$85,FILTER(IMPORT"&amp;"RANGE(""https://docs.google.com/spreadsheets/d/1kGrh75X1cNR1D7_FcY9zMnHP8iPO4M5RCRjy6nZY0TY/edit#gid=0"",""Table 1: Study characteristics!A4:A171""), $A1325=IMPORTRANGE(""https://docs.google.com/spreadsheets/d/1kGrh75X1cNR1D7_FcY9zMnHP8iPO4M5RCRjy6nZY0TY/"&amp;"edit#gid=0"",""Table 1: Study characteristics!B4:B171"")))&gt;0
),
""Include""
)"),"Exclude")</f>
        <v>Exclude</v>
      </c>
      <c r="G1325" s="5" t="str">
        <f>IFERROR(__xludf.DUMMYFUNCTION("IFS(
D1325=""Exclude"",
FILTER(IMPORTRANGE(""https://docs.google.com/spreadsheets/d/1BJSV3WBYJGRhQ6zExamkszQ5VutGIcaQqmbD9ZTVXMQ/edit#gid=1251630045"",""articles_with_PRISMA_reasons!AB2:AB2113""), $A1325=IMPORTRANGE(""https://docs.google.com/spreadsheets/"&amp;"d/1BJSV3WBYJGRhQ6zExamkszQ5VutGIcaQqmbD9ZTVXMQ/edit#gid=1251630045"",""articles_with_PRISMA_reasons!B2:B2113"")),
E1325=""Exclude"",
FILTER(IMPORTRANGE(""https://docs.google.com/spreadsheets/d/1qpEmbGH0JjaJbUdp21-y2cPbobDbMjr09BbtdKROZWc/edit#gid=14448656"&amp;"54"",""articles_with_PRISMA_reasons!Z2:Z2113""), $A1325=IMPORTRANGE(""https://docs.google.com/spreadsheets/d/1qpEmbGH0JjaJbUdp21-y2cPbobDbMjr09BbtdKROZWc/edit#gid=1444865654"",""articles_with_PRISMA_reasons!B2:B2113"")),F1325
=""Include"",FILTER(IMPORTRAN"&amp;"GE(""https://docs.google.com/spreadsheets/d/1kGrh75X1cNR1D7_FcY9zMnHP8iPO4M5RCRjy6nZY0TY/edit#gid=0"",""Table 1: Study characteristics!A4:A171""), $A1325=IMPORTRANGE(""https://docs.google.com/spreadsheets/d/1kGrh75X1cNR1D7_FcY9zMnHP8iPO4M5RCRjy6nZY0TY/edi"&amp;"t#gid=0"",""Table 1: Study characteristics!B4:B171""))
)"),"wrong study design")</f>
        <v>wrong study design</v>
      </c>
    </row>
    <row r="1326">
      <c r="A1326" s="4" t="str">
        <f>IFERROR(__xludf.DUMMYFUNCTION("""COMPUTED_VALUE"""),"Neurosurgery fetal-news and prospects")</f>
        <v>Neurosurgery fetal-news and prospects</v>
      </c>
      <c r="B1326" s="5" t="str">
        <f>IFERROR(__xludf.DUMMYFUNCTION("LEFT(FILTER(IMPORTRANGE(""https://docs.google.com/spreadsheets/d/1BJSV3WBYJGRhQ6zExamkszQ5VutGIcaQqmbD9ZTVXMQ/edit#gid=1251630045"",""articles_with_PRISMA_reasons!K2:K2113""), $A1326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$A1326=IMPORTRANGE(""https://docs.google.com/spreadsheets/d/1BJSV3WBYJGRhQ6zExamkszQ5VutGIcaQqmbD9ZTVXMQ/edit#gid=1251630045"",""articles_with_PRISMA_reasons!B2:B2113"")))-1)"),"Zanon")</f>
        <v>Zanon</v>
      </c>
      <c r="C1326" s="6">
        <f>IFERROR(__xludf.DUMMYFUNCTION("FILTER(IMPORTRANGE(""https://docs.google.com/spreadsheets/d/1BJSV3WBYJGRhQ6zExamkszQ5VutGIcaQqmbD9ZTVXMQ/edit#gid=1251630045"",""articles_with_PRISMA_reasons!C2:C2113""), $A1326=IMPORTRANGE(""https://docs.google.com/spreadsheets/d/1BJSV3WBYJGRhQ6zExamkszQ"&amp;"5VutGIcaQqmbD9ZTVXMQ/edit#gid=1251630045"",""articles_with_PRISMA_reasons!B2:B2113""))"),2014.0)</f>
        <v>2014</v>
      </c>
      <c r="D1326" s="5" t="str">
        <f>IFERROR(__xludf.DUMMYFUNCTION("IFS(AND(
FILTER(IMPORTRANGE(""https://docs.google.com/spreadsheets/d/1BJSV3WBYJGRhQ6zExamkszQ5VutGIcaQqmbD9ZTVXMQ/edit#gid=1251630045"",""articles_with_PRISMA_reasons!Y2:Y2113""), $A1326=IMPORTRANGE(""https://docs.google.com/spreadsheets/d/1BJSV3WBYJGRhQ6"&amp;"zExamkszQ5VutGIcaQqmbD9ZTVXMQ/edit#gid=1251630045"",""articles_with_PRISMA_reasons!B2:B2113""))&gt;=2,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$A1326=IMPORTRANGE(""https://docs.google.com/spreadsheets/d/1BJSV3WBYJGRhQ6zExamkszQ5VutGIcaQqmbD9ZTVXMQ/edit#gid=1251630045"",""articles_with_PRISMA_reasons!B2:B2113""))&lt;2),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$A1326=IMPORTRANGE(""https://docs.google.com/spreadsheets/d/1BJSV3WBYJGRhQ6zExamkszQ5VutGIcaQqmbD9ZTVXMQ/edit#gid=1251630045"",""a"&amp;"rticles_with_PRISMA_reasons!B2:B2113""))&lt;2,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$A1326=IMPORTRANGE(""https://docs.google"&amp;".com/spreadsheets/d/1BJSV3WBYJGRhQ6zExamkszQ5VutGIcaQqmbD9ZTVXMQ/edit#gid=1251630045"",""articles_with_PRISMA_reasons!B2:B2113""))&gt;=2),
""Exclude""
)"),"Exclude")</f>
        <v>Exclude</v>
      </c>
      <c r="E1326" s="5" t="str">
        <f>IFERROR(__xludf.DUMMYFUNCTION("IFS(
D1326=""Exclude"",""Exclude"",
AND(
FILTER(IMPORTRANGE(""https://docs.google.com/spreadsheets/d/1qpEmbGH0JjaJbUdp21-y2cPbobDbMjr09BbtdKROZWc/edit#gid=1444865654"",""articles_with_PRISMA_reasons!W2:W2113""), $A1326=IMPORTRANGE(""https://docs.google.co"&amp;"m/spreadsheets/d/1qpEmbGH0JjaJbUdp21-y2cPbobDbMjr09BbtdKROZWc/edit#gid=1444865654"",""articles_with_PRISMA_reasons!B2:B2113""))&gt;=2,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$A1326=IMPORTRANGE(""https://docs.google.com/spreadsheets/d/1qpEmbGH0JjaJbUdp21-y2cPbobDbMjr09BbtdKROZWc/edit#gid=1444865654"",""articles_with_PRISMA_reasons!B2:B2113""))&lt;2),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$A1326=IMPORTRANGE(""https://docs.google.com/spreadsheets/d/1qpEmbGH0JjaJbUdp21-y2cPbobDbMjr09Bbtd"&amp;"KROZWc/edit#gid=1444865654"",""articles_with_PRISMA_reasons!B2:B2113""))&lt;2,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$A1326=I"&amp;"MPORTRANGE(""https://docs.google.com/spreadsheets/d/1qpEmbGH0JjaJbUdp21-y2cPbobDbMjr09BbtdKROZWc/edit#gid=1444865654"",""articles_with_PRISMA_reasons!B2:B2113""))&gt;=2),
""Exclude""
)"),"Exclude")</f>
        <v>Exclude</v>
      </c>
      <c r="F1326" s="5" t="str">
        <f>IFERROR(__xludf.DUMMYFUNCTION("IFS(
E1326=""Exclude"",""Exclude"",
AND(
COUNTIF(
IMPORTRANGE(""https://docs.google.com/spreadsheets/d/1kGrh75X1cNR1D7_FcY9zMnHP8iPO4M5RCRjy6nZY0TY/edit#gid=0"",""Table 1: Study characteristics!B4:B171""),A1326)&gt;0,
COUNTIF(Studies!$A$2:$A$85,FILTER(IMPORT"&amp;"RANGE(""https://docs.google.com/spreadsheets/d/1kGrh75X1cNR1D7_FcY9zMnHP8iPO4M5RCRjy6nZY0TY/edit#gid=0"",""Table 1: Study characteristics!A4:A171""), $A1326=IMPORTRANGE(""https://docs.google.com/spreadsheets/d/1kGrh75X1cNR1D7_FcY9zMnHP8iPO4M5RCRjy6nZY0TY/"&amp;"edit#gid=0"",""Table 1: Study characteristics!B4:B171"")))&gt;0
),
""Include""
)"),"Exclude")</f>
        <v>Exclude</v>
      </c>
      <c r="G1326" s="5" t="str">
        <f>IFERROR(__xludf.DUMMYFUNCTION("IFS(
D1326=""Exclude"",
FILTER(IMPORTRANGE(""https://docs.google.com/spreadsheets/d/1BJSV3WBYJGRhQ6zExamkszQ5VutGIcaQqmbD9ZTVXMQ/edit#gid=1251630045"",""articles_with_PRISMA_reasons!AB2:AB2113""), $A1326=IMPORTRANGE(""https://docs.google.com/spreadsheets/"&amp;"d/1BJSV3WBYJGRhQ6zExamkszQ5VutGIcaQqmbD9ZTVXMQ/edit#gid=1251630045"",""articles_with_PRISMA_reasons!B2:B2113"")),
E1326=""Exclude"",
FILTER(IMPORTRANGE(""https://docs.google.com/spreadsheets/d/1qpEmbGH0JjaJbUdp21-y2cPbobDbMjr09BbtdKROZWc/edit#gid=14448656"&amp;"54"",""articles_with_PRISMA_reasons!Z2:Z2113""), $A1326=IMPORTRANGE(""https://docs.google.com/spreadsheets/d/1qpEmbGH0JjaJbUdp21-y2cPbobDbMjr09BbtdKROZWc/edit#gid=1444865654"",""articles_with_PRISMA_reasons!B2:B2113"")),F1326
=""Include"",FILTER(IMPORTRAN"&amp;"GE(""https://docs.google.com/spreadsheets/d/1kGrh75X1cNR1D7_FcY9zMnHP8iPO4M5RCRjy6nZY0TY/edit#gid=0"",""Table 1: Study characteristics!A4:A171""), $A1326=IMPORTRANGE(""https://docs.google.com/spreadsheets/d/1kGrh75X1cNR1D7_FcY9zMnHP8iPO4M5RCRjy6nZY0TY/edi"&amp;"t#gid=0"",""Table 1: Study characteristics!B4:B171""))
)"),"wrong study design")</f>
        <v>wrong study design</v>
      </c>
    </row>
    <row r="1327">
      <c r="A1327" s="4" t="str">
        <f>IFERROR(__xludf.DUMMYFUNCTION("""COMPUTED_VALUE"""),"Neurosurgery guidelines for the care of people with spina bifida")</f>
        <v>Neurosurgery guidelines for the care of people with spina bifida</v>
      </c>
      <c r="B1327" s="5" t="str">
        <f>IFERROR(__xludf.DUMMYFUNCTION("LEFT(FILTER(IMPORTRANGE(""https://docs.google.com/spreadsheets/d/1BJSV3WBYJGRhQ6zExamkszQ5VutGIcaQqmbD9ZTVXMQ/edit#gid=1251630045"",""articles_with_PRISMA_reasons!K2:K2113""), $A1327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$A1327=IMPORTRANGE(""https://docs.google.com/spreadsheets/d/1BJSV3WBYJGRhQ6zExamkszQ5VutGIcaQqmbD9ZTVXMQ/edit#gid=1251630045"",""articles_with_PRISMA_reasons!B2:B2113"")))-1)"),"Blount")</f>
        <v>Blount</v>
      </c>
      <c r="C1327" s="6">
        <f>IFERROR(__xludf.DUMMYFUNCTION("FILTER(IMPORTRANGE(""https://docs.google.com/spreadsheets/d/1BJSV3WBYJGRhQ6zExamkszQ5VutGIcaQqmbD9ZTVXMQ/edit#gid=1251630045"",""articles_with_PRISMA_reasons!C2:C2113""), $A1327=IMPORTRANGE(""https://docs.google.com/spreadsheets/d/1BJSV3WBYJGRhQ6zExamkszQ"&amp;"5VutGIcaQqmbD9ZTVXMQ/edit#gid=1251630045"",""articles_with_PRISMA_reasons!B2:B2113""))"),2020.0)</f>
        <v>2020</v>
      </c>
      <c r="D1327" s="5" t="str">
        <f>IFERROR(__xludf.DUMMYFUNCTION("IFS(AND(
FILTER(IMPORTRANGE(""https://docs.google.com/spreadsheets/d/1BJSV3WBYJGRhQ6zExamkszQ5VutGIcaQqmbD9ZTVXMQ/edit#gid=1251630045"",""articles_with_PRISMA_reasons!Y2:Y2113""), $A1327=IMPORTRANGE(""https://docs.google.com/spreadsheets/d/1BJSV3WBYJGRhQ6"&amp;"zExamkszQ5VutGIcaQqmbD9ZTVXMQ/edit#gid=1251630045"",""articles_with_PRISMA_reasons!B2:B2113""))&gt;=2,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$A1327=IMPORTRANGE(""https://docs.google.com/spreadsheets/d/1BJSV3WBYJGRhQ6zExamkszQ5VutGIcaQqmbD9ZTVXMQ/edit#gid=1251630045"",""articles_with_PRISMA_reasons!B2:B2113""))&lt;2),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$A1327=IMPORTRANGE(""https://docs.google.com/spreadsheets/d/1BJSV3WBYJGRhQ6zExamkszQ5VutGIcaQqmbD9ZTVXMQ/edit#gid=1251630045"",""a"&amp;"rticles_with_PRISMA_reasons!B2:B2113""))&lt;2,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$A1327=IMPORTRANGE(""https://docs.google"&amp;".com/spreadsheets/d/1BJSV3WBYJGRhQ6zExamkszQ5VutGIcaQqmbD9ZTVXMQ/edit#gid=1251630045"",""articles_with_PRISMA_reasons!B2:B2113""))&gt;=2),
""Exclude""
)"),"Exclude")</f>
        <v>Exclude</v>
      </c>
      <c r="E1327" s="5" t="str">
        <f>IFERROR(__xludf.DUMMYFUNCTION("IFS(
D1327=""Exclude"",""Exclude"",
AND(
FILTER(IMPORTRANGE(""https://docs.google.com/spreadsheets/d/1qpEmbGH0JjaJbUdp21-y2cPbobDbMjr09BbtdKROZWc/edit#gid=1444865654"",""articles_with_PRISMA_reasons!W2:W2113""), $A1327=IMPORTRANGE(""https://docs.google.co"&amp;"m/spreadsheets/d/1qpEmbGH0JjaJbUdp21-y2cPbobDbMjr09BbtdKROZWc/edit#gid=1444865654"",""articles_with_PRISMA_reasons!B2:B2113""))&gt;=2,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$A1327=IMPORTRANGE(""https://docs.google.com/spreadsheets/d/1qpEmbGH0JjaJbUdp21-y2cPbobDbMjr09BbtdKROZWc/edit#gid=1444865654"",""articles_with_PRISMA_reasons!B2:B2113""))&lt;2),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$A1327=IMPORTRANGE(""https://docs.google.com/spreadsheets/d/1qpEmbGH0JjaJbUdp21-y2cPbobDbMjr09Bbtd"&amp;"KROZWc/edit#gid=1444865654"",""articles_with_PRISMA_reasons!B2:B2113""))&lt;2,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$A1327=I"&amp;"MPORTRANGE(""https://docs.google.com/spreadsheets/d/1qpEmbGH0JjaJbUdp21-y2cPbobDbMjr09BbtdKROZWc/edit#gid=1444865654"",""articles_with_PRISMA_reasons!B2:B2113""))&gt;=2),
""Exclude""
)"),"Exclude")</f>
        <v>Exclude</v>
      </c>
      <c r="F1327" s="5" t="str">
        <f>IFERROR(__xludf.DUMMYFUNCTION("IFS(
E1327=""Exclude"",""Exclude"",
AND(
COUNTIF(
IMPORTRANGE(""https://docs.google.com/spreadsheets/d/1kGrh75X1cNR1D7_FcY9zMnHP8iPO4M5RCRjy6nZY0TY/edit#gid=0"",""Table 1: Study characteristics!B4:B171""),A1327)&gt;0,
COUNTIF(Studies!$A$2:$A$85,FILTER(IMPORT"&amp;"RANGE(""https://docs.google.com/spreadsheets/d/1kGrh75X1cNR1D7_FcY9zMnHP8iPO4M5RCRjy6nZY0TY/edit#gid=0"",""Table 1: Study characteristics!A4:A171""), $A1327=IMPORTRANGE(""https://docs.google.com/spreadsheets/d/1kGrh75X1cNR1D7_FcY9zMnHP8iPO4M5RCRjy6nZY0TY/"&amp;"edit#gid=0"",""Table 1: Study characteristics!B4:B171"")))&gt;0
),
""Include""
)"),"Exclude")</f>
        <v>Exclude</v>
      </c>
      <c r="G1327" s="5" t="str">
        <f>IFERROR(__xludf.DUMMYFUNCTION("IFS(
D1327=""Exclude"",
FILTER(IMPORTRANGE(""https://docs.google.com/spreadsheets/d/1BJSV3WBYJGRhQ6zExamkszQ5VutGIcaQqmbD9ZTVXMQ/edit#gid=1251630045"",""articles_with_PRISMA_reasons!AB2:AB2113""), $A1327=IMPORTRANGE(""https://docs.google.com/spreadsheets/"&amp;"d/1BJSV3WBYJGRhQ6zExamkszQ5VutGIcaQqmbD9ZTVXMQ/edit#gid=1251630045"",""articles_with_PRISMA_reasons!B2:B2113"")),
E1327=""Exclude"",
FILTER(IMPORTRANGE(""https://docs.google.com/spreadsheets/d/1qpEmbGH0JjaJbUdp21-y2cPbobDbMjr09BbtdKROZWc/edit#gid=14448656"&amp;"54"",""articles_with_PRISMA_reasons!Z2:Z2113""), $A1327=IMPORTRANGE(""https://docs.google.com/spreadsheets/d/1qpEmbGH0JjaJbUdp21-y2cPbobDbMjr09BbtdKROZWc/edit#gid=1444865654"",""articles_with_PRISMA_reasons!B2:B2113"")),F1327
=""Include"",FILTER(IMPORTRAN"&amp;"GE(""https://docs.google.com/spreadsheets/d/1kGrh75X1cNR1D7_FcY9zMnHP8iPO4M5RCRjy6nZY0TY/edit#gid=0"",""Table 1: Study characteristics!A4:A171""), $A1327=IMPORTRANGE(""https://docs.google.com/spreadsheets/d/1kGrh75X1cNR1D7_FcY9zMnHP8iPO4M5RCRjy6nZY0TY/edi"&amp;"t#gid=0"",""Table 1: Study characteristics!B4:B171""))
)"),"wrong study design")</f>
        <v>wrong study design</v>
      </c>
    </row>
    <row r="1328">
      <c r="A1328" s="4" t="str">
        <f>IFERROR(__xludf.DUMMYFUNCTION("""COMPUTED_VALUE"""),"Neurosurgery in Zimbabwe")</f>
        <v>Neurosurgery in Zimbabwe</v>
      </c>
      <c r="B1328" s="5" t="str">
        <f>IFERROR(__xludf.DUMMYFUNCTION("LEFT(FILTER(IMPORTRANGE(""https://docs.google.com/spreadsheets/d/1BJSV3WBYJGRhQ6zExamkszQ5VutGIcaQqmbD9ZTVXMQ/edit#gid=1251630045"",""articles_with_PRISMA_reasons!K2:K2113""), $A1328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$A1328=IMPORTRANGE(""https://docs.google.com/spreadsheets/d/1BJSV3WBYJGRhQ6zExamkszQ5VutGIcaQqmbD9ZTVXMQ/edit#gid=1251630045"",""articles_with_PRISMA_reasons!B2:B2113"")))-1)"),"Kalangu")</f>
        <v>Kalangu</v>
      </c>
      <c r="C1328" s="6">
        <f>IFERROR(__xludf.DUMMYFUNCTION("FILTER(IMPORTRANGE(""https://docs.google.com/spreadsheets/d/1BJSV3WBYJGRhQ6zExamkszQ5VutGIcaQqmbD9ZTVXMQ/edit#gid=1251630045"",""articles_with_PRISMA_reasons!C2:C2113""), $A1328=IMPORTRANGE(""https://docs.google.com/spreadsheets/d/1BJSV3WBYJGRhQ6zExamkszQ"&amp;"5VutGIcaQqmbD9ZTVXMQ/edit#gid=1251630045"",""articles_with_PRISMA_reasons!B2:B2113""))"),1996.0)</f>
        <v>1996</v>
      </c>
      <c r="D1328" s="5" t="str">
        <f>IFERROR(__xludf.DUMMYFUNCTION("IFS(AND(
FILTER(IMPORTRANGE(""https://docs.google.com/spreadsheets/d/1BJSV3WBYJGRhQ6zExamkszQ5VutGIcaQqmbD9ZTVXMQ/edit#gid=1251630045"",""articles_with_PRISMA_reasons!Y2:Y2113""), $A1328=IMPORTRANGE(""https://docs.google.com/spreadsheets/d/1BJSV3WBYJGRhQ6"&amp;"zExamkszQ5VutGIcaQqmbD9ZTVXMQ/edit#gid=1251630045"",""articles_with_PRISMA_reasons!B2:B2113""))&gt;=2,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$A1328=IMPORTRANGE(""https://docs.google.com/spreadsheets/d/1BJSV3WBYJGRhQ6zExamkszQ5VutGIcaQqmbD9ZTVXMQ/edit#gid=1251630045"",""articles_with_PRISMA_reasons!B2:B2113""))&lt;2),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$A1328=IMPORTRANGE(""https://docs.google.com/spreadsheets/d/1BJSV3WBYJGRhQ6zExamkszQ5VutGIcaQqmbD9ZTVXMQ/edit#gid=1251630045"",""a"&amp;"rticles_with_PRISMA_reasons!B2:B2113""))&lt;2,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$A1328=IMPORTRANGE(""https://docs.google"&amp;".com/spreadsheets/d/1BJSV3WBYJGRhQ6zExamkszQ5VutGIcaQqmbD9ZTVXMQ/edit#gid=1251630045"",""articles_with_PRISMA_reasons!B2:B2113""))&gt;=2),
""Exclude""
)"),"Exclude")</f>
        <v>Exclude</v>
      </c>
      <c r="E1328" s="5" t="str">
        <f>IFERROR(__xludf.DUMMYFUNCTION("IFS(
D1328=""Exclude"",""Exclude"",
AND(
FILTER(IMPORTRANGE(""https://docs.google.com/spreadsheets/d/1qpEmbGH0JjaJbUdp21-y2cPbobDbMjr09BbtdKROZWc/edit#gid=1444865654"",""articles_with_PRISMA_reasons!W2:W2113""), $A1328=IMPORTRANGE(""https://docs.google.co"&amp;"m/spreadsheets/d/1qpEmbGH0JjaJbUdp21-y2cPbobDbMjr09BbtdKROZWc/edit#gid=1444865654"",""articles_with_PRISMA_reasons!B2:B2113""))&gt;=2,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$A1328=IMPORTRANGE(""https://docs.google.com/spreadsheets/d/1qpEmbGH0JjaJbUdp21-y2cPbobDbMjr09BbtdKROZWc/edit#gid=1444865654"",""articles_with_PRISMA_reasons!B2:B2113""))&lt;2),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$A1328=IMPORTRANGE(""https://docs.google.com/spreadsheets/d/1qpEmbGH0JjaJbUdp21-y2cPbobDbMjr09Bbtd"&amp;"KROZWc/edit#gid=1444865654"",""articles_with_PRISMA_reasons!B2:B2113""))&lt;2,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$A1328=I"&amp;"MPORTRANGE(""https://docs.google.com/spreadsheets/d/1qpEmbGH0JjaJbUdp21-y2cPbobDbMjr09BbtdKROZWc/edit#gid=1444865654"",""articles_with_PRISMA_reasons!B2:B2113""))&gt;=2),
""Exclude""
)"),"Exclude")</f>
        <v>Exclude</v>
      </c>
      <c r="F1328" s="5" t="str">
        <f>IFERROR(__xludf.DUMMYFUNCTION("IFS(
E1328=""Exclude"",""Exclude"",
AND(
COUNTIF(
IMPORTRANGE(""https://docs.google.com/spreadsheets/d/1kGrh75X1cNR1D7_FcY9zMnHP8iPO4M5RCRjy6nZY0TY/edit#gid=0"",""Table 1: Study characteristics!B4:B171""),A1328)&gt;0,
COUNTIF(Studies!$A$2:$A$85,FILTER(IMPORT"&amp;"RANGE(""https://docs.google.com/spreadsheets/d/1kGrh75X1cNR1D7_FcY9zMnHP8iPO4M5RCRjy6nZY0TY/edit#gid=0"",""Table 1: Study characteristics!A4:A171""), $A1328=IMPORTRANGE(""https://docs.google.com/spreadsheets/d/1kGrh75X1cNR1D7_FcY9zMnHP8iPO4M5RCRjy6nZY0TY/"&amp;"edit#gid=0"",""Table 1: Study characteristics!B4:B171"")))&gt;0
),
""Include""
)"),"Exclude")</f>
        <v>Exclude</v>
      </c>
      <c r="G1328" s="5" t="str">
        <f>IFERROR(__xludf.DUMMYFUNCTION("IFS(
D1328=""Exclude"",
FILTER(IMPORTRANGE(""https://docs.google.com/spreadsheets/d/1BJSV3WBYJGRhQ6zExamkszQ5VutGIcaQqmbD9ZTVXMQ/edit#gid=1251630045"",""articles_with_PRISMA_reasons!AB2:AB2113""), $A1328=IMPORTRANGE(""https://docs.google.com/spreadsheets/"&amp;"d/1BJSV3WBYJGRhQ6zExamkszQ5VutGIcaQqmbD9ZTVXMQ/edit#gid=1251630045"",""articles_with_PRISMA_reasons!B2:B2113"")),
E1328=""Exclude"",
FILTER(IMPORTRANGE(""https://docs.google.com/spreadsheets/d/1qpEmbGH0JjaJbUdp21-y2cPbobDbMjr09BbtdKROZWc/edit#gid=14448656"&amp;"54"",""articles_with_PRISMA_reasons!Z2:Z2113""), $A1328=IMPORTRANGE(""https://docs.google.com/spreadsheets/d/1qpEmbGH0JjaJbUdp21-y2cPbobDbMjr09BbtdKROZWc/edit#gid=1444865654"",""articles_with_PRISMA_reasons!B2:B2113"")),F1328
=""Include"",FILTER(IMPORTRAN"&amp;"GE(""https://docs.google.com/spreadsheets/d/1kGrh75X1cNR1D7_FcY9zMnHP8iPO4M5RCRjy6nZY0TY/edit#gid=0"",""Table 1: Study characteristics!A4:A171""), $A1328=IMPORTRANGE(""https://docs.google.com/spreadsheets/d/1kGrh75X1cNR1D7_FcY9zMnHP8iPO4M5RCRjy6nZY0TY/edi"&amp;"t#gid=0"",""Table 1: Study characteristics!B4:B171""))
)"),"background article")</f>
        <v>background article</v>
      </c>
    </row>
    <row r="1329">
      <c r="A1329" s="4" t="str">
        <f>IFERROR(__xludf.DUMMYFUNCTION("""COMPUTED_VALUE"""),"Neurosurgical conditions and procedures in infancy are associated with mortality and academic performances in adolescence: A nationwide cohort study")</f>
        <v>Neurosurgical conditions and procedures in infancy are associated with mortality and academic performances in adolescence: A nationwide cohort study</v>
      </c>
      <c r="B1329" s="5" t="str">
        <f>IFERROR(__xludf.DUMMYFUNCTION("LEFT(FILTER(IMPORTRANGE(""https://docs.google.com/spreadsheets/d/1BJSV3WBYJGRhQ6zExamkszQ5VutGIcaQqmbD9ZTVXMQ/edit#gid=1251630045"",""articles_with_PRISMA_reasons!K2:K2113""), $A1329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$A1329=IMPORTRANGE(""https://docs.google.com/spreadsheets/d/1BJSV3WBYJGRhQ6zExamkszQ5VutGIcaQqmbD9ZTVXMQ/edit#gid=1251630045"",""articles_with_PRISMA_reasons!B2:B2113"")))-1)"),"Hansen")</f>
        <v>Hansen</v>
      </c>
      <c r="C1329" s="6">
        <f>IFERROR(__xludf.DUMMYFUNCTION("FILTER(IMPORTRANGE(""https://docs.google.com/spreadsheets/d/1BJSV3WBYJGRhQ6zExamkszQ5VutGIcaQqmbD9ZTVXMQ/edit#gid=1251630045"",""articles_with_PRISMA_reasons!C2:C2113""), $A1329=IMPORTRANGE(""https://docs.google.com/spreadsheets/d/1BJSV3WBYJGRhQ6zExamkszQ"&amp;"5VutGIcaQqmbD9ZTVXMQ/edit#gid=1251630045"",""articles_with_PRISMA_reasons!B2:B2113""))"),2015.0)</f>
        <v>2015</v>
      </c>
      <c r="D1329" s="5" t="str">
        <f>IFERROR(__xludf.DUMMYFUNCTION("IFS(AND(
FILTER(IMPORTRANGE(""https://docs.google.com/spreadsheets/d/1BJSV3WBYJGRhQ6zExamkszQ5VutGIcaQqmbD9ZTVXMQ/edit#gid=1251630045"",""articles_with_PRISMA_reasons!Y2:Y2113""), $A1329=IMPORTRANGE(""https://docs.google.com/spreadsheets/d/1BJSV3WBYJGRhQ6"&amp;"zExamkszQ5VutGIcaQqmbD9ZTVXMQ/edit#gid=1251630045"",""articles_with_PRISMA_reasons!B2:B2113""))&gt;=2,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$A1329=IMPORTRANGE(""https://docs.google.com/spreadsheets/d/1BJSV3WBYJGRhQ6zExamkszQ5VutGIcaQqmbD9ZTVXMQ/edit#gid=1251630045"",""articles_with_PRISMA_reasons!B2:B2113""))&lt;2),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$A1329=IMPORTRANGE(""https://docs.google.com/spreadsheets/d/1BJSV3WBYJGRhQ6zExamkszQ5VutGIcaQqmbD9ZTVXMQ/edit#gid=1251630045"",""a"&amp;"rticles_with_PRISMA_reasons!B2:B2113""))&lt;2,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$A1329=IMPORTRANGE(""https://docs.google"&amp;".com/spreadsheets/d/1BJSV3WBYJGRhQ6zExamkszQ5VutGIcaQqmbD9ZTVXMQ/edit#gid=1251630045"",""articles_with_PRISMA_reasons!B2:B2113""))&gt;=2),
""Exclude""
)"),"Exclude")</f>
        <v>Exclude</v>
      </c>
      <c r="E1329" s="5" t="str">
        <f>IFERROR(__xludf.DUMMYFUNCTION("IFS(
D1329=""Exclude"",""Exclude"",
AND(
FILTER(IMPORTRANGE(""https://docs.google.com/spreadsheets/d/1qpEmbGH0JjaJbUdp21-y2cPbobDbMjr09BbtdKROZWc/edit#gid=1444865654"",""articles_with_PRISMA_reasons!W2:W2113""), $A1329=IMPORTRANGE(""https://docs.google.co"&amp;"m/spreadsheets/d/1qpEmbGH0JjaJbUdp21-y2cPbobDbMjr09BbtdKROZWc/edit#gid=1444865654"",""articles_with_PRISMA_reasons!B2:B2113""))&gt;=2,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$A1329=IMPORTRANGE(""https://docs.google.com/spreadsheets/d/1qpEmbGH0JjaJbUdp21-y2cPbobDbMjr09BbtdKROZWc/edit#gid=1444865654"",""articles_with_PRISMA_reasons!B2:B2113""))&lt;2),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$A1329=IMPORTRANGE(""https://docs.google.com/spreadsheets/d/1qpEmbGH0JjaJbUdp21-y2cPbobDbMjr09Bbtd"&amp;"KROZWc/edit#gid=1444865654"",""articles_with_PRISMA_reasons!B2:B2113""))&lt;2,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$A1329=I"&amp;"MPORTRANGE(""https://docs.google.com/spreadsheets/d/1qpEmbGH0JjaJbUdp21-y2cPbobDbMjr09BbtdKROZWc/edit#gid=1444865654"",""articles_with_PRISMA_reasons!B2:B2113""))&gt;=2),
""Exclude""
)"),"Exclude")</f>
        <v>Exclude</v>
      </c>
      <c r="F1329" s="5" t="str">
        <f>IFERROR(__xludf.DUMMYFUNCTION("IFS(
E1329=""Exclude"",""Exclude"",
AND(
COUNTIF(
IMPORTRANGE(""https://docs.google.com/spreadsheets/d/1kGrh75X1cNR1D7_FcY9zMnHP8iPO4M5RCRjy6nZY0TY/edit#gid=0"",""Table 1: Study characteristics!B4:B171""),A1329)&gt;0,
COUNTIF(Studies!$A$2:$A$85,FILTER(IMPORT"&amp;"RANGE(""https://docs.google.com/spreadsheets/d/1kGrh75X1cNR1D7_FcY9zMnHP8iPO4M5RCRjy6nZY0TY/edit#gid=0"",""Table 1: Study characteristics!A4:A171""), $A1329=IMPORTRANGE(""https://docs.google.com/spreadsheets/d/1kGrh75X1cNR1D7_FcY9zMnHP8iPO4M5RCRjy6nZY0TY/"&amp;"edit#gid=0"",""Table 1: Study characteristics!B4:B171"")))&gt;0
),
""Include""
)"),"Exclude")</f>
        <v>Exclude</v>
      </c>
      <c r="G1329" s="5" t="str">
        <f>IFERROR(__xludf.DUMMYFUNCTION("IFS(
D1329=""Exclude"",
FILTER(IMPORTRANGE(""https://docs.google.com/spreadsheets/d/1BJSV3WBYJGRhQ6zExamkszQ5VutGIcaQqmbD9ZTVXMQ/edit#gid=1251630045"",""articles_with_PRISMA_reasons!AB2:AB2113""), $A1329=IMPORTRANGE(""https://docs.google.com/spreadsheets/"&amp;"d/1BJSV3WBYJGRhQ6zExamkszQ5VutGIcaQqmbD9ZTVXMQ/edit#gid=1251630045"",""articles_with_PRISMA_reasons!B2:B2113"")),
E1329=""Exclude"",
FILTER(IMPORTRANGE(""https://docs.google.com/spreadsheets/d/1qpEmbGH0JjaJbUdp21-y2cPbobDbMjr09BbtdKROZWc/edit#gid=14448656"&amp;"54"",""articles_with_PRISMA_reasons!Z2:Z2113""), $A1329=IMPORTRANGE(""https://docs.google.com/spreadsheets/d/1qpEmbGH0JjaJbUdp21-y2cPbobDbMjr09BbtdKROZWc/edit#gid=1444865654"",""articles_with_PRISMA_reasons!B2:B2113"")),F1329
=""Include"",FILTER(IMPORTRAN"&amp;"GE(""https://docs.google.com/spreadsheets/d/1kGrh75X1cNR1D7_FcY9zMnHP8iPO4M5RCRjy6nZY0TY/edit#gid=0"",""Table 1: Study characteristics!A4:A171""), $A1329=IMPORTRANGE(""https://docs.google.com/spreadsheets/d/1kGrh75X1cNR1D7_FcY9zMnHP8iPO4M5RCRjy6nZY0TY/edi"&amp;"t#gid=0"",""Table 1: Study characteristics!B4:B171""))
)"),"wrong population")</f>
        <v>wrong population</v>
      </c>
    </row>
    <row r="1330">
      <c r="A1330" s="4" t="str">
        <f>IFERROR(__xludf.DUMMYFUNCTION("""COMPUTED_VALUE"""),"Neurosurgical management of hydrocephalus by a general surgeon in an extremely low resource setting: initial experience in North Kivu province of Eastern Democratic Republic of Congo")</f>
        <v>Neurosurgical management of hydrocephalus by a general surgeon in an extremely low resource setting: initial experience in North Kivu province of Eastern Democratic Republic of Congo</v>
      </c>
      <c r="B1330" s="5" t="str">
        <f>IFERROR(__xludf.DUMMYFUNCTION("LEFT(FILTER(IMPORTRANGE(""https://docs.google.com/spreadsheets/d/1BJSV3WBYJGRhQ6zExamkszQ5VutGIcaQqmbD9ZTVXMQ/edit#gid=1251630045"",""articles_with_PRISMA_reasons!K2:K2113""), $A1330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$A1330=IMPORTRANGE(""https://docs.google.com/spreadsheets/d/1BJSV3WBYJGRhQ6zExamkszQ5VutGIcaQqmbD9ZTVXMQ/edit#gid=1251630045"",""articles_with_PRISMA_reasons!B2:B2113"")))-1)"),"Cairo")</f>
        <v>Cairo</v>
      </c>
      <c r="C1330" s="6">
        <f>IFERROR(__xludf.DUMMYFUNCTION("FILTER(IMPORTRANGE(""https://docs.google.com/spreadsheets/d/1BJSV3WBYJGRhQ6zExamkszQ5VutGIcaQqmbD9ZTVXMQ/edit#gid=1251630045"",""articles_with_PRISMA_reasons!C2:C2113""), $A1330=IMPORTRANGE(""https://docs.google.com/spreadsheets/d/1BJSV3WBYJGRhQ6zExamkszQ"&amp;"5VutGIcaQqmbD9ZTVXMQ/edit#gid=1251630045"",""articles_with_PRISMA_reasons!B2:B2113""))"),2018.0)</f>
        <v>2018</v>
      </c>
      <c r="D1330" s="5" t="str">
        <f>IFERROR(__xludf.DUMMYFUNCTION("IFS(AND(
FILTER(IMPORTRANGE(""https://docs.google.com/spreadsheets/d/1BJSV3WBYJGRhQ6zExamkszQ5VutGIcaQqmbD9ZTVXMQ/edit#gid=1251630045"",""articles_with_PRISMA_reasons!Y2:Y2113""), $A1330=IMPORTRANGE(""https://docs.google.com/spreadsheets/d/1BJSV3WBYJGRhQ6"&amp;"zExamkszQ5VutGIcaQqmbD9ZTVXMQ/edit#gid=1251630045"",""articles_with_PRISMA_reasons!B2:B2113""))&gt;=2,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$A1330=IMPORTRANGE(""https://docs.google.com/spreadsheets/d/1BJSV3WBYJGRhQ6zExamkszQ5VutGIcaQqmbD9ZTVXMQ/edit#gid=1251630045"",""articles_with_PRISMA_reasons!B2:B2113""))&lt;2),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$A1330=IMPORTRANGE(""https://docs.google.com/spreadsheets/d/1BJSV3WBYJGRhQ6zExamkszQ5VutGIcaQqmbD9ZTVXMQ/edit#gid=1251630045"",""a"&amp;"rticles_with_PRISMA_reasons!B2:B2113""))&lt;2,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$A1330=IMPORTRANGE(""https://docs.google"&amp;".com/spreadsheets/d/1BJSV3WBYJGRhQ6zExamkszQ5VutGIcaQqmbD9ZTVXMQ/edit#gid=1251630045"",""articles_with_PRISMA_reasons!B2:B2113""))&gt;=2),
""Exclude""
)"),"Include")</f>
        <v>Include</v>
      </c>
      <c r="E1330" s="5" t="str">
        <f>IFERROR(__xludf.DUMMYFUNCTION("IFS(
D1330=""Exclude"",""Exclude"",
AND(
FILTER(IMPORTRANGE(""https://docs.google.com/spreadsheets/d/1qpEmbGH0JjaJbUdp21-y2cPbobDbMjr09BbtdKROZWc/edit#gid=1444865654"",""articles_with_PRISMA_reasons!W2:W2113""), $A1330=IMPORTRANGE(""https://docs.google.co"&amp;"m/spreadsheets/d/1qpEmbGH0JjaJbUdp21-y2cPbobDbMjr09BbtdKROZWc/edit#gid=1444865654"",""articles_with_PRISMA_reasons!B2:B2113""))&gt;=2,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$A1330=IMPORTRANGE(""https://docs.google.com/spreadsheets/d/1qpEmbGH0JjaJbUdp21-y2cPbobDbMjr09BbtdKROZWc/edit#gid=1444865654"",""articles_with_PRISMA_reasons!B2:B2113""))&lt;2),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$A1330=IMPORTRANGE(""https://docs.google.com/spreadsheets/d/1qpEmbGH0JjaJbUdp21-y2cPbobDbMjr09Bbtd"&amp;"KROZWc/edit#gid=1444865654"",""articles_with_PRISMA_reasons!B2:B2113""))&lt;2,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$A1330=I"&amp;"MPORTRANGE(""https://docs.google.com/spreadsheets/d/1qpEmbGH0JjaJbUdp21-y2cPbobDbMjr09BbtdKROZWc/edit#gid=1444865654"",""articles_with_PRISMA_reasons!B2:B2113""))&gt;=2),
""Exclude""
)"),"Include")</f>
        <v>Include</v>
      </c>
      <c r="F1330" s="5" t="str">
        <f>IFERROR(__xludf.DUMMYFUNCTION("IFS(
E1330=""Exclude"",""Exclude"",
AND(
COUNTIF(
IMPORTRANGE(""https://docs.google.com/spreadsheets/d/1kGrh75X1cNR1D7_FcY9zMnHP8iPO4M5RCRjy6nZY0TY/edit#gid=0"",""Table 1: Study characteristics!B4:B171""),A1330)&gt;0,
COUNTIF(Studies!$A$2:$A$85,FILTER(IMPORT"&amp;"RANGE(""https://docs.google.com/spreadsheets/d/1kGrh75X1cNR1D7_FcY9zMnHP8iPO4M5RCRjy6nZY0TY/edit#gid=0"",""Table 1: Study characteristics!A4:A171""), $A1330=IMPORTRANGE(""https://docs.google.com/spreadsheets/d/1kGrh75X1cNR1D7_FcY9zMnHP8iPO4M5RCRjy6nZY0TY/"&amp;"edit#gid=0"",""Table 1: Study characteristics!B4:B171"")))&gt;0
),
""Include""
)"),"Include")</f>
        <v>Include</v>
      </c>
      <c r="G1330" s="5" t="str">
        <f>IFERROR(__xludf.DUMMYFUNCTION("IFS(
D1330=""Exclude"",
FILTER(IMPORTRANGE(""https://docs.google.com/spreadsheets/d/1BJSV3WBYJGRhQ6zExamkszQ5VutGIcaQqmbD9ZTVXMQ/edit#gid=1251630045"",""articles_with_PRISMA_reasons!AB2:AB2113""), $A1330=IMPORTRANGE(""https://docs.google.com/spreadsheets/"&amp;"d/1BJSV3WBYJGRhQ6zExamkszQ5VutGIcaQqmbD9ZTVXMQ/edit#gid=1251630045"",""articles_with_PRISMA_reasons!B2:B2113"")),
E1330=""Exclude"",
FILTER(IMPORTRANGE(""https://docs.google.com/spreadsheets/d/1qpEmbGH0JjaJbUdp21-y2cPbobDbMjr09BbtdKROZWc/edit#gid=14448656"&amp;"54"",""articles_with_PRISMA_reasons!Z2:Z2113""), $A1330=IMPORTRANGE(""https://docs.google.com/spreadsheets/d/1qpEmbGH0JjaJbUdp21-y2cPbobDbMjr09BbtdKROZWc/edit#gid=1444865654"",""articles_with_PRISMA_reasons!B2:B2113"")),F1330
=""Include"",FILTER(IMPORTRAN"&amp;"GE(""https://docs.google.com/spreadsheets/d/1kGrh75X1cNR1D7_FcY9zMnHP8iPO4M5RCRjy6nZY0TY/edit#gid=0"",""Table 1: Study characteristics!A4:A171""), $A1330=IMPORTRANGE(""https://docs.google.com/spreadsheets/d/1kGrh75X1cNR1D7_FcY9zMnHP8iPO4M5RCRjy6nZY0TY/edi"&amp;"t#gid=0"",""Table 1: Study characteristics!B4:B171""))
)"),"ID 92")</f>
        <v>ID 92</v>
      </c>
    </row>
    <row r="1331">
      <c r="A1331" s="4" t="str">
        <f>IFERROR(__xludf.DUMMYFUNCTION("""COMPUTED_VALUE"""),"Neurosurgical management of myelomeningocele (spina bifida)")</f>
        <v>Neurosurgical management of myelomeningocele (spina bifida)</v>
      </c>
      <c r="B1331" s="5" t="str">
        <f>IFERROR(__xludf.DUMMYFUNCTION("LEFT(FILTER(IMPORTRANGE(""https://docs.google.com/spreadsheets/d/1BJSV3WBYJGRhQ6zExamkszQ5VutGIcaQqmbD9ZTVXMQ/edit#gid=1251630045"",""articles_with_PRISMA_reasons!K2:K2113""), $A1331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$A1331=IMPORTRANGE(""https://docs.google.com/spreadsheets/d/1BJSV3WBYJGRhQ6zExamkszQ5VutGIcaQqmbD9ZTVXMQ/edit#gid=1251630045"",""articles_with_PRISMA_reasons!B2:B2113"")))-1)"),"Dias")</f>
        <v>Dias</v>
      </c>
      <c r="C1331" s="6">
        <f>IFERROR(__xludf.DUMMYFUNCTION("FILTER(IMPORTRANGE(""https://docs.google.com/spreadsheets/d/1BJSV3WBYJGRhQ6zExamkszQ5VutGIcaQqmbD9ZTVXMQ/edit#gid=1251630045"",""articles_with_PRISMA_reasons!C2:C2113""), $A1331=IMPORTRANGE(""https://docs.google.com/spreadsheets/d/1BJSV3WBYJGRhQ6zExamkszQ"&amp;"5VutGIcaQqmbD9ZTVXMQ/edit#gid=1251630045"",""articles_with_PRISMA_reasons!B2:B2113""))"),2005.0)</f>
        <v>2005</v>
      </c>
      <c r="D1331" s="5" t="str">
        <f>IFERROR(__xludf.DUMMYFUNCTION("IFS(AND(
FILTER(IMPORTRANGE(""https://docs.google.com/spreadsheets/d/1BJSV3WBYJGRhQ6zExamkszQ5VutGIcaQqmbD9ZTVXMQ/edit#gid=1251630045"",""articles_with_PRISMA_reasons!Y2:Y2113""), $A1331=IMPORTRANGE(""https://docs.google.com/spreadsheets/d/1BJSV3WBYJGRhQ6"&amp;"zExamkszQ5VutGIcaQqmbD9ZTVXMQ/edit#gid=1251630045"",""articles_with_PRISMA_reasons!B2:B2113""))&gt;=2,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$A1331=IMPORTRANGE(""https://docs.google.com/spreadsheets/d/1BJSV3WBYJGRhQ6zExamkszQ5VutGIcaQqmbD9ZTVXMQ/edit#gid=1251630045"",""articles_with_PRISMA_reasons!B2:B2113""))&lt;2),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$A1331=IMPORTRANGE(""https://docs.google.com/spreadsheets/d/1BJSV3WBYJGRhQ6zExamkszQ5VutGIcaQqmbD9ZTVXMQ/edit#gid=1251630045"",""a"&amp;"rticles_with_PRISMA_reasons!B2:B2113""))&lt;2,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$A1331=IMPORTRANGE(""https://docs.google"&amp;".com/spreadsheets/d/1BJSV3WBYJGRhQ6zExamkszQ5VutGIcaQqmbD9ZTVXMQ/edit#gid=1251630045"",""articles_with_PRISMA_reasons!B2:B2113""))&gt;=2),
""Exclude""
)"),"Exclude")</f>
        <v>Exclude</v>
      </c>
      <c r="E1331" s="5" t="str">
        <f>IFERROR(__xludf.DUMMYFUNCTION("IFS(
D1331=""Exclude"",""Exclude"",
AND(
FILTER(IMPORTRANGE(""https://docs.google.com/spreadsheets/d/1qpEmbGH0JjaJbUdp21-y2cPbobDbMjr09BbtdKROZWc/edit#gid=1444865654"",""articles_with_PRISMA_reasons!W2:W2113""), $A1331=IMPORTRANGE(""https://docs.google.co"&amp;"m/spreadsheets/d/1qpEmbGH0JjaJbUdp21-y2cPbobDbMjr09BbtdKROZWc/edit#gid=1444865654"",""articles_with_PRISMA_reasons!B2:B2113""))&gt;=2,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$A1331=IMPORTRANGE(""https://docs.google.com/spreadsheets/d/1qpEmbGH0JjaJbUdp21-y2cPbobDbMjr09BbtdKROZWc/edit#gid=1444865654"",""articles_with_PRISMA_reasons!B2:B2113""))&lt;2),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$A1331=IMPORTRANGE(""https://docs.google.com/spreadsheets/d/1qpEmbGH0JjaJbUdp21-y2cPbobDbMjr09Bbtd"&amp;"KROZWc/edit#gid=1444865654"",""articles_with_PRISMA_reasons!B2:B2113""))&lt;2,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$A1331=I"&amp;"MPORTRANGE(""https://docs.google.com/spreadsheets/d/1qpEmbGH0JjaJbUdp21-y2cPbobDbMjr09BbtdKROZWc/edit#gid=1444865654"",""articles_with_PRISMA_reasons!B2:B2113""))&gt;=2),
""Exclude""
)"),"Exclude")</f>
        <v>Exclude</v>
      </c>
      <c r="F1331" s="5" t="str">
        <f>IFERROR(__xludf.DUMMYFUNCTION("IFS(
E1331=""Exclude"",""Exclude"",
AND(
COUNTIF(
IMPORTRANGE(""https://docs.google.com/spreadsheets/d/1kGrh75X1cNR1D7_FcY9zMnHP8iPO4M5RCRjy6nZY0TY/edit#gid=0"",""Table 1: Study characteristics!B4:B171""),A1331)&gt;0,
COUNTIF(Studies!$A$2:$A$85,FILTER(IMPORT"&amp;"RANGE(""https://docs.google.com/spreadsheets/d/1kGrh75X1cNR1D7_FcY9zMnHP8iPO4M5RCRjy6nZY0TY/edit#gid=0"",""Table 1: Study characteristics!A4:A171""), $A1331=IMPORTRANGE(""https://docs.google.com/spreadsheets/d/1kGrh75X1cNR1D7_FcY9zMnHP8iPO4M5RCRjy6nZY0TY/"&amp;"edit#gid=0"",""Table 1: Study characteristics!B4:B171"")))&gt;0
),
""Include""
)"),"Exclude")</f>
        <v>Exclude</v>
      </c>
      <c r="G1331" s="5" t="str">
        <f>IFERROR(__xludf.DUMMYFUNCTION("IFS(
D1331=""Exclude"",
FILTER(IMPORTRANGE(""https://docs.google.com/spreadsheets/d/1BJSV3WBYJGRhQ6zExamkszQ5VutGIcaQqmbD9ZTVXMQ/edit#gid=1251630045"",""articles_with_PRISMA_reasons!AB2:AB2113""), $A1331=IMPORTRANGE(""https://docs.google.com/spreadsheets/"&amp;"d/1BJSV3WBYJGRhQ6zExamkszQ5VutGIcaQqmbD9ZTVXMQ/edit#gid=1251630045"",""articles_with_PRISMA_reasons!B2:B2113"")),
E1331=""Exclude"",
FILTER(IMPORTRANGE(""https://docs.google.com/spreadsheets/d/1qpEmbGH0JjaJbUdp21-y2cPbobDbMjr09BbtdKROZWc/edit#gid=14448656"&amp;"54"",""articles_with_PRISMA_reasons!Z2:Z2113""), $A1331=IMPORTRANGE(""https://docs.google.com/spreadsheets/d/1qpEmbGH0JjaJbUdp21-y2cPbobDbMjr09BbtdKROZWc/edit#gid=1444865654"",""articles_with_PRISMA_reasons!B2:B2113"")),F1331
=""Include"",FILTER(IMPORTRAN"&amp;"GE(""https://docs.google.com/spreadsheets/d/1kGrh75X1cNR1D7_FcY9zMnHP8iPO4M5RCRjy6nZY0TY/edit#gid=0"",""Table 1: Study characteristics!A4:A171""), $A1331=IMPORTRANGE(""https://docs.google.com/spreadsheets/d/1kGrh75X1cNR1D7_FcY9zMnHP8iPO4M5RCRjy6nZY0TY/edi"&amp;"t#gid=0"",""Table 1: Study characteristics!B4:B171""))
)"),"background article")</f>
        <v>background article</v>
      </c>
    </row>
    <row r="1332">
      <c r="A1332" s="4" t="str">
        <f>IFERROR(__xludf.DUMMYFUNCTION("""COMPUTED_VALUE"""),"Neurosurgical management of patients with lumbosacral myeloschisis")</f>
        <v>Neurosurgical management of patients with lumbosacral myeloschisis</v>
      </c>
      <c r="B1332" s="5" t="str">
        <f>IFERROR(__xludf.DUMMYFUNCTION("LEFT(FILTER(IMPORTRANGE(""https://docs.google.com/spreadsheets/d/1BJSV3WBYJGRhQ6zExamkszQ5VutGIcaQqmbD9ZTVXMQ/edit#gid=1251630045"",""articles_with_PRISMA_reasons!K2:K2113""), $A1332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$A1332=IMPORTRANGE(""https://docs.google.com/spreadsheets/d/1BJSV3WBYJGRhQ6zExamkszQ5VutGIcaQqmbD9ZTVXMQ/edit#gid=1251630045"",""articles_with_PRISMA_reasons!B2:B2113"")))-1)"),"Morloka")</f>
        <v>Morloka</v>
      </c>
      <c r="C1332" s="6">
        <f>IFERROR(__xludf.DUMMYFUNCTION("FILTER(IMPORTRANGE(""https://docs.google.com/spreadsheets/d/1BJSV3WBYJGRhQ6zExamkszQ5VutGIcaQqmbD9ZTVXMQ/edit#gid=1251630045"",""articles_with_PRISMA_reasons!C2:C2113""), $A1332=IMPORTRANGE(""https://docs.google.com/spreadsheets/d/1BJSV3WBYJGRhQ6zExamkszQ"&amp;"5VutGIcaQqmbD9ZTVXMQ/edit#gid=1251630045"",""articles_with_PRISMA_reasons!B2:B2113""))"),2010.0)</f>
        <v>2010</v>
      </c>
      <c r="D1332" s="5" t="str">
        <f>IFERROR(__xludf.DUMMYFUNCTION("IFS(AND(
FILTER(IMPORTRANGE(""https://docs.google.com/spreadsheets/d/1BJSV3WBYJGRhQ6zExamkszQ5VutGIcaQqmbD9ZTVXMQ/edit#gid=1251630045"",""articles_with_PRISMA_reasons!Y2:Y2113""), $A1332=IMPORTRANGE(""https://docs.google.com/spreadsheets/d/1BJSV3WBYJGRhQ6"&amp;"zExamkszQ5VutGIcaQqmbD9ZTVXMQ/edit#gid=1251630045"",""articles_with_PRISMA_reasons!B2:B2113""))&gt;=2,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$A1332=IMPORTRANGE(""https://docs.google.com/spreadsheets/d/1BJSV3WBYJGRhQ6zExamkszQ5VutGIcaQqmbD9ZTVXMQ/edit#gid=1251630045"",""articles_with_PRISMA_reasons!B2:B2113""))&lt;2),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$A1332=IMPORTRANGE(""https://docs.google.com/spreadsheets/d/1BJSV3WBYJGRhQ6zExamkszQ5VutGIcaQqmbD9ZTVXMQ/edit#gid=1251630045"",""a"&amp;"rticles_with_PRISMA_reasons!B2:B2113""))&lt;2,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$A1332=IMPORTRANGE(""https://docs.google"&amp;".com/spreadsheets/d/1BJSV3WBYJGRhQ6zExamkszQ5VutGIcaQqmbD9ZTVXMQ/edit#gid=1251630045"",""articles_with_PRISMA_reasons!B2:B2113""))&gt;=2),
""Exclude""
)"),"Exclude")</f>
        <v>Exclude</v>
      </c>
      <c r="E1332" s="5" t="str">
        <f>IFERROR(__xludf.DUMMYFUNCTION("IFS(
D1332=""Exclude"",""Exclude"",
AND(
FILTER(IMPORTRANGE(""https://docs.google.com/spreadsheets/d/1qpEmbGH0JjaJbUdp21-y2cPbobDbMjr09BbtdKROZWc/edit#gid=1444865654"",""articles_with_PRISMA_reasons!W2:W2113""), $A1332=IMPORTRANGE(""https://docs.google.co"&amp;"m/spreadsheets/d/1qpEmbGH0JjaJbUdp21-y2cPbobDbMjr09BbtdKROZWc/edit#gid=1444865654"",""articles_with_PRISMA_reasons!B2:B2113""))&gt;=2,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$A1332=IMPORTRANGE(""https://docs.google.com/spreadsheets/d/1qpEmbGH0JjaJbUdp21-y2cPbobDbMjr09BbtdKROZWc/edit#gid=1444865654"",""articles_with_PRISMA_reasons!B2:B2113""))&lt;2),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$A1332=IMPORTRANGE(""https://docs.google.com/spreadsheets/d/1qpEmbGH0JjaJbUdp21-y2cPbobDbMjr09Bbtd"&amp;"KROZWc/edit#gid=1444865654"",""articles_with_PRISMA_reasons!B2:B2113""))&lt;2,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$A1332=I"&amp;"MPORTRANGE(""https://docs.google.com/spreadsheets/d/1qpEmbGH0JjaJbUdp21-y2cPbobDbMjr09BbtdKROZWc/edit#gid=1444865654"",""articles_with_PRISMA_reasons!B2:B2113""))&gt;=2),
""Exclude""
)"),"Exclude")</f>
        <v>Exclude</v>
      </c>
      <c r="F1332" s="5" t="str">
        <f>IFERROR(__xludf.DUMMYFUNCTION("IFS(
E1332=""Exclude"",""Exclude"",
AND(
COUNTIF(
IMPORTRANGE(""https://docs.google.com/spreadsheets/d/1kGrh75X1cNR1D7_FcY9zMnHP8iPO4M5RCRjy6nZY0TY/edit#gid=0"",""Table 1: Study characteristics!B4:B171""),A1332)&gt;0,
COUNTIF(Studies!$A$2:$A$85,FILTER(IMPORT"&amp;"RANGE(""https://docs.google.com/spreadsheets/d/1kGrh75X1cNR1D7_FcY9zMnHP8iPO4M5RCRjy6nZY0TY/edit#gid=0"",""Table 1: Study characteristics!A4:A171""), $A1332=IMPORTRANGE(""https://docs.google.com/spreadsheets/d/1kGrh75X1cNR1D7_FcY9zMnHP8iPO4M5RCRjy6nZY0TY/"&amp;"edit#gid=0"",""Table 1: Study characteristics!B4:B171"")))&gt;0
),
""Include""
)"),"Exclude")</f>
        <v>Exclude</v>
      </c>
      <c r="G1332" s="5" t="str">
        <f>IFERROR(__xludf.DUMMYFUNCTION("IFS(
D1332=""Exclude"",
FILTER(IMPORTRANGE(""https://docs.google.com/spreadsheets/d/1BJSV3WBYJGRhQ6zExamkszQ5VutGIcaQqmbD9ZTVXMQ/edit#gid=1251630045"",""articles_with_PRISMA_reasons!AB2:AB2113""), $A1332=IMPORTRANGE(""https://docs.google.com/spreadsheets/"&amp;"d/1BJSV3WBYJGRhQ6zExamkszQ5VutGIcaQqmbD9ZTVXMQ/edit#gid=1251630045"",""articles_with_PRISMA_reasons!B2:B2113"")),
E1332=""Exclude"",
FILTER(IMPORTRANGE(""https://docs.google.com/spreadsheets/d/1qpEmbGH0JjaJbUdp21-y2cPbobDbMjr09BbtdKROZWc/edit#gid=14448656"&amp;"54"",""articles_with_PRISMA_reasons!Z2:Z2113""), $A1332=IMPORTRANGE(""https://docs.google.com/spreadsheets/d/1qpEmbGH0JjaJbUdp21-y2cPbobDbMjr09BbtdKROZWc/edit#gid=1444865654"",""articles_with_PRISMA_reasons!B2:B2113"")),F1332
=""Include"",FILTER(IMPORTRAN"&amp;"GE(""https://docs.google.com/spreadsheets/d/1kGrh75X1cNR1D7_FcY9zMnHP8iPO4M5RCRjy6nZY0TY/edit#gid=0"",""Table 1: Study characteristics!A4:A171""), $A1332=IMPORTRANGE(""https://docs.google.com/spreadsheets/d/1kGrh75X1cNR1D7_FcY9zMnHP8iPO4M5RCRjy6nZY0TY/edi"&amp;"t#gid=0"",""Table 1: Study characteristics!B4:B171""))
)"),"wrong study design")</f>
        <v>wrong study design</v>
      </c>
    </row>
    <row r="1333">
      <c r="A1333" s="4" t="str">
        <f>IFERROR(__xludf.DUMMYFUNCTION("""COMPUTED_VALUE"""),"Neurosurgical management of patients with spina bifida and myelomeningocele")</f>
        <v>Neurosurgical management of patients with spina bifida and myelomeningocele</v>
      </c>
      <c r="B1333" s="5" t="str">
        <f>IFERROR(__xludf.DUMMYFUNCTION("LEFT(FILTER(IMPORTRANGE(""https://docs.google.com/spreadsheets/d/1BJSV3WBYJGRhQ6zExamkszQ5VutGIcaQqmbD9ZTVXMQ/edit#gid=1251630045"",""articles_with_PRISMA_reasons!K2:K2113""), $A1333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$A1333=IMPORTRANGE(""https://docs.google.com/spreadsheets/d/1BJSV3WBYJGRhQ6zExamkszQ5VutGIcaQqmbD9ZTVXMQ/edit#gid=1251630045"",""articles_with_PRISMA_reasons!B2:B2113"")))-1)"),"Ransohoff")</f>
        <v>Ransohoff</v>
      </c>
      <c r="C1333" s="6">
        <f>IFERROR(__xludf.DUMMYFUNCTION("FILTER(IMPORTRANGE(""https://docs.google.com/spreadsheets/d/1BJSV3WBYJGRhQ6zExamkszQ5VutGIcaQqmbD9ZTVXMQ/edit#gid=1251630045"",""articles_with_PRISMA_reasons!C2:C2113""), $A1333=IMPORTRANGE(""https://docs.google.com/spreadsheets/d/1BJSV3WBYJGRhQ6zExamkszQ"&amp;"5VutGIcaQqmbD9ZTVXMQ/edit#gid=1251630045"",""articles_with_PRISMA_reasons!B2:B2113""))"),1969.0)</f>
        <v>1969</v>
      </c>
      <c r="D1333" s="5" t="str">
        <f>IFERROR(__xludf.DUMMYFUNCTION("IFS(AND(
FILTER(IMPORTRANGE(""https://docs.google.com/spreadsheets/d/1BJSV3WBYJGRhQ6zExamkszQ5VutGIcaQqmbD9ZTVXMQ/edit#gid=1251630045"",""articles_with_PRISMA_reasons!Y2:Y2113""), $A1333=IMPORTRANGE(""https://docs.google.com/spreadsheets/d/1BJSV3WBYJGRhQ6"&amp;"zExamkszQ5VutGIcaQqmbD9ZTVXMQ/edit#gid=1251630045"",""articles_with_PRISMA_reasons!B2:B2113""))&gt;=2,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$A1333=IMPORTRANGE(""https://docs.google.com/spreadsheets/d/1BJSV3WBYJGRhQ6zExamkszQ5VutGIcaQqmbD9ZTVXMQ/edit#gid=1251630045"",""articles_with_PRISMA_reasons!B2:B2113""))&lt;2),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$A1333=IMPORTRANGE(""https://docs.google.com/spreadsheets/d/1BJSV3WBYJGRhQ6zExamkszQ5VutGIcaQqmbD9ZTVXMQ/edit#gid=1251630045"",""a"&amp;"rticles_with_PRISMA_reasons!B2:B2113""))&lt;2,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$A1333=IMPORTRANGE(""https://docs.google"&amp;".com/spreadsheets/d/1BJSV3WBYJGRhQ6zExamkszQ5VutGIcaQqmbD9ZTVXMQ/edit#gid=1251630045"",""articles_with_PRISMA_reasons!B2:B2113""))&gt;=2),
""Exclude""
)"),"Exclude")</f>
        <v>Exclude</v>
      </c>
      <c r="E1333" s="5" t="str">
        <f>IFERROR(__xludf.DUMMYFUNCTION("IFS(
D1333=""Exclude"",""Exclude"",
AND(
FILTER(IMPORTRANGE(""https://docs.google.com/spreadsheets/d/1qpEmbGH0JjaJbUdp21-y2cPbobDbMjr09BbtdKROZWc/edit#gid=1444865654"",""articles_with_PRISMA_reasons!W2:W2113""), $A1333=IMPORTRANGE(""https://docs.google.co"&amp;"m/spreadsheets/d/1qpEmbGH0JjaJbUdp21-y2cPbobDbMjr09BbtdKROZWc/edit#gid=1444865654"",""articles_with_PRISMA_reasons!B2:B2113""))&gt;=2,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$A1333=IMPORTRANGE(""https://docs.google.com/spreadsheets/d/1qpEmbGH0JjaJbUdp21-y2cPbobDbMjr09BbtdKROZWc/edit#gid=1444865654"",""articles_with_PRISMA_reasons!B2:B2113""))&lt;2),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$A1333=IMPORTRANGE(""https://docs.google.com/spreadsheets/d/1qpEmbGH0JjaJbUdp21-y2cPbobDbMjr09Bbtd"&amp;"KROZWc/edit#gid=1444865654"",""articles_with_PRISMA_reasons!B2:B2113""))&lt;2,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$A1333=I"&amp;"MPORTRANGE(""https://docs.google.com/spreadsheets/d/1qpEmbGH0JjaJbUdp21-y2cPbobDbMjr09BbtdKROZWc/edit#gid=1444865654"",""articles_with_PRISMA_reasons!B2:B2113""))&gt;=2),
""Exclude""
)"),"Exclude")</f>
        <v>Exclude</v>
      </c>
      <c r="F1333" s="5" t="str">
        <f>IFERROR(__xludf.DUMMYFUNCTION("IFS(
E1333=""Exclude"",""Exclude"",
AND(
COUNTIF(
IMPORTRANGE(""https://docs.google.com/spreadsheets/d/1kGrh75X1cNR1D7_FcY9zMnHP8iPO4M5RCRjy6nZY0TY/edit#gid=0"",""Table 1: Study characteristics!B4:B171""),A1333)&gt;0,
COUNTIF(Studies!$A$2:$A$85,FILTER(IMPORT"&amp;"RANGE(""https://docs.google.com/spreadsheets/d/1kGrh75X1cNR1D7_FcY9zMnHP8iPO4M5RCRjy6nZY0TY/edit#gid=0"",""Table 1: Study characteristics!A4:A171""), $A1333=IMPORTRANGE(""https://docs.google.com/spreadsheets/d/1kGrh75X1cNR1D7_FcY9zMnHP8iPO4M5RCRjy6nZY0TY/"&amp;"edit#gid=0"",""Table 1: Study characteristics!B4:B171"")))&gt;0
),
""Include""
)"),"Exclude")</f>
        <v>Exclude</v>
      </c>
      <c r="G1333" s="5" t="str">
        <f>IFERROR(__xludf.DUMMYFUNCTION("IFS(
D1333=""Exclude"",
FILTER(IMPORTRANGE(""https://docs.google.com/spreadsheets/d/1BJSV3WBYJGRhQ6zExamkszQ5VutGIcaQqmbD9ZTVXMQ/edit#gid=1251630045"",""articles_with_PRISMA_reasons!AB2:AB2113""), $A1333=IMPORTRANGE(""https://docs.google.com/spreadsheets/"&amp;"d/1BJSV3WBYJGRhQ6zExamkszQ5VutGIcaQqmbD9ZTVXMQ/edit#gid=1251630045"",""articles_with_PRISMA_reasons!B2:B2113"")),
E1333=""Exclude"",
FILTER(IMPORTRANGE(""https://docs.google.com/spreadsheets/d/1qpEmbGH0JjaJbUdp21-y2cPbobDbMjr09BbtdKROZWc/edit#gid=14448656"&amp;"54"",""articles_with_PRISMA_reasons!Z2:Z2113""), $A1333=IMPORTRANGE(""https://docs.google.com/spreadsheets/d/1qpEmbGH0JjaJbUdp21-y2cPbobDbMjr09BbtdKROZWc/edit#gid=1444865654"",""articles_with_PRISMA_reasons!B2:B2113"")),F1333
=""Include"",FILTER(IMPORTRAN"&amp;"GE(""https://docs.google.com/spreadsheets/d/1kGrh75X1cNR1D7_FcY9zMnHP8iPO4M5RCRjy6nZY0TY/edit#gid=0"",""Table 1: Study characteristics!A4:A171""), $A1333=IMPORTRANGE(""https://docs.google.com/spreadsheets/d/1kGrh75X1cNR1D7_FcY9zMnHP8iPO4M5RCRjy6nZY0TY/edi"&amp;"t#gid=0"",""Table 1: Study characteristics!B4:B171""))
)"),"wrong outcome")</f>
        <v>wrong outcome</v>
      </c>
    </row>
    <row r="1334">
      <c r="A1334" s="4" t="str">
        <f>IFERROR(__xludf.DUMMYFUNCTION("""COMPUTED_VALUE"""),"Neurosurgical management of spina bifida: Research issues")</f>
        <v>Neurosurgical management of spina bifida: Research issues</v>
      </c>
      <c r="B1334" s="5" t="str">
        <f>IFERROR(__xludf.DUMMYFUNCTION("LEFT(FILTER(IMPORTRANGE(""https://docs.google.com/spreadsheets/d/1BJSV3WBYJGRhQ6zExamkszQ5VutGIcaQqmbD9ZTVXMQ/edit#gid=1251630045"",""articles_with_PRISMA_reasons!K2:K2113""), $A1334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$A1334=IMPORTRANGE(""https://docs.google.com/spreadsheets/d/1BJSV3WBYJGRhQ6zExamkszQ5VutGIcaQqmbD9ZTVXMQ/edit#gid=1251630045"",""articles_with_PRISMA_reasons!B2:B2113"")))-1)"),"Bowman")</f>
        <v>Bowman</v>
      </c>
      <c r="C1334" s="6">
        <f>IFERROR(__xludf.DUMMYFUNCTION("FILTER(IMPORTRANGE(""https://docs.google.com/spreadsheets/d/1BJSV3WBYJGRhQ6zExamkszQ5VutGIcaQqmbD9ZTVXMQ/edit#gid=1251630045"",""articles_with_PRISMA_reasons!C2:C2113""), $A1334=IMPORTRANGE(""https://docs.google.com/spreadsheets/d/1BJSV3WBYJGRhQ6zExamkszQ"&amp;"5VutGIcaQqmbD9ZTVXMQ/edit#gid=1251630045"",""articles_with_PRISMA_reasons!B2:B2113""))"),2010.0)</f>
        <v>2010</v>
      </c>
      <c r="D1334" s="5" t="str">
        <f>IFERROR(__xludf.DUMMYFUNCTION("IFS(AND(
FILTER(IMPORTRANGE(""https://docs.google.com/spreadsheets/d/1BJSV3WBYJGRhQ6zExamkszQ5VutGIcaQqmbD9ZTVXMQ/edit#gid=1251630045"",""articles_with_PRISMA_reasons!Y2:Y2113""), $A1334=IMPORTRANGE(""https://docs.google.com/spreadsheets/d/1BJSV3WBYJGRhQ6"&amp;"zExamkszQ5VutGIcaQqmbD9ZTVXMQ/edit#gid=1251630045"",""articles_with_PRISMA_reasons!B2:B2113""))&gt;=2,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$A1334=IMPORTRANGE(""https://docs.google.com/spreadsheets/d/1BJSV3WBYJGRhQ6zExamkszQ5VutGIcaQqmbD9ZTVXMQ/edit#gid=1251630045"",""articles_with_PRISMA_reasons!B2:B2113""))&lt;2),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$A1334=IMPORTRANGE(""https://docs.google.com/spreadsheets/d/1BJSV3WBYJGRhQ6zExamkszQ5VutGIcaQqmbD9ZTVXMQ/edit#gid=1251630045"",""a"&amp;"rticles_with_PRISMA_reasons!B2:B2113""))&lt;2,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$A1334=IMPORTRANGE(""https://docs.google"&amp;".com/spreadsheets/d/1BJSV3WBYJGRhQ6zExamkszQ5VutGIcaQqmbD9ZTVXMQ/edit#gid=1251630045"",""articles_with_PRISMA_reasons!B2:B2113""))&gt;=2),
""Exclude""
)"),"Exclude")</f>
        <v>Exclude</v>
      </c>
      <c r="E1334" s="5" t="str">
        <f>IFERROR(__xludf.DUMMYFUNCTION("IFS(
D1334=""Exclude"",""Exclude"",
AND(
FILTER(IMPORTRANGE(""https://docs.google.com/spreadsheets/d/1qpEmbGH0JjaJbUdp21-y2cPbobDbMjr09BbtdKROZWc/edit#gid=1444865654"",""articles_with_PRISMA_reasons!W2:W2113""), $A1334=IMPORTRANGE(""https://docs.google.co"&amp;"m/spreadsheets/d/1qpEmbGH0JjaJbUdp21-y2cPbobDbMjr09BbtdKROZWc/edit#gid=1444865654"",""articles_with_PRISMA_reasons!B2:B2113""))&gt;=2,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$A1334=IMPORTRANGE(""https://docs.google.com/spreadsheets/d/1qpEmbGH0JjaJbUdp21-y2cPbobDbMjr09BbtdKROZWc/edit#gid=1444865654"",""articles_with_PRISMA_reasons!B2:B2113""))&lt;2),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$A1334=IMPORTRANGE(""https://docs.google.com/spreadsheets/d/1qpEmbGH0JjaJbUdp21-y2cPbobDbMjr09Bbtd"&amp;"KROZWc/edit#gid=1444865654"",""articles_with_PRISMA_reasons!B2:B2113""))&lt;2,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$A1334=I"&amp;"MPORTRANGE(""https://docs.google.com/spreadsheets/d/1qpEmbGH0JjaJbUdp21-y2cPbobDbMjr09BbtdKROZWc/edit#gid=1444865654"",""articles_with_PRISMA_reasons!B2:B2113""))&gt;=2),
""Exclude""
)"),"Exclude")</f>
        <v>Exclude</v>
      </c>
      <c r="F1334" s="5" t="str">
        <f>IFERROR(__xludf.DUMMYFUNCTION("IFS(
E1334=""Exclude"",""Exclude"",
AND(
COUNTIF(
IMPORTRANGE(""https://docs.google.com/spreadsheets/d/1kGrh75X1cNR1D7_FcY9zMnHP8iPO4M5RCRjy6nZY0TY/edit#gid=0"",""Table 1: Study characteristics!B4:B171""),A1334)&gt;0,
COUNTIF(Studies!$A$2:$A$85,FILTER(IMPORT"&amp;"RANGE(""https://docs.google.com/spreadsheets/d/1kGrh75X1cNR1D7_FcY9zMnHP8iPO4M5RCRjy6nZY0TY/edit#gid=0"",""Table 1: Study characteristics!A4:A171""), $A1334=IMPORTRANGE(""https://docs.google.com/spreadsheets/d/1kGrh75X1cNR1D7_FcY9zMnHP8iPO4M5RCRjy6nZY0TY/"&amp;"edit#gid=0"",""Table 1: Study characteristics!B4:B171"")))&gt;0
),
""Include""
)"),"Exclude")</f>
        <v>Exclude</v>
      </c>
      <c r="G1334" s="5" t="str">
        <f>IFERROR(__xludf.DUMMYFUNCTION("IFS(
D1334=""Exclude"",
FILTER(IMPORTRANGE(""https://docs.google.com/spreadsheets/d/1BJSV3WBYJGRhQ6zExamkszQ5VutGIcaQqmbD9ZTVXMQ/edit#gid=1251630045"",""articles_with_PRISMA_reasons!AB2:AB2113""), $A1334=IMPORTRANGE(""https://docs.google.com/spreadsheets/"&amp;"d/1BJSV3WBYJGRhQ6zExamkszQ5VutGIcaQqmbD9ZTVXMQ/edit#gid=1251630045"",""articles_with_PRISMA_reasons!B2:B2113"")),
E1334=""Exclude"",
FILTER(IMPORTRANGE(""https://docs.google.com/spreadsheets/d/1qpEmbGH0JjaJbUdp21-y2cPbobDbMjr09BbtdKROZWc/edit#gid=14448656"&amp;"54"",""articles_with_PRISMA_reasons!Z2:Z2113""), $A1334=IMPORTRANGE(""https://docs.google.com/spreadsheets/d/1qpEmbGH0JjaJbUdp21-y2cPbobDbMjr09BbtdKROZWc/edit#gid=1444865654"",""articles_with_PRISMA_reasons!B2:B2113"")),F1334
=""Include"",FILTER(IMPORTRAN"&amp;"GE(""https://docs.google.com/spreadsheets/d/1kGrh75X1cNR1D7_FcY9zMnHP8iPO4M5RCRjy6nZY0TY/edit#gid=0"",""Table 1: Study characteristics!A4:A171""), $A1334=IMPORTRANGE(""https://docs.google.com/spreadsheets/d/1kGrh75X1cNR1D7_FcY9zMnHP8iPO4M5RCRjy6nZY0TY/edi"&amp;"t#gid=0"",""Table 1: Study characteristics!B4:B171""))
)"),"wrong study design")</f>
        <v>wrong study design</v>
      </c>
    </row>
    <row r="1335">
      <c r="A1335" s="4" t="str">
        <f>IFERROR(__xludf.DUMMYFUNCTION("""COMPUTED_VALUE"""),"Neurosurgical procedures for children with myelomeningocele after fetal or postnatal surgery: a comparative effectiveness study")</f>
        <v>Neurosurgical procedures for children with myelomeningocele after fetal or postnatal surgery: a comparative effectiveness study</v>
      </c>
      <c r="B1335" s="5" t="str">
        <f>IFERROR(__xludf.DUMMYFUNCTION("LEFT(FILTER(IMPORTRANGE(""https://docs.google.com/spreadsheets/d/1BJSV3WBYJGRhQ6zExamkszQ5VutGIcaQqmbD9ZTVXMQ/edit#gid=1251630045"",""articles_with_PRISMA_reasons!K2:K2113""), $A1335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$A1335=IMPORTRANGE(""https://docs.google.com/spreadsheets/d/1BJSV3WBYJGRhQ6zExamkszQ5VutGIcaQqmbD9ZTVXMQ/edit#gid=1251630045"",""articles_with_PRISMA_reasons!B2:B2113"")))-1)"),"Worley")</f>
        <v>Worley</v>
      </c>
      <c r="C1335" s="6">
        <f>IFERROR(__xludf.DUMMYFUNCTION("FILTER(IMPORTRANGE(""https://docs.google.com/spreadsheets/d/1BJSV3WBYJGRhQ6zExamkszQ5VutGIcaQqmbD9ZTVXMQ/edit#gid=1251630045"",""articles_with_PRISMA_reasons!C2:C2113""), $A1335=IMPORTRANGE(""https://docs.google.com/spreadsheets/d/1BJSV3WBYJGRhQ6zExamkszQ"&amp;"5VutGIcaQqmbD9ZTVXMQ/edit#gid=1251630045"",""articles_with_PRISMA_reasons!B2:B2113""))"),2021.0)</f>
        <v>2021</v>
      </c>
      <c r="D1335" s="5" t="str">
        <f>IFERROR(__xludf.DUMMYFUNCTION("IFS(AND(
FILTER(IMPORTRANGE(""https://docs.google.com/spreadsheets/d/1BJSV3WBYJGRhQ6zExamkszQ5VutGIcaQqmbD9ZTVXMQ/edit#gid=1251630045"",""articles_with_PRISMA_reasons!Y2:Y2113""), $A1335=IMPORTRANGE(""https://docs.google.com/spreadsheets/d/1BJSV3WBYJGRhQ6"&amp;"zExamkszQ5VutGIcaQqmbD9ZTVXMQ/edit#gid=1251630045"",""articles_with_PRISMA_reasons!B2:B2113""))&gt;=2,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$A1335=IMPORTRANGE(""https://docs.google.com/spreadsheets/d/1BJSV3WBYJGRhQ6zExamkszQ5VutGIcaQqmbD9ZTVXMQ/edit#gid=1251630045"",""articles_with_PRISMA_reasons!B2:B2113""))&lt;2),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$A1335=IMPORTRANGE(""https://docs.google.com/spreadsheets/d/1BJSV3WBYJGRhQ6zExamkszQ5VutGIcaQqmbD9ZTVXMQ/edit#gid=1251630045"",""a"&amp;"rticles_with_PRISMA_reasons!B2:B2113""))&lt;2,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$A1335=IMPORTRANGE(""https://docs.google"&amp;".com/spreadsheets/d/1BJSV3WBYJGRhQ6zExamkszQ5VutGIcaQqmbD9ZTVXMQ/edit#gid=1251630045"",""articles_with_PRISMA_reasons!B2:B2113""))&gt;=2),
""Exclude""
)"),"Include")</f>
        <v>Include</v>
      </c>
      <c r="E1335" s="5" t="str">
        <f>IFERROR(__xludf.DUMMYFUNCTION("IFS(
D1335=""Exclude"",""Exclude"",
AND(
FILTER(IMPORTRANGE(""https://docs.google.com/spreadsheets/d/1qpEmbGH0JjaJbUdp21-y2cPbobDbMjr09BbtdKROZWc/edit#gid=1444865654"",""articles_with_PRISMA_reasons!W2:W2113""), $A1335=IMPORTRANGE(""https://docs.google.co"&amp;"m/spreadsheets/d/1qpEmbGH0JjaJbUdp21-y2cPbobDbMjr09BbtdKROZWc/edit#gid=1444865654"",""articles_with_PRISMA_reasons!B2:B2113""))&gt;=2,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$A1335=IMPORTRANGE(""https://docs.google.com/spreadsheets/d/1qpEmbGH0JjaJbUdp21-y2cPbobDbMjr09BbtdKROZWc/edit#gid=1444865654"",""articles_with_PRISMA_reasons!B2:B2113""))&lt;2),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$A1335=IMPORTRANGE(""https://docs.google.com/spreadsheets/d/1qpEmbGH0JjaJbUdp21-y2cPbobDbMjr09Bbtd"&amp;"KROZWc/edit#gid=1444865654"",""articles_with_PRISMA_reasons!B2:B2113""))&lt;2,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$A1335=I"&amp;"MPORTRANGE(""https://docs.google.com/spreadsheets/d/1qpEmbGH0JjaJbUdp21-y2cPbobDbMjr09BbtdKROZWc/edit#gid=1444865654"",""articles_with_PRISMA_reasons!B2:B2113""))&gt;=2),
""Exclude""
)"),"Exclude")</f>
        <v>Exclude</v>
      </c>
      <c r="F1335" s="5" t="str">
        <f>IFERROR(__xludf.DUMMYFUNCTION("IFS(
E1335=""Exclude"",""Exclude"",
AND(
COUNTIF(
IMPORTRANGE(""https://docs.google.com/spreadsheets/d/1kGrh75X1cNR1D7_FcY9zMnHP8iPO4M5RCRjy6nZY0TY/edit#gid=0"",""Table 1: Study characteristics!B4:B171""),A1335)&gt;0,
COUNTIF(Studies!$A$2:$A$85,FILTER(IMPORT"&amp;"RANGE(""https://docs.google.com/spreadsheets/d/1kGrh75X1cNR1D7_FcY9zMnHP8iPO4M5RCRjy6nZY0TY/edit#gid=0"",""Table 1: Study characteristics!A4:A171""), $A1335=IMPORTRANGE(""https://docs.google.com/spreadsheets/d/1kGrh75X1cNR1D7_FcY9zMnHP8iPO4M5RCRjy6nZY0TY/"&amp;"edit#gid=0"",""Table 1: Study characteristics!B4:B171"")))&gt;0
),
""Include""
)"),"Exclude")</f>
        <v>Exclude</v>
      </c>
      <c r="G1335" s="5" t="str">
        <f>IFERROR(__xludf.DUMMYFUNCTION("IFS(
D1335=""Exclude"",
FILTER(IMPORTRANGE(""https://docs.google.com/spreadsheets/d/1BJSV3WBYJGRhQ6zExamkszQ5VutGIcaQqmbD9ZTVXMQ/edit#gid=1251630045"",""articles_with_PRISMA_reasons!AB2:AB2113""), $A1335=IMPORTRANGE(""https://docs.google.com/spreadsheets/"&amp;"d/1BJSV3WBYJGRhQ6zExamkszQ5VutGIcaQqmbD9ZTVXMQ/edit#gid=1251630045"",""articles_with_PRISMA_reasons!B2:B2113"")),
E1335=""Exclude"",
FILTER(IMPORTRANGE(""https://docs.google.com/spreadsheets/d/1qpEmbGH0JjaJbUdp21-y2cPbobDbMjr09BbtdKROZWc/edit#gid=14448656"&amp;"54"",""articles_with_PRISMA_reasons!Z2:Z2113""), $A1335=IMPORTRANGE(""https://docs.google.com/spreadsheets/d/1qpEmbGH0JjaJbUdp21-y2cPbobDbMjr09BbtdKROZWc/edit#gid=1444865654"",""articles_with_PRISMA_reasons!B2:B2113"")),F1335
=""Include"",FILTER(IMPORTRAN"&amp;"GE(""https://docs.google.com/spreadsheets/d/1kGrh75X1cNR1D7_FcY9zMnHP8iPO4M5RCRjy6nZY0TY/edit#gid=0"",""Table 1: Study characteristics!A4:A171""), $A1335=IMPORTRANGE(""https://docs.google.com/spreadsheets/d/1kGrh75X1cNR1D7_FcY9zMnHP8iPO4M5RCRjy6nZY0TY/edi"&amp;"t#gid=0"",""Table 1: Study characteristics!B4:B171""))
)"),"wrong outcome")</f>
        <v>wrong outcome</v>
      </c>
    </row>
    <row r="1336">
      <c r="A1336" s="4" t="str">
        <f>IFERROR(__xludf.DUMMYFUNCTION("""COMPUTED_VALUE"""),"Neurosurgical Procedures for Co-morbid Conditions after Closure of Myelomeningocele by Fetal surgery versus by Postnatal Surgery: a Matched Cohort Study")</f>
        <v>Neurosurgical Procedures for Co-morbid Conditions after Closure of Myelomeningocele by Fetal surgery versus by Postnatal Surgery: a Matched Cohort Study</v>
      </c>
      <c r="B1336" s="5" t="str">
        <f>IFERROR(__xludf.DUMMYFUNCTION("LEFT(FILTER(IMPORTRANGE(""https://docs.google.com/spreadsheets/d/1BJSV3WBYJGRhQ6zExamkszQ5VutGIcaQqmbD9ZTVXMQ/edit#gid=1251630045"",""articles_with_PRISMA_reasons!K2:K2113""), $A1336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$A1336=IMPORTRANGE(""https://docs.google.com/spreadsheets/d/1BJSV3WBYJGRhQ6zExamkszQ5VutGIcaQqmbD9ZTVXMQ/edit#gid=1251630045"",""articles_with_PRISMA_reasons!B2:B2113"")))-1)"),"Worley")</f>
        <v>Worley</v>
      </c>
      <c r="C1336" s="6">
        <f>IFERROR(__xludf.DUMMYFUNCTION("FILTER(IMPORTRANGE(""https://docs.google.com/spreadsheets/d/1BJSV3WBYJGRhQ6zExamkszQ5VutGIcaQqmbD9ZTVXMQ/edit#gid=1251630045"",""articles_with_PRISMA_reasons!C2:C2113""), $A1336=IMPORTRANGE(""https://docs.google.com/spreadsheets/d/1BJSV3WBYJGRhQ6zExamkszQ"&amp;"5VutGIcaQqmbD9ZTVXMQ/edit#gid=1251630045"",""articles_with_PRISMA_reasons!B2:B2113""))"),2020.0)</f>
        <v>2020</v>
      </c>
      <c r="D1336" s="5" t="str">
        <f>IFERROR(__xludf.DUMMYFUNCTION("IFS(AND(
FILTER(IMPORTRANGE(""https://docs.google.com/spreadsheets/d/1BJSV3WBYJGRhQ6zExamkszQ5VutGIcaQqmbD9ZTVXMQ/edit#gid=1251630045"",""articles_with_PRISMA_reasons!Y2:Y2113""), $A1336=IMPORTRANGE(""https://docs.google.com/spreadsheets/d/1BJSV3WBYJGRhQ6"&amp;"zExamkszQ5VutGIcaQqmbD9ZTVXMQ/edit#gid=1251630045"",""articles_with_PRISMA_reasons!B2:B2113""))&gt;=2,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$A1336=IMPORTRANGE(""https://docs.google.com/spreadsheets/d/1BJSV3WBYJGRhQ6zExamkszQ5VutGIcaQqmbD9ZTVXMQ/edit#gid=1251630045"",""articles_with_PRISMA_reasons!B2:B2113""))&lt;2),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$A1336=IMPORTRANGE(""https://docs.google.com/spreadsheets/d/1BJSV3WBYJGRhQ6zExamkszQ5VutGIcaQqmbD9ZTVXMQ/edit#gid=1251630045"",""a"&amp;"rticles_with_PRISMA_reasons!B2:B2113""))&lt;2,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$A1336=IMPORTRANGE(""https://docs.google"&amp;".com/spreadsheets/d/1BJSV3WBYJGRhQ6zExamkszQ5VutGIcaQqmbD9ZTVXMQ/edit#gid=1251630045"",""articles_with_PRISMA_reasons!B2:B2113""))&gt;=2),
""Exclude""
)"),"Include")</f>
        <v>Include</v>
      </c>
      <c r="E1336" s="5" t="str">
        <f>IFERROR(__xludf.DUMMYFUNCTION("IFS(
D1336=""Exclude"",""Exclude"",
AND(
FILTER(IMPORTRANGE(""https://docs.google.com/spreadsheets/d/1qpEmbGH0JjaJbUdp21-y2cPbobDbMjr09BbtdKROZWc/edit#gid=1444865654"",""articles_with_PRISMA_reasons!W2:W2113""), $A1336=IMPORTRANGE(""https://docs.google.co"&amp;"m/spreadsheets/d/1qpEmbGH0JjaJbUdp21-y2cPbobDbMjr09BbtdKROZWc/edit#gid=1444865654"",""articles_with_PRISMA_reasons!B2:B2113""))&gt;=2,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$A1336=IMPORTRANGE(""https://docs.google.com/spreadsheets/d/1qpEmbGH0JjaJbUdp21-y2cPbobDbMjr09BbtdKROZWc/edit#gid=1444865654"",""articles_with_PRISMA_reasons!B2:B2113""))&lt;2),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$A1336=IMPORTRANGE(""https://docs.google.com/spreadsheets/d/1qpEmbGH0JjaJbUdp21-y2cPbobDbMjr09Bbtd"&amp;"KROZWc/edit#gid=1444865654"",""articles_with_PRISMA_reasons!B2:B2113""))&lt;2,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$A1336=I"&amp;"MPORTRANGE(""https://docs.google.com/spreadsheets/d/1qpEmbGH0JjaJbUdp21-y2cPbobDbMjr09BbtdKROZWc/edit#gid=1444865654"",""articles_with_PRISMA_reasons!B2:B2113""))&gt;=2),
""Exclude""
)"),"Exclude")</f>
        <v>Exclude</v>
      </c>
      <c r="F1336" s="5" t="str">
        <f>IFERROR(__xludf.DUMMYFUNCTION("IFS(
E1336=""Exclude"",""Exclude"",
AND(
COUNTIF(
IMPORTRANGE(""https://docs.google.com/spreadsheets/d/1kGrh75X1cNR1D7_FcY9zMnHP8iPO4M5RCRjy6nZY0TY/edit#gid=0"",""Table 1: Study characteristics!B4:B171""),A1336)&gt;0,
COUNTIF(Studies!$A$2:$A$85,FILTER(IMPORT"&amp;"RANGE(""https://docs.google.com/spreadsheets/d/1kGrh75X1cNR1D7_FcY9zMnHP8iPO4M5RCRjy6nZY0TY/edit#gid=0"",""Table 1: Study characteristics!A4:A171""), $A1336=IMPORTRANGE(""https://docs.google.com/spreadsheets/d/1kGrh75X1cNR1D7_FcY9zMnHP8iPO4M5RCRjy6nZY0TY/"&amp;"edit#gid=0"",""Table 1: Study characteristics!B4:B171"")))&gt;0
),
""Include""
)"),"Exclude")</f>
        <v>Exclude</v>
      </c>
      <c r="G1336" s="5" t="str">
        <f>IFERROR(__xludf.DUMMYFUNCTION("IFS(
D1336=""Exclude"",
FILTER(IMPORTRANGE(""https://docs.google.com/spreadsheets/d/1BJSV3WBYJGRhQ6zExamkszQ5VutGIcaQqmbD9ZTVXMQ/edit#gid=1251630045"",""articles_with_PRISMA_reasons!AB2:AB2113""), $A1336=IMPORTRANGE(""https://docs.google.com/spreadsheets/"&amp;"d/1BJSV3WBYJGRhQ6zExamkszQ5VutGIcaQqmbD9ZTVXMQ/edit#gid=1251630045"",""articles_with_PRISMA_reasons!B2:B2113"")),
E1336=""Exclude"",
FILTER(IMPORTRANGE(""https://docs.google.com/spreadsheets/d/1qpEmbGH0JjaJbUdp21-y2cPbobDbMjr09BbtdKROZWc/edit#gid=14448656"&amp;"54"",""articles_with_PRISMA_reasons!Z2:Z2113""), $A1336=IMPORTRANGE(""https://docs.google.com/spreadsheets/d/1qpEmbGH0JjaJbUdp21-y2cPbobDbMjr09BbtdKROZWc/edit#gid=1444865654"",""articles_with_PRISMA_reasons!B2:B2113"")),F1336
=""Include"",FILTER(IMPORTRAN"&amp;"GE(""https://docs.google.com/spreadsheets/d/1kGrh75X1cNR1D7_FcY9zMnHP8iPO4M5RCRjy6nZY0TY/edit#gid=0"",""Table 1: Study characteristics!A4:A171""), $A1336=IMPORTRANGE(""https://docs.google.com/spreadsheets/d/1kGrh75X1cNR1D7_FcY9zMnHP8iPO4M5RCRjy6nZY0TY/edi"&amp;"t#gid=0"",""Table 1: Study characteristics!B4:B171""))
)"),"Conference abstract")</f>
        <v>Conference abstract</v>
      </c>
    </row>
    <row r="1337">
      <c r="A1337" s="4" t="str">
        <f>IFERROR(__xludf.DUMMYFUNCTION("""COMPUTED_VALUE"""),"New and/or improved aspects of fetal surgery")</f>
        <v>New and/or improved aspects of fetal surgery</v>
      </c>
      <c r="B1337" s="5" t="str">
        <f>IFERROR(__xludf.DUMMYFUNCTION("LEFT(FILTER(IMPORTRANGE(""https://docs.google.com/spreadsheets/d/1BJSV3WBYJGRhQ6zExamkszQ5VutGIcaQqmbD9ZTVXMQ/edit#gid=1251630045"",""articles_with_PRISMA_reasons!K2:K2113""), $A1337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$A1337=IMPORTRANGE(""https://docs.google.com/spreadsheets/d/1BJSV3WBYJGRhQ6zExamkszQ5VutGIcaQqmbD9ZTVXMQ/edit#gid=1251630045"",""articles_with_PRISMA_reasons!B2:B2113"")))-1)"),"Luks")</f>
        <v>Luks</v>
      </c>
      <c r="C1337" s="6">
        <f>IFERROR(__xludf.DUMMYFUNCTION("FILTER(IMPORTRANGE(""https://docs.google.com/spreadsheets/d/1BJSV3WBYJGRhQ6zExamkszQ5VutGIcaQqmbD9ZTVXMQ/edit#gid=1251630045"",""articles_with_PRISMA_reasons!C2:C2113""), $A1337=IMPORTRANGE(""https://docs.google.com/spreadsheets/d/1BJSV3WBYJGRhQ6zExamkszQ"&amp;"5VutGIcaQqmbD9ZTVXMQ/edit#gid=1251630045"",""articles_with_PRISMA_reasons!B2:B2113""))"),2011.0)</f>
        <v>2011</v>
      </c>
      <c r="D1337" s="5" t="str">
        <f>IFERROR(__xludf.DUMMYFUNCTION("IFS(AND(
FILTER(IMPORTRANGE(""https://docs.google.com/spreadsheets/d/1BJSV3WBYJGRhQ6zExamkszQ5VutGIcaQqmbD9ZTVXMQ/edit#gid=1251630045"",""articles_with_PRISMA_reasons!Y2:Y2113""), $A1337=IMPORTRANGE(""https://docs.google.com/spreadsheets/d/1BJSV3WBYJGRhQ6"&amp;"zExamkszQ5VutGIcaQqmbD9ZTVXMQ/edit#gid=1251630045"",""articles_with_PRISMA_reasons!B2:B2113""))&gt;=2,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$A1337=IMPORTRANGE(""https://docs.google.com/spreadsheets/d/1BJSV3WBYJGRhQ6zExamkszQ5VutGIcaQqmbD9ZTVXMQ/edit#gid=1251630045"",""articles_with_PRISMA_reasons!B2:B2113""))&lt;2),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$A1337=IMPORTRANGE(""https://docs.google.com/spreadsheets/d/1BJSV3WBYJGRhQ6zExamkszQ5VutGIcaQqmbD9ZTVXMQ/edit#gid=1251630045"",""a"&amp;"rticles_with_PRISMA_reasons!B2:B2113""))&lt;2,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$A1337=IMPORTRANGE(""https://docs.google"&amp;".com/spreadsheets/d/1BJSV3WBYJGRhQ6zExamkszQ5VutGIcaQqmbD9ZTVXMQ/edit#gid=1251630045"",""articles_with_PRISMA_reasons!B2:B2113""))&gt;=2),
""Exclude""
)"),"Exclude")</f>
        <v>Exclude</v>
      </c>
      <c r="E1337" s="5" t="str">
        <f>IFERROR(__xludf.DUMMYFUNCTION("IFS(
D1337=""Exclude"",""Exclude"",
AND(
FILTER(IMPORTRANGE(""https://docs.google.com/spreadsheets/d/1qpEmbGH0JjaJbUdp21-y2cPbobDbMjr09BbtdKROZWc/edit#gid=1444865654"",""articles_with_PRISMA_reasons!W2:W2113""), $A1337=IMPORTRANGE(""https://docs.google.co"&amp;"m/spreadsheets/d/1qpEmbGH0JjaJbUdp21-y2cPbobDbMjr09BbtdKROZWc/edit#gid=1444865654"",""articles_with_PRISMA_reasons!B2:B2113""))&gt;=2,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$A1337=IMPORTRANGE(""https://docs.google.com/spreadsheets/d/1qpEmbGH0JjaJbUdp21-y2cPbobDbMjr09BbtdKROZWc/edit#gid=1444865654"",""articles_with_PRISMA_reasons!B2:B2113""))&lt;2),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$A1337=IMPORTRANGE(""https://docs.google.com/spreadsheets/d/1qpEmbGH0JjaJbUdp21-y2cPbobDbMjr09Bbtd"&amp;"KROZWc/edit#gid=1444865654"",""articles_with_PRISMA_reasons!B2:B2113""))&lt;2,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$A1337=I"&amp;"MPORTRANGE(""https://docs.google.com/spreadsheets/d/1qpEmbGH0JjaJbUdp21-y2cPbobDbMjr09BbtdKROZWc/edit#gid=1444865654"",""articles_with_PRISMA_reasons!B2:B2113""))&gt;=2),
""Exclude""
)"),"Exclude")</f>
        <v>Exclude</v>
      </c>
      <c r="F1337" s="5" t="str">
        <f>IFERROR(__xludf.DUMMYFUNCTION("IFS(
E1337=""Exclude"",""Exclude"",
AND(
COUNTIF(
IMPORTRANGE(""https://docs.google.com/spreadsheets/d/1kGrh75X1cNR1D7_FcY9zMnHP8iPO4M5RCRjy6nZY0TY/edit#gid=0"",""Table 1: Study characteristics!B4:B171""),A1337)&gt;0,
COUNTIF(Studies!$A$2:$A$85,FILTER(IMPORT"&amp;"RANGE(""https://docs.google.com/spreadsheets/d/1kGrh75X1cNR1D7_FcY9zMnHP8iPO4M5RCRjy6nZY0TY/edit#gid=0"",""Table 1: Study characteristics!A4:A171""), $A1337=IMPORTRANGE(""https://docs.google.com/spreadsheets/d/1kGrh75X1cNR1D7_FcY9zMnHP8iPO4M5RCRjy6nZY0TY/"&amp;"edit#gid=0"",""Table 1: Study characteristics!B4:B171"")))&gt;0
),
""Include""
)"),"Exclude")</f>
        <v>Exclude</v>
      </c>
      <c r="G1337" s="5" t="str">
        <f>IFERROR(__xludf.DUMMYFUNCTION("IFS(
D1337=""Exclude"",
FILTER(IMPORTRANGE(""https://docs.google.com/spreadsheets/d/1BJSV3WBYJGRhQ6zExamkszQ5VutGIcaQqmbD9ZTVXMQ/edit#gid=1251630045"",""articles_with_PRISMA_reasons!AB2:AB2113""), $A1337=IMPORTRANGE(""https://docs.google.com/spreadsheets/"&amp;"d/1BJSV3WBYJGRhQ6zExamkszQ5VutGIcaQqmbD9ZTVXMQ/edit#gid=1251630045"",""articles_with_PRISMA_reasons!B2:B2113"")),
E1337=""Exclude"",
FILTER(IMPORTRANGE(""https://docs.google.com/spreadsheets/d/1qpEmbGH0JjaJbUdp21-y2cPbobDbMjr09BbtdKROZWc/edit#gid=14448656"&amp;"54"",""articles_with_PRISMA_reasons!Z2:Z2113""), $A1337=IMPORTRANGE(""https://docs.google.com/spreadsheets/d/1qpEmbGH0JjaJbUdp21-y2cPbobDbMjr09BbtdKROZWc/edit#gid=1444865654"",""articles_with_PRISMA_reasons!B2:B2113"")),F1337
=""Include"",FILTER(IMPORTRAN"&amp;"GE(""https://docs.google.com/spreadsheets/d/1kGrh75X1cNR1D7_FcY9zMnHP8iPO4M5RCRjy6nZY0TY/edit#gid=0"",""Table 1: Study characteristics!A4:A171""), $A1337=IMPORTRANGE(""https://docs.google.com/spreadsheets/d/1kGrh75X1cNR1D7_FcY9zMnHP8iPO4M5RCRjy6nZY0TY/edi"&amp;"t#gid=0"",""Table 1: Study characteristics!B4:B171""))
)"),"wrong study design")</f>
        <v>wrong study design</v>
      </c>
    </row>
    <row r="1338">
      <c r="A1338" s="4" t="str">
        <f>IFERROR(__xludf.DUMMYFUNCTION("""COMPUTED_VALUE"""),"New drugs approved by the FDA; new dosage forms and indications; agents pending FDA approval; significant labeling changes")</f>
        <v>New drugs approved by the FDA; new dosage forms and indications; agents pending FDA approval; significant labeling changes</v>
      </c>
      <c r="B1338" s="5" t="str">
        <f>IFERROR(__xludf.DUMMYFUNCTION("LEFT(FILTER(IMPORTRANGE(""https://docs.google.com/spreadsheets/d/1BJSV3WBYJGRhQ6zExamkszQ5VutGIcaQqmbD9ZTVXMQ/edit#gid=1251630045"",""articles_with_PRISMA_reasons!K2:K2113""), $A1338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$A1338=IMPORTRANGE(""https://docs.google.com/spreadsheets/d/1BJSV3WBYJGRhQ6zExamkszQ5VutGIcaQqmbD9ZTVXMQ/edit#gid=1251630045"",""articles_with_PRISMA_reasons!B2:B2113"")))-1)"),"Baker")</f>
        <v>Baker</v>
      </c>
      <c r="C1338" s="6">
        <f>IFERROR(__xludf.DUMMYFUNCTION("FILTER(IMPORTRANGE(""https://docs.google.com/spreadsheets/d/1BJSV3WBYJGRhQ6zExamkszQ5VutGIcaQqmbD9ZTVXMQ/edit#gid=1251630045"",""articles_with_PRISMA_reasons!C2:C2113""), $A1338=IMPORTRANGE(""https://docs.google.com/spreadsheets/d/1BJSV3WBYJGRhQ6zExamkszQ"&amp;"5VutGIcaQqmbD9ZTVXMQ/edit#gid=1251630045"",""articles_with_PRISMA_reasons!B2:B2113""))"),2005.0)</f>
        <v>2005</v>
      </c>
      <c r="D1338" s="5" t="str">
        <f>IFERROR(__xludf.DUMMYFUNCTION("IFS(AND(
FILTER(IMPORTRANGE(""https://docs.google.com/spreadsheets/d/1BJSV3WBYJGRhQ6zExamkszQ5VutGIcaQqmbD9ZTVXMQ/edit#gid=1251630045"",""articles_with_PRISMA_reasons!Y2:Y2113""), $A1338=IMPORTRANGE(""https://docs.google.com/spreadsheets/d/1BJSV3WBYJGRhQ6"&amp;"zExamkszQ5VutGIcaQqmbD9ZTVXMQ/edit#gid=1251630045"",""articles_with_PRISMA_reasons!B2:B2113""))&gt;=2,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$A1338=IMPORTRANGE(""https://docs.google.com/spreadsheets/d/1BJSV3WBYJGRhQ6zExamkszQ5VutGIcaQqmbD9ZTVXMQ/edit#gid=1251630045"",""articles_with_PRISMA_reasons!B2:B2113""))&lt;2),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$A1338=IMPORTRANGE(""https://docs.google.com/spreadsheets/d/1BJSV3WBYJGRhQ6zExamkszQ5VutGIcaQqmbD9ZTVXMQ/edit#gid=1251630045"",""a"&amp;"rticles_with_PRISMA_reasons!B2:B2113""))&lt;2,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$A1338=IMPORTRANGE(""https://docs.google"&amp;".com/spreadsheets/d/1BJSV3WBYJGRhQ6zExamkszQ5VutGIcaQqmbD9ZTVXMQ/edit#gid=1251630045"",""articles_with_PRISMA_reasons!B2:B2113""))&gt;=2),
""Exclude""
)"),"Exclude")</f>
        <v>Exclude</v>
      </c>
      <c r="E1338" s="5" t="str">
        <f>IFERROR(__xludf.DUMMYFUNCTION("IFS(
D1338=""Exclude"",""Exclude"",
AND(
FILTER(IMPORTRANGE(""https://docs.google.com/spreadsheets/d/1qpEmbGH0JjaJbUdp21-y2cPbobDbMjr09BbtdKROZWc/edit#gid=1444865654"",""articles_with_PRISMA_reasons!W2:W2113""), $A1338=IMPORTRANGE(""https://docs.google.co"&amp;"m/spreadsheets/d/1qpEmbGH0JjaJbUdp21-y2cPbobDbMjr09BbtdKROZWc/edit#gid=1444865654"",""articles_with_PRISMA_reasons!B2:B2113""))&gt;=2,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$A1338=IMPORTRANGE(""https://docs.google.com/spreadsheets/d/1qpEmbGH0JjaJbUdp21-y2cPbobDbMjr09BbtdKROZWc/edit#gid=1444865654"",""articles_with_PRISMA_reasons!B2:B2113""))&lt;2),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$A1338=IMPORTRANGE(""https://docs.google.com/spreadsheets/d/1qpEmbGH0JjaJbUdp21-y2cPbobDbMjr09Bbtd"&amp;"KROZWc/edit#gid=1444865654"",""articles_with_PRISMA_reasons!B2:B2113""))&lt;2,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$A1338=I"&amp;"MPORTRANGE(""https://docs.google.com/spreadsheets/d/1qpEmbGH0JjaJbUdp21-y2cPbobDbMjr09BbtdKROZWc/edit#gid=1444865654"",""articles_with_PRISMA_reasons!B2:B2113""))&gt;=2),
""Exclude""
)"),"Exclude")</f>
        <v>Exclude</v>
      </c>
      <c r="F1338" s="5" t="str">
        <f>IFERROR(__xludf.DUMMYFUNCTION("IFS(
E1338=""Exclude"",""Exclude"",
AND(
COUNTIF(
IMPORTRANGE(""https://docs.google.com/spreadsheets/d/1kGrh75X1cNR1D7_FcY9zMnHP8iPO4M5RCRjy6nZY0TY/edit#gid=0"",""Table 1: Study characteristics!B4:B171""),A1338)&gt;0,
COUNTIF(Studies!$A$2:$A$85,FILTER(IMPORT"&amp;"RANGE(""https://docs.google.com/spreadsheets/d/1kGrh75X1cNR1D7_FcY9zMnHP8iPO4M5RCRjy6nZY0TY/edit#gid=0"",""Table 1: Study characteristics!A4:A171""), $A1338=IMPORTRANGE(""https://docs.google.com/spreadsheets/d/1kGrh75X1cNR1D7_FcY9zMnHP8iPO4M5RCRjy6nZY0TY/"&amp;"edit#gid=0"",""Table 1: Study characteristics!B4:B171"")))&gt;0
),
""Include""
)"),"Exclude")</f>
        <v>Exclude</v>
      </c>
      <c r="G1338" s="5" t="str">
        <f>IFERROR(__xludf.DUMMYFUNCTION("IFS(
D1338=""Exclude"",
FILTER(IMPORTRANGE(""https://docs.google.com/spreadsheets/d/1BJSV3WBYJGRhQ6zExamkszQ5VutGIcaQqmbD9ZTVXMQ/edit#gid=1251630045"",""articles_with_PRISMA_reasons!AB2:AB2113""), $A1338=IMPORTRANGE(""https://docs.google.com/spreadsheets/"&amp;"d/1BJSV3WBYJGRhQ6zExamkszQ5VutGIcaQqmbD9ZTVXMQ/edit#gid=1251630045"",""articles_with_PRISMA_reasons!B2:B2113"")),
E1338=""Exclude"",
FILTER(IMPORTRANGE(""https://docs.google.com/spreadsheets/d/1qpEmbGH0JjaJbUdp21-y2cPbobDbMjr09BbtdKROZWc/edit#gid=14448656"&amp;"54"",""articles_with_PRISMA_reasons!Z2:Z2113""), $A1338=IMPORTRANGE(""https://docs.google.com/spreadsheets/d/1qpEmbGH0JjaJbUdp21-y2cPbobDbMjr09BbtdKROZWc/edit#gid=1444865654"",""articles_with_PRISMA_reasons!B2:B2113"")),F1338
=""Include"",FILTER(IMPORTRAN"&amp;"GE(""https://docs.google.com/spreadsheets/d/1kGrh75X1cNR1D7_FcY9zMnHP8iPO4M5RCRjy6nZY0TY/edit#gid=0"",""Table 1: Study characteristics!A4:A171""), $A1338=IMPORTRANGE(""https://docs.google.com/spreadsheets/d/1kGrh75X1cNR1D7_FcY9zMnHP8iPO4M5RCRjy6nZY0TY/edi"&amp;"t#gid=0"",""Table 1: Study characteristics!B4:B171""))
)"),"wrong study design")</f>
        <v>wrong study design</v>
      </c>
    </row>
    <row r="1339">
      <c r="A1339" s="4" t="str">
        <f>IFERROR(__xludf.DUMMYFUNCTION("""COMPUTED_VALUE"""),"New insights in cerebral findings associated with fetal myelomeningocele: a retrospective cohort study in a single tertiary centre")</f>
        <v>New insights in cerebral findings associated with fetal myelomeningocele: a retrospective cohort study in a single tertiary centre</v>
      </c>
      <c r="B1339" s="5" t="str">
        <f>IFERROR(__xludf.DUMMYFUNCTION("LEFT(FILTER(IMPORTRANGE(""https://docs.google.com/spreadsheets/d/1BJSV3WBYJGRhQ6zExamkszQ5VutGIcaQqmbD9ZTVXMQ/edit#gid=1251630045"",""articles_with_PRISMA_reasons!K2:K2113""), $A1339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$A1339=IMPORTRANGE(""https://docs.google.com/spreadsheets/d/1BJSV3WBYJGRhQ6zExamkszQ5VutGIcaQqmbD9ZTVXMQ/edit#gid=1251630045"",""articles_with_PRISMA_reasons!B2:B2113"")))-1)"),"Maurice")</f>
        <v>Maurice</v>
      </c>
      <c r="C1339" s="6">
        <f>IFERROR(__xludf.DUMMYFUNCTION("FILTER(IMPORTRANGE(""https://docs.google.com/spreadsheets/d/1BJSV3WBYJGRhQ6zExamkszQ5VutGIcaQqmbD9ZTVXMQ/edit#gid=1251630045"",""articles_with_PRISMA_reasons!C2:C2113""), $A1339=IMPORTRANGE(""https://docs.google.com/spreadsheets/d/1BJSV3WBYJGRhQ6zExamkszQ"&amp;"5VutGIcaQqmbD9ZTVXMQ/edit#gid=1251630045"",""articles_with_PRISMA_reasons!B2:B2113""))"),2021.0)</f>
        <v>2021</v>
      </c>
      <c r="D1339" s="5" t="str">
        <f>IFERROR(__xludf.DUMMYFUNCTION("IFS(AND(
FILTER(IMPORTRANGE(""https://docs.google.com/spreadsheets/d/1BJSV3WBYJGRhQ6zExamkszQ5VutGIcaQqmbD9ZTVXMQ/edit#gid=1251630045"",""articles_with_PRISMA_reasons!Y2:Y2113""), $A1339=IMPORTRANGE(""https://docs.google.com/spreadsheets/d/1BJSV3WBYJGRhQ6"&amp;"zExamkszQ5VutGIcaQqmbD9ZTVXMQ/edit#gid=1251630045"",""articles_with_PRISMA_reasons!B2:B2113""))&gt;=2,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$A1339=IMPORTRANGE(""https://docs.google.com/spreadsheets/d/1BJSV3WBYJGRhQ6zExamkszQ5VutGIcaQqmbD9ZTVXMQ/edit#gid=1251630045"",""articles_with_PRISMA_reasons!B2:B2113""))&lt;2),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$A1339=IMPORTRANGE(""https://docs.google.com/spreadsheets/d/1BJSV3WBYJGRhQ6zExamkszQ5VutGIcaQqmbD9ZTVXMQ/edit#gid=1251630045"",""a"&amp;"rticles_with_PRISMA_reasons!B2:B2113""))&lt;2,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$A1339=IMPORTRANGE(""https://docs.google"&amp;".com/spreadsheets/d/1BJSV3WBYJGRhQ6zExamkszQ5VutGIcaQqmbD9ZTVXMQ/edit#gid=1251630045"",""articles_with_PRISMA_reasons!B2:B2113""))&gt;=2),
""Exclude""
)"),"Exclude")</f>
        <v>Exclude</v>
      </c>
      <c r="E1339" s="5" t="str">
        <f>IFERROR(__xludf.DUMMYFUNCTION("IFS(
D1339=""Exclude"",""Exclude"",
AND(
FILTER(IMPORTRANGE(""https://docs.google.com/spreadsheets/d/1qpEmbGH0JjaJbUdp21-y2cPbobDbMjr09BbtdKROZWc/edit#gid=1444865654"",""articles_with_PRISMA_reasons!W2:W2113""), $A1339=IMPORTRANGE(""https://docs.google.co"&amp;"m/spreadsheets/d/1qpEmbGH0JjaJbUdp21-y2cPbobDbMjr09BbtdKROZWc/edit#gid=1444865654"",""articles_with_PRISMA_reasons!B2:B2113""))&gt;=2,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$A1339=IMPORTRANGE(""https://docs.google.com/spreadsheets/d/1qpEmbGH0JjaJbUdp21-y2cPbobDbMjr09BbtdKROZWc/edit#gid=1444865654"",""articles_with_PRISMA_reasons!B2:B2113""))&lt;2),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$A1339=IMPORTRANGE(""https://docs.google.com/spreadsheets/d/1qpEmbGH0JjaJbUdp21-y2cPbobDbMjr09Bbtd"&amp;"KROZWc/edit#gid=1444865654"",""articles_with_PRISMA_reasons!B2:B2113""))&lt;2,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$A1339=I"&amp;"MPORTRANGE(""https://docs.google.com/spreadsheets/d/1qpEmbGH0JjaJbUdp21-y2cPbobDbMjr09BbtdKROZWc/edit#gid=1444865654"",""articles_with_PRISMA_reasons!B2:B2113""))&gt;=2),
""Exclude""
)"),"Exclude")</f>
        <v>Exclude</v>
      </c>
      <c r="F1339" s="5" t="str">
        <f>IFERROR(__xludf.DUMMYFUNCTION("IFS(
E1339=""Exclude"",""Exclude"",
AND(
COUNTIF(
IMPORTRANGE(""https://docs.google.com/spreadsheets/d/1kGrh75X1cNR1D7_FcY9zMnHP8iPO4M5RCRjy6nZY0TY/edit#gid=0"",""Table 1: Study characteristics!B4:B171""),A1339)&gt;0,
COUNTIF(Studies!$A$2:$A$85,FILTER(IMPORT"&amp;"RANGE(""https://docs.google.com/spreadsheets/d/1kGrh75X1cNR1D7_FcY9zMnHP8iPO4M5RCRjy6nZY0TY/edit#gid=0"",""Table 1: Study characteristics!A4:A171""), $A1339=IMPORTRANGE(""https://docs.google.com/spreadsheets/d/1kGrh75X1cNR1D7_FcY9zMnHP8iPO4M5RCRjy6nZY0TY/"&amp;"edit#gid=0"",""Table 1: Study characteristics!B4:B171"")))&gt;0
),
""Include""
)"),"Exclude")</f>
        <v>Exclude</v>
      </c>
      <c r="G1339" s="5" t="str">
        <f>IFERROR(__xludf.DUMMYFUNCTION("IFS(
D1339=""Exclude"",
FILTER(IMPORTRANGE(""https://docs.google.com/spreadsheets/d/1BJSV3WBYJGRhQ6zExamkszQ5VutGIcaQqmbD9ZTVXMQ/edit#gid=1251630045"",""articles_with_PRISMA_reasons!AB2:AB2113""), $A1339=IMPORTRANGE(""https://docs.google.com/spreadsheets/"&amp;"d/1BJSV3WBYJGRhQ6zExamkszQ5VutGIcaQqmbD9ZTVXMQ/edit#gid=1251630045"",""articles_with_PRISMA_reasons!B2:B2113"")),
E1339=""Exclude"",
FILTER(IMPORTRANGE(""https://docs.google.com/spreadsheets/d/1qpEmbGH0JjaJbUdp21-y2cPbobDbMjr09BbtdKROZWc/edit#gid=14448656"&amp;"54"",""articles_with_PRISMA_reasons!Z2:Z2113""), $A1339=IMPORTRANGE(""https://docs.google.com/spreadsheets/d/1qpEmbGH0JjaJbUdp21-y2cPbobDbMjr09BbtdKROZWc/edit#gid=1444865654"",""articles_with_PRISMA_reasons!B2:B2113"")),F1339
=""Include"",FILTER(IMPORTRAN"&amp;"GE(""https://docs.google.com/spreadsheets/d/1kGrh75X1cNR1D7_FcY9zMnHP8iPO4M5RCRjy6nZY0TY/edit#gid=0"",""Table 1: Study characteristics!A4:A171""), $A1339=IMPORTRANGE(""https://docs.google.com/spreadsheets/d/1kGrh75X1cNR1D7_FcY9zMnHP8iPO4M5RCRjy6nZY0TY/edi"&amp;"t#gid=0"",""Table 1: Study characteristics!B4:B171""))
)"),"Ante-natal intervention")</f>
        <v>Ante-natal intervention</v>
      </c>
    </row>
    <row r="1340">
      <c r="A1340" s="4" t="str">
        <f>IFERROR(__xludf.DUMMYFUNCTION("""COMPUTED_VALUE"""),"Non-neoplastic increase in intracranial pressure in infants")</f>
        <v>Non-neoplastic increase in intracranial pressure in infants</v>
      </c>
      <c r="B1340" s="5" t="str">
        <f>IFERROR(__xludf.DUMMYFUNCTION("LEFT(FILTER(IMPORTRANGE(""https://docs.google.com/spreadsheets/d/1BJSV3WBYJGRhQ6zExamkszQ5VutGIcaQqmbD9ZTVXMQ/edit#gid=1251630045"",""articles_with_PRISMA_reasons!K2:K2113""), $A1340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$A1340=IMPORTRANGE(""https://docs.google.com/spreadsheets/d/1BJSV3WBYJGRhQ6zExamkszQ5VutGIcaQqmbD9ZTVXMQ/edit#gid=1251630045"",""articles_with_PRISMA_reasons!B2:B2113"")))-1)"),"Hemmer")</f>
        <v>Hemmer</v>
      </c>
      <c r="C1340" s="6">
        <f>IFERROR(__xludf.DUMMYFUNCTION("FILTER(IMPORTRANGE(""https://docs.google.com/spreadsheets/d/1BJSV3WBYJGRhQ6zExamkszQ5VutGIcaQqmbD9ZTVXMQ/edit#gid=1251630045"",""articles_with_PRISMA_reasons!C2:C2113""), $A1340=IMPORTRANGE(""https://docs.google.com/spreadsheets/d/1BJSV3WBYJGRhQ6zExamkszQ"&amp;"5VutGIcaQqmbD9ZTVXMQ/edit#gid=1251630045"",""articles_with_PRISMA_reasons!B2:B2113""))"),1976.0)</f>
        <v>1976</v>
      </c>
      <c r="D1340" s="5" t="str">
        <f>IFERROR(__xludf.DUMMYFUNCTION("IFS(AND(
FILTER(IMPORTRANGE(""https://docs.google.com/spreadsheets/d/1BJSV3WBYJGRhQ6zExamkszQ5VutGIcaQqmbD9ZTVXMQ/edit#gid=1251630045"",""articles_with_PRISMA_reasons!Y2:Y2113""), $A1340=IMPORTRANGE(""https://docs.google.com/spreadsheets/d/1BJSV3WBYJGRhQ6"&amp;"zExamkszQ5VutGIcaQqmbD9ZTVXMQ/edit#gid=1251630045"",""articles_with_PRISMA_reasons!B2:B2113""))&gt;=2,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$A1340=IMPORTRANGE(""https://docs.google.com/spreadsheets/d/1BJSV3WBYJGRhQ6zExamkszQ5VutGIcaQqmbD9ZTVXMQ/edit#gid=1251630045"",""articles_with_PRISMA_reasons!B2:B2113""))&lt;2),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$A1340=IMPORTRANGE(""https://docs.google.com/spreadsheets/d/1BJSV3WBYJGRhQ6zExamkszQ5VutGIcaQqmbD9ZTVXMQ/edit#gid=1251630045"",""a"&amp;"rticles_with_PRISMA_reasons!B2:B2113""))&lt;2,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$A1340=IMPORTRANGE(""https://docs.google"&amp;".com/spreadsheets/d/1BJSV3WBYJGRhQ6zExamkszQ5VutGIcaQqmbD9ZTVXMQ/edit#gid=1251630045"",""articles_with_PRISMA_reasons!B2:B2113""))&gt;=2),
""Exclude""
)"),"Exclude")</f>
        <v>Exclude</v>
      </c>
      <c r="E1340" s="5" t="str">
        <f>IFERROR(__xludf.DUMMYFUNCTION("IFS(
D1340=""Exclude"",""Exclude"",
AND(
FILTER(IMPORTRANGE(""https://docs.google.com/spreadsheets/d/1qpEmbGH0JjaJbUdp21-y2cPbobDbMjr09BbtdKROZWc/edit#gid=1444865654"",""articles_with_PRISMA_reasons!W2:W2113""), $A1340=IMPORTRANGE(""https://docs.google.co"&amp;"m/spreadsheets/d/1qpEmbGH0JjaJbUdp21-y2cPbobDbMjr09BbtdKROZWc/edit#gid=1444865654"",""articles_with_PRISMA_reasons!B2:B2113""))&gt;=2,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$A1340=IMPORTRANGE(""https://docs.google.com/spreadsheets/d/1qpEmbGH0JjaJbUdp21-y2cPbobDbMjr09BbtdKROZWc/edit#gid=1444865654"",""articles_with_PRISMA_reasons!B2:B2113""))&lt;2),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$A1340=IMPORTRANGE(""https://docs.google.com/spreadsheets/d/1qpEmbGH0JjaJbUdp21-y2cPbobDbMjr09Bbtd"&amp;"KROZWc/edit#gid=1444865654"",""articles_with_PRISMA_reasons!B2:B2113""))&lt;2,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$A1340=I"&amp;"MPORTRANGE(""https://docs.google.com/spreadsheets/d/1qpEmbGH0JjaJbUdp21-y2cPbobDbMjr09BbtdKROZWc/edit#gid=1444865654"",""articles_with_PRISMA_reasons!B2:B2113""))&gt;=2),
""Exclude""
)"),"Exclude")</f>
        <v>Exclude</v>
      </c>
      <c r="F1340" s="5" t="str">
        <f>IFERROR(__xludf.DUMMYFUNCTION("IFS(
E1340=""Exclude"",""Exclude"",
AND(
COUNTIF(
IMPORTRANGE(""https://docs.google.com/spreadsheets/d/1kGrh75X1cNR1D7_FcY9zMnHP8iPO4M5RCRjy6nZY0TY/edit#gid=0"",""Table 1: Study characteristics!B4:B171""),A1340)&gt;0,
COUNTIF(Studies!$A$2:$A$85,FILTER(IMPORT"&amp;"RANGE(""https://docs.google.com/spreadsheets/d/1kGrh75X1cNR1D7_FcY9zMnHP8iPO4M5RCRjy6nZY0TY/edit#gid=0"",""Table 1: Study characteristics!A4:A171""), $A1340=IMPORTRANGE(""https://docs.google.com/spreadsheets/d/1kGrh75X1cNR1D7_FcY9zMnHP8iPO4M5RCRjy6nZY0TY/"&amp;"edit#gid=0"",""Table 1: Study characteristics!B4:B171"")))&gt;0
),
""Include""
)"),"Exclude")</f>
        <v>Exclude</v>
      </c>
      <c r="G1340" s="5" t="str">
        <f>IFERROR(__xludf.DUMMYFUNCTION("IFS(
D1340=""Exclude"",
FILTER(IMPORTRANGE(""https://docs.google.com/spreadsheets/d/1BJSV3WBYJGRhQ6zExamkszQ5VutGIcaQqmbD9ZTVXMQ/edit#gid=1251630045"",""articles_with_PRISMA_reasons!AB2:AB2113""), $A1340=IMPORTRANGE(""https://docs.google.com/spreadsheets/"&amp;"d/1BJSV3WBYJGRhQ6zExamkszQ5VutGIcaQqmbD9ZTVXMQ/edit#gid=1251630045"",""articles_with_PRISMA_reasons!B2:B2113"")),
E1340=""Exclude"",
FILTER(IMPORTRANGE(""https://docs.google.com/spreadsheets/d/1qpEmbGH0JjaJbUdp21-y2cPbobDbMjr09BbtdKROZWc/edit#gid=14448656"&amp;"54"",""articles_with_PRISMA_reasons!Z2:Z2113""), $A1340=IMPORTRANGE(""https://docs.google.com/spreadsheets/d/1qpEmbGH0JjaJbUdp21-y2cPbobDbMjr09BbtdKROZWc/edit#gid=1444865654"",""articles_with_PRISMA_reasons!B2:B2113"")),F1340
=""Include"",FILTER(IMPORTRAN"&amp;"GE(""https://docs.google.com/spreadsheets/d/1kGrh75X1cNR1D7_FcY9zMnHP8iPO4M5RCRjy6nZY0TY/edit#gid=0"",""Table 1: Study characteristics!A4:A171""), $A1340=IMPORTRANGE(""https://docs.google.com/spreadsheets/d/1kGrh75X1cNR1D7_FcY9zMnHP8iPO4M5RCRjy6nZY0TY/edi"&amp;"t#gid=0"",""Table 1: Study characteristics!B4:B171""))
)"),"wrong study design")</f>
        <v>wrong study design</v>
      </c>
    </row>
    <row r="1341">
      <c r="A1341" s="4" t="str">
        <f>IFERROR(__xludf.DUMMYFUNCTION("""COMPUTED_VALUE"""),"Non-tumoral neonatal hydrocephalus. Results of surgical treatment in the first month of life")</f>
        <v>Non-tumoral neonatal hydrocephalus. Results of surgical treatment in the first month of life</v>
      </c>
      <c r="B1341" s="5" t="str">
        <f>IFERROR(__xludf.DUMMYFUNCTION("LEFT(FILTER(IMPORTRANGE(""https://docs.google.com/spreadsheets/d/1BJSV3WBYJGRhQ6zExamkszQ5VutGIcaQqmbD9ZTVXMQ/edit#gid=1251630045"",""articles_with_PRISMA_reasons!K2:K2113""), $A1341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$A1341=IMPORTRANGE(""https://docs.google.com/spreadsheets/d/1BJSV3WBYJGRhQ6zExamkszQ5VutGIcaQqmbD9ZTVXMQ/edit#gid=1251630045"",""articles_with_PRISMA_reasons!B2:B2113"")))-1)"),"Ceddia")</f>
        <v>Ceddia</v>
      </c>
      <c r="C1341" s="6">
        <f>IFERROR(__xludf.DUMMYFUNCTION("FILTER(IMPORTRANGE(""https://docs.google.com/spreadsheets/d/1BJSV3WBYJGRhQ6zExamkszQ5VutGIcaQqmbD9ZTVXMQ/edit#gid=1251630045"",""articles_with_PRISMA_reasons!C2:C2113""), $A1341=IMPORTRANGE(""https://docs.google.com/spreadsheets/d/1BJSV3WBYJGRhQ6zExamkszQ"&amp;"5VutGIcaQqmbD9ZTVXMQ/edit#gid=1251630045"",""articles_with_PRISMA_reasons!B2:B2113""))"),1992.0)</f>
        <v>1992</v>
      </c>
      <c r="D1341" s="5" t="str">
        <f>IFERROR(__xludf.DUMMYFUNCTION("IFS(AND(
FILTER(IMPORTRANGE(""https://docs.google.com/spreadsheets/d/1BJSV3WBYJGRhQ6zExamkszQ5VutGIcaQqmbD9ZTVXMQ/edit#gid=1251630045"",""articles_with_PRISMA_reasons!Y2:Y2113""), $A1341=IMPORTRANGE(""https://docs.google.com/spreadsheets/d/1BJSV3WBYJGRhQ6"&amp;"zExamkszQ5VutGIcaQqmbD9ZTVXMQ/edit#gid=1251630045"",""articles_with_PRISMA_reasons!B2:B2113""))&gt;=2,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$A1341=IMPORTRANGE(""https://docs.google.com/spreadsheets/d/1BJSV3WBYJGRhQ6zExamkszQ5VutGIcaQqmbD9ZTVXMQ/edit#gid=1251630045"",""articles_with_PRISMA_reasons!B2:B2113""))&lt;2),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$A1341=IMPORTRANGE(""https://docs.google.com/spreadsheets/d/1BJSV3WBYJGRhQ6zExamkszQ5VutGIcaQqmbD9ZTVXMQ/edit#gid=1251630045"",""a"&amp;"rticles_with_PRISMA_reasons!B2:B2113""))&lt;2,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$A1341=IMPORTRANGE(""https://docs.google"&amp;".com/spreadsheets/d/1BJSV3WBYJGRhQ6zExamkszQ5VutGIcaQqmbD9ZTVXMQ/edit#gid=1251630045"",""articles_with_PRISMA_reasons!B2:B2113""))&gt;=2),
""Exclude""
)"),"Include")</f>
        <v>Include</v>
      </c>
      <c r="E1341" s="5" t="str">
        <f>IFERROR(__xludf.DUMMYFUNCTION("IFS(
D1341=""Exclude"",""Exclude"",
AND(
FILTER(IMPORTRANGE(""https://docs.google.com/spreadsheets/d/1qpEmbGH0JjaJbUdp21-y2cPbobDbMjr09BbtdKROZWc/edit#gid=1444865654"",""articles_with_PRISMA_reasons!W2:W2113""), $A1341=IMPORTRANGE(""https://docs.google.co"&amp;"m/spreadsheets/d/1qpEmbGH0JjaJbUdp21-y2cPbobDbMjr09BbtdKROZWc/edit#gid=1444865654"",""articles_with_PRISMA_reasons!B2:B2113""))&gt;=2,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$A1341=IMPORTRANGE(""https://docs.google.com/spreadsheets/d/1qpEmbGH0JjaJbUdp21-y2cPbobDbMjr09BbtdKROZWc/edit#gid=1444865654"",""articles_with_PRISMA_reasons!B2:B2113""))&lt;2),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$A1341=IMPORTRANGE(""https://docs.google.com/spreadsheets/d/1qpEmbGH0JjaJbUdp21-y2cPbobDbMjr09Bbtd"&amp;"KROZWc/edit#gid=1444865654"",""articles_with_PRISMA_reasons!B2:B2113""))&lt;2,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$A1341=I"&amp;"MPORTRANGE(""https://docs.google.com/spreadsheets/d/1qpEmbGH0JjaJbUdp21-y2cPbobDbMjr09BbtdKROZWc/edit#gid=1444865654"",""articles_with_PRISMA_reasons!B2:B2113""))&gt;=2),
""Exclude""
)"),"Exclude")</f>
        <v>Exclude</v>
      </c>
      <c r="F1341" s="5" t="str">
        <f>IFERROR(__xludf.DUMMYFUNCTION("IFS(
E1341=""Exclude"",""Exclude"",
AND(
COUNTIF(
IMPORTRANGE(""https://docs.google.com/spreadsheets/d/1kGrh75X1cNR1D7_FcY9zMnHP8iPO4M5RCRjy6nZY0TY/edit#gid=0"",""Table 1: Study characteristics!B4:B171""),A1341)&gt;0,
COUNTIF(Studies!$A$2:$A$85,FILTER(IMPORT"&amp;"RANGE(""https://docs.google.com/spreadsheets/d/1kGrh75X1cNR1D7_FcY9zMnHP8iPO4M5RCRjy6nZY0TY/edit#gid=0"",""Table 1: Study characteristics!A4:A171""), $A1341=IMPORTRANGE(""https://docs.google.com/spreadsheets/d/1kGrh75X1cNR1D7_FcY9zMnHP8iPO4M5RCRjy6nZY0TY/"&amp;"edit#gid=0"",""Table 1: Study characteristics!B4:B171"")))&gt;0
),
""Include""
)"),"Exclude")</f>
        <v>Exclude</v>
      </c>
      <c r="G1341" s="5" t="str">
        <f>IFERROR(__xludf.DUMMYFUNCTION("IFS(
D1341=""Exclude"",
FILTER(IMPORTRANGE(""https://docs.google.com/spreadsheets/d/1BJSV3WBYJGRhQ6zExamkszQ5VutGIcaQqmbD9ZTVXMQ/edit#gid=1251630045"",""articles_with_PRISMA_reasons!AB2:AB2113""), $A1341=IMPORTRANGE(""https://docs.google.com/spreadsheets/"&amp;"d/1BJSV3WBYJGRhQ6zExamkszQ5VutGIcaQqmbD9ZTVXMQ/edit#gid=1251630045"",""articles_with_PRISMA_reasons!B2:B2113"")),
E1341=""Exclude"",
FILTER(IMPORTRANGE(""https://docs.google.com/spreadsheets/d/1qpEmbGH0JjaJbUdp21-y2cPbobDbMjr09BbtdKROZWc/edit#gid=14448656"&amp;"54"",""articles_with_PRISMA_reasons!Z2:Z2113""), $A1341=IMPORTRANGE(""https://docs.google.com/spreadsheets/d/1qpEmbGH0JjaJbUdp21-y2cPbobDbMjr09BbtdKROZWc/edit#gid=1444865654"",""articles_with_PRISMA_reasons!B2:B2113"")),F1341
=""Include"",FILTER(IMPORTRAN"&amp;"GE(""https://docs.google.com/spreadsheets/d/1kGrh75X1cNR1D7_FcY9zMnHP8iPO4M5RCRjy6nZY0TY/edit#gid=0"",""Table 1: Study characteristics!A4:A171""), $A1341=IMPORTRANGE(""https://docs.google.com/spreadsheets/d/1kGrh75X1cNR1D7_FcY9zMnHP8iPO4M5RCRjy6nZY0TY/edi"&amp;"t#gid=0"",""Table 1: Study characteristics!B4:B171""))
)"),"Full text not available")</f>
        <v>Full text not available</v>
      </c>
    </row>
    <row r="1342">
      <c r="A1342" s="4" t="str">
        <f>IFERROR(__xludf.DUMMYFUNCTION("""COMPUTED_VALUE"""),"Non-verbal learning disabilities in children with infantile hydrocephalus, aged 4-7 years: A population-based, controlled study")</f>
        <v>Non-verbal learning disabilities in children with infantile hydrocephalus, aged 4-7 years: A population-based, controlled study</v>
      </c>
      <c r="B1342" s="5" t="str">
        <f>IFERROR(__xludf.DUMMYFUNCTION("LEFT(FILTER(IMPORTRANGE(""https://docs.google.com/spreadsheets/d/1BJSV3WBYJGRhQ6zExamkszQ5VutGIcaQqmbD9ZTVXMQ/edit#gid=1251630045"",""articles_with_PRISMA_reasons!K2:K2113""), $A1342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$A1342=IMPORTRANGE(""https://docs.google.com/spreadsheets/d/1BJSV3WBYJGRhQ6zExamkszQ5VutGIcaQqmbD9ZTVXMQ/edit#gid=1251630045"",""articles_with_PRISMA_reasons!B2:B2113"")))-1)"),"Bruaroy")</f>
        <v>Bruaroy</v>
      </c>
      <c r="C1342" s="6">
        <f>IFERROR(__xludf.DUMMYFUNCTION("FILTER(IMPORTRANGE(""https://docs.google.com/spreadsheets/d/1BJSV3WBYJGRhQ6zExamkszQ5VutGIcaQqmbD9ZTVXMQ/edit#gid=1251630045"",""articles_with_PRISMA_reasons!C2:C2113""), $A1342=IMPORTRANGE(""https://docs.google.com/spreadsheets/d/1BJSV3WBYJGRhQ6zExamkszQ"&amp;"5VutGIcaQqmbD9ZTVXMQ/edit#gid=1251630045"",""articles_with_PRISMA_reasons!B2:B2113""))"),2006.0)</f>
        <v>2006</v>
      </c>
      <c r="D1342" s="5" t="str">
        <f>IFERROR(__xludf.DUMMYFUNCTION("IFS(AND(
FILTER(IMPORTRANGE(""https://docs.google.com/spreadsheets/d/1BJSV3WBYJGRhQ6zExamkszQ5VutGIcaQqmbD9ZTVXMQ/edit#gid=1251630045"",""articles_with_PRISMA_reasons!Y2:Y2113""), $A1342=IMPORTRANGE(""https://docs.google.com/spreadsheets/d/1BJSV3WBYJGRhQ6"&amp;"zExamkszQ5VutGIcaQqmbD9ZTVXMQ/edit#gid=1251630045"",""articles_with_PRISMA_reasons!B2:B2113""))&gt;=2,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$A1342=IMPORTRANGE(""https://docs.google.com/spreadsheets/d/1BJSV3WBYJGRhQ6zExamkszQ5VutGIcaQqmbD9ZTVXMQ/edit#gid=1251630045"",""articles_with_PRISMA_reasons!B2:B2113""))&lt;2),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$A1342=IMPORTRANGE(""https://docs.google.com/spreadsheets/d/1BJSV3WBYJGRhQ6zExamkszQ5VutGIcaQqmbD9ZTVXMQ/edit#gid=1251630045"",""a"&amp;"rticles_with_PRISMA_reasons!B2:B2113""))&lt;2,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$A1342=IMPORTRANGE(""https://docs.google"&amp;".com/spreadsheets/d/1BJSV3WBYJGRhQ6zExamkszQ5VutGIcaQqmbD9ZTVXMQ/edit#gid=1251630045"",""articles_with_PRISMA_reasons!B2:B2113""))&gt;=2),
""Exclude""
)"),"Exclude")</f>
        <v>Exclude</v>
      </c>
      <c r="E1342" s="5" t="str">
        <f>IFERROR(__xludf.DUMMYFUNCTION("IFS(
D1342=""Exclude"",""Exclude"",
AND(
FILTER(IMPORTRANGE(""https://docs.google.com/spreadsheets/d/1qpEmbGH0JjaJbUdp21-y2cPbobDbMjr09BbtdKROZWc/edit#gid=1444865654"",""articles_with_PRISMA_reasons!W2:W2113""), $A1342=IMPORTRANGE(""https://docs.google.co"&amp;"m/spreadsheets/d/1qpEmbGH0JjaJbUdp21-y2cPbobDbMjr09BbtdKROZWc/edit#gid=1444865654"",""articles_with_PRISMA_reasons!B2:B2113""))&gt;=2,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$A1342=IMPORTRANGE(""https://docs.google.com/spreadsheets/d/1qpEmbGH0JjaJbUdp21-y2cPbobDbMjr09BbtdKROZWc/edit#gid=1444865654"",""articles_with_PRISMA_reasons!B2:B2113""))&lt;2),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$A1342=IMPORTRANGE(""https://docs.google.com/spreadsheets/d/1qpEmbGH0JjaJbUdp21-y2cPbobDbMjr09Bbtd"&amp;"KROZWc/edit#gid=1444865654"",""articles_with_PRISMA_reasons!B2:B2113""))&lt;2,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$A1342=I"&amp;"MPORTRANGE(""https://docs.google.com/spreadsheets/d/1qpEmbGH0JjaJbUdp21-y2cPbobDbMjr09BbtdKROZWc/edit#gid=1444865654"",""articles_with_PRISMA_reasons!B2:B2113""))&gt;=2),
""Exclude""
)"),"Exclude")</f>
        <v>Exclude</v>
      </c>
      <c r="F1342" s="5" t="str">
        <f>IFERROR(__xludf.DUMMYFUNCTION("IFS(
E1342=""Exclude"",""Exclude"",
AND(
COUNTIF(
IMPORTRANGE(""https://docs.google.com/spreadsheets/d/1kGrh75X1cNR1D7_FcY9zMnHP8iPO4M5RCRjy6nZY0TY/edit#gid=0"",""Table 1: Study characteristics!B4:B171""),A1342)&gt;0,
COUNTIF(Studies!$A$2:$A$85,FILTER(IMPORT"&amp;"RANGE(""https://docs.google.com/spreadsheets/d/1kGrh75X1cNR1D7_FcY9zMnHP8iPO4M5RCRjy6nZY0TY/edit#gid=0"",""Table 1: Study characteristics!A4:A171""), $A1342=IMPORTRANGE(""https://docs.google.com/spreadsheets/d/1kGrh75X1cNR1D7_FcY9zMnHP8iPO4M5RCRjy6nZY0TY/"&amp;"edit#gid=0"",""Table 1: Study characteristics!B4:B171"")))&gt;0
),
""Include""
)"),"Exclude")</f>
        <v>Exclude</v>
      </c>
      <c r="G1342" s="5" t="str">
        <f>IFERROR(__xludf.DUMMYFUNCTION("IFS(
D1342=""Exclude"",
FILTER(IMPORTRANGE(""https://docs.google.com/spreadsheets/d/1BJSV3WBYJGRhQ6zExamkszQ5VutGIcaQqmbD9ZTVXMQ/edit#gid=1251630045"",""articles_with_PRISMA_reasons!AB2:AB2113""), $A1342=IMPORTRANGE(""https://docs.google.com/spreadsheets/"&amp;"d/1BJSV3WBYJGRhQ6zExamkszQ5VutGIcaQqmbD9ZTVXMQ/edit#gid=1251630045"",""articles_with_PRISMA_reasons!B2:B2113"")),
E1342=""Exclude"",
FILTER(IMPORTRANGE(""https://docs.google.com/spreadsheets/d/1qpEmbGH0JjaJbUdp21-y2cPbobDbMjr09BbtdKROZWc/edit#gid=14448656"&amp;"54"",""articles_with_PRISMA_reasons!Z2:Z2113""), $A1342=IMPORTRANGE(""https://docs.google.com/spreadsheets/d/1qpEmbGH0JjaJbUdp21-y2cPbobDbMjr09BbtdKROZWc/edit#gid=1444865654"",""articles_with_PRISMA_reasons!B2:B2113"")),F1342
=""Include"",FILTER(IMPORTRAN"&amp;"GE(""https://docs.google.com/spreadsheets/d/1kGrh75X1cNR1D7_FcY9zMnHP8iPO4M5RCRjy6nZY0TY/edit#gid=0"",""Table 1: Study characteristics!A4:A171""), $A1342=IMPORTRANGE(""https://docs.google.com/spreadsheets/d/1kGrh75X1cNR1D7_FcY9zMnHP8iPO4M5RCRjy6nZY0TY/edi"&amp;"t#gid=0"",""Table 1: Study characteristics!B4:B171""))
)"),"wrong study design")</f>
        <v>wrong study design</v>
      </c>
    </row>
    <row r="1343">
      <c r="A1343" s="4" t="str">
        <f>IFERROR(__xludf.DUMMYFUNCTION("""COMPUTED_VALUE"""),"Normal pressure hydrocephalus in patients with myelomeningocele")</f>
        <v>Normal pressure hydrocephalus in patients with myelomeningocele</v>
      </c>
      <c r="B1343" s="5" t="str">
        <f>IFERROR(__xludf.DUMMYFUNCTION("LEFT(FILTER(IMPORTRANGE(""https://docs.google.com/spreadsheets/d/1BJSV3WBYJGRhQ6zExamkszQ5VutGIcaQqmbD9ZTVXMQ/edit#gid=1251630045"",""articles_with_PRISMA_reasons!K2:K2113""), $A1343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$A1343=IMPORTRANGE(""https://docs.google.com/spreadsheets/d/1BJSV3WBYJGRhQ6zExamkszQ5VutGIcaQqmbD9ZTVXMQ/edit#gid=1251630045"",""articles_with_PRISMA_reasons!B2:B2113"")))-1)"),"Hammock")</f>
        <v>Hammock</v>
      </c>
      <c r="C1343" s="6">
        <f>IFERROR(__xludf.DUMMYFUNCTION("FILTER(IMPORTRANGE(""https://docs.google.com/spreadsheets/d/1BJSV3WBYJGRhQ6zExamkszQ5VutGIcaQqmbD9ZTVXMQ/edit#gid=1251630045"",""articles_with_PRISMA_reasons!C2:C2113""), $A1343=IMPORTRANGE(""https://docs.google.com/spreadsheets/d/1BJSV3WBYJGRhQ6zExamkszQ"&amp;"5VutGIcaQqmbD9ZTVXMQ/edit#gid=1251630045"",""articles_with_PRISMA_reasons!B2:B2113""))"),1976.0)</f>
        <v>1976</v>
      </c>
      <c r="D1343" s="5" t="str">
        <f>IFERROR(__xludf.DUMMYFUNCTION("IFS(AND(
FILTER(IMPORTRANGE(""https://docs.google.com/spreadsheets/d/1BJSV3WBYJGRhQ6zExamkszQ5VutGIcaQqmbD9ZTVXMQ/edit#gid=1251630045"",""articles_with_PRISMA_reasons!Y2:Y2113""), $A1343=IMPORTRANGE(""https://docs.google.com/spreadsheets/d/1BJSV3WBYJGRhQ6"&amp;"zExamkszQ5VutGIcaQqmbD9ZTVXMQ/edit#gid=1251630045"",""articles_with_PRISMA_reasons!B2:B2113""))&gt;=2,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$A1343=IMPORTRANGE(""https://docs.google.com/spreadsheets/d/1BJSV3WBYJGRhQ6zExamkszQ5VutGIcaQqmbD9ZTVXMQ/edit#gid=1251630045"",""articles_with_PRISMA_reasons!B2:B2113""))&lt;2),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$A1343=IMPORTRANGE(""https://docs.google.com/spreadsheets/d/1BJSV3WBYJGRhQ6zExamkszQ5VutGIcaQqmbD9ZTVXMQ/edit#gid=1251630045"",""a"&amp;"rticles_with_PRISMA_reasons!B2:B2113""))&lt;2,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$A1343=IMPORTRANGE(""https://docs.google"&amp;".com/spreadsheets/d/1BJSV3WBYJGRhQ6zExamkszQ5VutGIcaQqmbD9ZTVXMQ/edit#gid=1251630045"",""articles_with_PRISMA_reasons!B2:B2113""))&gt;=2),
""Exclude""
)"),"Exclude")</f>
        <v>Exclude</v>
      </c>
      <c r="E1343" s="5" t="str">
        <f>IFERROR(__xludf.DUMMYFUNCTION("IFS(
D1343=""Exclude"",""Exclude"",
AND(
FILTER(IMPORTRANGE(""https://docs.google.com/spreadsheets/d/1qpEmbGH0JjaJbUdp21-y2cPbobDbMjr09BbtdKROZWc/edit#gid=1444865654"",""articles_with_PRISMA_reasons!W2:W2113""), $A1343=IMPORTRANGE(""https://docs.google.co"&amp;"m/spreadsheets/d/1qpEmbGH0JjaJbUdp21-y2cPbobDbMjr09BbtdKROZWc/edit#gid=1444865654"",""articles_with_PRISMA_reasons!B2:B2113""))&gt;=2,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$A1343=IMPORTRANGE(""https://docs.google.com/spreadsheets/d/1qpEmbGH0JjaJbUdp21-y2cPbobDbMjr09BbtdKROZWc/edit#gid=1444865654"",""articles_with_PRISMA_reasons!B2:B2113""))&lt;2),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$A1343=IMPORTRANGE(""https://docs.google.com/spreadsheets/d/1qpEmbGH0JjaJbUdp21-y2cPbobDbMjr09Bbtd"&amp;"KROZWc/edit#gid=1444865654"",""articles_with_PRISMA_reasons!B2:B2113""))&lt;2,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$A1343=I"&amp;"MPORTRANGE(""https://docs.google.com/spreadsheets/d/1qpEmbGH0JjaJbUdp21-y2cPbobDbMjr09BbtdKROZWc/edit#gid=1444865654"",""articles_with_PRISMA_reasons!B2:B2113""))&gt;=2),
""Exclude""
)"),"Exclude")</f>
        <v>Exclude</v>
      </c>
      <c r="F1343" s="5" t="str">
        <f>IFERROR(__xludf.DUMMYFUNCTION("IFS(
E1343=""Exclude"",""Exclude"",
AND(
COUNTIF(
IMPORTRANGE(""https://docs.google.com/spreadsheets/d/1kGrh75X1cNR1D7_FcY9zMnHP8iPO4M5RCRjy6nZY0TY/edit#gid=0"",""Table 1: Study characteristics!B4:B171""),A1343)&gt;0,
COUNTIF(Studies!$A$2:$A$85,FILTER(IMPORT"&amp;"RANGE(""https://docs.google.com/spreadsheets/d/1kGrh75X1cNR1D7_FcY9zMnHP8iPO4M5RCRjy6nZY0TY/edit#gid=0"",""Table 1: Study characteristics!A4:A171""), $A1343=IMPORTRANGE(""https://docs.google.com/spreadsheets/d/1kGrh75X1cNR1D7_FcY9zMnHP8iPO4M5RCRjy6nZY0TY/"&amp;"edit#gid=0"",""Table 1: Study characteristics!B4:B171"")))&gt;0
),
""Include""
)"),"Exclude")</f>
        <v>Exclude</v>
      </c>
      <c r="G1343" s="5" t="str">
        <f>IFERROR(__xludf.DUMMYFUNCTION("IFS(
D1343=""Exclude"",
FILTER(IMPORTRANGE(""https://docs.google.com/spreadsheets/d/1BJSV3WBYJGRhQ6zExamkszQ5VutGIcaQqmbD9ZTVXMQ/edit#gid=1251630045"",""articles_with_PRISMA_reasons!AB2:AB2113""), $A1343=IMPORTRANGE(""https://docs.google.com/spreadsheets/"&amp;"d/1BJSV3WBYJGRhQ6zExamkszQ5VutGIcaQqmbD9ZTVXMQ/edit#gid=1251630045"",""articles_with_PRISMA_reasons!B2:B2113"")),
E1343=""Exclude"",
FILTER(IMPORTRANGE(""https://docs.google.com/spreadsheets/d/1qpEmbGH0JjaJbUdp21-y2cPbobDbMjr09BbtdKROZWc/edit#gid=14448656"&amp;"54"",""articles_with_PRISMA_reasons!Z2:Z2113""), $A1343=IMPORTRANGE(""https://docs.google.com/spreadsheets/d/1qpEmbGH0JjaJbUdp21-y2cPbobDbMjr09BbtdKROZWc/edit#gid=1444865654"",""articles_with_PRISMA_reasons!B2:B2113"")),F1343
=""Include"",FILTER(IMPORTRAN"&amp;"GE(""https://docs.google.com/spreadsheets/d/1kGrh75X1cNR1D7_FcY9zMnHP8iPO4M5RCRjy6nZY0TY/edit#gid=0"",""Table 1: Study characteristics!A4:A171""), $A1343=IMPORTRANGE(""https://docs.google.com/spreadsheets/d/1kGrh75X1cNR1D7_FcY9zMnHP8iPO4M5RCRjy6nZY0TY/edi"&amp;"t#gid=0"",""Table 1: Study characteristics!B4:B171""))
)"),"wrong study design")</f>
        <v>wrong study design</v>
      </c>
    </row>
    <row r="1344">
      <c r="A1344" s="4" t="str">
        <f>IFERROR(__xludf.DUMMYFUNCTION("""COMPUTED_VALUE"""),"Not all ventriculomegaly is created equal: diagnostic overview of fetal, neonatal and pediatric ventriculomegaly")</f>
        <v>Not all ventriculomegaly is created equal: diagnostic overview of fetal, neonatal and pediatric ventriculomegaly</v>
      </c>
      <c r="B1344" s="5" t="str">
        <f>IFERROR(__xludf.DUMMYFUNCTION("LEFT(FILTER(IMPORTRANGE(""https://docs.google.com/spreadsheets/d/1BJSV3WBYJGRhQ6zExamkszQ5VutGIcaQqmbD9ZTVXMQ/edit#gid=1251630045"",""articles_with_PRISMA_reasons!K2:K2113""), $A1344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$A1344=IMPORTRANGE(""https://docs.google.com/spreadsheets/d/1BJSV3WBYJGRhQ6zExamkszQ5VutGIcaQqmbD9ZTVXMQ/edit#gid=1251630045"",""articles_with_PRISMA_reasons!B2:B2113"")))-1)"),"Patel")</f>
        <v>Patel</v>
      </c>
      <c r="C1344" s="6">
        <f>IFERROR(__xludf.DUMMYFUNCTION("FILTER(IMPORTRANGE(""https://docs.google.com/spreadsheets/d/1BJSV3WBYJGRhQ6zExamkszQ5VutGIcaQqmbD9ZTVXMQ/edit#gid=1251630045"",""articles_with_PRISMA_reasons!C2:C2113""), $A1344=IMPORTRANGE(""https://docs.google.com/spreadsheets/d/1BJSV3WBYJGRhQ6zExamkszQ"&amp;"5VutGIcaQqmbD9ZTVXMQ/edit#gid=1251630045"",""articles_with_PRISMA_reasons!B2:B2113""))"),2020.0)</f>
        <v>2020</v>
      </c>
      <c r="D1344" s="5" t="str">
        <f>IFERROR(__xludf.DUMMYFUNCTION("IFS(AND(
FILTER(IMPORTRANGE(""https://docs.google.com/spreadsheets/d/1BJSV3WBYJGRhQ6zExamkszQ5VutGIcaQqmbD9ZTVXMQ/edit#gid=1251630045"",""articles_with_PRISMA_reasons!Y2:Y2113""), $A1344=IMPORTRANGE(""https://docs.google.com/spreadsheets/d/1BJSV3WBYJGRhQ6"&amp;"zExamkszQ5VutGIcaQqmbD9ZTVXMQ/edit#gid=1251630045"",""articles_with_PRISMA_reasons!B2:B2113""))&gt;=2,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$A1344=IMPORTRANGE(""https://docs.google.com/spreadsheets/d/1BJSV3WBYJGRhQ6zExamkszQ5VutGIcaQqmbD9ZTVXMQ/edit#gid=1251630045"",""articles_with_PRISMA_reasons!B2:B2113""))&lt;2),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$A1344=IMPORTRANGE(""https://docs.google.com/spreadsheets/d/1BJSV3WBYJGRhQ6zExamkszQ5VutGIcaQqmbD9ZTVXMQ/edit#gid=1251630045"",""a"&amp;"rticles_with_PRISMA_reasons!B2:B2113""))&lt;2,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$A1344=IMPORTRANGE(""https://docs.google"&amp;".com/spreadsheets/d/1BJSV3WBYJGRhQ6zExamkszQ5VutGIcaQqmbD9ZTVXMQ/edit#gid=1251630045"",""articles_with_PRISMA_reasons!B2:B2113""))&gt;=2),
""Exclude""
)"),"Exclude")</f>
        <v>Exclude</v>
      </c>
      <c r="E1344" s="5" t="str">
        <f>IFERROR(__xludf.DUMMYFUNCTION("IFS(
D1344=""Exclude"",""Exclude"",
AND(
FILTER(IMPORTRANGE(""https://docs.google.com/spreadsheets/d/1qpEmbGH0JjaJbUdp21-y2cPbobDbMjr09BbtdKROZWc/edit#gid=1444865654"",""articles_with_PRISMA_reasons!W2:W2113""), $A1344=IMPORTRANGE(""https://docs.google.co"&amp;"m/spreadsheets/d/1qpEmbGH0JjaJbUdp21-y2cPbobDbMjr09BbtdKROZWc/edit#gid=1444865654"",""articles_with_PRISMA_reasons!B2:B2113""))&gt;=2,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$A1344=IMPORTRANGE(""https://docs.google.com/spreadsheets/d/1qpEmbGH0JjaJbUdp21-y2cPbobDbMjr09BbtdKROZWc/edit#gid=1444865654"",""articles_with_PRISMA_reasons!B2:B2113""))&lt;2),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$A1344=IMPORTRANGE(""https://docs.google.com/spreadsheets/d/1qpEmbGH0JjaJbUdp21-y2cPbobDbMjr09Bbtd"&amp;"KROZWc/edit#gid=1444865654"",""articles_with_PRISMA_reasons!B2:B2113""))&lt;2,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$A1344=I"&amp;"MPORTRANGE(""https://docs.google.com/spreadsheets/d/1qpEmbGH0JjaJbUdp21-y2cPbobDbMjr09BbtdKROZWc/edit#gid=1444865654"",""articles_with_PRISMA_reasons!B2:B2113""))&gt;=2),
""Exclude""
)"),"Exclude")</f>
        <v>Exclude</v>
      </c>
      <c r="F1344" s="5" t="str">
        <f>IFERROR(__xludf.DUMMYFUNCTION("IFS(
E1344=""Exclude"",""Exclude"",
AND(
COUNTIF(
IMPORTRANGE(""https://docs.google.com/spreadsheets/d/1kGrh75X1cNR1D7_FcY9zMnHP8iPO4M5RCRjy6nZY0TY/edit#gid=0"",""Table 1: Study characteristics!B4:B171""),A1344)&gt;0,
COUNTIF(Studies!$A$2:$A$85,FILTER(IMPORT"&amp;"RANGE(""https://docs.google.com/spreadsheets/d/1kGrh75X1cNR1D7_FcY9zMnHP8iPO4M5RCRjy6nZY0TY/edit#gid=0"",""Table 1: Study characteristics!A4:A171""), $A1344=IMPORTRANGE(""https://docs.google.com/spreadsheets/d/1kGrh75X1cNR1D7_FcY9zMnHP8iPO4M5RCRjy6nZY0TY/"&amp;"edit#gid=0"",""Table 1: Study characteristics!B4:B171"")))&gt;0
),
""Include""
)"),"Exclude")</f>
        <v>Exclude</v>
      </c>
      <c r="G1344" s="5" t="str">
        <f>IFERROR(__xludf.DUMMYFUNCTION("IFS(
D1344=""Exclude"",
FILTER(IMPORTRANGE(""https://docs.google.com/spreadsheets/d/1BJSV3WBYJGRhQ6zExamkszQ5VutGIcaQqmbD9ZTVXMQ/edit#gid=1251630045"",""articles_with_PRISMA_reasons!AB2:AB2113""), $A1344=IMPORTRANGE(""https://docs.google.com/spreadsheets/"&amp;"d/1BJSV3WBYJGRhQ6zExamkszQ5VutGIcaQqmbD9ZTVXMQ/edit#gid=1251630045"",""articles_with_PRISMA_reasons!B2:B2113"")),
E1344=""Exclude"",
FILTER(IMPORTRANGE(""https://docs.google.com/spreadsheets/d/1qpEmbGH0JjaJbUdp21-y2cPbobDbMjr09BbtdKROZWc/edit#gid=14448656"&amp;"54"",""articles_with_PRISMA_reasons!Z2:Z2113""), $A1344=IMPORTRANGE(""https://docs.google.com/spreadsheets/d/1qpEmbGH0JjaJbUdp21-y2cPbobDbMjr09BbtdKROZWc/edit#gid=1444865654"",""articles_with_PRISMA_reasons!B2:B2113"")),F1344
=""Include"",FILTER(IMPORTRAN"&amp;"GE(""https://docs.google.com/spreadsheets/d/1kGrh75X1cNR1D7_FcY9zMnHP8iPO4M5RCRjy6nZY0TY/edit#gid=0"",""Table 1: Study characteristics!A4:A171""), $A1344=IMPORTRANGE(""https://docs.google.com/spreadsheets/d/1kGrh75X1cNR1D7_FcY9zMnHP8iPO4M5RCRjy6nZY0TY/edi"&amp;"t#gid=0"",""Table 1: Study characteristics!B4:B171""))
)"),"wrong study design")</f>
        <v>wrong study design</v>
      </c>
    </row>
    <row r="1345">
      <c r="A1345" s="4" t="str">
        <f>IFERROR(__xludf.DUMMYFUNCTION("""COMPUTED_VALUE"""),"Nurses' exchange: care of the infant with myelomeningocele (spina bifida) and hydrocephalus: a guide for parents")</f>
        <v>Nurses' exchange: care of the infant with myelomeningocele (spina bifida) and hydrocephalus: a guide for parents</v>
      </c>
      <c r="B1345" s="5" t="str">
        <f>IFERROR(__xludf.DUMMYFUNCTION("LEFT(FILTER(IMPORTRANGE(""https://docs.google.com/spreadsheets/d/1BJSV3WBYJGRhQ6zExamkszQ5VutGIcaQqmbD9ZTVXMQ/edit#gid=1251630045"",""articles_with_PRISMA_reasons!K2:K2113""), $A1345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$A1345=IMPORTRANGE(""https://docs.google.com/spreadsheets/d/1BJSV3WBYJGRhQ6zExamkszQ5VutGIcaQqmbD9ZTVXMQ/edit#gid=1251630045"",""articles_with_PRISMA_reasons!B2:B2113"")))-1)"),"Henderson")</f>
        <v>Henderson</v>
      </c>
      <c r="C1345" s="6">
        <f>IFERROR(__xludf.DUMMYFUNCTION("FILTER(IMPORTRANGE(""https://docs.google.com/spreadsheets/d/1BJSV3WBYJGRhQ6zExamkszQ5VutGIcaQqmbD9ZTVXMQ/edit#gid=1251630045"",""articles_with_PRISMA_reasons!C2:C2113""), $A1345=IMPORTRANGE(""https://docs.google.com/spreadsheets/d/1BJSV3WBYJGRhQ6zExamkszQ"&amp;"5VutGIcaQqmbD9ZTVXMQ/edit#gid=1251630045"",""articles_with_PRISMA_reasons!B2:B2113""))"),1977.0)</f>
        <v>1977</v>
      </c>
      <c r="D1345" s="5" t="str">
        <f>IFERROR(__xludf.DUMMYFUNCTION("IFS(AND(
FILTER(IMPORTRANGE(""https://docs.google.com/spreadsheets/d/1BJSV3WBYJGRhQ6zExamkszQ5VutGIcaQqmbD9ZTVXMQ/edit#gid=1251630045"",""articles_with_PRISMA_reasons!Y2:Y2113""), $A1345=IMPORTRANGE(""https://docs.google.com/spreadsheets/d/1BJSV3WBYJGRhQ6"&amp;"zExamkszQ5VutGIcaQqmbD9ZTVXMQ/edit#gid=1251630045"",""articles_with_PRISMA_reasons!B2:B2113""))&gt;=2,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$A1345=IMPORTRANGE(""https://docs.google.com/spreadsheets/d/1BJSV3WBYJGRhQ6zExamkszQ5VutGIcaQqmbD9ZTVXMQ/edit#gid=1251630045"",""articles_with_PRISMA_reasons!B2:B2113""))&lt;2),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$A1345=IMPORTRANGE(""https://docs.google.com/spreadsheets/d/1BJSV3WBYJGRhQ6zExamkszQ5VutGIcaQqmbD9ZTVXMQ/edit#gid=1251630045"",""a"&amp;"rticles_with_PRISMA_reasons!B2:B2113""))&lt;2,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$A1345=IMPORTRANGE(""https://docs.google"&amp;".com/spreadsheets/d/1BJSV3WBYJGRhQ6zExamkszQ5VutGIcaQqmbD9ZTVXMQ/edit#gid=1251630045"",""articles_with_PRISMA_reasons!B2:B2113""))&gt;=2),
""Exclude""
)"),"Exclude")</f>
        <v>Exclude</v>
      </c>
      <c r="E1345" s="5" t="str">
        <f>IFERROR(__xludf.DUMMYFUNCTION("IFS(
D1345=""Exclude"",""Exclude"",
AND(
FILTER(IMPORTRANGE(""https://docs.google.com/spreadsheets/d/1qpEmbGH0JjaJbUdp21-y2cPbobDbMjr09BbtdKROZWc/edit#gid=1444865654"",""articles_with_PRISMA_reasons!W2:W2113""), $A1345=IMPORTRANGE(""https://docs.google.co"&amp;"m/spreadsheets/d/1qpEmbGH0JjaJbUdp21-y2cPbobDbMjr09BbtdKROZWc/edit#gid=1444865654"",""articles_with_PRISMA_reasons!B2:B2113""))&gt;=2,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$A1345=IMPORTRANGE(""https://docs.google.com/spreadsheets/d/1qpEmbGH0JjaJbUdp21-y2cPbobDbMjr09BbtdKROZWc/edit#gid=1444865654"",""articles_with_PRISMA_reasons!B2:B2113""))&lt;2),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$A1345=IMPORTRANGE(""https://docs.google.com/spreadsheets/d/1qpEmbGH0JjaJbUdp21-y2cPbobDbMjr09Bbtd"&amp;"KROZWc/edit#gid=1444865654"",""articles_with_PRISMA_reasons!B2:B2113""))&lt;2,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$A1345=I"&amp;"MPORTRANGE(""https://docs.google.com/spreadsheets/d/1qpEmbGH0JjaJbUdp21-y2cPbobDbMjr09BbtdKROZWc/edit#gid=1444865654"",""articles_with_PRISMA_reasons!B2:B2113""))&gt;=2),
""Exclude""
)"),"Exclude")</f>
        <v>Exclude</v>
      </c>
      <c r="F1345" s="5" t="str">
        <f>IFERROR(__xludf.DUMMYFUNCTION("IFS(
E1345=""Exclude"",""Exclude"",
AND(
COUNTIF(
IMPORTRANGE(""https://docs.google.com/spreadsheets/d/1kGrh75X1cNR1D7_FcY9zMnHP8iPO4M5RCRjy6nZY0TY/edit#gid=0"",""Table 1: Study characteristics!B4:B171""),A1345)&gt;0,
COUNTIF(Studies!$A$2:$A$85,FILTER(IMPORT"&amp;"RANGE(""https://docs.google.com/spreadsheets/d/1kGrh75X1cNR1D7_FcY9zMnHP8iPO4M5RCRjy6nZY0TY/edit#gid=0"",""Table 1: Study characteristics!A4:A171""), $A1345=IMPORTRANGE(""https://docs.google.com/spreadsheets/d/1kGrh75X1cNR1D7_FcY9zMnHP8iPO4M5RCRjy6nZY0TY/"&amp;"edit#gid=0"",""Table 1: Study characteristics!B4:B171"")))&gt;0
),
""Include""
)"),"Exclude")</f>
        <v>Exclude</v>
      </c>
      <c r="G1345" s="5" t="str">
        <f>IFERROR(__xludf.DUMMYFUNCTION("IFS(
D1345=""Exclude"",
FILTER(IMPORTRANGE(""https://docs.google.com/spreadsheets/d/1BJSV3WBYJGRhQ6zExamkszQ5VutGIcaQqmbD9ZTVXMQ/edit#gid=1251630045"",""articles_with_PRISMA_reasons!AB2:AB2113""), $A1345=IMPORTRANGE(""https://docs.google.com/spreadsheets/"&amp;"d/1BJSV3WBYJGRhQ6zExamkszQ5VutGIcaQqmbD9ZTVXMQ/edit#gid=1251630045"",""articles_with_PRISMA_reasons!B2:B2113"")),
E1345=""Exclude"",
FILTER(IMPORTRANGE(""https://docs.google.com/spreadsheets/d/1qpEmbGH0JjaJbUdp21-y2cPbobDbMjr09BbtdKROZWc/edit#gid=14448656"&amp;"54"",""articles_with_PRISMA_reasons!Z2:Z2113""), $A1345=IMPORTRANGE(""https://docs.google.com/spreadsheets/d/1qpEmbGH0JjaJbUdp21-y2cPbobDbMjr09BbtdKROZWc/edit#gid=1444865654"",""articles_with_PRISMA_reasons!B2:B2113"")),F1345
=""Include"",FILTER(IMPORTRAN"&amp;"GE(""https://docs.google.com/spreadsheets/d/1kGrh75X1cNR1D7_FcY9zMnHP8iPO4M5RCRjy6nZY0TY/edit#gid=0"",""Table 1: Study characteristics!A4:A171""), $A1345=IMPORTRANGE(""https://docs.google.com/spreadsheets/d/1kGrh75X1cNR1D7_FcY9zMnHP8iPO4M5RCRjy6nZY0TY/edi"&amp;"t#gid=0"",""Table 1: Study characteristics!B4:B171""))
)"),"wrong publication type")</f>
        <v>wrong publication type</v>
      </c>
    </row>
    <row r="1346">
      <c r="A1346" s="4" t="str">
        <f>IFERROR(__xludf.DUMMYFUNCTION("""COMPUTED_VALUE"""),"Nursing care of children with developmental disabilities having surgery")</f>
        <v>Nursing care of children with developmental disabilities having surgery</v>
      </c>
      <c r="B1346" s="5" t="str">
        <f>IFERROR(__xludf.DUMMYFUNCTION("LEFT(FILTER(IMPORTRANGE(""https://docs.google.com/spreadsheets/d/1BJSV3WBYJGRhQ6zExamkszQ5VutGIcaQqmbD9ZTVXMQ/edit#gid=1251630045"",""articles_with_PRISMA_reasons!K2:K2113""), $A1346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$A1346=IMPORTRANGE(""https://docs.google.com/spreadsheets/d/1BJSV3WBYJGRhQ6zExamkszQ5VutGIcaQqmbD9ZTVXMQ/edit#gid=1251630045"",""articles_with_PRISMA_reasons!B2:B2113"")))-1)"),"Villarreal")</f>
        <v>Villarreal</v>
      </c>
      <c r="C1346" s="6">
        <f>IFERROR(__xludf.DUMMYFUNCTION("FILTER(IMPORTRANGE(""https://docs.google.com/spreadsheets/d/1BJSV3WBYJGRhQ6zExamkszQ5VutGIcaQqmbD9ZTVXMQ/edit#gid=1251630045"",""articles_with_PRISMA_reasons!C2:C2113""), $A1346=IMPORTRANGE(""https://docs.google.com/spreadsheets/d/1BJSV3WBYJGRhQ6zExamkszQ"&amp;"5VutGIcaQqmbD9ZTVXMQ/edit#gid=1251630045"",""articles_with_PRISMA_reasons!B2:B2113""))"),1995.0)</f>
        <v>1995</v>
      </c>
      <c r="D1346" s="5" t="str">
        <f>IFERROR(__xludf.DUMMYFUNCTION("IFS(AND(
FILTER(IMPORTRANGE(""https://docs.google.com/spreadsheets/d/1BJSV3WBYJGRhQ6zExamkszQ5VutGIcaQqmbD9ZTVXMQ/edit#gid=1251630045"",""articles_with_PRISMA_reasons!Y2:Y2113""), $A1346=IMPORTRANGE(""https://docs.google.com/spreadsheets/d/1BJSV3WBYJGRhQ6"&amp;"zExamkszQ5VutGIcaQqmbD9ZTVXMQ/edit#gid=1251630045"",""articles_with_PRISMA_reasons!B2:B2113""))&gt;=2,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$A1346=IMPORTRANGE(""https://docs.google.com/spreadsheets/d/1BJSV3WBYJGRhQ6zExamkszQ5VutGIcaQqmbD9ZTVXMQ/edit#gid=1251630045"",""articles_with_PRISMA_reasons!B2:B2113""))&lt;2),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$A1346=IMPORTRANGE(""https://docs.google.com/spreadsheets/d/1BJSV3WBYJGRhQ6zExamkszQ5VutGIcaQqmbD9ZTVXMQ/edit#gid=1251630045"",""a"&amp;"rticles_with_PRISMA_reasons!B2:B2113""))&lt;2,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$A1346=IMPORTRANGE(""https://docs.google"&amp;".com/spreadsheets/d/1BJSV3WBYJGRhQ6zExamkszQ5VutGIcaQqmbD9ZTVXMQ/edit#gid=1251630045"",""articles_with_PRISMA_reasons!B2:B2113""))&gt;=2),
""Exclude""
)"),"Exclude")</f>
        <v>Exclude</v>
      </c>
      <c r="E1346" s="5" t="str">
        <f>IFERROR(__xludf.DUMMYFUNCTION("IFS(
D1346=""Exclude"",""Exclude"",
AND(
FILTER(IMPORTRANGE(""https://docs.google.com/spreadsheets/d/1qpEmbGH0JjaJbUdp21-y2cPbobDbMjr09BbtdKROZWc/edit#gid=1444865654"",""articles_with_PRISMA_reasons!W2:W2113""), $A1346=IMPORTRANGE(""https://docs.google.co"&amp;"m/spreadsheets/d/1qpEmbGH0JjaJbUdp21-y2cPbobDbMjr09BbtdKROZWc/edit#gid=1444865654"",""articles_with_PRISMA_reasons!B2:B2113""))&gt;=2,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$A1346=IMPORTRANGE(""https://docs.google.com/spreadsheets/d/1qpEmbGH0JjaJbUdp21-y2cPbobDbMjr09BbtdKROZWc/edit#gid=1444865654"",""articles_with_PRISMA_reasons!B2:B2113""))&lt;2),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$A1346=IMPORTRANGE(""https://docs.google.com/spreadsheets/d/1qpEmbGH0JjaJbUdp21-y2cPbobDbMjr09Bbtd"&amp;"KROZWc/edit#gid=1444865654"",""articles_with_PRISMA_reasons!B2:B2113""))&lt;2,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$A1346=I"&amp;"MPORTRANGE(""https://docs.google.com/spreadsheets/d/1qpEmbGH0JjaJbUdp21-y2cPbobDbMjr09BbtdKROZWc/edit#gid=1444865654"",""articles_with_PRISMA_reasons!B2:B2113""))&gt;=2),
""Exclude""
)"),"Exclude")</f>
        <v>Exclude</v>
      </c>
      <c r="F1346" s="5" t="str">
        <f>IFERROR(__xludf.DUMMYFUNCTION("IFS(
E1346=""Exclude"",""Exclude"",
AND(
COUNTIF(
IMPORTRANGE(""https://docs.google.com/spreadsheets/d/1kGrh75X1cNR1D7_FcY9zMnHP8iPO4M5RCRjy6nZY0TY/edit#gid=0"",""Table 1: Study characteristics!B4:B171""),A1346)&gt;0,
COUNTIF(Studies!$A$2:$A$85,FILTER(IMPORT"&amp;"RANGE(""https://docs.google.com/spreadsheets/d/1kGrh75X1cNR1D7_FcY9zMnHP8iPO4M5RCRjy6nZY0TY/edit#gid=0"",""Table 1: Study characteristics!A4:A171""), $A1346=IMPORTRANGE(""https://docs.google.com/spreadsheets/d/1kGrh75X1cNR1D7_FcY9zMnHP8iPO4M5RCRjy6nZY0TY/"&amp;"edit#gid=0"",""Table 1: Study characteristics!B4:B171"")))&gt;0
),
""Include""
)"),"Exclude")</f>
        <v>Exclude</v>
      </c>
      <c r="G1346" s="5" t="str">
        <f>IFERROR(__xludf.DUMMYFUNCTION("IFS(
D1346=""Exclude"",
FILTER(IMPORTRANGE(""https://docs.google.com/spreadsheets/d/1BJSV3WBYJGRhQ6zExamkszQ5VutGIcaQqmbD9ZTVXMQ/edit#gid=1251630045"",""articles_with_PRISMA_reasons!AB2:AB2113""), $A1346=IMPORTRANGE(""https://docs.google.com/spreadsheets/"&amp;"d/1BJSV3WBYJGRhQ6zExamkszQ5VutGIcaQqmbD9ZTVXMQ/edit#gid=1251630045"",""articles_with_PRISMA_reasons!B2:B2113"")),
E1346=""Exclude"",
FILTER(IMPORTRANGE(""https://docs.google.com/spreadsheets/d/1qpEmbGH0JjaJbUdp21-y2cPbobDbMjr09BbtdKROZWc/edit#gid=14448656"&amp;"54"",""articles_with_PRISMA_reasons!Z2:Z2113""), $A1346=IMPORTRANGE(""https://docs.google.com/spreadsheets/d/1qpEmbGH0JjaJbUdp21-y2cPbobDbMjr09BbtdKROZWc/edit#gid=1444865654"",""articles_with_PRISMA_reasons!B2:B2113"")),F1346
=""Include"",FILTER(IMPORTRAN"&amp;"GE(""https://docs.google.com/spreadsheets/d/1kGrh75X1cNR1D7_FcY9zMnHP8iPO4M5RCRjy6nZY0TY/edit#gid=0"",""Table 1: Study characteristics!A4:A171""), $A1346=IMPORTRANGE(""https://docs.google.com/spreadsheets/d/1kGrh75X1cNR1D7_FcY9zMnHP8iPO4M5RCRjy6nZY0TY/edi"&amp;"t#gid=0"",""Table 1: Study characteristics!B4:B171""))
)"),"wrong study design")</f>
        <v>wrong study design</v>
      </c>
    </row>
    <row r="1347">
      <c r="A1347" s="4" t="str">
        <f>IFERROR(__xludf.DUMMYFUNCTION("""COMPUTED_VALUE"""),"Nursing of a child with hydrocephalus complicated by myelocele")</f>
        <v>Nursing of a child with hydrocephalus complicated by myelocele</v>
      </c>
      <c r="B1347" s="5" t="str">
        <f>IFERROR(__xludf.DUMMYFUNCTION("LEFT(FILTER(IMPORTRANGE(""https://docs.google.com/spreadsheets/d/1BJSV3WBYJGRhQ6zExamkszQ5VutGIcaQqmbD9ZTVXMQ/edit#gid=1251630045"",""articles_with_PRISMA_reasons!K2:K2113""), $A1347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$A1347=IMPORTRANGE(""https://docs.google.com/spreadsheets/d/1BJSV3WBYJGRhQ6zExamkszQ5VutGIcaQqmbD9ZTVXMQ/edit#gid=1251630045"",""articles_with_PRISMA_reasons!B2:B2113"")))-1)"),"Nitta")</f>
        <v>Nitta</v>
      </c>
      <c r="C1347" s="6">
        <f>IFERROR(__xludf.DUMMYFUNCTION("FILTER(IMPORTRANGE(""https://docs.google.com/spreadsheets/d/1BJSV3WBYJGRhQ6zExamkszQ5VutGIcaQqmbD9ZTVXMQ/edit#gid=1251630045"",""articles_with_PRISMA_reasons!C2:C2113""), $A1347=IMPORTRANGE(""https://docs.google.com/spreadsheets/d/1BJSV3WBYJGRhQ6zExamkszQ"&amp;"5VutGIcaQqmbD9ZTVXMQ/edit#gid=1251630045"",""articles_with_PRISMA_reasons!B2:B2113""))"),1985.0)</f>
        <v>1985</v>
      </c>
      <c r="D1347" s="5" t="str">
        <f>IFERROR(__xludf.DUMMYFUNCTION("IFS(AND(
FILTER(IMPORTRANGE(""https://docs.google.com/spreadsheets/d/1BJSV3WBYJGRhQ6zExamkszQ5VutGIcaQqmbD9ZTVXMQ/edit#gid=1251630045"",""articles_with_PRISMA_reasons!Y2:Y2113""), $A1347=IMPORTRANGE(""https://docs.google.com/spreadsheets/d/1BJSV3WBYJGRhQ6"&amp;"zExamkszQ5VutGIcaQqmbD9ZTVXMQ/edit#gid=1251630045"",""articles_with_PRISMA_reasons!B2:B2113""))&gt;=2,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$A1347=IMPORTRANGE(""https://docs.google.com/spreadsheets/d/1BJSV3WBYJGRhQ6zExamkszQ5VutGIcaQqmbD9ZTVXMQ/edit#gid=1251630045"",""articles_with_PRISMA_reasons!B2:B2113""))&lt;2),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$A1347=IMPORTRANGE(""https://docs.google.com/spreadsheets/d/1BJSV3WBYJGRhQ6zExamkszQ5VutGIcaQqmbD9ZTVXMQ/edit#gid=1251630045"",""a"&amp;"rticles_with_PRISMA_reasons!B2:B2113""))&lt;2,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$A1347=IMPORTRANGE(""https://docs.google"&amp;".com/spreadsheets/d/1BJSV3WBYJGRhQ6zExamkszQ5VutGIcaQqmbD9ZTVXMQ/edit#gid=1251630045"",""articles_with_PRISMA_reasons!B2:B2113""))&gt;=2),
""Exclude""
)"),"Exclude")</f>
        <v>Exclude</v>
      </c>
      <c r="E1347" s="5" t="str">
        <f>IFERROR(__xludf.DUMMYFUNCTION("IFS(
D1347=""Exclude"",""Exclude"",
AND(
FILTER(IMPORTRANGE(""https://docs.google.com/spreadsheets/d/1qpEmbGH0JjaJbUdp21-y2cPbobDbMjr09BbtdKROZWc/edit#gid=1444865654"",""articles_with_PRISMA_reasons!W2:W2113""), $A1347=IMPORTRANGE(""https://docs.google.co"&amp;"m/spreadsheets/d/1qpEmbGH0JjaJbUdp21-y2cPbobDbMjr09BbtdKROZWc/edit#gid=1444865654"",""articles_with_PRISMA_reasons!B2:B2113""))&gt;=2,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$A1347=IMPORTRANGE(""https://docs.google.com/spreadsheets/d/1qpEmbGH0JjaJbUdp21-y2cPbobDbMjr09BbtdKROZWc/edit#gid=1444865654"",""articles_with_PRISMA_reasons!B2:B2113""))&lt;2),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$A1347=IMPORTRANGE(""https://docs.google.com/spreadsheets/d/1qpEmbGH0JjaJbUdp21-y2cPbobDbMjr09Bbtd"&amp;"KROZWc/edit#gid=1444865654"",""articles_with_PRISMA_reasons!B2:B2113""))&lt;2,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$A1347=I"&amp;"MPORTRANGE(""https://docs.google.com/spreadsheets/d/1qpEmbGH0JjaJbUdp21-y2cPbobDbMjr09BbtdKROZWc/edit#gid=1444865654"",""articles_with_PRISMA_reasons!B2:B2113""))&gt;=2),
""Exclude""
)"),"Exclude")</f>
        <v>Exclude</v>
      </c>
      <c r="F1347" s="5" t="str">
        <f>IFERROR(__xludf.DUMMYFUNCTION("IFS(
E1347=""Exclude"",""Exclude"",
AND(
COUNTIF(
IMPORTRANGE(""https://docs.google.com/spreadsheets/d/1kGrh75X1cNR1D7_FcY9zMnHP8iPO4M5RCRjy6nZY0TY/edit#gid=0"",""Table 1: Study characteristics!B4:B171""),A1347)&gt;0,
COUNTIF(Studies!$A$2:$A$85,FILTER(IMPORT"&amp;"RANGE(""https://docs.google.com/spreadsheets/d/1kGrh75X1cNR1D7_FcY9zMnHP8iPO4M5RCRjy6nZY0TY/edit#gid=0"",""Table 1: Study characteristics!A4:A171""), $A1347=IMPORTRANGE(""https://docs.google.com/spreadsheets/d/1kGrh75X1cNR1D7_FcY9zMnHP8iPO4M5RCRjy6nZY0TY/"&amp;"edit#gid=0"",""Table 1: Study characteristics!B4:B171"")))&gt;0
),
""Include""
)"),"Exclude")</f>
        <v>Exclude</v>
      </c>
      <c r="G1347" s="5" t="str">
        <f>IFERROR(__xludf.DUMMYFUNCTION("IFS(
D1347=""Exclude"",
FILTER(IMPORTRANGE(""https://docs.google.com/spreadsheets/d/1BJSV3WBYJGRhQ6zExamkszQ5VutGIcaQqmbD9ZTVXMQ/edit#gid=1251630045"",""articles_with_PRISMA_reasons!AB2:AB2113""), $A1347=IMPORTRANGE(""https://docs.google.com/spreadsheets/"&amp;"d/1BJSV3WBYJGRhQ6zExamkszQ5VutGIcaQqmbD9ZTVXMQ/edit#gid=1251630045"",""articles_with_PRISMA_reasons!B2:B2113"")),
E1347=""Exclude"",
FILTER(IMPORTRANGE(""https://docs.google.com/spreadsheets/d/1qpEmbGH0JjaJbUdp21-y2cPbobDbMjr09BbtdKROZWc/edit#gid=14448656"&amp;"54"",""articles_with_PRISMA_reasons!Z2:Z2113""), $A1347=IMPORTRANGE(""https://docs.google.com/spreadsheets/d/1qpEmbGH0JjaJbUdp21-y2cPbobDbMjr09BbtdKROZWc/edit#gid=1444865654"",""articles_with_PRISMA_reasons!B2:B2113"")),F1347
=""Include"",FILTER(IMPORTRAN"&amp;"GE(""https://docs.google.com/spreadsheets/d/1kGrh75X1cNR1D7_FcY9zMnHP8iPO4M5RCRjy6nZY0TY/edit#gid=0"",""Table 1: Study characteristics!A4:A171""), $A1347=IMPORTRANGE(""https://docs.google.com/spreadsheets/d/1kGrh75X1cNR1D7_FcY9zMnHP8iPO4M5RCRjy6nZY0TY/edi"&amp;"t#gid=0"",""Table 1: Study characteristics!B4:B171""))
)"),"wrong study design")</f>
        <v>wrong study design</v>
      </c>
    </row>
    <row r="1348">
      <c r="A1348" s="4" t="str">
        <f>IFERROR(__xludf.DUMMYFUNCTION("""COMPUTED_VALUE"""),"Object-based visual processing in children with spina bifida and hydrocephalus: a cognitive neuropsychological analysis")</f>
        <v>Object-based visual processing in children with spina bifida and hydrocephalus: a cognitive neuropsychological analysis</v>
      </c>
      <c r="B1348" s="5" t="str">
        <f>IFERROR(__xludf.DUMMYFUNCTION("LEFT(FILTER(IMPORTRANGE(""https://docs.google.com/spreadsheets/d/1BJSV3WBYJGRhQ6zExamkszQ5VutGIcaQqmbD9ZTVXMQ/edit#gid=1251630045"",""articles_with_PRISMA_reasons!K2:K2113""), $A1348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$A1348=IMPORTRANGE(""https://docs.google.com/spreadsheets/d/1BJSV3WBYJGRhQ6zExamkszQ5VutGIcaQqmbD9ZTVXMQ/edit#gid=1251630045"",""articles_with_PRISMA_reasons!B2:B2113"")))-1)"),"Swain")</f>
        <v>Swain</v>
      </c>
      <c r="C1348" s="6">
        <f>IFERROR(__xludf.DUMMYFUNCTION("FILTER(IMPORTRANGE(""https://docs.google.com/spreadsheets/d/1BJSV3WBYJGRhQ6zExamkszQ5VutGIcaQqmbD9ZTVXMQ/edit#gid=1251630045"",""articles_with_PRISMA_reasons!C2:C2113""), $A1348=IMPORTRANGE(""https://docs.google.com/spreadsheets/d/1BJSV3WBYJGRhQ6zExamkszQ"&amp;"5VutGIcaQqmbD9ZTVXMQ/edit#gid=1251630045"",""articles_with_PRISMA_reasons!B2:B2113""))"),2009.0)</f>
        <v>2009</v>
      </c>
      <c r="D1348" s="5" t="str">
        <f>IFERROR(__xludf.DUMMYFUNCTION("IFS(AND(
FILTER(IMPORTRANGE(""https://docs.google.com/spreadsheets/d/1BJSV3WBYJGRhQ6zExamkszQ5VutGIcaQqmbD9ZTVXMQ/edit#gid=1251630045"",""articles_with_PRISMA_reasons!Y2:Y2113""), $A1348=IMPORTRANGE(""https://docs.google.com/spreadsheets/d/1BJSV3WBYJGRhQ6"&amp;"zExamkszQ5VutGIcaQqmbD9ZTVXMQ/edit#gid=1251630045"",""articles_with_PRISMA_reasons!B2:B2113""))&gt;=2,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$A1348=IMPORTRANGE(""https://docs.google.com/spreadsheets/d/1BJSV3WBYJGRhQ6zExamkszQ5VutGIcaQqmbD9ZTVXMQ/edit#gid=1251630045"",""articles_with_PRISMA_reasons!B2:B2113""))&lt;2),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$A1348=IMPORTRANGE(""https://docs.google.com/spreadsheets/d/1BJSV3WBYJGRhQ6zExamkszQ5VutGIcaQqmbD9ZTVXMQ/edit#gid=1251630045"",""a"&amp;"rticles_with_PRISMA_reasons!B2:B2113""))&lt;2,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$A1348=IMPORTRANGE(""https://docs.google"&amp;".com/spreadsheets/d/1BJSV3WBYJGRhQ6zExamkszQ5VutGIcaQqmbD9ZTVXMQ/edit#gid=1251630045"",""articles_with_PRISMA_reasons!B2:B2113""))&gt;=2),
""Exclude""
)"),"Exclude")</f>
        <v>Exclude</v>
      </c>
      <c r="E1348" s="5" t="str">
        <f>IFERROR(__xludf.DUMMYFUNCTION("IFS(
D1348=""Exclude"",""Exclude"",
AND(
FILTER(IMPORTRANGE(""https://docs.google.com/spreadsheets/d/1qpEmbGH0JjaJbUdp21-y2cPbobDbMjr09BbtdKROZWc/edit#gid=1444865654"",""articles_with_PRISMA_reasons!W2:W2113""), $A1348=IMPORTRANGE(""https://docs.google.co"&amp;"m/spreadsheets/d/1qpEmbGH0JjaJbUdp21-y2cPbobDbMjr09BbtdKROZWc/edit#gid=1444865654"",""articles_with_PRISMA_reasons!B2:B2113""))&gt;=2,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$A1348=IMPORTRANGE(""https://docs.google.com/spreadsheets/d/1qpEmbGH0JjaJbUdp21-y2cPbobDbMjr09BbtdKROZWc/edit#gid=1444865654"",""articles_with_PRISMA_reasons!B2:B2113""))&lt;2),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$A1348=IMPORTRANGE(""https://docs.google.com/spreadsheets/d/1qpEmbGH0JjaJbUdp21-y2cPbobDbMjr09Bbtd"&amp;"KROZWc/edit#gid=1444865654"",""articles_with_PRISMA_reasons!B2:B2113""))&lt;2,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$A1348=I"&amp;"MPORTRANGE(""https://docs.google.com/spreadsheets/d/1qpEmbGH0JjaJbUdp21-y2cPbobDbMjr09BbtdKROZWc/edit#gid=1444865654"",""articles_with_PRISMA_reasons!B2:B2113""))&gt;=2),
""Exclude""
)"),"Exclude")</f>
        <v>Exclude</v>
      </c>
      <c r="F1348" s="5" t="str">
        <f>IFERROR(__xludf.DUMMYFUNCTION("IFS(
E1348=""Exclude"",""Exclude"",
AND(
COUNTIF(
IMPORTRANGE(""https://docs.google.com/spreadsheets/d/1kGrh75X1cNR1D7_FcY9zMnHP8iPO4M5RCRjy6nZY0TY/edit#gid=0"",""Table 1: Study characteristics!B4:B171""),A1348)&gt;0,
COUNTIF(Studies!$A$2:$A$85,FILTER(IMPORT"&amp;"RANGE(""https://docs.google.com/spreadsheets/d/1kGrh75X1cNR1D7_FcY9zMnHP8iPO4M5RCRjy6nZY0TY/edit#gid=0"",""Table 1: Study characteristics!A4:A171""), $A1348=IMPORTRANGE(""https://docs.google.com/spreadsheets/d/1kGrh75X1cNR1D7_FcY9zMnHP8iPO4M5RCRjy6nZY0TY/"&amp;"edit#gid=0"",""Table 1: Study characteristics!B4:B171"")))&gt;0
),
""Include""
)"),"Exclude")</f>
        <v>Exclude</v>
      </c>
      <c r="G1348" s="5" t="str">
        <f>IFERROR(__xludf.DUMMYFUNCTION("IFS(
D1348=""Exclude"",
FILTER(IMPORTRANGE(""https://docs.google.com/spreadsheets/d/1BJSV3WBYJGRhQ6zExamkszQ5VutGIcaQqmbD9ZTVXMQ/edit#gid=1251630045"",""articles_with_PRISMA_reasons!AB2:AB2113""), $A1348=IMPORTRANGE(""https://docs.google.com/spreadsheets/"&amp;"d/1BJSV3WBYJGRhQ6zExamkszQ5VutGIcaQqmbD9ZTVXMQ/edit#gid=1251630045"",""articles_with_PRISMA_reasons!B2:B2113"")),
E1348=""Exclude"",
FILTER(IMPORTRANGE(""https://docs.google.com/spreadsheets/d/1qpEmbGH0JjaJbUdp21-y2cPbobDbMjr09BbtdKROZWc/edit#gid=14448656"&amp;"54"",""articles_with_PRISMA_reasons!Z2:Z2113""), $A1348=IMPORTRANGE(""https://docs.google.com/spreadsheets/d/1qpEmbGH0JjaJbUdp21-y2cPbobDbMjr09BbtdKROZWc/edit#gid=1444865654"",""articles_with_PRISMA_reasons!B2:B2113"")),F1348
=""Include"",FILTER(IMPORTRAN"&amp;"GE(""https://docs.google.com/spreadsheets/d/1kGrh75X1cNR1D7_FcY9zMnHP8iPO4M5RCRjy6nZY0TY/edit#gid=0"",""Table 1: Study characteristics!A4:A171""), $A1348=IMPORTRANGE(""https://docs.google.com/spreadsheets/d/1kGrh75X1cNR1D7_FcY9zMnHP8iPO4M5RCRjy6nZY0TY/edi"&amp;"t#gid=0"",""Table 1: Study characteristics!B4:B171""))
)"),"wrong population")</f>
        <v>wrong population</v>
      </c>
    </row>
    <row r="1349">
      <c r="A1349" s="4" t="str">
        <f>IFERROR(__xludf.DUMMYFUNCTION("""COMPUTED_VALUE"""),"Obliteration of the choroid plexus after endoscopic coagulation")</f>
        <v>Obliteration of the choroid plexus after endoscopic coagulation</v>
      </c>
      <c r="B1349" s="5" t="str">
        <f>IFERROR(__xludf.DUMMYFUNCTION("LEFT(FILTER(IMPORTRANGE(""https://docs.google.com/spreadsheets/d/1BJSV3WBYJGRhQ6zExamkszQ5VutGIcaQqmbD9ZTVXMQ/edit#gid=1251630045"",""articles_with_PRISMA_reasons!K2:K2113""), $A1349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$A1349=IMPORTRANGE(""https://docs.google.com/spreadsheets/d/1BJSV3WBYJGRhQ6zExamkszQ5VutGIcaQqmbD9ZTVXMQ/edit#gid=1251630045"",""articles_with_PRISMA_reasons!B2:B2113"")))-1)"),"Ogiwara")</f>
        <v>Ogiwara</v>
      </c>
      <c r="C1349" s="6">
        <f>IFERROR(__xludf.DUMMYFUNCTION("FILTER(IMPORTRANGE(""https://docs.google.com/spreadsheets/d/1BJSV3WBYJGRhQ6zExamkszQ5VutGIcaQqmbD9ZTVXMQ/edit#gid=1251630045"",""articles_with_PRISMA_reasons!C2:C2113""), $A1349=IMPORTRANGE(""https://docs.google.com/spreadsheets/d/1BJSV3WBYJGRhQ6zExamkszQ"&amp;"5VutGIcaQqmbD9ZTVXMQ/edit#gid=1251630045"",""articles_with_PRISMA_reasons!B2:B2113""))"),2014.0)</f>
        <v>2014</v>
      </c>
      <c r="D1349" s="5" t="str">
        <f>IFERROR(__xludf.DUMMYFUNCTION("IFS(AND(
FILTER(IMPORTRANGE(""https://docs.google.com/spreadsheets/d/1BJSV3WBYJGRhQ6zExamkszQ5VutGIcaQqmbD9ZTVXMQ/edit#gid=1251630045"",""articles_with_PRISMA_reasons!Y2:Y2113""), $A1349=IMPORTRANGE(""https://docs.google.com/spreadsheets/d/1BJSV3WBYJGRhQ6"&amp;"zExamkszQ5VutGIcaQqmbD9ZTVXMQ/edit#gid=1251630045"",""articles_with_PRISMA_reasons!B2:B2113""))&gt;=2,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$A1349=IMPORTRANGE(""https://docs.google.com/spreadsheets/d/1BJSV3WBYJGRhQ6zExamkszQ5VutGIcaQqmbD9ZTVXMQ/edit#gid=1251630045"",""articles_with_PRISMA_reasons!B2:B2113""))&lt;2),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$A1349=IMPORTRANGE(""https://docs.google.com/spreadsheets/d/1BJSV3WBYJGRhQ6zExamkszQ5VutGIcaQqmbD9ZTVXMQ/edit#gid=1251630045"",""a"&amp;"rticles_with_PRISMA_reasons!B2:B2113""))&lt;2,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$A1349=IMPORTRANGE(""https://docs.google"&amp;".com/spreadsheets/d/1BJSV3WBYJGRhQ6zExamkszQ5VutGIcaQqmbD9ZTVXMQ/edit#gid=1251630045"",""articles_with_PRISMA_reasons!B2:B2113""))&gt;=2),
""Exclude""
)"),"Exclude")</f>
        <v>Exclude</v>
      </c>
      <c r="E1349" s="5" t="str">
        <f>IFERROR(__xludf.DUMMYFUNCTION("IFS(
D1349=""Exclude"",""Exclude"",
AND(
FILTER(IMPORTRANGE(""https://docs.google.com/spreadsheets/d/1qpEmbGH0JjaJbUdp21-y2cPbobDbMjr09BbtdKROZWc/edit#gid=1444865654"",""articles_with_PRISMA_reasons!W2:W2113""), $A1349=IMPORTRANGE(""https://docs.google.co"&amp;"m/spreadsheets/d/1qpEmbGH0JjaJbUdp21-y2cPbobDbMjr09BbtdKROZWc/edit#gid=1444865654"",""articles_with_PRISMA_reasons!B2:B2113""))&gt;=2,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$A1349=IMPORTRANGE(""https://docs.google.com/spreadsheets/d/1qpEmbGH0JjaJbUdp21-y2cPbobDbMjr09BbtdKROZWc/edit#gid=1444865654"",""articles_with_PRISMA_reasons!B2:B2113""))&lt;2),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$A1349=IMPORTRANGE(""https://docs.google.com/spreadsheets/d/1qpEmbGH0JjaJbUdp21-y2cPbobDbMjr09Bbtd"&amp;"KROZWc/edit#gid=1444865654"",""articles_with_PRISMA_reasons!B2:B2113""))&lt;2,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$A1349=I"&amp;"MPORTRANGE(""https://docs.google.com/spreadsheets/d/1qpEmbGH0JjaJbUdp21-y2cPbobDbMjr09BbtdKROZWc/edit#gid=1444865654"",""articles_with_PRISMA_reasons!B2:B2113""))&gt;=2),
""Exclude""
)"),"Exclude")</f>
        <v>Exclude</v>
      </c>
      <c r="F1349" s="5" t="str">
        <f>IFERROR(__xludf.DUMMYFUNCTION("IFS(
E1349=""Exclude"",""Exclude"",
AND(
COUNTIF(
IMPORTRANGE(""https://docs.google.com/spreadsheets/d/1kGrh75X1cNR1D7_FcY9zMnHP8iPO4M5RCRjy6nZY0TY/edit#gid=0"",""Table 1: Study characteristics!B4:B171""),A1349)&gt;0,
COUNTIF(Studies!$A$2:$A$85,FILTER(IMPORT"&amp;"RANGE(""https://docs.google.com/spreadsheets/d/1kGrh75X1cNR1D7_FcY9zMnHP8iPO4M5RCRjy6nZY0TY/edit#gid=0"",""Table 1: Study characteristics!A4:A171""), $A1349=IMPORTRANGE(""https://docs.google.com/spreadsheets/d/1kGrh75X1cNR1D7_FcY9zMnHP8iPO4M5RCRjy6nZY0TY/"&amp;"edit#gid=0"",""Table 1: Study characteristics!B4:B171"")))&gt;0
),
""Include""
)"),"Exclude")</f>
        <v>Exclude</v>
      </c>
      <c r="G1349" s="5" t="str">
        <f>IFERROR(__xludf.DUMMYFUNCTION("IFS(
D1349=""Exclude"",
FILTER(IMPORTRANGE(""https://docs.google.com/spreadsheets/d/1BJSV3WBYJGRhQ6zExamkszQ5VutGIcaQqmbD9ZTVXMQ/edit#gid=1251630045"",""articles_with_PRISMA_reasons!AB2:AB2113""), $A1349=IMPORTRANGE(""https://docs.google.com/spreadsheets/"&amp;"d/1BJSV3WBYJGRhQ6zExamkszQ5VutGIcaQqmbD9ZTVXMQ/edit#gid=1251630045"",""articles_with_PRISMA_reasons!B2:B2113"")),
E1349=""Exclude"",
FILTER(IMPORTRANGE(""https://docs.google.com/spreadsheets/d/1qpEmbGH0JjaJbUdp21-y2cPbobDbMjr09BbtdKROZWc/edit#gid=14448656"&amp;"54"",""articles_with_PRISMA_reasons!Z2:Z2113""), $A1349=IMPORTRANGE(""https://docs.google.com/spreadsheets/d/1qpEmbGH0JjaJbUdp21-y2cPbobDbMjr09BbtdKROZWc/edit#gid=1444865654"",""articles_with_PRISMA_reasons!B2:B2113"")),F1349
=""Include"",FILTER(IMPORTRAN"&amp;"GE(""https://docs.google.com/spreadsheets/d/1kGrh75X1cNR1D7_FcY9zMnHP8iPO4M5RCRjy6nZY0TY/edit#gid=0"",""Table 1: Study characteristics!A4:A171""), $A1349=IMPORTRANGE(""https://docs.google.com/spreadsheets/d/1kGrh75X1cNR1D7_FcY9zMnHP8iPO4M5RCRjy6nZY0TY/edi"&amp;"t#gid=0"",""Table 1: Study characteristics!B4:B171""))
)"),"Duplicate")</f>
        <v>Duplicate</v>
      </c>
    </row>
    <row r="1350">
      <c r="A1350" s="4" t="str">
        <f>IFERROR(__xludf.DUMMYFUNCTION("""COMPUTED_VALUE"""),"Observation of continuous spike-waves during slow sleep in children with myelomeningocele")</f>
        <v>Observation of continuous spike-waves during slow sleep in children with myelomeningocele</v>
      </c>
      <c r="B1350" s="5" t="str">
        <f>IFERROR(__xludf.DUMMYFUNCTION("LEFT(FILTER(IMPORTRANGE(""https://docs.google.com/spreadsheets/d/1BJSV3WBYJGRhQ6zExamkszQ5VutGIcaQqmbD9ZTVXMQ/edit#gid=1251630045"",""articles_with_PRISMA_reasons!K2:K2113""), $A1350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$A1350=IMPORTRANGE(""https://docs.google.com/spreadsheets/d/1BJSV3WBYJGRhQ6zExamkszQ5VutGIcaQqmbD9ZTVXMQ/edit#gid=1251630045"",""articles_with_PRISMA_reasons!B2:B2113"")))-1)"),"Battaglia")</f>
        <v>Battaglia</v>
      </c>
      <c r="C1350" s="6">
        <f>IFERROR(__xludf.DUMMYFUNCTION("FILTER(IMPORTRANGE(""https://docs.google.com/spreadsheets/d/1BJSV3WBYJGRhQ6zExamkszQ5VutGIcaQqmbD9ZTVXMQ/edit#gid=1251630045"",""articles_with_PRISMA_reasons!C2:C2113""), $A1350=IMPORTRANGE(""https://docs.google.com/spreadsheets/d/1BJSV3WBYJGRhQ6zExamkszQ"&amp;"5VutGIcaQqmbD9ZTVXMQ/edit#gid=1251630045"",""articles_with_PRISMA_reasons!B2:B2113""))"),2004.0)</f>
        <v>2004</v>
      </c>
      <c r="D1350" s="5" t="str">
        <f>IFERROR(__xludf.DUMMYFUNCTION("IFS(AND(
FILTER(IMPORTRANGE(""https://docs.google.com/spreadsheets/d/1BJSV3WBYJGRhQ6zExamkszQ5VutGIcaQqmbD9ZTVXMQ/edit#gid=1251630045"",""articles_with_PRISMA_reasons!Y2:Y2113""), $A1350=IMPORTRANGE(""https://docs.google.com/spreadsheets/d/1BJSV3WBYJGRhQ6"&amp;"zExamkszQ5VutGIcaQqmbD9ZTVXMQ/edit#gid=1251630045"",""articles_with_PRISMA_reasons!B2:B2113""))&gt;=2,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$A1350=IMPORTRANGE(""https://docs.google.com/spreadsheets/d/1BJSV3WBYJGRhQ6zExamkszQ5VutGIcaQqmbD9ZTVXMQ/edit#gid=1251630045"",""articles_with_PRISMA_reasons!B2:B2113""))&lt;2),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$A1350=IMPORTRANGE(""https://docs.google.com/spreadsheets/d/1BJSV3WBYJGRhQ6zExamkszQ5VutGIcaQqmbD9ZTVXMQ/edit#gid=1251630045"",""a"&amp;"rticles_with_PRISMA_reasons!B2:B2113""))&lt;2,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$A1350=IMPORTRANGE(""https://docs.google"&amp;".com/spreadsheets/d/1BJSV3WBYJGRhQ6zExamkszQ5VutGIcaQqmbD9ZTVXMQ/edit#gid=1251630045"",""articles_with_PRISMA_reasons!B2:B2113""))&gt;=2),
""Exclude""
)"),"Exclude")</f>
        <v>Exclude</v>
      </c>
      <c r="E1350" s="5" t="str">
        <f>IFERROR(__xludf.DUMMYFUNCTION("IFS(
D1350=""Exclude"",""Exclude"",
AND(
FILTER(IMPORTRANGE(""https://docs.google.com/spreadsheets/d/1qpEmbGH0JjaJbUdp21-y2cPbobDbMjr09BbtdKROZWc/edit#gid=1444865654"",""articles_with_PRISMA_reasons!W2:W2113""), $A1350=IMPORTRANGE(""https://docs.google.co"&amp;"m/spreadsheets/d/1qpEmbGH0JjaJbUdp21-y2cPbobDbMjr09BbtdKROZWc/edit#gid=1444865654"",""articles_with_PRISMA_reasons!B2:B2113""))&gt;=2,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$A1350=IMPORTRANGE(""https://docs.google.com/spreadsheets/d/1qpEmbGH0JjaJbUdp21-y2cPbobDbMjr09BbtdKROZWc/edit#gid=1444865654"",""articles_with_PRISMA_reasons!B2:B2113""))&lt;2),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$A1350=IMPORTRANGE(""https://docs.google.com/spreadsheets/d/1qpEmbGH0JjaJbUdp21-y2cPbobDbMjr09Bbtd"&amp;"KROZWc/edit#gid=1444865654"",""articles_with_PRISMA_reasons!B2:B2113""))&lt;2,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$A1350=I"&amp;"MPORTRANGE(""https://docs.google.com/spreadsheets/d/1qpEmbGH0JjaJbUdp21-y2cPbobDbMjr09BbtdKROZWc/edit#gid=1444865654"",""articles_with_PRISMA_reasons!B2:B2113""))&gt;=2),
""Exclude""
)"),"Exclude")</f>
        <v>Exclude</v>
      </c>
      <c r="F1350" s="5" t="str">
        <f>IFERROR(__xludf.DUMMYFUNCTION("IFS(
E1350=""Exclude"",""Exclude"",
AND(
COUNTIF(
IMPORTRANGE(""https://docs.google.com/spreadsheets/d/1kGrh75X1cNR1D7_FcY9zMnHP8iPO4M5RCRjy6nZY0TY/edit#gid=0"",""Table 1: Study characteristics!B4:B171""),A1350)&gt;0,
COUNTIF(Studies!$A$2:$A$85,FILTER(IMPORT"&amp;"RANGE(""https://docs.google.com/spreadsheets/d/1kGrh75X1cNR1D7_FcY9zMnHP8iPO4M5RCRjy6nZY0TY/edit#gid=0"",""Table 1: Study characteristics!A4:A171""), $A1350=IMPORTRANGE(""https://docs.google.com/spreadsheets/d/1kGrh75X1cNR1D7_FcY9zMnHP8iPO4M5RCRjy6nZY0TY/"&amp;"edit#gid=0"",""Table 1: Study characteristics!B4:B171"")))&gt;0
),
""Include""
)"),"Exclude")</f>
        <v>Exclude</v>
      </c>
      <c r="G1350" s="5" t="str">
        <f>IFERROR(__xludf.DUMMYFUNCTION("IFS(
D1350=""Exclude"",
FILTER(IMPORTRANGE(""https://docs.google.com/spreadsheets/d/1BJSV3WBYJGRhQ6zExamkszQ5VutGIcaQqmbD9ZTVXMQ/edit#gid=1251630045"",""articles_with_PRISMA_reasons!AB2:AB2113""), $A1350=IMPORTRANGE(""https://docs.google.com/spreadsheets/"&amp;"d/1BJSV3WBYJGRhQ6zExamkszQ5VutGIcaQqmbD9ZTVXMQ/edit#gid=1251630045"",""articles_with_PRISMA_reasons!B2:B2113"")),
E1350=""Exclude"",
FILTER(IMPORTRANGE(""https://docs.google.com/spreadsheets/d/1qpEmbGH0JjaJbUdp21-y2cPbobDbMjr09BbtdKROZWc/edit#gid=14448656"&amp;"54"",""articles_with_PRISMA_reasons!Z2:Z2113""), $A1350=IMPORTRANGE(""https://docs.google.com/spreadsheets/d/1qpEmbGH0JjaJbUdp21-y2cPbobDbMjr09BbtdKROZWc/edit#gid=1444865654"",""articles_with_PRISMA_reasons!B2:B2113"")),F1350
=""Include"",FILTER(IMPORTRAN"&amp;"GE(""https://docs.google.com/spreadsheets/d/1kGrh75X1cNR1D7_FcY9zMnHP8iPO4M5RCRjy6nZY0TY/edit#gid=0"",""Table 1: Study characteristics!A4:A171""), $A1350=IMPORTRANGE(""https://docs.google.com/spreadsheets/d/1kGrh75X1cNR1D7_FcY9zMnHP8iPO4M5RCRjy6nZY0TY/edi"&amp;"t#gid=0"",""Table 1: Study characteristics!B4:B171""))
)"),"wrong study design")</f>
        <v>wrong study design</v>
      </c>
    </row>
    <row r="1351">
      <c r="A1351" s="4" t="str">
        <f>IFERROR(__xludf.DUMMYFUNCTION("""COMPUTED_VALUE"""),"Observations on spinal dysraphism")</f>
        <v>Observations on spinal dysraphism</v>
      </c>
      <c r="B1351" s="5" t="str">
        <f>IFERROR(__xludf.DUMMYFUNCTION("LEFT(FILTER(IMPORTRANGE(""https://docs.google.com/spreadsheets/d/1BJSV3WBYJGRhQ6zExamkszQ5VutGIcaQqmbD9ZTVXMQ/edit#gid=1251630045"",""articles_with_PRISMA_reasons!K2:K2113""), $A1351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$A1351=IMPORTRANGE(""https://docs.google.com/spreadsheets/d/1BJSV3WBYJGRhQ6zExamkszQ5VutGIcaQqmbD9ZTVXMQ/edit#gid=1251630045"",""articles_with_PRISMA_reasons!B2:B2113"")))-1)"),"Tripathy")</f>
        <v>Tripathy</v>
      </c>
      <c r="C1351" s="6" t="str">
        <f>IFERROR(__xludf.DUMMYFUNCTION("FILTER(IMPORTRANGE(""https://docs.google.com/spreadsheets/d/1BJSV3WBYJGRhQ6zExamkszQ5VutGIcaQqmbD9ZTVXMQ/edit#gid=1251630045"",""articles_with_PRISMA_reasons!C2:C2113""), $A1351=IMPORTRANGE(""https://docs.google.com/spreadsheets/d/1BJSV3WBYJGRhQ6zExamkszQ"&amp;"5VutGIcaQqmbD9ZTVXMQ/edit#gid=1251630045"",""articles_with_PRISMA_reasons!B2:B2113""))"),"Mar")</f>
        <v>Mar</v>
      </c>
      <c r="D1351" s="5" t="str">
        <f>IFERROR(__xludf.DUMMYFUNCTION("IFS(AND(
FILTER(IMPORTRANGE(""https://docs.google.com/spreadsheets/d/1BJSV3WBYJGRhQ6zExamkszQ5VutGIcaQqmbD9ZTVXMQ/edit#gid=1251630045"",""articles_with_PRISMA_reasons!Y2:Y2113""), $A1351=IMPORTRANGE(""https://docs.google.com/spreadsheets/d/1BJSV3WBYJGRhQ6"&amp;"zExamkszQ5VutGIcaQqmbD9ZTVXMQ/edit#gid=1251630045"",""articles_with_PRISMA_reasons!B2:B2113""))&gt;=2,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$A1351=IMPORTRANGE(""https://docs.google.com/spreadsheets/d/1BJSV3WBYJGRhQ6zExamkszQ5VutGIcaQqmbD9ZTVXMQ/edit#gid=1251630045"",""articles_with_PRISMA_reasons!B2:B2113""))&lt;2),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$A1351=IMPORTRANGE(""https://docs.google.com/spreadsheets/d/1BJSV3WBYJGRhQ6zExamkszQ5VutGIcaQqmbD9ZTVXMQ/edit#gid=1251630045"",""a"&amp;"rticles_with_PRISMA_reasons!B2:B2113""))&lt;2,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$A1351=IMPORTRANGE(""https://docs.google"&amp;".com/spreadsheets/d/1BJSV3WBYJGRhQ6zExamkszQ5VutGIcaQqmbD9ZTVXMQ/edit#gid=1251630045"",""articles_with_PRISMA_reasons!B2:B2113""))&gt;=2),
""Exclude""
)"),"Exclude")</f>
        <v>Exclude</v>
      </c>
      <c r="E1351" s="5" t="str">
        <f>IFERROR(__xludf.DUMMYFUNCTION("IFS(
D1351=""Exclude"",""Exclude"",
AND(
FILTER(IMPORTRANGE(""https://docs.google.com/spreadsheets/d/1qpEmbGH0JjaJbUdp21-y2cPbobDbMjr09BbtdKROZWc/edit#gid=1444865654"",""articles_with_PRISMA_reasons!W2:W2113""), $A1351=IMPORTRANGE(""https://docs.google.co"&amp;"m/spreadsheets/d/1qpEmbGH0JjaJbUdp21-y2cPbobDbMjr09BbtdKROZWc/edit#gid=1444865654"",""articles_with_PRISMA_reasons!B2:B2113""))&gt;=2,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$A1351=IMPORTRANGE(""https://docs.google.com/spreadsheets/d/1qpEmbGH0JjaJbUdp21-y2cPbobDbMjr09BbtdKROZWc/edit#gid=1444865654"",""articles_with_PRISMA_reasons!B2:B2113""))&lt;2),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$A1351=IMPORTRANGE(""https://docs.google.com/spreadsheets/d/1qpEmbGH0JjaJbUdp21-y2cPbobDbMjr09Bbtd"&amp;"KROZWc/edit#gid=1444865654"",""articles_with_PRISMA_reasons!B2:B2113""))&lt;2,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$A1351=I"&amp;"MPORTRANGE(""https://docs.google.com/spreadsheets/d/1qpEmbGH0JjaJbUdp21-y2cPbobDbMjr09BbtdKROZWc/edit#gid=1444865654"",""articles_with_PRISMA_reasons!B2:B2113""))&gt;=2),
""Exclude""
)"),"Exclude")</f>
        <v>Exclude</v>
      </c>
      <c r="F1351" s="5" t="str">
        <f>IFERROR(__xludf.DUMMYFUNCTION("IFS(
E1351=""Exclude"",""Exclude"",
AND(
COUNTIF(
IMPORTRANGE(""https://docs.google.com/spreadsheets/d/1kGrh75X1cNR1D7_FcY9zMnHP8iPO4M5RCRjy6nZY0TY/edit#gid=0"",""Table 1: Study characteristics!B4:B171""),A1351)&gt;0,
COUNTIF(Studies!$A$2:$A$85,FILTER(IMPORT"&amp;"RANGE(""https://docs.google.com/spreadsheets/d/1kGrh75X1cNR1D7_FcY9zMnHP8iPO4M5RCRjy6nZY0TY/edit#gid=0"",""Table 1: Study characteristics!A4:A171""), $A1351=IMPORTRANGE(""https://docs.google.com/spreadsheets/d/1kGrh75X1cNR1D7_FcY9zMnHP8iPO4M5RCRjy6nZY0TY/"&amp;"edit#gid=0"",""Table 1: Study characteristics!B4:B171"")))&gt;0
),
""Include""
)"),"Exclude")</f>
        <v>Exclude</v>
      </c>
      <c r="G1351" s="5" t="str">
        <f>IFERROR(__xludf.DUMMYFUNCTION("IFS(
D1351=""Exclude"",
FILTER(IMPORTRANGE(""https://docs.google.com/spreadsheets/d/1BJSV3WBYJGRhQ6zExamkszQ5VutGIcaQqmbD9ZTVXMQ/edit#gid=1251630045"",""articles_with_PRISMA_reasons!AB2:AB2113""), $A1351=IMPORTRANGE(""https://docs.google.com/spreadsheets/"&amp;"d/1BJSV3WBYJGRhQ6zExamkszQ5VutGIcaQqmbD9ZTVXMQ/edit#gid=1251630045"",""articles_with_PRISMA_reasons!B2:B2113"")),
E1351=""Exclude"",
FILTER(IMPORTRANGE(""https://docs.google.com/spreadsheets/d/1qpEmbGH0JjaJbUdp21-y2cPbobDbMjr09BbtdKROZWc/edit#gid=14448656"&amp;"54"",""articles_with_PRISMA_reasons!Z2:Z2113""), $A1351=IMPORTRANGE(""https://docs.google.com/spreadsheets/d/1qpEmbGH0JjaJbUdp21-y2cPbobDbMjr09BbtdKROZWc/edit#gid=1444865654"",""articles_with_PRISMA_reasons!B2:B2113"")),F1351
=""Include"",FILTER(IMPORTRAN"&amp;"GE(""https://docs.google.com/spreadsheets/d/1kGrh75X1cNR1D7_FcY9zMnHP8iPO4M5RCRjy6nZY0TY/edit#gid=0"",""Table 1: Study characteristics!A4:A171""), $A1351=IMPORTRANGE(""https://docs.google.com/spreadsheets/d/1kGrh75X1cNR1D7_FcY9zMnHP8iPO4M5RCRjy6nZY0TY/edi"&amp;"t#gid=0"",""Table 1: Study characteristics!B4:B171""))
)"),"background article")</f>
        <v>background article</v>
      </c>
    </row>
    <row r="1352">
      <c r="A1352" s="4" t="str">
        <f>IFERROR(__xludf.DUMMYFUNCTION("""COMPUTED_VALUE"""),"Obstructive sleep apnea in Arnold-Chiari malformation treated with acetazolamide")</f>
        <v>Obstructive sleep apnea in Arnold-Chiari malformation treated with acetazolamide</v>
      </c>
      <c r="B1352" s="5" t="str">
        <f>IFERROR(__xludf.DUMMYFUNCTION("LEFT(FILTER(IMPORTRANGE(""https://docs.google.com/spreadsheets/d/1BJSV3WBYJGRhQ6zExamkszQ5VutGIcaQqmbD9ZTVXMQ/edit#gid=1251630045"",""articles_with_PRISMA_reasons!K2:K2113""), $A1352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$A1352=IMPORTRANGE(""https://docs.google.com/spreadsheets/d/1BJSV3WBYJGRhQ6zExamkszQ5VutGIcaQqmbD9ZTVXMQ/edit#gid=1251630045"",""articles_with_PRISMA_reasons!B2:B2113"")))-1)"),"Milerad")</f>
        <v>Milerad</v>
      </c>
      <c r="C1352" s="6">
        <f>IFERROR(__xludf.DUMMYFUNCTION("FILTER(IMPORTRANGE(""https://docs.google.com/spreadsheets/d/1BJSV3WBYJGRhQ6zExamkszQ5VutGIcaQqmbD9ZTVXMQ/edit#gid=1251630045"",""articles_with_PRISMA_reasons!C2:C2113""), $A1352=IMPORTRANGE(""https://docs.google.com/spreadsheets/d/1BJSV3WBYJGRhQ6zExamkszQ"&amp;"5VutGIcaQqmbD9ZTVXMQ/edit#gid=1251630045"",""articles_with_PRISMA_reasons!B2:B2113""))"),1992.0)</f>
        <v>1992</v>
      </c>
      <c r="D1352" s="5" t="str">
        <f>IFERROR(__xludf.DUMMYFUNCTION("IFS(AND(
FILTER(IMPORTRANGE(""https://docs.google.com/spreadsheets/d/1BJSV3WBYJGRhQ6zExamkszQ5VutGIcaQqmbD9ZTVXMQ/edit#gid=1251630045"",""articles_with_PRISMA_reasons!Y2:Y2113""), $A1352=IMPORTRANGE(""https://docs.google.com/spreadsheets/d/1BJSV3WBYJGRhQ6"&amp;"zExamkszQ5VutGIcaQqmbD9ZTVXMQ/edit#gid=1251630045"",""articles_with_PRISMA_reasons!B2:B2113""))&gt;=2,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$A1352=IMPORTRANGE(""https://docs.google.com/spreadsheets/d/1BJSV3WBYJGRhQ6zExamkszQ5VutGIcaQqmbD9ZTVXMQ/edit#gid=1251630045"",""articles_with_PRISMA_reasons!B2:B2113""))&lt;2),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$A1352=IMPORTRANGE(""https://docs.google.com/spreadsheets/d/1BJSV3WBYJGRhQ6zExamkszQ5VutGIcaQqmbD9ZTVXMQ/edit#gid=1251630045"",""a"&amp;"rticles_with_PRISMA_reasons!B2:B2113""))&lt;2,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$A1352=IMPORTRANGE(""https://docs.google"&amp;".com/spreadsheets/d/1BJSV3WBYJGRhQ6zExamkszQ5VutGIcaQqmbD9ZTVXMQ/edit#gid=1251630045"",""articles_with_PRISMA_reasons!B2:B2113""))&gt;=2),
""Exclude""
)"),"Exclude")</f>
        <v>Exclude</v>
      </c>
      <c r="E1352" s="5" t="str">
        <f>IFERROR(__xludf.DUMMYFUNCTION("IFS(
D1352=""Exclude"",""Exclude"",
AND(
FILTER(IMPORTRANGE(""https://docs.google.com/spreadsheets/d/1qpEmbGH0JjaJbUdp21-y2cPbobDbMjr09BbtdKROZWc/edit#gid=1444865654"",""articles_with_PRISMA_reasons!W2:W2113""), $A1352=IMPORTRANGE(""https://docs.google.co"&amp;"m/spreadsheets/d/1qpEmbGH0JjaJbUdp21-y2cPbobDbMjr09BbtdKROZWc/edit#gid=1444865654"",""articles_with_PRISMA_reasons!B2:B2113""))&gt;=2,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$A1352=IMPORTRANGE(""https://docs.google.com/spreadsheets/d/1qpEmbGH0JjaJbUdp21-y2cPbobDbMjr09BbtdKROZWc/edit#gid=1444865654"",""articles_with_PRISMA_reasons!B2:B2113""))&lt;2),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$A1352=IMPORTRANGE(""https://docs.google.com/spreadsheets/d/1qpEmbGH0JjaJbUdp21-y2cPbobDbMjr09Bbtd"&amp;"KROZWc/edit#gid=1444865654"",""articles_with_PRISMA_reasons!B2:B2113""))&lt;2,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$A1352=I"&amp;"MPORTRANGE(""https://docs.google.com/spreadsheets/d/1qpEmbGH0JjaJbUdp21-y2cPbobDbMjr09BbtdKROZWc/edit#gid=1444865654"",""articles_with_PRISMA_reasons!B2:B2113""))&gt;=2),
""Exclude""
)"),"Exclude")</f>
        <v>Exclude</v>
      </c>
      <c r="F1352" s="5" t="str">
        <f>IFERROR(__xludf.DUMMYFUNCTION("IFS(
E1352=""Exclude"",""Exclude"",
AND(
COUNTIF(
IMPORTRANGE(""https://docs.google.com/spreadsheets/d/1kGrh75X1cNR1D7_FcY9zMnHP8iPO4M5RCRjy6nZY0TY/edit#gid=0"",""Table 1: Study characteristics!B4:B171""),A1352)&gt;0,
COUNTIF(Studies!$A$2:$A$85,FILTER(IMPORT"&amp;"RANGE(""https://docs.google.com/spreadsheets/d/1kGrh75X1cNR1D7_FcY9zMnHP8iPO4M5RCRjy6nZY0TY/edit#gid=0"",""Table 1: Study characteristics!A4:A171""), $A1352=IMPORTRANGE(""https://docs.google.com/spreadsheets/d/1kGrh75X1cNR1D7_FcY9zMnHP8iPO4M5RCRjy6nZY0TY/"&amp;"edit#gid=0"",""Table 1: Study characteristics!B4:B171"")))&gt;0
),
""Include""
)"),"Exclude")</f>
        <v>Exclude</v>
      </c>
      <c r="G1352" s="5" t="str">
        <f>IFERROR(__xludf.DUMMYFUNCTION("IFS(
D1352=""Exclude"",
FILTER(IMPORTRANGE(""https://docs.google.com/spreadsheets/d/1BJSV3WBYJGRhQ6zExamkszQ5VutGIcaQqmbD9ZTVXMQ/edit#gid=1251630045"",""articles_with_PRISMA_reasons!AB2:AB2113""), $A1352=IMPORTRANGE(""https://docs.google.com/spreadsheets/"&amp;"d/1BJSV3WBYJGRhQ6zExamkszQ5VutGIcaQqmbD9ZTVXMQ/edit#gid=1251630045"",""articles_with_PRISMA_reasons!B2:B2113"")),
E1352=""Exclude"",
FILTER(IMPORTRANGE(""https://docs.google.com/spreadsheets/d/1qpEmbGH0JjaJbUdp21-y2cPbobDbMjr09BbtdKROZWc/edit#gid=14448656"&amp;"54"",""articles_with_PRISMA_reasons!Z2:Z2113""), $A1352=IMPORTRANGE(""https://docs.google.com/spreadsheets/d/1qpEmbGH0JjaJbUdp21-y2cPbobDbMjr09BbtdKROZWc/edit#gid=1444865654"",""articles_with_PRISMA_reasons!B2:B2113"")),F1352
=""Include"",FILTER(IMPORTRAN"&amp;"GE(""https://docs.google.com/spreadsheets/d/1kGrh75X1cNR1D7_FcY9zMnHP8iPO4M5RCRjy6nZY0TY/edit#gid=0"",""Table 1: Study characteristics!A4:A171""), $A1352=IMPORTRANGE(""https://docs.google.com/spreadsheets/d/1kGrh75X1cNR1D7_FcY9zMnHP8iPO4M5RCRjy6nZY0TY/edi"&amp;"t#gid=0"",""Table 1: Study characteristics!B4:B171""))
)"),"Duplicate")</f>
        <v>Duplicate</v>
      </c>
    </row>
    <row r="1353">
      <c r="A1353" s="4" t="str">
        <f>IFERROR(__xludf.DUMMYFUNCTION("""COMPUTED_VALUE"""),"Obstructive sleep apnea leading to increased intracranial pressure in a patient with hydrocephalus and syringomyelia")</f>
        <v>Obstructive sleep apnea leading to increased intracranial pressure in a patient with hydrocephalus and syringomyelia</v>
      </c>
      <c r="B1353" s="5" t="str">
        <f>IFERROR(__xludf.DUMMYFUNCTION("LEFT(FILTER(IMPORTRANGE(""https://docs.google.com/spreadsheets/d/1BJSV3WBYJGRhQ6zExamkszQ5VutGIcaQqmbD9ZTVXMQ/edit#gid=1251630045"",""articles_with_PRISMA_reasons!K2:K2113""), $A1353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$A1353=IMPORTRANGE(""https://docs.google.com/spreadsheets/d/1BJSV3WBYJGRhQ6zExamkszQ5VutGIcaQqmbD9ZTVXMQ/edit#gid=1251630045"",""articles_with_PRISMA_reasons!B2:B2113"")))-1)"),"Pasterkamp")</f>
        <v>Pasterkamp</v>
      </c>
      <c r="C1353" s="6">
        <f>IFERROR(__xludf.DUMMYFUNCTION("FILTER(IMPORTRANGE(""https://docs.google.com/spreadsheets/d/1BJSV3WBYJGRhQ6zExamkszQ5VutGIcaQqmbD9ZTVXMQ/edit#gid=1251630045"",""articles_with_PRISMA_reasons!C2:C2113""), $A1353=IMPORTRANGE(""https://docs.google.com/spreadsheets/d/1BJSV3WBYJGRhQ6zExamkszQ"&amp;"5VutGIcaQqmbD9ZTVXMQ/edit#gid=1251630045"",""articles_with_PRISMA_reasons!B2:B2113""))"),1989.0)</f>
        <v>1989</v>
      </c>
      <c r="D1353" s="5" t="str">
        <f>IFERROR(__xludf.DUMMYFUNCTION("IFS(AND(
FILTER(IMPORTRANGE(""https://docs.google.com/spreadsheets/d/1BJSV3WBYJGRhQ6zExamkszQ5VutGIcaQqmbD9ZTVXMQ/edit#gid=1251630045"",""articles_with_PRISMA_reasons!Y2:Y2113""), $A1353=IMPORTRANGE(""https://docs.google.com/spreadsheets/d/1BJSV3WBYJGRhQ6"&amp;"zExamkszQ5VutGIcaQqmbD9ZTVXMQ/edit#gid=1251630045"",""articles_with_PRISMA_reasons!B2:B2113""))&gt;=2,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$A1353=IMPORTRANGE(""https://docs.google.com/spreadsheets/d/1BJSV3WBYJGRhQ6zExamkszQ5VutGIcaQqmbD9ZTVXMQ/edit#gid=1251630045"",""articles_with_PRISMA_reasons!B2:B2113""))&lt;2),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$A1353=IMPORTRANGE(""https://docs.google.com/spreadsheets/d/1BJSV3WBYJGRhQ6zExamkszQ5VutGIcaQqmbD9ZTVXMQ/edit#gid=1251630045"",""a"&amp;"rticles_with_PRISMA_reasons!B2:B2113""))&lt;2,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$A1353=IMPORTRANGE(""https://docs.google"&amp;".com/spreadsheets/d/1BJSV3WBYJGRhQ6zExamkszQ5VutGIcaQqmbD9ZTVXMQ/edit#gid=1251630045"",""articles_with_PRISMA_reasons!B2:B2113""))&gt;=2),
""Exclude""
)"),"Exclude")</f>
        <v>Exclude</v>
      </c>
      <c r="E1353" s="5" t="str">
        <f>IFERROR(__xludf.DUMMYFUNCTION("IFS(
D1353=""Exclude"",""Exclude"",
AND(
FILTER(IMPORTRANGE(""https://docs.google.com/spreadsheets/d/1qpEmbGH0JjaJbUdp21-y2cPbobDbMjr09BbtdKROZWc/edit#gid=1444865654"",""articles_with_PRISMA_reasons!W2:W2113""), $A1353=IMPORTRANGE(""https://docs.google.co"&amp;"m/spreadsheets/d/1qpEmbGH0JjaJbUdp21-y2cPbobDbMjr09BbtdKROZWc/edit#gid=1444865654"",""articles_with_PRISMA_reasons!B2:B2113""))&gt;=2,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$A1353=IMPORTRANGE(""https://docs.google.com/spreadsheets/d/1qpEmbGH0JjaJbUdp21-y2cPbobDbMjr09BbtdKROZWc/edit#gid=1444865654"",""articles_with_PRISMA_reasons!B2:B2113""))&lt;2),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$A1353=IMPORTRANGE(""https://docs.google.com/spreadsheets/d/1qpEmbGH0JjaJbUdp21-y2cPbobDbMjr09Bbtd"&amp;"KROZWc/edit#gid=1444865654"",""articles_with_PRISMA_reasons!B2:B2113""))&lt;2,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$A1353=I"&amp;"MPORTRANGE(""https://docs.google.com/spreadsheets/d/1qpEmbGH0JjaJbUdp21-y2cPbobDbMjr09BbtdKROZWc/edit#gid=1444865654"",""articles_with_PRISMA_reasons!B2:B2113""))&gt;=2),
""Exclude""
)"),"Exclude")</f>
        <v>Exclude</v>
      </c>
      <c r="F1353" s="5" t="str">
        <f>IFERROR(__xludf.DUMMYFUNCTION("IFS(
E1353=""Exclude"",""Exclude"",
AND(
COUNTIF(
IMPORTRANGE(""https://docs.google.com/spreadsheets/d/1kGrh75X1cNR1D7_FcY9zMnHP8iPO4M5RCRjy6nZY0TY/edit#gid=0"",""Table 1: Study characteristics!B4:B171""),A1353)&gt;0,
COUNTIF(Studies!$A$2:$A$85,FILTER(IMPORT"&amp;"RANGE(""https://docs.google.com/spreadsheets/d/1kGrh75X1cNR1D7_FcY9zMnHP8iPO4M5RCRjy6nZY0TY/edit#gid=0"",""Table 1: Study characteristics!A4:A171""), $A1353=IMPORTRANGE(""https://docs.google.com/spreadsheets/d/1kGrh75X1cNR1D7_FcY9zMnHP8iPO4M5RCRjy6nZY0TY/"&amp;"edit#gid=0"",""Table 1: Study characteristics!B4:B171"")))&gt;0
),
""Include""
)"),"Exclude")</f>
        <v>Exclude</v>
      </c>
      <c r="G1353" s="5" t="str">
        <f>IFERROR(__xludf.DUMMYFUNCTION("IFS(
D1353=""Exclude"",
FILTER(IMPORTRANGE(""https://docs.google.com/spreadsheets/d/1BJSV3WBYJGRhQ6zExamkszQ5VutGIcaQqmbD9ZTVXMQ/edit#gid=1251630045"",""articles_with_PRISMA_reasons!AB2:AB2113""), $A1353=IMPORTRANGE(""https://docs.google.com/spreadsheets/"&amp;"d/1BJSV3WBYJGRhQ6zExamkszQ5VutGIcaQqmbD9ZTVXMQ/edit#gid=1251630045"",""articles_with_PRISMA_reasons!B2:B2113"")),
E1353=""Exclude"",
FILTER(IMPORTRANGE(""https://docs.google.com/spreadsheets/d/1qpEmbGH0JjaJbUdp21-y2cPbobDbMjr09BbtdKROZWc/edit#gid=14448656"&amp;"54"",""articles_with_PRISMA_reasons!Z2:Z2113""), $A1353=IMPORTRANGE(""https://docs.google.com/spreadsheets/d/1qpEmbGH0JjaJbUdp21-y2cPbobDbMjr09BbtdKROZWc/edit#gid=1444865654"",""articles_with_PRISMA_reasons!B2:B2113"")),F1353
=""Include"",FILTER(IMPORTRAN"&amp;"GE(""https://docs.google.com/spreadsheets/d/1kGrh75X1cNR1D7_FcY9zMnHP8iPO4M5RCRjy6nZY0TY/edit#gid=0"",""Table 1: Study characteristics!A4:A171""), $A1353=IMPORTRANGE(""https://docs.google.com/spreadsheets/d/1kGrh75X1cNR1D7_FcY9zMnHP8iPO4M5RCRjy6nZY0TY/edi"&amp;"t#gid=0"",""Table 1: Study characteristics!B4:B171""))
)"),"wrong study design")</f>
        <v>wrong study design</v>
      </c>
    </row>
    <row r="1354">
      <c r="A1354" s="4" t="str">
        <f>IFERROR(__xludf.DUMMYFUNCTION("""COMPUTED_VALUE"""),"Occipital encephalocele: Cause, incidence, neuroimaging and surgical management")</f>
        <v>Occipital encephalocele: Cause, incidence, neuroimaging and surgical management</v>
      </c>
      <c r="B1354" s="5" t="str">
        <f>IFERROR(__xludf.DUMMYFUNCTION("LEFT(FILTER(IMPORTRANGE(""https://docs.google.com/spreadsheets/d/1BJSV3WBYJGRhQ6zExamkszQ5VutGIcaQqmbD9ZTVXMQ/edit#gid=1251630045"",""articles_with_PRISMA_reasons!K2:K2113""), $A1354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$A1354=IMPORTRANGE(""https://docs.google.com/spreadsheets/d/1BJSV3WBYJGRhQ6zExamkszQ5VutGIcaQqmbD9ZTVXMQ/edit#gid=1251630045"",""articles_with_PRISMA_reasons!B2:B2113"")))-1)"),"Markovic")</f>
        <v>Markovic</v>
      </c>
      <c r="C1354" s="6">
        <f>IFERROR(__xludf.DUMMYFUNCTION("FILTER(IMPORTRANGE(""https://docs.google.com/spreadsheets/d/1BJSV3WBYJGRhQ6zExamkszQ5VutGIcaQqmbD9ZTVXMQ/edit#gid=1251630045"",""articles_with_PRISMA_reasons!C2:C2113""), $A1354=IMPORTRANGE(""https://docs.google.com/spreadsheets/d/1BJSV3WBYJGRhQ6zExamkszQ"&amp;"5VutGIcaQqmbD9ZTVXMQ/edit#gid=1251630045"",""articles_with_PRISMA_reasons!B2:B2113""))"),2020.0)</f>
        <v>2020</v>
      </c>
      <c r="D1354" s="5" t="str">
        <f>IFERROR(__xludf.DUMMYFUNCTION("IFS(AND(
FILTER(IMPORTRANGE(""https://docs.google.com/spreadsheets/d/1BJSV3WBYJGRhQ6zExamkszQ5VutGIcaQqmbD9ZTVXMQ/edit#gid=1251630045"",""articles_with_PRISMA_reasons!Y2:Y2113""), $A1354=IMPORTRANGE(""https://docs.google.com/spreadsheets/d/1BJSV3WBYJGRhQ6"&amp;"zExamkszQ5VutGIcaQqmbD9ZTVXMQ/edit#gid=1251630045"",""articles_with_PRISMA_reasons!B2:B2113""))&gt;=2,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$A1354=IMPORTRANGE(""https://docs.google.com/spreadsheets/d/1BJSV3WBYJGRhQ6zExamkszQ5VutGIcaQqmbD9ZTVXMQ/edit#gid=1251630045"",""articles_with_PRISMA_reasons!B2:B2113""))&lt;2),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$A1354=IMPORTRANGE(""https://docs.google.com/spreadsheets/d/1BJSV3WBYJGRhQ6zExamkszQ5VutGIcaQqmbD9ZTVXMQ/edit#gid=1251630045"",""a"&amp;"rticles_with_PRISMA_reasons!B2:B2113""))&lt;2,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$A1354=IMPORTRANGE(""https://docs.google"&amp;".com/spreadsheets/d/1BJSV3WBYJGRhQ6zExamkszQ5VutGIcaQqmbD9ZTVXMQ/edit#gid=1251630045"",""articles_with_PRISMA_reasons!B2:B2113""))&gt;=2),
""Exclude""
)"),"Exclude")</f>
        <v>Exclude</v>
      </c>
      <c r="E1354" s="5" t="str">
        <f>IFERROR(__xludf.DUMMYFUNCTION("IFS(
D1354=""Exclude"",""Exclude"",
AND(
FILTER(IMPORTRANGE(""https://docs.google.com/spreadsheets/d/1qpEmbGH0JjaJbUdp21-y2cPbobDbMjr09BbtdKROZWc/edit#gid=1444865654"",""articles_with_PRISMA_reasons!W2:W2113""), $A1354=IMPORTRANGE(""https://docs.google.co"&amp;"m/spreadsheets/d/1qpEmbGH0JjaJbUdp21-y2cPbobDbMjr09BbtdKROZWc/edit#gid=1444865654"",""articles_with_PRISMA_reasons!B2:B2113""))&gt;=2,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$A1354=IMPORTRANGE(""https://docs.google.com/spreadsheets/d/1qpEmbGH0JjaJbUdp21-y2cPbobDbMjr09BbtdKROZWc/edit#gid=1444865654"",""articles_with_PRISMA_reasons!B2:B2113""))&lt;2),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$A1354=IMPORTRANGE(""https://docs.google.com/spreadsheets/d/1qpEmbGH0JjaJbUdp21-y2cPbobDbMjr09Bbtd"&amp;"KROZWc/edit#gid=1444865654"",""articles_with_PRISMA_reasons!B2:B2113""))&lt;2,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$A1354=I"&amp;"MPORTRANGE(""https://docs.google.com/spreadsheets/d/1qpEmbGH0JjaJbUdp21-y2cPbobDbMjr09BbtdKROZWc/edit#gid=1444865654"",""articles_with_PRISMA_reasons!B2:B2113""))&gt;=2),
""Exclude""
)"),"Exclude")</f>
        <v>Exclude</v>
      </c>
      <c r="F1354" s="5" t="str">
        <f>IFERROR(__xludf.DUMMYFUNCTION("IFS(
E1354=""Exclude"",""Exclude"",
AND(
COUNTIF(
IMPORTRANGE(""https://docs.google.com/spreadsheets/d/1kGrh75X1cNR1D7_FcY9zMnHP8iPO4M5RCRjy6nZY0TY/edit#gid=0"",""Table 1: Study characteristics!B4:B171""),A1354)&gt;0,
COUNTIF(Studies!$A$2:$A$85,FILTER(IMPORT"&amp;"RANGE(""https://docs.google.com/spreadsheets/d/1kGrh75X1cNR1D7_FcY9zMnHP8iPO4M5RCRjy6nZY0TY/edit#gid=0"",""Table 1: Study characteristics!A4:A171""), $A1354=IMPORTRANGE(""https://docs.google.com/spreadsheets/d/1kGrh75X1cNR1D7_FcY9zMnHP8iPO4M5RCRjy6nZY0TY/"&amp;"edit#gid=0"",""Table 1: Study characteristics!B4:B171"")))&gt;0
),
""Include""
)"),"Exclude")</f>
        <v>Exclude</v>
      </c>
      <c r="G1354" s="5" t="str">
        <f>IFERROR(__xludf.DUMMYFUNCTION("IFS(
D1354=""Exclude"",
FILTER(IMPORTRANGE(""https://docs.google.com/spreadsheets/d/1BJSV3WBYJGRhQ6zExamkszQ5VutGIcaQqmbD9ZTVXMQ/edit#gid=1251630045"",""articles_with_PRISMA_reasons!AB2:AB2113""), $A1354=IMPORTRANGE(""https://docs.google.com/spreadsheets/"&amp;"d/1BJSV3WBYJGRhQ6zExamkszQ5VutGIcaQqmbD9ZTVXMQ/edit#gid=1251630045"",""articles_with_PRISMA_reasons!B2:B2113"")),
E1354=""Exclude"",
FILTER(IMPORTRANGE(""https://docs.google.com/spreadsheets/d/1qpEmbGH0JjaJbUdp21-y2cPbobDbMjr09BbtdKROZWc/edit#gid=14448656"&amp;"54"",""articles_with_PRISMA_reasons!Z2:Z2113""), $A1354=IMPORTRANGE(""https://docs.google.com/spreadsheets/d/1qpEmbGH0JjaJbUdp21-y2cPbobDbMjr09BbtdKROZWc/edit#gid=1444865654"",""articles_with_PRISMA_reasons!B2:B2113"")),F1354
=""Include"",FILTER(IMPORTRAN"&amp;"GE(""https://docs.google.com/spreadsheets/d/1kGrh75X1cNR1D7_FcY9zMnHP8iPO4M5RCRjy6nZY0TY/edit#gid=0"",""Table 1: Study characteristics!A4:A171""), $A1354=IMPORTRANGE(""https://docs.google.com/spreadsheets/d/1kGrh75X1cNR1D7_FcY9zMnHP8iPO4M5RCRjy6nZY0TY/edi"&amp;"t#gid=0"",""Table 1: Study characteristics!B4:B171""))
)"),"background article")</f>
        <v>background article</v>
      </c>
    </row>
    <row r="1355">
      <c r="A1355" s="4" t="str">
        <f>IFERROR(__xludf.DUMMYFUNCTION("""COMPUTED_VALUE"""),"Occipital Nerve Blocks for Relief of Headaches in Patients With Ventriculoperitoneal Shunts: A Case Series")</f>
        <v>Occipital Nerve Blocks for Relief of Headaches in Patients With Ventriculoperitoneal Shunts: A Case Series</v>
      </c>
      <c r="B1355" s="5" t="str">
        <f>IFERROR(__xludf.DUMMYFUNCTION("LEFT(FILTER(IMPORTRANGE(""https://docs.google.com/spreadsheets/d/1BJSV3WBYJGRhQ6zExamkszQ5VutGIcaQqmbD9ZTVXMQ/edit#gid=1251630045"",""articles_with_PRISMA_reasons!K2:K2113""), $A1355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$A1355=IMPORTRANGE(""https://docs.google.com/spreadsheets/d/1BJSV3WBYJGRhQ6zExamkszQ5VutGIcaQqmbD9ZTVXMQ/edit#gid=1251630045"",""articles_with_PRISMA_reasons!B2:B2113"")))-1)"),"Kim")</f>
        <v>Kim</v>
      </c>
      <c r="C1355" s="6">
        <f>IFERROR(__xludf.DUMMYFUNCTION("FILTER(IMPORTRANGE(""https://docs.google.com/spreadsheets/d/1BJSV3WBYJGRhQ6zExamkszQ5VutGIcaQqmbD9ZTVXMQ/edit#gid=1251630045"",""articles_with_PRISMA_reasons!C2:C2113""), $A1355=IMPORTRANGE(""https://docs.google.com/spreadsheets/d/1BJSV3WBYJGRhQ6zExamkszQ"&amp;"5VutGIcaQqmbD9ZTVXMQ/edit#gid=1251630045"",""articles_with_PRISMA_reasons!B2:B2113""))"),2019.0)</f>
        <v>2019</v>
      </c>
      <c r="D1355" s="5" t="str">
        <f>IFERROR(__xludf.DUMMYFUNCTION("IFS(AND(
FILTER(IMPORTRANGE(""https://docs.google.com/spreadsheets/d/1BJSV3WBYJGRhQ6zExamkszQ5VutGIcaQqmbD9ZTVXMQ/edit#gid=1251630045"",""articles_with_PRISMA_reasons!Y2:Y2113""), $A1355=IMPORTRANGE(""https://docs.google.com/spreadsheets/d/1BJSV3WBYJGRhQ6"&amp;"zExamkszQ5VutGIcaQqmbD9ZTVXMQ/edit#gid=1251630045"",""articles_with_PRISMA_reasons!B2:B2113""))&gt;=2,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$A1355=IMPORTRANGE(""https://docs.google.com/spreadsheets/d/1BJSV3WBYJGRhQ6zExamkszQ5VutGIcaQqmbD9ZTVXMQ/edit#gid=1251630045"",""articles_with_PRISMA_reasons!B2:B2113""))&lt;2),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$A1355=IMPORTRANGE(""https://docs.google.com/spreadsheets/d/1BJSV3WBYJGRhQ6zExamkszQ5VutGIcaQqmbD9ZTVXMQ/edit#gid=1251630045"",""a"&amp;"rticles_with_PRISMA_reasons!B2:B2113""))&lt;2,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$A1355=IMPORTRANGE(""https://docs.google"&amp;".com/spreadsheets/d/1BJSV3WBYJGRhQ6zExamkszQ5VutGIcaQqmbD9ZTVXMQ/edit#gid=1251630045"",""articles_with_PRISMA_reasons!B2:B2113""))&gt;=2),
""Exclude""
)"),"Exclude")</f>
        <v>Exclude</v>
      </c>
      <c r="E1355" s="5" t="str">
        <f>IFERROR(__xludf.DUMMYFUNCTION("IFS(
D1355=""Exclude"",""Exclude"",
AND(
FILTER(IMPORTRANGE(""https://docs.google.com/spreadsheets/d/1qpEmbGH0JjaJbUdp21-y2cPbobDbMjr09BbtdKROZWc/edit#gid=1444865654"",""articles_with_PRISMA_reasons!W2:W2113""), $A1355=IMPORTRANGE(""https://docs.google.co"&amp;"m/spreadsheets/d/1qpEmbGH0JjaJbUdp21-y2cPbobDbMjr09BbtdKROZWc/edit#gid=1444865654"",""articles_with_PRISMA_reasons!B2:B2113""))&gt;=2,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$A1355=IMPORTRANGE(""https://docs.google.com/spreadsheets/d/1qpEmbGH0JjaJbUdp21-y2cPbobDbMjr09BbtdKROZWc/edit#gid=1444865654"",""articles_with_PRISMA_reasons!B2:B2113""))&lt;2),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$A1355=IMPORTRANGE(""https://docs.google.com/spreadsheets/d/1qpEmbGH0JjaJbUdp21-y2cPbobDbMjr09Bbtd"&amp;"KROZWc/edit#gid=1444865654"",""articles_with_PRISMA_reasons!B2:B2113""))&lt;2,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$A1355=I"&amp;"MPORTRANGE(""https://docs.google.com/spreadsheets/d/1qpEmbGH0JjaJbUdp21-y2cPbobDbMjr09BbtdKROZWc/edit#gid=1444865654"",""articles_with_PRISMA_reasons!B2:B2113""))&gt;=2),
""Exclude""
)"),"Exclude")</f>
        <v>Exclude</v>
      </c>
      <c r="F1355" s="5" t="str">
        <f>IFERROR(__xludf.DUMMYFUNCTION("IFS(
E1355=""Exclude"",""Exclude"",
AND(
COUNTIF(
IMPORTRANGE(""https://docs.google.com/spreadsheets/d/1kGrh75X1cNR1D7_FcY9zMnHP8iPO4M5RCRjy6nZY0TY/edit#gid=0"",""Table 1: Study characteristics!B4:B171""),A1355)&gt;0,
COUNTIF(Studies!$A$2:$A$85,FILTER(IMPORT"&amp;"RANGE(""https://docs.google.com/spreadsheets/d/1kGrh75X1cNR1D7_FcY9zMnHP8iPO4M5RCRjy6nZY0TY/edit#gid=0"",""Table 1: Study characteristics!A4:A171""), $A1355=IMPORTRANGE(""https://docs.google.com/spreadsheets/d/1kGrh75X1cNR1D7_FcY9zMnHP8iPO4M5RCRjy6nZY0TY/"&amp;"edit#gid=0"",""Table 1: Study characteristics!B4:B171"")))&gt;0
),
""Include""
)"),"Exclude")</f>
        <v>Exclude</v>
      </c>
      <c r="G1355" s="5" t="str">
        <f>IFERROR(__xludf.DUMMYFUNCTION("IFS(
D1355=""Exclude"",
FILTER(IMPORTRANGE(""https://docs.google.com/spreadsheets/d/1BJSV3WBYJGRhQ6zExamkszQ5VutGIcaQqmbD9ZTVXMQ/edit#gid=1251630045"",""articles_with_PRISMA_reasons!AB2:AB2113""), $A1355=IMPORTRANGE(""https://docs.google.com/spreadsheets/"&amp;"d/1BJSV3WBYJGRhQ6zExamkszQ5VutGIcaQqmbD9ZTVXMQ/edit#gid=1251630045"",""articles_with_PRISMA_reasons!B2:B2113"")),
E1355=""Exclude"",
FILTER(IMPORTRANGE(""https://docs.google.com/spreadsheets/d/1qpEmbGH0JjaJbUdp21-y2cPbobDbMjr09BbtdKROZWc/edit#gid=14448656"&amp;"54"",""articles_with_PRISMA_reasons!Z2:Z2113""), $A1355=IMPORTRANGE(""https://docs.google.com/spreadsheets/d/1qpEmbGH0JjaJbUdp21-y2cPbobDbMjr09BbtdKROZWc/edit#gid=1444865654"",""articles_with_PRISMA_reasons!B2:B2113"")),F1355
=""Include"",FILTER(IMPORTRAN"&amp;"GE(""https://docs.google.com/spreadsheets/d/1kGrh75X1cNR1D7_FcY9zMnHP8iPO4M5RCRjy6nZY0TY/edit#gid=0"",""Table 1: Study characteristics!A4:A171""), $A1355=IMPORTRANGE(""https://docs.google.com/spreadsheets/d/1kGrh75X1cNR1D7_FcY9zMnHP8iPO4M5RCRjy6nZY0TY/edi"&amp;"t#gid=0"",""Table 1: Study characteristics!B4:B171""))
)"),"wrong study design")</f>
        <v>wrong study design</v>
      </c>
    </row>
    <row r="1356">
      <c r="A1356" s="4" t="str">
        <f>IFERROR(__xludf.DUMMYFUNCTION("""COMPUTED_VALUE"""),"Occurrence of congenital anomalies and genetic diseases in a population of Ghazvin Province, Iran: A study of 33380 cases")</f>
        <v>Occurrence of congenital anomalies and genetic diseases in a population of Ghazvin Province, Iran: A study of 33380 cases</v>
      </c>
      <c r="B1356" s="5" t="str">
        <f>IFERROR(__xludf.DUMMYFUNCTION("LEFT(FILTER(IMPORTRANGE(""https://docs.google.com/spreadsheets/d/1BJSV3WBYJGRhQ6zExamkszQ5VutGIcaQqmbD9ZTVXMQ/edit#gid=1251630045"",""articles_with_PRISMA_reasons!K2:K2113""), $A1356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$A1356=IMPORTRANGE(""https://docs.google.com/spreadsheets/d/1BJSV3WBYJGRhQ6zExamkszQ5VutGIcaQqmbD9ZTVXMQ/edit#gid=1251630045"",""articles_with_PRISMA_reasons!B2:B2113"")))-1)"),"Movafagh")</f>
        <v>Movafagh</v>
      </c>
      <c r="C1356" s="6">
        <f>IFERROR(__xludf.DUMMYFUNCTION("FILTER(IMPORTRANGE(""https://docs.google.com/spreadsheets/d/1BJSV3WBYJGRhQ6zExamkszQ5VutGIcaQqmbD9ZTVXMQ/edit#gid=1251630045"",""articles_with_PRISMA_reasons!C2:C2113""), $A1356=IMPORTRANGE(""https://docs.google.com/spreadsheets/d/1BJSV3WBYJGRhQ6zExamkszQ"&amp;"5VutGIcaQqmbD9ZTVXMQ/edit#gid=1251630045"",""articles_with_PRISMA_reasons!B2:B2113""))"),2008.0)</f>
        <v>2008</v>
      </c>
      <c r="D1356" s="5" t="str">
        <f>IFERROR(__xludf.DUMMYFUNCTION("IFS(AND(
FILTER(IMPORTRANGE(""https://docs.google.com/spreadsheets/d/1BJSV3WBYJGRhQ6zExamkszQ5VutGIcaQqmbD9ZTVXMQ/edit#gid=1251630045"",""articles_with_PRISMA_reasons!Y2:Y2113""), $A1356=IMPORTRANGE(""https://docs.google.com/spreadsheets/d/1BJSV3WBYJGRhQ6"&amp;"zExamkszQ5VutGIcaQqmbD9ZTVXMQ/edit#gid=1251630045"",""articles_with_PRISMA_reasons!B2:B2113""))&gt;=2,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$A1356=IMPORTRANGE(""https://docs.google.com/spreadsheets/d/1BJSV3WBYJGRhQ6zExamkszQ5VutGIcaQqmbD9ZTVXMQ/edit#gid=1251630045"",""articles_with_PRISMA_reasons!B2:B2113""))&lt;2),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$A1356=IMPORTRANGE(""https://docs.google.com/spreadsheets/d/1BJSV3WBYJGRhQ6zExamkszQ5VutGIcaQqmbD9ZTVXMQ/edit#gid=1251630045"",""a"&amp;"rticles_with_PRISMA_reasons!B2:B2113""))&lt;2,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$A1356=IMPORTRANGE(""https://docs.google"&amp;".com/spreadsheets/d/1BJSV3WBYJGRhQ6zExamkszQ5VutGIcaQqmbD9ZTVXMQ/edit#gid=1251630045"",""articles_with_PRISMA_reasons!B2:B2113""))&gt;=2),
""Exclude""
)"),"Exclude")</f>
        <v>Exclude</v>
      </c>
      <c r="E1356" s="5" t="str">
        <f>IFERROR(__xludf.DUMMYFUNCTION("IFS(
D1356=""Exclude"",""Exclude"",
AND(
FILTER(IMPORTRANGE(""https://docs.google.com/spreadsheets/d/1qpEmbGH0JjaJbUdp21-y2cPbobDbMjr09BbtdKROZWc/edit#gid=1444865654"",""articles_with_PRISMA_reasons!W2:W2113""), $A1356=IMPORTRANGE(""https://docs.google.co"&amp;"m/spreadsheets/d/1qpEmbGH0JjaJbUdp21-y2cPbobDbMjr09BbtdKROZWc/edit#gid=1444865654"",""articles_with_PRISMA_reasons!B2:B2113""))&gt;=2,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$A1356=IMPORTRANGE(""https://docs.google.com/spreadsheets/d/1qpEmbGH0JjaJbUdp21-y2cPbobDbMjr09BbtdKROZWc/edit#gid=1444865654"",""articles_with_PRISMA_reasons!B2:B2113""))&lt;2),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$A1356=IMPORTRANGE(""https://docs.google.com/spreadsheets/d/1qpEmbGH0JjaJbUdp21-y2cPbobDbMjr09Bbtd"&amp;"KROZWc/edit#gid=1444865654"",""articles_with_PRISMA_reasons!B2:B2113""))&lt;2,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$A1356=I"&amp;"MPORTRANGE(""https://docs.google.com/spreadsheets/d/1qpEmbGH0JjaJbUdp21-y2cPbobDbMjr09BbtdKROZWc/edit#gid=1444865654"",""articles_with_PRISMA_reasons!B2:B2113""))&gt;=2),
""Exclude""
)"),"Exclude")</f>
        <v>Exclude</v>
      </c>
      <c r="F1356" s="5" t="str">
        <f>IFERROR(__xludf.DUMMYFUNCTION("IFS(
E1356=""Exclude"",""Exclude"",
AND(
COUNTIF(
IMPORTRANGE(""https://docs.google.com/spreadsheets/d/1kGrh75X1cNR1D7_FcY9zMnHP8iPO4M5RCRjy6nZY0TY/edit#gid=0"",""Table 1: Study characteristics!B4:B171""),A1356)&gt;0,
COUNTIF(Studies!$A$2:$A$85,FILTER(IMPORT"&amp;"RANGE(""https://docs.google.com/spreadsheets/d/1kGrh75X1cNR1D7_FcY9zMnHP8iPO4M5RCRjy6nZY0TY/edit#gid=0"",""Table 1: Study characteristics!A4:A171""), $A1356=IMPORTRANGE(""https://docs.google.com/spreadsheets/d/1kGrh75X1cNR1D7_FcY9zMnHP8iPO4M5RCRjy6nZY0TY/"&amp;"edit#gid=0"",""Table 1: Study characteristics!B4:B171"")))&gt;0
),
""Include""
)"),"Exclude")</f>
        <v>Exclude</v>
      </c>
      <c r="G1356" s="5" t="str">
        <f>IFERROR(__xludf.DUMMYFUNCTION("IFS(
D1356=""Exclude"",
FILTER(IMPORTRANGE(""https://docs.google.com/spreadsheets/d/1BJSV3WBYJGRhQ6zExamkszQ5VutGIcaQqmbD9ZTVXMQ/edit#gid=1251630045"",""articles_with_PRISMA_reasons!AB2:AB2113""), $A1356=IMPORTRANGE(""https://docs.google.com/spreadsheets/"&amp;"d/1BJSV3WBYJGRhQ6zExamkszQ5VutGIcaQqmbD9ZTVXMQ/edit#gid=1251630045"",""articles_with_PRISMA_reasons!B2:B2113"")),
E1356=""Exclude"",
FILTER(IMPORTRANGE(""https://docs.google.com/spreadsheets/d/1qpEmbGH0JjaJbUdp21-y2cPbobDbMjr09BbtdKROZWc/edit#gid=14448656"&amp;"54"",""articles_with_PRISMA_reasons!Z2:Z2113""), $A1356=IMPORTRANGE(""https://docs.google.com/spreadsheets/d/1qpEmbGH0JjaJbUdp21-y2cPbobDbMjr09BbtdKROZWc/edit#gid=1444865654"",""articles_with_PRISMA_reasons!B2:B2113"")),F1356
=""Include"",FILTER(IMPORTRAN"&amp;"GE(""https://docs.google.com/spreadsheets/d/1kGrh75X1cNR1D7_FcY9zMnHP8iPO4M5RCRjy6nZY0TY/edit#gid=0"",""Table 1: Study characteristics!A4:A171""), $A1356=IMPORTRANGE(""https://docs.google.com/spreadsheets/d/1kGrh75X1cNR1D7_FcY9zMnHP8iPO4M5RCRjy6nZY0TY/edi"&amp;"t#gid=0"",""Table 1: Study characteristics!B4:B171""))
)"),"wrong population")</f>
        <v>wrong population</v>
      </c>
    </row>
    <row r="1357">
      <c r="A1357" s="4" t="str">
        <f>IFERROR(__xludf.DUMMYFUNCTION("""COMPUTED_VALUE"""),"On the changing epidemiology of hydrocephalus")</f>
        <v>On the changing epidemiology of hydrocephalus</v>
      </c>
      <c r="B1357" s="5" t="str">
        <f>IFERROR(__xludf.DUMMYFUNCTION("LEFT(FILTER(IMPORTRANGE(""https://docs.google.com/spreadsheets/d/1BJSV3WBYJGRhQ6zExamkszQ5VutGIcaQqmbD9ZTVXMQ/edit#gid=1251630045"",""articles_with_PRISMA_reasons!K2:K2113""), $A1357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$A1357=IMPORTRANGE(""https://docs.google.com/spreadsheets/d/1BJSV3WBYJGRhQ6zExamkszQ5VutGIcaQqmbD9ZTVXMQ/edit#gid=1251630045"",""articles_with_PRISMA_reasons!B2:B2113"")))-1)"),"Massimi")</f>
        <v>Massimi</v>
      </c>
      <c r="C1357" s="6">
        <f>IFERROR(__xludf.DUMMYFUNCTION("FILTER(IMPORTRANGE(""https://docs.google.com/spreadsheets/d/1BJSV3WBYJGRhQ6zExamkszQ5VutGIcaQqmbD9ZTVXMQ/edit#gid=1251630045"",""articles_with_PRISMA_reasons!C2:C2113""), $A1357=IMPORTRANGE(""https://docs.google.com/spreadsheets/d/1BJSV3WBYJGRhQ6zExamkszQ"&amp;"5VutGIcaQqmbD9ZTVXMQ/edit#gid=1251630045"",""articles_with_PRISMA_reasons!B2:B2113""))"),2009.0)</f>
        <v>2009</v>
      </c>
      <c r="D1357" s="5" t="str">
        <f>IFERROR(__xludf.DUMMYFUNCTION("IFS(AND(
FILTER(IMPORTRANGE(""https://docs.google.com/spreadsheets/d/1BJSV3WBYJGRhQ6zExamkszQ5VutGIcaQqmbD9ZTVXMQ/edit#gid=1251630045"",""articles_with_PRISMA_reasons!Y2:Y2113""), $A1357=IMPORTRANGE(""https://docs.google.com/spreadsheets/d/1BJSV3WBYJGRhQ6"&amp;"zExamkszQ5VutGIcaQqmbD9ZTVXMQ/edit#gid=1251630045"",""articles_with_PRISMA_reasons!B2:B2113""))&gt;=2,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$A1357=IMPORTRANGE(""https://docs.google.com/spreadsheets/d/1BJSV3WBYJGRhQ6zExamkszQ5VutGIcaQqmbD9ZTVXMQ/edit#gid=1251630045"",""articles_with_PRISMA_reasons!B2:B2113""))&lt;2),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$A1357=IMPORTRANGE(""https://docs.google.com/spreadsheets/d/1BJSV3WBYJGRhQ6zExamkszQ5VutGIcaQqmbD9ZTVXMQ/edit#gid=1251630045"",""a"&amp;"rticles_with_PRISMA_reasons!B2:B2113""))&lt;2,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$A1357=IMPORTRANGE(""https://docs.google"&amp;".com/spreadsheets/d/1BJSV3WBYJGRhQ6zExamkszQ5VutGIcaQqmbD9ZTVXMQ/edit#gid=1251630045"",""articles_with_PRISMA_reasons!B2:B2113""))&gt;=2),
""Exclude""
)"),"Exclude")</f>
        <v>Exclude</v>
      </c>
      <c r="E1357" s="5" t="str">
        <f>IFERROR(__xludf.DUMMYFUNCTION("IFS(
D1357=""Exclude"",""Exclude"",
AND(
FILTER(IMPORTRANGE(""https://docs.google.com/spreadsheets/d/1qpEmbGH0JjaJbUdp21-y2cPbobDbMjr09BbtdKROZWc/edit#gid=1444865654"",""articles_with_PRISMA_reasons!W2:W2113""), $A1357=IMPORTRANGE(""https://docs.google.co"&amp;"m/spreadsheets/d/1qpEmbGH0JjaJbUdp21-y2cPbobDbMjr09BbtdKROZWc/edit#gid=1444865654"",""articles_with_PRISMA_reasons!B2:B2113""))&gt;=2,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$A1357=IMPORTRANGE(""https://docs.google.com/spreadsheets/d/1qpEmbGH0JjaJbUdp21-y2cPbobDbMjr09BbtdKROZWc/edit#gid=1444865654"",""articles_with_PRISMA_reasons!B2:B2113""))&lt;2),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$A1357=IMPORTRANGE(""https://docs.google.com/spreadsheets/d/1qpEmbGH0JjaJbUdp21-y2cPbobDbMjr09Bbtd"&amp;"KROZWc/edit#gid=1444865654"",""articles_with_PRISMA_reasons!B2:B2113""))&lt;2,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$A1357=I"&amp;"MPORTRANGE(""https://docs.google.com/spreadsheets/d/1qpEmbGH0JjaJbUdp21-y2cPbobDbMjr09BbtdKROZWc/edit#gid=1444865654"",""articles_with_PRISMA_reasons!B2:B2113""))&gt;=2),
""Exclude""
)"),"Exclude")</f>
        <v>Exclude</v>
      </c>
      <c r="F1357" s="5" t="str">
        <f>IFERROR(__xludf.DUMMYFUNCTION("IFS(
E1357=""Exclude"",""Exclude"",
AND(
COUNTIF(
IMPORTRANGE(""https://docs.google.com/spreadsheets/d/1kGrh75X1cNR1D7_FcY9zMnHP8iPO4M5RCRjy6nZY0TY/edit#gid=0"",""Table 1: Study characteristics!B4:B171""),A1357)&gt;0,
COUNTIF(Studies!$A$2:$A$85,FILTER(IMPORT"&amp;"RANGE(""https://docs.google.com/spreadsheets/d/1kGrh75X1cNR1D7_FcY9zMnHP8iPO4M5RCRjy6nZY0TY/edit#gid=0"",""Table 1: Study characteristics!A4:A171""), $A1357=IMPORTRANGE(""https://docs.google.com/spreadsheets/d/1kGrh75X1cNR1D7_FcY9zMnHP8iPO4M5RCRjy6nZY0TY/"&amp;"edit#gid=0"",""Table 1: Study characteristics!B4:B171"")))&gt;0
),
""Include""
)"),"Exclude")</f>
        <v>Exclude</v>
      </c>
      <c r="G1357" s="5" t="str">
        <f>IFERROR(__xludf.DUMMYFUNCTION("IFS(
D1357=""Exclude"",
FILTER(IMPORTRANGE(""https://docs.google.com/spreadsheets/d/1BJSV3WBYJGRhQ6zExamkszQ5VutGIcaQqmbD9ZTVXMQ/edit#gid=1251630045"",""articles_with_PRISMA_reasons!AB2:AB2113""), $A1357=IMPORTRANGE(""https://docs.google.com/spreadsheets/"&amp;"d/1BJSV3WBYJGRhQ6zExamkszQ5VutGIcaQqmbD9ZTVXMQ/edit#gid=1251630045"",""articles_with_PRISMA_reasons!B2:B2113"")),
E1357=""Exclude"",
FILTER(IMPORTRANGE(""https://docs.google.com/spreadsheets/d/1qpEmbGH0JjaJbUdp21-y2cPbobDbMjr09BbtdKROZWc/edit#gid=14448656"&amp;"54"",""articles_with_PRISMA_reasons!Z2:Z2113""), $A1357=IMPORTRANGE(""https://docs.google.com/spreadsheets/d/1qpEmbGH0JjaJbUdp21-y2cPbobDbMjr09BbtdKROZWc/edit#gid=1444865654"",""articles_with_PRISMA_reasons!B2:B2113"")),F1357
=""Include"",FILTER(IMPORTRAN"&amp;"GE(""https://docs.google.com/spreadsheets/d/1kGrh75X1cNR1D7_FcY9zMnHP8iPO4M5RCRjy6nZY0TY/edit#gid=0"",""Table 1: Study characteristics!A4:A171""), $A1357=IMPORTRANGE(""https://docs.google.com/spreadsheets/d/1kGrh75X1cNR1D7_FcY9zMnHP8iPO4M5RCRjy6nZY0TY/edi"&amp;"t#gid=0"",""Table 1: Study characteristics!B4:B171""))
)"),"wrong study design")</f>
        <v>wrong study design</v>
      </c>
    </row>
    <row r="1358">
      <c r="A1358" s="4" t="str">
        <f>IFERROR(__xludf.DUMMYFUNCTION("""COMPUTED_VALUE"""),"Once a shunt, always a shunt?")</f>
        <v>Once a shunt, always a shunt?</v>
      </c>
      <c r="B1358" s="5" t="str">
        <f>IFERROR(__xludf.DUMMYFUNCTION("LEFT(FILTER(IMPORTRANGE(""https://docs.google.com/spreadsheets/d/1BJSV3WBYJGRhQ6zExamkszQ5VutGIcaQqmbD9ZTVXMQ/edit#gid=1251630045"",""articles_with_PRISMA_reasons!K2:K2113""), $A1358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$A1358=IMPORTRANGE(""https://docs.google.com/spreadsheets/d/1BJSV3WBYJGRhQ6zExamkszQ5VutGIcaQqmbD9ZTVXMQ/edit#gid=1251630045"",""articles_with_PRISMA_reasons!B2:B2113"")))-1)"),"Hemmer")</f>
        <v>Hemmer</v>
      </c>
      <c r="C1358" s="6">
        <f>IFERROR(__xludf.DUMMYFUNCTION("FILTER(IMPORTRANGE(""https://docs.google.com/spreadsheets/d/1BJSV3WBYJGRhQ6zExamkszQ5VutGIcaQqmbD9ZTVXMQ/edit#gid=1251630045"",""articles_with_PRISMA_reasons!C2:C2113""), $A1358=IMPORTRANGE(""https://docs.google.com/spreadsheets/d/1BJSV3WBYJGRhQ6zExamkszQ"&amp;"5VutGIcaQqmbD9ZTVXMQ/edit#gid=1251630045"",""articles_with_PRISMA_reasons!B2:B2113""))"),1976.0)</f>
        <v>1976</v>
      </c>
      <c r="D1358" s="5" t="str">
        <f>IFERROR(__xludf.DUMMYFUNCTION("IFS(AND(
FILTER(IMPORTRANGE(""https://docs.google.com/spreadsheets/d/1BJSV3WBYJGRhQ6zExamkszQ5VutGIcaQqmbD9ZTVXMQ/edit#gid=1251630045"",""articles_with_PRISMA_reasons!Y2:Y2113""), $A1358=IMPORTRANGE(""https://docs.google.com/spreadsheets/d/1BJSV3WBYJGRhQ6"&amp;"zExamkszQ5VutGIcaQqmbD9ZTVXMQ/edit#gid=1251630045"",""articles_with_PRISMA_reasons!B2:B2113""))&gt;=2,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$A1358=IMPORTRANGE(""https://docs.google.com/spreadsheets/d/1BJSV3WBYJGRhQ6zExamkszQ5VutGIcaQqmbD9ZTVXMQ/edit#gid=1251630045"",""articles_with_PRISMA_reasons!B2:B2113""))&lt;2),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$A1358=IMPORTRANGE(""https://docs.google.com/spreadsheets/d/1BJSV3WBYJGRhQ6zExamkszQ5VutGIcaQqmbD9ZTVXMQ/edit#gid=1251630045"",""a"&amp;"rticles_with_PRISMA_reasons!B2:B2113""))&lt;2,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$A1358=IMPORTRANGE(""https://docs.google"&amp;".com/spreadsheets/d/1BJSV3WBYJGRhQ6zExamkszQ5VutGIcaQqmbD9ZTVXMQ/edit#gid=1251630045"",""articles_with_PRISMA_reasons!B2:B2113""))&gt;=2),
""Exclude""
)"),"Include")</f>
        <v>Include</v>
      </c>
      <c r="E1358" s="5" t="str">
        <f>IFERROR(__xludf.DUMMYFUNCTION("IFS(
D1358=""Exclude"",""Exclude"",
AND(
FILTER(IMPORTRANGE(""https://docs.google.com/spreadsheets/d/1qpEmbGH0JjaJbUdp21-y2cPbobDbMjr09BbtdKROZWc/edit#gid=1444865654"",""articles_with_PRISMA_reasons!W2:W2113""), $A1358=IMPORTRANGE(""https://docs.google.co"&amp;"m/spreadsheets/d/1qpEmbGH0JjaJbUdp21-y2cPbobDbMjr09BbtdKROZWc/edit#gid=1444865654"",""articles_with_PRISMA_reasons!B2:B2113""))&gt;=2,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$A1358=IMPORTRANGE(""https://docs.google.com/spreadsheets/d/1qpEmbGH0JjaJbUdp21-y2cPbobDbMjr09BbtdKROZWc/edit#gid=1444865654"",""articles_with_PRISMA_reasons!B2:B2113""))&lt;2),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$A1358=IMPORTRANGE(""https://docs.google.com/spreadsheets/d/1qpEmbGH0JjaJbUdp21-y2cPbobDbMjr09Bbtd"&amp;"KROZWc/edit#gid=1444865654"",""articles_with_PRISMA_reasons!B2:B2113""))&lt;2,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$A1358=I"&amp;"MPORTRANGE(""https://docs.google.com/spreadsheets/d/1qpEmbGH0JjaJbUdp21-y2cPbobDbMjr09BbtdKROZWc/edit#gid=1444865654"",""articles_with_PRISMA_reasons!B2:B2113""))&gt;=2),
""Exclude""
)"),"Exclude")</f>
        <v>Exclude</v>
      </c>
      <c r="F1358" s="5" t="str">
        <f>IFERROR(__xludf.DUMMYFUNCTION("IFS(
E1358=""Exclude"",""Exclude"",
AND(
COUNTIF(
IMPORTRANGE(""https://docs.google.com/spreadsheets/d/1kGrh75X1cNR1D7_FcY9zMnHP8iPO4M5RCRjy6nZY0TY/edit#gid=0"",""Table 1: Study characteristics!B4:B171""),A1358)&gt;0,
COUNTIF(Studies!$A$2:$A$85,FILTER(IMPORT"&amp;"RANGE(""https://docs.google.com/spreadsheets/d/1kGrh75X1cNR1D7_FcY9zMnHP8iPO4M5RCRjy6nZY0TY/edit#gid=0"",""Table 1: Study characteristics!A4:A171""), $A1358=IMPORTRANGE(""https://docs.google.com/spreadsheets/d/1kGrh75X1cNR1D7_FcY9zMnHP8iPO4M5RCRjy6nZY0TY/"&amp;"edit#gid=0"",""Table 1: Study characteristics!B4:B171"")))&gt;0
),
""Include""
)"),"Exclude")</f>
        <v>Exclude</v>
      </c>
      <c r="G1358" s="5" t="str">
        <f>IFERROR(__xludf.DUMMYFUNCTION("IFS(
D1358=""Exclude"",
FILTER(IMPORTRANGE(""https://docs.google.com/spreadsheets/d/1BJSV3WBYJGRhQ6zExamkszQ5VutGIcaQqmbD9ZTVXMQ/edit#gid=1251630045"",""articles_with_PRISMA_reasons!AB2:AB2113""), $A1358=IMPORTRANGE(""https://docs.google.com/spreadsheets/"&amp;"d/1BJSV3WBYJGRhQ6zExamkszQ5VutGIcaQqmbD9ZTVXMQ/edit#gid=1251630045"",""articles_with_PRISMA_reasons!B2:B2113"")),
E1358=""Exclude"",
FILTER(IMPORTRANGE(""https://docs.google.com/spreadsheets/d/1qpEmbGH0JjaJbUdp21-y2cPbobDbMjr09BbtdKROZWc/edit#gid=14448656"&amp;"54"",""articles_with_PRISMA_reasons!Z2:Z2113""), $A1358=IMPORTRANGE(""https://docs.google.com/spreadsheets/d/1qpEmbGH0JjaJbUdp21-y2cPbobDbMjr09BbtdKROZWc/edit#gid=1444865654"",""articles_with_PRISMA_reasons!B2:B2113"")),F1358
=""Include"",FILTER(IMPORTRAN"&amp;"GE(""https://docs.google.com/spreadsheets/d/1kGrh75X1cNR1D7_FcY9zMnHP8iPO4M5RCRjy6nZY0TY/edit#gid=0"",""Table 1: Study characteristics!A4:A171""), $A1358=IMPORTRANGE(""https://docs.google.com/spreadsheets/d/1kGrh75X1cNR1D7_FcY9zMnHP8iPO4M5RCRjy6nZY0TY/edi"&amp;"t#gid=0"",""Table 1: Study characteristics!B4:B171""))
)"),"wrong study design")</f>
        <v>wrong study design</v>
      </c>
    </row>
    <row r="1359">
      <c r="A1359" s="4" t="str">
        <f>IFERROR(__xludf.DUMMYFUNCTION("""COMPUTED_VALUE"""),"One-stage meningomyelocele closure and ventriculoperitoneal shunt placement")</f>
        <v>One-stage meningomyelocele closure and ventriculoperitoneal shunt placement</v>
      </c>
      <c r="B1359" s="5" t="str">
        <f>IFERROR(__xludf.DUMMYFUNCTION("LEFT(FILTER(IMPORTRANGE(""https://docs.google.com/spreadsheets/d/1BJSV3WBYJGRhQ6zExamkszQ5VutGIcaQqmbD9ZTVXMQ/edit#gid=1251630045"",""articles_with_PRISMA_reasons!K2:K2113""), $A1359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$A1359=IMPORTRANGE(""https://docs.google.com/spreadsheets/d/1BJSV3WBYJGRhQ6zExamkszQ5VutGIcaQqmbD9ZTVXMQ/edit#gid=1251630045"",""articles_with_PRISMA_reasons!B2:B2113"")))-1)"),"Bell")</f>
        <v>Bell</v>
      </c>
      <c r="C1359" s="6">
        <f>IFERROR(__xludf.DUMMYFUNCTION("FILTER(IMPORTRANGE(""https://docs.google.com/spreadsheets/d/1BJSV3WBYJGRhQ6zExamkszQ5VutGIcaQqmbD9ZTVXMQ/edit#gid=1251630045"",""articles_with_PRISMA_reasons!C2:C2113""), $A1359=IMPORTRANGE(""https://docs.google.com/spreadsheets/d/1BJSV3WBYJGRhQ6zExamkszQ"&amp;"5VutGIcaQqmbD9ZTVXMQ/edit#gid=1251630045"",""articles_with_PRISMA_reasons!B2:B2113""))"),1987.0)</f>
        <v>1987</v>
      </c>
      <c r="D1359" s="5" t="str">
        <f>IFERROR(__xludf.DUMMYFUNCTION("IFS(AND(
FILTER(IMPORTRANGE(""https://docs.google.com/spreadsheets/d/1BJSV3WBYJGRhQ6zExamkszQ5VutGIcaQqmbD9ZTVXMQ/edit#gid=1251630045"",""articles_with_PRISMA_reasons!Y2:Y2113""), $A1359=IMPORTRANGE(""https://docs.google.com/spreadsheets/d/1BJSV3WBYJGRhQ6"&amp;"zExamkszQ5VutGIcaQqmbD9ZTVXMQ/edit#gid=1251630045"",""articles_with_PRISMA_reasons!B2:B2113""))&gt;=2,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$A1359=IMPORTRANGE(""https://docs.google.com/spreadsheets/d/1BJSV3WBYJGRhQ6zExamkszQ5VutGIcaQqmbD9ZTVXMQ/edit#gid=1251630045"",""articles_with_PRISMA_reasons!B2:B2113""))&lt;2),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$A1359=IMPORTRANGE(""https://docs.google.com/spreadsheets/d/1BJSV3WBYJGRhQ6zExamkszQ5VutGIcaQqmbD9ZTVXMQ/edit#gid=1251630045"",""a"&amp;"rticles_with_PRISMA_reasons!B2:B2113""))&lt;2,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$A1359=IMPORTRANGE(""https://docs.google"&amp;".com/spreadsheets/d/1BJSV3WBYJGRhQ6zExamkszQ5VutGIcaQqmbD9ZTVXMQ/edit#gid=1251630045"",""articles_with_PRISMA_reasons!B2:B2113""))&gt;=2),
""Exclude""
)"),"Include")</f>
        <v>Include</v>
      </c>
      <c r="E1359" s="5" t="str">
        <f>IFERROR(__xludf.DUMMYFUNCTION("IFS(
D1359=""Exclude"",""Exclude"",
AND(
FILTER(IMPORTRANGE(""https://docs.google.com/spreadsheets/d/1qpEmbGH0JjaJbUdp21-y2cPbobDbMjr09BbtdKROZWc/edit#gid=1444865654"",""articles_with_PRISMA_reasons!W2:W2113""), $A1359=IMPORTRANGE(""https://docs.google.co"&amp;"m/spreadsheets/d/1qpEmbGH0JjaJbUdp21-y2cPbobDbMjr09BbtdKROZWc/edit#gid=1444865654"",""articles_with_PRISMA_reasons!B2:B2113""))&gt;=2,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$A1359=IMPORTRANGE(""https://docs.google.com/spreadsheets/d/1qpEmbGH0JjaJbUdp21-y2cPbobDbMjr09BbtdKROZWc/edit#gid=1444865654"",""articles_with_PRISMA_reasons!B2:B2113""))&lt;2),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$A1359=IMPORTRANGE(""https://docs.google.com/spreadsheets/d/1qpEmbGH0JjaJbUdp21-y2cPbobDbMjr09Bbtd"&amp;"KROZWc/edit#gid=1444865654"",""articles_with_PRISMA_reasons!B2:B2113""))&lt;2,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$A1359=I"&amp;"MPORTRANGE(""https://docs.google.com/spreadsheets/d/1qpEmbGH0JjaJbUdp21-y2cPbobDbMjr09BbtdKROZWc/edit#gid=1444865654"",""articles_with_PRISMA_reasons!B2:B2113""))&gt;=2),
""Exclude""
)"),"Include")</f>
        <v>Include</v>
      </c>
      <c r="F1359" s="2" t="s">
        <v>14</v>
      </c>
      <c r="G1359" s="2" t="s">
        <v>14</v>
      </c>
    </row>
    <row r="1360">
      <c r="A1360" s="4" t="str">
        <f>IFERROR(__xludf.DUMMYFUNCTION("""COMPUTED_VALUE"""),"One-year treatment with recombinant human growth hormone of children with meningomyelocele and growth hormone deficiency: A comparison of supine length and arm span")</f>
        <v>One-year treatment with recombinant human growth hormone of children with meningomyelocele and growth hormone deficiency: A comparison of supine length and arm span</v>
      </c>
      <c r="B1360" s="5" t="str">
        <f>IFERROR(__xludf.DUMMYFUNCTION("LEFT(FILTER(IMPORTRANGE(""https://docs.google.com/spreadsheets/d/1BJSV3WBYJGRhQ6zExamkszQ5VutGIcaQqmbD9ZTVXMQ/edit#gid=1251630045"",""articles_with_PRISMA_reasons!K2:K2113""), $A1360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$A1360=IMPORTRANGE(""https://docs.google.com/spreadsheets/d/1BJSV3WBYJGRhQ6zExamkszQ5VutGIcaQqmbD9ZTVXMQ/edit#gid=1251630045"",""articles_with_PRISMA_reasons!B2:B2113"")))-1)"),"Buten and t")</f>
        <v>Buten and t</v>
      </c>
      <c r="C1360" s="3">
        <v>1999.0</v>
      </c>
      <c r="D1360" s="5" t="str">
        <f>IFERROR(__xludf.DUMMYFUNCTION("IFS(AND(
FILTER(IMPORTRANGE(""https://docs.google.com/spreadsheets/d/1BJSV3WBYJGRhQ6zExamkszQ5VutGIcaQqmbD9ZTVXMQ/edit#gid=1251630045"",""articles_with_PRISMA_reasons!Y2:Y2113""), $A1360=IMPORTRANGE(""https://docs.google.com/spreadsheets/d/1BJSV3WBYJGRhQ6"&amp;"zExamkszQ5VutGIcaQqmbD9ZTVXMQ/edit#gid=1251630045"",""articles_with_PRISMA_reasons!B2:B2113""))&gt;=2,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$A1360=IMPORTRANGE(""https://docs.google.com/spreadsheets/d/1BJSV3WBYJGRhQ6zExamkszQ5VutGIcaQqmbD9ZTVXMQ/edit#gid=1251630045"",""articles_with_PRISMA_reasons!B2:B2113""))&lt;2),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$A1360=IMPORTRANGE(""https://docs.google.com/spreadsheets/d/1BJSV3WBYJGRhQ6zExamkszQ5VutGIcaQqmbD9ZTVXMQ/edit#gid=1251630045"",""a"&amp;"rticles_with_PRISMA_reasons!B2:B2113""))&lt;2,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$A1360=IMPORTRANGE(""https://docs.google"&amp;".com/spreadsheets/d/1BJSV3WBYJGRhQ6zExamkszQ5VutGIcaQqmbD9ZTVXMQ/edit#gid=1251630045"",""articles_with_PRISMA_reasons!B2:B2113""))&gt;=2),
""Exclude""
)"),"Exclude")</f>
        <v>Exclude</v>
      </c>
      <c r="E1360" s="5" t="str">
        <f>IFERROR(__xludf.DUMMYFUNCTION("IFS(
D1360=""Exclude"",""Exclude"",
AND(
FILTER(IMPORTRANGE(""https://docs.google.com/spreadsheets/d/1qpEmbGH0JjaJbUdp21-y2cPbobDbMjr09BbtdKROZWc/edit#gid=1444865654"",""articles_with_PRISMA_reasons!W2:W2113""), $A1360=IMPORTRANGE(""https://docs.google.co"&amp;"m/spreadsheets/d/1qpEmbGH0JjaJbUdp21-y2cPbobDbMjr09BbtdKROZWc/edit#gid=1444865654"",""articles_with_PRISMA_reasons!B2:B2113""))&gt;=2,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$A1360=IMPORTRANGE(""https://docs.google.com/spreadsheets/d/1qpEmbGH0JjaJbUdp21-y2cPbobDbMjr09BbtdKROZWc/edit#gid=1444865654"",""articles_with_PRISMA_reasons!B2:B2113""))&lt;2),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$A1360=IMPORTRANGE(""https://docs.google.com/spreadsheets/d/1qpEmbGH0JjaJbUdp21-y2cPbobDbMjr09Bbtd"&amp;"KROZWc/edit#gid=1444865654"",""articles_with_PRISMA_reasons!B2:B2113""))&lt;2,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$A1360=I"&amp;"MPORTRANGE(""https://docs.google.com/spreadsheets/d/1qpEmbGH0JjaJbUdp21-y2cPbobDbMjr09BbtdKROZWc/edit#gid=1444865654"",""articles_with_PRISMA_reasons!B2:B2113""))&gt;=2),
""Exclude""
)"),"Exclude")</f>
        <v>Exclude</v>
      </c>
      <c r="F1360" s="5" t="str">
        <f>IFERROR(__xludf.DUMMYFUNCTION("IFS(
E1360=""Exclude"",""Exclude"",
AND(
COUNTIF(
IMPORTRANGE(""https://docs.google.com/spreadsheets/d/1kGrh75X1cNR1D7_FcY9zMnHP8iPO4M5RCRjy6nZY0TY/edit#gid=0"",""Table 1: Study characteristics!B4:B171""),A1360)&gt;0,
COUNTIF(Studies!$A$2:$A$85,FILTER(IMPORT"&amp;"RANGE(""https://docs.google.com/spreadsheets/d/1kGrh75X1cNR1D7_FcY9zMnHP8iPO4M5RCRjy6nZY0TY/edit#gid=0"",""Table 1: Study characteristics!A4:A171""), $A1360=IMPORTRANGE(""https://docs.google.com/spreadsheets/d/1kGrh75X1cNR1D7_FcY9zMnHP8iPO4M5RCRjy6nZY0TY/"&amp;"edit#gid=0"",""Table 1: Study characteristics!B4:B171"")))&gt;0
),
""Include""
)"),"Exclude")</f>
        <v>Exclude</v>
      </c>
      <c r="G1360" s="5" t="s">
        <v>7</v>
      </c>
    </row>
    <row r="1361">
      <c r="A1361" s="4" t="str">
        <f>IFERROR(__xludf.DUMMYFUNCTION("""COMPUTED_VALUE"""),"One-year treatment with recombinant human growth hormone of children with meningomyelocele and growth hormone deficiency: a comparison of supine length and arm span")</f>
        <v>One-year treatment with recombinant human growth hormone of children with meningomyelocele and growth hormone deficiency: a comparison of supine length and arm span</v>
      </c>
      <c r="B1361" s="5" t="str">
        <f>IFERROR(__xludf.DUMMYFUNCTION("LEFT(FILTER(IMPORTRANGE(""https://docs.google.com/spreadsheets/d/1BJSV3WBYJGRhQ6zExamkszQ5VutGIcaQqmbD9ZTVXMQ/edit#gid=1251630045"",""articles_with_PRISMA_reasons!K2:K2113""), $A1361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$A1361=IMPORTRANGE(""https://docs.google.com/spreadsheets/d/1BJSV3WBYJGRhQ6zExamkszQ5VutGIcaQqmbD9ZTVXMQ/edit#gid=1251630045"",""articles_with_PRISMA_reasons!B2:B2113"")))-1)"),"Buten and t")</f>
        <v>Buten and t</v>
      </c>
      <c r="C1361" s="3">
        <v>1999.0</v>
      </c>
      <c r="D1361" s="5" t="str">
        <f>IFERROR(__xludf.DUMMYFUNCTION("IFS(AND(
FILTER(IMPORTRANGE(""https://docs.google.com/spreadsheets/d/1BJSV3WBYJGRhQ6zExamkszQ5VutGIcaQqmbD9ZTVXMQ/edit#gid=1251630045"",""articles_with_PRISMA_reasons!Y2:Y2113""), $A1361=IMPORTRANGE(""https://docs.google.com/spreadsheets/d/1BJSV3WBYJGRhQ6"&amp;"zExamkszQ5VutGIcaQqmbD9ZTVXMQ/edit#gid=1251630045"",""articles_with_PRISMA_reasons!B2:B2113""))&gt;=2,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$A1361=IMPORTRANGE(""https://docs.google.com/spreadsheets/d/1BJSV3WBYJGRhQ6zExamkszQ5VutGIcaQqmbD9ZTVXMQ/edit#gid=1251630045"",""articles_with_PRISMA_reasons!B2:B2113""))&lt;2),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$A1361=IMPORTRANGE(""https://docs.google.com/spreadsheets/d/1BJSV3WBYJGRhQ6zExamkszQ5VutGIcaQqmbD9ZTVXMQ/edit#gid=1251630045"",""a"&amp;"rticles_with_PRISMA_reasons!B2:B2113""))&lt;2,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$A1361=IMPORTRANGE(""https://docs.google"&amp;".com/spreadsheets/d/1BJSV3WBYJGRhQ6zExamkszQ5VutGIcaQqmbD9ZTVXMQ/edit#gid=1251630045"",""articles_with_PRISMA_reasons!B2:B2113""))&gt;=2),
""Exclude""
)"),"Exclude")</f>
        <v>Exclude</v>
      </c>
      <c r="E1361" s="5" t="str">
        <f>IFERROR(__xludf.DUMMYFUNCTION("IFS(
D1361=""Exclude"",""Exclude"",
AND(
FILTER(IMPORTRANGE(""https://docs.google.com/spreadsheets/d/1qpEmbGH0JjaJbUdp21-y2cPbobDbMjr09BbtdKROZWc/edit#gid=1444865654"",""articles_with_PRISMA_reasons!W2:W2113""), $A1361=IMPORTRANGE(""https://docs.google.co"&amp;"m/spreadsheets/d/1qpEmbGH0JjaJbUdp21-y2cPbobDbMjr09BbtdKROZWc/edit#gid=1444865654"",""articles_with_PRISMA_reasons!B2:B2113""))&gt;=2,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$A1361=IMPORTRANGE(""https://docs.google.com/spreadsheets/d/1qpEmbGH0JjaJbUdp21-y2cPbobDbMjr09BbtdKROZWc/edit#gid=1444865654"",""articles_with_PRISMA_reasons!B2:B2113""))&lt;2),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$A1361=IMPORTRANGE(""https://docs.google.com/spreadsheets/d/1qpEmbGH0JjaJbUdp21-y2cPbobDbMjr09Bbtd"&amp;"KROZWc/edit#gid=1444865654"",""articles_with_PRISMA_reasons!B2:B2113""))&lt;2,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$A1361=I"&amp;"MPORTRANGE(""https://docs.google.com/spreadsheets/d/1qpEmbGH0JjaJbUdp21-y2cPbobDbMjr09BbtdKROZWc/edit#gid=1444865654"",""articles_with_PRISMA_reasons!B2:B2113""))&gt;=2),
""Exclude""
)"),"Exclude")</f>
        <v>Exclude</v>
      </c>
      <c r="F1361" s="5" t="str">
        <f>IFERROR(__xludf.DUMMYFUNCTION("IFS(
E1361=""Exclude"",""Exclude"",
AND(
COUNTIF(
IMPORTRANGE(""https://docs.google.com/spreadsheets/d/1kGrh75X1cNR1D7_FcY9zMnHP8iPO4M5RCRjy6nZY0TY/edit#gid=0"",""Table 1: Study characteristics!B4:B171""),A1361)&gt;0,
COUNTIF(Studies!$A$2:$A$85,FILTER(IMPORT"&amp;"RANGE(""https://docs.google.com/spreadsheets/d/1kGrh75X1cNR1D7_FcY9zMnHP8iPO4M5RCRjy6nZY0TY/edit#gid=0"",""Table 1: Study characteristics!A4:A171""), $A1361=IMPORTRANGE(""https://docs.google.com/spreadsheets/d/1kGrh75X1cNR1D7_FcY9zMnHP8iPO4M5RCRjy6nZY0TY/"&amp;"edit#gid=0"",""Table 1: Study characteristics!B4:B171"")))&gt;0
),
""Include""
)"),"Exclude")</f>
        <v>Exclude</v>
      </c>
      <c r="G1361" s="2" t="s">
        <v>13</v>
      </c>
    </row>
    <row r="1362">
      <c r="A1362" s="4" t="str">
        <f>IFERROR(__xludf.DUMMYFUNCTION("""COMPUTED_VALUE"""),"Open Fetal Microneurosurgery for Intrauterine Spina Bifida Repair")</f>
        <v>Open Fetal Microneurosurgery for Intrauterine Spina Bifida Repair</v>
      </c>
      <c r="B1362" s="5" t="str">
        <f>IFERROR(__xludf.DUMMYFUNCTION("LEFT(FILTER(IMPORTRANGE(""https://docs.google.com/spreadsheets/d/1BJSV3WBYJGRhQ6zExamkszQ5VutGIcaQqmbD9ZTVXMQ/edit#gid=1251630045"",""articles_with_PRISMA_reasons!K2:K2113""), $A1362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$A1362=IMPORTRANGE(""https://docs.google.com/spreadsheets/d/1BJSV3WBYJGRhQ6zExamkszQ5VutGIcaQqmbD9ZTVXMQ/edit#gid=1251630045"",""articles_with_PRISMA_reasons!B2:B2113"")))-1)"),"Gamez-Varela")</f>
        <v>Gamez-Varela</v>
      </c>
      <c r="C1362" s="6">
        <f>IFERROR(__xludf.DUMMYFUNCTION("FILTER(IMPORTRANGE(""https://docs.google.com/spreadsheets/d/1BJSV3WBYJGRhQ6zExamkszQ5VutGIcaQqmbD9ZTVXMQ/edit#gid=1251630045"",""articles_with_PRISMA_reasons!C2:C2113""), $A1362=IMPORTRANGE(""https://docs.google.com/spreadsheets/d/1BJSV3WBYJGRhQ6zExamkszQ"&amp;"5VutGIcaQqmbD9ZTVXMQ/edit#gid=1251630045"",""articles_with_PRISMA_reasons!B2:B2113""))"),2021.0)</f>
        <v>2021</v>
      </c>
      <c r="D1362" s="5" t="str">
        <f>IFERROR(__xludf.DUMMYFUNCTION("IFS(AND(
FILTER(IMPORTRANGE(""https://docs.google.com/spreadsheets/d/1BJSV3WBYJGRhQ6zExamkszQ5VutGIcaQqmbD9ZTVXMQ/edit#gid=1251630045"",""articles_with_PRISMA_reasons!Y2:Y2113""), $A1362=IMPORTRANGE(""https://docs.google.com/spreadsheets/d/1BJSV3WBYJGRhQ6"&amp;"zExamkszQ5VutGIcaQqmbD9ZTVXMQ/edit#gid=1251630045"",""articles_with_PRISMA_reasons!B2:B2113""))&gt;=2,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$A1362=IMPORTRANGE(""https://docs.google.com/spreadsheets/d/1BJSV3WBYJGRhQ6zExamkszQ5VutGIcaQqmbD9ZTVXMQ/edit#gid=1251630045"",""articles_with_PRISMA_reasons!B2:B2113""))&lt;2),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$A1362=IMPORTRANGE(""https://docs.google.com/spreadsheets/d/1BJSV3WBYJGRhQ6zExamkszQ5VutGIcaQqmbD9ZTVXMQ/edit#gid=1251630045"",""a"&amp;"rticles_with_PRISMA_reasons!B2:B2113""))&lt;2,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$A1362=IMPORTRANGE(""https://docs.google"&amp;".com/spreadsheets/d/1BJSV3WBYJGRhQ6zExamkszQ5VutGIcaQqmbD9ZTVXMQ/edit#gid=1251630045"",""articles_with_PRISMA_reasons!B2:B2113""))&gt;=2),
""Exclude""
)"),"Exclude")</f>
        <v>Exclude</v>
      </c>
      <c r="E1362" s="5" t="str">
        <f>IFERROR(__xludf.DUMMYFUNCTION("IFS(
D1362=""Exclude"",""Exclude"",
AND(
FILTER(IMPORTRANGE(""https://docs.google.com/spreadsheets/d/1qpEmbGH0JjaJbUdp21-y2cPbobDbMjr09BbtdKROZWc/edit#gid=1444865654"",""articles_with_PRISMA_reasons!W2:W2113""), $A1362=IMPORTRANGE(""https://docs.google.co"&amp;"m/spreadsheets/d/1qpEmbGH0JjaJbUdp21-y2cPbobDbMjr09BbtdKROZWc/edit#gid=1444865654"",""articles_with_PRISMA_reasons!B2:B2113""))&gt;=2,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$A1362=IMPORTRANGE(""https://docs.google.com/spreadsheets/d/1qpEmbGH0JjaJbUdp21-y2cPbobDbMjr09BbtdKROZWc/edit#gid=1444865654"",""articles_with_PRISMA_reasons!B2:B2113""))&lt;2),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$A1362=IMPORTRANGE(""https://docs.google.com/spreadsheets/d/1qpEmbGH0JjaJbUdp21-y2cPbobDbMjr09Bbtd"&amp;"KROZWc/edit#gid=1444865654"",""articles_with_PRISMA_reasons!B2:B2113""))&lt;2,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$A1362=I"&amp;"MPORTRANGE(""https://docs.google.com/spreadsheets/d/1qpEmbGH0JjaJbUdp21-y2cPbobDbMjr09BbtdKROZWc/edit#gid=1444865654"",""articles_with_PRISMA_reasons!B2:B2113""))&gt;=2),
""Exclude""
)"),"Exclude")</f>
        <v>Exclude</v>
      </c>
      <c r="F1362" s="5" t="str">
        <f>IFERROR(__xludf.DUMMYFUNCTION("IFS(
E1362=""Exclude"",""Exclude"",
AND(
COUNTIF(
IMPORTRANGE(""https://docs.google.com/spreadsheets/d/1kGrh75X1cNR1D7_FcY9zMnHP8iPO4M5RCRjy6nZY0TY/edit#gid=0"",""Table 1: Study characteristics!B4:B171""),A1362)&gt;0,
COUNTIF(Studies!$A$2:$A$85,FILTER(IMPORT"&amp;"RANGE(""https://docs.google.com/spreadsheets/d/1kGrh75X1cNR1D7_FcY9zMnHP8iPO4M5RCRjy6nZY0TY/edit#gid=0"",""Table 1: Study characteristics!A4:A171""), $A1362=IMPORTRANGE(""https://docs.google.com/spreadsheets/d/1kGrh75X1cNR1D7_FcY9zMnHP8iPO4M5RCRjy6nZY0TY/"&amp;"edit#gid=0"",""Table 1: Study characteristics!B4:B171"")))&gt;0
),
""Include""
)"),"Exclude")</f>
        <v>Exclude</v>
      </c>
      <c r="G1362" s="5" t="str">
        <f>IFERROR(__xludf.DUMMYFUNCTION("IFS(
D1362=""Exclude"",
FILTER(IMPORTRANGE(""https://docs.google.com/spreadsheets/d/1BJSV3WBYJGRhQ6zExamkszQ5VutGIcaQqmbD9ZTVXMQ/edit#gid=1251630045"",""articles_with_PRISMA_reasons!AB2:AB2113""), $A1362=IMPORTRANGE(""https://docs.google.com/spreadsheets/"&amp;"d/1BJSV3WBYJGRhQ6zExamkszQ5VutGIcaQqmbD9ZTVXMQ/edit#gid=1251630045"",""articles_with_PRISMA_reasons!B2:B2113"")),
E1362=""Exclude"",
FILTER(IMPORTRANGE(""https://docs.google.com/spreadsheets/d/1qpEmbGH0JjaJbUdp21-y2cPbobDbMjr09BbtdKROZWc/edit#gid=14448656"&amp;"54"",""articles_with_PRISMA_reasons!Z2:Z2113""), $A1362=IMPORTRANGE(""https://docs.google.com/spreadsheets/d/1qpEmbGH0JjaJbUdp21-y2cPbobDbMjr09BbtdKROZWc/edit#gid=1444865654"",""articles_with_PRISMA_reasons!B2:B2113"")),F1362
=""Include"",FILTER(IMPORTRAN"&amp;"GE(""https://docs.google.com/spreadsheets/d/1kGrh75X1cNR1D7_FcY9zMnHP8iPO4M5RCRjy6nZY0TY/edit#gid=0"",""Table 1: Study characteristics!A4:A171""), $A1362=IMPORTRANGE(""https://docs.google.com/spreadsheets/d/1kGrh75X1cNR1D7_FcY9zMnHP8iPO4M5RCRjy6nZY0TY/edi"&amp;"t#gid=0"",""Table 1: Study characteristics!B4:B171""))
)"),"Ante-natal intervention")</f>
        <v>Ante-natal intervention</v>
      </c>
    </row>
    <row r="1363">
      <c r="A1363" s="4" t="str">
        <f>IFERROR(__xludf.DUMMYFUNCTION("""COMPUTED_VALUE"""),"Open fetal surgery for myelomeningocele")</f>
        <v>Open fetal surgery for myelomeningocele</v>
      </c>
      <c r="B1363" s="5" t="str">
        <f>IFERROR(__xludf.DUMMYFUNCTION("LEFT(FILTER(IMPORTRANGE(""https://docs.google.com/spreadsheets/d/1BJSV3WBYJGRhQ6zExamkszQ5VutGIcaQqmbD9ZTVXMQ/edit#gid=1251630045"",""articles_with_PRISMA_reasons!K2:K2113""), $A1363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$A1363=IMPORTRANGE(""https://docs.google.com/spreadsheets/d/1BJSV3WBYJGRhQ6zExamkszQ5VutGIcaQqmbD9ZTVXMQ/edit#gid=1251630045"",""articles_with_PRISMA_reasons!B2:B2113"")))-1)"),"Bebbington")</f>
        <v>Bebbington</v>
      </c>
      <c r="C1363" s="3">
        <v>2011.0</v>
      </c>
      <c r="D1363" s="5" t="str">
        <f>IFERROR(__xludf.DUMMYFUNCTION("IFS(AND(
FILTER(IMPORTRANGE(""https://docs.google.com/spreadsheets/d/1BJSV3WBYJGRhQ6zExamkszQ5VutGIcaQqmbD9ZTVXMQ/edit#gid=1251630045"",""articles_with_PRISMA_reasons!Y2:Y2113""), $A1363=IMPORTRANGE(""https://docs.google.com/spreadsheets/d/1BJSV3WBYJGRhQ6"&amp;"zExamkszQ5VutGIcaQqmbD9ZTVXMQ/edit#gid=1251630045"",""articles_with_PRISMA_reasons!B2:B2113""))&gt;=2,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$A1363=IMPORTRANGE(""https://docs.google.com/spreadsheets/d/1BJSV3WBYJGRhQ6zExamkszQ5VutGIcaQqmbD9ZTVXMQ/edit#gid=1251630045"",""articles_with_PRISMA_reasons!B2:B2113""))&lt;2),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$A1363=IMPORTRANGE(""https://docs.google.com/spreadsheets/d/1BJSV3WBYJGRhQ6zExamkszQ5VutGIcaQqmbD9ZTVXMQ/edit#gid=1251630045"",""a"&amp;"rticles_with_PRISMA_reasons!B2:B2113""))&lt;2,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$A1363=IMPORTRANGE(""https://docs.google"&amp;".com/spreadsheets/d/1BJSV3WBYJGRhQ6zExamkszQ5VutGIcaQqmbD9ZTVXMQ/edit#gid=1251630045"",""articles_with_PRISMA_reasons!B2:B2113""))&gt;=2),
""Exclude""
)"),"Exclude")</f>
        <v>Exclude</v>
      </c>
      <c r="E1363" s="5" t="str">
        <f>IFERROR(__xludf.DUMMYFUNCTION("IFS(
D1363=""Exclude"",""Exclude"",
AND(
FILTER(IMPORTRANGE(""https://docs.google.com/spreadsheets/d/1qpEmbGH0JjaJbUdp21-y2cPbobDbMjr09BbtdKROZWc/edit#gid=1444865654"",""articles_with_PRISMA_reasons!W2:W2113""), $A1363=IMPORTRANGE(""https://docs.google.co"&amp;"m/spreadsheets/d/1qpEmbGH0JjaJbUdp21-y2cPbobDbMjr09BbtdKROZWc/edit#gid=1444865654"",""articles_with_PRISMA_reasons!B2:B2113""))&gt;=2,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$A1363=IMPORTRANGE(""https://docs.google.com/spreadsheets/d/1qpEmbGH0JjaJbUdp21-y2cPbobDbMjr09BbtdKROZWc/edit#gid=1444865654"",""articles_with_PRISMA_reasons!B2:B2113""))&lt;2),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$A1363=IMPORTRANGE(""https://docs.google.com/spreadsheets/d/1qpEmbGH0JjaJbUdp21-y2cPbobDbMjr09Bbtd"&amp;"KROZWc/edit#gid=1444865654"",""articles_with_PRISMA_reasons!B2:B2113""))&lt;2,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$A1363=I"&amp;"MPORTRANGE(""https://docs.google.com/spreadsheets/d/1qpEmbGH0JjaJbUdp21-y2cPbobDbMjr09BbtdKROZWc/edit#gid=1444865654"",""articles_with_PRISMA_reasons!B2:B2113""))&gt;=2),
""Exclude""
)"),"Exclude")</f>
        <v>Exclude</v>
      </c>
      <c r="F1363" s="5" t="str">
        <f>IFERROR(__xludf.DUMMYFUNCTION("IFS(
E1363=""Exclude"",""Exclude"",
AND(
COUNTIF(
IMPORTRANGE(""https://docs.google.com/spreadsheets/d/1kGrh75X1cNR1D7_FcY9zMnHP8iPO4M5RCRjy6nZY0TY/edit#gid=0"",""Table 1: Study characteristics!B4:B171""),A1363)&gt;0,
COUNTIF(Studies!$A$2:$A$85,FILTER(IMPORT"&amp;"RANGE(""https://docs.google.com/spreadsheets/d/1kGrh75X1cNR1D7_FcY9zMnHP8iPO4M5RCRjy6nZY0TY/edit#gid=0"",""Table 1: Study characteristics!A4:A171""), $A1363=IMPORTRANGE(""https://docs.google.com/spreadsheets/d/1kGrh75X1cNR1D7_FcY9zMnHP8iPO4M5RCRjy6nZY0TY/"&amp;"edit#gid=0"",""Table 1: Study characteristics!B4:B171"")))&gt;0
),
""Include""
)"),"Exclude")</f>
        <v>Exclude</v>
      </c>
      <c r="G1363" s="5" t="s">
        <v>7</v>
      </c>
    </row>
    <row r="1364">
      <c r="A1364" s="4" t="str">
        <f>IFERROR(__xludf.DUMMYFUNCTION("""COMPUTED_VALUE"""),"Open fetal surgery for myelomeningocele")</f>
        <v>Open fetal surgery for myelomeningocele</v>
      </c>
      <c r="B1364" s="5" t="str">
        <f>IFERROR(__xludf.DUMMYFUNCTION("LEFT(FILTER(IMPORTRANGE(""https://docs.google.com/spreadsheets/d/1BJSV3WBYJGRhQ6zExamkszQ5VutGIcaQqmbD9ZTVXMQ/edit#gid=1251630045"",""articles_with_PRISMA_reasons!K2:K2113""), $A1364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$A1364=IMPORTRANGE(""https://docs.google.com/spreadsheets/d/1BJSV3WBYJGRhQ6zExamkszQ5VutGIcaQqmbD9ZTVXMQ/edit#gid=1251630045"",""articles_with_PRISMA_reasons!B2:B2113"")))-1)"),"Bebbington")</f>
        <v>Bebbington</v>
      </c>
      <c r="C1364" s="3">
        <v>2011.0</v>
      </c>
      <c r="D1364" s="5" t="str">
        <f>IFERROR(__xludf.DUMMYFUNCTION("IFS(AND(
FILTER(IMPORTRANGE(""https://docs.google.com/spreadsheets/d/1BJSV3WBYJGRhQ6zExamkszQ5VutGIcaQqmbD9ZTVXMQ/edit#gid=1251630045"",""articles_with_PRISMA_reasons!Y2:Y2113""), $A1364=IMPORTRANGE(""https://docs.google.com/spreadsheets/d/1BJSV3WBYJGRhQ6"&amp;"zExamkszQ5VutGIcaQqmbD9ZTVXMQ/edit#gid=1251630045"",""articles_with_PRISMA_reasons!B2:B2113""))&gt;=2,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$A1364=IMPORTRANGE(""https://docs.google.com/spreadsheets/d/1BJSV3WBYJGRhQ6zExamkszQ5VutGIcaQqmbD9ZTVXMQ/edit#gid=1251630045"",""articles_with_PRISMA_reasons!B2:B2113""))&lt;2),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$A1364=IMPORTRANGE(""https://docs.google.com/spreadsheets/d/1BJSV3WBYJGRhQ6zExamkszQ5VutGIcaQqmbD9ZTVXMQ/edit#gid=1251630045"",""a"&amp;"rticles_with_PRISMA_reasons!B2:B2113""))&lt;2,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$A1364=IMPORTRANGE(""https://docs.google"&amp;".com/spreadsheets/d/1BJSV3WBYJGRhQ6zExamkszQ5VutGIcaQqmbD9ZTVXMQ/edit#gid=1251630045"",""articles_with_PRISMA_reasons!B2:B2113""))&gt;=2),
""Exclude""
)"),"Exclude")</f>
        <v>Exclude</v>
      </c>
      <c r="E1364" s="5" t="str">
        <f>IFERROR(__xludf.DUMMYFUNCTION("IFS(
D1364=""Exclude"",""Exclude"",
AND(
FILTER(IMPORTRANGE(""https://docs.google.com/spreadsheets/d/1qpEmbGH0JjaJbUdp21-y2cPbobDbMjr09BbtdKROZWc/edit#gid=1444865654"",""articles_with_PRISMA_reasons!W2:W2113""), $A1364=IMPORTRANGE(""https://docs.google.co"&amp;"m/spreadsheets/d/1qpEmbGH0JjaJbUdp21-y2cPbobDbMjr09BbtdKROZWc/edit#gid=1444865654"",""articles_with_PRISMA_reasons!B2:B2113""))&gt;=2,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$A1364=IMPORTRANGE(""https://docs.google.com/spreadsheets/d/1qpEmbGH0JjaJbUdp21-y2cPbobDbMjr09BbtdKROZWc/edit#gid=1444865654"",""articles_with_PRISMA_reasons!B2:B2113""))&lt;2),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$A1364=IMPORTRANGE(""https://docs.google.com/spreadsheets/d/1qpEmbGH0JjaJbUdp21-y2cPbobDbMjr09Bbtd"&amp;"KROZWc/edit#gid=1444865654"",""articles_with_PRISMA_reasons!B2:B2113""))&lt;2,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$A1364=I"&amp;"MPORTRANGE(""https://docs.google.com/spreadsheets/d/1qpEmbGH0JjaJbUdp21-y2cPbobDbMjr09BbtdKROZWc/edit#gid=1444865654"",""articles_with_PRISMA_reasons!B2:B2113""))&gt;=2),
""Exclude""
)"),"Exclude")</f>
        <v>Exclude</v>
      </c>
      <c r="F1364" s="5" t="str">
        <f>IFERROR(__xludf.DUMMYFUNCTION("IFS(
E1364=""Exclude"",""Exclude"",
AND(
COUNTIF(
IMPORTRANGE(""https://docs.google.com/spreadsheets/d/1kGrh75X1cNR1D7_FcY9zMnHP8iPO4M5RCRjy6nZY0TY/edit#gid=0"",""Table 1: Study characteristics!B4:B171""),A1364)&gt;0,
COUNTIF(Studies!$A$2:$A$85,FILTER(IMPORT"&amp;"RANGE(""https://docs.google.com/spreadsheets/d/1kGrh75X1cNR1D7_FcY9zMnHP8iPO4M5RCRjy6nZY0TY/edit#gid=0"",""Table 1: Study characteristics!A4:A171""), $A1364=IMPORTRANGE(""https://docs.google.com/spreadsheets/d/1kGrh75X1cNR1D7_FcY9zMnHP8iPO4M5RCRjy6nZY0TY/"&amp;"edit#gid=0"",""Table 1: Study characteristics!B4:B171"")))&gt;0
),
""Include""
)"),"Exclude")</f>
        <v>Exclude</v>
      </c>
      <c r="G1364" s="2" t="s">
        <v>13</v>
      </c>
    </row>
    <row r="1365">
      <c r="A1365" s="4" t="str">
        <f>IFERROR(__xludf.DUMMYFUNCTION("""COMPUTED_VALUE"""),"Open fetal surgery for myelomeningocele: A review")</f>
        <v>Open fetal surgery for myelomeningocele: A review</v>
      </c>
      <c r="B1365" s="5" t="str">
        <f>IFERROR(__xludf.DUMMYFUNCTION("LEFT(FILTER(IMPORTRANGE(""https://docs.google.com/spreadsheets/d/1BJSV3WBYJGRhQ6zExamkszQ5VutGIcaQqmbD9ZTVXMQ/edit#gid=1251630045"",""articles_with_PRISMA_reasons!K2:K2113""), $A1365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$A1365=IMPORTRANGE(""https://docs.google.com/spreadsheets/d/1BJSV3WBYJGRhQ6zExamkszQ5VutGIcaQqmbD9ZTVXMQ/edit#gid=1251630045"",""articles_with_PRISMA_reasons!B2:B2113"")))-1)"),"Gupta")</f>
        <v>Gupta</v>
      </c>
      <c r="C1365" s="6">
        <f>IFERROR(__xludf.DUMMYFUNCTION("FILTER(IMPORTRANGE(""https://docs.google.com/spreadsheets/d/1BJSV3WBYJGRhQ6zExamkszQ5VutGIcaQqmbD9ZTVXMQ/edit#gid=1251630045"",""articles_with_PRISMA_reasons!C2:C2113""), $A1365=IMPORTRANGE(""https://docs.google.com/spreadsheets/d/1BJSV3WBYJGRhQ6zExamkszQ"&amp;"5VutGIcaQqmbD9ZTVXMQ/edit#gid=1251630045"",""articles_with_PRISMA_reasons!B2:B2113""))"),2012.0)</f>
        <v>2012</v>
      </c>
      <c r="D1365" s="5" t="str">
        <f>IFERROR(__xludf.DUMMYFUNCTION("IFS(AND(
FILTER(IMPORTRANGE(""https://docs.google.com/spreadsheets/d/1BJSV3WBYJGRhQ6zExamkszQ5VutGIcaQqmbD9ZTVXMQ/edit#gid=1251630045"",""articles_with_PRISMA_reasons!Y2:Y2113""), $A1365=IMPORTRANGE(""https://docs.google.com/spreadsheets/d/1BJSV3WBYJGRhQ6"&amp;"zExamkszQ5VutGIcaQqmbD9ZTVXMQ/edit#gid=1251630045"",""articles_with_PRISMA_reasons!B2:B2113""))&gt;=2,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$A1365=IMPORTRANGE(""https://docs.google.com/spreadsheets/d/1BJSV3WBYJGRhQ6zExamkszQ5VutGIcaQqmbD9ZTVXMQ/edit#gid=1251630045"",""articles_with_PRISMA_reasons!B2:B2113""))&lt;2),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$A1365=IMPORTRANGE(""https://docs.google.com/spreadsheets/d/1BJSV3WBYJGRhQ6zExamkszQ5VutGIcaQqmbD9ZTVXMQ/edit#gid=1251630045"",""a"&amp;"rticles_with_PRISMA_reasons!B2:B2113""))&lt;2,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$A1365=IMPORTRANGE(""https://docs.google"&amp;".com/spreadsheets/d/1BJSV3WBYJGRhQ6zExamkszQ5VutGIcaQqmbD9ZTVXMQ/edit#gid=1251630045"",""articles_with_PRISMA_reasons!B2:B2113""))&gt;=2),
""Exclude""
)"),"Exclude")</f>
        <v>Exclude</v>
      </c>
      <c r="E1365" s="5" t="str">
        <f>IFERROR(__xludf.DUMMYFUNCTION("IFS(
D1365=""Exclude"",""Exclude"",
AND(
FILTER(IMPORTRANGE(""https://docs.google.com/spreadsheets/d/1qpEmbGH0JjaJbUdp21-y2cPbobDbMjr09BbtdKROZWc/edit#gid=1444865654"",""articles_with_PRISMA_reasons!W2:W2113""), $A1365=IMPORTRANGE(""https://docs.google.co"&amp;"m/spreadsheets/d/1qpEmbGH0JjaJbUdp21-y2cPbobDbMjr09BbtdKROZWc/edit#gid=1444865654"",""articles_with_PRISMA_reasons!B2:B2113""))&gt;=2,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$A1365=IMPORTRANGE(""https://docs.google.com/spreadsheets/d/1qpEmbGH0JjaJbUdp21-y2cPbobDbMjr09BbtdKROZWc/edit#gid=1444865654"",""articles_with_PRISMA_reasons!B2:B2113""))&lt;2),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$A1365=IMPORTRANGE(""https://docs.google.com/spreadsheets/d/1qpEmbGH0JjaJbUdp21-y2cPbobDbMjr09Bbtd"&amp;"KROZWc/edit#gid=1444865654"",""articles_with_PRISMA_reasons!B2:B2113""))&lt;2,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$A1365=I"&amp;"MPORTRANGE(""https://docs.google.com/spreadsheets/d/1qpEmbGH0JjaJbUdp21-y2cPbobDbMjr09BbtdKROZWc/edit#gid=1444865654"",""articles_with_PRISMA_reasons!B2:B2113""))&gt;=2),
""Exclude""
)"),"Exclude")</f>
        <v>Exclude</v>
      </c>
      <c r="F1365" s="5" t="str">
        <f>IFERROR(__xludf.DUMMYFUNCTION("IFS(
E1365=""Exclude"",""Exclude"",
AND(
COUNTIF(
IMPORTRANGE(""https://docs.google.com/spreadsheets/d/1kGrh75X1cNR1D7_FcY9zMnHP8iPO4M5RCRjy6nZY0TY/edit#gid=0"",""Table 1: Study characteristics!B4:B171""),A1365)&gt;0,
COUNTIF(Studies!$A$2:$A$85,FILTER(IMPORT"&amp;"RANGE(""https://docs.google.com/spreadsheets/d/1kGrh75X1cNR1D7_FcY9zMnHP8iPO4M5RCRjy6nZY0TY/edit#gid=0"",""Table 1: Study characteristics!A4:A171""), $A1365=IMPORTRANGE(""https://docs.google.com/spreadsheets/d/1kGrh75X1cNR1D7_FcY9zMnHP8iPO4M5RCRjy6nZY0TY/"&amp;"edit#gid=0"",""Table 1: Study characteristics!B4:B171"")))&gt;0
),
""Include""
)"),"Exclude")</f>
        <v>Exclude</v>
      </c>
      <c r="G1365" s="5" t="str">
        <f>IFERROR(__xludf.DUMMYFUNCTION("IFS(
D1365=""Exclude"",
FILTER(IMPORTRANGE(""https://docs.google.com/spreadsheets/d/1BJSV3WBYJGRhQ6zExamkszQ5VutGIcaQqmbD9ZTVXMQ/edit#gid=1251630045"",""articles_with_PRISMA_reasons!AB2:AB2113""), $A1365=IMPORTRANGE(""https://docs.google.com/spreadsheets/"&amp;"d/1BJSV3WBYJGRhQ6zExamkszQ5VutGIcaQqmbD9ZTVXMQ/edit#gid=1251630045"",""articles_with_PRISMA_reasons!B2:B2113"")),
E1365=""Exclude"",
FILTER(IMPORTRANGE(""https://docs.google.com/spreadsheets/d/1qpEmbGH0JjaJbUdp21-y2cPbobDbMjr09BbtdKROZWc/edit#gid=14448656"&amp;"54"",""articles_with_PRISMA_reasons!Z2:Z2113""), $A1365=IMPORTRANGE(""https://docs.google.com/spreadsheets/d/1qpEmbGH0JjaJbUdp21-y2cPbobDbMjr09BbtdKROZWc/edit#gid=1444865654"",""articles_with_PRISMA_reasons!B2:B2113"")),F1365
=""Include"",FILTER(IMPORTRAN"&amp;"GE(""https://docs.google.com/spreadsheets/d/1kGrh75X1cNR1D7_FcY9zMnHP8iPO4M5RCRjy6nZY0TY/edit#gid=0"",""Table 1: Study characteristics!A4:A171""), $A1365=IMPORTRANGE(""https://docs.google.com/spreadsheets/d/1kGrh75X1cNR1D7_FcY9zMnHP8iPO4M5RCRjy6nZY0TY/edi"&amp;"t#gid=0"",""Table 1: Study characteristics!B4:B171""))
)"),"Duplicate")</f>
        <v>Duplicate</v>
      </c>
    </row>
    <row r="1366">
      <c r="A1366" s="4" t="str">
        <f>IFERROR(__xludf.DUMMYFUNCTION("""COMPUTED_VALUE"""),"Open fetal surgery for nonlethal malformations")</f>
        <v>Open fetal surgery for nonlethal malformations</v>
      </c>
      <c r="B1366" s="5" t="str">
        <f>IFERROR(__xludf.DUMMYFUNCTION("LEFT(FILTER(IMPORTRANGE(""https://docs.google.com/spreadsheets/d/1BJSV3WBYJGRhQ6zExamkszQ5VutGIcaQqmbD9ZTVXMQ/edit#gid=1251630045"",""articles_with_PRISMA_reasons!K2:K2113""), $A1366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$A1366=IMPORTRANGE(""https://docs.google.com/spreadsheets/d/1BJSV3WBYJGRhQ6zExamkszQ5VutGIcaQqmbD9ZTVXMQ/edit#gid=1251630045"",""articles_with_PRISMA_reasons!B2:B2113"")))-1)"),"Bruner")</f>
        <v>Bruner</v>
      </c>
      <c r="C1366" s="6">
        <f>IFERROR(__xludf.DUMMYFUNCTION("FILTER(IMPORTRANGE(""https://docs.google.com/spreadsheets/d/1BJSV3WBYJGRhQ6zExamkszQ5VutGIcaQqmbD9ZTVXMQ/edit#gid=1251630045"",""articles_with_PRISMA_reasons!C2:C2113""), $A1366=IMPORTRANGE(""https://docs.google.com/spreadsheets/d/1BJSV3WBYJGRhQ6zExamkszQ"&amp;"5VutGIcaQqmbD9ZTVXMQ/edit#gid=1251630045"",""articles_with_PRISMA_reasons!B2:B2113""))"),2001.0)</f>
        <v>2001</v>
      </c>
      <c r="D1366" s="5" t="str">
        <f>IFERROR(__xludf.DUMMYFUNCTION("IFS(AND(
FILTER(IMPORTRANGE(""https://docs.google.com/spreadsheets/d/1BJSV3WBYJGRhQ6zExamkszQ5VutGIcaQqmbD9ZTVXMQ/edit#gid=1251630045"",""articles_with_PRISMA_reasons!Y2:Y2113""), $A1366=IMPORTRANGE(""https://docs.google.com/spreadsheets/d/1BJSV3WBYJGRhQ6"&amp;"zExamkszQ5VutGIcaQqmbD9ZTVXMQ/edit#gid=1251630045"",""articles_with_PRISMA_reasons!B2:B2113""))&gt;=2,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$A1366=IMPORTRANGE(""https://docs.google.com/spreadsheets/d/1BJSV3WBYJGRhQ6zExamkszQ5VutGIcaQqmbD9ZTVXMQ/edit#gid=1251630045"",""articles_with_PRISMA_reasons!B2:B2113""))&lt;2),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$A1366=IMPORTRANGE(""https://docs.google.com/spreadsheets/d/1BJSV3WBYJGRhQ6zExamkszQ5VutGIcaQqmbD9ZTVXMQ/edit#gid=1251630045"",""a"&amp;"rticles_with_PRISMA_reasons!B2:B2113""))&lt;2,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$A1366=IMPORTRANGE(""https://docs.google"&amp;".com/spreadsheets/d/1BJSV3WBYJGRhQ6zExamkszQ5VutGIcaQqmbD9ZTVXMQ/edit#gid=1251630045"",""articles_with_PRISMA_reasons!B2:B2113""))&gt;=2),
""Exclude""
)"),"Exclude")</f>
        <v>Exclude</v>
      </c>
      <c r="E1366" s="5" t="str">
        <f>IFERROR(__xludf.DUMMYFUNCTION("IFS(
D1366=""Exclude"",""Exclude"",
AND(
FILTER(IMPORTRANGE(""https://docs.google.com/spreadsheets/d/1qpEmbGH0JjaJbUdp21-y2cPbobDbMjr09BbtdKROZWc/edit#gid=1444865654"",""articles_with_PRISMA_reasons!W2:W2113""), $A1366=IMPORTRANGE(""https://docs.google.co"&amp;"m/spreadsheets/d/1qpEmbGH0JjaJbUdp21-y2cPbobDbMjr09BbtdKROZWc/edit#gid=1444865654"",""articles_with_PRISMA_reasons!B2:B2113""))&gt;=2,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$A1366=IMPORTRANGE(""https://docs.google.com/spreadsheets/d/1qpEmbGH0JjaJbUdp21-y2cPbobDbMjr09BbtdKROZWc/edit#gid=1444865654"",""articles_with_PRISMA_reasons!B2:B2113""))&lt;2),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$A1366=IMPORTRANGE(""https://docs.google.com/spreadsheets/d/1qpEmbGH0JjaJbUdp21-y2cPbobDbMjr09Bbtd"&amp;"KROZWc/edit#gid=1444865654"",""articles_with_PRISMA_reasons!B2:B2113""))&lt;2,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$A1366=I"&amp;"MPORTRANGE(""https://docs.google.com/spreadsheets/d/1qpEmbGH0JjaJbUdp21-y2cPbobDbMjr09BbtdKROZWc/edit#gid=1444865654"",""articles_with_PRISMA_reasons!B2:B2113""))&gt;=2),
""Exclude""
)"),"Exclude")</f>
        <v>Exclude</v>
      </c>
      <c r="F1366" s="5" t="str">
        <f>IFERROR(__xludf.DUMMYFUNCTION("IFS(
E1366=""Exclude"",""Exclude"",
AND(
COUNTIF(
IMPORTRANGE(""https://docs.google.com/spreadsheets/d/1kGrh75X1cNR1D7_FcY9zMnHP8iPO4M5RCRjy6nZY0TY/edit#gid=0"",""Table 1: Study characteristics!B4:B171""),A1366)&gt;0,
COUNTIF(Studies!$A$2:$A$85,FILTER(IMPORT"&amp;"RANGE(""https://docs.google.com/spreadsheets/d/1kGrh75X1cNR1D7_FcY9zMnHP8iPO4M5RCRjy6nZY0TY/edit#gid=0"",""Table 1: Study characteristics!A4:A171""), $A1366=IMPORTRANGE(""https://docs.google.com/spreadsheets/d/1kGrh75X1cNR1D7_FcY9zMnHP8iPO4M5RCRjy6nZY0TY/"&amp;"edit#gid=0"",""Table 1: Study characteristics!B4:B171"")))&gt;0
),
""Include""
)"),"Exclude")</f>
        <v>Exclude</v>
      </c>
      <c r="G1366" s="5" t="str">
        <f>IFERROR(__xludf.DUMMYFUNCTION("IFS(
D1366=""Exclude"",
FILTER(IMPORTRANGE(""https://docs.google.com/spreadsheets/d/1BJSV3WBYJGRhQ6zExamkszQ5VutGIcaQqmbD9ZTVXMQ/edit#gid=1251630045"",""articles_with_PRISMA_reasons!AB2:AB2113""), $A1366=IMPORTRANGE(""https://docs.google.com/spreadsheets/"&amp;"d/1BJSV3WBYJGRhQ6zExamkszQ5VutGIcaQqmbD9ZTVXMQ/edit#gid=1251630045"",""articles_with_PRISMA_reasons!B2:B2113"")),
E1366=""Exclude"",
FILTER(IMPORTRANGE(""https://docs.google.com/spreadsheets/d/1qpEmbGH0JjaJbUdp21-y2cPbobDbMjr09BbtdKROZWc/edit#gid=14448656"&amp;"54"",""articles_with_PRISMA_reasons!Z2:Z2113""), $A1366=IMPORTRANGE(""https://docs.google.com/spreadsheets/d/1qpEmbGH0JjaJbUdp21-y2cPbobDbMjr09BbtdKROZWc/edit#gid=1444865654"",""articles_with_PRISMA_reasons!B2:B2113"")),F1366
=""Include"",FILTER(IMPORTRAN"&amp;"GE(""https://docs.google.com/spreadsheets/d/1kGrh75X1cNR1D7_FcY9zMnHP8iPO4M5RCRjy6nZY0TY/edit#gid=0"",""Table 1: Study characteristics!A4:A171""), $A1366=IMPORTRANGE(""https://docs.google.com/spreadsheets/d/1kGrh75X1cNR1D7_FcY9zMnHP8iPO4M5RCRjy6nZY0TY/edi"&amp;"t#gid=0"",""Table 1: Study characteristics!B4:B171""))
)"),"Ante-natal intervention")</f>
        <v>Ante-natal intervention</v>
      </c>
    </row>
    <row r="1367">
      <c r="A1367" s="4" t="str">
        <f>IFERROR(__xludf.DUMMYFUNCTION("""COMPUTED_VALUE"""),"Open myelomeningocele--a ten-year review of 200 consecutive closures")</f>
        <v>Open myelomeningocele--a ten-year review of 200 consecutive closures</v>
      </c>
      <c r="B1367" s="5" t="str">
        <f>IFERROR(__xludf.DUMMYFUNCTION("LEFT(FILTER(IMPORTRANGE(""https://docs.google.com/spreadsheets/d/1BJSV3WBYJGRhQ6zExamkszQ5VutGIcaQqmbD9ZTVXMQ/edit#gid=1251630045"",""articles_with_PRISMA_reasons!K2:K2113""), $A1367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$A1367=IMPORTRANGE(""https://docs.google.com/spreadsheets/d/1BJSV3WBYJGRhQ6zExamkszQ5VutGIcaQqmbD9ZTVXMQ/edit#gid=1251630045"",""articles_with_PRISMA_reasons!B2:B2113"")))-1)"),"Lister")</f>
        <v>Lister</v>
      </c>
      <c r="C1367" s="6">
        <f>IFERROR(__xludf.DUMMYFUNCTION("FILTER(IMPORTRANGE(""https://docs.google.com/spreadsheets/d/1BJSV3WBYJGRhQ6zExamkszQ5VutGIcaQqmbD9ZTVXMQ/edit#gid=1251630045"",""articles_with_PRISMA_reasons!C2:C2113""), $A1367=IMPORTRANGE(""https://docs.google.com/spreadsheets/d/1BJSV3WBYJGRhQ6zExamkszQ"&amp;"5VutGIcaQqmbD9ZTVXMQ/edit#gid=1251630045"",""articles_with_PRISMA_reasons!B2:B2113""))"),1977.0)</f>
        <v>1977</v>
      </c>
      <c r="D1367" s="5" t="str">
        <f>IFERROR(__xludf.DUMMYFUNCTION("IFS(AND(
FILTER(IMPORTRANGE(""https://docs.google.com/spreadsheets/d/1BJSV3WBYJGRhQ6zExamkszQ5VutGIcaQqmbD9ZTVXMQ/edit#gid=1251630045"",""articles_with_PRISMA_reasons!Y2:Y2113""), $A1367=IMPORTRANGE(""https://docs.google.com/spreadsheets/d/1BJSV3WBYJGRhQ6"&amp;"zExamkszQ5VutGIcaQqmbD9ZTVXMQ/edit#gid=1251630045"",""articles_with_PRISMA_reasons!B2:B2113""))&gt;=2,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$A1367=IMPORTRANGE(""https://docs.google.com/spreadsheets/d/1BJSV3WBYJGRhQ6zExamkszQ5VutGIcaQqmbD9ZTVXMQ/edit#gid=1251630045"",""articles_with_PRISMA_reasons!B2:B2113""))&lt;2),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$A1367=IMPORTRANGE(""https://docs.google.com/spreadsheets/d/1BJSV3WBYJGRhQ6zExamkszQ5VutGIcaQqmbD9ZTVXMQ/edit#gid=1251630045"",""a"&amp;"rticles_with_PRISMA_reasons!B2:B2113""))&lt;2,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$A1367=IMPORTRANGE(""https://docs.google"&amp;".com/spreadsheets/d/1BJSV3WBYJGRhQ6zExamkszQ5VutGIcaQqmbD9ZTVXMQ/edit#gid=1251630045"",""articles_with_PRISMA_reasons!B2:B2113""))&gt;=2),
""Exclude""
)"),"Include")</f>
        <v>Include</v>
      </c>
      <c r="E1367" s="5" t="str">
        <f>IFERROR(__xludf.DUMMYFUNCTION("IFS(
D1367=""Exclude"",""Exclude"",
AND(
FILTER(IMPORTRANGE(""https://docs.google.com/spreadsheets/d/1qpEmbGH0JjaJbUdp21-y2cPbobDbMjr09BbtdKROZWc/edit#gid=1444865654"",""articles_with_PRISMA_reasons!W2:W2113""), $A1367=IMPORTRANGE(""https://docs.google.co"&amp;"m/spreadsheets/d/1qpEmbGH0JjaJbUdp21-y2cPbobDbMjr09BbtdKROZWc/edit#gid=1444865654"",""articles_with_PRISMA_reasons!B2:B2113""))&gt;=2,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$A1367=IMPORTRANGE(""https://docs.google.com/spreadsheets/d/1qpEmbGH0JjaJbUdp21-y2cPbobDbMjr09BbtdKROZWc/edit#gid=1444865654"",""articles_with_PRISMA_reasons!B2:B2113""))&lt;2),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$A1367=IMPORTRANGE(""https://docs.google.com/spreadsheets/d/1qpEmbGH0JjaJbUdp21-y2cPbobDbMjr09Bbtd"&amp;"KROZWc/edit#gid=1444865654"",""articles_with_PRISMA_reasons!B2:B2113""))&lt;2,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$A1367=I"&amp;"MPORTRANGE(""https://docs.google.com/spreadsheets/d/1qpEmbGH0JjaJbUdp21-y2cPbobDbMjr09BbtdKROZWc/edit#gid=1444865654"",""articles_with_PRISMA_reasons!B2:B2113""))&gt;=2),
""Exclude""
)"),"Exclude")</f>
        <v>Exclude</v>
      </c>
      <c r="F1367" s="5" t="str">
        <f>IFERROR(__xludf.DUMMYFUNCTION("IFS(
E1367=""Exclude"",""Exclude"",
AND(
COUNTIF(
IMPORTRANGE(""https://docs.google.com/spreadsheets/d/1kGrh75X1cNR1D7_FcY9zMnHP8iPO4M5RCRjy6nZY0TY/edit#gid=0"",""Table 1: Study characteristics!B4:B171""),A1367)&gt;0,
COUNTIF(Studies!$A$2:$A$85,FILTER(IMPORT"&amp;"RANGE(""https://docs.google.com/spreadsheets/d/1kGrh75X1cNR1D7_FcY9zMnHP8iPO4M5RCRjy6nZY0TY/edit#gid=0"",""Table 1: Study characteristics!A4:A171""), $A1367=IMPORTRANGE(""https://docs.google.com/spreadsheets/d/1kGrh75X1cNR1D7_FcY9zMnHP8iPO4M5RCRjy6nZY0TY/"&amp;"edit#gid=0"",""Table 1: Study characteristics!B4:B171"")))&gt;0
),
""Include""
)"),"Exclude")</f>
        <v>Exclude</v>
      </c>
      <c r="G1367" s="5" t="str">
        <f>IFERROR(__xludf.DUMMYFUNCTION("IFS(
D1367=""Exclude"",
FILTER(IMPORTRANGE(""https://docs.google.com/spreadsheets/d/1BJSV3WBYJGRhQ6zExamkszQ5VutGIcaQqmbD9ZTVXMQ/edit#gid=1251630045"",""articles_with_PRISMA_reasons!AB2:AB2113""), $A1367=IMPORTRANGE(""https://docs.google.com/spreadsheets/"&amp;"d/1BJSV3WBYJGRhQ6zExamkszQ5VutGIcaQqmbD9ZTVXMQ/edit#gid=1251630045"",""articles_with_PRISMA_reasons!B2:B2113"")),
E1367=""Exclude"",
FILTER(IMPORTRANGE(""https://docs.google.com/spreadsheets/d/1qpEmbGH0JjaJbUdp21-y2cPbobDbMjr09BbtdKROZWc/edit#gid=14448656"&amp;"54"",""articles_with_PRISMA_reasons!Z2:Z2113""), $A1367=IMPORTRANGE(""https://docs.google.com/spreadsheets/d/1qpEmbGH0JjaJbUdp21-y2cPbobDbMjr09BbtdKROZWc/edit#gid=1444865654"",""articles_with_PRISMA_reasons!B2:B2113"")),F1367
=""Include"",FILTER(IMPORTRAN"&amp;"GE(""https://docs.google.com/spreadsheets/d/1kGrh75X1cNR1D7_FcY9zMnHP8iPO4M5RCRjy6nZY0TY/edit#gid=0"",""Table 1: Study characteristics!A4:A171""), $A1367=IMPORTRANGE(""https://docs.google.com/spreadsheets/d/1kGrh75X1cNR1D7_FcY9zMnHP8iPO4M5RCRjy6nZY0TY/edi"&amp;"t#gid=0"",""Table 1: Study characteristics!B4:B171""))
)"),"wrong population")</f>
        <v>wrong population</v>
      </c>
    </row>
    <row r="1368">
      <c r="A1368" s="4" t="str">
        <f>IFERROR(__xludf.DUMMYFUNCTION("""COMPUTED_VALUE"""),"Operative nuances of myelomeningocele closure")</f>
        <v>Operative nuances of myelomeningocele closure</v>
      </c>
      <c r="B1368" s="5" t="str">
        <f>IFERROR(__xludf.DUMMYFUNCTION("LEFT(FILTER(IMPORTRANGE(""https://docs.google.com/spreadsheets/d/1BJSV3WBYJGRhQ6zExamkszQ5VutGIcaQqmbD9ZTVXMQ/edit#gid=1251630045"",""articles_with_PRISMA_reasons!K2:K2113""), $A1368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$A1368=IMPORTRANGE(""https://docs.google.com/spreadsheets/d/1BJSV3WBYJGRhQ6zExamkszQ5VutGIcaQqmbD9ZTVXMQ/edit#gid=1251630045"",""articles_with_PRISMA_reasons!B2:B2113"")))-1)"),"Perry")</f>
        <v>Perry</v>
      </c>
      <c r="C1368" s="6">
        <f>IFERROR(__xludf.DUMMYFUNCTION("FILTER(IMPORTRANGE(""https://docs.google.com/spreadsheets/d/1BJSV3WBYJGRhQ6zExamkszQ5VutGIcaQqmbD9ZTVXMQ/edit#gid=1251630045"",""articles_with_PRISMA_reasons!C2:C2113""), $A1368=IMPORTRANGE(""https://docs.google.com/spreadsheets/d/1BJSV3WBYJGRhQ6zExamkszQ"&amp;"5VutGIcaQqmbD9ZTVXMQ/edit#gid=1251630045"",""articles_with_PRISMA_reasons!B2:B2113""))"),2002.0)</f>
        <v>2002</v>
      </c>
      <c r="D1368" s="5" t="str">
        <f>IFERROR(__xludf.DUMMYFUNCTION("IFS(AND(
FILTER(IMPORTRANGE(""https://docs.google.com/spreadsheets/d/1BJSV3WBYJGRhQ6zExamkszQ5VutGIcaQqmbD9ZTVXMQ/edit#gid=1251630045"",""articles_with_PRISMA_reasons!Y2:Y2113""), $A1368=IMPORTRANGE(""https://docs.google.com/spreadsheets/d/1BJSV3WBYJGRhQ6"&amp;"zExamkszQ5VutGIcaQqmbD9ZTVXMQ/edit#gid=1251630045"",""articles_with_PRISMA_reasons!B2:B2113""))&gt;=2,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$A1368=IMPORTRANGE(""https://docs.google.com/spreadsheets/d/1BJSV3WBYJGRhQ6zExamkszQ5VutGIcaQqmbD9ZTVXMQ/edit#gid=1251630045"",""articles_with_PRISMA_reasons!B2:B2113""))&lt;2),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$A1368=IMPORTRANGE(""https://docs.google.com/spreadsheets/d/1BJSV3WBYJGRhQ6zExamkszQ5VutGIcaQqmbD9ZTVXMQ/edit#gid=1251630045"",""a"&amp;"rticles_with_PRISMA_reasons!B2:B2113""))&lt;2,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$A1368=IMPORTRANGE(""https://docs.google"&amp;".com/spreadsheets/d/1BJSV3WBYJGRhQ6zExamkszQ5VutGIcaQqmbD9ZTVXMQ/edit#gid=1251630045"",""articles_with_PRISMA_reasons!B2:B2113""))&gt;=2),
""Exclude""
)"),"Exclude")</f>
        <v>Exclude</v>
      </c>
      <c r="E1368" s="5" t="str">
        <f>IFERROR(__xludf.DUMMYFUNCTION("IFS(
D1368=""Exclude"",""Exclude"",
AND(
FILTER(IMPORTRANGE(""https://docs.google.com/spreadsheets/d/1qpEmbGH0JjaJbUdp21-y2cPbobDbMjr09BbtdKROZWc/edit#gid=1444865654"",""articles_with_PRISMA_reasons!W2:W2113""), $A1368=IMPORTRANGE(""https://docs.google.co"&amp;"m/spreadsheets/d/1qpEmbGH0JjaJbUdp21-y2cPbobDbMjr09BbtdKROZWc/edit#gid=1444865654"",""articles_with_PRISMA_reasons!B2:B2113""))&gt;=2,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$A1368=IMPORTRANGE(""https://docs.google.com/spreadsheets/d/1qpEmbGH0JjaJbUdp21-y2cPbobDbMjr09BbtdKROZWc/edit#gid=1444865654"",""articles_with_PRISMA_reasons!B2:B2113""))&lt;2),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$A1368=IMPORTRANGE(""https://docs.google.com/spreadsheets/d/1qpEmbGH0JjaJbUdp21-y2cPbobDbMjr09Bbtd"&amp;"KROZWc/edit#gid=1444865654"",""articles_with_PRISMA_reasons!B2:B2113""))&lt;2,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$A1368=I"&amp;"MPORTRANGE(""https://docs.google.com/spreadsheets/d/1qpEmbGH0JjaJbUdp21-y2cPbobDbMjr09BbtdKROZWc/edit#gid=1444865654"",""articles_with_PRISMA_reasons!B2:B2113""))&gt;=2),
""Exclude""
)"),"Exclude")</f>
        <v>Exclude</v>
      </c>
      <c r="F1368" s="5" t="str">
        <f>IFERROR(__xludf.DUMMYFUNCTION("IFS(
E1368=""Exclude"",""Exclude"",
AND(
COUNTIF(
IMPORTRANGE(""https://docs.google.com/spreadsheets/d/1kGrh75X1cNR1D7_FcY9zMnHP8iPO4M5RCRjy6nZY0TY/edit#gid=0"",""Table 1: Study characteristics!B4:B171""),A1368)&gt;0,
COUNTIF(Studies!$A$2:$A$85,FILTER(IMPORT"&amp;"RANGE(""https://docs.google.com/spreadsheets/d/1kGrh75X1cNR1D7_FcY9zMnHP8iPO4M5RCRjy6nZY0TY/edit#gid=0"",""Table 1: Study characteristics!A4:A171""), $A1368=IMPORTRANGE(""https://docs.google.com/spreadsheets/d/1kGrh75X1cNR1D7_FcY9zMnHP8iPO4M5RCRjy6nZY0TY/"&amp;"edit#gid=0"",""Table 1: Study characteristics!B4:B171"")))&gt;0
),
""Include""
)"),"Exclude")</f>
        <v>Exclude</v>
      </c>
      <c r="G1368" s="5" t="str">
        <f>IFERROR(__xludf.DUMMYFUNCTION("IFS(
D1368=""Exclude"",
FILTER(IMPORTRANGE(""https://docs.google.com/spreadsheets/d/1BJSV3WBYJGRhQ6zExamkszQ5VutGIcaQqmbD9ZTVXMQ/edit#gid=1251630045"",""articles_with_PRISMA_reasons!AB2:AB2113""), $A1368=IMPORTRANGE(""https://docs.google.com/spreadsheets/"&amp;"d/1BJSV3WBYJGRhQ6zExamkszQ5VutGIcaQqmbD9ZTVXMQ/edit#gid=1251630045"",""articles_with_PRISMA_reasons!B2:B2113"")),
E1368=""Exclude"",
FILTER(IMPORTRANGE(""https://docs.google.com/spreadsheets/d/1qpEmbGH0JjaJbUdp21-y2cPbobDbMjr09BbtdKROZWc/edit#gid=14448656"&amp;"54"",""articles_with_PRISMA_reasons!Z2:Z2113""), $A1368=IMPORTRANGE(""https://docs.google.com/spreadsheets/d/1qpEmbGH0JjaJbUdp21-y2cPbobDbMjr09BbtdKROZWc/edit#gid=1444865654"",""articles_with_PRISMA_reasons!B2:B2113"")),F1368
=""Include"",FILTER(IMPORTRAN"&amp;"GE(""https://docs.google.com/spreadsheets/d/1kGrh75X1cNR1D7_FcY9zMnHP8iPO4M5RCRjy6nZY0TY/edit#gid=0"",""Table 1: Study characteristics!A4:A171""), $A1368=IMPORTRANGE(""https://docs.google.com/spreadsheets/d/1kGrh75X1cNR1D7_FcY9zMnHP8iPO4M5RCRjy6nZY0TY/edi"&amp;"t#gid=0"",""Table 1: Study characteristics!B4:B171""))
)"),"wrong population")</f>
        <v>wrong population</v>
      </c>
    </row>
    <row r="1369">
      <c r="A1369" s="4" t="str">
        <f>IFERROR(__xludf.DUMMYFUNCTION("""COMPUTED_VALUE"""),"Operative technique for meningomyelocele: intentional delayed back closure")</f>
        <v>Operative technique for meningomyelocele: intentional delayed back closure</v>
      </c>
      <c r="B1369" s="5" t="str">
        <f>IFERROR(__xludf.DUMMYFUNCTION("LEFT(FILTER(IMPORTRANGE(""https://docs.google.com/spreadsheets/d/1BJSV3WBYJGRhQ6zExamkszQ5VutGIcaQqmbD9ZTVXMQ/edit#gid=1251630045"",""articles_with_PRISMA_reasons!K2:K2113""), $A1369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$A1369=IMPORTRANGE(""https://docs.google.com/spreadsheets/d/1BJSV3WBYJGRhQ6zExamkszQ5VutGIcaQqmbD9ZTVXMQ/edit#gid=1251630045"",""articles_with_PRISMA_reasons!B2:B2113"")))-1)"),"Morimoto")</f>
        <v>Morimoto</v>
      </c>
      <c r="C1369" s="6">
        <f>IFERROR(__xludf.DUMMYFUNCTION("FILTER(IMPORTRANGE(""https://docs.google.com/spreadsheets/d/1BJSV3WBYJGRhQ6zExamkszQ5VutGIcaQqmbD9ZTVXMQ/edit#gid=1251630045"",""articles_with_PRISMA_reasons!C2:C2113""), $A1369=IMPORTRANGE(""https://docs.google.com/spreadsheets/d/1BJSV3WBYJGRhQ6zExamkszQ"&amp;"5VutGIcaQqmbD9ZTVXMQ/edit#gid=1251630045"",""articles_with_PRISMA_reasons!B2:B2113""))"),1994.0)</f>
        <v>1994</v>
      </c>
      <c r="D1369" s="5" t="str">
        <f>IFERROR(__xludf.DUMMYFUNCTION("IFS(AND(
FILTER(IMPORTRANGE(""https://docs.google.com/spreadsheets/d/1BJSV3WBYJGRhQ6zExamkszQ5VutGIcaQqmbD9ZTVXMQ/edit#gid=1251630045"",""articles_with_PRISMA_reasons!Y2:Y2113""), $A1369=IMPORTRANGE(""https://docs.google.com/spreadsheets/d/1BJSV3WBYJGRhQ6"&amp;"zExamkszQ5VutGIcaQqmbD9ZTVXMQ/edit#gid=1251630045"",""articles_with_PRISMA_reasons!B2:B2113""))&gt;=2,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$A1369=IMPORTRANGE(""https://docs.google.com/spreadsheets/d/1BJSV3WBYJGRhQ6zExamkszQ5VutGIcaQqmbD9ZTVXMQ/edit#gid=1251630045"",""articles_with_PRISMA_reasons!B2:B2113""))&lt;2),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$A1369=IMPORTRANGE(""https://docs.google.com/spreadsheets/d/1BJSV3WBYJGRhQ6zExamkszQ5VutGIcaQqmbD9ZTVXMQ/edit#gid=1251630045"",""a"&amp;"rticles_with_PRISMA_reasons!B2:B2113""))&lt;2,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$A1369=IMPORTRANGE(""https://docs.google"&amp;".com/spreadsheets/d/1BJSV3WBYJGRhQ6zExamkszQ5VutGIcaQqmbD9ZTVXMQ/edit#gid=1251630045"",""articles_with_PRISMA_reasons!B2:B2113""))&gt;=2),
""Exclude""
)"),"Exclude")</f>
        <v>Exclude</v>
      </c>
      <c r="E1369" s="5" t="str">
        <f>IFERROR(__xludf.DUMMYFUNCTION("IFS(
D1369=""Exclude"",""Exclude"",
AND(
FILTER(IMPORTRANGE(""https://docs.google.com/spreadsheets/d/1qpEmbGH0JjaJbUdp21-y2cPbobDbMjr09BbtdKROZWc/edit#gid=1444865654"",""articles_with_PRISMA_reasons!W2:W2113""), $A1369=IMPORTRANGE(""https://docs.google.co"&amp;"m/spreadsheets/d/1qpEmbGH0JjaJbUdp21-y2cPbobDbMjr09BbtdKROZWc/edit#gid=1444865654"",""articles_with_PRISMA_reasons!B2:B2113""))&gt;=2,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$A1369=IMPORTRANGE(""https://docs.google.com/spreadsheets/d/1qpEmbGH0JjaJbUdp21-y2cPbobDbMjr09BbtdKROZWc/edit#gid=1444865654"",""articles_with_PRISMA_reasons!B2:B2113""))&lt;2),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$A1369=IMPORTRANGE(""https://docs.google.com/spreadsheets/d/1qpEmbGH0JjaJbUdp21-y2cPbobDbMjr09Bbtd"&amp;"KROZWc/edit#gid=1444865654"",""articles_with_PRISMA_reasons!B2:B2113""))&lt;2,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$A1369=I"&amp;"MPORTRANGE(""https://docs.google.com/spreadsheets/d/1qpEmbGH0JjaJbUdp21-y2cPbobDbMjr09BbtdKROZWc/edit#gid=1444865654"",""articles_with_PRISMA_reasons!B2:B2113""))&gt;=2),
""Exclude""
)"),"Exclude")</f>
        <v>Exclude</v>
      </c>
      <c r="F1369" s="5" t="str">
        <f>IFERROR(__xludf.DUMMYFUNCTION("IFS(
E1369=""Exclude"",""Exclude"",
AND(
COUNTIF(
IMPORTRANGE(""https://docs.google.com/spreadsheets/d/1kGrh75X1cNR1D7_FcY9zMnHP8iPO4M5RCRjy6nZY0TY/edit#gid=0"",""Table 1: Study characteristics!B4:B171""),A1369)&gt;0,
COUNTIF(Studies!$A$2:$A$85,FILTER(IMPORT"&amp;"RANGE(""https://docs.google.com/spreadsheets/d/1kGrh75X1cNR1D7_FcY9zMnHP8iPO4M5RCRjy6nZY0TY/edit#gid=0"",""Table 1: Study characteristics!A4:A171""), $A1369=IMPORTRANGE(""https://docs.google.com/spreadsheets/d/1kGrh75X1cNR1D7_FcY9zMnHP8iPO4M5RCRjy6nZY0TY/"&amp;"edit#gid=0"",""Table 1: Study characteristics!B4:B171"")))&gt;0
),
""Include""
)"),"Exclude")</f>
        <v>Exclude</v>
      </c>
      <c r="G1369" s="5" t="str">
        <f>IFERROR(__xludf.DUMMYFUNCTION("IFS(
D1369=""Exclude"",
FILTER(IMPORTRANGE(""https://docs.google.com/spreadsheets/d/1BJSV3WBYJGRhQ6zExamkszQ5VutGIcaQqmbD9ZTVXMQ/edit#gid=1251630045"",""articles_with_PRISMA_reasons!AB2:AB2113""), $A1369=IMPORTRANGE(""https://docs.google.com/spreadsheets/"&amp;"d/1BJSV3WBYJGRhQ6zExamkszQ5VutGIcaQqmbD9ZTVXMQ/edit#gid=1251630045"",""articles_with_PRISMA_reasons!B2:B2113"")),
E1369=""Exclude"",
FILTER(IMPORTRANGE(""https://docs.google.com/spreadsheets/d/1qpEmbGH0JjaJbUdp21-y2cPbobDbMjr09BbtdKROZWc/edit#gid=14448656"&amp;"54"",""articles_with_PRISMA_reasons!Z2:Z2113""), $A1369=IMPORTRANGE(""https://docs.google.com/spreadsheets/d/1qpEmbGH0JjaJbUdp21-y2cPbobDbMjr09BbtdKROZWc/edit#gid=1444865654"",""articles_with_PRISMA_reasons!B2:B2113"")),F1369
=""Include"",FILTER(IMPORTRAN"&amp;"GE(""https://docs.google.com/spreadsheets/d/1kGrh75X1cNR1D7_FcY9zMnHP8iPO4M5RCRjy6nZY0TY/edit#gid=0"",""Table 1: Study characteristics!A4:A171""), $A1369=IMPORTRANGE(""https://docs.google.com/spreadsheets/d/1kGrh75X1cNR1D7_FcY9zMnHP8iPO4M5RCRjy6nZY0TY/edi"&amp;"t#gid=0"",""Table 1: Study characteristics!B4:B171""))
)"),"wrong outcome")</f>
        <v>wrong outcome</v>
      </c>
    </row>
    <row r="1370">
      <c r="A1370" s="4" t="str">
        <f>IFERROR(__xludf.DUMMYFUNCTION("""COMPUTED_VALUE"""),"Ophthalmic complications of meningomyelocele and hydrocephalus in children")</f>
        <v>Ophthalmic complications of meningomyelocele and hydrocephalus in children</v>
      </c>
      <c r="B1370" s="5" t="str">
        <f>IFERROR(__xludf.DUMMYFUNCTION("LEFT(FILTER(IMPORTRANGE(""https://docs.google.com/spreadsheets/d/1BJSV3WBYJGRhQ6zExamkszQ5VutGIcaQqmbD9ZTVXMQ/edit#gid=1251630045"",""articles_with_PRISMA_reasons!K2:K2113""), $A1370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$A1370=IMPORTRANGE(""https://docs.google.com/spreadsheets/d/1BJSV3WBYJGRhQ6zExamkszQ5VutGIcaQqmbD9ZTVXMQ/edit#gid=1251630045"",""articles_with_PRISMA_reasons!B2:B2113"")))-1)"),"Harcourt")</f>
        <v>Harcourt</v>
      </c>
      <c r="C1370" s="6">
        <f>IFERROR(__xludf.DUMMYFUNCTION("FILTER(IMPORTRANGE(""https://docs.google.com/spreadsheets/d/1BJSV3WBYJGRhQ6zExamkszQ5VutGIcaQqmbD9ZTVXMQ/edit#gid=1251630045"",""articles_with_PRISMA_reasons!C2:C2113""), $A1370=IMPORTRANGE(""https://docs.google.com/spreadsheets/d/1BJSV3WBYJGRhQ6zExamkszQ"&amp;"5VutGIcaQqmbD9ZTVXMQ/edit#gid=1251630045"",""articles_with_PRISMA_reasons!B2:B2113""))"),1968.0)</f>
        <v>1968</v>
      </c>
      <c r="D1370" s="5" t="str">
        <f>IFERROR(__xludf.DUMMYFUNCTION("IFS(AND(
FILTER(IMPORTRANGE(""https://docs.google.com/spreadsheets/d/1BJSV3WBYJGRhQ6zExamkszQ5VutGIcaQqmbD9ZTVXMQ/edit#gid=1251630045"",""articles_with_PRISMA_reasons!Y2:Y2113""), $A1370=IMPORTRANGE(""https://docs.google.com/spreadsheets/d/1BJSV3WBYJGRhQ6"&amp;"zExamkszQ5VutGIcaQqmbD9ZTVXMQ/edit#gid=1251630045"",""articles_with_PRISMA_reasons!B2:B2113""))&gt;=2,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$A1370=IMPORTRANGE(""https://docs.google.com/spreadsheets/d/1BJSV3WBYJGRhQ6zExamkszQ5VutGIcaQqmbD9ZTVXMQ/edit#gid=1251630045"",""articles_with_PRISMA_reasons!B2:B2113""))&lt;2),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$A1370=IMPORTRANGE(""https://docs.google.com/spreadsheets/d/1BJSV3WBYJGRhQ6zExamkszQ5VutGIcaQqmbD9ZTVXMQ/edit#gid=1251630045"",""a"&amp;"rticles_with_PRISMA_reasons!B2:B2113""))&lt;2,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$A1370=IMPORTRANGE(""https://docs.google"&amp;".com/spreadsheets/d/1BJSV3WBYJGRhQ6zExamkszQ5VutGIcaQqmbD9ZTVXMQ/edit#gid=1251630045"",""articles_with_PRISMA_reasons!B2:B2113""))&gt;=2),
""Exclude""
)"),"Include")</f>
        <v>Include</v>
      </c>
      <c r="E1370" s="5" t="str">
        <f>IFERROR(__xludf.DUMMYFUNCTION("IFS(
D1370=""Exclude"",""Exclude"",
AND(
FILTER(IMPORTRANGE(""https://docs.google.com/spreadsheets/d/1qpEmbGH0JjaJbUdp21-y2cPbobDbMjr09BbtdKROZWc/edit#gid=1444865654"",""articles_with_PRISMA_reasons!W2:W2113""), $A1370=IMPORTRANGE(""https://docs.google.co"&amp;"m/spreadsheets/d/1qpEmbGH0JjaJbUdp21-y2cPbobDbMjr09BbtdKROZWc/edit#gid=1444865654"",""articles_with_PRISMA_reasons!B2:B2113""))&gt;=2,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$A1370=IMPORTRANGE(""https://docs.google.com/spreadsheets/d/1qpEmbGH0JjaJbUdp21-y2cPbobDbMjr09BbtdKROZWc/edit#gid=1444865654"",""articles_with_PRISMA_reasons!B2:B2113""))&lt;2),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$A1370=IMPORTRANGE(""https://docs.google.com/spreadsheets/d/1qpEmbGH0JjaJbUdp21-y2cPbobDbMjr09Bbtd"&amp;"KROZWc/edit#gid=1444865654"",""articles_with_PRISMA_reasons!B2:B2113""))&lt;2,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$A1370=I"&amp;"MPORTRANGE(""https://docs.google.com/spreadsheets/d/1qpEmbGH0JjaJbUdp21-y2cPbobDbMjr09BbtdKROZWc/edit#gid=1444865654"",""articles_with_PRISMA_reasons!B2:B2113""))&gt;=2),
""Exclude""
)"),"Include")</f>
        <v>Include</v>
      </c>
      <c r="F1370" s="5" t="str">
        <f>IFERROR(__xludf.DUMMYFUNCTION("IFS(
E1370=""Exclude"",""Exclude"",
AND(
COUNTIF(
IMPORTRANGE(""https://docs.google.com/spreadsheets/d/1kGrh75X1cNR1D7_FcY9zMnHP8iPO4M5RCRjy6nZY0TY/edit#gid=0"",""Table 1: Study characteristics!B4:B171""),A1370)&gt;0,
COUNTIF(Studies!$A$2:$A$85,FILTER(IMPORT"&amp;"RANGE(""https://docs.google.com/spreadsheets/d/1kGrh75X1cNR1D7_FcY9zMnHP8iPO4M5RCRjy6nZY0TY/edit#gid=0"",""Table 1: Study characteristics!A4:A171""), $A1370=IMPORTRANGE(""https://docs.google.com/spreadsheets/d/1kGrh75X1cNR1D7_FcY9zMnHP8iPO4M5RCRjy6nZY0TY/"&amp;"edit#gid=0"",""Table 1: Study characteristics!B4:B171"")))&gt;0
),
""Include""
)"),"Include")</f>
        <v>Include</v>
      </c>
      <c r="G1370" s="5" t="str">
        <f>IFERROR(__xludf.DUMMYFUNCTION("IFS(
D1370=""Exclude"",
FILTER(IMPORTRANGE(""https://docs.google.com/spreadsheets/d/1BJSV3WBYJGRhQ6zExamkszQ5VutGIcaQqmbD9ZTVXMQ/edit#gid=1251630045"",""articles_with_PRISMA_reasons!AB2:AB2113""), $A1370=IMPORTRANGE(""https://docs.google.com/spreadsheets/"&amp;"d/1BJSV3WBYJGRhQ6zExamkszQ5VutGIcaQqmbD9ZTVXMQ/edit#gid=1251630045"",""articles_with_PRISMA_reasons!B2:B2113"")),
E1370=""Exclude"",
FILTER(IMPORTRANGE(""https://docs.google.com/spreadsheets/d/1qpEmbGH0JjaJbUdp21-y2cPbobDbMjr09BbtdKROZWc/edit#gid=14448656"&amp;"54"",""articles_with_PRISMA_reasons!Z2:Z2113""), $A1370=IMPORTRANGE(""https://docs.google.com/spreadsheets/d/1qpEmbGH0JjaJbUdp21-y2cPbobDbMjr09BbtdKROZWc/edit#gid=1444865654"",""articles_with_PRISMA_reasons!B2:B2113"")),F1370
=""Include"",FILTER(IMPORTRAN"&amp;"GE(""https://docs.google.com/spreadsheets/d/1kGrh75X1cNR1D7_FcY9zMnHP8iPO4M5RCRjy6nZY0TY/edit#gid=0"",""Table 1: Study characteristics!A4:A171""), $A1370=IMPORTRANGE(""https://docs.google.com/spreadsheets/d/1kGrh75X1cNR1D7_FcY9zMnHP8iPO4M5RCRjy6nZY0TY/edi"&amp;"t#gid=0"",""Table 1: Study characteristics!B4:B171""))
)"),"ID 93")</f>
        <v>ID 93</v>
      </c>
    </row>
    <row r="1371">
      <c r="A1371" s="4" t="str">
        <f>IFERROR(__xludf.DUMMYFUNCTION("""COMPUTED_VALUE"""),"Ophthalmologic complications of meningomyelocele: A longitudinal study")</f>
        <v>Ophthalmologic complications of meningomyelocele: A longitudinal study</v>
      </c>
      <c r="B1371" s="5" t="str">
        <f>IFERROR(__xludf.DUMMYFUNCTION("LEFT(FILTER(IMPORTRANGE(""https://docs.google.com/spreadsheets/d/1BJSV3WBYJGRhQ6zExamkszQ5VutGIcaQqmbD9ZTVXMQ/edit#gid=1251630045"",""articles_with_PRISMA_reasons!K2:K2113""), $A1371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$A1371=IMPORTRANGE(""https://docs.google.com/spreadsheets/d/1BJSV3WBYJGRhQ6zExamkszQ5VutGIcaQqmbD9ZTVXMQ/edit#gid=1251630045"",""articles_with_PRISMA_reasons!B2:B2113"")))-1)"),"Biglan")</f>
        <v>Biglan</v>
      </c>
      <c r="C1371" s="6">
        <f>IFERROR(__xludf.DUMMYFUNCTION("FILTER(IMPORTRANGE(""https://docs.google.com/spreadsheets/d/1BJSV3WBYJGRhQ6zExamkszQ5VutGIcaQqmbD9ZTVXMQ/edit#gid=1251630045"",""articles_with_PRISMA_reasons!C2:C2113""), $A1371=IMPORTRANGE(""https://docs.google.com/spreadsheets/d/1BJSV3WBYJGRhQ6zExamkszQ"&amp;"5VutGIcaQqmbD9ZTVXMQ/edit#gid=1251630045"",""articles_with_PRISMA_reasons!B2:B2113""))"),1990.0)</f>
        <v>1990</v>
      </c>
      <c r="D1371" s="5" t="str">
        <f>IFERROR(__xludf.DUMMYFUNCTION("IFS(AND(
FILTER(IMPORTRANGE(""https://docs.google.com/spreadsheets/d/1BJSV3WBYJGRhQ6zExamkszQ5VutGIcaQqmbD9ZTVXMQ/edit#gid=1251630045"",""articles_with_PRISMA_reasons!Y2:Y2113""), $A1371=IMPORTRANGE(""https://docs.google.com/spreadsheets/d/1BJSV3WBYJGRhQ6"&amp;"zExamkszQ5VutGIcaQqmbD9ZTVXMQ/edit#gid=1251630045"",""articles_with_PRISMA_reasons!B2:B2113""))&gt;=2,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$A1371=IMPORTRANGE(""https://docs.google.com/spreadsheets/d/1BJSV3WBYJGRhQ6zExamkszQ5VutGIcaQqmbD9ZTVXMQ/edit#gid=1251630045"",""articles_with_PRISMA_reasons!B2:B2113""))&lt;2),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$A1371=IMPORTRANGE(""https://docs.google.com/spreadsheets/d/1BJSV3WBYJGRhQ6zExamkszQ5VutGIcaQqmbD9ZTVXMQ/edit#gid=1251630045"",""a"&amp;"rticles_with_PRISMA_reasons!B2:B2113""))&lt;2,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$A1371=IMPORTRANGE(""https://docs.google"&amp;".com/spreadsheets/d/1BJSV3WBYJGRhQ6zExamkszQ5VutGIcaQqmbD9ZTVXMQ/edit#gid=1251630045"",""articles_with_PRISMA_reasons!B2:B2113""))&gt;=2),
""Exclude""
)"),"Exclude")</f>
        <v>Exclude</v>
      </c>
      <c r="E1371" s="5" t="str">
        <f>IFERROR(__xludf.DUMMYFUNCTION("IFS(
D1371=""Exclude"",""Exclude"",
AND(
FILTER(IMPORTRANGE(""https://docs.google.com/spreadsheets/d/1qpEmbGH0JjaJbUdp21-y2cPbobDbMjr09BbtdKROZWc/edit#gid=1444865654"",""articles_with_PRISMA_reasons!W2:W2113""), $A1371=IMPORTRANGE(""https://docs.google.co"&amp;"m/spreadsheets/d/1qpEmbGH0JjaJbUdp21-y2cPbobDbMjr09BbtdKROZWc/edit#gid=1444865654"",""articles_with_PRISMA_reasons!B2:B2113""))&gt;=2,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$A1371=IMPORTRANGE(""https://docs.google.com/spreadsheets/d/1qpEmbGH0JjaJbUdp21-y2cPbobDbMjr09BbtdKROZWc/edit#gid=1444865654"",""articles_with_PRISMA_reasons!B2:B2113""))&lt;2),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$A1371=IMPORTRANGE(""https://docs.google.com/spreadsheets/d/1qpEmbGH0JjaJbUdp21-y2cPbobDbMjr09Bbtd"&amp;"KROZWc/edit#gid=1444865654"",""articles_with_PRISMA_reasons!B2:B2113""))&lt;2,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$A1371=I"&amp;"MPORTRANGE(""https://docs.google.com/spreadsheets/d/1qpEmbGH0JjaJbUdp21-y2cPbobDbMjr09BbtdKROZWc/edit#gid=1444865654"",""articles_with_PRISMA_reasons!B2:B2113""))&gt;=2),
""Exclude""
)"),"Exclude")</f>
        <v>Exclude</v>
      </c>
      <c r="F1371" s="5" t="str">
        <f>IFERROR(__xludf.DUMMYFUNCTION("IFS(
E1371=""Exclude"",""Exclude"",
AND(
COUNTIF(
IMPORTRANGE(""https://docs.google.com/spreadsheets/d/1kGrh75X1cNR1D7_FcY9zMnHP8iPO4M5RCRjy6nZY0TY/edit#gid=0"",""Table 1: Study characteristics!B4:B171""),A1371)&gt;0,
COUNTIF(Studies!$A$2:$A$85,FILTER(IMPORT"&amp;"RANGE(""https://docs.google.com/spreadsheets/d/1kGrh75X1cNR1D7_FcY9zMnHP8iPO4M5RCRjy6nZY0TY/edit#gid=0"",""Table 1: Study characteristics!A4:A171""), $A1371=IMPORTRANGE(""https://docs.google.com/spreadsheets/d/1kGrh75X1cNR1D7_FcY9zMnHP8iPO4M5RCRjy6nZY0TY/"&amp;"edit#gid=0"",""Table 1: Study characteristics!B4:B171"")))&gt;0
),
""Include""
)"),"Exclude")</f>
        <v>Exclude</v>
      </c>
      <c r="G1371" s="5" t="str">
        <f>IFERROR(__xludf.DUMMYFUNCTION("IFS(
D1371=""Exclude"",
FILTER(IMPORTRANGE(""https://docs.google.com/spreadsheets/d/1BJSV3WBYJGRhQ6zExamkszQ5VutGIcaQqmbD9ZTVXMQ/edit#gid=1251630045"",""articles_with_PRISMA_reasons!AB2:AB2113""), $A1371=IMPORTRANGE(""https://docs.google.com/spreadsheets/"&amp;"d/1BJSV3WBYJGRhQ6zExamkszQ5VutGIcaQqmbD9ZTVXMQ/edit#gid=1251630045"",""articles_with_PRISMA_reasons!B2:B2113"")),
E1371=""Exclude"",
FILTER(IMPORTRANGE(""https://docs.google.com/spreadsheets/d/1qpEmbGH0JjaJbUdp21-y2cPbobDbMjr09BbtdKROZWc/edit#gid=14448656"&amp;"54"",""articles_with_PRISMA_reasons!Z2:Z2113""), $A1371=IMPORTRANGE(""https://docs.google.com/spreadsheets/d/1qpEmbGH0JjaJbUdp21-y2cPbobDbMjr09BbtdKROZWc/edit#gid=1444865654"",""articles_with_PRISMA_reasons!B2:B2113"")),F1371
=""Include"",FILTER(IMPORTRAN"&amp;"GE(""https://docs.google.com/spreadsheets/d/1kGrh75X1cNR1D7_FcY9zMnHP8iPO4M5RCRjy6nZY0TY/edit#gid=0"",""Table 1: Study characteristics!A4:A171""), $A1371=IMPORTRANGE(""https://docs.google.com/spreadsheets/d/1kGrh75X1cNR1D7_FcY9zMnHP8iPO4M5RCRjy6nZY0TY/edi"&amp;"t#gid=0"",""Table 1: Study characteristics!B4:B171""))
)"),"wrong study design")</f>
        <v>wrong study design</v>
      </c>
    </row>
    <row r="1372">
      <c r="A1372" s="4" t="str">
        <f>IFERROR(__xludf.DUMMYFUNCTION("""COMPUTED_VALUE"""),"Optic nerve sheath ultrasound in the assessment of paediatric hydrocephalus")</f>
        <v>Optic nerve sheath ultrasound in the assessment of paediatric hydrocephalus</v>
      </c>
      <c r="B1372" s="5" t="str">
        <f>IFERROR(__xludf.DUMMYFUNCTION("LEFT(FILTER(IMPORTRANGE(""https://docs.google.com/spreadsheets/d/1BJSV3WBYJGRhQ6zExamkszQ5VutGIcaQqmbD9ZTVXMQ/edit#gid=1251630045"",""articles_with_PRISMA_reasons!K2:K2113""), $A1372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$A1372=IMPORTRANGE(""https://docs.google.com/spreadsheets/d/1BJSV3WBYJGRhQ6zExamkszQ5VutGIcaQqmbD9ZTVXMQ/edit#gid=1251630045"",""articles_with_PRISMA_reasons!B2:B2113"")))-1)"),"McAuley")</f>
        <v>McAuley</v>
      </c>
      <c r="C1372" s="6">
        <f>IFERROR(__xludf.DUMMYFUNCTION("FILTER(IMPORTRANGE(""https://docs.google.com/spreadsheets/d/1BJSV3WBYJGRhQ6zExamkszQ5VutGIcaQqmbD9ZTVXMQ/edit#gid=1251630045"",""articles_with_PRISMA_reasons!C2:C2113""), $A1372=IMPORTRANGE(""https://docs.google.com/spreadsheets/d/1BJSV3WBYJGRhQ6zExamkszQ"&amp;"5VutGIcaQqmbD9ZTVXMQ/edit#gid=1251630045"",""articles_with_PRISMA_reasons!B2:B2113""))"),2009.0)</f>
        <v>2009</v>
      </c>
      <c r="D1372" s="5" t="str">
        <f>IFERROR(__xludf.DUMMYFUNCTION("IFS(AND(
FILTER(IMPORTRANGE(""https://docs.google.com/spreadsheets/d/1BJSV3WBYJGRhQ6zExamkszQ5VutGIcaQqmbD9ZTVXMQ/edit#gid=1251630045"",""articles_with_PRISMA_reasons!Y2:Y2113""), $A1372=IMPORTRANGE(""https://docs.google.com/spreadsheets/d/1BJSV3WBYJGRhQ6"&amp;"zExamkszQ5VutGIcaQqmbD9ZTVXMQ/edit#gid=1251630045"",""articles_with_PRISMA_reasons!B2:B2113""))&gt;=2,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$A1372=IMPORTRANGE(""https://docs.google.com/spreadsheets/d/1BJSV3WBYJGRhQ6zExamkszQ5VutGIcaQqmbD9ZTVXMQ/edit#gid=1251630045"",""articles_with_PRISMA_reasons!B2:B2113""))&lt;2),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$A1372=IMPORTRANGE(""https://docs.google.com/spreadsheets/d/1BJSV3WBYJGRhQ6zExamkszQ5VutGIcaQqmbD9ZTVXMQ/edit#gid=1251630045"",""a"&amp;"rticles_with_PRISMA_reasons!B2:B2113""))&lt;2,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$A1372=IMPORTRANGE(""https://docs.google"&amp;".com/spreadsheets/d/1BJSV3WBYJGRhQ6zExamkszQ5VutGIcaQqmbD9ZTVXMQ/edit#gid=1251630045"",""articles_with_PRISMA_reasons!B2:B2113""))&gt;=2),
""Exclude""
)"),"Exclude")</f>
        <v>Exclude</v>
      </c>
      <c r="E1372" s="5" t="str">
        <f>IFERROR(__xludf.DUMMYFUNCTION("IFS(
D1372=""Exclude"",""Exclude"",
AND(
FILTER(IMPORTRANGE(""https://docs.google.com/spreadsheets/d/1qpEmbGH0JjaJbUdp21-y2cPbobDbMjr09BbtdKROZWc/edit#gid=1444865654"",""articles_with_PRISMA_reasons!W2:W2113""), $A1372=IMPORTRANGE(""https://docs.google.co"&amp;"m/spreadsheets/d/1qpEmbGH0JjaJbUdp21-y2cPbobDbMjr09BbtdKROZWc/edit#gid=1444865654"",""articles_with_PRISMA_reasons!B2:B2113""))&gt;=2,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$A1372=IMPORTRANGE(""https://docs.google.com/spreadsheets/d/1qpEmbGH0JjaJbUdp21-y2cPbobDbMjr09BbtdKROZWc/edit#gid=1444865654"",""articles_with_PRISMA_reasons!B2:B2113""))&lt;2),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$A1372=IMPORTRANGE(""https://docs.google.com/spreadsheets/d/1qpEmbGH0JjaJbUdp21-y2cPbobDbMjr09Bbtd"&amp;"KROZWc/edit#gid=1444865654"",""articles_with_PRISMA_reasons!B2:B2113""))&lt;2,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$A1372=I"&amp;"MPORTRANGE(""https://docs.google.com/spreadsheets/d/1qpEmbGH0JjaJbUdp21-y2cPbobDbMjr09BbtdKROZWc/edit#gid=1444865654"",""articles_with_PRISMA_reasons!B2:B2113""))&gt;=2),
""Exclude""
)"),"Exclude")</f>
        <v>Exclude</v>
      </c>
      <c r="F1372" s="5" t="str">
        <f>IFERROR(__xludf.DUMMYFUNCTION("IFS(
E1372=""Exclude"",""Exclude"",
AND(
COUNTIF(
IMPORTRANGE(""https://docs.google.com/spreadsheets/d/1kGrh75X1cNR1D7_FcY9zMnHP8iPO4M5RCRjy6nZY0TY/edit#gid=0"",""Table 1: Study characteristics!B4:B171""),A1372)&gt;0,
COUNTIF(Studies!$A$2:$A$85,FILTER(IMPORT"&amp;"RANGE(""https://docs.google.com/spreadsheets/d/1kGrh75X1cNR1D7_FcY9zMnHP8iPO4M5RCRjy6nZY0TY/edit#gid=0"",""Table 1: Study characteristics!A4:A171""), $A1372=IMPORTRANGE(""https://docs.google.com/spreadsheets/d/1kGrh75X1cNR1D7_FcY9zMnHP8iPO4M5RCRjy6nZY0TY/"&amp;"edit#gid=0"",""Table 1: Study characteristics!B4:B171"")))&gt;0
),
""Include""
)"),"Exclude")</f>
        <v>Exclude</v>
      </c>
      <c r="G1372" s="5" t="str">
        <f>IFERROR(__xludf.DUMMYFUNCTION("IFS(
D1372=""Exclude"",
FILTER(IMPORTRANGE(""https://docs.google.com/spreadsheets/d/1BJSV3WBYJGRhQ6zExamkszQ5VutGIcaQqmbD9ZTVXMQ/edit#gid=1251630045"",""articles_with_PRISMA_reasons!AB2:AB2113""), $A1372=IMPORTRANGE(""https://docs.google.com/spreadsheets/"&amp;"d/1BJSV3WBYJGRhQ6zExamkszQ5VutGIcaQqmbD9ZTVXMQ/edit#gid=1251630045"",""articles_with_PRISMA_reasons!B2:B2113"")),
E1372=""Exclude"",
FILTER(IMPORTRANGE(""https://docs.google.com/spreadsheets/d/1qpEmbGH0JjaJbUdp21-y2cPbobDbMjr09BbtdKROZWc/edit#gid=14448656"&amp;"54"",""articles_with_PRISMA_reasons!Z2:Z2113""), $A1372=IMPORTRANGE(""https://docs.google.com/spreadsheets/d/1qpEmbGH0JjaJbUdp21-y2cPbobDbMjr09BbtdKROZWc/edit#gid=1444865654"",""articles_with_PRISMA_reasons!B2:B2113"")),F1372
=""Include"",FILTER(IMPORTRAN"&amp;"GE(""https://docs.google.com/spreadsheets/d/1kGrh75X1cNR1D7_FcY9zMnHP8iPO4M5RCRjy6nZY0TY/edit#gid=0"",""Table 1: Study characteristics!A4:A171""), $A1372=IMPORTRANGE(""https://docs.google.com/spreadsheets/d/1kGrh75X1cNR1D7_FcY9zMnHP8iPO4M5RCRjy6nZY0TY/edi"&amp;"t#gid=0"",""Table 1: Study characteristics!B4:B171""))
)"),"wrong study design")</f>
        <v>wrong study design</v>
      </c>
    </row>
    <row r="1373">
      <c r="A1373" s="4" t="str">
        <f>IFERROR(__xludf.DUMMYFUNCTION("""COMPUTED_VALUE"""),"Oral findings and dental care in a patient with myelomeningocele: case report of a 3-year-old child")</f>
        <v>Oral findings and dental care in a patient with myelomeningocele: case report of a 3-year-old child</v>
      </c>
      <c r="B1373" s="5" t="str">
        <f>IFERROR(__xludf.DUMMYFUNCTION("LEFT(FILTER(IMPORTRANGE(""https://docs.google.com/spreadsheets/d/1BJSV3WBYJGRhQ6zExamkszQ5VutGIcaQqmbD9ZTVXMQ/edit#gid=1251630045"",""articles_with_PRISMA_reasons!K2:K2113""), $A1373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$A1373=IMPORTRANGE(""https://docs.google.com/spreadsheets/d/1BJSV3WBYJGRhQ6zExamkszQ5VutGIcaQqmbD9ZTVXMQ/edit#gid=1251630045"",""articles_with_PRISMA_reasons!B2:B2113"")))-1)"),"de Queiroz")</f>
        <v>de Queiroz</v>
      </c>
      <c r="C1373" s="6">
        <f>IFERROR(__xludf.DUMMYFUNCTION("FILTER(IMPORTRANGE(""https://docs.google.com/spreadsheets/d/1BJSV3WBYJGRhQ6zExamkszQ5VutGIcaQqmbD9ZTVXMQ/edit#gid=1251630045"",""articles_with_PRISMA_reasons!C2:C2113""), $A1373=IMPORTRANGE(""https://docs.google.com/spreadsheets/d/1BJSV3WBYJGRhQ6zExamkszQ"&amp;"5VutGIcaQqmbD9ZTVXMQ/edit#gid=1251630045"",""articles_with_PRISMA_reasons!B2:B2113""))"),2009.0)</f>
        <v>2009</v>
      </c>
      <c r="D1373" s="5" t="str">
        <f>IFERROR(__xludf.DUMMYFUNCTION("IFS(AND(
FILTER(IMPORTRANGE(""https://docs.google.com/spreadsheets/d/1BJSV3WBYJGRhQ6zExamkszQ5VutGIcaQqmbD9ZTVXMQ/edit#gid=1251630045"",""articles_with_PRISMA_reasons!Y2:Y2113""), $A1373=IMPORTRANGE(""https://docs.google.com/spreadsheets/d/1BJSV3WBYJGRhQ6"&amp;"zExamkszQ5VutGIcaQqmbD9ZTVXMQ/edit#gid=1251630045"",""articles_with_PRISMA_reasons!B2:B2113""))&gt;=2,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$A1373=IMPORTRANGE(""https://docs.google.com/spreadsheets/d/1BJSV3WBYJGRhQ6zExamkszQ5VutGIcaQqmbD9ZTVXMQ/edit#gid=1251630045"",""articles_with_PRISMA_reasons!B2:B2113""))&lt;2),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$A1373=IMPORTRANGE(""https://docs.google.com/spreadsheets/d/1BJSV3WBYJGRhQ6zExamkszQ5VutGIcaQqmbD9ZTVXMQ/edit#gid=1251630045"",""a"&amp;"rticles_with_PRISMA_reasons!B2:B2113""))&lt;2,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$A1373=IMPORTRANGE(""https://docs.google"&amp;".com/spreadsheets/d/1BJSV3WBYJGRhQ6zExamkszQ5VutGIcaQqmbD9ZTVXMQ/edit#gid=1251630045"",""articles_with_PRISMA_reasons!B2:B2113""))&gt;=2),
""Exclude""
)"),"Exclude")</f>
        <v>Exclude</v>
      </c>
      <c r="E1373" s="5" t="str">
        <f>IFERROR(__xludf.DUMMYFUNCTION("IFS(
D1373=""Exclude"",""Exclude"",
AND(
FILTER(IMPORTRANGE(""https://docs.google.com/spreadsheets/d/1qpEmbGH0JjaJbUdp21-y2cPbobDbMjr09BbtdKROZWc/edit#gid=1444865654"",""articles_with_PRISMA_reasons!W2:W2113""), $A1373=IMPORTRANGE(""https://docs.google.co"&amp;"m/spreadsheets/d/1qpEmbGH0JjaJbUdp21-y2cPbobDbMjr09BbtdKROZWc/edit#gid=1444865654"",""articles_with_PRISMA_reasons!B2:B2113""))&gt;=2,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$A1373=IMPORTRANGE(""https://docs.google.com/spreadsheets/d/1qpEmbGH0JjaJbUdp21-y2cPbobDbMjr09BbtdKROZWc/edit#gid=1444865654"",""articles_with_PRISMA_reasons!B2:B2113""))&lt;2),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$A1373=IMPORTRANGE(""https://docs.google.com/spreadsheets/d/1qpEmbGH0JjaJbUdp21-y2cPbobDbMjr09Bbtd"&amp;"KROZWc/edit#gid=1444865654"",""articles_with_PRISMA_reasons!B2:B2113""))&lt;2,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$A1373=I"&amp;"MPORTRANGE(""https://docs.google.com/spreadsheets/d/1qpEmbGH0JjaJbUdp21-y2cPbobDbMjr09BbtdKROZWc/edit#gid=1444865654"",""articles_with_PRISMA_reasons!B2:B2113""))&gt;=2),
""Exclude""
)"),"Exclude")</f>
        <v>Exclude</v>
      </c>
      <c r="F1373" s="5" t="str">
        <f>IFERROR(__xludf.DUMMYFUNCTION("IFS(
E1373=""Exclude"",""Exclude"",
AND(
COUNTIF(
IMPORTRANGE(""https://docs.google.com/spreadsheets/d/1kGrh75X1cNR1D7_FcY9zMnHP8iPO4M5RCRjy6nZY0TY/edit#gid=0"",""Table 1: Study characteristics!B4:B171""),A1373)&gt;0,
COUNTIF(Studies!$A$2:$A$85,FILTER(IMPORT"&amp;"RANGE(""https://docs.google.com/spreadsheets/d/1kGrh75X1cNR1D7_FcY9zMnHP8iPO4M5RCRjy6nZY0TY/edit#gid=0"",""Table 1: Study characteristics!A4:A171""), $A1373=IMPORTRANGE(""https://docs.google.com/spreadsheets/d/1kGrh75X1cNR1D7_FcY9zMnHP8iPO4M5RCRjy6nZY0TY/"&amp;"edit#gid=0"",""Table 1: Study characteristics!B4:B171"")))&gt;0
),
""Include""
)"),"Exclude")</f>
        <v>Exclude</v>
      </c>
      <c r="G1373" s="5" t="str">
        <f>IFERROR(__xludf.DUMMYFUNCTION("IFS(
D1373=""Exclude"",
FILTER(IMPORTRANGE(""https://docs.google.com/spreadsheets/d/1BJSV3WBYJGRhQ6zExamkszQ5VutGIcaQqmbD9ZTVXMQ/edit#gid=1251630045"",""articles_with_PRISMA_reasons!AB2:AB2113""), $A1373=IMPORTRANGE(""https://docs.google.com/spreadsheets/"&amp;"d/1BJSV3WBYJGRhQ6zExamkszQ5VutGIcaQqmbD9ZTVXMQ/edit#gid=1251630045"",""articles_with_PRISMA_reasons!B2:B2113"")),
E1373=""Exclude"",
FILTER(IMPORTRANGE(""https://docs.google.com/spreadsheets/d/1qpEmbGH0JjaJbUdp21-y2cPbobDbMjr09BbtdKROZWc/edit#gid=14448656"&amp;"54"",""articles_with_PRISMA_reasons!Z2:Z2113""), $A1373=IMPORTRANGE(""https://docs.google.com/spreadsheets/d/1qpEmbGH0JjaJbUdp21-y2cPbobDbMjr09BbtdKROZWc/edit#gid=1444865654"",""articles_with_PRISMA_reasons!B2:B2113"")),F1373
=""Include"",FILTER(IMPORTRAN"&amp;"GE(""https://docs.google.com/spreadsheets/d/1kGrh75X1cNR1D7_FcY9zMnHP8iPO4M5RCRjy6nZY0TY/edit#gid=0"",""Table 1: Study characteristics!A4:A171""), $A1373=IMPORTRANGE(""https://docs.google.com/spreadsheets/d/1kGrh75X1cNR1D7_FcY9zMnHP8iPO4M5RCRjy6nZY0TY/edi"&amp;"t#gid=0"",""Table 1: Study characteristics!B4:B171""))
)"),"wrong publication type")</f>
        <v>wrong publication type</v>
      </c>
    </row>
    <row r="1374">
      <c r="A1374" s="4" t="str">
        <f>IFERROR(__xludf.DUMMYFUNCTION("""COMPUTED_VALUE"""),"Oral hormone pregnancy tests and the risks of congenital malformations: A systematic review and meta-analysis")</f>
        <v>Oral hormone pregnancy tests and the risks of congenital malformations: A systematic review and meta-analysis</v>
      </c>
      <c r="B1374" s="5" t="str">
        <f>IFERROR(__xludf.DUMMYFUNCTION("LEFT(FILTER(IMPORTRANGE(""https://docs.google.com/spreadsheets/d/1BJSV3WBYJGRhQ6zExamkszQ5VutGIcaQqmbD9ZTVXMQ/edit#gid=1251630045"",""articles_with_PRISMA_reasons!K2:K2113""), $A1374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$A1374=IMPORTRANGE(""https://docs.google.com/spreadsheets/d/1BJSV3WBYJGRhQ6zExamkszQ5VutGIcaQqmbD9ZTVXMQ/edit#gid=1251630045"",""articles_with_PRISMA_reasons!B2:B2113"")))-1)"),"Heneghan")</f>
        <v>Heneghan</v>
      </c>
      <c r="C1374" s="6">
        <f>IFERROR(__xludf.DUMMYFUNCTION("FILTER(IMPORTRANGE(""https://docs.google.com/spreadsheets/d/1BJSV3WBYJGRhQ6zExamkszQ5VutGIcaQqmbD9ZTVXMQ/edit#gid=1251630045"",""articles_with_PRISMA_reasons!C2:C2113""), $A1374=IMPORTRANGE(""https://docs.google.com/spreadsheets/d/1BJSV3WBYJGRhQ6zExamkszQ"&amp;"5VutGIcaQqmbD9ZTVXMQ/edit#gid=1251630045"",""articles_with_PRISMA_reasons!B2:B2113""))"),2018.0)</f>
        <v>2018</v>
      </c>
      <c r="D1374" s="5" t="str">
        <f>IFERROR(__xludf.DUMMYFUNCTION("IFS(AND(
FILTER(IMPORTRANGE(""https://docs.google.com/spreadsheets/d/1BJSV3WBYJGRhQ6zExamkszQ5VutGIcaQqmbD9ZTVXMQ/edit#gid=1251630045"",""articles_with_PRISMA_reasons!Y2:Y2113""), $A1374=IMPORTRANGE(""https://docs.google.com/spreadsheets/d/1BJSV3WBYJGRhQ6"&amp;"zExamkszQ5VutGIcaQqmbD9ZTVXMQ/edit#gid=1251630045"",""articles_with_PRISMA_reasons!B2:B2113""))&gt;=2,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$A1374=IMPORTRANGE(""https://docs.google.com/spreadsheets/d/1BJSV3WBYJGRhQ6zExamkszQ5VutGIcaQqmbD9ZTVXMQ/edit#gid=1251630045"",""articles_with_PRISMA_reasons!B2:B2113""))&lt;2),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$A1374=IMPORTRANGE(""https://docs.google.com/spreadsheets/d/1BJSV3WBYJGRhQ6zExamkszQ5VutGIcaQqmbD9ZTVXMQ/edit#gid=1251630045"",""a"&amp;"rticles_with_PRISMA_reasons!B2:B2113""))&lt;2,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$A1374=IMPORTRANGE(""https://docs.google"&amp;".com/spreadsheets/d/1BJSV3WBYJGRhQ6zExamkszQ5VutGIcaQqmbD9ZTVXMQ/edit#gid=1251630045"",""articles_with_PRISMA_reasons!B2:B2113""))&gt;=2),
""Exclude""
)"),"Exclude")</f>
        <v>Exclude</v>
      </c>
      <c r="E1374" s="5" t="str">
        <f>IFERROR(__xludf.DUMMYFUNCTION("IFS(
D1374=""Exclude"",""Exclude"",
AND(
FILTER(IMPORTRANGE(""https://docs.google.com/spreadsheets/d/1qpEmbGH0JjaJbUdp21-y2cPbobDbMjr09BbtdKROZWc/edit#gid=1444865654"",""articles_with_PRISMA_reasons!W2:W2113""), $A1374=IMPORTRANGE(""https://docs.google.co"&amp;"m/spreadsheets/d/1qpEmbGH0JjaJbUdp21-y2cPbobDbMjr09BbtdKROZWc/edit#gid=1444865654"",""articles_with_PRISMA_reasons!B2:B2113""))&gt;=2,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$A1374=IMPORTRANGE(""https://docs.google.com/spreadsheets/d/1qpEmbGH0JjaJbUdp21-y2cPbobDbMjr09BbtdKROZWc/edit#gid=1444865654"",""articles_with_PRISMA_reasons!B2:B2113""))&lt;2),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$A1374=IMPORTRANGE(""https://docs.google.com/spreadsheets/d/1qpEmbGH0JjaJbUdp21-y2cPbobDbMjr09Bbtd"&amp;"KROZWc/edit#gid=1444865654"",""articles_with_PRISMA_reasons!B2:B2113""))&lt;2,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$A1374=I"&amp;"MPORTRANGE(""https://docs.google.com/spreadsheets/d/1qpEmbGH0JjaJbUdp21-y2cPbobDbMjr09BbtdKROZWc/edit#gid=1444865654"",""articles_with_PRISMA_reasons!B2:B2113""))&gt;=2),
""Exclude""
)"),"Exclude")</f>
        <v>Exclude</v>
      </c>
      <c r="F1374" s="5" t="str">
        <f>IFERROR(__xludf.DUMMYFUNCTION("IFS(
E1374=""Exclude"",""Exclude"",
AND(
COUNTIF(
IMPORTRANGE(""https://docs.google.com/spreadsheets/d/1kGrh75X1cNR1D7_FcY9zMnHP8iPO4M5RCRjy6nZY0TY/edit#gid=0"",""Table 1: Study characteristics!B4:B171""),A1374)&gt;0,
COUNTIF(Studies!$A$2:$A$85,FILTER(IMPORT"&amp;"RANGE(""https://docs.google.com/spreadsheets/d/1kGrh75X1cNR1D7_FcY9zMnHP8iPO4M5RCRjy6nZY0TY/edit#gid=0"",""Table 1: Study characteristics!A4:A171""), $A1374=IMPORTRANGE(""https://docs.google.com/spreadsheets/d/1kGrh75X1cNR1D7_FcY9zMnHP8iPO4M5RCRjy6nZY0TY/"&amp;"edit#gid=0"",""Table 1: Study characteristics!B4:B171"")))&gt;0
),
""Include""
)"),"Exclude")</f>
        <v>Exclude</v>
      </c>
      <c r="G1374" s="5" t="str">
        <f>IFERROR(__xludf.DUMMYFUNCTION("IFS(
D1374=""Exclude"",
FILTER(IMPORTRANGE(""https://docs.google.com/spreadsheets/d/1BJSV3WBYJGRhQ6zExamkszQ5VutGIcaQqmbD9ZTVXMQ/edit#gid=1251630045"",""articles_with_PRISMA_reasons!AB2:AB2113""), $A1374=IMPORTRANGE(""https://docs.google.com/spreadsheets/"&amp;"d/1BJSV3WBYJGRhQ6zExamkszQ5VutGIcaQqmbD9ZTVXMQ/edit#gid=1251630045"",""articles_with_PRISMA_reasons!B2:B2113"")),
E1374=""Exclude"",
FILTER(IMPORTRANGE(""https://docs.google.com/spreadsheets/d/1qpEmbGH0JjaJbUdp21-y2cPbobDbMjr09BbtdKROZWc/edit#gid=14448656"&amp;"54"",""articles_with_PRISMA_reasons!Z2:Z2113""), $A1374=IMPORTRANGE(""https://docs.google.com/spreadsheets/d/1qpEmbGH0JjaJbUdp21-y2cPbobDbMjr09BbtdKROZWc/edit#gid=1444865654"",""articles_with_PRISMA_reasons!B2:B2113"")),F1374
=""Include"",FILTER(IMPORTRAN"&amp;"GE(""https://docs.google.com/spreadsheets/d/1kGrh75X1cNR1D7_FcY9zMnHP8iPO4M5RCRjy6nZY0TY/edit#gid=0"",""Table 1: Study characteristics!A4:A171""), $A1374=IMPORTRANGE(""https://docs.google.com/spreadsheets/d/1kGrh75X1cNR1D7_FcY9zMnHP8iPO4M5RCRjy6nZY0TY/edi"&amp;"t#gid=0"",""Table 1: Study characteristics!B4:B171""))
)"),"wrong study design")</f>
        <v>wrong study design</v>
      </c>
    </row>
    <row r="1375">
      <c r="A1375" s="4" t="str">
        <f>IFERROR(__xludf.DUMMYFUNCTION("""COMPUTED_VALUE"""),"Oral-facial-digital (OFD) syndrome with associated features: A new syndrome or genetic heterogeneity and variability?")</f>
        <v>Oral-facial-digital (OFD) syndrome with associated features: A new syndrome or genetic heterogeneity and variability?</v>
      </c>
      <c r="B1375" s="5" t="str">
        <f>IFERROR(__xludf.DUMMYFUNCTION("LEFT(FILTER(IMPORTRANGE(""https://docs.google.com/spreadsheets/d/1BJSV3WBYJGRhQ6zExamkszQ5VutGIcaQqmbD9ZTVXMQ/edit#gid=1251630045"",""articles_with_PRISMA_reasons!K2:K2113""), $A1375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$A1375=IMPORTRANGE(""https://docs.google.com/spreadsheets/d/1BJSV3WBYJGRhQ6zExamkszQ5VutGIcaQqmbD9ZTVXMQ/edit#gid=1251630045"",""articles_with_PRISMA_reasons!B2:B2113"")))-1)"),"Garcia-Cavazos")</f>
        <v>Garcia-Cavazos</v>
      </c>
      <c r="C1375" s="6">
        <f>IFERROR(__xludf.DUMMYFUNCTION("FILTER(IMPORTRANGE(""https://docs.google.com/spreadsheets/d/1BJSV3WBYJGRhQ6zExamkszQ5VutGIcaQqmbD9ZTVXMQ/edit#gid=1251630045"",""articles_with_PRISMA_reasons!C2:C2113""), $A1375=IMPORTRANGE(""https://docs.google.com/spreadsheets/d/1BJSV3WBYJGRhQ6zExamkszQ"&amp;"5VutGIcaQqmbD9ZTVXMQ/edit#gid=1251630045"",""articles_with_PRISMA_reasons!B2:B2113""))"),1998.0)</f>
        <v>1998</v>
      </c>
      <c r="D1375" s="5" t="str">
        <f>IFERROR(__xludf.DUMMYFUNCTION("IFS(AND(
FILTER(IMPORTRANGE(""https://docs.google.com/spreadsheets/d/1BJSV3WBYJGRhQ6zExamkszQ5VutGIcaQqmbD9ZTVXMQ/edit#gid=1251630045"",""articles_with_PRISMA_reasons!Y2:Y2113""), $A1375=IMPORTRANGE(""https://docs.google.com/spreadsheets/d/1BJSV3WBYJGRhQ6"&amp;"zExamkszQ5VutGIcaQqmbD9ZTVXMQ/edit#gid=1251630045"",""articles_with_PRISMA_reasons!B2:B2113""))&gt;=2,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$A1375=IMPORTRANGE(""https://docs.google.com/spreadsheets/d/1BJSV3WBYJGRhQ6zExamkszQ5VutGIcaQqmbD9ZTVXMQ/edit#gid=1251630045"",""articles_with_PRISMA_reasons!B2:B2113""))&lt;2),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$A1375=IMPORTRANGE(""https://docs.google.com/spreadsheets/d/1BJSV3WBYJGRhQ6zExamkszQ5VutGIcaQqmbD9ZTVXMQ/edit#gid=1251630045"",""a"&amp;"rticles_with_PRISMA_reasons!B2:B2113""))&lt;2,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$A1375=IMPORTRANGE(""https://docs.google"&amp;".com/spreadsheets/d/1BJSV3WBYJGRhQ6zExamkszQ5VutGIcaQqmbD9ZTVXMQ/edit#gid=1251630045"",""articles_with_PRISMA_reasons!B2:B2113""))&gt;=2),
""Exclude""
)"),"Exclude")</f>
        <v>Exclude</v>
      </c>
      <c r="E1375" s="5" t="str">
        <f>IFERROR(__xludf.DUMMYFUNCTION("IFS(
D1375=""Exclude"",""Exclude"",
AND(
FILTER(IMPORTRANGE(""https://docs.google.com/spreadsheets/d/1qpEmbGH0JjaJbUdp21-y2cPbobDbMjr09BbtdKROZWc/edit#gid=1444865654"",""articles_with_PRISMA_reasons!W2:W2113""), $A1375=IMPORTRANGE(""https://docs.google.co"&amp;"m/spreadsheets/d/1qpEmbGH0JjaJbUdp21-y2cPbobDbMjr09BbtdKROZWc/edit#gid=1444865654"",""articles_with_PRISMA_reasons!B2:B2113""))&gt;=2,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$A1375=IMPORTRANGE(""https://docs.google.com/spreadsheets/d/1qpEmbGH0JjaJbUdp21-y2cPbobDbMjr09BbtdKROZWc/edit#gid=1444865654"",""articles_with_PRISMA_reasons!B2:B2113""))&lt;2),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$A1375=IMPORTRANGE(""https://docs.google.com/spreadsheets/d/1qpEmbGH0JjaJbUdp21-y2cPbobDbMjr09Bbtd"&amp;"KROZWc/edit#gid=1444865654"",""articles_with_PRISMA_reasons!B2:B2113""))&lt;2,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$A1375=I"&amp;"MPORTRANGE(""https://docs.google.com/spreadsheets/d/1qpEmbGH0JjaJbUdp21-y2cPbobDbMjr09BbtdKROZWc/edit#gid=1444865654"",""articles_with_PRISMA_reasons!B2:B2113""))&gt;=2),
""Exclude""
)"),"Exclude")</f>
        <v>Exclude</v>
      </c>
      <c r="F1375" s="5" t="str">
        <f>IFERROR(__xludf.DUMMYFUNCTION("IFS(
E1375=""Exclude"",""Exclude"",
AND(
COUNTIF(
IMPORTRANGE(""https://docs.google.com/spreadsheets/d/1kGrh75X1cNR1D7_FcY9zMnHP8iPO4M5RCRjy6nZY0TY/edit#gid=0"",""Table 1: Study characteristics!B4:B171""),A1375)&gt;0,
COUNTIF(Studies!$A$2:$A$85,FILTER(IMPORT"&amp;"RANGE(""https://docs.google.com/spreadsheets/d/1kGrh75X1cNR1D7_FcY9zMnHP8iPO4M5RCRjy6nZY0TY/edit#gid=0"",""Table 1: Study characteristics!A4:A171""), $A1375=IMPORTRANGE(""https://docs.google.com/spreadsheets/d/1kGrh75X1cNR1D7_FcY9zMnHP8iPO4M5RCRjy6nZY0TY/"&amp;"edit#gid=0"",""Table 1: Study characteristics!B4:B171"")))&gt;0
),
""Include""
)"),"Exclude")</f>
        <v>Exclude</v>
      </c>
      <c r="G1375" s="5" t="str">
        <f>IFERROR(__xludf.DUMMYFUNCTION("IFS(
D1375=""Exclude"",
FILTER(IMPORTRANGE(""https://docs.google.com/spreadsheets/d/1BJSV3WBYJGRhQ6zExamkszQ5VutGIcaQqmbD9ZTVXMQ/edit#gid=1251630045"",""articles_with_PRISMA_reasons!AB2:AB2113""), $A1375=IMPORTRANGE(""https://docs.google.com/spreadsheets/"&amp;"d/1BJSV3WBYJGRhQ6zExamkszQ5VutGIcaQqmbD9ZTVXMQ/edit#gid=1251630045"",""articles_with_PRISMA_reasons!B2:B2113"")),
E1375=""Exclude"",
FILTER(IMPORTRANGE(""https://docs.google.com/spreadsheets/d/1qpEmbGH0JjaJbUdp21-y2cPbobDbMjr09BbtdKROZWc/edit#gid=14448656"&amp;"54"",""articles_with_PRISMA_reasons!Z2:Z2113""), $A1375=IMPORTRANGE(""https://docs.google.com/spreadsheets/d/1qpEmbGH0JjaJbUdp21-y2cPbobDbMjr09BbtdKROZWc/edit#gid=1444865654"",""articles_with_PRISMA_reasons!B2:B2113"")),F1375
=""Include"",FILTER(IMPORTRAN"&amp;"GE(""https://docs.google.com/spreadsheets/d/1kGrh75X1cNR1D7_FcY9zMnHP8iPO4M5RCRjy6nZY0TY/edit#gid=0"",""Table 1: Study characteristics!A4:A171""), $A1375=IMPORTRANGE(""https://docs.google.com/spreadsheets/d/1kGrh75X1cNR1D7_FcY9zMnHP8iPO4M5RCRjy6nZY0TY/edi"&amp;"t#gid=0"",""Table 1: Study characteristics!B4:B171""))
)"),"wrong study design")</f>
        <v>wrong study design</v>
      </c>
    </row>
    <row r="1376">
      <c r="A1376" s="4" t="str">
        <f>IFERROR(__xludf.DUMMYFUNCTION("""COMPUTED_VALUE"""),"Organochlorine pesticide exposure in mothers and neural tube defects in offsprings")</f>
        <v>Organochlorine pesticide exposure in mothers and neural tube defects in offsprings</v>
      </c>
      <c r="B1376" s="5" t="str">
        <f>IFERROR(__xludf.DUMMYFUNCTION("LEFT(FILTER(IMPORTRANGE(""https://docs.google.com/spreadsheets/d/1BJSV3WBYJGRhQ6zExamkszQ5VutGIcaQqmbD9ZTVXMQ/edit#gid=1251630045"",""articles_with_PRISMA_reasons!K2:K2113""), $A1376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$A1376=IMPORTRANGE(""https://docs.google.com/spreadsheets/d/1BJSV3WBYJGRhQ6zExamkszQ5VutGIcaQqmbD9ZTVXMQ/edit#gid=1251630045"",""articles_with_PRISMA_reasons!B2:B2113"")))-1)"),"Kalra")</f>
        <v>Kalra</v>
      </c>
      <c r="C1376" s="6">
        <f>IFERROR(__xludf.DUMMYFUNCTION("FILTER(IMPORTRANGE(""https://docs.google.com/spreadsheets/d/1BJSV3WBYJGRhQ6zExamkszQ5VutGIcaQqmbD9ZTVXMQ/edit#gid=1251630045"",""articles_with_PRISMA_reasons!C2:C2113""), $A1376=IMPORTRANGE(""https://docs.google.com/spreadsheets/d/1BJSV3WBYJGRhQ6zExamkszQ"&amp;"5VutGIcaQqmbD9ZTVXMQ/edit#gid=1251630045"",""articles_with_PRISMA_reasons!B2:B2113""))"),2016.0)</f>
        <v>2016</v>
      </c>
      <c r="D1376" s="5" t="str">
        <f>IFERROR(__xludf.DUMMYFUNCTION("IFS(AND(
FILTER(IMPORTRANGE(""https://docs.google.com/spreadsheets/d/1BJSV3WBYJGRhQ6zExamkszQ5VutGIcaQqmbD9ZTVXMQ/edit#gid=1251630045"",""articles_with_PRISMA_reasons!Y2:Y2113""), $A1376=IMPORTRANGE(""https://docs.google.com/spreadsheets/d/1BJSV3WBYJGRhQ6"&amp;"zExamkszQ5VutGIcaQqmbD9ZTVXMQ/edit#gid=1251630045"",""articles_with_PRISMA_reasons!B2:B2113""))&gt;=2,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$A1376=IMPORTRANGE(""https://docs.google.com/spreadsheets/d/1BJSV3WBYJGRhQ6zExamkszQ5VutGIcaQqmbD9ZTVXMQ/edit#gid=1251630045"",""articles_with_PRISMA_reasons!B2:B2113""))&lt;2),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$A1376=IMPORTRANGE(""https://docs.google.com/spreadsheets/d/1BJSV3WBYJGRhQ6zExamkszQ5VutGIcaQqmbD9ZTVXMQ/edit#gid=1251630045"",""a"&amp;"rticles_with_PRISMA_reasons!B2:B2113""))&lt;2,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$A1376=IMPORTRANGE(""https://docs.google"&amp;".com/spreadsheets/d/1BJSV3WBYJGRhQ6zExamkszQ5VutGIcaQqmbD9ZTVXMQ/edit#gid=1251630045"",""articles_with_PRISMA_reasons!B2:B2113""))&gt;=2),
""Exclude""
)"),"Exclude")</f>
        <v>Exclude</v>
      </c>
      <c r="E1376" s="5" t="str">
        <f>IFERROR(__xludf.DUMMYFUNCTION("IFS(
D1376=""Exclude"",""Exclude"",
AND(
FILTER(IMPORTRANGE(""https://docs.google.com/spreadsheets/d/1qpEmbGH0JjaJbUdp21-y2cPbobDbMjr09BbtdKROZWc/edit#gid=1444865654"",""articles_with_PRISMA_reasons!W2:W2113""), $A1376=IMPORTRANGE(""https://docs.google.co"&amp;"m/spreadsheets/d/1qpEmbGH0JjaJbUdp21-y2cPbobDbMjr09BbtdKROZWc/edit#gid=1444865654"",""articles_with_PRISMA_reasons!B2:B2113""))&gt;=2,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$A1376=IMPORTRANGE(""https://docs.google.com/spreadsheets/d/1qpEmbGH0JjaJbUdp21-y2cPbobDbMjr09BbtdKROZWc/edit#gid=1444865654"",""articles_with_PRISMA_reasons!B2:B2113""))&lt;2),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$A1376=IMPORTRANGE(""https://docs.google.com/spreadsheets/d/1qpEmbGH0JjaJbUdp21-y2cPbobDbMjr09Bbtd"&amp;"KROZWc/edit#gid=1444865654"",""articles_with_PRISMA_reasons!B2:B2113""))&lt;2,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$A1376=I"&amp;"MPORTRANGE(""https://docs.google.com/spreadsheets/d/1qpEmbGH0JjaJbUdp21-y2cPbobDbMjr09BbtdKROZWc/edit#gid=1444865654"",""articles_with_PRISMA_reasons!B2:B2113""))&gt;=2),
""Exclude""
)"),"Exclude")</f>
        <v>Exclude</v>
      </c>
      <c r="F1376" s="5" t="str">
        <f>IFERROR(__xludf.DUMMYFUNCTION("IFS(
E1376=""Exclude"",""Exclude"",
AND(
COUNTIF(
IMPORTRANGE(""https://docs.google.com/spreadsheets/d/1kGrh75X1cNR1D7_FcY9zMnHP8iPO4M5RCRjy6nZY0TY/edit#gid=0"",""Table 1: Study characteristics!B4:B171""),A1376)&gt;0,
COUNTIF(Studies!$A$2:$A$85,FILTER(IMPORT"&amp;"RANGE(""https://docs.google.com/spreadsheets/d/1kGrh75X1cNR1D7_FcY9zMnHP8iPO4M5RCRjy6nZY0TY/edit#gid=0"",""Table 1: Study characteristics!A4:A171""), $A1376=IMPORTRANGE(""https://docs.google.com/spreadsheets/d/1kGrh75X1cNR1D7_FcY9zMnHP8iPO4M5RCRjy6nZY0TY/"&amp;"edit#gid=0"",""Table 1: Study characteristics!B4:B171"")))&gt;0
),
""Include""
)"),"Exclude")</f>
        <v>Exclude</v>
      </c>
      <c r="G1376" s="5" t="str">
        <f>IFERROR(__xludf.DUMMYFUNCTION("IFS(
D1376=""Exclude"",
FILTER(IMPORTRANGE(""https://docs.google.com/spreadsheets/d/1BJSV3WBYJGRhQ6zExamkszQ5VutGIcaQqmbD9ZTVXMQ/edit#gid=1251630045"",""articles_with_PRISMA_reasons!AB2:AB2113""), $A1376=IMPORTRANGE(""https://docs.google.com/spreadsheets/"&amp;"d/1BJSV3WBYJGRhQ6zExamkszQ5VutGIcaQqmbD9ZTVXMQ/edit#gid=1251630045"",""articles_with_PRISMA_reasons!B2:B2113"")),
E1376=""Exclude"",
FILTER(IMPORTRANGE(""https://docs.google.com/spreadsheets/d/1qpEmbGH0JjaJbUdp21-y2cPbobDbMjr09BbtdKROZWc/edit#gid=14448656"&amp;"54"",""articles_with_PRISMA_reasons!Z2:Z2113""), $A1376=IMPORTRANGE(""https://docs.google.com/spreadsheets/d/1qpEmbGH0JjaJbUdp21-y2cPbobDbMjr09BbtdKROZWc/edit#gid=1444865654"",""articles_with_PRISMA_reasons!B2:B2113"")),F1376
=""Include"",FILTER(IMPORTRAN"&amp;"GE(""https://docs.google.com/spreadsheets/d/1kGrh75X1cNR1D7_FcY9zMnHP8iPO4M5RCRjy6nZY0TY/edit#gid=0"",""Table 1: Study characteristics!A4:A171""), $A1376=IMPORTRANGE(""https://docs.google.com/spreadsheets/d/1kGrh75X1cNR1D7_FcY9zMnHP8iPO4M5RCRjy6nZY0TY/edi"&amp;"t#gid=0"",""Table 1: Study characteristics!B4:B171""))
)"),"wrong study design")</f>
        <v>wrong study design</v>
      </c>
    </row>
    <row r="1377">
      <c r="A1377" s="4" t="str">
        <f>IFERROR(__xludf.DUMMYFUNCTION("""COMPUTED_VALUE"""),"Orthopaedic care of children with myelomeningocele: a modern programme of rehabilitation")</f>
        <v>Orthopaedic care of children with myelomeningocele: a modern programme of rehabilitation</v>
      </c>
      <c r="B1377" s="5" t="str">
        <f>IFERROR(__xludf.DUMMYFUNCTION("LEFT(FILTER(IMPORTRANGE(""https://docs.google.com/spreadsheets/d/1BJSV3WBYJGRhQ6zExamkszQ5VutGIcaQqmbD9ZTVXMQ/edit#gid=1251630045"",""articles_with_PRISMA_reasons!K2:K2113""), $A1377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$A1377=IMPORTRANGE(""https://docs.google.com/spreadsheets/d/1BJSV3WBYJGRhQ6zExamkszQ5VutGIcaQqmbD9ZTVXMQ/edit#gid=1251630045"",""articles_with_PRISMA_reasons!B2:B2113"")))-1)"),"Strach")</f>
        <v>Strach</v>
      </c>
      <c r="C1377" s="6">
        <f>IFERROR(__xludf.DUMMYFUNCTION("FILTER(IMPORTRANGE(""https://docs.google.com/spreadsheets/d/1BJSV3WBYJGRhQ6zExamkszQ5VutGIcaQqmbD9ZTVXMQ/edit#gid=1251630045"",""articles_with_PRISMA_reasons!C2:C2113""), $A1377=IMPORTRANGE(""https://docs.google.com/spreadsheets/d/1BJSV3WBYJGRhQ6zExamkszQ"&amp;"5VutGIcaQqmbD9ZTVXMQ/edit#gid=1251630045"",""articles_with_PRISMA_reasons!B2:B2113""))"),1967.0)</f>
        <v>1967</v>
      </c>
      <c r="D1377" s="5" t="str">
        <f>IFERROR(__xludf.DUMMYFUNCTION("IFS(AND(
FILTER(IMPORTRANGE(""https://docs.google.com/spreadsheets/d/1BJSV3WBYJGRhQ6zExamkszQ5VutGIcaQqmbD9ZTVXMQ/edit#gid=1251630045"",""articles_with_PRISMA_reasons!Y2:Y2113""), $A1377=IMPORTRANGE(""https://docs.google.com/spreadsheets/d/1BJSV3WBYJGRhQ6"&amp;"zExamkszQ5VutGIcaQqmbD9ZTVXMQ/edit#gid=1251630045"",""articles_with_PRISMA_reasons!B2:B2113""))&gt;=2,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$A1377=IMPORTRANGE(""https://docs.google.com/spreadsheets/d/1BJSV3WBYJGRhQ6zExamkszQ5VutGIcaQqmbD9ZTVXMQ/edit#gid=1251630045"",""articles_with_PRISMA_reasons!B2:B2113""))&lt;2),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$A1377=IMPORTRANGE(""https://docs.google.com/spreadsheets/d/1BJSV3WBYJGRhQ6zExamkszQ5VutGIcaQqmbD9ZTVXMQ/edit#gid=1251630045"",""a"&amp;"rticles_with_PRISMA_reasons!B2:B2113""))&lt;2,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$A1377=IMPORTRANGE(""https://docs.google"&amp;".com/spreadsheets/d/1BJSV3WBYJGRhQ6zExamkszQ5VutGIcaQqmbD9ZTVXMQ/edit#gid=1251630045"",""articles_with_PRISMA_reasons!B2:B2113""))&gt;=2),
""Exclude""
)"),"Exclude")</f>
        <v>Exclude</v>
      </c>
      <c r="E1377" s="5" t="str">
        <f>IFERROR(__xludf.DUMMYFUNCTION("IFS(
D1377=""Exclude"",""Exclude"",
AND(
FILTER(IMPORTRANGE(""https://docs.google.com/spreadsheets/d/1qpEmbGH0JjaJbUdp21-y2cPbobDbMjr09BbtdKROZWc/edit#gid=1444865654"",""articles_with_PRISMA_reasons!W2:W2113""), $A1377=IMPORTRANGE(""https://docs.google.co"&amp;"m/spreadsheets/d/1qpEmbGH0JjaJbUdp21-y2cPbobDbMjr09BbtdKROZWc/edit#gid=1444865654"",""articles_with_PRISMA_reasons!B2:B2113""))&gt;=2,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$A1377=IMPORTRANGE(""https://docs.google.com/spreadsheets/d/1qpEmbGH0JjaJbUdp21-y2cPbobDbMjr09BbtdKROZWc/edit#gid=1444865654"",""articles_with_PRISMA_reasons!B2:B2113""))&lt;2),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$A1377=IMPORTRANGE(""https://docs.google.com/spreadsheets/d/1qpEmbGH0JjaJbUdp21-y2cPbobDbMjr09Bbtd"&amp;"KROZWc/edit#gid=1444865654"",""articles_with_PRISMA_reasons!B2:B2113""))&lt;2,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$A1377=I"&amp;"MPORTRANGE(""https://docs.google.com/spreadsheets/d/1qpEmbGH0JjaJbUdp21-y2cPbobDbMjr09BbtdKROZWc/edit#gid=1444865654"",""articles_with_PRISMA_reasons!B2:B2113""))&gt;=2),
""Exclude""
)"),"Exclude")</f>
        <v>Exclude</v>
      </c>
      <c r="F1377" s="5" t="str">
        <f>IFERROR(__xludf.DUMMYFUNCTION("IFS(
E1377=""Exclude"",""Exclude"",
AND(
COUNTIF(
IMPORTRANGE(""https://docs.google.com/spreadsheets/d/1kGrh75X1cNR1D7_FcY9zMnHP8iPO4M5RCRjy6nZY0TY/edit#gid=0"",""Table 1: Study characteristics!B4:B171""),A1377)&gt;0,
COUNTIF(Studies!$A$2:$A$85,FILTER(IMPORT"&amp;"RANGE(""https://docs.google.com/spreadsheets/d/1kGrh75X1cNR1D7_FcY9zMnHP8iPO4M5RCRjy6nZY0TY/edit#gid=0"",""Table 1: Study characteristics!A4:A171""), $A1377=IMPORTRANGE(""https://docs.google.com/spreadsheets/d/1kGrh75X1cNR1D7_FcY9zMnHP8iPO4M5RCRjy6nZY0TY/"&amp;"edit#gid=0"",""Table 1: Study characteristics!B4:B171"")))&gt;0
),
""Include""
)"),"Exclude")</f>
        <v>Exclude</v>
      </c>
      <c r="G1377" s="5" t="str">
        <f>IFERROR(__xludf.DUMMYFUNCTION("IFS(
D1377=""Exclude"",
FILTER(IMPORTRANGE(""https://docs.google.com/spreadsheets/d/1BJSV3WBYJGRhQ6zExamkszQ5VutGIcaQqmbD9ZTVXMQ/edit#gid=1251630045"",""articles_with_PRISMA_reasons!AB2:AB2113""), $A1377=IMPORTRANGE(""https://docs.google.com/spreadsheets/"&amp;"d/1BJSV3WBYJGRhQ6zExamkszQ5VutGIcaQqmbD9ZTVXMQ/edit#gid=1251630045"",""articles_with_PRISMA_reasons!B2:B2113"")),
E1377=""Exclude"",
FILTER(IMPORTRANGE(""https://docs.google.com/spreadsheets/d/1qpEmbGH0JjaJbUdp21-y2cPbobDbMjr09BbtdKROZWc/edit#gid=14448656"&amp;"54"",""articles_with_PRISMA_reasons!Z2:Z2113""), $A1377=IMPORTRANGE(""https://docs.google.com/spreadsheets/d/1qpEmbGH0JjaJbUdp21-y2cPbobDbMjr09BbtdKROZWc/edit#gid=1444865654"",""articles_with_PRISMA_reasons!B2:B2113"")),F1377
=""Include"",FILTER(IMPORTRAN"&amp;"GE(""https://docs.google.com/spreadsheets/d/1kGrh75X1cNR1D7_FcY9zMnHP8iPO4M5RCRjy6nZY0TY/edit#gid=0"",""Table 1: Study characteristics!A4:A171""), $A1377=IMPORTRANGE(""https://docs.google.com/spreadsheets/d/1kGrh75X1cNR1D7_FcY9zMnHP8iPO4M5RCRjy6nZY0TY/edi"&amp;"t#gid=0"",""Table 1: Study characteristics!B4:B171""))
)"),"wrong population")</f>
        <v>wrong population</v>
      </c>
    </row>
    <row r="1378">
      <c r="A1378" s="4" t="str">
        <f>IFERROR(__xludf.DUMMYFUNCTION("""COMPUTED_VALUE"""),"Orthotic Care Based on the Ferrari Concept for Children and Adults with Meningomyelocele")</f>
        <v>Orthotic Care Based on the Ferrari Concept for Children and Adults with Meningomyelocele</v>
      </c>
      <c r="B1378" s="5" t="str">
        <f>IFERROR(__xludf.DUMMYFUNCTION("LEFT(FILTER(IMPORTRANGE(""https://docs.google.com/spreadsheets/d/1BJSV3WBYJGRhQ6zExamkszQ5VutGIcaQqmbD9ZTVXMQ/edit#gid=1251630045"",""articles_with_PRISMA_reasons!K2:K2113""), $A1378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$A1378=IMPORTRANGE(""https://docs.google.com/spreadsheets/d/1BJSV3WBYJGRhQ6zExamkszQ5VutGIcaQqmbD9ZTVXMQ/edit#gid=1251630045"",""articles_with_PRISMA_reasons!B2:B2113"")))-1)"),"Schmid")</f>
        <v>Schmid</v>
      </c>
      <c r="C1378" s="6">
        <f>IFERROR(__xludf.DUMMYFUNCTION("FILTER(IMPORTRANGE(""https://docs.google.com/spreadsheets/d/1BJSV3WBYJGRhQ6zExamkszQ5VutGIcaQqmbD9ZTVXMQ/edit#gid=1251630045"",""articles_with_PRISMA_reasons!C2:C2113""), $A1378=IMPORTRANGE(""https://docs.google.com/spreadsheets/d/1BJSV3WBYJGRhQ6zExamkszQ"&amp;"5VutGIcaQqmbD9ZTVXMQ/edit#gid=1251630045"",""articles_with_PRISMA_reasons!B2:B2113""))"),2019.0)</f>
        <v>2019</v>
      </c>
      <c r="D1378" s="5" t="str">
        <f>IFERROR(__xludf.DUMMYFUNCTION("IFS(AND(
FILTER(IMPORTRANGE(""https://docs.google.com/spreadsheets/d/1BJSV3WBYJGRhQ6zExamkszQ5VutGIcaQqmbD9ZTVXMQ/edit#gid=1251630045"",""articles_with_PRISMA_reasons!Y2:Y2113""), $A1378=IMPORTRANGE(""https://docs.google.com/spreadsheets/d/1BJSV3WBYJGRhQ6"&amp;"zExamkszQ5VutGIcaQqmbD9ZTVXMQ/edit#gid=1251630045"",""articles_with_PRISMA_reasons!B2:B2113""))&gt;=2,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$A1378=IMPORTRANGE(""https://docs.google.com/spreadsheets/d/1BJSV3WBYJGRhQ6zExamkszQ5VutGIcaQqmbD9ZTVXMQ/edit#gid=1251630045"",""articles_with_PRISMA_reasons!B2:B2113""))&lt;2),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$A1378=IMPORTRANGE(""https://docs.google.com/spreadsheets/d/1BJSV3WBYJGRhQ6zExamkszQ5VutGIcaQqmbD9ZTVXMQ/edit#gid=1251630045"",""a"&amp;"rticles_with_PRISMA_reasons!B2:B2113""))&lt;2,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$A1378=IMPORTRANGE(""https://docs.google"&amp;".com/spreadsheets/d/1BJSV3WBYJGRhQ6zExamkszQ5VutGIcaQqmbD9ZTVXMQ/edit#gid=1251630045"",""articles_with_PRISMA_reasons!B2:B2113""))&gt;=2),
""Exclude""
)"),"Exclude")</f>
        <v>Exclude</v>
      </c>
      <c r="E1378" s="5" t="str">
        <f>IFERROR(__xludf.DUMMYFUNCTION("IFS(
D1378=""Exclude"",""Exclude"",
AND(
FILTER(IMPORTRANGE(""https://docs.google.com/spreadsheets/d/1qpEmbGH0JjaJbUdp21-y2cPbobDbMjr09BbtdKROZWc/edit#gid=1444865654"",""articles_with_PRISMA_reasons!W2:W2113""), $A1378=IMPORTRANGE(""https://docs.google.co"&amp;"m/spreadsheets/d/1qpEmbGH0JjaJbUdp21-y2cPbobDbMjr09BbtdKROZWc/edit#gid=1444865654"",""articles_with_PRISMA_reasons!B2:B2113""))&gt;=2,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$A1378=IMPORTRANGE(""https://docs.google.com/spreadsheets/d/1qpEmbGH0JjaJbUdp21-y2cPbobDbMjr09BbtdKROZWc/edit#gid=1444865654"",""articles_with_PRISMA_reasons!B2:B2113""))&lt;2),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$A1378=IMPORTRANGE(""https://docs.google.com/spreadsheets/d/1qpEmbGH0JjaJbUdp21-y2cPbobDbMjr09Bbtd"&amp;"KROZWc/edit#gid=1444865654"",""articles_with_PRISMA_reasons!B2:B2113""))&lt;2,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$A1378=I"&amp;"MPORTRANGE(""https://docs.google.com/spreadsheets/d/1qpEmbGH0JjaJbUdp21-y2cPbobDbMjr09BbtdKROZWc/edit#gid=1444865654"",""articles_with_PRISMA_reasons!B2:B2113""))&gt;=2),
""Exclude""
)"),"Exclude")</f>
        <v>Exclude</v>
      </c>
      <c r="F1378" s="5" t="str">
        <f>IFERROR(__xludf.DUMMYFUNCTION("IFS(
E1378=""Exclude"",""Exclude"",
AND(
COUNTIF(
IMPORTRANGE(""https://docs.google.com/spreadsheets/d/1kGrh75X1cNR1D7_FcY9zMnHP8iPO4M5RCRjy6nZY0TY/edit#gid=0"",""Table 1: Study characteristics!B4:B171""),A1378)&gt;0,
COUNTIF(Studies!$A$2:$A$85,FILTER(IMPORT"&amp;"RANGE(""https://docs.google.com/spreadsheets/d/1kGrh75X1cNR1D7_FcY9zMnHP8iPO4M5RCRjy6nZY0TY/edit#gid=0"",""Table 1: Study characteristics!A4:A171""), $A1378=IMPORTRANGE(""https://docs.google.com/spreadsheets/d/1kGrh75X1cNR1D7_FcY9zMnHP8iPO4M5RCRjy6nZY0TY/"&amp;"edit#gid=0"",""Table 1: Study characteristics!B4:B171"")))&gt;0
),
""Include""
)"),"Exclude")</f>
        <v>Exclude</v>
      </c>
      <c r="G1378" s="5" t="str">
        <f>IFERROR(__xludf.DUMMYFUNCTION("IFS(
D1378=""Exclude"",
FILTER(IMPORTRANGE(""https://docs.google.com/spreadsheets/d/1BJSV3WBYJGRhQ6zExamkszQ5VutGIcaQqmbD9ZTVXMQ/edit#gid=1251630045"",""articles_with_PRISMA_reasons!AB2:AB2113""), $A1378=IMPORTRANGE(""https://docs.google.com/spreadsheets/"&amp;"d/1BJSV3WBYJGRhQ6zExamkszQ5VutGIcaQqmbD9ZTVXMQ/edit#gid=1251630045"",""articles_with_PRISMA_reasons!B2:B2113"")),
E1378=""Exclude"",
FILTER(IMPORTRANGE(""https://docs.google.com/spreadsheets/d/1qpEmbGH0JjaJbUdp21-y2cPbobDbMjr09BbtdKROZWc/edit#gid=14448656"&amp;"54"",""articles_with_PRISMA_reasons!Z2:Z2113""), $A1378=IMPORTRANGE(""https://docs.google.com/spreadsheets/d/1qpEmbGH0JjaJbUdp21-y2cPbobDbMjr09BbtdKROZWc/edit#gid=1444865654"",""articles_with_PRISMA_reasons!B2:B2113"")),F1378
=""Include"",FILTER(IMPORTRAN"&amp;"GE(""https://docs.google.com/spreadsheets/d/1kGrh75X1cNR1D7_FcY9zMnHP8iPO4M5RCRjy6nZY0TY/edit#gid=0"",""Table 1: Study characteristics!A4:A171""), $A1378=IMPORTRANGE(""https://docs.google.com/spreadsheets/d/1kGrh75X1cNR1D7_FcY9zMnHP8iPO4M5RCRjy6nZY0TY/edi"&amp;"t#gid=0"",""Table 1: Study characteristics!B4:B171""))
)"),"wrong population")</f>
        <v>wrong population</v>
      </c>
    </row>
    <row r="1379">
      <c r="A1379" s="4" t="str">
        <f>IFERROR(__xludf.DUMMYFUNCTION("""COMPUTED_VALUE"""),"Orthotic treatment with Ferrari knee-ankle-foot orthoses")</f>
        <v>Orthotic treatment with Ferrari knee-ankle-foot orthoses</v>
      </c>
      <c r="B1379" s="5" t="str">
        <f>IFERROR(__xludf.DUMMYFUNCTION("LEFT(FILTER(IMPORTRANGE(""https://docs.google.com/spreadsheets/d/1BJSV3WBYJGRhQ6zExamkszQ5VutGIcaQqmbD9ZTVXMQ/edit#gid=1251630045"",""articles_with_PRISMA_reasons!K2:K2113""), $A1379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$A1379=IMPORTRANGE(""https://docs.google.com/spreadsheets/d/1BJSV3WBYJGRhQ6zExamkszQ5VutGIcaQqmbD9ZTVXMQ/edit#gid=1251630045"",""articles_with_PRISMA_reasons!B2:B2113"")))-1)"),"Bartonek")</f>
        <v>Bartonek</v>
      </c>
      <c r="C1379" s="6">
        <f>IFERROR(__xludf.DUMMYFUNCTION("FILTER(IMPORTRANGE(""https://docs.google.com/spreadsheets/d/1BJSV3WBYJGRhQ6zExamkszQ5VutGIcaQqmbD9ZTVXMQ/edit#gid=1251630045"",""articles_with_PRISMA_reasons!C2:C2113""), $A1379=IMPORTRANGE(""https://docs.google.com/spreadsheets/d/1BJSV3WBYJGRhQ6zExamkszQ"&amp;"5VutGIcaQqmbD9ZTVXMQ/edit#gid=1251630045"",""articles_with_PRISMA_reasons!B2:B2113""))"),1999.0)</f>
        <v>1999</v>
      </c>
      <c r="D1379" s="5" t="str">
        <f>IFERROR(__xludf.DUMMYFUNCTION("IFS(AND(
FILTER(IMPORTRANGE(""https://docs.google.com/spreadsheets/d/1BJSV3WBYJGRhQ6zExamkszQ5VutGIcaQqmbD9ZTVXMQ/edit#gid=1251630045"",""articles_with_PRISMA_reasons!Y2:Y2113""), $A1379=IMPORTRANGE(""https://docs.google.com/spreadsheets/d/1BJSV3WBYJGRhQ6"&amp;"zExamkszQ5VutGIcaQqmbD9ZTVXMQ/edit#gid=1251630045"",""articles_with_PRISMA_reasons!B2:B2113""))&gt;=2,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$A1379=IMPORTRANGE(""https://docs.google.com/spreadsheets/d/1BJSV3WBYJGRhQ6zExamkszQ5VutGIcaQqmbD9ZTVXMQ/edit#gid=1251630045"",""articles_with_PRISMA_reasons!B2:B2113""))&lt;2),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$A1379=IMPORTRANGE(""https://docs.google.com/spreadsheets/d/1BJSV3WBYJGRhQ6zExamkszQ5VutGIcaQqmbD9ZTVXMQ/edit#gid=1251630045"",""a"&amp;"rticles_with_PRISMA_reasons!B2:B2113""))&lt;2,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$A1379=IMPORTRANGE(""https://docs.google"&amp;".com/spreadsheets/d/1BJSV3WBYJGRhQ6zExamkszQ5VutGIcaQqmbD9ZTVXMQ/edit#gid=1251630045"",""articles_with_PRISMA_reasons!B2:B2113""))&gt;=2),
""Exclude""
)"),"Exclude")</f>
        <v>Exclude</v>
      </c>
      <c r="E1379" s="5" t="str">
        <f>IFERROR(__xludf.DUMMYFUNCTION("IFS(
D1379=""Exclude"",""Exclude"",
AND(
FILTER(IMPORTRANGE(""https://docs.google.com/spreadsheets/d/1qpEmbGH0JjaJbUdp21-y2cPbobDbMjr09BbtdKROZWc/edit#gid=1444865654"",""articles_with_PRISMA_reasons!W2:W2113""), $A1379=IMPORTRANGE(""https://docs.google.co"&amp;"m/spreadsheets/d/1qpEmbGH0JjaJbUdp21-y2cPbobDbMjr09BbtdKROZWc/edit#gid=1444865654"",""articles_with_PRISMA_reasons!B2:B2113""))&gt;=2,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$A1379=IMPORTRANGE(""https://docs.google.com/spreadsheets/d/1qpEmbGH0JjaJbUdp21-y2cPbobDbMjr09BbtdKROZWc/edit#gid=1444865654"",""articles_with_PRISMA_reasons!B2:B2113""))&lt;2),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$A1379=IMPORTRANGE(""https://docs.google.com/spreadsheets/d/1qpEmbGH0JjaJbUdp21-y2cPbobDbMjr09Bbtd"&amp;"KROZWc/edit#gid=1444865654"",""articles_with_PRISMA_reasons!B2:B2113""))&lt;2,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$A1379=I"&amp;"MPORTRANGE(""https://docs.google.com/spreadsheets/d/1qpEmbGH0JjaJbUdp21-y2cPbobDbMjr09BbtdKROZWc/edit#gid=1444865654"",""articles_with_PRISMA_reasons!B2:B2113""))&gt;=2),
""Exclude""
)"),"Exclude")</f>
        <v>Exclude</v>
      </c>
      <c r="F1379" s="5" t="str">
        <f>IFERROR(__xludf.DUMMYFUNCTION("IFS(
E1379=""Exclude"",""Exclude"",
AND(
COUNTIF(
IMPORTRANGE(""https://docs.google.com/spreadsheets/d/1kGrh75X1cNR1D7_FcY9zMnHP8iPO4M5RCRjy6nZY0TY/edit#gid=0"",""Table 1: Study characteristics!B4:B171""),A1379)&gt;0,
COUNTIF(Studies!$A$2:$A$85,FILTER(IMPORT"&amp;"RANGE(""https://docs.google.com/spreadsheets/d/1kGrh75X1cNR1D7_FcY9zMnHP8iPO4M5RCRjy6nZY0TY/edit#gid=0"",""Table 1: Study characteristics!A4:A171""), $A1379=IMPORTRANGE(""https://docs.google.com/spreadsheets/d/1kGrh75X1cNR1D7_FcY9zMnHP8iPO4M5RCRjy6nZY0TY/"&amp;"edit#gid=0"",""Table 1: Study characteristics!B4:B171"")))&gt;0
),
""Include""
)"),"Exclude")</f>
        <v>Exclude</v>
      </c>
      <c r="G1379" s="5" t="str">
        <f>IFERROR(__xludf.DUMMYFUNCTION("IFS(
D1379=""Exclude"",
FILTER(IMPORTRANGE(""https://docs.google.com/spreadsheets/d/1BJSV3WBYJGRhQ6zExamkszQ5VutGIcaQqmbD9ZTVXMQ/edit#gid=1251630045"",""articles_with_PRISMA_reasons!AB2:AB2113""), $A1379=IMPORTRANGE(""https://docs.google.com/spreadsheets/"&amp;"d/1BJSV3WBYJGRhQ6zExamkszQ5VutGIcaQqmbD9ZTVXMQ/edit#gid=1251630045"",""articles_with_PRISMA_reasons!B2:B2113"")),
E1379=""Exclude"",
FILTER(IMPORTRANGE(""https://docs.google.com/spreadsheets/d/1qpEmbGH0JjaJbUdp21-y2cPbobDbMjr09BbtdKROZWc/edit#gid=14448656"&amp;"54"",""articles_with_PRISMA_reasons!Z2:Z2113""), $A1379=IMPORTRANGE(""https://docs.google.com/spreadsheets/d/1qpEmbGH0JjaJbUdp21-y2cPbobDbMjr09BbtdKROZWc/edit#gid=1444865654"",""articles_with_PRISMA_reasons!B2:B2113"")),F1379
=""Include"",FILTER(IMPORTRAN"&amp;"GE(""https://docs.google.com/spreadsheets/d/1kGrh75X1cNR1D7_FcY9zMnHP8iPO4M5RCRjy6nZY0TY/edit#gid=0"",""Table 1: Study characteristics!A4:A171""), $A1379=IMPORTRANGE(""https://docs.google.com/spreadsheets/d/1kGrh75X1cNR1D7_FcY9zMnHP8iPO4M5RCRjy6nZY0TY/edi"&amp;"t#gid=0"",""Table 1: Study characteristics!B4:B171""))
)"),"wrong study design")</f>
        <v>wrong study design</v>
      </c>
    </row>
    <row r="1380">
      <c r="A1380" s="4" t="str">
        <f>IFERROR(__xludf.DUMMYFUNCTION("""COMPUTED_VALUE"""),"Our clinical experience about prenatal diagnosis and neonatal outcomes of fetal central nervous system anomalies")</f>
        <v>Our clinical experience about prenatal diagnosis and neonatal outcomes of fetal central nervous system anomalies</v>
      </c>
      <c r="B1380" s="5" t="str">
        <f>IFERROR(__xludf.DUMMYFUNCTION("LEFT(FILTER(IMPORTRANGE(""https://docs.google.com/spreadsheets/d/1BJSV3WBYJGRhQ6zExamkszQ5VutGIcaQqmbD9ZTVXMQ/edit#gid=1251630045"",""articles_with_PRISMA_reasons!K2:K2113""), $A1380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$A1380=IMPORTRANGE(""https://docs.google.com/spreadsheets/d/1BJSV3WBYJGRhQ6zExamkszQ5VutGIcaQqmbD9ZTVXMQ/edit#gid=1251630045"",""articles_with_PRISMA_reasons!B2:B2113"")))-1)"),"Ozkan")</f>
        <v>Ozkan</v>
      </c>
      <c r="C1380" s="6">
        <f>IFERROR(__xludf.DUMMYFUNCTION("FILTER(IMPORTRANGE(""https://docs.google.com/spreadsheets/d/1BJSV3WBYJGRhQ6zExamkszQ5VutGIcaQqmbD9ZTVXMQ/edit#gid=1251630045"",""articles_with_PRISMA_reasons!C2:C2113""), $A1380=IMPORTRANGE(""https://docs.google.com/spreadsheets/d/1BJSV3WBYJGRhQ6zExamkszQ"&amp;"5VutGIcaQqmbD9ZTVXMQ/edit#gid=1251630045"",""articles_with_PRISMA_reasons!B2:B2113""))"),2011.0)</f>
        <v>2011</v>
      </c>
      <c r="D1380" s="5" t="str">
        <f>IFERROR(__xludf.DUMMYFUNCTION("IFS(AND(
FILTER(IMPORTRANGE(""https://docs.google.com/spreadsheets/d/1BJSV3WBYJGRhQ6zExamkszQ5VutGIcaQqmbD9ZTVXMQ/edit#gid=1251630045"",""articles_with_PRISMA_reasons!Y2:Y2113""), $A1380=IMPORTRANGE(""https://docs.google.com/spreadsheets/d/1BJSV3WBYJGRhQ6"&amp;"zExamkszQ5VutGIcaQqmbD9ZTVXMQ/edit#gid=1251630045"",""articles_with_PRISMA_reasons!B2:B2113""))&gt;=2,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$A1380=IMPORTRANGE(""https://docs.google.com/spreadsheets/d/1BJSV3WBYJGRhQ6zExamkszQ5VutGIcaQqmbD9ZTVXMQ/edit#gid=1251630045"",""articles_with_PRISMA_reasons!B2:B2113""))&lt;2),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$A1380=IMPORTRANGE(""https://docs.google.com/spreadsheets/d/1BJSV3WBYJGRhQ6zExamkszQ5VutGIcaQqmbD9ZTVXMQ/edit#gid=1251630045"",""a"&amp;"rticles_with_PRISMA_reasons!B2:B2113""))&lt;2,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$A1380=IMPORTRANGE(""https://docs.google"&amp;".com/spreadsheets/d/1BJSV3WBYJGRhQ6zExamkszQ5VutGIcaQqmbD9ZTVXMQ/edit#gid=1251630045"",""articles_with_PRISMA_reasons!B2:B2113""))&gt;=2),
""Exclude""
)"),"Exclude")</f>
        <v>Exclude</v>
      </c>
      <c r="E1380" s="5" t="str">
        <f>IFERROR(__xludf.DUMMYFUNCTION("IFS(
D1380=""Exclude"",""Exclude"",
AND(
FILTER(IMPORTRANGE(""https://docs.google.com/spreadsheets/d/1qpEmbGH0JjaJbUdp21-y2cPbobDbMjr09BbtdKROZWc/edit#gid=1444865654"",""articles_with_PRISMA_reasons!W2:W2113""), $A1380=IMPORTRANGE(""https://docs.google.co"&amp;"m/spreadsheets/d/1qpEmbGH0JjaJbUdp21-y2cPbobDbMjr09BbtdKROZWc/edit#gid=1444865654"",""articles_with_PRISMA_reasons!B2:B2113""))&gt;=2,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$A1380=IMPORTRANGE(""https://docs.google.com/spreadsheets/d/1qpEmbGH0JjaJbUdp21-y2cPbobDbMjr09BbtdKROZWc/edit#gid=1444865654"",""articles_with_PRISMA_reasons!B2:B2113""))&lt;2),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$A1380=IMPORTRANGE(""https://docs.google.com/spreadsheets/d/1qpEmbGH0JjaJbUdp21-y2cPbobDbMjr09Bbtd"&amp;"KROZWc/edit#gid=1444865654"",""articles_with_PRISMA_reasons!B2:B2113""))&lt;2,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$A1380=I"&amp;"MPORTRANGE(""https://docs.google.com/spreadsheets/d/1qpEmbGH0JjaJbUdp21-y2cPbobDbMjr09BbtdKROZWc/edit#gid=1444865654"",""articles_with_PRISMA_reasons!B2:B2113""))&gt;=2),
""Exclude""
)"),"Exclude")</f>
        <v>Exclude</v>
      </c>
      <c r="F1380" s="5" t="str">
        <f>IFERROR(__xludf.DUMMYFUNCTION("IFS(
E1380=""Exclude"",""Exclude"",
AND(
COUNTIF(
IMPORTRANGE(""https://docs.google.com/spreadsheets/d/1kGrh75X1cNR1D7_FcY9zMnHP8iPO4M5RCRjy6nZY0TY/edit#gid=0"",""Table 1: Study characteristics!B4:B171""),A1380)&gt;0,
COUNTIF(Studies!$A$2:$A$85,FILTER(IMPORT"&amp;"RANGE(""https://docs.google.com/spreadsheets/d/1kGrh75X1cNR1D7_FcY9zMnHP8iPO4M5RCRjy6nZY0TY/edit#gid=0"",""Table 1: Study characteristics!A4:A171""), $A1380=IMPORTRANGE(""https://docs.google.com/spreadsheets/d/1kGrh75X1cNR1D7_FcY9zMnHP8iPO4M5RCRjy6nZY0TY/"&amp;"edit#gid=0"",""Table 1: Study characteristics!B4:B171"")))&gt;0
),
""Include""
)"),"Exclude")</f>
        <v>Exclude</v>
      </c>
      <c r="G1380" s="5" t="str">
        <f>IFERROR(__xludf.DUMMYFUNCTION("IFS(
D1380=""Exclude"",
FILTER(IMPORTRANGE(""https://docs.google.com/spreadsheets/d/1BJSV3WBYJGRhQ6zExamkszQ5VutGIcaQqmbD9ZTVXMQ/edit#gid=1251630045"",""articles_with_PRISMA_reasons!AB2:AB2113""), $A1380=IMPORTRANGE(""https://docs.google.com/spreadsheets/"&amp;"d/1BJSV3WBYJGRhQ6zExamkszQ5VutGIcaQqmbD9ZTVXMQ/edit#gid=1251630045"",""articles_with_PRISMA_reasons!B2:B2113"")),
E1380=""Exclude"",
FILTER(IMPORTRANGE(""https://docs.google.com/spreadsheets/d/1qpEmbGH0JjaJbUdp21-y2cPbobDbMjr09BbtdKROZWc/edit#gid=14448656"&amp;"54"",""articles_with_PRISMA_reasons!Z2:Z2113""), $A1380=IMPORTRANGE(""https://docs.google.com/spreadsheets/d/1qpEmbGH0JjaJbUdp21-y2cPbobDbMjr09BbtdKROZWc/edit#gid=1444865654"",""articles_with_PRISMA_reasons!B2:B2113"")),F1380
=""Include"",FILTER(IMPORTRAN"&amp;"GE(""https://docs.google.com/spreadsheets/d/1kGrh75X1cNR1D7_FcY9zMnHP8iPO4M5RCRjy6nZY0TY/edit#gid=0"",""Table 1: Study characteristics!A4:A171""), $A1380=IMPORTRANGE(""https://docs.google.com/spreadsheets/d/1kGrh75X1cNR1D7_FcY9zMnHP8iPO4M5RCRjy6nZY0TY/edi"&amp;"t#gid=0"",""Table 1: Study characteristics!B4:B171""))
)"),"wrong study design")</f>
        <v>wrong study design</v>
      </c>
    </row>
    <row r="1381">
      <c r="A1381" s="4" t="str">
        <f>IFERROR(__xludf.DUMMYFUNCTION("""COMPUTED_VALUE"""),"Outcome and life satisfaction of adults with myelomeningocele")</f>
        <v>Outcome and life satisfaction of adults with myelomeningocele</v>
      </c>
      <c r="B1381" s="5" t="str">
        <f>IFERROR(__xludf.DUMMYFUNCTION("LEFT(FILTER(IMPORTRANGE(""https://docs.google.com/spreadsheets/d/1BJSV3WBYJGRhQ6zExamkszQ5VutGIcaQqmbD9ZTVXMQ/edit#gid=1251630045"",""articles_with_PRISMA_reasons!K2:K2113""), $A1381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$A1381=IMPORTRANGE(""https://docs.google.com/spreadsheets/d/1BJSV3WBYJGRhQ6zExamkszQ5VutGIcaQqmbD9ZTVXMQ/edit#gid=1251630045"",""articles_with_PRISMA_reasons!B2:B2113"")))-1)"),"Cope")</f>
        <v>Cope</v>
      </c>
      <c r="C1381" s="3">
        <v>2013.0</v>
      </c>
      <c r="D1381" s="5" t="str">
        <f>IFERROR(__xludf.DUMMYFUNCTION("IFS(AND(
FILTER(IMPORTRANGE(""https://docs.google.com/spreadsheets/d/1BJSV3WBYJGRhQ6zExamkszQ5VutGIcaQqmbD9ZTVXMQ/edit#gid=1251630045"",""articles_with_PRISMA_reasons!Y2:Y2113""), $A1381=IMPORTRANGE(""https://docs.google.com/spreadsheets/d/1BJSV3WBYJGRhQ6"&amp;"zExamkszQ5VutGIcaQqmbD9ZTVXMQ/edit#gid=1251630045"",""articles_with_PRISMA_reasons!B2:B2113""))&gt;=2,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$A1381=IMPORTRANGE(""https://docs.google.com/spreadsheets/d/1BJSV3WBYJGRhQ6zExamkszQ5VutGIcaQqmbD9ZTVXMQ/edit#gid=1251630045"",""articles_with_PRISMA_reasons!B2:B2113""))&lt;2),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$A1381=IMPORTRANGE(""https://docs.google.com/spreadsheets/d/1BJSV3WBYJGRhQ6zExamkszQ5VutGIcaQqmbD9ZTVXMQ/edit#gid=1251630045"",""a"&amp;"rticles_with_PRISMA_reasons!B2:B2113""))&lt;2,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$A1381=IMPORTRANGE(""https://docs.google"&amp;".com/spreadsheets/d/1BJSV3WBYJGRhQ6zExamkszQ5VutGIcaQqmbD9ZTVXMQ/edit#gid=1251630045"",""articles_with_PRISMA_reasons!B2:B2113""))&gt;=2),
""Exclude""
)"),"Exclude")</f>
        <v>Exclude</v>
      </c>
      <c r="E1381" s="5" t="str">
        <f>IFERROR(__xludf.DUMMYFUNCTION("IFS(
D1381=""Exclude"",""Exclude"",
AND(
FILTER(IMPORTRANGE(""https://docs.google.com/spreadsheets/d/1qpEmbGH0JjaJbUdp21-y2cPbobDbMjr09BbtdKROZWc/edit#gid=1444865654"",""articles_with_PRISMA_reasons!W2:W2113""), $A1381=IMPORTRANGE(""https://docs.google.co"&amp;"m/spreadsheets/d/1qpEmbGH0JjaJbUdp21-y2cPbobDbMjr09BbtdKROZWc/edit#gid=1444865654"",""articles_with_PRISMA_reasons!B2:B2113""))&gt;=2,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$A1381=IMPORTRANGE(""https://docs.google.com/spreadsheets/d/1qpEmbGH0JjaJbUdp21-y2cPbobDbMjr09BbtdKROZWc/edit#gid=1444865654"",""articles_with_PRISMA_reasons!B2:B2113""))&lt;2),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$A1381=IMPORTRANGE(""https://docs.google.com/spreadsheets/d/1qpEmbGH0JjaJbUdp21-y2cPbobDbMjr09Bbtd"&amp;"KROZWc/edit#gid=1444865654"",""articles_with_PRISMA_reasons!B2:B2113""))&lt;2,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$A1381=I"&amp;"MPORTRANGE(""https://docs.google.com/spreadsheets/d/1qpEmbGH0JjaJbUdp21-y2cPbobDbMjr09BbtdKROZWc/edit#gid=1444865654"",""articles_with_PRISMA_reasons!B2:B2113""))&gt;=2),
""Exclude""
)"),"Exclude")</f>
        <v>Exclude</v>
      </c>
      <c r="F1381" s="5" t="str">
        <f>IFERROR(__xludf.DUMMYFUNCTION("IFS(
E1381=""Exclude"",""Exclude"",
AND(
COUNTIF(
IMPORTRANGE(""https://docs.google.com/spreadsheets/d/1kGrh75X1cNR1D7_FcY9zMnHP8iPO4M5RCRjy6nZY0TY/edit#gid=0"",""Table 1: Study characteristics!B4:B171""),A1381)&gt;0,
COUNTIF(Studies!$A$2:$A$85,FILTER(IMPORT"&amp;"RANGE(""https://docs.google.com/spreadsheets/d/1kGrh75X1cNR1D7_FcY9zMnHP8iPO4M5RCRjy6nZY0TY/edit#gid=0"",""Table 1: Study characteristics!A4:A171""), $A1381=IMPORTRANGE(""https://docs.google.com/spreadsheets/d/1kGrh75X1cNR1D7_FcY9zMnHP8iPO4M5RCRjy6nZY0TY/"&amp;"edit#gid=0"",""Table 1: Study characteristics!B4:B171"")))&gt;0
),
""Include""
)"),"Exclude")</f>
        <v>Exclude</v>
      </c>
      <c r="G1381" s="5" t="s">
        <v>15</v>
      </c>
    </row>
    <row r="1382">
      <c r="A1382" s="4" t="str">
        <f>IFERROR(__xludf.DUMMYFUNCTION("""COMPUTED_VALUE"""),"Outcome and life satisfaction of adults with myelomeningocele")</f>
        <v>Outcome and life satisfaction of adults with myelomeningocele</v>
      </c>
      <c r="B1382" s="5" t="str">
        <f>IFERROR(__xludf.DUMMYFUNCTION("LEFT(FILTER(IMPORTRANGE(""https://docs.google.com/spreadsheets/d/1BJSV3WBYJGRhQ6zExamkszQ5VutGIcaQqmbD9ZTVXMQ/edit#gid=1251630045"",""articles_with_PRISMA_reasons!K2:K2113""), $A1382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$A1382=IMPORTRANGE(""https://docs.google.com/spreadsheets/d/1BJSV3WBYJGRhQ6zExamkszQ5VutGIcaQqmbD9ZTVXMQ/edit#gid=1251630045"",""articles_with_PRISMA_reasons!B2:B2113"")))-1)"),"Cope")</f>
        <v>Cope</v>
      </c>
      <c r="C1382" s="3">
        <v>2013.0</v>
      </c>
      <c r="D1382" s="5" t="str">
        <f>IFERROR(__xludf.DUMMYFUNCTION("IFS(AND(
FILTER(IMPORTRANGE(""https://docs.google.com/spreadsheets/d/1BJSV3WBYJGRhQ6zExamkszQ5VutGIcaQqmbD9ZTVXMQ/edit#gid=1251630045"",""articles_with_PRISMA_reasons!Y2:Y2113""), $A1382=IMPORTRANGE(""https://docs.google.com/spreadsheets/d/1BJSV3WBYJGRhQ6"&amp;"zExamkszQ5VutGIcaQqmbD9ZTVXMQ/edit#gid=1251630045"",""articles_with_PRISMA_reasons!B2:B2113""))&gt;=2,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$A1382=IMPORTRANGE(""https://docs.google.com/spreadsheets/d/1BJSV3WBYJGRhQ6zExamkszQ5VutGIcaQqmbD9ZTVXMQ/edit#gid=1251630045"",""articles_with_PRISMA_reasons!B2:B2113""))&lt;2),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$A1382=IMPORTRANGE(""https://docs.google.com/spreadsheets/d/1BJSV3WBYJGRhQ6zExamkszQ5VutGIcaQqmbD9ZTVXMQ/edit#gid=1251630045"",""a"&amp;"rticles_with_PRISMA_reasons!B2:B2113""))&lt;2,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$A1382=IMPORTRANGE(""https://docs.google"&amp;".com/spreadsheets/d/1BJSV3WBYJGRhQ6zExamkszQ5VutGIcaQqmbD9ZTVXMQ/edit#gid=1251630045"",""articles_with_PRISMA_reasons!B2:B2113""))&gt;=2),
""Exclude""
)"),"Exclude")</f>
        <v>Exclude</v>
      </c>
      <c r="E1382" s="5" t="str">
        <f>IFERROR(__xludf.DUMMYFUNCTION("IFS(
D1382=""Exclude"",""Exclude"",
AND(
FILTER(IMPORTRANGE(""https://docs.google.com/spreadsheets/d/1qpEmbGH0JjaJbUdp21-y2cPbobDbMjr09BbtdKROZWc/edit#gid=1444865654"",""articles_with_PRISMA_reasons!W2:W2113""), $A1382=IMPORTRANGE(""https://docs.google.co"&amp;"m/spreadsheets/d/1qpEmbGH0JjaJbUdp21-y2cPbobDbMjr09BbtdKROZWc/edit#gid=1444865654"",""articles_with_PRISMA_reasons!B2:B2113""))&gt;=2,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$A1382=IMPORTRANGE(""https://docs.google.com/spreadsheets/d/1qpEmbGH0JjaJbUdp21-y2cPbobDbMjr09BbtdKROZWc/edit#gid=1444865654"",""articles_with_PRISMA_reasons!B2:B2113""))&lt;2),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$A1382=IMPORTRANGE(""https://docs.google.com/spreadsheets/d/1qpEmbGH0JjaJbUdp21-y2cPbobDbMjr09Bbtd"&amp;"KROZWc/edit#gid=1444865654"",""articles_with_PRISMA_reasons!B2:B2113""))&lt;2,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$A1382=I"&amp;"MPORTRANGE(""https://docs.google.com/spreadsheets/d/1qpEmbGH0JjaJbUdp21-y2cPbobDbMjr09BbtdKROZWc/edit#gid=1444865654"",""articles_with_PRISMA_reasons!B2:B2113""))&gt;=2),
""Exclude""
)"),"Exclude")</f>
        <v>Exclude</v>
      </c>
      <c r="F1382" s="5" t="str">
        <f>IFERROR(__xludf.DUMMYFUNCTION("IFS(
E1382=""Exclude"",""Exclude"",
AND(
COUNTIF(
IMPORTRANGE(""https://docs.google.com/spreadsheets/d/1kGrh75X1cNR1D7_FcY9zMnHP8iPO4M5RCRjy6nZY0TY/edit#gid=0"",""Table 1: Study characteristics!B4:B171""),A1382)&gt;0,
COUNTIF(Studies!$A$2:$A$85,FILTER(IMPORT"&amp;"RANGE(""https://docs.google.com/spreadsheets/d/1kGrh75X1cNR1D7_FcY9zMnHP8iPO4M5RCRjy6nZY0TY/edit#gid=0"",""Table 1: Study characteristics!A4:A171""), $A1382=IMPORTRANGE(""https://docs.google.com/spreadsheets/d/1kGrh75X1cNR1D7_FcY9zMnHP8iPO4M5RCRjy6nZY0TY/"&amp;"edit#gid=0"",""Table 1: Study characteristics!B4:B171"")))&gt;0
),
""Include""
)"),"Exclude")</f>
        <v>Exclude</v>
      </c>
      <c r="G1382" s="2" t="s">
        <v>13</v>
      </c>
    </row>
    <row r="1383">
      <c r="A1383" s="4" t="str">
        <f>IFERROR(__xludf.DUMMYFUNCTION("""COMPUTED_VALUE"""),"Outcome following hindbrain decompression of symptomatic Chiari malformations in children previously treated with myelomeningocele closure and shunts")</f>
        <v>Outcome following hindbrain decompression of symptomatic Chiari malformations in children previously treated with myelomeningocele closure and shunts</v>
      </c>
      <c r="B1383" s="5" t="str">
        <f>IFERROR(__xludf.DUMMYFUNCTION("LEFT(FILTER(IMPORTRANGE(""https://docs.google.com/spreadsheets/d/1BJSV3WBYJGRhQ6zExamkszQ5VutGIcaQqmbD9ZTVXMQ/edit#gid=1251630045"",""articles_with_PRISMA_reasons!K2:K2113""), $A1383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$A1383=IMPORTRANGE(""https://docs.google.com/spreadsheets/d/1BJSV3WBYJGRhQ6zExamkszQ5VutGIcaQqmbD9ZTVXMQ/edit#gid=1251630045"",""articles_with_PRISMA_reasons!B2:B2113"")))-1)"),"Pollack")</f>
        <v>Pollack</v>
      </c>
      <c r="C1383" s="6" t="str">
        <f>IFERROR(__xludf.DUMMYFUNCTION("FILTER(IMPORTRANGE(""https://docs.google.com/spreadsheets/d/1BJSV3WBYJGRhQ6zExamkszQ5VutGIcaQqmbD9ZTVXMQ/edit#gid=1251630045"",""articles_with_PRISMA_reasons!C2:C2113""), $A1383=IMPORTRANGE(""https://docs.google.com/spreadsheets/d/1BJSV3WBYJGRhQ6zExamkszQ"&amp;"5VutGIcaQqmbD9ZTVXMQ/edit#gid=1251630045"",""articles_with_PRISMA_reasons!B2:B2113""))"),"Dec")</f>
        <v>Dec</v>
      </c>
      <c r="D1383" s="5" t="str">
        <f>IFERROR(__xludf.DUMMYFUNCTION("IFS(AND(
FILTER(IMPORTRANGE(""https://docs.google.com/spreadsheets/d/1BJSV3WBYJGRhQ6zExamkszQ5VutGIcaQqmbD9ZTVXMQ/edit#gid=1251630045"",""articles_with_PRISMA_reasons!Y2:Y2113""), $A1383=IMPORTRANGE(""https://docs.google.com/spreadsheets/d/1BJSV3WBYJGRhQ6"&amp;"zExamkszQ5VutGIcaQqmbD9ZTVXMQ/edit#gid=1251630045"",""articles_with_PRISMA_reasons!B2:B2113""))&gt;=2,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$A1383=IMPORTRANGE(""https://docs.google.com/spreadsheets/d/1BJSV3WBYJGRhQ6zExamkszQ5VutGIcaQqmbD9ZTVXMQ/edit#gid=1251630045"",""articles_with_PRISMA_reasons!B2:B2113""))&lt;2),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$A1383=IMPORTRANGE(""https://docs.google.com/spreadsheets/d/1BJSV3WBYJGRhQ6zExamkszQ5VutGIcaQqmbD9ZTVXMQ/edit#gid=1251630045"",""a"&amp;"rticles_with_PRISMA_reasons!B2:B2113""))&lt;2,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$A1383=IMPORTRANGE(""https://docs.google"&amp;".com/spreadsheets/d/1BJSV3WBYJGRhQ6zExamkszQ5VutGIcaQqmbD9ZTVXMQ/edit#gid=1251630045"",""articles_with_PRISMA_reasons!B2:B2113""))&gt;=2),
""Exclude""
)"),"Include")</f>
        <v>Include</v>
      </c>
      <c r="E1383" s="5" t="str">
        <f>IFERROR(__xludf.DUMMYFUNCTION("IFS(
D1383=""Exclude"",""Exclude"",
AND(
FILTER(IMPORTRANGE(""https://docs.google.com/spreadsheets/d/1qpEmbGH0JjaJbUdp21-y2cPbobDbMjr09BbtdKROZWc/edit#gid=1444865654"",""articles_with_PRISMA_reasons!W2:W2113""), $A1383=IMPORTRANGE(""https://docs.google.co"&amp;"m/spreadsheets/d/1qpEmbGH0JjaJbUdp21-y2cPbobDbMjr09BbtdKROZWc/edit#gid=1444865654"",""articles_with_PRISMA_reasons!B2:B2113""))&gt;=2,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$A1383=IMPORTRANGE(""https://docs.google.com/spreadsheets/d/1qpEmbGH0JjaJbUdp21-y2cPbobDbMjr09BbtdKROZWc/edit#gid=1444865654"",""articles_with_PRISMA_reasons!B2:B2113""))&lt;2),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$A1383=IMPORTRANGE(""https://docs.google.com/spreadsheets/d/1qpEmbGH0JjaJbUdp21-y2cPbobDbMjr09Bbtd"&amp;"KROZWc/edit#gid=1444865654"",""articles_with_PRISMA_reasons!B2:B2113""))&lt;2,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$A1383=I"&amp;"MPORTRANGE(""https://docs.google.com/spreadsheets/d/1qpEmbGH0JjaJbUdp21-y2cPbobDbMjr09BbtdKROZWc/edit#gid=1444865654"",""articles_with_PRISMA_reasons!B2:B2113""))&gt;=2),
""Exclude""
)"),"Exclude")</f>
        <v>Exclude</v>
      </c>
      <c r="F1383" s="5" t="str">
        <f>IFERROR(__xludf.DUMMYFUNCTION("IFS(
E1383=""Exclude"",""Exclude"",
AND(
COUNTIF(
IMPORTRANGE(""https://docs.google.com/spreadsheets/d/1kGrh75X1cNR1D7_FcY9zMnHP8iPO4M5RCRjy6nZY0TY/edit#gid=0"",""Table 1: Study characteristics!B4:B171""),A1383)&gt;0,
COUNTIF(Studies!$A$2:$A$85,FILTER(IMPORT"&amp;"RANGE(""https://docs.google.com/spreadsheets/d/1kGrh75X1cNR1D7_FcY9zMnHP8iPO4M5RCRjy6nZY0TY/edit#gid=0"",""Table 1: Study characteristics!A4:A171""), $A1383=IMPORTRANGE(""https://docs.google.com/spreadsheets/d/1kGrh75X1cNR1D7_FcY9zMnHP8iPO4M5RCRjy6nZY0TY/"&amp;"edit#gid=0"",""Table 1: Study characteristics!B4:B171"")))&gt;0
),
""Include""
)"),"Exclude")</f>
        <v>Exclude</v>
      </c>
      <c r="G1383" s="5" t="str">
        <f>IFERROR(__xludf.DUMMYFUNCTION("IFS(
D1383=""Exclude"",
FILTER(IMPORTRANGE(""https://docs.google.com/spreadsheets/d/1BJSV3WBYJGRhQ6zExamkszQ5VutGIcaQqmbD9ZTVXMQ/edit#gid=1251630045"",""articles_with_PRISMA_reasons!AB2:AB2113""), $A1383=IMPORTRANGE(""https://docs.google.com/spreadsheets/"&amp;"d/1BJSV3WBYJGRhQ6zExamkszQ5VutGIcaQqmbD9ZTVXMQ/edit#gid=1251630045"",""articles_with_PRISMA_reasons!B2:B2113"")),
E1383=""Exclude"",
FILTER(IMPORTRANGE(""https://docs.google.com/spreadsheets/d/1qpEmbGH0JjaJbUdp21-y2cPbobDbMjr09BbtdKROZWc/edit#gid=14448656"&amp;"54"",""articles_with_PRISMA_reasons!Z2:Z2113""), $A1383=IMPORTRANGE(""https://docs.google.com/spreadsheets/d/1qpEmbGH0JjaJbUdp21-y2cPbobDbMjr09BbtdKROZWc/edit#gid=1444865654"",""articles_with_PRISMA_reasons!B2:B2113"")),F1383
=""Include"",FILTER(IMPORTRAN"&amp;"GE(""https://docs.google.com/spreadsheets/d/1kGrh75X1cNR1D7_FcY9zMnHP8iPO4M5RCRjy6nZY0TY/edit#gid=0"",""Table 1: Study characteristics!A4:A171""), $A1383=IMPORTRANGE(""https://docs.google.com/spreadsheets/d/1kGrh75X1cNR1D7_FcY9zMnHP8iPO4M5RCRjy6nZY0TY/edi"&amp;"t#gid=0"",""Table 1: Study characteristics!B4:B171""))
)"),"Wrong intervention")</f>
        <v>Wrong intervention</v>
      </c>
    </row>
    <row r="1384">
      <c r="A1384" s="4" t="str">
        <f>IFERROR(__xludf.DUMMYFUNCTION("""COMPUTED_VALUE"""),"Outcome of Diabetic Pregnancies in a Tertiary Referral Centre, Varanasi")</f>
        <v>Outcome of Diabetic Pregnancies in a Tertiary Referral Centre, Varanasi</v>
      </c>
      <c r="B1384" s="5" t="str">
        <f>IFERROR(__xludf.DUMMYFUNCTION("LEFT(FILTER(IMPORTRANGE(""https://docs.google.com/spreadsheets/d/1BJSV3WBYJGRhQ6zExamkszQ5VutGIcaQqmbD9ZTVXMQ/edit#gid=1251630045"",""articles_with_PRISMA_reasons!K2:K2113""), $A1384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$A1384=IMPORTRANGE(""https://docs.google.com/spreadsheets/d/1BJSV3WBYJGRhQ6zExamkszQ5VutGIcaQqmbD9ZTVXMQ/edit#gid=1251630045"",""articles_with_PRISMA_reasons!B2:B2113"")))-1)"),"P and ey")</f>
        <v>P and ey</v>
      </c>
      <c r="C1384" s="6">
        <f>IFERROR(__xludf.DUMMYFUNCTION("FILTER(IMPORTRANGE(""https://docs.google.com/spreadsheets/d/1BJSV3WBYJGRhQ6zExamkszQ5VutGIcaQqmbD9ZTVXMQ/edit#gid=1251630045"",""articles_with_PRISMA_reasons!C2:C2113""), $A1384=IMPORTRANGE(""https://docs.google.com/spreadsheets/d/1BJSV3WBYJGRhQ6zExamkszQ"&amp;"5VutGIcaQqmbD9ZTVXMQ/edit#gid=1251630045"",""articles_with_PRISMA_reasons!B2:B2113""))"),2016.0)</f>
        <v>2016</v>
      </c>
      <c r="D1384" s="5" t="str">
        <f>IFERROR(__xludf.DUMMYFUNCTION("IFS(AND(
FILTER(IMPORTRANGE(""https://docs.google.com/spreadsheets/d/1BJSV3WBYJGRhQ6zExamkszQ5VutGIcaQqmbD9ZTVXMQ/edit#gid=1251630045"",""articles_with_PRISMA_reasons!Y2:Y2113""), $A1384=IMPORTRANGE(""https://docs.google.com/spreadsheets/d/1BJSV3WBYJGRhQ6"&amp;"zExamkszQ5VutGIcaQqmbD9ZTVXMQ/edit#gid=1251630045"",""articles_with_PRISMA_reasons!B2:B2113""))&gt;=2,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$A1384=IMPORTRANGE(""https://docs.google.com/spreadsheets/d/1BJSV3WBYJGRhQ6zExamkszQ5VutGIcaQqmbD9ZTVXMQ/edit#gid=1251630045"",""articles_with_PRISMA_reasons!B2:B2113""))&lt;2),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$A1384=IMPORTRANGE(""https://docs.google.com/spreadsheets/d/1BJSV3WBYJGRhQ6zExamkszQ5VutGIcaQqmbD9ZTVXMQ/edit#gid=1251630045"",""a"&amp;"rticles_with_PRISMA_reasons!B2:B2113""))&lt;2,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$A1384=IMPORTRANGE(""https://docs.google"&amp;".com/spreadsheets/d/1BJSV3WBYJGRhQ6zExamkszQ5VutGIcaQqmbD9ZTVXMQ/edit#gid=1251630045"",""articles_with_PRISMA_reasons!B2:B2113""))&gt;=2),
""Exclude""
)"),"Exclude")</f>
        <v>Exclude</v>
      </c>
      <c r="E1384" s="5" t="str">
        <f>IFERROR(__xludf.DUMMYFUNCTION("IFS(
D1384=""Exclude"",""Exclude"",
AND(
FILTER(IMPORTRANGE(""https://docs.google.com/spreadsheets/d/1qpEmbGH0JjaJbUdp21-y2cPbobDbMjr09BbtdKROZWc/edit#gid=1444865654"",""articles_with_PRISMA_reasons!W2:W2113""), $A1384=IMPORTRANGE(""https://docs.google.co"&amp;"m/spreadsheets/d/1qpEmbGH0JjaJbUdp21-y2cPbobDbMjr09BbtdKROZWc/edit#gid=1444865654"",""articles_with_PRISMA_reasons!B2:B2113""))&gt;=2,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$A1384=IMPORTRANGE(""https://docs.google.com/spreadsheets/d/1qpEmbGH0JjaJbUdp21-y2cPbobDbMjr09BbtdKROZWc/edit#gid=1444865654"",""articles_with_PRISMA_reasons!B2:B2113""))&lt;2),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$A1384=IMPORTRANGE(""https://docs.google.com/spreadsheets/d/1qpEmbGH0JjaJbUdp21-y2cPbobDbMjr09Bbtd"&amp;"KROZWc/edit#gid=1444865654"",""articles_with_PRISMA_reasons!B2:B2113""))&lt;2,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$A1384=I"&amp;"MPORTRANGE(""https://docs.google.com/spreadsheets/d/1qpEmbGH0JjaJbUdp21-y2cPbobDbMjr09BbtdKROZWc/edit#gid=1444865654"",""articles_with_PRISMA_reasons!B2:B2113""))&gt;=2),
""Exclude""
)"),"Exclude")</f>
        <v>Exclude</v>
      </c>
      <c r="F1384" s="5" t="str">
        <f>IFERROR(__xludf.DUMMYFUNCTION("IFS(
E1384=""Exclude"",""Exclude"",
AND(
COUNTIF(
IMPORTRANGE(""https://docs.google.com/spreadsheets/d/1kGrh75X1cNR1D7_FcY9zMnHP8iPO4M5RCRjy6nZY0TY/edit#gid=0"",""Table 1: Study characteristics!B4:B171""),A1384)&gt;0,
COUNTIF(Studies!$A$2:$A$85,FILTER(IMPORT"&amp;"RANGE(""https://docs.google.com/spreadsheets/d/1kGrh75X1cNR1D7_FcY9zMnHP8iPO4M5RCRjy6nZY0TY/edit#gid=0"",""Table 1: Study characteristics!A4:A171""), $A1384=IMPORTRANGE(""https://docs.google.com/spreadsheets/d/1kGrh75X1cNR1D7_FcY9zMnHP8iPO4M5RCRjy6nZY0TY/"&amp;"edit#gid=0"",""Table 1: Study characteristics!B4:B171"")))&gt;0
),
""Include""
)"),"Exclude")</f>
        <v>Exclude</v>
      </c>
      <c r="G1384" s="5" t="str">
        <f>IFERROR(__xludf.DUMMYFUNCTION("IFS(
D1384=""Exclude"",
FILTER(IMPORTRANGE(""https://docs.google.com/spreadsheets/d/1BJSV3WBYJGRhQ6zExamkszQ5VutGIcaQqmbD9ZTVXMQ/edit#gid=1251630045"",""articles_with_PRISMA_reasons!AB2:AB2113""), $A1384=IMPORTRANGE(""https://docs.google.com/spreadsheets/"&amp;"d/1BJSV3WBYJGRhQ6zExamkszQ5VutGIcaQqmbD9ZTVXMQ/edit#gid=1251630045"",""articles_with_PRISMA_reasons!B2:B2113"")),
E1384=""Exclude"",
FILTER(IMPORTRANGE(""https://docs.google.com/spreadsheets/d/1qpEmbGH0JjaJbUdp21-y2cPbobDbMjr09BbtdKROZWc/edit#gid=14448656"&amp;"54"",""articles_with_PRISMA_reasons!Z2:Z2113""), $A1384=IMPORTRANGE(""https://docs.google.com/spreadsheets/d/1qpEmbGH0JjaJbUdp21-y2cPbobDbMjr09BbtdKROZWc/edit#gid=1444865654"",""articles_with_PRISMA_reasons!B2:B2113"")),F1384
=""Include"",FILTER(IMPORTRAN"&amp;"GE(""https://docs.google.com/spreadsheets/d/1kGrh75X1cNR1D7_FcY9zMnHP8iPO4M5RCRjy6nZY0TY/edit#gid=0"",""Table 1: Study characteristics!A4:A171""), $A1384=IMPORTRANGE(""https://docs.google.com/spreadsheets/d/1kGrh75X1cNR1D7_FcY9zMnHP8iPO4M5RCRjy6nZY0TY/edi"&amp;"t#gid=0"",""Table 1: Study characteristics!B4:B171""))
)"),"wrong population")</f>
        <v>wrong population</v>
      </c>
    </row>
    <row r="1385">
      <c r="A1385" s="4" t="str">
        <f>IFERROR(__xludf.DUMMYFUNCTION("""COMPUTED_VALUE"""),"Outcome of Endoscopic Third Ventriculostomy in Pediatric Patients at Zewditu Memorial Hospital, Ethiopia")</f>
        <v>Outcome of Endoscopic Third Ventriculostomy in Pediatric Patients at Zewditu Memorial Hospital, Ethiopia</v>
      </c>
      <c r="B1385" s="5" t="str">
        <f>IFERROR(__xludf.DUMMYFUNCTION("LEFT(FILTER(IMPORTRANGE(""https://docs.google.com/spreadsheets/d/1BJSV3WBYJGRhQ6zExamkszQ5VutGIcaQqmbD9ZTVXMQ/edit#gid=1251630045"",""articles_with_PRISMA_reasons!K2:K2113""), $A1385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$A1385=IMPORTRANGE(""https://docs.google.com/spreadsheets/d/1BJSV3WBYJGRhQ6zExamkszQ5VutGIcaQqmbD9ZTVXMQ/edit#gid=1251630045"",""articles_with_PRISMA_reasons!B2:B2113"")))-1)"),"Biluts")</f>
        <v>Biluts</v>
      </c>
      <c r="C1385" s="6">
        <f>IFERROR(__xludf.DUMMYFUNCTION("FILTER(IMPORTRANGE(""https://docs.google.com/spreadsheets/d/1BJSV3WBYJGRhQ6zExamkszQ5VutGIcaQqmbD9ZTVXMQ/edit#gid=1251630045"",""articles_with_PRISMA_reasons!C2:C2113""), $A1385=IMPORTRANGE(""https://docs.google.com/spreadsheets/d/1BJSV3WBYJGRhQ6zExamkszQ"&amp;"5VutGIcaQqmbD9ZTVXMQ/edit#gid=1251630045"",""articles_with_PRISMA_reasons!B2:B2113""))"),2016.0)</f>
        <v>2016</v>
      </c>
      <c r="D1385" s="5" t="str">
        <f>IFERROR(__xludf.DUMMYFUNCTION("IFS(AND(
FILTER(IMPORTRANGE(""https://docs.google.com/spreadsheets/d/1BJSV3WBYJGRhQ6zExamkszQ5VutGIcaQqmbD9ZTVXMQ/edit#gid=1251630045"",""articles_with_PRISMA_reasons!Y2:Y2113""), $A1385=IMPORTRANGE(""https://docs.google.com/spreadsheets/d/1BJSV3WBYJGRhQ6"&amp;"zExamkszQ5VutGIcaQqmbD9ZTVXMQ/edit#gid=1251630045"",""articles_with_PRISMA_reasons!B2:B2113""))&gt;=2,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$A1385=IMPORTRANGE(""https://docs.google.com/spreadsheets/d/1BJSV3WBYJGRhQ6zExamkszQ5VutGIcaQqmbD9ZTVXMQ/edit#gid=1251630045"",""articles_with_PRISMA_reasons!B2:B2113""))&lt;2),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$A1385=IMPORTRANGE(""https://docs.google.com/spreadsheets/d/1BJSV3WBYJGRhQ6zExamkszQ5VutGIcaQqmbD9ZTVXMQ/edit#gid=1251630045"",""a"&amp;"rticles_with_PRISMA_reasons!B2:B2113""))&lt;2,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$A1385=IMPORTRANGE(""https://docs.google"&amp;".com/spreadsheets/d/1BJSV3WBYJGRhQ6zExamkszQ5VutGIcaQqmbD9ZTVXMQ/edit#gid=1251630045"",""articles_with_PRISMA_reasons!B2:B2113""))&gt;=2),
""Exclude""
)"),"Include")</f>
        <v>Include</v>
      </c>
      <c r="E1385" s="5" t="str">
        <f>IFERROR(__xludf.DUMMYFUNCTION("IFS(
D1385=""Exclude"",""Exclude"",
AND(
FILTER(IMPORTRANGE(""https://docs.google.com/spreadsheets/d/1qpEmbGH0JjaJbUdp21-y2cPbobDbMjr09BbtdKROZWc/edit#gid=1444865654"",""articles_with_PRISMA_reasons!W2:W2113""), $A1385=IMPORTRANGE(""https://docs.google.co"&amp;"m/spreadsheets/d/1qpEmbGH0JjaJbUdp21-y2cPbobDbMjr09BbtdKROZWc/edit#gid=1444865654"",""articles_with_PRISMA_reasons!B2:B2113""))&gt;=2,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$A1385=IMPORTRANGE(""https://docs.google.com/spreadsheets/d/1qpEmbGH0JjaJbUdp21-y2cPbobDbMjr09BbtdKROZWc/edit#gid=1444865654"",""articles_with_PRISMA_reasons!B2:B2113""))&lt;2),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$A1385=IMPORTRANGE(""https://docs.google.com/spreadsheets/d/1qpEmbGH0JjaJbUdp21-y2cPbobDbMjr09Bbtd"&amp;"KROZWc/edit#gid=1444865654"",""articles_with_PRISMA_reasons!B2:B2113""))&lt;2,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$A1385=I"&amp;"MPORTRANGE(""https://docs.google.com/spreadsheets/d/1qpEmbGH0JjaJbUdp21-y2cPbobDbMjr09BbtdKROZWc/edit#gid=1444865654"",""articles_with_PRISMA_reasons!B2:B2113""))&gt;=2),
""Exclude""
)"),"Include")</f>
        <v>Include</v>
      </c>
      <c r="F1385" s="2" t="s">
        <v>8</v>
      </c>
      <c r="G1385" s="2" t="s">
        <v>17</v>
      </c>
    </row>
    <row r="1386">
      <c r="A1386" s="4" t="str">
        <f>IFERROR(__xludf.DUMMYFUNCTION("""COMPUTED_VALUE"""),"Outcome of meningomyelocele/lipomeningomyelocele in children of Northern India")</f>
        <v>Outcome of meningomyelocele/lipomeningomyelocele in children of Northern India</v>
      </c>
      <c r="B1386" s="5" t="str">
        <f>IFERROR(__xludf.DUMMYFUNCTION("LEFT(FILTER(IMPORTRANGE(""https://docs.google.com/spreadsheets/d/1BJSV3WBYJGRhQ6zExamkszQ5VutGIcaQqmbD9ZTVXMQ/edit#gid=1251630045"",""articles_with_PRISMA_reasons!K2:K2113""), $A1386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$A1386=IMPORTRANGE(""https://docs.google.com/spreadsheets/d/1BJSV3WBYJGRhQ6zExamkszQ5VutGIcaQqmbD9ZTVXMQ/edit#gid=1251630045"",""articles_with_PRISMA_reasons!B2:B2113"")))-1)"),"Singhal")</f>
        <v>Singhal</v>
      </c>
      <c r="C1386" s="6">
        <f>IFERROR(__xludf.DUMMYFUNCTION("FILTER(IMPORTRANGE(""https://docs.google.com/spreadsheets/d/1BJSV3WBYJGRhQ6zExamkszQ5VutGIcaQqmbD9ZTVXMQ/edit#gid=1251630045"",""articles_with_PRISMA_reasons!C2:C2113""), $A1386=IMPORTRANGE(""https://docs.google.com/spreadsheets/d/1BJSV3WBYJGRhQ6zExamkszQ"&amp;"5VutGIcaQqmbD9ZTVXMQ/edit#gid=1251630045"",""articles_with_PRISMA_reasons!B2:B2113""))"),2007.0)</f>
        <v>2007</v>
      </c>
      <c r="D1386" s="5" t="str">
        <f>IFERROR(__xludf.DUMMYFUNCTION("IFS(AND(
FILTER(IMPORTRANGE(""https://docs.google.com/spreadsheets/d/1BJSV3WBYJGRhQ6zExamkszQ5VutGIcaQqmbD9ZTVXMQ/edit#gid=1251630045"",""articles_with_PRISMA_reasons!Y2:Y2113""), $A1386=IMPORTRANGE(""https://docs.google.com/spreadsheets/d/1BJSV3WBYJGRhQ6"&amp;"zExamkszQ5VutGIcaQqmbD9ZTVXMQ/edit#gid=1251630045"",""articles_with_PRISMA_reasons!B2:B2113""))&gt;=2,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$A1386=IMPORTRANGE(""https://docs.google.com/spreadsheets/d/1BJSV3WBYJGRhQ6zExamkszQ5VutGIcaQqmbD9ZTVXMQ/edit#gid=1251630045"",""articles_with_PRISMA_reasons!B2:B2113""))&lt;2),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$A1386=IMPORTRANGE(""https://docs.google.com/spreadsheets/d/1BJSV3WBYJGRhQ6zExamkszQ5VutGIcaQqmbD9ZTVXMQ/edit#gid=1251630045"",""a"&amp;"rticles_with_PRISMA_reasons!B2:B2113""))&lt;2,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$A1386=IMPORTRANGE(""https://docs.google"&amp;".com/spreadsheets/d/1BJSV3WBYJGRhQ6zExamkszQ5VutGIcaQqmbD9ZTVXMQ/edit#gid=1251630045"",""articles_with_PRISMA_reasons!B2:B2113""))&gt;=2),
""Exclude""
)"),"Include")</f>
        <v>Include</v>
      </c>
      <c r="E1386" s="5" t="str">
        <f>IFERROR(__xludf.DUMMYFUNCTION("IFS(
D1386=""Exclude"",""Exclude"",
AND(
FILTER(IMPORTRANGE(""https://docs.google.com/spreadsheets/d/1qpEmbGH0JjaJbUdp21-y2cPbobDbMjr09BbtdKROZWc/edit#gid=1444865654"",""articles_with_PRISMA_reasons!W2:W2113""), $A1386=IMPORTRANGE(""https://docs.google.co"&amp;"m/spreadsheets/d/1qpEmbGH0JjaJbUdp21-y2cPbobDbMjr09BbtdKROZWc/edit#gid=1444865654"",""articles_with_PRISMA_reasons!B2:B2113""))&gt;=2,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$A1386=IMPORTRANGE(""https://docs.google.com/spreadsheets/d/1qpEmbGH0JjaJbUdp21-y2cPbobDbMjr09BbtdKROZWc/edit#gid=1444865654"",""articles_with_PRISMA_reasons!B2:B2113""))&lt;2),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$A1386=IMPORTRANGE(""https://docs.google.com/spreadsheets/d/1qpEmbGH0JjaJbUdp21-y2cPbobDbMjr09Bbtd"&amp;"KROZWc/edit#gid=1444865654"",""articles_with_PRISMA_reasons!B2:B2113""))&lt;2,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$A1386=I"&amp;"MPORTRANGE(""https://docs.google.com/spreadsheets/d/1qpEmbGH0JjaJbUdp21-y2cPbobDbMjr09BbtdKROZWc/edit#gid=1444865654"",""articles_with_PRISMA_reasons!B2:B2113""))&gt;=2),
""Exclude""
)"),"Exclude")</f>
        <v>Exclude</v>
      </c>
      <c r="F1386" s="5" t="str">
        <f>IFERROR(__xludf.DUMMYFUNCTION("IFS(
E1386=""Exclude"",""Exclude"",
AND(
COUNTIF(
IMPORTRANGE(""https://docs.google.com/spreadsheets/d/1kGrh75X1cNR1D7_FcY9zMnHP8iPO4M5RCRjy6nZY0TY/edit#gid=0"",""Table 1: Study characteristics!B4:B171""),A1386)&gt;0,
COUNTIF(Studies!$A$2:$A$85,FILTER(IMPORT"&amp;"RANGE(""https://docs.google.com/spreadsheets/d/1kGrh75X1cNR1D7_FcY9zMnHP8iPO4M5RCRjy6nZY0TY/edit#gid=0"",""Table 1: Study characteristics!A4:A171""), $A1386=IMPORTRANGE(""https://docs.google.com/spreadsheets/d/1kGrh75X1cNR1D7_FcY9zMnHP8iPO4M5RCRjy6nZY0TY/"&amp;"edit#gid=0"",""Table 1: Study characteristics!B4:B171"")))&gt;0
),
""Include""
)"),"Exclude")</f>
        <v>Exclude</v>
      </c>
      <c r="G1386" s="5" t="str">
        <f>IFERROR(__xludf.DUMMYFUNCTION("IFS(
D1386=""Exclude"",
FILTER(IMPORTRANGE(""https://docs.google.com/spreadsheets/d/1BJSV3WBYJGRhQ6zExamkszQ5VutGIcaQqmbD9ZTVXMQ/edit#gid=1251630045"",""articles_with_PRISMA_reasons!AB2:AB2113""), $A1386=IMPORTRANGE(""https://docs.google.com/spreadsheets/"&amp;"d/1BJSV3WBYJGRhQ6zExamkszQ5VutGIcaQqmbD9ZTVXMQ/edit#gid=1251630045"",""articles_with_PRISMA_reasons!B2:B2113"")),
E1386=""Exclude"",
FILTER(IMPORTRANGE(""https://docs.google.com/spreadsheets/d/1qpEmbGH0JjaJbUdp21-y2cPbobDbMjr09BbtdKROZWc/edit#gid=14448656"&amp;"54"",""articles_with_PRISMA_reasons!Z2:Z2113""), $A1386=IMPORTRANGE(""https://docs.google.com/spreadsheets/d/1qpEmbGH0JjaJbUdp21-y2cPbobDbMjr09BbtdKROZWc/edit#gid=1444865654"",""articles_with_PRISMA_reasons!B2:B2113"")),F1386
=""Include"",FILTER(IMPORTRAN"&amp;"GE(""https://docs.google.com/spreadsheets/d/1kGrh75X1cNR1D7_FcY9zMnHP8iPO4M5RCRjy6nZY0TY/edit#gid=0"",""Table 1: Study characteristics!A4:A171""), $A1386=IMPORTRANGE(""https://docs.google.com/spreadsheets/d/1kGrh75X1cNR1D7_FcY9zMnHP8iPO4M5RCRjy6nZY0TY/edi"&amp;"t#gid=0"",""Table 1: Study characteristics!B4:B171""))
)"),"wrong population")</f>
        <v>wrong population</v>
      </c>
    </row>
    <row r="1387">
      <c r="A1387" s="4" t="str">
        <f>IFERROR(__xludf.DUMMYFUNCTION("""COMPUTED_VALUE"""),"Outcome of myelomeningocoele repair in sub-Saharan Africa: The Nigerian experience")</f>
        <v>Outcome of myelomeningocoele repair in sub-Saharan Africa: The Nigerian experience</v>
      </c>
      <c r="B1387" s="5" t="str">
        <f>IFERROR(__xludf.DUMMYFUNCTION("LEFT(FILTER(IMPORTRANGE(""https://docs.google.com/spreadsheets/d/1BJSV3WBYJGRhQ6zExamkszQ5VutGIcaQqmbD9ZTVXMQ/edit#gid=1251630045"",""articles_with_PRISMA_reasons!K2:K2113""), $A1387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$A1387=IMPORTRANGE(""https://docs.google.com/spreadsheets/d/1BJSV3WBYJGRhQ6zExamkszQ5VutGIcaQqmbD9ZTVXMQ/edit#gid=1251630045"",""articles_with_PRISMA_reasons!B2:B2113"")))-1)"),"Idowu")</f>
        <v>Idowu</v>
      </c>
      <c r="C1387" s="6">
        <f>IFERROR(__xludf.DUMMYFUNCTION("FILTER(IMPORTRANGE(""https://docs.google.com/spreadsheets/d/1BJSV3WBYJGRhQ6zExamkszQ5VutGIcaQqmbD9ZTVXMQ/edit#gid=1251630045"",""articles_with_PRISMA_reasons!C2:C2113""), $A1387=IMPORTRANGE(""https://docs.google.com/spreadsheets/d/1BJSV3WBYJGRhQ6zExamkszQ"&amp;"5VutGIcaQqmbD9ZTVXMQ/edit#gid=1251630045"",""articles_with_PRISMA_reasons!B2:B2113""))"),2008.0)</f>
        <v>2008</v>
      </c>
      <c r="D1387" s="5" t="str">
        <f>IFERROR(__xludf.DUMMYFUNCTION("IFS(AND(
FILTER(IMPORTRANGE(""https://docs.google.com/spreadsheets/d/1BJSV3WBYJGRhQ6zExamkszQ5VutGIcaQqmbD9ZTVXMQ/edit#gid=1251630045"",""articles_with_PRISMA_reasons!Y2:Y2113""), $A1387=IMPORTRANGE(""https://docs.google.com/spreadsheets/d/1BJSV3WBYJGRhQ6"&amp;"zExamkszQ5VutGIcaQqmbD9ZTVXMQ/edit#gid=1251630045"",""articles_with_PRISMA_reasons!B2:B2113""))&gt;=2,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$A1387=IMPORTRANGE(""https://docs.google.com/spreadsheets/d/1BJSV3WBYJGRhQ6zExamkszQ5VutGIcaQqmbD9ZTVXMQ/edit#gid=1251630045"",""articles_with_PRISMA_reasons!B2:B2113""))&lt;2),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$A1387=IMPORTRANGE(""https://docs.google.com/spreadsheets/d/1BJSV3WBYJGRhQ6zExamkszQ5VutGIcaQqmbD9ZTVXMQ/edit#gid=1251630045"",""a"&amp;"rticles_with_PRISMA_reasons!B2:B2113""))&lt;2,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$A1387=IMPORTRANGE(""https://docs.google"&amp;".com/spreadsheets/d/1BJSV3WBYJGRhQ6zExamkszQ5VutGIcaQqmbD9ZTVXMQ/edit#gid=1251630045"",""articles_with_PRISMA_reasons!B2:B2113""))&gt;=2),
""Exclude""
)"),"Include")</f>
        <v>Include</v>
      </c>
      <c r="E1387" s="5" t="str">
        <f>IFERROR(__xludf.DUMMYFUNCTION("IFS(
D1387=""Exclude"",""Exclude"",
AND(
FILTER(IMPORTRANGE(""https://docs.google.com/spreadsheets/d/1qpEmbGH0JjaJbUdp21-y2cPbobDbMjr09BbtdKROZWc/edit#gid=1444865654"",""articles_with_PRISMA_reasons!W2:W2113""), $A1387=IMPORTRANGE(""https://docs.google.co"&amp;"m/spreadsheets/d/1qpEmbGH0JjaJbUdp21-y2cPbobDbMjr09BbtdKROZWc/edit#gid=1444865654"",""articles_with_PRISMA_reasons!B2:B2113""))&gt;=2,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$A1387=IMPORTRANGE(""https://docs.google.com/spreadsheets/d/1qpEmbGH0JjaJbUdp21-y2cPbobDbMjr09BbtdKROZWc/edit#gid=1444865654"",""articles_with_PRISMA_reasons!B2:B2113""))&lt;2),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$A1387=IMPORTRANGE(""https://docs.google.com/spreadsheets/d/1qpEmbGH0JjaJbUdp21-y2cPbobDbMjr09Bbtd"&amp;"KROZWc/edit#gid=1444865654"",""articles_with_PRISMA_reasons!B2:B2113""))&lt;2,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$A1387=I"&amp;"MPORTRANGE(""https://docs.google.com/spreadsheets/d/1qpEmbGH0JjaJbUdp21-y2cPbobDbMjr09BbtdKROZWc/edit#gid=1444865654"",""articles_with_PRISMA_reasons!B2:B2113""))&gt;=2),
""Exclude""
)"),"Include")</f>
        <v>Include</v>
      </c>
      <c r="F1387" s="5" t="str">
        <f>IFERROR(__xludf.DUMMYFUNCTION("IFS(
E1387=""Exclude"",""Exclude"",
AND(
COUNTIF(
IMPORTRANGE(""https://docs.google.com/spreadsheets/d/1kGrh75X1cNR1D7_FcY9zMnHP8iPO4M5RCRjy6nZY0TY/edit#gid=0"",""Table 1: Study characteristics!B4:B171""),A1387)&gt;0,
COUNTIF(Studies!$A$2:$A$85,FILTER(IMPORT"&amp;"RANGE(""https://docs.google.com/spreadsheets/d/1kGrh75X1cNR1D7_FcY9zMnHP8iPO4M5RCRjy6nZY0TY/edit#gid=0"",""Table 1: Study characteristics!A4:A171""), $A1387=IMPORTRANGE(""https://docs.google.com/spreadsheets/d/1kGrh75X1cNR1D7_FcY9zMnHP8iPO4M5RCRjy6nZY0TY/"&amp;"edit#gid=0"",""Table 1: Study characteristics!B4:B171"")))&gt;0
),
""Include""
)"),"Include")</f>
        <v>Include</v>
      </c>
      <c r="G1387" s="5" t="str">
        <f>IFERROR(__xludf.DUMMYFUNCTION("IFS(
D1387=""Exclude"",
FILTER(IMPORTRANGE(""https://docs.google.com/spreadsheets/d/1BJSV3WBYJGRhQ6zExamkszQ5VutGIcaQqmbD9ZTVXMQ/edit#gid=1251630045"",""articles_with_PRISMA_reasons!AB2:AB2113""), $A1387=IMPORTRANGE(""https://docs.google.com/spreadsheets/"&amp;"d/1BJSV3WBYJGRhQ6zExamkszQ5VutGIcaQqmbD9ZTVXMQ/edit#gid=1251630045"",""articles_with_PRISMA_reasons!B2:B2113"")),
E1387=""Exclude"",
FILTER(IMPORTRANGE(""https://docs.google.com/spreadsheets/d/1qpEmbGH0JjaJbUdp21-y2cPbobDbMjr09BbtdKROZWc/edit#gid=14448656"&amp;"54"",""articles_with_PRISMA_reasons!Z2:Z2113""), $A1387=IMPORTRANGE(""https://docs.google.com/spreadsheets/d/1qpEmbGH0JjaJbUdp21-y2cPbobDbMjr09BbtdKROZWc/edit#gid=1444865654"",""articles_with_PRISMA_reasons!B2:B2113"")),F1387
=""Include"",FILTER(IMPORTRAN"&amp;"GE(""https://docs.google.com/spreadsheets/d/1kGrh75X1cNR1D7_FcY9zMnHP8iPO4M5RCRjy6nZY0TY/edit#gid=0"",""Table 1: Study characteristics!A4:A171""), $A1387=IMPORTRANGE(""https://docs.google.com/spreadsheets/d/1kGrh75X1cNR1D7_FcY9zMnHP8iPO4M5RCRjy6nZY0TY/edi"&amp;"t#gid=0"",""Table 1: Study characteristics!B4:B171""))
)"),"ID 94")</f>
        <v>ID 94</v>
      </c>
    </row>
    <row r="1388">
      <c r="A1388" s="4" t="str">
        <f>IFERROR(__xludf.DUMMYFUNCTION("""COMPUTED_VALUE"""),"Outcome of patients with meningomyelocelel: The Ege University experience")</f>
        <v>Outcome of patients with meningomyelocelel: The Ege University experience</v>
      </c>
      <c r="B1388" s="5" t="str">
        <f>IFERROR(__xludf.DUMMYFUNCTION("LEFT(FILTER(IMPORTRANGE(""https://docs.google.com/spreadsheets/d/1BJSV3WBYJGRhQ6zExamkszQ5VutGIcaQqmbD9ZTVXMQ/edit#gid=1251630045"",""articles_with_PRISMA_reasons!K2:K2113""), $A1388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$A1388=IMPORTRANGE(""https://docs.google.com/spreadsheets/d/1BJSV3WBYJGRhQ6zExamkszQ5VutGIcaQqmbD9ZTVXMQ/edit#gid=1251630045"",""articles_with_PRISMA_reasons!B2:B2113"")))-1)"),"Mirzai")</f>
        <v>Mirzai</v>
      </c>
      <c r="C1388" s="6">
        <f>IFERROR(__xludf.DUMMYFUNCTION("FILTER(IMPORTRANGE(""https://docs.google.com/spreadsheets/d/1BJSV3WBYJGRhQ6zExamkszQ5VutGIcaQqmbD9ZTVXMQ/edit#gid=1251630045"",""articles_with_PRISMA_reasons!C2:C2113""), $A1388=IMPORTRANGE(""https://docs.google.com/spreadsheets/d/1BJSV3WBYJGRhQ6zExamkszQ"&amp;"5VutGIcaQqmbD9ZTVXMQ/edit#gid=1251630045"",""articles_with_PRISMA_reasons!B2:B2113""))"),1998.0)</f>
        <v>1998</v>
      </c>
      <c r="D1388" s="5" t="str">
        <f>IFERROR(__xludf.DUMMYFUNCTION("IFS(AND(
FILTER(IMPORTRANGE(""https://docs.google.com/spreadsheets/d/1BJSV3WBYJGRhQ6zExamkszQ5VutGIcaQqmbD9ZTVXMQ/edit#gid=1251630045"",""articles_with_PRISMA_reasons!Y2:Y2113""), $A1388=IMPORTRANGE(""https://docs.google.com/spreadsheets/d/1BJSV3WBYJGRhQ6"&amp;"zExamkszQ5VutGIcaQqmbD9ZTVXMQ/edit#gid=1251630045"",""articles_with_PRISMA_reasons!B2:B2113""))&gt;=2,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$A1388=IMPORTRANGE(""https://docs.google.com/spreadsheets/d/1BJSV3WBYJGRhQ6zExamkszQ5VutGIcaQqmbD9ZTVXMQ/edit#gid=1251630045"",""articles_with_PRISMA_reasons!B2:B2113""))&lt;2),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$A1388=IMPORTRANGE(""https://docs.google.com/spreadsheets/d/1BJSV3WBYJGRhQ6zExamkszQ5VutGIcaQqmbD9ZTVXMQ/edit#gid=1251630045"",""a"&amp;"rticles_with_PRISMA_reasons!B2:B2113""))&lt;2,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$A1388=IMPORTRANGE(""https://docs.google"&amp;".com/spreadsheets/d/1BJSV3WBYJGRhQ6zExamkszQ5VutGIcaQqmbD9ZTVXMQ/edit#gid=1251630045"",""articles_with_PRISMA_reasons!B2:B2113""))&gt;=2),
""Exclude""
)"),"Include")</f>
        <v>Include</v>
      </c>
      <c r="E1388" s="5" t="str">
        <f>IFERROR(__xludf.DUMMYFUNCTION("IFS(
D1388=""Exclude"",""Exclude"",
AND(
FILTER(IMPORTRANGE(""https://docs.google.com/spreadsheets/d/1qpEmbGH0JjaJbUdp21-y2cPbobDbMjr09BbtdKROZWc/edit#gid=1444865654"",""articles_with_PRISMA_reasons!W2:W2113""), $A1388=IMPORTRANGE(""https://docs.google.co"&amp;"m/spreadsheets/d/1qpEmbGH0JjaJbUdp21-y2cPbobDbMjr09BbtdKROZWc/edit#gid=1444865654"",""articles_with_PRISMA_reasons!B2:B2113""))&gt;=2,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$A1388=IMPORTRANGE(""https://docs.google.com/spreadsheets/d/1qpEmbGH0JjaJbUdp21-y2cPbobDbMjr09BbtdKROZWc/edit#gid=1444865654"",""articles_with_PRISMA_reasons!B2:B2113""))&lt;2),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$A1388=IMPORTRANGE(""https://docs.google.com/spreadsheets/d/1qpEmbGH0JjaJbUdp21-y2cPbobDbMjr09Bbtd"&amp;"KROZWc/edit#gid=1444865654"",""articles_with_PRISMA_reasons!B2:B2113""))&lt;2,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$A1388=I"&amp;"MPORTRANGE(""https://docs.google.com/spreadsheets/d/1qpEmbGH0JjaJbUdp21-y2cPbobDbMjr09BbtdKROZWc/edit#gid=1444865654"",""articles_with_PRISMA_reasons!B2:B2113""))&gt;=2),
""Exclude""
)"),"Include")</f>
        <v>Include</v>
      </c>
      <c r="F1388" s="2" t="s">
        <v>8</v>
      </c>
      <c r="G1388" s="2" t="s">
        <v>9</v>
      </c>
    </row>
    <row r="1389">
      <c r="A1389" s="4" t="str">
        <f>IFERROR(__xludf.DUMMYFUNCTION("""COMPUTED_VALUE"""),"Outcomes of CSF shunting in children: comparison of Hydrocephalus Clinical Research Network cohort with historical controls: clinical article")</f>
        <v>Outcomes of CSF shunting in children: comparison of Hydrocephalus Clinical Research Network cohort with historical controls: clinical article</v>
      </c>
      <c r="B1389" s="5" t="str">
        <f>IFERROR(__xludf.DUMMYFUNCTION("LEFT(FILTER(IMPORTRANGE(""https://docs.google.com/spreadsheets/d/1BJSV3WBYJGRhQ6zExamkszQ5VutGIcaQqmbD9ZTVXMQ/edit#gid=1251630045"",""articles_with_PRISMA_reasons!K2:K2113""), $A1389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$A1389=IMPORTRANGE(""https://docs.google.com/spreadsheets/d/1BJSV3WBYJGRhQ6zExamkszQ5VutGIcaQqmbD9ZTVXMQ/edit#gid=1251630045"",""articles_with_PRISMA_reasons!B2:B2113"")))-1)"),"Kulkarni")</f>
        <v>Kulkarni</v>
      </c>
      <c r="C1389" s="6" t="str">
        <f>IFERROR(__xludf.DUMMYFUNCTION("FILTER(IMPORTRANGE(""https://docs.google.com/spreadsheets/d/1BJSV3WBYJGRhQ6zExamkszQ5VutGIcaQqmbD9ZTVXMQ/edit#gid=1251630045"",""articles_with_PRISMA_reasons!C2:C2113""), $A1389=IMPORTRANGE(""https://docs.google.com/spreadsheets/d/1BJSV3WBYJGRhQ6zExamkszQ"&amp;"5VutGIcaQqmbD9ZTVXMQ/edit#gid=1251630045"",""articles_with_PRISMA_reasons!B2:B2113""))"),"Oct")</f>
        <v>Oct</v>
      </c>
      <c r="D1389" s="5" t="str">
        <f>IFERROR(__xludf.DUMMYFUNCTION("IFS(AND(
FILTER(IMPORTRANGE(""https://docs.google.com/spreadsheets/d/1BJSV3WBYJGRhQ6zExamkszQ5VutGIcaQqmbD9ZTVXMQ/edit#gid=1251630045"",""articles_with_PRISMA_reasons!Y2:Y2113""), $A1389=IMPORTRANGE(""https://docs.google.com/spreadsheets/d/1BJSV3WBYJGRhQ6"&amp;"zExamkszQ5VutGIcaQqmbD9ZTVXMQ/edit#gid=1251630045"",""articles_with_PRISMA_reasons!B2:B2113""))&gt;=2,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$A1389=IMPORTRANGE(""https://docs.google.com/spreadsheets/d/1BJSV3WBYJGRhQ6zExamkszQ5VutGIcaQqmbD9ZTVXMQ/edit#gid=1251630045"",""articles_with_PRISMA_reasons!B2:B2113""))&lt;2),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$A1389=IMPORTRANGE(""https://docs.google.com/spreadsheets/d/1BJSV3WBYJGRhQ6zExamkszQ5VutGIcaQqmbD9ZTVXMQ/edit#gid=1251630045"",""a"&amp;"rticles_with_PRISMA_reasons!B2:B2113""))&lt;2,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$A1389=IMPORTRANGE(""https://docs.google"&amp;".com/spreadsheets/d/1BJSV3WBYJGRhQ6zExamkszQ5VutGIcaQqmbD9ZTVXMQ/edit#gid=1251630045"",""articles_with_PRISMA_reasons!B2:B2113""))&gt;=2),
""Exclude""
)"),"Exclude")</f>
        <v>Exclude</v>
      </c>
      <c r="E1389" s="5" t="str">
        <f>IFERROR(__xludf.DUMMYFUNCTION("IFS(
D1389=""Exclude"",""Exclude"",
AND(
FILTER(IMPORTRANGE(""https://docs.google.com/spreadsheets/d/1qpEmbGH0JjaJbUdp21-y2cPbobDbMjr09BbtdKROZWc/edit#gid=1444865654"",""articles_with_PRISMA_reasons!W2:W2113""), $A1389=IMPORTRANGE(""https://docs.google.co"&amp;"m/spreadsheets/d/1qpEmbGH0JjaJbUdp21-y2cPbobDbMjr09BbtdKROZWc/edit#gid=1444865654"",""articles_with_PRISMA_reasons!B2:B2113""))&gt;=2,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$A1389=IMPORTRANGE(""https://docs.google.com/spreadsheets/d/1qpEmbGH0JjaJbUdp21-y2cPbobDbMjr09BbtdKROZWc/edit#gid=1444865654"",""articles_with_PRISMA_reasons!B2:B2113""))&lt;2),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$A1389=IMPORTRANGE(""https://docs.google.com/spreadsheets/d/1qpEmbGH0JjaJbUdp21-y2cPbobDbMjr09Bbtd"&amp;"KROZWc/edit#gid=1444865654"",""articles_with_PRISMA_reasons!B2:B2113""))&lt;2,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$A1389=I"&amp;"MPORTRANGE(""https://docs.google.com/spreadsheets/d/1qpEmbGH0JjaJbUdp21-y2cPbobDbMjr09BbtdKROZWc/edit#gid=1444865654"",""articles_with_PRISMA_reasons!B2:B2113""))&gt;=2),
""Exclude""
)"),"Exclude")</f>
        <v>Exclude</v>
      </c>
      <c r="F1389" s="5" t="str">
        <f>IFERROR(__xludf.DUMMYFUNCTION("IFS(
E1389=""Exclude"",""Exclude"",
AND(
COUNTIF(
IMPORTRANGE(""https://docs.google.com/spreadsheets/d/1kGrh75X1cNR1D7_FcY9zMnHP8iPO4M5RCRjy6nZY0TY/edit#gid=0"",""Table 1: Study characteristics!B4:B171""),A1389)&gt;0,
COUNTIF(Studies!$A$2:$A$85,FILTER(IMPORT"&amp;"RANGE(""https://docs.google.com/spreadsheets/d/1kGrh75X1cNR1D7_FcY9zMnHP8iPO4M5RCRjy6nZY0TY/edit#gid=0"",""Table 1: Study characteristics!A4:A171""), $A1389=IMPORTRANGE(""https://docs.google.com/spreadsheets/d/1kGrh75X1cNR1D7_FcY9zMnHP8iPO4M5RCRjy6nZY0TY/"&amp;"edit#gid=0"",""Table 1: Study characteristics!B4:B171"")))&gt;0
),
""Include""
)"),"Exclude")</f>
        <v>Exclude</v>
      </c>
      <c r="G1389" s="5" t="str">
        <f>IFERROR(__xludf.DUMMYFUNCTION("IFS(
D1389=""Exclude"",
FILTER(IMPORTRANGE(""https://docs.google.com/spreadsheets/d/1BJSV3WBYJGRhQ6zExamkszQ5VutGIcaQqmbD9ZTVXMQ/edit#gid=1251630045"",""articles_with_PRISMA_reasons!AB2:AB2113""), $A1389=IMPORTRANGE(""https://docs.google.com/spreadsheets/"&amp;"d/1BJSV3WBYJGRhQ6zExamkszQ5VutGIcaQqmbD9ZTVXMQ/edit#gid=1251630045"",""articles_with_PRISMA_reasons!B2:B2113"")),
E1389=""Exclude"",
FILTER(IMPORTRANGE(""https://docs.google.com/spreadsheets/d/1qpEmbGH0JjaJbUdp21-y2cPbobDbMjr09BbtdKROZWc/edit#gid=14448656"&amp;"54"",""articles_with_PRISMA_reasons!Z2:Z2113""), $A1389=IMPORTRANGE(""https://docs.google.com/spreadsheets/d/1qpEmbGH0JjaJbUdp21-y2cPbobDbMjr09BbtdKROZWc/edit#gid=1444865654"",""articles_with_PRISMA_reasons!B2:B2113"")),F1389
=""Include"",FILTER(IMPORTRAN"&amp;"GE(""https://docs.google.com/spreadsheets/d/1kGrh75X1cNR1D7_FcY9zMnHP8iPO4M5RCRjy6nZY0TY/edit#gid=0"",""Table 1: Study characteristics!A4:A171""), $A1389=IMPORTRANGE(""https://docs.google.com/spreadsheets/d/1kGrh75X1cNR1D7_FcY9zMnHP8iPO4M5RCRjy6nZY0TY/edi"&amp;"t#gid=0"",""Table 1: Study characteristics!B4:B171""))
)"),"Duplicate")</f>
        <v>Duplicate</v>
      </c>
    </row>
    <row r="1390">
      <c r="A1390" s="4" t="str">
        <f>IFERROR(__xludf.DUMMYFUNCTION("""COMPUTED_VALUE"""),"Paediatric ventriculoperitoneal shunt infection caused by Actinomyces neuii")</f>
        <v>Paediatric ventriculoperitoneal shunt infection caused by Actinomyces neuii</v>
      </c>
      <c r="B1390" s="5" t="str">
        <f>IFERROR(__xludf.DUMMYFUNCTION("LEFT(FILTER(IMPORTRANGE(""https://docs.google.com/spreadsheets/d/1BJSV3WBYJGRhQ6zExamkszQ5VutGIcaQqmbD9ZTVXMQ/edit#gid=1251630045"",""articles_with_PRISMA_reasons!K2:K2113""), $A1390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$A1390=IMPORTRANGE(""https://docs.google.com/spreadsheets/d/1BJSV3WBYJGRhQ6zExamkszQ5VutGIcaQqmbD9ZTVXMQ/edit#gid=1251630045"",""articles_with_PRISMA_reasons!B2:B2113"")))-1)"),"Anderson")</f>
        <v>Anderson</v>
      </c>
      <c r="C1390" s="6">
        <f>IFERROR(__xludf.DUMMYFUNCTION("FILTER(IMPORTRANGE(""https://docs.google.com/spreadsheets/d/1BJSV3WBYJGRhQ6zExamkszQ5VutGIcaQqmbD9ZTVXMQ/edit#gid=1251630045"",""articles_with_PRISMA_reasons!C2:C2113""), $A1390=IMPORTRANGE(""https://docs.google.com/spreadsheets/d/1BJSV3WBYJGRhQ6zExamkszQ"&amp;"5VutGIcaQqmbD9ZTVXMQ/edit#gid=1251630045"",""articles_with_PRISMA_reasons!B2:B2113""))"),2014.0)</f>
        <v>2014</v>
      </c>
      <c r="D1390" s="5" t="str">
        <f>IFERROR(__xludf.DUMMYFUNCTION("IFS(AND(
FILTER(IMPORTRANGE(""https://docs.google.com/spreadsheets/d/1BJSV3WBYJGRhQ6zExamkszQ5VutGIcaQqmbD9ZTVXMQ/edit#gid=1251630045"",""articles_with_PRISMA_reasons!Y2:Y2113""), $A1390=IMPORTRANGE(""https://docs.google.com/spreadsheets/d/1BJSV3WBYJGRhQ6"&amp;"zExamkszQ5VutGIcaQqmbD9ZTVXMQ/edit#gid=1251630045"",""articles_with_PRISMA_reasons!B2:B2113""))&gt;=2,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$A1390=IMPORTRANGE(""https://docs.google.com/spreadsheets/d/1BJSV3WBYJGRhQ6zExamkszQ5VutGIcaQqmbD9ZTVXMQ/edit#gid=1251630045"",""articles_with_PRISMA_reasons!B2:B2113""))&lt;2),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$A1390=IMPORTRANGE(""https://docs.google.com/spreadsheets/d/1BJSV3WBYJGRhQ6zExamkszQ5VutGIcaQqmbD9ZTVXMQ/edit#gid=1251630045"",""a"&amp;"rticles_with_PRISMA_reasons!B2:B2113""))&lt;2,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$A1390=IMPORTRANGE(""https://docs.google"&amp;".com/spreadsheets/d/1BJSV3WBYJGRhQ6zExamkszQ5VutGIcaQqmbD9ZTVXMQ/edit#gid=1251630045"",""articles_with_PRISMA_reasons!B2:B2113""))&gt;=2),
""Exclude""
)"),"Exclude")</f>
        <v>Exclude</v>
      </c>
      <c r="E1390" s="5" t="str">
        <f>IFERROR(__xludf.DUMMYFUNCTION("IFS(
D1390=""Exclude"",""Exclude"",
AND(
FILTER(IMPORTRANGE(""https://docs.google.com/spreadsheets/d/1qpEmbGH0JjaJbUdp21-y2cPbobDbMjr09BbtdKROZWc/edit#gid=1444865654"",""articles_with_PRISMA_reasons!W2:W2113""), $A1390=IMPORTRANGE(""https://docs.google.co"&amp;"m/spreadsheets/d/1qpEmbGH0JjaJbUdp21-y2cPbobDbMjr09BbtdKROZWc/edit#gid=1444865654"",""articles_with_PRISMA_reasons!B2:B2113""))&gt;=2,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$A1390=IMPORTRANGE(""https://docs.google.com/spreadsheets/d/1qpEmbGH0JjaJbUdp21-y2cPbobDbMjr09BbtdKROZWc/edit#gid=1444865654"",""articles_with_PRISMA_reasons!B2:B2113""))&lt;2),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$A1390=IMPORTRANGE(""https://docs.google.com/spreadsheets/d/1qpEmbGH0JjaJbUdp21-y2cPbobDbMjr09Bbtd"&amp;"KROZWc/edit#gid=1444865654"",""articles_with_PRISMA_reasons!B2:B2113""))&lt;2,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$A1390=I"&amp;"MPORTRANGE(""https://docs.google.com/spreadsheets/d/1qpEmbGH0JjaJbUdp21-y2cPbobDbMjr09BbtdKROZWc/edit#gid=1444865654"",""articles_with_PRISMA_reasons!B2:B2113""))&gt;=2),
""Exclude""
)"),"Exclude")</f>
        <v>Exclude</v>
      </c>
      <c r="F1390" s="5" t="str">
        <f>IFERROR(__xludf.DUMMYFUNCTION("IFS(
E1390=""Exclude"",""Exclude"",
AND(
COUNTIF(
IMPORTRANGE(""https://docs.google.com/spreadsheets/d/1kGrh75X1cNR1D7_FcY9zMnHP8iPO4M5RCRjy6nZY0TY/edit#gid=0"",""Table 1: Study characteristics!B4:B171""),A1390)&gt;0,
COUNTIF(Studies!$A$2:$A$85,FILTER(IMPORT"&amp;"RANGE(""https://docs.google.com/spreadsheets/d/1kGrh75X1cNR1D7_FcY9zMnHP8iPO4M5RCRjy6nZY0TY/edit#gid=0"",""Table 1: Study characteristics!A4:A171""), $A1390=IMPORTRANGE(""https://docs.google.com/spreadsheets/d/1kGrh75X1cNR1D7_FcY9zMnHP8iPO4M5RCRjy6nZY0TY/"&amp;"edit#gid=0"",""Table 1: Study characteristics!B4:B171"")))&gt;0
),
""Include""
)"),"Exclude")</f>
        <v>Exclude</v>
      </c>
      <c r="G1390" s="5" t="str">
        <f>IFERROR(__xludf.DUMMYFUNCTION("IFS(
D1390=""Exclude"",
FILTER(IMPORTRANGE(""https://docs.google.com/spreadsheets/d/1BJSV3WBYJGRhQ6zExamkszQ5VutGIcaQqmbD9ZTVXMQ/edit#gid=1251630045"",""articles_with_PRISMA_reasons!AB2:AB2113""), $A1390=IMPORTRANGE(""https://docs.google.com/spreadsheets/"&amp;"d/1BJSV3WBYJGRhQ6zExamkszQ5VutGIcaQqmbD9ZTVXMQ/edit#gid=1251630045"",""articles_with_PRISMA_reasons!B2:B2113"")),
E1390=""Exclude"",
FILTER(IMPORTRANGE(""https://docs.google.com/spreadsheets/d/1qpEmbGH0JjaJbUdp21-y2cPbobDbMjr09BbtdKROZWc/edit#gid=14448656"&amp;"54"",""articles_with_PRISMA_reasons!Z2:Z2113""), $A1390=IMPORTRANGE(""https://docs.google.com/spreadsheets/d/1qpEmbGH0JjaJbUdp21-y2cPbobDbMjr09BbtdKROZWc/edit#gid=1444865654"",""articles_with_PRISMA_reasons!B2:B2113"")),F1390
=""Include"",FILTER(IMPORTRAN"&amp;"GE(""https://docs.google.com/spreadsheets/d/1kGrh75X1cNR1D7_FcY9zMnHP8iPO4M5RCRjy6nZY0TY/edit#gid=0"",""Table 1: Study characteristics!A4:A171""), $A1390=IMPORTRANGE(""https://docs.google.com/spreadsheets/d/1kGrh75X1cNR1D7_FcY9zMnHP8iPO4M5RCRjy6nZY0TY/edi"&amp;"t#gid=0"",""Table 1: Study characteristics!B4:B171""))
)"),"wrong study design")</f>
        <v>wrong study design</v>
      </c>
    </row>
    <row r="1391">
      <c r="A1391" s="4" t="str">
        <f>IFERROR(__xludf.DUMMYFUNCTION("""COMPUTED_VALUE"""),"Pain in children and adolescents with spina bifida")</f>
        <v>Pain in children and adolescents with spina bifida</v>
      </c>
      <c r="B1391" s="5" t="str">
        <f>IFERROR(__xludf.DUMMYFUNCTION("LEFT(FILTER(IMPORTRANGE(""https://docs.google.com/spreadsheets/d/1BJSV3WBYJGRhQ6zExamkszQ5VutGIcaQqmbD9ZTVXMQ/edit#gid=1251630045"",""articles_with_PRISMA_reasons!K2:K2113""), $A1391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$A1391=IMPORTRANGE(""https://docs.google.com/spreadsheets/d/1BJSV3WBYJGRhQ6zExamkszQ5VutGIcaQqmbD9ZTVXMQ/edit#gid=1251630045"",""articles_with_PRISMA_reasons!B2:B2113"")))-1)"),"McGrath")</f>
        <v>McGrath</v>
      </c>
      <c r="C1391" s="6">
        <f>IFERROR(__xludf.DUMMYFUNCTION("FILTER(IMPORTRANGE(""https://docs.google.com/spreadsheets/d/1BJSV3WBYJGRhQ6zExamkszQ5VutGIcaQqmbD9ZTVXMQ/edit#gid=1251630045"",""articles_with_PRISMA_reasons!C2:C2113""), $A1391=IMPORTRANGE(""https://docs.google.com/spreadsheets/d/1BJSV3WBYJGRhQ6zExamkszQ"&amp;"5VutGIcaQqmbD9ZTVXMQ/edit#gid=1251630045"",""articles_with_PRISMA_reasons!B2:B2113""))"),2005.0)</f>
        <v>2005</v>
      </c>
      <c r="D1391" s="5" t="str">
        <f>IFERROR(__xludf.DUMMYFUNCTION("IFS(AND(
FILTER(IMPORTRANGE(""https://docs.google.com/spreadsheets/d/1BJSV3WBYJGRhQ6zExamkszQ5VutGIcaQqmbD9ZTVXMQ/edit#gid=1251630045"",""articles_with_PRISMA_reasons!Y2:Y2113""), $A1391=IMPORTRANGE(""https://docs.google.com/spreadsheets/d/1BJSV3WBYJGRhQ6"&amp;"zExamkszQ5VutGIcaQqmbD9ZTVXMQ/edit#gid=1251630045"",""articles_with_PRISMA_reasons!B2:B2113""))&gt;=2,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$A1391=IMPORTRANGE(""https://docs.google.com/spreadsheets/d/1BJSV3WBYJGRhQ6zExamkszQ5VutGIcaQqmbD9ZTVXMQ/edit#gid=1251630045"",""articles_with_PRISMA_reasons!B2:B2113""))&lt;2),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$A1391=IMPORTRANGE(""https://docs.google.com/spreadsheets/d/1BJSV3WBYJGRhQ6zExamkszQ5VutGIcaQqmbD9ZTVXMQ/edit#gid=1251630045"",""a"&amp;"rticles_with_PRISMA_reasons!B2:B2113""))&lt;2,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$A1391=IMPORTRANGE(""https://docs.google"&amp;".com/spreadsheets/d/1BJSV3WBYJGRhQ6zExamkszQ5VutGIcaQqmbD9ZTVXMQ/edit#gid=1251630045"",""articles_with_PRISMA_reasons!B2:B2113""))&gt;=2),
""Exclude""
)"),"Exclude")</f>
        <v>Exclude</v>
      </c>
      <c r="E1391" s="5" t="str">
        <f>IFERROR(__xludf.DUMMYFUNCTION("IFS(
D1391=""Exclude"",""Exclude"",
AND(
FILTER(IMPORTRANGE(""https://docs.google.com/spreadsheets/d/1qpEmbGH0JjaJbUdp21-y2cPbobDbMjr09BbtdKROZWc/edit#gid=1444865654"",""articles_with_PRISMA_reasons!W2:W2113""), $A1391=IMPORTRANGE(""https://docs.google.co"&amp;"m/spreadsheets/d/1qpEmbGH0JjaJbUdp21-y2cPbobDbMjr09BbtdKROZWc/edit#gid=1444865654"",""articles_with_PRISMA_reasons!B2:B2113""))&gt;=2,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$A1391=IMPORTRANGE(""https://docs.google.com/spreadsheets/d/1qpEmbGH0JjaJbUdp21-y2cPbobDbMjr09BbtdKROZWc/edit#gid=1444865654"",""articles_with_PRISMA_reasons!B2:B2113""))&lt;2),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$A1391=IMPORTRANGE(""https://docs.google.com/spreadsheets/d/1qpEmbGH0JjaJbUdp21-y2cPbobDbMjr09Bbtd"&amp;"KROZWc/edit#gid=1444865654"",""articles_with_PRISMA_reasons!B2:B2113""))&lt;2,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$A1391=I"&amp;"MPORTRANGE(""https://docs.google.com/spreadsheets/d/1qpEmbGH0JjaJbUdp21-y2cPbobDbMjr09BbtdKROZWc/edit#gid=1444865654"",""articles_with_PRISMA_reasons!B2:B2113""))&gt;=2),
""Exclude""
)"),"Exclude")</f>
        <v>Exclude</v>
      </c>
      <c r="F1391" s="5" t="str">
        <f>IFERROR(__xludf.DUMMYFUNCTION("IFS(
E1391=""Exclude"",""Exclude"",
AND(
COUNTIF(
IMPORTRANGE(""https://docs.google.com/spreadsheets/d/1kGrh75X1cNR1D7_FcY9zMnHP8iPO4M5RCRjy6nZY0TY/edit#gid=0"",""Table 1: Study characteristics!B4:B171""),A1391)&gt;0,
COUNTIF(Studies!$A$2:$A$85,FILTER(IMPORT"&amp;"RANGE(""https://docs.google.com/spreadsheets/d/1kGrh75X1cNR1D7_FcY9zMnHP8iPO4M5RCRjy6nZY0TY/edit#gid=0"",""Table 1: Study characteristics!A4:A171""), $A1391=IMPORTRANGE(""https://docs.google.com/spreadsheets/d/1kGrh75X1cNR1D7_FcY9zMnHP8iPO4M5RCRjy6nZY0TY/"&amp;"edit#gid=0"",""Table 1: Study characteristics!B4:B171"")))&gt;0
),
""Include""
)"),"Exclude")</f>
        <v>Exclude</v>
      </c>
      <c r="G1391" s="5" t="str">
        <f>IFERROR(__xludf.DUMMYFUNCTION("IFS(
D1391=""Exclude"",
FILTER(IMPORTRANGE(""https://docs.google.com/spreadsheets/d/1BJSV3WBYJGRhQ6zExamkszQ5VutGIcaQqmbD9ZTVXMQ/edit#gid=1251630045"",""articles_with_PRISMA_reasons!AB2:AB2113""), $A1391=IMPORTRANGE(""https://docs.google.com/spreadsheets/"&amp;"d/1BJSV3WBYJGRhQ6zExamkszQ5VutGIcaQqmbD9ZTVXMQ/edit#gid=1251630045"",""articles_with_PRISMA_reasons!B2:B2113"")),
E1391=""Exclude"",
FILTER(IMPORTRANGE(""https://docs.google.com/spreadsheets/d/1qpEmbGH0JjaJbUdp21-y2cPbobDbMjr09BbtdKROZWc/edit#gid=14448656"&amp;"54"",""articles_with_PRISMA_reasons!Z2:Z2113""), $A1391=IMPORTRANGE(""https://docs.google.com/spreadsheets/d/1qpEmbGH0JjaJbUdp21-y2cPbobDbMjr09BbtdKROZWc/edit#gid=1444865654"",""articles_with_PRISMA_reasons!B2:B2113"")),F1391
=""Include"",FILTER(IMPORTRAN"&amp;"GE(""https://docs.google.com/spreadsheets/d/1kGrh75X1cNR1D7_FcY9zMnHP8iPO4M5RCRjy6nZY0TY/edit#gid=0"",""Table 1: Study characteristics!A4:A171""), $A1391=IMPORTRANGE(""https://docs.google.com/spreadsheets/d/1kGrh75X1cNR1D7_FcY9zMnHP8iPO4M5RCRjy6nZY0TY/edi"&amp;"t#gid=0"",""Table 1: Study characteristics!B4:B171""))
)"),"wrong population")</f>
        <v>wrong population</v>
      </c>
    </row>
    <row r="1392">
      <c r="A1392" s="4" t="str">
        <f>IFERROR(__xludf.DUMMYFUNCTION("""COMPUTED_VALUE"""),"Pancytopenia due to linezolid treatment")</f>
        <v>Pancytopenia due to linezolid treatment</v>
      </c>
      <c r="B1392" s="5" t="str">
        <f>IFERROR(__xludf.DUMMYFUNCTION("LEFT(FILTER(IMPORTRANGE(""https://docs.google.com/spreadsheets/d/1BJSV3WBYJGRhQ6zExamkszQ5VutGIcaQqmbD9ZTVXMQ/edit#gid=1251630045"",""articles_with_PRISMA_reasons!K2:K2113""), $A1392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$A1392=IMPORTRANGE(""https://docs.google.com/spreadsheets/d/1BJSV3WBYJGRhQ6zExamkszQ5VutGIcaQqmbD9ZTVXMQ/edit#gid=1251630045"",""articles_with_PRISMA_reasons!B2:B2113"")))-1)"),"Parlak")</f>
        <v>Parlak</v>
      </c>
      <c r="C1392" s="6">
        <f>IFERROR(__xludf.DUMMYFUNCTION("FILTER(IMPORTRANGE(""https://docs.google.com/spreadsheets/d/1BJSV3WBYJGRhQ6zExamkszQ5VutGIcaQqmbD9ZTVXMQ/edit#gid=1251630045"",""articles_with_PRISMA_reasons!C2:C2113""), $A1392=IMPORTRANGE(""https://docs.google.com/spreadsheets/d/1BJSV3WBYJGRhQ6zExamkszQ"&amp;"5VutGIcaQqmbD9ZTVXMQ/edit#gid=1251630045"",""articles_with_PRISMA_reasons!B2:B2113""))"),2015.0)</f>
        <v>2015</v>
      </c>
      <c r="D1392" s="5" t="str">
        <f>IFERROR(__xludf.DUMMYFUNCTION("IFS(AND(
FILTER(IMPORTRANGE(""https://docs.google.com/spreadsheets/d/1BJSV3WBYJGRhQ6zExamkszQ5VutGIcaQqmbD9ZTVXMQ/edit#gid=1251630045"",""articles_with_PRISMA_reasons!Y2:Y2113""), $A1392=IMPORTRANGE(""https://docs.google.com/spreadsheets/d/1BJSV3WBYJGRhQ6"&amp;"zExamkszQ5VutGIcaQqmbD9ZTVXMQ/edit#gid=1251630045"",""articles_with_PRISMA_reasons!B2:B2113""))&gt;=2,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$A1392=IMPORTRANGE(""https://docs.google.com/spreadsheets/d/1BJSV3WBYJGRhQ6zExamkszQ5VutGIcaQqmbD9ZTVXMQ/edit#gid=1251630045"",""articles_with_PRISMA_reasons!B2:B2113""))&lt;2),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$A1392=IMPORTRANGE(""https://docs.google.com/spreadsheets/d/1BJSV3WBYJGRhQ6zExamkszQ5VutGIcaQqmbD9ZTVXMQ/edit#gid=1251630045"",""a"&amp;"rticles_with_PRISMA_reasons!B2:B2113""))&lt;2,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$A1392=IMPORTRANGE(""https://docs.google"&amp;".com/spreadsheets/d/1BJSV3WBYJGRhQ6zExamkszQ5VutGIcaQqmbD9ZTVXMQ/edit#gid=1251630045"",""articles_with_PRISMA_reasons!B2:B2113""))&gt;=2),
""Exclude""
)"),"Exclude")</f>
        <v>Exclude</v>
      </c>
      <c r="E1392" s="5" t="str">
        <f>IFERROR(__xludf.DUMMYFUNCTION("IFS(
D1392=""Exclude"",""Exclude"",
AND(
FILTER(IMPORTRANGE(""https://docs.google.com/spreadsheets/d/1qpEmbGH0JjaJbUdp21-y2cPbobDbMjr09BbtdKROZWc/edit#gid=1444865654"",""articles_with_PRISMA_reasons!W2:W2113""), $A1392=IMPORTRANGE(""https://docs.google.co"&amp;"m/spreadsheets/d/1qpEmbGH0JjaJbUdp21-y2cPbobDbMjr09BbtdKROZWc/edit#gid=1444865654"",""articles_with_PRISMA_reasons!B2:B2113""))&gt;=2,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$A1392=IMPORTRANGE(""https://docs.google.com/spreadsheets/d/1qpEmbGH0JjaJbUdp21-y2cPbobDbMjr09BbtdKROZWc/edit#gid=1444865654"",""articles_with_PRISMA_reasons!B2:B2113""))&lt;2),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$A1392=IMPORTRANGE(""https://docs.google.com/spreadsheets/d/1qpEmbGH0JjaJbUdp21-y2cPbobDbMjr09Bbtd"&amp;"KROZWc/edit#gid=1444865654"",""articles_with_PRISMA_reasons!B2:B2113""))&lt;2,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$A1392=I"&amp;"MPORTRANGE(""https://docs.google.com/spreadsheets/d/1qpEmbGH0JjaJbUdp21-y2cPbobDbMjr09BbtdKROZWc/edit#gid=1444865654"",""articles_with_PRISMA_reasons!B2:B2113""))&gt;=2),
""Exclude""
)"),"Exclude")</f>
        <v>Exclude</v>
      </c>
      <c r="F1392" s="5" t="str">
        <f>IFERROR(__xludf.DUMMYFUNCTION("IFS(
E1392=""Exclude"",""Exclude"",
AND(
COUNTIF(
IMPORTRANGE(""https://docs.google.com/spreadsheets/d/1kGrh75X1cNR1D7_FcY9zMnHP8iPO4M5RCRjy6nZY0TY/edit#gid=0"",""Table 1: Study characteristics!B4:B171""),A1392)&gt;0,
COUNTIF(Studies!$A$2:$A$85,FILTER(IMPORT"&amp;"RANGE(""https://docs.google.com/spreadsheets/d/1kGrh75X1cNR1D7_FcY9zMnHP8iPO4M5RCRjy6nZY0TY/edit#gid=0"",""Table 1: Study characteristics!A4:A171""), $A1392=IMPORTRANGE(""https://docs.google.com/spreadsheets/d/1kGrh75X1cNR1D7_FcY9zMnHP8iPO4M5RCRjy6nZY0TY/"&amp;"edit#gid=0"",""Table 1: Study characteristics!B4:B171"")))&gt;0
),
""Include""
)"),"Exclude")</f>
        <v>Exclude</v>
      </c>
      <c r="G1392" s="5" t="str">
        <f>IFERROR(__xludf.DUMMYFUNCTION("IFS(
D1392=""Exclude"",
FILTER(IMPORTRANGE(""https://docs.google.com/spreadsheets/d/1BJSV3WBYJGRhQ6zExamkszQ5VutGIcaQqmbD9ZTVXMQ/edit#gid=1251630045"",""articles_with_PRISMA_reasons!AB2:AB2113""), $A1392=IMPORTRANGE(""https://docs.google.com/spreadsheets/"&amp;"d/1BJSV3WBYJGRhQ6zExamkszQ5VutGIcaQqmbD9ZTVXMQ/edit#gid=1251630045"",""articles_with_PRISMA_reasons!B2:B2113"")),
E1392=""Exclude"",
FILTER(IMPORTRANGE(""https://docs.google.com/spreadsheets/d/1qpEmbGH0JjaJbUdp21-y2cPbobDbMjr09BbtdKROZWc/edit#gid=14448656"&amp;"54"",""articles_with_PRISMA_reasons!Z2:Z2113""), $A1392=IMPORTRANGE(""https://docs.google.com/spreadsheets/d/1qpEmbGH0JjaJbUdp21-y2cPbobDbMjr09BbtdKROZWc/edit#gid=1444865654"",""articles_with_PRISMA_reasons!B2:B2113"")),F1392
=""Include"",FILTER(IMPORTRAN"&amp;"GE(""https://docs.google.com/spreadsheets/d/1kGrh75X1cNR1D7_FcY9zMnHP8iPO4M5RCRjy6nZY0TY/edit#gid=0"",""Table 1: Study characteristics!A4:A171""), $A1392=IMPORTRANGE(""https://docs.google.com/spreadsheets/d/1kGrh75X1cNR1D7_FcY9zMnHP8iPO4M5RCRjy6nZY0TY/edi"&amp;"t#gid=0"",""Table 1: Study characteristics!B4:B171""))
)"),"wrong study design")</f>
        <v>wrong study design</v>
      </c>
    </row>
    <row r="1393">
      <c r="A1393" s="4" t="str">
        <f>IFERROR(__xludf.DUMMYFUNCTION("""COMPUTED_VALUE"""),"Parent and self-report ratings of executive function in adolescents with myelomeningocele and hydrocephalus")</f>
        <v>Parent and self-report ratings of executive function in adolescents with myelomeningocele and hydrocephalus</v>
      </c>
      <c r="B1393" s="5" t="str">
        <f>IFERROR(__xludf.DUMMYFUNCTION("LEFT(FILTER(IMPORTRANGE(""https://docs.google.com/spreadsheets/d/1BJSV3WBYJGRhQ6zExamkszQ5VutGIcaQqmbD9ZTVXMQ/edit#gid=1251630045"",""articles_with_PRISMA_reasons!K2:K2113""), $A1393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$A1393=IMPORTRANGE(""https://docs.google.com/spreadsheets/d/1BJSV3WBYJGRhQ6zExamkszQ5VutGIcaQqmbD9ZTVXMQ/edit#gid=1251630045"",""articles_with_PRISMA_reasons!B2:B2113"")))-1)"),"Andrew Zabel")</f>
        <v>Andrew Zabel</v>
      </c>
      <c r="C1393" s="6">
        <f>IFERROR(__xludf.DUMMYFUNCTION("FILTER(IMPORTRANGE(""https://docs.google.com/spreadsheets/d/1BJSV3WBYJGRhQ6zExamkszQ5VutGIcaQqmbD9ZTVXMQ/edit#gid=1251630045"",""articles_with_PRISMA_reasons!C2:C2113""), $A1393=IMPORTRANGE(""https://docs.google.com/spreadsheets/d/1BJSV3WBYJGRhQ6zExamkszQ"&amp;"5VutGIcaQqmbD9ZTVXMQ/edit#gid=1251630045"",""articles_with_PRISMA_reasons!B2:B2113""))"),2002.0)</f>
        <v>2002</v>
      </c>
      <c r="D1393" s="5" t="str">
        <f>IFERROR(__xludf.DUMMYFUNCTION("IFS(AND(
FILTER(IMPORTRANGE(""https://docs.google.com/spreadsheets/d/1BJSV3WBYJGRhQ6zExamkszQ5VutGIcaQqmbD9ZTVXMQ/edit#gid=1251630045"",""articles_with_PRISMA_reasons!Y2:Y2113""), $A1393=IMPORTRANGE(""https://docs.google.com/spreadsheets/d/1BJSV3WBYJGRhQ6"&amp;"zExamkszQ5VutGIcaQqmbD9ZTVXMQ/edit#gid=1251630045"",""articles_with_PRISMA_reasons!B2:B2113""))&gt;=2,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$A1393=IMPORTRANGE(""https://docs.google.com/spreadsheets/d/1BJSV3WBYJGRhQ6zExamkszQ5VutGIcaQqmbD9ZTVXMQ/edit#gid=1251630045"",""articles_with_PRISMA_reasons!B2:B2113""))&lt;2),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$A1393=IMPORTRANGE(""https://docs.google.com/spreadsheets/d/1BJSV3WBYJGRhQ6zExamkszQ5VutGIcaQqmbD9ZTVXMQ/edit#gid=1251630045"",""a"&amp;"rticles_with_PRISMA_reasons!B2:B2113""))&lt;2,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$A1393=IMPORTRANGE(""https://docs.google"&amp;".com/spreadsheets/d/1BJSV3WBYJGRhQ6zExamkszQ5VutGIcaQqmbD9ZTVXMQ/edit#gid=1251630045"",""articles_with_PRISMA_reasons!B2:B2113""))&gt;=2),
""Exclude""
)"),"Exclude")</f>
        <v>Exclude</v>
      </c>
      <c r="E1393" s="5" t="str">
        <f>IFERROR(__xludf.DUMMYFUNCTION("IFS(
D1393=""Exclude"",""Exclude"",
AND(
FILTER(IMPORTRANGE(""https://docs.google.com/spreadsheets/d/1qpEmbGH0JjaJbUdp21-y2cPbobDbMjr09BbtdKROZWc/edit#gid=1444865654"",""articles_with_PRISMA_reasons!W2:W2113""), $A1393=IMPORTRANGE(""https://docs.google.co"&amp;"m/spreadsheets/d/1qpEmbGH0JjaJbUdp21-y2cPbobDbMjr09BbtdKROZWc/edit#gid=1444865654"",""articles_with_PRISMA_reasons!B2:B2113""))&gt;=2,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$A1393=IMPORTRANGE(""https://docs.google.com/spreadsheets/d/1qpEmbGH0JjaJbUdp21-y2cPbobDbMjr09BbtdKROZWc/edit#gid=1444865654"",""articles_with_PRISMA_reasons!B2:B2113""))&lt;2),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$A1393=IMPORTRANGE(""https://docs.google.com/spreadsheets/d/1qpEmbGH0JjaJbUdp21-y2cPbobDbMjr09Bbtd"&amp;"KROZWc/edit#gid=1444865654"",""articles_with_PRISMA_reasons!B2:B2113""))&lt;2,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$A1393=I"&amp;"MPORTRANGE(""https://docs.google.com/spreadsheets/d/1qpEmbGH0JjaJbUdp21-y2cPbobDbMjr09BbtdKROZWc/edit#gid=1444865654"",""articles_with_PRISMA_reasons!B2:B2113""))&gt;=2),
""Exclude""
)"),"Exclude")</f>
        <v>Exclude</v>
      </c>
      <c r="F1393" s="5" t="str">
        <f>IFERROR(__xludf.DUMMYFUNCTION("IFS(
E1393=""Exclude"",""Exclude"",
AND(
COUNTIF(
IMPORTRANGE(""https://docs.google.com/spreadsheets/d/1kGrh75X1cNR1D7_FcY9zMnHP8iPO4M5RCRjy6nZY0TY/edit#gid=0"",""Table 1: Study characteristics!B4:B171""),A1393)&gt;0,
COUNTIF(Studies!$A$2:$A$85,FILTER(IMPORT"&amp;"RANGE(""https://docs.google.com/spreadsheets/d/1kGrh75X1cNR1D7_FcY9zMnHP8iPO4M5RCRjy6nZY0TY/edit#gid=0"",""Table 1: Study characteristics!A4:A171""), $A1393=IMPORTRANGE(""https://docs.google.com/spreadsheets/d/1kGrh75X1cNR1D7_FcY9zMnHP8iPO4M5RCRjy6nZY0TY/"&amp;"edit#gid=0"",""Table 1: Study characteristics!B4:B171"")))&gt;0
),
""Include""
)"),"Exclude")</f>
        <v>Exclude</v>
      </c>
      <c r="G1393" s="5" t="str">
        <f>IFERROR(__xludf.DUMMYFUNCTION("IFS(
D1393=""Exclude"",
FILTER(IMPORTRANGE(""https://docs.google.com/spreadsheets/d/1BJSV3WBYJGRhQ6zExamkszQ5VutGIcaQqmbD9ZTVXMQ/edit#gid=1251630045"",""articles_with_PRISMA_reasons!AB2:AB2113""), $A1393=IMPORTRANGE(""https://docs.google.com/spreadsheets/"&amp;"d/1BJSV3WBYJGRhQ6zExamkszQ5VutGIcaQqmbD9ZTVXMQ/edit#gid=1251630045"",""articles_with_PRISMA_reasons!B2:B2113"")),
E1393=""Exclude"",
FILTER(IMPORTRANGE(""https://docs.google.com/spreadsheets/d/1qpEmbGH0JjaJbUdp21-y2cPbobDbMjr09BbtdKROZWc/edit#gid=14448656"&amp;"54"",""articles_with_PRISMA_reasons!Z2:Z2113""), $A1393=IMPORTRANGE(""https://docs.google.com/spreadsheets/d/1qpEmbGH0JjaJbUdp21-y2cPbobDbMjr09BbtdKROZWc/edit#gid=1444865654"",""articles_with_PRISMA_reasons!B2:B2113"")),F1393
=""Include"",FILTER(IMPORTRAN"&amp;"GE(""https://docs.google.com/spreadsheets/d/1kGrh75X1cNR1D7_FcY9zMnHP8iPO4M5RCRjy6nZY0TY/edit#gid=0"",""Table 1: Study characteristics!A4:A171""), $A1393=IMPORTRANGE(""https://docs.google.com/spreadsheets/d/1kGrh75X1cNR1D7_FcY9zMnHP8iPO4M5RCRjy6nZY0TY/edi"&amp;"t#gid=0"",""Table 1: Study characteristics!B4:B171""))
)"),"wrong population")</f>
        <v>wrong population</v>
      </c>
    </row>
    <row r="1394">
      <c r="A1394" s="4" t="str">
        <f>IFERROR(__xludf.DUMMYFUNCTION("""COMPUTED_VALUE"""),"Parent- and self-ratings of executive functions in adolescents and young adults with spina bifida")</f>
        <v>Parent- and self-ratings of executive functions in adolescents and young adults with spina bifida</v>
      </c>
      <c r="B1394" s="5" t="str">
        <f>IFERROR(__xludf.DUMMYFUNCTION("LEFT(FILTER(IMPORTRANGE(""https://docs.google.com/spreadsheets/d/1BJSV3WBYJGRhQ6zExamkszQ5VutGIcaQqmbD9ZTVXMQ/edit#gid=1251630045"",""articles_with_PRISMA_reasons!K2:K2113""), $A1394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$A1394=IMPORTRANGE(""https://docs.google.com/spreadsheets/d/1BJSV3WBYJGRhQ6zExamkszQ5VutGIcaQqmbD9ZTVXMQ/edit#gid=1251630045"",""articles_with_PRISMA_reasons!B2:B2113"")))-1)"),"Zabel")</f>
        <v>Zabel</v>
      </c>
      <c r="C1394" s="6" t="str">
        <f>IFERROR(__xludf.DUMMYFUNCTION("FILTER(IMPORTRANGE(""https://docs.google.com/spreadsheets/d/1BJSV3WBYJGRhQ6zExamkszQ5VutGIcaQqmbD9ZTVXMQ/edit#gid=1251630045"",""articles_with_PRISMA_reasons!C2:C2113""), $A1394=IMPORTRANGE(""https://docs.google.com/spreadsheets/d/1BJSV3WBYJGRhQ6zExamkszQ"&amp;"5VutGIcaQqmbD9ZTVXMQ/edit#gid=1251630045"",""articles_with_PRISMA_reasons!B2:B2113""))"),"Aug")</f>
        <v>Aug</v>
      </c>
      <c r="D1394" s="5" t="str">
        <f>IFERROR(__xludf.DUMMYFUNCTION("IFS(AND(
FILTER(IMPORTRANGE(""https://docs.google.com/spreadsheets/d/1BJSV3WBYJGRhQ6zExamkszQ5VutGIcaQqmbD9ZTVXMQ/edit#gid=1251630045"",""articles_with_PRISMA_reasons!Y2:Y2113""), $A1394=IMPORTRANGE(""https://docs.google.com/spreadsheets/d/1BJSV3WBYJGRhQ6"&amp;"zExamkszQ5VutGIcaQqmbD9ZTVXMQ/edit#gid=1251630045"",""articles_with_PRISMA_reasons!B2:B2113""))&gt;=2,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$A1394=IMPORTRANGE(""https://docs.google.com/spreadsheets/d/1BJSV3WBYJGRhQ6zExamkszQ5VutGIcaQqmbD9ZTVXMQ/edit#gid=1251630045"",""articles_with_PRISMA_reasons!B2:B2113""))&lt;2),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$A1394=IMPORTRANGE(""https://docs.google.com/spreadsheets/d/1BJSV3WBYJGRhQ6zExamkszQ5VutGIcaQqmbD9ZTVXMQ/edit#gid=1251630045"",""a"&amp;"rticles_with_PRISMA_reasons!B2:B2113""))&lt;2,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$A1394=IMPORTRANGE(""https://docs.google"&amp;".com/spreadsheets/d/1BJSV3WBYJGRhQ6zExamkszQ5VutGIcaQqmbD9ZTVXMQ/edit#gid=1251630045"",""articles_with_PRISMA_reasons!B2:B2113""))&gt;=2),
""Exclude""
)"),"Exclude")</f>
        <v>Exclude</v>
      </c>
      <c r="E1394" s="5" t="str">
        <f>IFERROR(__xludf.DUMMYFUNCTION("IFS(
D1394=""Exclude"",""Exclude"",
AND(
FILTER(IMPORTRANGE(""https://docs.google.com/spreadsheets/d/1qpEmbGH0JjaJbUdp21-y2cPbobDbMjr09BbtdKROZWc/edit#gid=1444865654"",""articles_with_PRISMA_reasons!W2:W2113""), $A1394=IMPORTRANGE(""https://docs.google.co"&amp;"m/spreadsheets/d/1qpEmbGH0JjaJbUdp21-y2cPbobDbMjr09BbtdKROZWc/edit#gid=1444865654"",""articles_with_PRISMA_reasons!B2:B2113""))&gt;=2,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$A1394=IMPORTRANGE(""https://docs.google.com/spreadsheets/d/1qpEmbGH0JjaJbUdp21-y2cPbobDbMjr09BbtdKROZWc/edit#gid=1444865654"",""articles_with_PRISMA_reasons!B2:B2113""))&lt;2),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$A1394=IMPORTRANGE(""https://docs.google.com/spreadsheets/d/1qpEmbGH0JjaJbUdp21-y2cPbobDbMjr09Bbtd"&amp;"KROZWc/edit#gid=1444865654"",""articles_with_PRISMA_reasons!B2:B2113""))&lt;2,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$A1394=I"&amp;"MPORTRANGE(""https://docs.google.com/spreadsheets/d/1qpEmbGH0JjaJbUdp21-y2cPbobDbMjr09BbtdKROZWc/edit#gid=1444865654"",""articles_with_PRISMA_reasons!B2:B2113""))&gt;=2),
""Exclude""
)"),"Exclude")</f>
        <v>Exclude</v>
      </c>
      <c r="F1394" s="5" t="str">
        <f>IFERROR(__xludf.DUMMYFUNCTION("IFS(
E1394=""Exclude"",""Exclude"",
AND(
COUNTIF(
IMPORTRANGE(""https://docs.google.com/spreadsheets/d/1kGrh75X1cNR1D7_FcY9zMnHP8iPO4M5RCRjy6nZY0TY/edit#gid=0"",""Table 1: Study characteristics!B4:B171""),A1394)&gt;0,
COUNTIF(Studies!$A$2:$A$85,FILTER(IMPORT"&amp;"RANGE(""https://docs.google.com/spreadsheets/d/1kGrh75X1cNR1D7_FcY9zMnHP8iPO4M5RCRjy6nZY0TY/edit#gid=0"",""Table 1: Study characteristics!A4:A171""), $A1394=IMPORTRANGE(""https://docs.google.com/spreadsheets/d/1kGrh75X1cNR1D7_FcY9zMnHP8iPO4M5RCRjy6nZY0TY/"&amp;"edit#gid=0"",""Table 1: Study characteristics!B4:B171"")))&gt;0
),
""Include""
)"),"Exclude")</f>
        <v>Exclude</v>
      </c>
      <c r="G1394" s="5" t="str">
        <f>IFERROR(__xludf.DUMMYFUNCTION("IFS(
D1394=""Exclude"",
FILTER(IMPORTRANGE(""https://docs.google.com/spreadsheets/d/1BJSV3WBYJGRhQ6zExamkszQ5VutGIcaQqmbD9ZTVXMQ/edit#gid=1251630045"",""articles_with_PRISMA_reasons!AB2:AB2113""), $A1394=IMPORTRANGE(""https://docs.google.com/spreadsheets/"&amp;"d/1BJSV3WBYJGRhQ6zExamkszQ5VutGIcaQqmbD9ZTVXMQ/edit#gid=1251630045"",""articles_with_PRISMA_reasons!B2:B2113"")),
E1394=""Exclude"",
FILTER(IMPORTRANGE(""https://docs.google.com/spreadsheets/d/1qpEmbGH0JjaJbUdp21-y2cPbobDbMjr09BbtdKROZWc/edit#gid=14448656"&amp;"54"",""articles_with_PRISMA_reasons!Z2:Z2113""), $A1394=IMPORTRANGE(""https://docs.google.com/spreadsheets/d/1qpEmbGH0JjaJbUdp21-y2cPbobDbMjr09BbtdKROZWc/edit#gid=1444865654"",""articles_with_PRISMA_reasons!B2:B2113"")),F1394
=""Include"",FILTER(IMPORTRAN"&amp;"GE(""https://docs.google.com/spreadsheets/d/1kGrh75X1cNR1D7_FcY9zMnHP8iPO4M5RCRjy6nZY0TY/edit#gid=0"",""Table 1: Study characteristics!A4:A171""), $A1394=IMPORTRANGE(""https://docs.google.com/spreadsheets/d/1kGrh75X1cNR1D7_FcY9zMnHP8iPO4M5RCRjy6nZY0TY/edi"&amp;"t#gid=0"",""Table 1: Study characteristics!B4:B171""))
)"),"Duplicate")</f>
        <v>Duplicate</v>
      </c>
    </row>
    <row r="1395">
      <c r="A1395" s="4" t="str">
        <f>IFERROR(__xludf.DUMMYFUNCTION("""COMPUTED_VALUE"""),"Parental attitudes toward management of newborns with myelomeningocele")</f>
        <v>Parental attitudes toward management of newborns with myelomeningocele</v>
      </c>
      <c r="B1395" s="5" t="str">
        <f>IFERROR(__xludf.DUMMYFUNCTION("LEFT(FILTER(IMPORTRANGE(""https://docs.google.com/spreadsheets/d/1BJSV3WBYJGRhQ6zExamkszQ5VutGIcaQqmbD9ZTVXMQ/edit#gid=1251630045"",""articles_with_PRISMA_reasons!K2:K2113""), $A1395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$A1395=IMPORTRANGE(""https://docs.google.com/spreadsheets/d/1BJSV3WBYJGRhQ6zExamkszQ5VutGIcaQqmbD9ZTVXMQ/edit#gid=1251630045"",""articles_with_PRISMA_reasons!B2:B2113"")))-1)"),"Charney")</f>
        <v>Charney</v>
      </c>
      <c r="C1395" s="6">
        <f>IFERROR(__xludf.DUMMYFUNCTION("FILTER(IMPORTRANGE(""https://docs.google.com/spreadsheets/d/1BJSV3WBYJGRhQ6zExamkszQ5VutGIcaQqmbD9ZTVXMQ/edit#gid=1251630045"",""articles_with_PRISMA_reasons!C2:C2113""), $A1395=IMPORTRANGE(""https://docs.google.com/spreadsheets/d/1BJSV3WBYJGRhQ6zExamkszQ"&amp;"5VutGIcaQqmbD9ZTVXMQ/edit#gid=1251630045"",""articles_with_PRISMA_reasons!B2:B2113""))"),1990.0)</f>
        <v>1990</v>
      </c>
      <c r="D1395" s="5" t="str">
        <f>IFERROR(__xludf.DUMMYFUNCTION("IFS(AND(
FILTER(IMPORTRANGE(""https://docs.google.com/spreadsheets/d/1BJSV3WBYJGRhQ6zExamkszQ5VutGIcaQqmbD9ZTVXMQ/edit#gid=1251630045"",""articles_with_PRISMA_reasons!Y2:Y2113""), $A1395=IMPORTRANGE(""https://docs.google.com/spreadsheets/d/1BJSV3WBYJGRhQ6"&amp;"zExamkszQ5VutGIcaQqmbD9ZTVXMQ/edit#gid=1251630045"",""articles_with_PRISMA_reasons!B2:B2113""))&gt;=2,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$A1395=IMPORTRANGE(""https://docs.google.com/spreadsheets/d/1BJSV3WBYJGRhQ6zExamkszQ5VutGIcaQqmbD9ZTVXMQ/edit#gid=1251630045"",""articles_with_PRISMA_reasons!B2:B2113""))&lt;2),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$A1395=IMPORTRANGE(""https://docs.google.com/spreadsheets/d/1BJSV3WBYJGRhQ6zExamkszQ5VutGIcaQqmbD9ZTVXMQ/edit#gid=1251630045"",""a"&amp;"rticles_with_PRISMA_reasons!B2:B2113""))&lt;2,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$A1395=IMPORTRANGE(""https://docs.google"&amp;".com/spreadsheets/d/1BJSV3WBYJGRhQ6zExamkszQ5VutGIcaQqmbD9ZTVXMQ/edit#gid=1251630045"",""articles_with_PRISMA_reasons!B2:B2113""))&gt;=2),
""Exclude""
)"),"Exclude")</f>
        <v>Exclude</v>
      </c>
      <c r="E1395" s="5" t="str">
        <f>IFERROR(__xludf.DUMMYFUNCTION("IFS(
D1395=""Exclude"",""Exclude"",
AND(
FILTER(IMPORTRANGE(""https://docs.google.com/spreadsheets/d/1qpEmbGH0JjaJbUdp21-y2cPbobDbMjr09BbtdKROZWc/edit#gid=1444865654"",""articles_with_PRISMA_reasons!W2:W2113""), $A1395=IMPORTRANGE(""https://docs.google.co"&amp;"m/spreadsheets/d/1qpEmbGH0JjaJbUdp21-y2cPbobDbMjr09BbtdKROZWc/edit#gid=1444865654"",""articles_with_PRISMA_reasons!B2:B2113""))&gt;=2,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$A1395=IMPORTRANGE(""https://docs.google.com/spreadsheets/d/1qpEmbGH0JjaJbUdp21-y2cPbobDbMjr09BbtdKROZWc/edit#gid=1444865654"",""articles_with_PRISMA_reasons!B2:B2113""))&lt;2),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$A1395=IMPORTRANGE(""https://docs.google.com/spreadsheets/d/1qpEmbGH0JjaJbUdp21-y2cPbobDbMjr09Bbtd"&amp;"KROZWc/edit#gid=1444865654"",""articles_with_PRISMA_reasons!B2:B2113""))&lt;2,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$A1395=I"&amp;"MPORTRANGE(""https://docs.google.com/spreadsheets/d/1qpEmbGH0JjaJbUdp21-y2cPbobDbMjr09BbtdKROZWc/edit#gid=1444865654"",""articles_with_PRISMA_reasons!B2:B2113""))&gt;=2),
""Exclude""
)"),"Exclude")</f>
        <v>Exclude</v>
      </c>
      <c r="F1395" s="5" t="str">
        <f>IFERROR(__xludf.DUMMYFUNCTION("IFS(
E1395=""Exclude"",""Exclude"",
AND(
COUNTIF(
IMPORTRANGE(""https://docs.google.com/spreadsheets/d/1kGrh75X1cNR1D7_FcY9zMnHP8iPO4M5RCRjy6nZY0TY/edit#gid=0"",""Table 1: Study characteristics!B4:B171""),A1395)&gt;0,
COUNTIF(Studies!$A$2:$A$85,FILTER(IMPORT"&amp;"RANGE(""https://docs.google.com/spreadsheets/d/1kGrh75X1cNR1D7_FcY9zMnHP8iPO4M5RCRjy6nZY0TY/edit#gid=0"",""Table 1: Study characteristics!A4:A171""), $A1395=IMPORTRANGE(""https://docs.google.com/spreadsheets/d/1kGrh75X1cNR1D7_FcY9zMnHP8iPO4M5RCRjy6nZY0TY/"&amp;"edit#gid=0"",""Table 1: Study characteristics!B4:B171"")))&gt;0
),
""Include""
)"),"Exclude")</f>
        <v>Exclude</v>
      </c>
      <c r="G1395" s="5" t="str">
        <f>IFERROR(__xludf.DUMMYFUNCTION("IFS(
D1395=""Exclude"",
FILTER(IMPORTRANGE(""https://docs.google.com/spreadsheets/d/1BJSV3WBYJGRhQ6zExamkszQ5VutGIcaQqmbD9ZTVXMQ/edit#gid=1251630045"",""articles_with_PRISMA_reasons!AB2:AB2113""), $A1395=IMPORTRANGE(""https://docs.google.com/spreadsheets/"&amp;"d/1BJSV3WBYJGRhQ6zExamkszQ5VutGIcaQqmbD9ZTVXMQ/edit#gid=1251630045"",""articles_with_PRISMA_reasons!B2:B2113"")),
E1395=""Exclude"",
FILTER(IMPORTRANGE(""https://docs.google.com/spreadsheets/d/1qpEmbGH0JjaJbUdp21-y2cPbobDbMjr09BbtdKROZWc/edit#gid=14448656"&amp;"54"",""articles_with_PRISMA_reasons!Z2:Z2113""), $A1395=IMPORTRANGE(""https://docs.google.com/spreadsheets/d/1qpEmbGH0JjaJbUdp21-y2cPbobDbMjr09BbtdKROZWc/edit#gid=1444865654"",""articles_with_PRISMA_reasons!B2:B2113"")),F1395
=""Include"",FILTER(IMPORTRAN"&amp;"GE(""https://docs.google.com/spreadsheets/d/1kGrh75X1cNR1D7_FcY9zMnHP8iPO4M5RCRjy6nZY0TY/edit#gid=0"",""Table 1: Study characteristics!A4:A171""), $A1395=IMPORTRANGE(""https://docs.google.com/spreadsheets/d/1kGrh75X1cNR1D7_FcY9zMnHP8iPO4M5RCRjy6nZY0TY/edi"&amp;"t#gid=0"",""Table 1: Study characteristics!B4:B171""))
)"),"wrong study design")</f>
        <v>wrong study design</v>
      </c>
    </row>
    <row r="1396">
      <c r="A1396" s="4" t="str">
        <f>IFERROR(__xludf.DUMMYFUNCTION("""COMPUTED_VALUE"""),"Parental voices: One father's thoughts on fetal surgery")</f>
        <v>Parental voices: One father's thoughts on fetal surgery</v>
      </c>
      <c r="B1396" s="5" t="str">
        <f>IFERROR(__xludf.DUMMYFUNCTION("LEFT(FILTER(IMPORTRANGE(""https://docs.google.com/spreadsheets/d/1BJSV3WBYJGRhQ6zExamkszQ5VutGIcaQqmbD9ZTVXMQ/edit#gid=1251630045"",""articles_with_PRISMA_reasons!K2:K2113""), $A1396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$A1396=IMPORTRANGE(""https://docs.google.com/spreadsheets/d/1BJSV3WBYJGRhQ6zExamkszQ5VutGIcaQqmbD9ZTVXMQ/edit#gid=1251630045"",""articles_with_PRISMA_reasons!B2:B2113"")))-1)"),"Lyons")</f>
        <v>Lyons</v>
      </c>
      <c r="C1396" s="6">
        <f>IFERROR(__xludf.DUMMYFUNCTION("FILTER(IMPORTRANGE(""https://docs.google.com/spreadsheets/d/1BJSV3WBYJGRhQ6zExamkszQ5VutGIcaQqmbD9ZTVXMQ/edit#gid=1251630045"",""articles_with_PRISMA_reasons!C2:C2113""), $A1396=IMPORTRANGE(""https://docs.google.com/spreadsheets/d/1BJSV3WBYJGRhQ6zExamkszQ"&amp;"5VutGIcaQqmbD9ZTVXMQ/edit#gid=1251630045"",""articles_with_PRISMA_reasons!B2:B2113""))"),2005.0)</f>
        <v>2005</v>
      </c>
      <c r="D1396" s="5" t="str">
        <f>IFERROR(__xludf.DUMMYFUNCTION("IFS(AND(
FILTER(IMPORTRANGE(""https://docs.google.com/spreadsheets/d/1BJSV3WBYJGRhQ6zExamkszQ5VutGIcaQqmbD9ZTVXMQ/edit#gid=1251630045"",""articles_with_PRISMA_reasons!Y2:Y2113""), $A1396=IMPORTRANGE(""https://docs.google.com/spreadsheets/d/1BJSV3WBYJGRhQ6"&amp;"zExamkszQ5VutGIcaQqmbD9ZTVXMQ/edit#gid=1251630045"",""articles_with_PRISMA_reasons!B2:B2113""))&gt;=2,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$A1396=IMPORTRANGE(""https://docs.google.com/spreadsheets/d/1BJSV3WBYJGRhQ6zExamkszQ5VutGIcaQqmbD9ZTVXMQ/edit#gid=1251630045"",""articles_with_PRISMA_reasons!B2:B2113""))&lt;2),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$A1396=IMPORTRANGE(""https://docs.google.com/spreadsheets/d/1BJSV3WBYJGRhQ6zExamkszQ5VutGIcaQqmbD9ZTVXMQ/edit#gid=1251630045"",""a"&amp;"rticles_with_PRISMA_reasons!B2:B2113""))&lt;2,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$A1396=IMPORTRANGE(""https://docs.google"&amp;".com/spreadsheets/d/1BJSV3WBYJGRhQ6zExamkszQ5VutGIcaQqmbD9ZTVXMQ/edit#gid=1251630045"",""articles_with_PRISMA_reasons!B2:B2113""))&gt;=2),
""Exclude""
)"),"Exclude")</f>
        <v>Exclude</v>
      </c>
      <c r="E1396" s="5" t="str">
        <f>IFERROR(__xludf.DUMMYFUNCTION("IFS(
D1396=""Exclude"",""Exclude"",
AND(
FILTER(IMPORTRANGE(""https://docs.google.com/spreadsheets/d/1qpEmbGH0JjaJbUdp21-y2cPbobDbMjr09BbtdKROZWc/edit#gid=1444865654"",""articles_with_PRISMA_reasons!W2:W2113""), $A1396=IMPORTRANGE(""https://docs.google.co"&amp;"m/spreadsheets/d/1qpEmbGH0JjaJbUdp21-y2cPbobDbMjr09BbtdKROZWc/edit#gid=1444865654"",""articles_with_PRISMA_reasons!B2:B2113""))&gt;=2,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$A1396=IMPORTRANGE(""https://docs.google.com/spreadsheets/d/1qpEmbGH0JjaJbUdp21-y2cPbobDbMjr09BbtdKROZWc/edit#gid=1444865654"",""articles_with_PRISMA_reasons!B2:B2113""))&lt;2),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$A1396=IMPORTRANGE(""https://docs.google.com/spreadsheets/d/1qpEmbGH0JjaJbUdp21-y2cPbobDbMjr09Bbtd"&amp;"KROZWc/edit#gid=1444865654"",""articles_with_PRISMA_reasons!B2:B2113""))&lt;2,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$A1396=I"&amp;"MPORTRANGE(""https://docs.google.com/spreadsheets/d/1qpEmbGH0JjaJbUdp21-y2cPbobDbMjr09BbtdKROZWc/edit#gid=1444865654"",""articles_with_PRISMA_reasons!B2:B2113""))&gt;=2),
""Exclude""
)"),"Exclude")</f>
        <v>Exclude</v>
      </c>
      <c r="F1396" s="5" t="str">
        <f>IFERROR(__xludf.DUMMYFUNCTION("IFS(
E1396=""Exclude"",""Exclude"",
AND(
COUNTIF(
IMPORTRANGE(""https://docs.google.com/spreadsheets/d/1kGrh75X1cNR1D7_FcY9zMnHP8iPO4M5RCRjy6nZY0TY/edit#gid=0"",""Table 1: Study characteristics!B4:B171""),A1396)&gt;0,
COUNTIF(Studies!$A$2:$A$85,FILTER(IMPORT"&amp;"RANGE(""https://docs.google.com/spreadsheets/d/1kGrh75X1cNR1D7_FcY9zMnHP8iPO4M5RCRjy6nZY0TY/edit#gid=0"",""Table 1: Study characteristics!A4:A171""), $A1396=IMPORTRANGE(""https://docs.google.com/spreadsheets/d/1kGrh75X1cNR1D7_FcY9zMnHP8iPO4M5RCRjy6nZY0TY/"&amp;"edit#gid=0"",""Table 1: Study characteristics!B4:B171"")))&gt;0
),
""Include""
)"),"Exclude")</f>
        <v>Exclude</v>
      </c>
      <c r="G1396" s="5" t="str">
        <f>IFERROR(__xludf.DUMMYFUNCTION("IFS(
D1396=""Exclude"",
FILTER(IMPORTRANGE(""https://docs.google.com/spreadsheets/d/1BJSV3WBYJGRhQ6zExamkszQ5VutGIcaQqmbD9ZTVXMQ/edit#gid=1251630045"",""articles_with_PRISMA_reasons!AB2:AB2113""), $A1396=IMPORTRANGE(""https://docs.google.com/spreadsheets/"&amp;"d/1BJSV3WBYJGRhQ6zExamkszQ5VutGIcaQqmbD9ZTVXMQ/edit#gid=1251630045"",""articles_with_PRISMA_reasons!B2:B2113"")),
E1396=""Exclude"",
FILTER(IMPORTRANGE(""https://docs.google.com/spreadsheets/d/1qpEmbGH0JjaJbUdp21-y2cPbobDbMjr09BbtdKROZWc/edit#gid=14448656"&amp;"54"",""articles_with_PRISMA_reasons!Z2:Z2113""), $A1396=IMPORTRANGE(""https://docs.google.com/spreadsheets/d/1qpEmbGH0JjaJbUdp21-y2cPbobDbMjr09BbtdKROZWc/edit#gid=1444865654"",""articles_with_PRISMA_reasons!B2:B2113"")),F1396
=""Include"",FILTER(IMPORTRAN"&amp;"GE(""https://docs.google.com/spreadsheets/d/1kGrh75X1cNR1D7_FcY9zMnHP8iPO4M5RCRjy6nZY0TY/edit#gid=0"",""Table 1: Study characteristics!A4:A171""), $A1396=IMPORTRANGE(""https://docs.google.com/spreadsheets/d/1kGrh75X1cNR1D7_FcY9zMnHP8iPO4M5RCRjy6nZY0TY/edi"&amp;"t#gid=0"",""Table 1: Study characteristics!B4:B171""))
)"),"wrong study design")</f>
        <v>wrong study design</v>
      </c>
    </row>
    <row r="1397">
      <c r="A1397" s="4" t="str">
        <f>IFERROR(__xludf.DUMMYFUNCTION("""COMPUTED_VALUE"""),"Partial agenesis of the corpus callosum in spina bifida meningomyelocele and potential compensatory mechanisms")</f>
        <v>Partial agenesis of the corpus callosum in spina bifida meningomyelocele and potential compensatory mechanisms</v>
      </c>
      <c r="B1397" s="5" t="str">
        <f>IFERROR(__xludf.DUMMYFUNCTION("LEFT(FILTER(IMPORTRANGE(""https://docs.google.com/spreadsheets/d/1BJSV3WBYJGRhQ6zExamkszQ5VutGIcaQqmbD9ZTVXMQ/edit#gid=1251630045"",""articles_with_PRISMA_reasons!K2:K2113""), $A1397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$A1397=IMPORTRANGE(""https://docs.google.com/spreadsheets/d/1BJSV3WBYJGRhQ6zExamkszQ5VutGIcaQqmbD9ZTVXMQ/edit#gid=1251630045"",""articles_with_PRISMA_reasons!B2:B2113"")))-1)"),"Fletcher")</f>
        <v>Fletcher</v>
      </c>
      <c r="C1397" s="6">
        <f>IFERROR(__xludf.DUMMYFUNCTION("FILTER(IMPORTRANGE(""https://docs.google.com/spreadsheets/d/1BJSV3WBYJGRhQ6zExamkszQ5VutGIcaQqmbD9ZTVXMQ/edit#gid=1251630045"",""articles_with_PRISMA_reasons!C2:C2113""), $A1397=IMPORTRANGE(""https://docs.google.com/spreadsheets/d/1BJSV3WBYJGRhQ6zExamkszQ"&amp;"5VutGIcaQqmbD9ZTVXMQ/edit#gid=1251630045"",""articles_with_PRISMA_reasons!B2:B2113""))"),2009.0)</f>
        <v>2009</v>
      </c>
      <c r="D1397" s="5" t="str">
        <f>IFERROR(__xludf.DUMMYFUNCTION("IFS(AND(
FILTER(IMPORTRANGE(""https://docs.google.com/spreadsheets/d/1BJSV3WBYJGRhQ6zExamkszQ5VutGIcaQqmbD9ZTVXMQ/edit#gid=1251630045"",""articles_with_PRISMA_reasons!Y2:Y2113""), $A1397=IMPORTRANGE(""https://docs.google.com/spreadsheets/d/1BJSV3WBYJGRhQ6"&amp;"zExamkszQ5VutGIcaQqmbD9ZTVXMQ/edit#gid=1251630045"",""articles_with_PRISMA_reasons!B2:B2113""))&gt;=2,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$A1397=IMPORTRANGE(""https://docs.google.com/spreadsheets/d/1BJSV3WBYJGRhQ6zExamkszQ5VutGIcaQqmbD9ZTVXMQ/edit#gid=1251630045"",""articles_with_PRISMA_reasons!B2:B2113""))&lt;2),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$A1397=IMPORTRANGE(""https://docs.google.com/spreadsheets/d/1BJSV3WBYJGRhQ6zExamkszQ5VutGIcaQqmbD9ZTVXMQ/edit#gid=1251630045"",""a"&amp;"rticles_with_PRISMA_reasons!B2:B2113""))&lt;2,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$A1397=IMPORTRANGE(""https://docs.google"&amp;".com/spreadsheets/d/1BJSV3WBYJGRhQ6zExamkszQ5VutGIcaQqmbD9ZTVXMQ/edit#gid=1251630045"",""articles_with_PRISMA_reasons!B2:B2113""))&gt;=2),
""Exclude""
)"),"Exclude")</f>
        <v>Exclude</v>
      </c>
      <c r="E1397" s="5" t="str">
        <f>IFERROR(__xludf.DUMMYFUNCTION("IFS(
D1397=""Exclude"",""Exclude"",
AND(
FILTER(IMPORTRANGE(""https://docs.google.com/spreadsheets/d/1qpEmbGH0JjaJbUdp21-y2cPbobDbMjr09BbtdKROZWc/edit#gid=1444865654"",""articles_with_PRISMA_reasons!W2:W2113""), $A1397=IMPORTRANGE(""https://docs.google.co"&amp;"m/spreadsheets/d/1qpEmbGH0JjaJbUdp21-y2cPbobDbMjr09BbtdKROZWc/edit#gid=1444865654"",""articles_with_PRISMA_reasons!B2:B2113""))&gt;=2,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$A1397=IMPORTRANGE(""https://docs.google.com/spreadsheets/d/1qpEmbGH0JjaJbUdp21-y2cPbobDbMjr09BbtdKROZWc/edit#gid=1444865654"",""articles_with_PRISMA_reasons!B2:B2113""))&lt;2),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$A1397=IMPORTRANGE(""https://docs.google.com/spreadsheets/d/1qpEmbGH0JjaJbUdp21-y2cPbobDbMjr09Bbtd"&amp;"KROZWc/edit#gid=1444865654"",""articles_with_PRISMA_reasons!B2:B2113""))&lt;2,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$A1397=I"&amp;"MPORTRANGE(""https://docs.google.com/spreadsheets/d/1qpEmbGH0JjaJbUdp21-y2cPbobDbMjr09BbtdKROZWc/edit#gid=1444865654"",""articles_with_PRISMA_reasons!B2:B2113""))&gt;=2),
""Exclude""
)"),"Exclude")</f>
        <v>Exclude</v>
      </c>
      <c r="F1397" s="5" t="str">
        <f>IFERROR(__xludf.DUMMYFUNCTION("IFS(
E1397=""Exclude"",""Exclude"",
AND(
COUNTIF(
IMPORTRANGE(""https://docs.google.com/spreadsheets/d/1kGrh75X1cNR1D7_FcY9zMnHP8iPO4M5RCRjy6nZY0TY/edit#gid=0"",""Table 1: Study characteristics!B4:B171""),A1397)&gt;0,
COUNTIF(Studies!$A$2:$A$85,FILTER(IMPORT"&amp;"RANGE(""https://docs.google.com/spreadsheets/d/1kGrh75X1cNR1D7_FcY9zMnHP8iPO4M5RCRjy6nZY0TY/edit#gid=0"",""Table 1: Study characteristics!A4:A171""), $A1397=IMPORTRANGE(""https://docs.google.com/spreadsheets/d/1kGrh75X1cNR1D7_FcY9zMnHP8iPO4M5RCRjy6nZY0TY/"&amp;"edit#gid=0"",""Table 1: Study characteristics!B4:B171"")))&gt;0
),
""Include""
)"),"Exclude")</f>
        <v>Exclude</v>
      </c>
      <c r="G1397" s="5" t="str">
        <f>IFERROR(__xludf.DUMMYFUNCTION("IFS(
D1397=""Exclude"",
FILTER(IMPORTRANGE(""https://docs.google.com/spreadsheets/d/1BJSV3WBYJGRhQ6zExamkszQ5VutGIcaQqmbD9ZTVXMQ/edit#gid=1251630045"",""articles_with_PRISMA_reasons!AB2:AB2113""), $A1397=IMPORTRANGE(""https://docs.google.com/spreadsheets/"&amp;"d/1BJSV3WBYJGRhQ6zExamkszQ5VutGIcaQqmbD9ZTVXMQ/edit#gid=1251630045"",""articles_with_PRISMA_reasons!B2:B2113"")),
E1397=""Exclude"",
FILTER(IMPORTRANGE(""https://docs.google.com/spreadsheets/d/1qpEmbGH0JjaJbUdp21-y2cPbobDbMjr09BbtdKROZWc/edit#gid=14448656"&amp;"54"",""articles_with_PRISMA_reasons!Z2:Z2113""), $A1397=IMPORTRANGE(""https://docs.google.com/spreadsheets/d/1qpEmbGH0JjaJbUdp21-y2cPbobDbMjr09BbtdKROZWc/edit#gid=1444865654"",""articles_with_PRISMA_reasons!B2:B2113"")),F1397
=""Include"",FILTER(IMPORTRAN"&amp;"GE(""https://docs.google.com/spreadsheets/d/1kGrh75X1cNR1D7_FcY9zMnHP8iPO4M5RCRjy6nZY0TY/edit#gid=0"",""Table 1: Study characteristics!A4:A171""), $A1397=IMPORTRANGE(""https://docs.google.com/spreadsheets/d/1kGrh75X1cNR1D7_FcY9zMnHP8iPO4M5RCRjy6nZY0TY/edi"&amp;"t#gid=0"",""Table 1: Study characteristics!B4:B171""))
)"),"wrong study design")</f>
        <v>wrong study design</v>
      </c>
    </row>
    <row r="1398">
      <c r="A1398" s="4" t="str">
        <f>IFERROR(__xludf.DUMMYFUNCTION("""COMPUTED_VALUE"""),"Partial rhombencephalosynapsis and Chiari type II malformation in a child: A true association supported by DTI tractography")</f>
        <v>Partial rhombencephalosynapsis and Chiari type II malformation in a child: A true association supported by DTI tractography</v>
      </c>
      <c r="B1398" s="5" t="str">
        <f>IFERROR(__xludf.DUMMYFUNCTION("LEFT(FILTER(IMPORTRANGE(""https://docs.google.com/spreadsheets/d/1BJSV3WBYJGRhQ6zExamkszQ5VutGIcaQqmbD9ZTVXMQ/edit#gid=1251630045"",""articles_with_PRISMA_reasons!K2:K2113""), $A1398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$A1398=IMPORTRANGE(""https://docs.google.com/spreadsheets/d/1BJSV3WBYJGRhQ6zExamkszQ5VutGIcaQqmbD9ZTVXMQ/edit#gid=1251630045"",""articles_with_PRISMA_reasons!B2:B2113"")))-1)"),"Merlini")</f>
        <v>Merlini</v>
      </c>
      <c r="C1398" s="6">
        <f>IFERROR(__xludf.DUMMYFUNCTION("FILTER(IMPORTRANGE(""https://docs.google.com/spreadsheets/d/1BJSV3WBYJGRhQ6zExamkszQ5VutGIcaQqmbD9ZTVXMQ/edit#gid=1251630045"",""articles_with_PRISMA_reasons!C2:C2113""), $A1398=IMPORTRANGE(""https://docs.google.com/spreadsheets/d/1BJSV3WBYJGRhQ6zExamkszQ"&amp;"5VutGIcaQqmbD9ZTVXMQ/edit#gid=1251630045"",""articles_with_PRISMA_reasons!B2:B2113""))"),2012.0)</f>
        <v>2012</v>
      </c>
      <c r="D1398" s="5" t="str">
        <f>IFERROR(__xludf.DUMMYFUNCTION("IFS(AND(
FILTER(IMPORTRANGE(""https://docs.google.com/spreadsheets/d/1BJSV3WBYJGRhQ6zExamkszQ5VutGIcaQqmbD9ZTVXMQ/edit#gid=1251630045"",""articles_with_PRISMA_reasons!Y2:Y2113""), $A1398=IMPORTRANGE(""https://docs.google.com/spreadsheets/d/1BJSV3WBYJGRhQ6"&amp;"zExamkszQ5VutGIcaQqmbD9ZTVXMQ/edit#gid=1251630045"",""articles_with_PRISMA_reasons!B2:B2113""))&gt;=2,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$A1398=IMPORTRANGE(""https://docs.google.com/spreadsheets/d/1BJSV3WBYJGRhQ6zExamkszQ5VutGIcaQqmbD9ZTVXMQ/edit#gid=1251630045"",""articles_with_PRISMA_reasons!B2:B2113""))&lt;2),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$A1398=IMPORTRANGE(""https://docs.google.com/spreadsheets/d/1BJSV3WBYJGRhQ6zExamkszQ5VutGIcaQqmbD9ZTVXMQ/edit#gid=1251630045"",""a"&amp;"rticles_with_PRISMA_reasons!B2:B2113""))&lt;2,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$A1398=IMPORTRANGE(""https://docs.google"&amp;".com/spreadsheets/d/1BJSV3WBYJGRhQ6zExamkszQ5VutGIcaQqmbD9ZTVXMQ/edit#gid=1251630045"",""articles_with_PRISMA_reasons!B2:B2113""))&gt;=2),
""Exclude""
)"),"Exclude")</f>
        <v>Exclude</v>
      </c>
      <c r="E1398" s="5" t="str">
        <f>IFERROR(__xludf.DUMMYFUNCTION("IFS(
D1398=""Exclude"",""Exclude"",
AND(
FILTER(IMPORTRANGE(""https://docs.google.com/spreadsheets/d/1qpEmbGH0JjaJbUdp21-y2cPbobDbMjr09BbtdKROZWc/edit#gid=1444865654"",""articles_with_PRISMA_reasons!W2:W2113""), $A1398=IMPORTRANGE(""https://docs.google.co"&amp;"m/spreadsheets/d/1qpEmbGH0JjaJbUdp21-y2cPbobDbMjr09BbtdKROZWc/edit#gid=1444865654"",""articles_with_PRISMA_reasons!B2:B2113""))&gt;=2,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$A1398=IMPORTRANGE(""https://docs.google.com/spreadsheets/d/1qpEmbGH0JjaJbUdp21-y2cPbobDbMjr09BbtdKROZWc/edit#gid=1444865654"",""articles_with_PRISMA_reasons!B2:B2113""))&lt;2),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$A1398=IMPORTRANGE(""https://docs.google.com/spreadsheets/d/1qpEmbGH0JjaJbUdp21-y2cPbobDbMjr09Bbtd"&amp;"KROZWc/edit#gid=1444865654"",""articles_with_PRISMA_reasons!B2:B2113""))&lt;2,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$A1398=I"&amp;"MPORTRANGE(""https://docs.google.com/spreadsheets/d/1qpEmbGH0JjaJbUdp21-y2cPbobDbMjr09BbtdKROZWc/edit#gid=1444865654"",""articles_with_PRISMA_reasons!B2:B2113""))&gt;=2),
""Exclude""
)"),"Exclude")</f>
        <v>Exclude</v>
      </c>
      <c r="F1398" s="5" t="str">
        <f>IFERROR(__xludf.DUMMYFUNCTION("IFS(
E1398=""Exclude"",""Exclude"",
AND(
COUNTIF(
IMPORTRANGE(""https://docs.google.com/spreadsheets/d/1kGrh75X1cNR1D7_FcY9zMnHP8iPO4M5RCRjy6nZY0TY/edit#gid=0"",""Table 1: Study characteristics!B4:B171""),A1398)&gt;0,
COUNTIF(Studies!$A$2:$A$85,FILTER(IMPORT"&amp;"RANGE(""https://docs.google.com/spreadsheets/d/1kGrh75X1cNR1D7_FcY9zMnHP8iPO4M5RCRjy6nZY0TY/edit#gid=0"",""Table 1: Study characteristics!A4:A171""), $A1398=IMPORTRANGE(""https://docs.google.com/spreadsheets/d/1kGrh75X1cNR1D7_FcY9zMnHP8iPO4M5RCRjy6nZY0TY/"&amp;"edit#gid=0"",""Table 1: Study characteristics!B4:B171"")))&gt;0
),
""Include""
)"),"Exclude")</f>
        <v>Exclude</v>
      </c>
      <c r="G1398" s="5" t="str">
        <f>IFERROR(__xludf.DUMMYFUNCTION("IFS(
D1398=""Exclude"",
FILTER(IMPORTRANGE(""https://docs.google.com/spreadsheets/d/1BJSV3WBYJGRhQ6zExamkszQ5VutGIcaQqmbD9ZTVXMQ/edit#gid=1251630045"",""articles_with_PRISMA_reasons!AB2:AB2113""), $A1398=IMPORTRANGE(""https://docs.google.com/spreadsheets/"&amp;"d/1BJSV3WBYJGRhQ6zExamkszQ5VutGIcaQqmbD9ZTVXMQ/edit#gid=1251630045"",""articles_with_PRISMA_reasons!B2:B2113"")),
E1398=""Exclude"",
FILTER(IMPORTRANGE(""https://docs.google.com/spreadsheets/d/1qpEmbGH0JjaJbUdp21-y2cPbobDbMjr09BbtdKROZWc/edit#gid=14448656"&amp;"54"",""articles_with_PRISMA_reasons!Z2:Z2113""), $A1398=IMPORTRANGE(""https://docs.google.com/spreadsheets/d/1qpEmbGH0JjaJbUdp21-y2cPbobDbMjr09BbtdKROZWc/edit#gid=1444865654"",""articles_with_PRISMA_reasons!B2:B2113"")),F1398
=""Include"",FILTER(IMPORTRAN"&amp;"GE(""https://docs.google.com/spreadsheets/d/1kGrh75X1cNR1D7_FcY9zMnHP8iPO4M5RCRjy6nZY0TY/edit#gid=0"",""Table 1: Study characteristics!A4:A171""), $A1398=IMPORTRANGE(""https://docs.google.com/spreadsheets/d/1kGrh75X1cNR1D7_FcY9zMnHP8iPO4M5RCRjy6nZY0TY/edi"&amp;"t#gid=0"",""Table 1: Study characteristics!B4:B171""))
)"),"wrong study design")</f>
        <v>wrong study design</v>
      </c>
    </row>
    <row r="1399">
      <c r="A1399" s="4" t="str">
        <f>IFERROR(__xludf.DUMMYFUNCTION("""COMPUTED_VALUE"""),"Partial transtentorial displacement of the cerebellum and the brain stem in hydrocephalus-a primary condition or a result of treatment?")</f>
        <v>Partial transtentorial displacement of the cerebellum and the brain stem in hydrocephalus-a primary condition or a result of treatment?</v>
      </c>
      <c r="B1399" s="5" t="str">
        <f>IFERROR(__xludf.DUMMYFUNCTION("LEFT(FILTER(IMPORTRANGE(""https://docs.google.com/spreadsheets/d/1BJSV3WBYJGRhQ6zExamkszQ5VutGIcaQqmbD9ZTVXMQ/edit#gid=1251630045"",""articles_with_PRISMA_reasons!K2:K2113""), $A1399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$A1399=IMPORTRANGE(""https://docs.google.com/spreadsheets/d/1BJSV3WBYJGRhQ6zExamkszQ5VutGIcaQqmbD9ZTVXMQ/edit#gid=1251630045"",""articles_with_PRISMA_reasons!B2:B2113"")))-1)"),"Schmitt")</f>
        <v>Schmitt</v>
      </c>
      <c r="C1399" s="6">
        <f>IFERROR(__xludf.DUMMYFUNCTION("FILTER(IMPORTRANGE(""https://docs.google.com/spreadsheets/d/1BJSV3WBYJGRhQ6zExamkszQ5VutGIcaQqmbD9ZTVXMQ/edit#gid=1251630045"",""articles_with_PRISMA_reasons!C2:C2113""), $A1399=IMPORTRANGE(""https://docs.google.com/spreadsheets/d/1BJSV3WBYJGRhQ6zExamkszQ"&amp;"5VutGIcaQqmbD9ZTVXMQ/edit#gid=1251630045"",""articles_with_PRISMA_reasons!B2:B2113""))"),1976.0)</f>
        <v>1976</v>
      </c>
      <c r="D1399" s="5" t="str">
        <f>IFERROR(__xludf.DUMMYFUNCTION("IFS(AND(
FILTER(IMPORTRANGE(""https://docs.google.com/spreadsheets/d/1BJSV3WBYJGRhQ6zExamkszQ5VutGIcaQqmbD9ZTVXMQ/edit#gid=1251630045"",""articles_with_PRISMA_reasons!Y2:Y2113""), $A1399=IMPORTRANGE(""https://docs.google.com/spreadsheets/d/1BJSV3WBYJGRhQ6"&amp;"zExamkszQ5VutGIcaQqmbD9ZTVXMQ/edit#gid=1251630045"",""articles_with_PRISMA_reasons!B2:B2113""))&gt;=2,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$A1399=IMPORTRANGE(""https://docs.google.com/spreadsheets/d/1BJSV3WBYJGRhQ6zExamkszQ5VutGIcaQqmbD9ZTVXMQ/edit#gid=1251630045"",""articles_with_PRISMA_reasons!B2:B2113""))&lt;2),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$A1399=IMPORTRANGE(""https://docs.google.com/spreadsheets/d/1BJSV3WBYJGRhQ6zExamkszQ5VutGIcaQqmbD9ZTVXMQ/edit#gid=1251630045"",""a"&amp;"rticles_with_PRISMA_reasons!B2:B2113""))&lt;2,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$A1399=IMPORTRANGE(""https://docs.google"&amp;".com/spreadsheets/d/1BJSV3WBYJGRhQ6zExamkszQ5VutGIcaQqmbD9ZTVXMQ/edit#gid=1251630045"",""articles_with_PRISMA_reasons!B2:B2113""))&gt;=2),
""Exclude""
)"),"Exclude")</f>
        <v>Exclude</v>
      </c>
      <c r="E1399" s="5" t="str">
        <f>IFERROR(__xludf.DUMMYFUNCTION("IFS(
D1399=""Exclude"",""Exclude"",
AND(
FILTER(IMPORTRANGE(""https://docs.google.com/spreadsheets/d/1qpEmbGH0JjaJbUdp21-y2cPbobDbMjr09BbtdKROZWc/edit#gid=1444865654"",""articles_with_PRISMA_reasons!W2:W2113""), $A1399=IMPORTRANGE(""https://docs.google.co"&amp;"m/spreadsheets/d/1qpEmbGH0JjaJbUdp21-y2cPbobDbMjr09BbtdKROZWc/edit#gid=1444865654"",""articles_with_PRISMA_reasons!B2:B2113""))&gt;=2,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$A1399=IMPORTRANGE(""https://docs.google.com/spreadsheets/d/1qpEmbGH0JjaJbUdp21-y2cPbobDbMjr09BbtdKROZWc/edit#gid=1444865654"",""articles_with_PRISMA_reasons!B2:B2113""))&lt;2),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$A1399=IMPORTRANGE(""https://docs.google.com/spreadsheets/d/1qpEmbGH0JjaJbUdp21-y2cPbobDbMjr09Bbtd"&amp;"KROZWc/edit#gid=1444865654"",""articles_with_PRISMA_reasons!B2:B2113""))&lt;2,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$A1399=I"&amp;"MPORTRANGE(""https://docs.google.com/spreadsheets/d/1qpEmbGH0JjaJbUdp21-y2cPbobDbMjr09BbtdKROZWc/edit#gid=1444865654"",""articles_with_PRISMA_reasons!B2:B2113""))&gt;=2),
""Exclude""
)"),"Exclude")</f>
        <v>Exclude</v>
      </c>
      <c r="F1399" s="5" t="str">
        <f>IFERROR(__xludf.DUMMYFUNCTION("IFS(
E1399=""Exclude"",""Exclude"",
AND(
COUNTIF(
IMPORTRANGE(""https://docs.google.com/spreadsheets/d/1kGrh75X1cNR1D7_FcY9zMnHP8iPO4M5RCRjy6nZY0TY/edit#gid=0"",""Table 1: Study characteristics!B4:B171""),A1399)&gt;0,
COUNTIF(Studies!$A$2:$A$85,FILTER(IMPORT"&amp;"RANGE(""https://docs.google.com/spreadsheets/d/1kGrh75X1cNR1D7_FcY9zMnHP8iPO4M5RCRjy6nZY0TY/edit#gid=0"",""Table 1: Study characteristics!A4:A171""), $A1399=IMPORTRANGE(""https://docs.google.com/spreadsheets/d/1kGrh75X1cNR1D7_FcY9zMnHP8iPO4M5RCRjy6nZY0TY/"&amp;"edit#gid=0"",""Table 1: Study characteristics!B4:B171"")))&gt;0
),
""Include""
)"),"Exclude")</f>
        <v>Exclude</v>
      </c>
      <c r="G1399" s="5" t="str">
        <f>IFERROR(__xludf.DUMMYFUNCTION("IFS(
D1399=""Exclude"",
FILTER(IMPORTRANGE(""https://docs.google.com/spreadsheets/d/1BJSV3WBYJGRhQ6zExamkszQ5VutGIcaQqmbD9ZTVXMQ/edit#gid=1251630045"",""articles_with_PRISMA_reasons!AB2:AB2113""), $A1399=IMPORTRANGE(""https://docs.google.com/spreadsheets/"&amp;"d/1BJSV3WBYJGRhQ6zExamkszQ5VutGIcaQqmbD9ZTVXMQ/edit#gid=1251630045"",""articles_with_PRISMA_reasons!B2:B2113"")),
E1399=""Exclude"",
FILTER(IMPORTRANGE(""https://docs.google.com/spreadsheets/d/1qpEmbGH0JjaJbUdp21-y2cPbobDbMjr09BbtdKROZWc/edit#gid=14448656"&amp;"54"",""articles_with_PRISMA_reasons!Z2:Z2113""), $A1399=IMPORTRANGE(""https://docs.google.com/spreadsheets/d/1qpEmbGH0JjaJbUdp21-y2cPbobDbMjr09BbtdKROZWc/edit#gid=1444865654"",""articles_with_PRISMA_reasons!B2:B2113"")),F1399
=""Include"",FILTER(IMPORTRAN"&amp;"GE(""https://docs.google.com/spreadsheets/d/1kGrh75X1cNR1D7_FcY9zMnHP8iPO4M5RCRjy6nZY0TY/edit#gid=0"",""Table 1: Study characteristics!A4:A171""), $A1399=IMPORTRANGE(""https://docs.google.com/spreadsheets/d/1kGrh75X1cNR1D7_FcY9zMnHP8iPO4M5RCRjy6nZY0TY/edi"&amp;"t#gid=0"",""Table 1: Study characteristics!B4:B171""))
)"),"background article")</f>
        <v>background article</v>
      </c>
    </row>
    <row r="1400">
      <c r="A1400" s="4" t="str">
        <f>IFERROR(__xludf.DUMMYFUNCTION("""COMPUTED_VALUE"""),"Past and present of fetal surgery")</f>
        <v>Past and present of fetal surgery</v>
      </c>
      <c r="B1400" s="5" t="str">
        <f>IFERROR(__xludf.DUMMYFUNCTION("LEFT(FILTER(IMPORTRANGE(""https://docs.google.com/spreadsheets/d/1BJSV3WBYJGRhQ6zExamkszQ5VutGIcaQqmbD9ZTVXMQ/edit#gid=1251630045"",""articles_with_PRISMA_reasons!K2:K2113""), $A1400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$A1400=IMPORTRANGE(""https://docs.google.com/spreadsheets/d/1BJSV3WBYJGRhQ6zExamkszQ5VutGIcaQqmbD9ZTVXMQ/edit#gid=1251630045"",""articles_with_PRISMA_reasons!B2:B2113"")))-1)"),"Deprest")</f>
        <v>Deprest</v>
      </c>
      <c r="C1400" s="6">
        <f>IFERROR(__xludf.DUMMYFUNCTION("FILTER(IMPORTRANGE(""https://docs.google.com/spreadsheets/d/1BJSV3WBYJGRhQ6zExamkszQ5VutGIcaQqmbD9ZTVXMQ/edit#gid=1251630045"",""articles_with_PRISMA_reasons!C2:C2113""), $A1400=IMPORTRANGE(""https://docs.google.com/spreadsheets/d/1BJSV3WBYJGRhQ6zExamkszQ"&amp;"5VutGIcaQqmbD9ZTVXMQ/edit#gid=1251630045"",""articles_with_PRISMA_reasons!B2:B2113""))"),2017.0)</f>
        <v>2017</v>
      </c>
      <c r="D1400" s="5" t="str">
        <f>IFERROR(__xludf.DUMMYFUNCTION("IFS(AND(
FILTER(IMPORTRANGE(""https://docs.google.com/spreadsheets/d/1BJSV3WBYJGRhQ6zExamkszQ5VutGIcaQqmbD9ZTVXMQ/edit#gid=1251630045"",""articles_with_PRISMA_reasons!Y2:Y2113""), $A1400=IMPORTRANGE(""https://docs.google.com/spreadsheets/d/1BJSV3WBYJGRhQ6"&amp;"zExamkszQ5VutGIcaQqmbD9ZTVXMQ/edit#gid=1251630045"",""articles_with_PRISMA_reasons!B2:B2113""))&gt;=2,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$A1400=IMPORTRANGE(""https://docs.google"&amp;".com/spreadsheets/d/1BJSV3WBYJGRhQ6zExamkszQ5VutGIcaQqmbD9ZTVXMQ/edit#gid=1251630045"",""articles_with_PRISMA_reasons!B2:B2113""))&gt;=2),
""Exclude""
)"),"Exclude")</f>
        <v>Exclude</v>
      </c>
      <c r="E1400" s="5" t="str">
        <f>IFERROR(__xludf.DUMMYFUNCTION("IFS(
D1400=""Exclude"",""Exclude"",
AND(
FILTER(IMPORTRANGE(""https://docs.google.com/spreadsheets/d/1qpEmbGH0JjaJbUdp21-y2cPbobDbMjr09BbtdKROZWc/edit#gid=1444865654"",""articles_with_PRISMA_reasons!W2:W2113""), $A1400=IMPORTRANGE(""https://docs.google.co"&amp;"m/spreadsheets/d/1qpEmbGH0JjaJbUdp21-y2cPbobDbMjr09BbtdKROZWc/edit#gid=1444865654"",""articles_with_PRISMA_reasons!B2:B2113""))&gt;=2,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$A1400=IMPORTRANGE(""https://docs.google.com/spreadsheets/d/1qpEmbGH0JjaJbUdp21-y2cPbobDbMjr09BbtdKROZWc/edit#gid=1444865654"",""articles_with_PRISMA_reasons!B2:B2113""))&lt;2),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$A1400=IMPORTRANGE(""https://docs.google.com/spreadsheets/d/1qpEmbGH0JjaJbUdp21-y2cPbobDbMjr09Bbtd"&amp;"KROZWc/edit#gid=1444865654"",""articles_with_PRISMA_reasons!B2:B2113""))&lt;2,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$A1400=I"&amp;"MPORTRANGE(""https://docs.google.com/spreadsheets/d/1qpEmbGH0JjaJbUdp21-y2cPbobDbMjr09BbtdKROZWc/edit#gid=1444865654"",""articles_with_PRISMA_reasons!B2:B2113""))&gt;=2),
""Exclude""
)"),"Exclude")</f>
        <v>Exclude</v>
      </c>
      <c r="F1400" s="5" t="str">
        <f>IFERROR(__xludf.DUMMYFUNCTION("IFS(
E1400=""Exclude"",""Exclude"",
AND(
COUNTIF(
IMPORTRANGE(""https://docs.google.com/spreadsheets/d/1kGrh75X1cNR1D7_FcY9zMnHP8iPO4M5RCRjy6nZY0TY/edit#gid=0"",""Table 1: Study characteristics!B4:B171""),A1400)&gt;0,
COUNTIF(Studies!$A$2:$A$85,FILTER(IMPORT"&amp;"RANGE(""https://docs.google.com/spreadsheets/d/1kGrh75X1cNR1D7_FcY9zMnHP8iPO4M5RCRjy6nZY0TY/edit#gid=0"",""Table 1: Study characteristics!A4:A171""), $A1400=IMPORTRANGE(""https://docs.google.com/spreadsheets/d/1kGrh75X1cNR1D7_FcY9zMnHP8iPO4M5RCRjy6nZY0TY/"&amp;"edit#gid=0"",""Table 1: Study characteristics!B4:B171"")))&gt;0
),
""Include""
)"),"Exclude")</f>
        <v>Exclude</v>
      </c>
      <c r="G1400" s="5" t="str">
        <f>IFERROR(__xludf.DUMMYFUNCTION("IFS(
D1400=""Exclude"",
FILTER(IMPORTRANGE(""https://docs.google.com/spreadsheets/d/1BJSV3WBYJGRhQ6zExamkszQ5VutGIcaQqmbD9ZTVXMQ/edit#gid=1251630045"",""articles_with_PRISMA_reasons!AB2:AB2113""), $A1400=IMPORTRANGE(""https://docs.google.com/spreadsheets/"&amp;"d/1BJSV3WBYJGRhQ6zExamkszQ5VutGIcaQqmbD9ZTVXMQ/edit#gid=1251630045"",""articles_with_PRISMA_reasons!B2:B2113"")),
E1400=""Exclude"",
FILTER(IMPORTRANGE(""https://docs.google.com/spreadsheets/d/1qpEmbGH0JjaJbUdp21-y2cPbobDbMjr09BbtdKROZWc/edit#gid=14448656"&amp;"54"",""articles_with_PRISMA_reasons!Z2:Z2113""), $A1400=IMPORTRANGE(""https://docs.google.com/spreadsheets/d/1qpEmbGH0JjaJbUdp21-y2cPbobDbMjr09BbtdKROZWc/edit#gid=1444865654"",""articles_with_PRISMA_reasons!B2:B2113"")),F1400
=""Include"",FILTER(IMPORTRAN"&amp;"GE(""https://docs.google.com/spreadsheets/d/1kGrh75X1cNR1D7_FcY9zMnHP8iPO4M5RCRjy6nZY0TY/edit#gid=0"",""Table 1: Study characteristics!A4:A171""), $A1400=IMPORTRANGE(""https://docs.google.com/spreadsheets/d/1kGrh75X1cNR1D7_FcY9zMnHP8iPO4M5RCRjy6nZY0TY/edi"&amp;"t#gid=0"",""Table 1: Study characteristics!B4:B171""))
)"),"wrong study design")</f>
        <v>wrong study design</v>
      </c>
    </row>
    <row r="1401">
      <c r="A1401" s="4" t="str">
        <f>IFERROR(__xludf.DUMMYFUNCTION("""COMPUTED_VALUE"""),"Paternal correlates of cognitive and behavioral functioning in children with myelomeningocele")</f>
        <v>Paternal correlates of cognitive and behavioral functioning in children with myelomeningocele</v>
      </c>
      <c r="B1401" s="5" t="str">
        <f>IFERROR(__xludf.DUMMYFUNCTION("LEFT(FILTER(IMPORTRANGE(""https://docs.google.com/spreadsheets/d/1BJSV3WBYJGRhQ6zExamkszQ5VutGIcaQqmbD9ZTVXMQ/edit#gid=1251630045"",""articles_with_PRISMA_reasons!K2:K2113""), $A1401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$A1401=IMPORTRANGE(""https://docs.google.com/spreadsheets/d/1BJSV3WBYJGRhQ6zExamkszQ5VutGIcaQqmbD9ZTVXMQ/edit#gid=1251630045"",""articles_with_PRISMA_reasons!B2:B2113"")))-1)"),"Wohlfeiler")</f>
        <v>Wohlfeiler</v>
      </c>
      <c r="C1401" s="3">
        <v>2008.0</v>
      </c>
      <c r="D1401" s="5" t="str">
        <f>IFERROR(__xludf.DUMMYFUNCTION("IFS(AND(
FILTER(IMPORTRANGE(""https://docs.google.com/spreadsheets/d/1BJSV3WBYJGRhQ6zExamkszQ5VutGIcaQqmbD9ZTVXMQ/edit#gid=1251630045"",""articles_with_PRISMA_reasons!Y2:Y2113""), $A1401=IMPORTRANGE(""https://docs.google.com/spreadsheets/d/1BJSV3WBYJGRhQ6"&amp;"zExamkszQ5VutGIcaQqmbD9ZTVXMQ/edit#gid=1251630045"",""articles_with_PRISMA_reasons!B2:B2113""))&gt;=2,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$A1401=IMPORTRANGE(""https://docs.google"&amp;".com/spreadsheets/d/1BJSV3WBYJGRhQ6zExamkszQ5VutGIcaQqmbD9ZTVXMQ/edit#gid=1251630045"",""articles_with_PRISMA_reasons!B2:B2113""))&gt;=2),
""Exclude""
)"),"Exclude")</f>
        <v>Exclude</v>
      </c>
      <c r="E1401" s="5" t="str">
        <f>IFERROR(__xludf.DUMMYFUNCTION("IFS(
D1401=""Exclude"",""Exclude"",
AND(
FILTER(IMPORTRANGE(""https://docs.google.com/spreadsheets/d/1qpEmbGH0JjaJbUdp21-y2cPbobDbMjr09BbtdKROZWc/edit#gid=1444865654"",""articles_with_PRISMA_reasons!W2:W2113""), $A1401=IMPORTRANGE(""https://docs.google.co"&amp;"m/spreadsheets/d/1qpEmbGH0JjaJbUdp21-y2cPbobDbMjr09BbtdKROZWc/edit#gid=1444865654"",""articles_with_PRISMA_reasons!B2:B2113""))&gt;=2,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$A1401=IMPORTRANGE(""https://docs.google.com/spreadsheets/d/1qpEmbGH0JjaJbUdp21-y2cPbobDbMjr09BbtdKROZWc/edit#gid=1444865654"",""articles_with_PRISMA_reasons!B2:B2113""))&lt;2),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$A1401=IMPORTRANGE(""https://docs.google.com/spreadsheets/d/1qpEmbGH0JjaJbUdp21-y2cPbobDbMjr09Bbtd"&amp;"KROZWc/edit#gid=1444865654"",""articles_with_PRISMA_reasons!B2:B2113""))&lt;2,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$A1401=I"&amp;"MPORTRANGE(""https://docs.google.com/spreadsheets/d/1qpEmbGH0JjaJbUdp21-y2cPbobDbMjr09BbtdKROZWc/edit#gid=1444865654"",""articles_with_PRISMA_reasons!B2:B2113""))&gt;=2),
""Exclude""
)"),"Exclude")</f>
        <v>Exclude</v>
      </c>
      <c r="F1401" s="5" t="str">
        <f>IFERROR(__xludf.DUMMYFUNCTION("IFS(
E1401=""Exclude"",""Exclude"",
AND(
COUNTIF(
IMPORTRANGE(""https://docs.google.com/spreadsheets/d/1kGrh75X1cNR1D7_FcY9zMnHP8iPO4M5RCRjy6nZY0TY/edit#gid=0"",""Table 1: Study characteristics!B4:B171""),A1401)&gt;0,
COUNTIF(Studies!$A$2:$A$85,FILTER(IMPORT"&amp;"RANGE(""https://docs.google.com/spreadsheets/d/1kGrh75X1cNR1D7_FcY9zMnHP8iPO4M5RCRjy6nZY0TY/edit#gid=0"",""Table 1: Study characteristics!A4:A171""), $A1401=IMPORTRANGE(""https://docs.google.com/spreadsheets/d/1kGrh75X1cNR1D7_FcY9zMnHP8iPO4M5RCRjy6nZY0TY/"&amp;"edit#gid=0"",""Table 1: Study characteristics!B4:B171"")))&gt;0
),
""Include""
)"),"Exclude")</f>
        <v>Exclude</v>
      </c>
      <c r="G1401" s="2" t="s">
        <v>15</v>
      </c>
    </row>
    <row r="1402">
      <c r="A1402" s="4" t="str">
        <f>IFERROR(__xludf.DUMMYFUNCTION("""COMPUTED_VALUE"""),"Paternal correlates of cognitive and behavioral functioning in children with myelomeningocele")</f>
        <v>Paternal correlates of cognitive and behavioral functioning in children with myelomeningocele</v>
      </c>
      <c r="B1402" s="5" t="str">
        <f>IFERROR(__xludf.DUMMYFUNCTION("LEFT(FILTER(IMPORTRANGE(""https://docs.google.com/spreadsheets/d/1BJSV3WBYJGRhQ6zExamkszQ5VutGIcaQqmbD9ZTVXMQ/edit#gid=1251630045"",""articles_with_PRISMA_reasons!K2:K2113""), $A1402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$A1402=IMPORTRANGE(""https://docs.google.com/spreadsheets/d/1BJSV3WBYJGRhQ6zExamkszQ5VutGIcaQqmbD9ZTVXMQ/edit#gid=1251630045"",""articles_with_PRISMA_reasons!B2:B2113"")))-1)"),"Wohlfeiler")</f>
        <v>Wohlfeiler</v>
      </c>
      <c r="C1402" s="3">
        <v>2008.0</v>
      </c>
      <c r="D1402" s="5" t="str">
        <f>IFERROR(__xludf.DUMMYFUNCTION("IFS(AND(
FILTER(IMPORTRANGE(""https://docs.google.com/spreadsheets/d/1BJSV3WBYJGRhQ6zExamkszQ5VutGIcaQqmbD9ZTVXMQ/edit#gid=1251630045"",""articles_with_PRISMA_reasons!Y2:Y2113""), $A1402=IMPORTRANGE(""https://docs.google.com/spreadsheets/d/1BJSV3WBYJGRhQ6"&amp;"zExamkszQ5VutGIcaQqmbD9ZTVXMQ/edit#gid=1251630045"",""articles_with_PRISMA_reasons!B2:B2113""))&gt;=2,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$A1402=IMPORTRANGE(""https://docs.google.com/spreadsheets/d/1BJSV3WBYJGRhQ6zExamkszQ5VutGIcaQqmbD9ZTVXMQ/edit#gid=1251630045"",""articles_with_PRISMA_reasons!B2:B2113""))&lt;2),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$A1402=IMPORTRANGE(""https://docs.google.com/spreadsheets/d/1BJSV3WBYJGRhQ6zExamkszQ5VutGIcaQqmbD9ZTVXMQ/edit#gid=1251630045"",""a"&amp;"rticles_with_PRISMA_reasons!B2:B2113""))&lt;2,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$A1402=IMPORTRANGE(""https://docs.google"&amp;".com/spreadsheets/d/1BJSV3WBYJGRhQ6zExamkszQ5VutGIcaQqmbD9ZTVXMQ/edit#gid=1251630045"",""articles_with_PRISMA_reasons!B2:B2113""))&gt;=2),
""Exclude""
)"),"Exclude")</f>
        <v>Exclude</v>
      </c>
      <c r="E1402" s="5" t="str">
        <f>IFERROR(__xludf.DUMMYFUNCTION("IFS(
D1402=""Exclude"",""Exclude"",
AND(
FILTER(IMPORTRANGE(""https://docs.google.com/spreadsheets/d/1qpEmbGH0JjaJbUdp21-y2cPbobDbMjr09BbtdKROZWc/edit#gid=1444865654"",""articles_with_PRISMA_reasons!W2:W2113""), $A1402=IMPORTRANGE(""https://docs.google.co"&amp;"m/spreadsheets/d/1qpEmbGH0JjaJbUdp21-y2cPbobDbMjr09BbtdKROZWc/edit#gid=1444865654"",""articles_with_PRISMA_reasons!B2:B2113""))&gt;=2,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$A1402=I"&amp;"MPORTRANGE(""https://docs.google.com/spreadsheets/d/1qpEmbGH0JjaJbUdp21-y2cPbobDbMjr09BbtdKROZWc/edit#gid=1444865654"",""articles_with_PRISMA_reasons!B2:B2113""))&gt;=2),
""Exclude""
)"),"Exclude")</f>
        <v>Exclude</v>
      </c>
      <c r="F1402" s="5" t="str">
        <f>IFERROR(__xludf.DUMMYFUNCTION("IFS(
E1402=""Exclude"",""Exclude"",
AND(
COUNTIF(
IMPORTRANGE(""https://docs.google.com/spreadsheets/d/1kGrh75X1cNR1D7_FcY9zMnHP8iPO4M5RCRjy6nZY0TY/edit#gid=0"",""Table 1: Study characteristics!B4:B171""),A1402)&gt;0,
COUNTIF(Studies!$A$2:$A$85,FILTER(IMPORT"&amp;"RANGE(""https://docs.google.com/spreadsheets/d/1kGrh75X1cNR1D7_FcY9zMnHP8iPO4M5RCRjy6nZY0TY/edit#gid=0"",""Table 1: Study characteristics!A4:A171""), $A1402=IMPORTRANGE(""https://docs.google.com/spreadsheets/d/1kGrh75X1cNR1D7_FcY9zMnHP8iPO4M5RCRjy6nZY0TY/"&amp;"edit#gid=0"",""Table 1: Study characteristics!B4:B171"")))&gt;0
),
""Include""
)"),"Exclude")</f>
        <v>Exclude</v>
      </c>
      <c r="G1402" s="2" t="s">
        <v>13</v>
      </c>
    </row>
    <row r="1403">
      <c r="A1403" s="4" t="str">
        <f>IFERROR(__xludf.DUMMYFUNCTION("""COMPUTED_VALUE"""),"Pathogenesis of cerebral malformations in human fetuses with meningomyelocele")</f>
        <v>Pathogenesis of cerebral malformations in human fetuses with meningomyelocele</v>
      </c>
      <c r="B1403" s="5" t="str">
        <f>IFERROR(__xludf.DUMMYFUNCTION("LEFT(FILTER(IMPORTRANGE(""https://docs.google.com/spreadsheets/d/1BJSV3WBYJGRhQ6zExamkszQ5VutGIcaQqmbD9ZTVXMQ/edit#gid=1251630045"",""articles_with_PRISMA_reasons!K2:K2113""), $A1403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$A1403=IMPORTRANGE(""https://docs.google.com/spreadsheets/d/1BJSV3WBYJGRhQ6zExamkszQ5VutGIcaQqmbD9ZTVXMQ/edit#gid=1251630045"",""articles_with_PRISMA_reasons!B2:B2113"")))-1)"),"de Wit")</f>
        <v>de Wit</v>
      </c>
      <c r="C1403" s="6">
        <f>IFERROR(__xludf.DUMMYFUNCTION("FILTER(IMPORTRANGE(""https://docs.google.com/spreadsheets/d/1BJSV3WBYJGRhQ6zExamkszQ5VutGIcaQqmbD9ZTVXMQ/edit#gid=1251630045"",""articles_with_PRISMA_reasons!C2:C2113""), $A1403=IMPORTRANGE(""https://docs.google.com/spreadsheets/d/1BJSV3WBYJGRhQ6zExamkszQ"&amp;"5VutGIcaQqmbD9ZTVXMQ/edit#gid=1251630045"",""articles_with_PRISMA_reasons!B2:B2113""))"),2008.0)</f>
        <v>2008</v>
      </c>
      <c r="D1403" s="5" t="str">
        <f>IFERROR(__xludf.DUMMYFUNCTION("IFS(AND(
FILTER(IMPORTRANGE(""https://docs.google.com/spreadsheets/d/1BJSV3WBYJGRhQ6zExamkszQ5VutGIcaQqmbD9ZTVXMQ/edit#gid=1251630045"",""articles_with_PRISMA_reasons!Y2:Y2113""), $A1403=IMPORTRANGE(""https://docs.google.com/spreadsheets/d/1BJSV3WBYJGRhQ6"&amp;"zExamkszQ5VutGIcaQqmbD9ZTVXMQ/edit#gid=1251630045"",""articles_with_PRISMA_reasons!B2:B2113""))&gt;=2,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$A1403=IMPORTRANGE(""https://docs.google"&amp;".com/spreadsheets/d/1BJSV3WBYJGRhQ6zExamkszQ5VutGIcaQqmbD9ZTVXMQ/edit#gid=1251630045"",""articles_with_PRISMA_reasons!B2:B2113""))&gt;=2),
""Exclude""
)"),"Exclude")</f>
        <v>Exclude</v>
      </c>
      <c r="E1403" s="5" t="str">
        <f>IFERROR(__xludf.DUMMYFUNCTION("IFS(
D1403=""Exclude"",""Exclude"",
AND(
FILTER(IMPORTRANGE(""https://docs.google.com/spreadsheets/d/1qpEmbGH0JjaJbUdp21-y2cPbobDbMjr09BbtdKROZWc/edit#gid=1444865654"",""articles_with_PRISMA_reasons!W2:W2113""), $A1403=IMPORTRANGE(""https://docs.google.co"&amp;"m/spreadsheets/d/1qpEmbGH0JjaJbUdp21-y2cPbobDbMjr09BbtdKROZWc/edit#gid=1444865654"",""articles_with_PRISMA_reasons!B2:B2113""))&gt;=2,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$A1403=I"&amp;"MPORTRANGE(""https://docs.google.com/spreadsheets/d/1qpEmbGH0JjaJbUdp21-y2cPbobDbMjr09BbtdKROZWc/edit#gid=1444865654"",""articles_with_PRISMA_reasons!B2:B2113""))&gt;=2),
""Exclude""
)"),"Exclude")</f>
        <v>Exclude</v>
      </c>
      <c r="F1403" s="5" t="str">
        <f>IFERROR(__xludf.DUMMYFUNCTION("IFS(
E1403=""Exclude"",""Exclude"",
AND(
COUNTIF(
IMPORTRANGE(""https://docs.google.com/spreadsheets/d/1kGrh75X1cNR1D7_FcY9zMnHP8iPO4M5RCRjy6nZY0TY/edit#gid=0"",""Table 1: Study characteristics!B4:B171""),A1403)&gt;0,
COUNTIF(Studies!$A$2:$A$85,FILTER(IMPORT"&amp;"RANGE(""https://docs.google.com/spreadsheets/d/1kGrh75X1cNR1D7_FcY9zMnHP8iPO4M5RCRjy6nZY0TY/edit#gid=0"",""Table 1: Study characteristics!A4:A171""), $A1403=IMPORTRANGE(""https://docs.google.com/spreadsheets/d/1kGrh75X1cNR1D7_FcY9zMnHP8iPO4M5RCRjy6nZY0TY/"&amp;"edit#gid=0"",""Table 1: Study characteristics!B4:B171"")))&gt;0
),
""Include""
)"),"Exclude")</f>
        <v>Exclude</v>
      </c>
      <c r="G1403" s="5" t="str">
        <f>IFERROR(__xludf.DUMMYFUNCTION("IFS(
D1403=""Exclude"",
FILTER(IMPORTRANGE(""https://docs.google.com/spreadsheets/d/1BJSV3WBYJGRhQ6zExamkszQ5VutGIcaQqmbD9ZTVXMQ/edit#gid=1251630045"",""articles_with_PRISMA_reasons!AB2:AB2113""), $A1403=IMPORTRANGE(""https://docs.google.com/spreadsheets/"&amp;"d/1BJSV3WBYJGRhQ6zExamkszQ5VutGIcaQqmbD9ZTVXMQ/edit#gid=1251630045"",""articles_with_PRISMA_reasons!B2:B2113"")),
E1403=""Exclude"",
FILTER(IMPORTRANGE(""https://docs.google.com/spreadsheets/d/1qpEmbGH0JjaJbUdp21-y2cPbobDbMjr09BbtdKROZWc/edit#gid=14448656"&amp;"54"",""articles_with_PRISMA_reasons!Z2:Z2113""), $A1403=IMPORTRANGE(""https://docs.google.com/spreadsheets/d/1qpEmbGH0JjaJbUdp21-y2cPbobDbMjr09BbtdKROZWc/edit#gid=1444865654"",""articles_with_PRISMA_reasons!B2:B2113"")),F1403
=""Include"",FILTER(IMPORTRAN"&amp;"GE(""https://docs.google.com/spreadsheets/d/1kGrh75X1cNR1D7_FcY9zMnHP8iPO4M5RCRjy6nZY0TY/edit#gid=0"",""Table 1: Study characteristics!A4:A171""), $A1403=IMPORTRANGE(""https://docs.google.com/spreadsheets/d/1kGrh75X1cNR1D7_FcY9zMnHP8iPO4M5RCRjy6nZY0TY/edi"&amp;"t#gid=0"",""Table 1: Study characteristics!B4:B171""))
)"),"wrong study design")</f>
        <v>wrong study design</v>
      </c>
    </row>
    <row r="1404">
      <c r="A1404" s="4" t="str">
        <f>IFERROR(__xludf.DUMMYFUNCTION("""COMPUTED_VALUE"""),"Pathogenesis of the Arnold-Chiari malformation: the significance of hydrocephalus and aqueduct stenosis")</f>
        <v>Pathogenesis of the Arnold-Chiari malformation: the significance of hydrocephalus and aqueduct stenosis</v>
      </c>
      <c r="B1404" s="5" t="str">
        <f>IFERROR(__xludf.DUMMYFUNCTION("LEFT(FILTER(IMPORTRANGE(""https://docs.google.com/spreadsheets/d/1BJSV3WBYJGRhQ6zExamkszQ5VutGIcaQqmbD9ZTVXMQ/edit#gid=1251630045"",""articles_with_PRISMA_reasons!K2:K2113""), $A1404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$A1404=IMPORTRANGE(""https://docs.google.com/spreadsheets/d/1BJSV3WBYJGRhQ6zExamkszQ5VutGIcaQqmbD9ZTVXMQ/edit#gid=1251630045"",""articles_with_PRISMA_reasons!B2:B2113"")))-1)"),"Masters")</f>
        <v>Masters</v>
      </c>
      <c r="C1404" s="6">
        <f>IFERROR(__xludf.DUMMYFUNCTION("FILTER(IMPORTRANGE(""https://docs.google.com/spreadsheets/d/1BJSV3WBYJGRhQ6zExamkszQ5VutGIcaQqmbD9ZTVXMQ/edit#gid=1251630045"",""articles_with_PRISMA_reasons!C2:C2113""), $A1404=IMPORTRANGE(""https://docs.google.com/spreadsheets/d/1BJSV3WBYJGRhQ6zExamkszQ"&amp;"5VutGIcaQqmbD9ZTVXMQ/edit#gid=1251630045"",""articles_with_PRISMA_reasons!B2:B2113""))"),1978.0)</f>
        <v>1978</v>
      </c>
      <c r="D1404" s="5" t="str">
        <f>IFERROR(__xludf.DUMMYFUNCTION("IFS(AND(
FILTER(IMPORTRANGE(""https://docs.google.com/spreadsheets/d/1BJSV3WBYJGRhQ6zExamkszQ5VutGIcaQqmbD9ZTVXMQ/edit#gid=1251630045"",""articles_with_PRISMA_reasons!Y2:Y2113""), $A1404=IMPORTRANGE(""https://docs.google.com/spreadsheets/d/1BJSV3WBYJGRhQ6"&amp;"zExamkszQ5VutGIcaQqmbD9ZTVXMQ/edit#gid=1251630045"",""articles_with_PRISMA_reasons!B2:B2113""))&gt;=2,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$A1404=IMPORTRANGE(""https://docs.google"&amp;".com/spreadsheets/d/1BJSV3WBYJGRhQ6zExamkszQ5VutGIcaQqmbD9ZTVXMQ/edit#gid=1251630045"",""articles_with_PRISMA_reasons!B2:B2113""))&gt;=2),
""Exclude""
)"),"Exclude")</f>
        <v>Exclude</v>
      </c>
      <c r="E1404" s="5" t="str">
        <f>IFERROR(__xludf.DUMMYFUNCTION("IFS(
D1404=""Exclude"",""Exclude"",
AND(
FILTER(IMPORTRANGE(""https://docs.google.com/spreadsheets/d/1qpEmbGH0JjaJbUdp21-y2cPbobDbMjr09BbtdKROZWc/edit#gid=1444865654"",""articles_with_PRISMA_reasons!W2:W2113""), $A1404=IMPORTRANGE(""https://docs.google.co"&amp;"m/spreadsheets/d/1qpEmbGH0JjaJbUdp21-y2cPbobDbMjr09BbtdKROZWc/edit#gid=1444865654"",""articles_with_PRISMA_reasons!B2:B2113""))&gt;=2,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$A1404=I"&amp;"MPORTRANGE(""https://docs.google.com/spreadsheets/d/1qpEmbGH0JjaJbUdp21-y2cPbobDbMjr09BbtdKROZWc/edit#gid=1444865654"",""articles_with_PRISMA_reasons!B2:B2113""))&gt;=2),
""Exclude""
)"),"Exclude")</f>
        <v>Exclude</v>
      </c>
      <c r="F1404" s="5" t="str">
        <f>IFERROR(__xludf.DUMMYFUNCTION("IFS(
E1404=""Exclude"",""Exclude"",
AND(
COUNTIF(
IMPORTRANGE(""https://docs.google.com/spreadsheets/d/1kGrh75X1cNR1D7_FcY9zMnHP8iPO4M5RCRjy6nZY0TY/edit#gid=0"",""Table 1: Study characteristics!B4:B171""),A1404)&gt;0,
COUNTIF(Studies!$A$2:$A$85,FILTER(IMPORT"&amp;"RANGE(""https://docs.google.com/spreadsheets/d/1kGrh75X1cNR1D7_FcY9zMnHP8iPO4M5RCRjy6nZY0TY/edit#gid=0"",""Table 1: Study characteristics!A4:A171""), $A1404=IMPORTRANGE(""https://docs.google.com/spreadsheets/d/1kGrh75X1cNR1D7_FcY9zMnHP8iPO4M5RCRjy6nZY0TY/"&amp;"edit#gid=0"",""Table 1: Study characteristics!B4:B171"")))&gt;0
),
""Include""
)"),"Exclude")</f>
        <v>Exclude</v>
      </c>
      <c r="G1404" s="5" t="str">
        <f>IFERROR(__xludf.DUMMYFUNCTION("IFS(
D1404=""Exclude"",
FILTER(IMPORTRANGE(""https://docs.google.com/spreadsheets/d/1BJSV3WBYJGRhQ6zExamkszQ5VutGIcaQqmbD9ZTVXMQ/edit#gid=1251630045"",""articles_with_PRISMA_reasons!AB2:AB2113""), $A1404=IMPORTRANGE(""https://docs.google.com/spreadsheets/"&amp;"d/1BJSV3WBYJGRhQ6zExamkszQ5VutGIcaQqmbD9ZTVXMQ/edit#gid=1251630045"",""articles_with_PRISMA_reasons!B2:B2113"")),
E1404=""Exclude"",
FILTER(IMPORTRANGE(""https://docs.google.com/spreadsheets/d/1qpEmbGH0JjaJbUdp21-y2cPbobDbMjr09BbtdKROZWc/edit#gid=14448656"&amp;"54"",""articles_with_PRISMA_reasons!Z2:Z2113""), $A1404=IMPORTRANGE(""https://docs.google.com/spreadsheets/d/1qpEmbGH0JjaJbUdp21-y2cPbobDbMjr09BbtdKROZWc/edit#gid=1444865654"",""articles_with_PRISMA_reasons!B2:B2113"")),F1404
=""Include"",FILTER(IMPORTRAN"&amp;"GE(""https://docs.google.com/spreadsheets/d/1kGrh75X1cNR1D7_FcY9zMnHP8iPO4M5RCRjy6nZY0TY/edit#gid=0"",""Table 1: Study characteristics!A4:A171""), $A1404=IMPORTRANGE(""https://docs.google.com/spreadsheets/d/1kGrh75X1cNR1D7_FcY9zMnHP8iPO4M5RCRjy6nZY0TY/edi"&amp;"t#gid=0"",""Table 1: Study characteristics!B4:B171""))
)"),"background article")</f>
        <v>background article</v>
      </c>
    </row>
    <row r="1405">
      <c r="A1405" s="4" t="str">
        <f>IFERROR(__xludf.DUMMYFUNCTION("""COMPUTED_VALUE"""),"Pathological and incidental findings on brain MRI in a single-center study of 229 consecutive girls with early or precocious puberty")</f>
        <v>Pathological and incidental findings on brain MRI in a single-center study of 229 consecutive girls with early or precocious puberty</v>
      </c>
      <c r="B1405" s="5" t="str">
        <f>IFERROR(__xludf.DUMMYFUNCTION("LEFT(FILTER(IMPORTRANGE(""https://docs.google.com/spreadsheets/d/1BJSV3WBYJGRhQ6zExamkszQ5VutGIcaQqmbD9ZTVXMQ/edit#gid=1251630045"",""articles_with_PRISMA_reasons!K2:K2113""), $A1405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$A1405=IMPORTRANGE(""https://docs.google.com/spreadsheets/d/1BJSV3WBYJGRhQ6zExamkszQ5VutGIcaQqmbD9ZTVXMQ/edit#gid=1251630045"",""articles_with_PRISMA_reasons!B2:B2113"")))-1)"),"Mogensen")</f>
        <v>Mogensen</v>
      </c>
      <c r="C1405" s="6">
        <f>IFERROR(__xludf.DUMMYFUNCTION("FILTER(IMPORTRANGE(""https://docs.google.com/spreadsheets/d/1BJSV3WBYJGRhQ6zExamkszQ5VutGIcaQqmbD9ZTVXMQ/edit#gid=1251630045"",""articles_with_PRISMA_reasons!C2:C2113""), $A1405=IMPORTRANGE(""https://docs.google.com/spreadsheets/d/1BJSV3WBYJGRhQ6zExamkszQ"&amp;"5VutGIcaQqmbD9ZTVXMQ/edit#gid=1251630045"",""articles_with_PRISMA_reasons!B2:B2113""))"),2012.0)</f>
        <v>2012</v>
      </c>
      <c r="D1405" s="5" t="str">
        <f>IFERROR(__xludf.DUMMYFUNCTION("IFS(AND(
FILTER(IMPORTRANGE(""https://docs.google.com/spreadsheets/d/1BJSV3WBYJGRhQ6zExamkszQ5VutGIcaQqmbD9ZTVXMQ/edit#gid=1251630045"",""articles_with_PRISMA_reasons!Y2:Y2113""), $A1405=IMPORTRANGE(""https://docs.google.com/spreadsheets/d/1BJSV3WBYJGRhQ6"&amp;"zExamkszQ5VutGIcaQqmbD9ZTVXMQ/edit#gid=1251630045"",""articles_with_PRISMA_reasons!B2:B2113""))&gt;=2,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$A1405=IMPORTRANGE(""https://docs.google"&amp;".com/spreadsheets/d/1BJSV3WBYJGRhQ6zExamkszQ5VutGIcaQqmbD9ZTVXMQ/edit#gid=1251630045"",""articles_with_PRISMA_reasons!B2:B2113""))&gt;=2),
""Exclude""
)"),"Exclude")</f>
        <v>Exclude</v>
      </c>
      <c r="E1405" s="5" t="str">
        <f>IFERROR(__xludf.DUMMYFUNCTION("IFS(
D1405=""Exclude"",""Exclude"",
AND(
FILTER(IMPORTRANGE(""https://docs.google.com/spreadsheets/d/1qpEmbGH0JjaJbUdp21-y2cPbobDbMjr09BbtdKROZWc/edit#gid=1444865654"",""articles_with_PRISMA_reasons!W2:W2113""), $A1405=IMPORTRANGE(""https://docs.google.co"&amp;"m/spreadsheets/d/1qpEmbGH0JjaJbUdp21-y2cPbobDbMjr09BbtdKROZWc/edit#gid=1444865654"",""articles_with_PRISMA_reasons!B2:B2113""))&gt;=2,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$A1405=I"&amp;"MPORTRANGE(""https://docs.google.com/spreadsheets/d/1qpEmbGH0JjaJbUdp21-y2cPbobDbMjr09BbtdKROZWc/edit#gid=1444865654"",""articles_with_PRISMA_reasons!B2:B2113""))&gt;=2),
""Exclude""
)"),"Exclude")</f>
        <v>Exclude</v>
      </c>
      <c r="F1405" s="5" t="str">
        <f>IFERROR(__xludf.DUMMYFUNCTION("IFS(
E1405=""Exclude"",""Exclude"",
AND(
COUNTIF(
IMPORTRANGE(""https://docs.google.com/spreadsheets/d/1kGrh75X1cNR1D7_FcY9zMnHP8iPO4M5RCRjy6nZY0TY/edit#gid=0"",""Table 1: Study characteristics!B4:B171""),A1405)&gt;0,
COUNTIF(Studies!$A$2:$A$85,FILTER(IMPORT"&amp;"RANGE(""https://docs.google.com/spreadsheets/d/1kGrh75X1cNR1D7_FcY9zMnHP8iPO4M5RCRjy6nZY0TY/edit#gid=0"",""Table 1: Study characteristics!A4:A171""), $A1405=IMPORTRANGE(""https://docs.google.com/spreadsheets/d/1kGrh75X1cNR1D7_FcY9zMnHP8iPO4M5RCRjy6nZY0TY/"&amp;"edit#gid=0"",""Table 1: Study characteristics!B4:B171"")))&gt;0
),
""Include""
)"),"Exclude")</f>
        <v>Exclude</v>
      </c>
      <c r="G1405" s="5" t="str">
        <f>IFERROR(__xludf.DUMMYFUNCTION("IFS(
D1405=""Exclude"",
FILTER(IMPORTRANGE(""https://docs.google.com/spreadsheets/d/1BJSV3WBYJGRhQ6zExamkszQ5VutGIcaQqmbD9ZTVXMQ/edit#gid=1251630045"",""articles_with_PRISMA_reasons!AB2:AB2113""), $A1405=IMPORTRANGE(""https://docs.google.com/spreadsheets/"&amp;"d/1BJSV3WBYJGRhQ6zExamkszQ5VutGIcaQqmbD9ZTVXMQ/edit#gid=1251630045"",""articles_with_PRISMA_reasons!B2:B2113"")),
E1405=""Exclude"",
FILTER(IMPORTRANGE(""https://docs.google.com/spreadsheets/d/1qpEmbGH0JjaJbUdp21-y2cPbobDbMjr09BbtdKROZWc/edit#gid=14448656"&amp;"54"",""articles_with_PRISMA_reasons!Z2:Z2113""), $A1405=IMPORTRANGE(""https://docs.google.com/spreadsheets/d/1qpEmbGH0JjaJbUdp21-y2cPbobDbMjr09BbtdKROZWc/edit#gid=1444865654"",""articles_with_PRISMA_reasons!B2:B2113"")),F1405
=""Include"",FILTER(IMPORTRAN"&amp;"GE(""https://docs.google.com/spreadsheets/d/1kGrh75X1cNR1D7_FcY9zMnHP8iPO4M5RCRjy6nZY0TY/edit#gid=0"",""Table 1: Study characteristics!A4:A171""), $A1405=IMPORTRANGE(""https://docs.google.com/spreadsheets/d/1kGrh75X1cNR1D7_FcY9zMnHP8iPO4M5RCRjy6nZY0TY/edi"&amp;"t#gid=0"",""Table 1: Study characteristics!B4:B171""))
)"),"wrong population")</f>
        <v>wrong population</v>
      </c>
    </row>
    <row r="1406">
      <c r="A1406" s="4" t="str">
        <f>IFERROR(__xludf.DUMMYFUNCTION("""COMPUTED_VALUE"""),"Pathophysiology of isolated lateral ventriculomegaly in shunted myelodysplastic children")</f>
        <v>Pathophysiology of isolated lateral ventriculomegaly in shunted myelodysplastic children</v>
      </c>
      <c r="B1406" s="5" t="str">
        <f>IFERROR(__xludf.DUMMYFUNCTION("LEFT(FILTER(IMPORTRANGE(""https://docs.google.com/spreadsheets/d/1BJSV3WBYJGRhQ6zExamkszQ5VutGIcaQqmbD9ZTVXMQ/edit#gid=1251630045"",""articles_with_PRISMA_reasons!K2:K2113""), $A1406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$A1406=IMPORTRANGE(""https://docs.google.com/spreadsheets/d/1BJSV3WBYJGRhQ6zExamkszQ5VutGIcaQqmbD9ZTVXMQ/edit#gid=1251630045"",""articles_with_PRISMA_reasons!B2:B2113"")))-1)"),"Berger")</f>
        <v>Berger</v>
      </c>
      <c r="C1406" s="6">
        <f>IFERROR(__xludf.DUMMYFUNCTION("FILTER(IMPORTRANGE(""https://docs.google.com/spreadsheets/d/1BJSV3WBYJGRhQ6zExamkszQ5VutGIcaQqmbD9ZTVXMQ/edit#gid=1251630045"",""articles_with_PRISMA_reasons!C2:C2113""), $A1406=IMPORTRANGE(""https://docs.google.com/spreadsheets/d/1BJSV3WBYJGRhQ6zExamkszQ"&amp;"5VutGIcaQqmbD9ZTVXMQ/edit#gid=1251630045"",""articles_with_PRISMA_reasons!B2:B2113""))"),1990.0)</f>
        <v>1990</v>
      </c>
      <c r="D1406" s="5" t="str">
        <f>IFERROR(__xludf.DUMMYFUNCTION("IFS(AND(
FILTER(IMPORTRANGE(""https://docs.google.com/spreadsheets/d/1BJSV3WBYJGRhQ6zExamkszQ5VutGIcaQqmbD9ZTVXMQ/edit#gid=1251630045"",""articles_with_PRISMA_reasons!Y2:Y2113""), $A1406=IMPORTRANGE(""https://docs.google.com/spreadsheets/d/1BJSV3WBYJGRhQ6"&amp;"zExamkszQ5VutGIcaQqmbD9ZTVXMQ/edit#gid=1251630045"",""articles_with_PRISMA_reasons!B2:B2113""))&gt;=2,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$A1406=IMPORTRANGE(""https://docs.google"&amp;".com/spreadsheets/d/1BJSV3WBYJGRhQ6zExamkszQ5VutGIcaQqmbD9ZTVXMQ/edit#gid=1251630045"",""articles_with_PRISMA_reasons!B2:B2113""))&gt;=2),
""Exclude""
)"),"Exclude")</f>
        <v>Exclude</v>
      </c>
      <c r="E1406" s="5" t="str">
        <f>IFERROR(__xludf.DUMMYFUNCTION("IFS(
D1406=""Exclude"",""Exclude"",
AND(
FILTER(IMPORTRANGE(""https://docs.google.com/spreadsheets/d/1qpEmbGH0JjaJbUdp21-y2cPbobDbMjr09BbtdKROZWc/edit#gid=1444865654"",""articles_with_PRISMA_reasons!W2:W2113""), $A1406=IMPORTRANGE(""https://docs.google.co"&amp;"m/spreadsheets/d/1qpEmbGH0JjaJbUdp21-y2cPbobDbMjr09BbtdKROZWc/edit#gid=1444865654"",""articles_with_PRISMA_reasons!B2:B2113""))&gt;=2,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$A1406=I"&amp;"MPORTRANGE(""https://docs.google.com/spreadsheets/d/1qpEmbGH0JjaJbUdp21-y2cPbobDbMjr09BbtdKROZWc/edit#gid=1444865654"",""articles_with_PRISMA_reasons!B2:B2113""))&gt;=2),
""Exclude""
)"),"Exclude")</f>
        <v>Exclude</v>
      </c>
      <c r="F1406" s="5" t="str">
        <f>IFERROR(__xludf.DUMMYFUNCTION("IFS(
E1406=""Exclude"",""Exclude"",
AND(
COUNTIF(
IMPORTRANGE(""https://docs.google.com/spreadsheets/d/1kGrh75X1cNR1D7_FcY9zMnHP8iPO4M5RCRjy6nZY0TY/edit#gid=0"",""Table 1: Study characteristics!B4:B171""),A1406)&gt;0,
COUNTIF(Studies!$A$2:$A$85,FILTER(IMPORT"&amp;"RANGE(""https://docs.google.com/spreadsheets/d/1kGrh75X1cNR1D7_FcY9zMnHP8iPO4M5RCRjy6nZY0TY/edit#gid=0"",""Table 1: Study characteristics!A4:A171""), $A1406=IMPORTRANGE(""https://docs.google.com/spreadsheets/d/1kGrh75X1cNR1D7_FcY9zMnHP8iPO4M5RCRjy6nZY0TY/"&amp;"edit#gid=0"",""Table 1: Study characteristics!B4:B171"")))&gt;0
),
""Include""
)"),"Exclude")</f>
        <v>Exclude</v>
      </c>
      <c r="G1406" s="5" t="str">
        <f>IFERROR(__xludf.DUMMYFUNCTION("IFS(
D1406=""Exclude"",
FILTER(IMPORTRANGE(""https://docs.google.com/spreadsheets/d/1BJSV3WBYJGRhQ6zExamkszQ5VutGIcaQqmbD9ZTVXMQ/edit#gid=1251630045"",""articles_with_PRISMA_reasons!AB2:AB2113""), $A1406=IMPORTRANGE(""https://docs.google.com/spreadsheets/"&amp;"d/1BJSV3WBYJGRhQ6zExamkszQ5VutGIcaQqmbD9ZTVXMQ/edit#gid=1251630045"",""articles_with_PRISMA_reasons!B2:B2113"")),
E1406=""Exclude"",
FILTER(IMPORTRANGE(""https://docs.google.com/spreadsheets/d/1qpEmbGH0JjaJbUdp21-y2cPbobDbMjr09BbtdKROZWc/edit#gid=14448656"&amp;"54"",""articles_with_PRISMA_reasons!Z2:Z2113""), $A1406=IMPORTRANGE(""https://docs.google.com/spreadsheets/d/1qpEmbGH0JjaJbUdp21-y2cPbobDbMjr09BbtdKROZWc/edit#gid=1444865654"",""articles_with_PRISMA_reasons!B2:B2113"")),F1406
=""Include"",FILTER(IMPORTRAN"&amp;"GE(""https://docs.google.com/spreadsheets/d/1kGrh75X1cNR1D7_FcY9zMnHP8iPO4M5RCRjy6nZY0TY/edit#gid=0"",""Table 1: Study characteristics!A4:A171""), $A1406=IMPORTRANGE(""https://docs.google.com/spreadsheets/d/1kGrh75X1cNR1D7_FcY9zMnHP8iPO4M5RCRjy6nZY0TY/edi"&amp;"t#gid=0"",""Table 1: Study characteristics!B4:B171""))
)"),"wrong population")</f>
        <v>wrong population</v>
      </c>
    </row>
    <row r="1407">
      <c r="A1407" s="4" t="str">
        <f>IFERROR(__xludf.DUMMYFUNCTION("""COMPUTED_VALUE"""),"Patient data system for monitoring shunts")</f>
        <v>Patient data system for monitoring shunts</v>
      </c>
      <c r="B1407" s="5" t="str">
        <f>IFERROR(__xludf.DUMMYFUNCTION("LEFT(FILTER(IMPORTRANGE(""https://docs.google.com/spreadsheets/d/1BJSV3WBYJGRhQ6zExamkszQ5VutGIcaQqmbD9ZTVXMQ/edit#gid=1251630045"",""articles_with_PRISMA_reasons!K2:K2113""), $A1407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$A1407=IMPORTRANGE(""https://docs.google.com/spreadsheets/d/1BJSV3WBYJGRhQ6zExamkszQ5VutGIcaQqmbD9ZTVXMQ/edit#gid=1251630045"",""articles_with_PRISMA_reasons!B2:B2113"")))-1)"),"Frank")</f>
        <v>Frank</v>
      </c>
      <c r="C1407" s="6">
        <f>IFERROR(__xludf.DUMMYFUNCTION("FILTER(IMPORTRANGE(""https://docs.google.com/spreadsheets/d/1BJSV3WBYJGRhQ6zExamkszQ5VutGIcaQqmbD9ZTVXMQ/edit#gid=1251630045"",""articles_with_PRISMA_reasons!C2:C2113""), $A1407=IMPORTRANGE(""https://docs.google.com/spreadsheets/d/1BJSV3WBYJGRhQ6zExamkszQ"&amp;"5VutGIcaQqmbD9ZTVXMQ/edit#gid=1251630045"",""articles_with_PRISMA_reasons!B2:B2113""))"),1988.0)</f>
        <v>1988</v>
      </c>
      <c r="D1407" s="5" t="str">
        <f>IFERROR(__xludf.DUMMYFUNCTION("IFS(AND(
FILTER(IMPORTRANGE(""https://docs.google.com/spreadsheets/d/1BJSV3WBYJGRhQ6zExamkszQ5VutGIcaQqmbD9ZTVXMQ/edit#gid=1251630045"",""articles_with_PRISMA_reasons!Y2:Y2113""), $A1407=IMPORTRANGE(""https://docs.google.com/spreadsheets/d/1BJSV3WBYJGRhQ6"&amp;"zExamkszQ5VutGIcaQqmbD9ZTVXMQ/edit#gid=1251630045"",""articles_with_PRISMA_reasons!B2:B2113""))&gt;=2,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$A1407=IMPORTRANGE(""https://docs.google"&amp;".com/spreadsheets/d/1BJSV3WBYJGRhQ6zExamkszQ5VutGIcaQqmbD9ZTVXMQ/edit#gid=1251630045"",""articles_with_PRISMA_reasons!B2:B2113""))&gt;=2),
""Exclude""
)"),"Exclude")</f>
        <v>Exclude</v>
      </c>
      <c r="E1407" s="5" t="str">
        <f>IFERROR(__xludf.DUMMYFUNCTION("IFS(
D1407=""Exclude"",""Exclude"",
AND(
FILTER(IMPORTRANGE(""https://docs.google.com/spreadsheets/d/1qpEmbGH0JjaJbUdp21-y2cPbobDbMjr09BbtdKROZWc/edit#gid=1444865654"",""articles_with_PRISMA_reasons!W2:W2113""), $A1407=IMPORTRANGE(""https://docs.google.co"&amp;"m/spreadsheets/d/1qpEmbGH0JjaJbUdp21-y2cPbobDbMjr09BbtdKROZWc/edit#gid=1444865654"",""articles_with_PRISMA_reasons!B2:B2113""))&gt;=2,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$A1407=I"&amp;"MPORTRANGE(""https://docs.google.com/spreadsheets/d/1qpEmbGH0JjaJbUdp21-y2cPbobDbMjr09BbtdKROZWc/edit#gid=1444865654"",""articles_with_PRISMA_reasons!B2:B2113""))&gt;=2),
""Exclude""
)"),"Exclude")</f>
        <v>Exclude</v>
      </c>
      <c r="F1407" s="5" t="str">
        <f>IFERROR(__xludf.DUMMYFUNCTION("IFS(
E1407=""Exclude"",""Exclude"",
AND(
COUNTIF(
IMPORTRANGE(""https://docs.google.com/spreadsheets/d/1kGrh75X1cNR1D7_FcY9zMnHP8iPO4M5RCRjy6nZY0TY/edit#gid=0"",""Table 1: Study characteristics!B4:B171""),A1407)&gt;0,
COUNTIF(Studies!$A$2:$A$85,FILTER(IMPORT"&amp;"RANGE(""https://docs.google.com/spreadsheets/d/1kGrh75X1cNR1D7_FcY9zMnHP8iPO4M5RCRjy6nZY0TY/edit#gid=0"",""Table 1: Study characteristics!A4:A171""), $A1407=IMPORTRANGE(""https://docs.google.com/spreadsheets/d/1kGrh75X1cNR1D7_FcY9zMnHP8iPO4M5RCRjy6nZY0TY/"&amp;"edit#gid=0"",""Table 1: Study characteristics!B4:B171"")))&gt;0
),
""Include""
)"),"Exclude")</f>
        <v>Exclude</v>
      </c>
      <c r="G1407" s="5" t="str">
        <f>IFERROR(__xludf.DUMMYFUNCTION("IFS(
D1407=""Exclude"",
FILTER(IMPORTRANGE(""https://docs.google.com/spreadsheets/d/1BJSV3WBYJGRhQ6zExamkszQ5VutGIcaQqmbD9ZTVXMQ/edit#gid=1251630045"",""articles_with_PRISMA_reasons!AB2:AB2113""), $A1407=IMPORTRANGE(""https://docs.google.com/spreadsheets/"&amp;"d/1BJSV3WBYJGRhQ6zExamkszQ5VutGIcaQqmbD9ZTVXMQ/edit#gid=1251630045"",""articles_with_PRISMA_reasons!B2:B2113"")),
E1407=""Exclude"",
FILTER(IMPORTRANGE(""https://docs.google.com/spreadsheets/d/1qpEmbGH0JjaJbUdp21-y2cPbobDbMjr09BbtdKROZWc/edit#gid=14448656"&amp;"54"",""articles_with_PRISMA_reasons!Z2:Z2113""), $A1407=IMPORTRANGE(""https://docs.google.com/spreadsheets/d/1qpEmbGH0JjaJbUdp21-y2cPbobDbMjr09BbtdKROZWc/edit#gid=1444865654"",""articles_with_PRISMA_reasons!B2:B2113"")),F1407
=""Include"",FILTER(IMPORTRAN"&amp;"GE(""https://docs.google.com/spreadsheets/d/1kGrh75X1cNR1D7_FcY9zMnHP8iPO4M5RCRjy6nZY0TY/edit#gid=0"",""Table 1: Study characteristics!A4:A171""), $A1407=IMPORTRANGE(""https://docs.google.com/spreadsheets/d/1kGrh75X1cNR1D7_FcY9zMnHP8iPO4M5RCRjy6nZY0TY/edi"&amp;"t#gid=0"",""Table 1: Study characteristics!B4:B171""))
)"),"wrong study design")</f>
        <v>wrong study design</v>
      </c>
    </row>
    <row r="1408">
      <c r="A1408" s="4" t="str">
        <f>IFERROR(__xludf.DUMMYFUNCTION("""COMPUTED_VALUE"""),"Pattern and factors affecting management outcome of spina bifida cystica in Ile-Ife, Nigeria")</f>
        <v>Pattern and factors affecting management outcome of spina bifida cystica in Ile-Ife, Nigeria</v>
      </c>
      <c r="B1408" s="5" t="str">
        <f>IFERROR(__xludf.DUMMYFUNCTION("LEFT(FILTER(IMPORTRANGE(""https://docs.google.com/spreadsheets/d/1BJSV3WBYJGRhQ6zExamkszQ5VutGIcaQqmbD9ZTVXMQ/edit#gid=1251630045"",""articles_with_PRISMA_reasons!K2:K2113""), $A1408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$A1408=IMPORTRANGE(""https://docs.google.com/spreadsheets/d/1BJSV3WBYJGRhQ6zExamkszQ5VutGIcaQqmbD9ZTVXMQ/edit#gid=1251630045"",""articles_with_PRISMA_reasons!B2:B2113"")))-1)"),"Alatise")</f>
        <v>Alatise</v>
      </c>
      <c r="C1408" s="6">
        <f>IFERROR(__xludf.DUMMYFUNCTION("FILTER(IMPORTRANGE(""https://docs.google.com/spreadsheets/d/1BJSV3WBYJGRhQ6zExamkszQ5VutGIcaQqmbD9ZTVXMQ/edit#gid=1251630045"",""articles_with_PRISMA_reasons!C2:C2113""), $A1408=IMPORTRANGE(""https://docs.google.com/spreadsheets/d/1BJSV3WBYJGRhQ6zExamkszQ"&amp;"5VutGIcaQqmbD9ZTVXMQ/edit#gid=1251630045"",""articles_with_PRISMA_reasons!B2:B2113""))"),2006.0)</f>
        <v>2006</v>
      </c>
      <c r="D1408" s="5" t="str">
        <f>IFERROR(__xludf.DUMMYFUNCTION("IFS(AND(
FILTER(IMPORTRANGE(""https://docs.google.com/spreadsheets/d/1BJSV3WBYJGRhQ6zExamkszQ5VutGIcaQqmbD9ZTVXMQ/edit#gid=1251630045"",""articles_with_PRISMA_reasons!Y2:Y2113""), $A1408=IMPORTRANGE(""https://docs.google.com/spreadsheets/d/1BJSV3WBYJGRhQ6"&amp;"zExamkszQ5VutGIcaQqmbD9ZTVXMQ/edit#gid=1251630045"",""articles_with_PRISMA_reasons!B2:B2113""))&gt;=2,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$A1408=IMPORTRANGE(""https://docs.google"&amp;".com/spreadsheets/d/1BJSV3WBYJGRhQ6zExamkszQ5VutGIcaQqmbD9ZTVXMQ/edit#gid=1251630045"",""articles_with_PRISMA_reasons!B2:B2113""))&gt;=2),
""Exclude""
)"),"Include")</f>
        <v>Include</v>
      </c>
      <c r="E1408" s="5" t="str">
        <f>IFERROR(__xludf.DUMMYFUNCTION("IFS(
D1408=""Exclude"",""Exclude"",
AND(
FILTER(IMPORTRANGE(""https://docs.google.com/spreadsheets/d/1qpEmbGH0JjaJbUdp21-y2cPbobDbMjr09BbtdKROZWc/edit#gid=1444865654"",""articles_with_PRISMA_reasons!W2:W2113""), $A1408=IMPORTRANGE(""https://docs.google.co"&amp;"m/spreadsheets/d/1qpEmbGH0JjaJbUdp21-y2cPbobDbMjr09BbtdKROZWc/edit#gid=1444865654"",""articles_with_PRISMA_reasons!B2:B2113""))&gt;=2,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$A1408=I"&amp;"MPORTRANGE(""https://docs.google.com/spreadsheets/d/1qpEmbGH0JjaJbUdp21-y2cPbobDbMjr09BbtdKROZWc/edit#gid=1444865654"",""articles_with_PRISMA_reasons!B2:B2113""))&gt;=2),
""Exclude""
)"),"Include")</f>
        <v>Include</v>
      </c>
      <c r="F1408" s="2" t="s">
        <v>8</v>
      </c>
      <c r="G1408" s="2" t="s">
        <v>17</v>
      </c>
    </row>
    <row r="1409">
      <c r="A1409" s="4" t="str">
        <f>IFERROR(__xludf.DUMMYFUNCTION("""COMPUTED_VALUE"""),"Pattern and outcome of admissions to neonatal unit of tertiary care hospital Nawabshah")</f>
        <v>Pattern and outcome of admissions to neonatal unit of tertiary care hospital Nawabshah</v>
      </c>
      <c r="B1409" s="5" t="str">
        <f>IFERROR(__xludf.DUMMYFUNCTION("LEFT(FILTER(IMPORTRANGE(""https://docs.google.com/spreadsheets/d/1BJSV3WBYJGRhQ6zExamkszQ5VutGIcaQqmbD9ZTVXMQ/edit#gid=1251630045"",""articles_with_PRISMA_reasons!K2:K2113""), $A1409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$A1409=IMPORTRANGE(""https://docs.google.com/spreadsheets/d/1BJSV3WBYJGRhQ6zExamkszQ5VutGIcaQqmbD9ZTVXMQ/edit#gid=1251630045"",""articles_with_PRISMA_reasons!B2:B2113"")))-1)"),"Ali Akbar")</f>
        <v>Ali Akbar</v>
      </c>
      <c r="C1409" s="6">
        <f>IFERROR(__xludf.DUMMYFUNCTION("FILTER(IMPORTRANGE(""https://docs.google.com/spreadsheets/d/1BJSV3WBYJGRhQ6zExamkszQ5VutGIcaQqmbD9ZTVXMQ/edit#gid=1251630045"",""articles_with_PRISMA_reasons!C2:C2113""), $A1409=IMPORTRANGE(""https://docs.google.com/spreadsheets/d/1BJSV3WBYJGRhQ6zExamkszQ"&amp;"5VutGIcaQqmbD9ZTVXMQ/edit#gid=1251630045"",""articles_with_PRISMA_reasons!B2:B2113""))"),2012.0)</f>
        <v>2012</v>
      </c>
      <c r="D1409" s="5" t="str">
        <f>IFERROR(__xludf.DUMMYFUNCTION("IFS(AND(
FILTER(IMPORTRANGE(""https://docs.google.com/spreadsheets/d/1BJSV3WBYJGRhQ6zExamkszQ5VutGIcaQqmbD9ZTVXMQ/edit#gid=1251630045"",""articles_with_PRISMA_reasons!Y2:Y2113""), $A1409=IMPORTRANGE(""https://docs.google.com/spreadsheets/d/1BJSV3WBYJGRhQ6"&amp;"zExamkszQ5VutGIcaQqmbD9ZTVXMQ/edit#gid=1251630045"",""articles_with_PRISMA_reasons!B2:B2113""))&gt;=2,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$A1409=IMPORTRANGE(""https://docs.google"&amp;".com/spreadsheets/d/1BJSV3WBYJGRhQ6zExamkszQ5VutGIcaQqmbD9ZTVXMQ/edit#gid=1251630045"",""articles_with_PRISMA_reasons!B2:B2113""))&gt;=2),
""Exclude""
)"),"Exclude")</f>
        <v>Exclude</v>
      </c>
      <c r="E1409" s="5" t="str">
        <f>IFERROR(__xludf.DUMMYFUNCTION("IFS(
D1409=""Exclude"",""Exclude"",
AND(
FILTER(IMPORTRANGE(""https://docs.google.com/spreadsheets/d/1qpEmbGH0JjaJbUdp21-y2cPbobDbMjr09BbtdKROZWc/edit#gid=1444865654"",""articles_with_PRISMA_reasons!W2:W2113""), $A1409=IMPORTRANGE(""https://docs.google.co"&amp;"m/spreadsheets/d/1qpEmbGH0JjaJbUdp21-y2cPbobDbMjr09BbtdKROZWc/edit#gid=1444865654"",""articles_with_PRISMA_reasons!B2:B2113""))&gt;=2,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$A1409=I"&amp;"MPORTRANGE(""https://docs.google.com/spreadsheets/d/1qpEmbGH0JjaJbUdp21-y2cPbobDbMjr09BbtdKROZWc/edit#gid=1444865654"",""articles_with_PRISMA_reasons!B2:B2113""))&gt;=2),
""Exclude""
)"),"Exclude")</f>
        <v>Exclude</v>
      </c>
      <c r="F1409" s="5" t="str">
        <f>IFERROR(__xludf.DUMMYFUNCTION("IFS(
E1409=""Exclude"",""Exclude"",
AND(
COUNTIF(
IMPORTRANGE(""https://docs.google.com/spreadsheets/d/1kGrh75X1cNR1D7_FcY9zMnHP8iPO4M5RCRjy6nZY0TY/edit#gid=0"",""Table 1: Study characteristics!B4:B171""),A1409)&gt;0,
COUNTIF(Studies!$A$2:$A$85,FILTER(IMPORT"&amp;"RANGE(""https://docs.google.com/spreadsheets/d/1kGrh75X1cNR1D7_FcY9zMnHP8iPO4M5RCRjy6nZY0TY/edit#gid=0"",""Table 1: Study characteristics!A4:A171""), $A1409=IMPORTRANGE(""https://docs.google.com/spreadsheets/d/1kGrh75X1cNR1D7_FcY9zMnHP8iPO4M5RCRjy6nZY0TY/"&amp;"edit#gid=0"",""Table 1: Study characteristics!B4:B171"")))&gt;0
),
""Include""
)"),"Exclude")</f>
        <v>Exclude</v>
      </c>
      <c r="G1409" s="5" t="str">
        <f>IFERROR(__xludf.DUMMYFUNCTION("IFS(
D1409=""Exclude"",
FILTER(IMPORTRANGE(""https://docs.google.com/spreadsheets/d/1BJSV3WBYJGRhQ6zExamkszQ5VutGIcaQqmbD9ZTVXMQ/edit#gid=1251630045"",""articles_with_PRISMA_reasons!AB2:AB2113""), $A1409=IMPORTRANGE(""https://docs.google.com/spreadsheets/"&amp;"d/1BJSV3WBYJGRhQ6zExamkszQ5VutGIcaQqmbD9ZTVXMQ/edit#gid=1251630045"",""articles_with_PRISMA_reasons!B2:B2113"")),
E1409=""Exclude"",
FILTER(IMPORTRANGE(""https://docs.google.com/spreadsheets/d/1qpEmbGH0JjaJbUdp21-y2cPbobDbMjr09BbtdKROZWc/edit#gid=14448656"&amp;"54"",""articles_with_PRISMA_reasons!Z2:Z2113""), $A1409=IMPORTRANGE(""https://docs.google.com/spreadsheets/d/1qpEmbGH0JjaJbUdp21-y2cPbobDbMjr09BbtdKROZWc/edit#gid=1444865654"",""articles_with_PRISMA_reasons!B2:B2113"")),F1409
=""Include"",FILTER(IMPORTRAN"&amp;"GE(""https://docs.google.com/spreadsheets/d/1kGrh75X1cNR1D7_FcY9zMnHP8iPO4M5RCRjy6nZY0TY/edit#gid=0"",""Table 1: Study characteristics!A4:A171""), $A1409=IMPORTRANGE(""https://docs.google.com/spreadsheets/d/1kGrh75X1cNR1D7_FcY9zMnHP8iPO4M5RCRjy6nZY0TY/edi"&amp;"t#gid=0"",""Table 1: Study characteristics!B4:B171""))
)"),"wrong intervention")</f>
        <v>wrong intervention</v>
      </c>
    </row>
    <row r="1410">
      <c r="A1410" s="4" t="str">
        <f>IFERROR(__xludf.DUMMYFUNCTION("""COMPUTED_VALUE"""),"Pattern of congenital anomalies in newborn: A hospital based prospective study")</f>
        <v>Pattern of congenital anomalies in newborn: A hospital based prospective study</v>
      </c>
      <c r="B1410" s="5" t="str">
        <f>IFERROR(__xludf.DUMMYFUNCTION("LEFT(FILTER(IMPORTRANGE(""https://docs.google.com/spreadsheets/d/1BJSV3WBYJGRhQ6zExamkszQ5VutGIcaQqmbD9ZTVXMQ/edit#gid=1251630045"",""articles_with_PRISMA_reasons!K2:K2113""), $A1410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$A1410=IMPORTRANGE(""https://docs.google.com/spreadsheets/d/1BJSV3WBYJGRhQ6zExamkszQ5VutGIcaQqmbD9ZTVXMQ/edit#gid=1251630045"",""articles_with_PRISMA_reasons!B2:B2113"")))-1)"),"Singh")</f>
        <v>Singh</v>
      </c>
      <c r="C1410" s="6">
        <f>IFERROR(__xludf.DUMMYFUNCTION("FILTER(IMPORTRANGE(""https://docs.google.com/spreadsheets/d/1BJSV3WBYJGRhQ6zExamkszQ5VutGIcaQqmbD9ZTVXMQ/edit#gid=1251630045"",""articles_with_PRISMA_reasons!C2:C2113""), $A1410=IMPORTRANGE(""https://docs.google.com/spreadsheets/d/1BJSV3WBYJGRhQ6zExamkszQ"&amp;"5VutGIcaQqmbD9ZTVXMQ/edit#gid=1251630045"",""articles_with_PRISMA_reasons!B2:B2113""))"),2009.0)</f>
        <v>2009</v>
      </c>
      <c r="D1410" s="5" t="str">
        <f>IFERROR(__xludf.DUMMYFUNCTION("IFS(AND(
FILTER(IMPORTRANGE(""https://docs.google.com/spreadsheets/d/1BJSV3WBYJGRhQ6zExamkszQ5VutGIcaQqmbD9ZTVXMQ/edit#gid=1251630045"",""articles_with_PRISMA_reasons!Y2:Y2113""), $A1410=IMPORTRANGE(""https://docs.google.com/spreadsheets/d/1BJSV3WBYJGRhQ6"&amp;"zExamkszQ5VutGIcaQqmbD9ZTVXMQ/edit#gid=1251630045"",""articles_with_PRISMA_reasons!B2:B2113""))&gt;=2,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$A1410=IMPORTRANGE(""https://docs.google"&amp;".com/spreadsheets/d/1BJSV3WBYJGRhQ6zExamkszQ5VutGIcaQqmbD9ZTVXMQ/edit#gid=1251630045"",""articles_with_PRISMA_reasons!B2:B2113""))&gt;=2),
""Exclude""
)"),"Exclude")</f>
        <v>Exclude</v>
      </c>
      <c r="E1410" s="5" t="str">
        <f>IFERROR(__xludf.DUMMYFUNCTION("IFS(
D1410=""Exclude"",""Exclude"",
AND(
FILTER(IMPORTRANGE(""https://docs.google.com/spreadsheets/d/1qpEmbGH0JjaJbUdp21-y2cPbobDbMjr09BbtdKROZWc/edit#gid=1444865654"",""articles_with_PRISMA_reasons!W2:W2113""), $A1410=IMPORTRANGE(""https://docs.google.co"&amp;"m/spreadsheets/d/1qpEmbGH0JjaJbUdp21-y2cPbobDbMjr09BbtdKROZWc/edit#gid=1444865654"",""articles_with_PRISMA_reasons!B2:B2113""))&gt;=2,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$A1410=I"&amp;"MPORTRANGE(""https://docs.google.com/spreadsheets/d/1qpEmbGH0JjaJbUdp21-y2cPbobDbMjr09BbtdKROZWc/edit#gid=1444865654"",""articles_with_PRISMA_reasons!B2:B2113""))&gt;=2),
""Exclude""
)"),"Exclude")</f>
        <v>Exclude</v>
      </c>
      <c r="F1410" s="5" t="str">
        <f>IFERROR(__xludf.DUMMYFUNCTION("IFS(
E1410=""Exclude"",""Exclude"",
AND(
COUNTIF(
IMPORTRANGE(""https://docs.google.com/spreadsheets/d/1kGrh75X1cNR1D7_FcY9zMnHP8iPO4M5RCRjy6nZY0TY/edit#gid=0"",""Table 1: Study characteristics!B4:B171""),A1410)&gt;0,
COUNTIF(Studies!$A$2:$A$85,FILTER(IMPORT"&amp;"RANGE(""https://docs.google.com/spreadsheets/d/1kGrh75X1cNR1D7_FcY9zMnHP8iPO4M5RCRjy6nZY0TY/edit#gid=0"",""Table 1: Study characteristics!A4:A171""), $A1410=IMPORTRANGE(""https://docs.google.com/spreadsheets/d/1kGrh75X1cNR1D7_FcY9zMnHP8iPO4M5RCRjy6nZY0TY/"&amp;"edit#gid=0"",""Table 1: Study characteristics!B4:B171"")))&gt;0
),
""Include""
)"),"Exclude")</f>
        <v>Exclude</v>
      </c>
      <c r="G1410" s="5" t="str">
        <f>IFERROR(__xludf.DUMMYFUNCTION("IFS(
D1410=""Exclude"",
FILTER(IMPORTRANGE(""https://docs.google.com/spreadsheets/d/1BJSV3WBYJGRhQ6zExamkszQ5VutGIcaQqmbD9ZTVXMQ/edit#gid=1251630045"",""articles_with_PRISMA_reasons!AB2:AB2113""), $A1410=IMPORTRANGE(""https://docs.google.com/spreadsheets/"&amp;"d/1BJSV3WBYJGRhQ6zExamkszQ5VutGIcaQqmbD9ZTVXMQ/edit#gid=1251630045"",""articles_with_PRISMA_reasons!B2:B2113"")),
E1410=""Exclude"",
FILTER(IMPORTRANGE(""https://docs.google.com/spreadsheets/d/1qpEmbGH0JjaJbUdp21-y2cPbobDbMjr09BbtdKROZWc/edit#gid=14448656"&amp;"54"",""articles_with_PRISMA_reasons!Z2:Z2113""), $A1410=IMPORTRANGE(""https://docs.google.com/spreadsheets/d/1qpEmbGH0JjaJbUdp21-y2cPbobDbMjr09BbtdKROZWc/edit#gid=1444865654"",""articles_with_PRISMA_reasons!B2:B2113"")),F1410
=""Include"",FILTER(IMPORTRAN"&amp;"GE(""https://docs.google.com/spreadsheets/d/1kGrh75X1cNR1D7_FcY9zMnHP8iPO4M5RCRjy6nZY0TY/edit#gid=0"",""Table 1: Study characteristics!A4:A171""), $A1410=IMPORTRANGE(""https://docs.google.com/spreadsheets/d/1kGrh75X1cNR1D7_FcY9zMnHP8iPO4M5RCRjy6nZY0TY/edi"&amp;"t#gid=0"",""Table 1: Study characteristics!B4:B171""))
)"),"background article")</f>
        <v>background article</v>
      </c>
    </row>
    <row r="1411">
      <c r="A1411" s="4" t="str">
        <f>IFERROR(__xludf.DUMMYFUNCTION("""COMPUTED_VALUE"""),"Pattern of congenital malformations and their neonatal outcome at Sheikh Zayed Medical College/Hospital Rahim Yar Khan")</f>
        <v>Pattern of congenital malformations and their neonatal outcome at Sheikh Zayed Medical College/Hospital Rahim Yar Khan</v>
      </c>
      <c r="B1411" s="5" t="str">
        <f>IFERROR(__xludf.DUMMYFUNCTION("LEFT(FILTER(IMPORTRANGE(""https://docs.google.com/spreadsheets/d/1BJSV3WBYJGRhQ6zExamkszQ5VutGIcaQqmbD9ZTVXMQ/edit#gid=1251630045"",""articles_with_PRISMA_reasons!K2:K2113""), $A1411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$A1411=IMPORTRANGE(""https://docs.google.com/spreadsheets/d/1BJSV3WBYJGRhQ6zExamkszQ5VutGIcaQqmbD9ZTVXMQ/edit#gid=1251630045"",""articles_with_PRISMA_reasons!B2:B2113"")))-1)"),"Rafi")</f>
        <v>Rafi</v>
      </c>
      <c r="C1411" s="6">
        <f>IFERROR(__xludf.DUMMYFUNCTION("FILTER(IMPORTRANGE(""https://docs.google.com/spreadsheets/d/1BJSV3WBYJGRhQ6zExamkszQ5VutGIcaQqmbD9ZTVXMQ/edit#gid=1251630045"",""articles_with_PRISMA_reasons!C2:C2113""), $A1411=IMPORTRANGE(""https://docs.google.com/spreadsheets/d/1BJSV3WBYJGRhQ6zExamkszQ"&amp;"5VutGIcaQqmbD9ZTVXMQ/edit#gid=1251630045"",""articles_with_PRISMA_reasons!B2:B2113""))"),2011.0)</f>
        <v>2011</v>
      </c>
      <c r="D1411" s="5" t="str">
        <f>IFERROR(__xludf.DUMMYFUNCTION("IFS(AND(
FILTER(IMPORTRANGE(""https://docs.google.com/spreadsheets/d/1BJSV3WBYJGRhQ6zExamkszQ5VutGIcaQqmbD9ZTVXMQ/edit#gid=1251630045"",""articles_with_PRISMA_reasons!Y2:Y2113""), $A1411=IMPORTRANGE(""https://docs.google.com/spreadsheets/d/1BJSV3WBYJGRhQ6"&amp;"zExamkszQ5VutGIcaQqmbD9ZTVXMQ/edit#gid=1251630045"",""articles_with_PRISMA_reasons!B2:B2113""))&gt;=2,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$A1411=IMPORTRANGE(""https://docs.google"&amp;".com/spreadsheets/d/1BJSV3WBYJGRhQ6zExamkszQ5VutGIcaQqmbD9ZTVXMQ/edit#gid=1251630045"",""articles_with_PRISMA_reasons!B2:B2113""))&gt;=2),
""Exclude""
)"),"Exclude")</f>
        <v>Exclude</v>
      </c>
      <c r="E1411" s="5" t="str">
        <f>IFERROR(__xludf.DUMMYFUNCTION("IFS(
D1411=""Exclude"",""Exclude"",
AND(
FILTER(IMPORTRANGE(""https://docs.google.com/spreadsheets/d/1qpEmbGH0JjaJbUdp21-y2cPbobDbMjr09BbtdKROZWc/edit#gid=1444865654"",""articles_with_PRISMA_reasons!W2:W2113""), $A1411=IMPORTRANGE(""https://docs.google.co"&amp;"m/spreadsheets/d/1qpEmbGH0JjaJbUdp21-y2cPbobDbMjr09BbtdKROZWc/edit#gid=1444865654"",""articles_with_PRISMA_reasons!B2:B2113""))&gt;=2,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$A1411=I"&amp;"MPORTRANGE(""https://docs.google.com/spreadsheets/d/1qpEmbGH0JjaJbUdp21-y2cPbobDbMjr09BbtdKROZWc/edit#gid=1444865654"",""articles_with_PRISMA_reasons!B2:B2113""))&gt;=2),
""Exclude""
)"),"Exclude")</f>
        <v>Exclude</v>
      </c>
      <c r="F1411" s="5" t="str">
        <f>IFERROR(__xludf.DUMMYFUNCTION("IFS(
E1411=""Exclude"",""Exclude"",
AND(
COUNTIF(
IMPORTRANGE(""https://docs.google.com/spreadsheets/d/1kGrh75X1cNR1D7_FcY9zMnHP8iPO4M5RCRjy6nZY0TY/edit#gid=0"",""Table 1: Study characteristics!B4:B171""),A1411)&gt;0,
COUNTIF(Studies!$A$2:$A$85,FILTER(IMPORT"&amp;"RANGE(""https://docs.google.com/spreadsheets/d/1kGrh75X1cNR1D7_FcY9zMnHP8iPO4M5RCRjy6nZY0TY/edit#gid=0"",""Table 1: Study characteristics!A4:A171""), $A1411=IMPORTRANGE(""https://docs.google.com/spreadsheets/d/1kGrh75X1cNR1D7_FcY9zMnHP8iPO4M5RCRjy6nZY0TY/"&amp;"edit#gid=0"",""Table 1: Study characteristics!B4:B171"")))&gt;0
),
""Include""
)"),"Exclude")</f>
        <v>Exclude</v>
      </c>
      <c r="G1411" s="5" t="str">
        <f>IFERROR(__xludf.DUMMYFUNCTION("IFS(
D1411=""Exclude"",
FILTER(IMPORTRANGE(""https://docs.google.com/spreadsheets/d/1BJSV3WBYJGRhQ6zExamkszQ5VutGIcaQqmbD9ZTVXMQ/edit#gid=1251630045"",""articles_with_PRISMA_reasons!AB2:AB2113""), $A1411=IMPORTRANGE(""https://docs.google.com/spreadsheets/"&amp;"d/1BJSV3WBYJGRhQ6zExamkszQ5VutGIcaQqmbD9ZTVXMQ/edit#gid=1251630045"",""articles_with_PRISMA_reasons!B2:B2113"")),
E1411=""Exclude"",
FILTER(IMPORTRANGE(""https://docs.google.com/spreadsheets/d/1qpEmbGH0JjaJbUdp21-y2cPbobDbMjr09BbtdKROZWc/edit#gid=14448656"&amp;"54"",""articles_with_PRISMA_reasons!Z2:Z2113""), $A1411=IMPORTRANGE(""https://docs.google.com/spreadsheets/d/1qpEmbGH0JjaJbUdp21-y2cPbobDbMjr09BbtdKROZWc/edit#gid=1444865654"",""articles_with_PRISMA_reasons!B2:B2113"")),F1411
=""Include"",FILTER(IMPORTRAN"&amp;"GE(""https://docs.google.com/spreadsheets/d/1kGrh75X1cNR1D7_FcY9zMnHP8iPO4M5RCRjy6nZY0TY/edit#gid=0"",""Table 1: Study characteristics!A4:A171""), $A1411=IMPORTRANGE(""https://docs.google.com/spreadsheets/d/1kGrh75X1cNR1D7_FcY9zMnHP8iPO4M5RCRjy6nZY0TY/edi"&amp;"t#gid=0"",""Table 1: Study characteristics!B4:B171""))
)"),"background article")</f>
        <v>background article</v>
      </c>
    </row>
    <row r="1412">
      <c r="A1412" s="4" t="str">
        <f>IFERROR(__xludf.DUMMYFUNCTION("""COMPUTED_VALUE"""),"Pattern of paediatric neurological disorders in Port Harcourt, Nigeria")</f>
        <v>Pattern of paediatric neurological disorders in Port Harcourt, Nigeria</v>
      </c>
      <c r="B1412" s="5" t="str">
        <f>IFERROR(__xludf.DUMMYFUNCTION("LEFT(FILTER(IMPORTRANGE(""https://docs.google.com/spreadsheets/d/1BJSV3WBYJGRhQ6zExamkszQ5VutGIcaQqmbD9ZTVXMQ/edit#gid=1251630045"",""articles_with_PRISMA_reasons!K2:K2113""), $A1412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$A1412=IMPORTRANGE(""https://docs.google.com/spreadsheets/d/1BJSV3WBYJGRhQ6zExamkszQ5VutGIcaQqmbD9ZTVXMQ/edit#gid=1251630045"",""articles_with_PRISMA_reasons!B2:B2113"")))-1)"),"Frank-Briggs")</f>
        <v>Frank-Briggs</v>
      </c>
      <c r="C1412" s="6">
        <f>IFERROR(__xludf.DUMMYFUNCTION("FILTER(IMPORTRANGE(""https://docs.google.com/spreadsheets/d/1BJSV3WBYJGRhQ6zExamkszQ5VutGIcaQqmbD9ZTVXMQ/edit#gid=1251630045"",""articles_with_PRISMA_reasons!C2:C2113""), $A1412=IMPORTRANGE(""https://docs.google.com/spreadsheets/d/1BJSV3WBYJGRhQ6zExamkszQ"&amp;"5VutGIcaQqmbD9ZTVXMQ/edit#gid=1251630045"",""articles_with_PRISMA_reasons!B2:B2113""))"),2011.0)</f>
        <v>2011</v>
      </c>
      <c r="D1412" s="5" t="str">
        <f>IFERROR(__xludf.DUMMYFUNCTION("IFS(AND(
FILTER(IMPORTRANGE(""https://docs.google.com/spreadsheets/d/1BJSV3WBYJGRhQ6zExamkszQ5VutGIcaQqmbD9ZTVXMQ/edit#gid=1251630045"",""articles_with_PRISMA_reasons!Y2:Y2113""), $A1412=IMPORTRANGE(""https://docs.google.com/spreadsheets/d/1BJSV3WBYJGRhQ6"&amp;"zExamkszQ5VutGIcaQqmbD9ZTVXMQ/edit#gid=1251630045"",""articles_with_PRISMA_reasons!B2:B2113""))&gt;=2,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$A1412=IMPORTRANGE(""https://docs.google"&amp;".com/spreadsheets/d/1BJSV3WBYJGRhQ6zExamkszQ5VutGIcaQqmbD9ZTVXMQ/edit#gid=1251630045"",""articles_with_PRISMA_reasons!B2:B2113""))&gt;=2),
""Exclude""
)"),"Exclude")</f>
        <v>Exclude</v>
      </c>
      <c r="E1412" s="5" t="str">
        <f>IFERROR(__xludf.DUMMYFUNCTION("IFS(
D1412=""Exclude"",""Exclude"",
AND(
FILTER(IMPORTRANGE(""https://docs.google.com/spreadsheets/d/1qpEmbGH0JjaJbUdp21-y2cPbobDbMjr09BbtdKROZWc/edit#gid=1444865654"",""articles_with_PRISMA_reasons!W2:W2113""), $A1412=IMPORTRANGE(""https://docs.google.co"&amp;"m/spreadsheets/d/1qpEmbGH0JjaJbUdp21-y2cPbobDbMjr09BbtdKROZWc/edit#gid=1444865654"",""articles_with_PRISMA_reasons!B2:B2113""))&gt;=2,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$A1412=I"&amp;"MPORTRANGE(""https://docs.google.com/spreadsheets/d/1qpEmbGH0JjaJbUdp21-y2cPbobDbMjr09BbtdKROZWc/edit#gid=1444865654"",""articles_with_PRISMA_reasons!B2:B2113""))&gt;=2),
""Exclude""
)"),"Exclude")</f>
        <v>Exclude</v>
      </c>
      <c r="F1412" s="5" t="str">
        <f>IFERROR(__xludf.DUMMYFUNCTION("IFS(
E1412=""Exclude"",""Exclude"",
AND(
COUNTIF(
IMPORTRANGE(""https://docs.google.com/spreadsheets/d/1kGrh75X1cNR1D7_FcY9zMnHP8iPO4M5RCRjy6nZY0TY/edit#gid=0"",""Table 1: Study characteristics!B4:B171""),A1412)&gt;0,
COUNTIF(Studies!$A$2:$A$85,FILTER(IMPORT"&amp;"RANGE(""https://docs.google.com/spreadsheets/d/1kGrh75X1cNR1D7_FcY9zMnHP8iPO4M5RCRjy6nZY0TY/edit#gid=0"",""Table 1: Study characteristics!A4:A171""), $A1412=IMPORTRANGE(""https://docs.google.com/spreadsheets/d/1kGrh75X1cNR1D7_FcY9zMnHP8iPO4M5RCRjy6nZY0TY/"&amp;"edit#gid=0"",""Table 1: Study characteristics!B4:B171"")))&gt;0
),
""Include""
)"),"Exclude")</f>
        <v>Exclude</v>
      </c>
      <c r="G1412" s="5" t="str">
        <f>IFERROR(__xludf.DUMMYFUNCTION("IFS(
D1412=""Exclude"",
FILTER(IMPORTRANGE(""https://docs.google.com/spreadsheets/d/1BJSV3WBYJGRhQ6zExamkszQ5VutGIcaQqmbD9ZTVXMQ/edit#gid=1251630045"",""articles_with_PRISMA_reasons!AB2:AB2113""), $A1412=IMPORTRANGE(""https://docs.google.com/spreadsheets/"&amp;"d/1BJSV3WBYJGRhQ6zExamkszQ5VutGIcaQqmbD9ZTVXMQ/edit#gid=1251630045"",""articles_with_PRISMA_reasons!B2:B2113"")),
E1412=""Exclude"",
FILTER(IMPORTRANGE(""https://docs.google.com/spreadsheets/d/1qpEmbGH0JjaJbUdp21-y2cPbobDbMjr09BbtdKROZWc/edit#gid=14448656"&amp;"54"",""articles_with_PRISMA_reasons!Z2:Z2113""), $A1412=IMPORTRANGE(""https://docs.google.com/spreadsheets/d/1qpEmbGH0JjaJbUdp21-y2cPbobDbMjr09BbtdKROZWc/edit#gid=1444865654"",""articles_with_PRISMA_reasons!B2:B2113"")),F1412
=""Include"",FILTER(IMPORTRAN"&amp;"GE(""https://docs.google.com/spreadsheets/d/1kGrh75X1cNR1D7_FcY9zMnHP8iPO4M5RCRjy6nZY0TY/edit#gid=0"",""Table 1: Study characteristics!A4:A171""), $A1412=IMPORTRANGE(""https://docs.google.com/spreadsheets/d/1kGrh75X1cNR1D7_FcY9zMnHP8iPO4M5RCRjy6nZY0TY/edi"&amp;"t#gid=0"",""Table 1: Study characteristics!B4:B171""))
)"),"background article")</f>
        <v>background article</v>
      </c>
    </row>
    <row r="1413">
      <c r="A1413" s="4" t="str">
        <f>IFERROR(__xludf.DUMMYFUNCTION("""COMPUTED_VALUE"""),"Pectoral and thoracic symptoms and shunt malfunction")</f>
        <v>Pectoral and thoracic symptoms and shunt malfunction</v>
      </c>
      <c r="B1413" s="5" t="str">
        <f>IFERROR(__xludf.DUMMYFUNCTION("LEFT(FILTER(IMPORTRANGE(""https://docs.google.com/spreadsheets/d/1BJSV3WBYJGRhQ6zExamkszQ5VutGIcaQqmbD9ZTVXMQ/edit#gid=1251630045"",""articles_with_PRISMA_reasons!K2:K2113""), $A1413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$A1413=IMPORTRANGE(""https://docs.google.com/spreadsheets/d/1BJSV3WBYJGRhQ6zExamkszQ5VutGIcaQqmbD9ZTVXMQ/edit#gid=1251630045"",""articles_with_PRISMA_reasons!B2:B2113"")))-1)"),"MacKinnon")</f>
        <v>MacKinnon</v>
      </c>
      <c r="C1413" s="6">
        <f>IFERROR(__xludf.DUMMYFUNCTION("FILTER(IMPORTRANGE(""https://docs.google.com/spreadsheets/d/1BJSV3WBYJGRhQ6zExamkszQ5VutGIcaQqmbD9ZTVXMQ/edit#gid=1251630045"",""articles_with_PRISMA_reasons!C2:C2113""), $A1413=IMPORTRANGE(""https://docs.google.com/spreadsheets/d/1BJSV3WBYJGRhQ6zExamkszQ"&amp;"5VutGIcaQqmbD9ZTVXMQ/edit#gid=1251630045"",""articles_with_PRISMA_reasons!B2:B2113""))"),2001.0)</f>
        <v>2001</v>
      </c>
      <c r="D1413" s="5" t="str">
        <f>IFERROR(__xludf.DUMMYFUNCTION("IFS(AND(
FILTER(IMPORTRANGE(""https://docs.google.com/spreadsheets/d/1BJSV3WBYJGRhQ6zExamkszQ5VutGIcaQqmbD9ZTVXMQ/edit#gid=1251630045"",""articles_with_PRISMA_reasons!Y2:Y2113""), $A1413=IMPORTRANGE(""https://docs.google.com/spreadsheets/d/1BJSV3WBYJGRhQ6"&amp;"zExamkszQ5VutGIcaQqmbD9ZTVXMQ/edit#gid=1251630045"",""articles_with_PRISMA_reasons!B2:B2113""))&gt;=2,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$A1413=IMPORTRANGE(""https://docs.google"&amp;".com/spreadsheets/d/1BJSV3WBYJGRhQ6zExamkszQ5VutGIcaQqmbD9ZTVXMQ/edit#gid=1251630045"",""articles_with_PRISMA_reasons!B2:B2113""))&gt;=2),
""Exclude""
)"),"Exclude")</f>
        <v>Exclude</v>
      </c>
      <c r="E1413" s="5" t="str">
        <f>IFERROR(__xludf.DUMMYFUNCTION("IFS(
D1413=""Exclude"",""Exclude"",
AND(
FILTER(IMPORTRANGE(""https://docs.google.com/spreadsheets/d/1qpEmbGH0JjaJbUdp21-y2cPbobDbMjr09BbtdKROZWc/edit#gid=1444865654"",""articles_with_PRISMA_reasons!W2:W2113""), $A1413=IMPORTRANGE(""https://docs.google.co"&amp;"m/spreadsheets/d/1qpEmbGH0JjaJbUdp21-y2cPbobDbMjr09BbtdKROZWc/edit#gid=1444865654"",""articles_with_PRISMA_reasons!B2:B2113""))&gt;=2,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$A1413=I"&amp;"MPORTRANGE(""https://docs.google.com/spreadsheets/d/1qpEmbGH0JjaJbUdp21-y2cPbobDbMjr09BbtdKROZWc/edit#gid=1444865654"",""articles_with_PRISMA_reasons!B2:B2113""))&gt;=2),
""Exclude""
)"),"Exclude")</f>
        <v>Exclude</v>
      </c>
      <c r="F1413" s="5" t="str">
        <f>IFERROR(__xludf.DUMMYFUNCTION("IFS(
E1413=""Exclude"",""Exclude"",
AND(
COUNTIF(
IMPORTRANGE(""https://docs.google.com/spreadsheets/d/1kGrh75X1cNR1D7_FcY9zMnHP8iPO4M5RCRjy6nZY0TY/edit#gid=0"",""Table 1: Study characteristics!B4:B171""),A1413)&gt;0,
COUNTIF(Studies!$A$2:$A$85,FILTER(IMPORT"&amp;"RANGE(""https://docs.google.com/spreadsheets/d/1kGrh75X1cNR1D7_FcY9zMnHP8iPO4M5RCRjy6nZY0TY/edit#gid=0"",""Table 1: Study characteristics!A4:A171""), $A1413=IMPORTRANGE(""https://docs.google.com/spreadsheets/d/1kGrh75X1cNR1D7_FcY9zMnHP8iPO4M5RCRjy6nZY0TY/"&amp;"edit#gid=0"",""Table 1: Study characteristics!B4:B171"")))&gt;0
),
""Include""
)"),"Exclude")</f>
        <v>Exclude</v>
      </c>
      <c r="G1413" s="5" t="str">
        <f>IFERROR(__xludf.DUMMYFUNCTION("IFS(
D1413=""Exclude"",
FILTER(IMPORTRANGE(""https://docs.google.com/spreadsheets/d/1BJSV3WBYJGRhQ6zExamkszQ5VutGIcaQqmbD9ZTVXMQ/edit#gid=1251630045"",""articles_with_PRISMA_reasons!AB2:AB2113""), $A1413=IMPORTRANGE(""https://docs.google.com/spreadsheets/"&amp;"d/1BJSV3WBYJGRhQ6zExamkszQ5VutGIcaQqmbD9ZTVXMQ/edit#gid=1251630045"",""articles_with_PRISMA_reasons!B2:B2113"")),
E1413=""Exclude"",
FILTER(IMPORTRANGE(""https://docs.google.com/spreadsheets/d/1qpEmbGH0JjaJbUdp21-y2cPbobDbMjr09BbtdKROZWc/edit#gid=14448656"&amp;"54"",""articles_with_PRISMA_reasons!Z2:Z2113""), $A1413=IMPORTRANGE(""https://docs.google.com/spreadsheets/d/1qpEmbGH0JjaJbUdp21-y2cPbobDbMjr09BbtdKROZWc/edit#gid=1444865654"",""articles_with_PRISMA_reasons!B2:B2113"")),F1413
=""Include"",FILTER(IMPORTRAN"&amp;"GE(""https://docs.google.com/spreadsheets/d/1kGrh75X1cNR1D7_FcY9zMnHP8iPO4M5RCRjy6nZY0TY/edit#gid=0"",""Table 1: Study characteristics!A4:A171""), $A1413=IMPORTRANGE(""https://docs.google.com/spreadsheets/d/1kGrh75X1cNR1D7_FcY9zMnHP8iPO4M5RCRjy6nZY0TY/edi"&amp;"t#gid=0"",""Table 1: Study characteristics!B4:B171""))
)"),"wrong population")</f>
        <v>wrong population</v>
      </c>
    </row>
    <row r="1414">
      <c r="A1414" s="4" t="str">
        <f>IFERROR(__xludf.DUMMYFUNCTION("""COMPUTED_VALUE"""),"Pediatric applications of serial auditory brainstem and middle-latency evoked response recordings")</f>
        <v>Pediatric applications of serial auditory brainstem and middle-latency evoked response recordings</v>
      </c>
      <c r="B1414" s="5" t="str">
        <f>IFERROR(__xludf.DUMMYFUNCTION("LEFT(FILTER(IMPORTRANGE(""https://docs.google.com/spreadsheets/d/1BJSV3WBYJGRhQ6zExamkszQ5VutGIcaQqmbD9ZTVXMQ/edit#gid=1251630045"",""articles_with_PRISMA_reasons!K2:K2113""), $A1414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$A1414=IMPORTRANGE(""https://docs.google.com/spreadsheets/d/1BJSV3WBYJGRhQ6zExamkszQ5VutGIcaQqmbD9ZTVXMQ/edit#gid=1251630045"",""articles_with_PRISMA_reasons!B2:B2113"")))-1)"),"Hall")</f>
        <v>Hall</v>
      </c>
      <c r="C1414" s="6">
        <f>IFERROR(__xludf.DUMMYFUNCTION("FILTER(IMPORTRANGE(""https://docs.google.com/spreadsheets/d/1BJSV3WBYJGRhQ6zExamkszQ5VutGIcaQqmbD9ZTVXMQ/edit#gid=1251630045"",""articles_with_PRISMA_reasons!C2:C2113""), $A1414=IMPORTRANGE(""https://docs.google.com/spreadsheets/d/1BJSV3WBYJGRhQ6zExamkszQ"&amp;"5VutGIcaQqmbD9ZTVXMQ/edit#gid=1251630045"",""articles_with_PRISMA_reasons!B2:B2113""))"),1985.0)</f>
        <v>1985</v>
      </c>
      <c r="D1414" s="5" t="str">
        <f>IFERROR(__xludf.DUMMYFUNCTION("IFS(AND(
FILTER(IMPORTRANGE(""https://docs.google.com/spreadsheets/d/1BJSV3WBYJGRhQ6zExamkszQ5VutGIcaQqmbD9ZTVXMQ/edit#gid=1251630045"",""articles_with_PRISMA_reasons!Y2:Y2113""), $A1414=IMPORTRANGE(""https://docs.google.com/spreadsheets/d/1BJSV3WBYJGRhQ6"&amp;"zExamkszQ5VutGIcaQqmbD9ZTVXMQ/edit#gid=1251630045"",""articles_with_PRISMA_reasons!B2:B2113""))&gt;=2,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$A1414=IMPORTRANGE(""https://docs.google.com/spreadsheets/d/1BJSV3WBYJGRhQ6zExamkszQ5VutGIcaQqmbD9ZTVXMQ/edit#gid=1251630045"",""articles_with_PRISMA_reasons!B2:B2113""))&lt;2),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$A1414=IMPORTRANGE(""https://docs.google.com/spreadsheets/d/1BJSV3WBYJGRhQ6zExamkszQ5VutGIcaQqmbD9ZTVXMQ/edit#gid=1251630045"",""a"&amp;"rticles_with_PRISMA_reasons!B2:B2113""))&lt;2,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$A1414=IMPORTRANGE(""https://docs.google"&amp;".com/spreadsheets/d/1BJSV3WBYJGRhQ6zExamkszQ5VutGIcaQqmbD9ZTVXMQ/edit#gid=1251630045"",""articles_with_PRISMA_reasons!B2:B2113""))&gt;=2),
""Exclude""
)"),"Exclude")</f>
        <v>Exclude</v>
      </c>
      <c r="E1414" s="5" t="str">
        <f>IFERROR(__xludf.DUMMYFUNCTION("IFS(
D1414=""Exclude"",""Exclude"",
AND(
FILTER(IMPORTRANGE(""https://docs.google.com/spreadsheets/d/1qpEmbGH0JjaJbUdp21-y2cPbobDbMjr09BbtdKROZWc/edit#gid=1444865654"",""articles_with_PRISMA_reasons!W2:W2113""), $A1414=IMPORTRANGE(""https://docs.google.co"&amp;"m/spreadsheets/d/1qpEmbGH0JjaJbUdp21-y2cPbobDbMjr09BbtdKROZWc/edit#gid=1444865654"",""articles_with_PRISMA_reasons!B2:B2113""))&gt;=2,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$A1414=IMPORTRANGE(""https://docs.google.com/spreadsheets/d/1qpEmbGH0JjaJbUdp21-y2cPbobDbMjr09BbtdKROZWc/edit#gid=1444865654"",""articles_with_PRISMA_reasons!B2:B2113""))&lt;2),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$A1414=IMPORTRANGE(""https://docs.google.com/spreadsheets/d/1qpEmbGH0JjaJbUdp21-y2cPbobDbMjr09Bbtd"&amp;"KROZWc/edit#gid=1444865654"",""articles_with_PRISMA_reasons!B2:B2113""))&lt;2,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$A1414=I"&amp;"MPORTRANGE(""https://docs.google.com/spreadsheets/d/1qpEmbGH0JjaJbUdp21-y2cPbobDbMjr09BbtdKROZWc/edit#gid=1444865654"",""articles_with_PRISMA_reasons!B2:B2113""))&gt;=2),
""Exclude""
)"),"Exclude")</f>
        <v>Exclude</v>
      </c>
      <c r="F1414" s="5" t="str">
        <f>IFERROR(__xludf.DUMMYFUNCTION("IFS(
E1414=""Exclude"",""Exclude"",
AND(
COUNTIF(
IMPORTRANGE(""https://docs.google.com/spreadsheets/d/1kGrh75X1cNR1D7_FcY9zMnHP8iPO4M5RCRjy6nZY0TY/edit#gid=0"",""Table 1: Study characteristics!B4:B171""),A1414)&gt;0,
COUNTIF(Studies!$A$2:$A$85,FILTER(IMPORT"&amp;"RANGE(""https://docs.google.com/spreadsheets/d/1kGrh75X1cNR1D7_FcY9zMnHP8iPO4M5RCRjy6nZY0TY/edit#gid=0"",""Table 1: Study characteristics!A4:A171""), $A1414=IMPORTRANGE(""https://docs.google.com/spreadsheets/d/1kGrh75X1cNR1D7_FcY9zMnHP8iPO4M5RCRjy6nZY0TY/"&amp;"edit#gid=0"",""Table 1: Study characteristics!B4:B171"")))&gt;0
),
""Include""
)"),"Exclude")</f>
        <v>Exclude</v>
      </c>
      <c r="G1414" s="5" t="str">
        <f>IFERROR(__xludf.DUMMYFUNCTION("IFS(
D1414=""Exclude"",
FILTER(IMPORTRANGE(""https://docs.google.com/spreadsheets/d/1BJSV3WBYJGRhQ6zExamkszQ5VutGIcaQqmbD9ZTVXMQ/edit#gid=1251630045"",""articles_with_PRISMA_reasons!AB2:AB2113""), $A1414=IMPORTRANGE(""https://docs.google.com/spreadsheets/"&amp;"d/1BJSV3WBYJGRhQ6zExamkszQ5VutGIcaQqmbD9ZTVXMQ/edit#gid=1251630045"",""articles_with_PRISMA_reasons!B2:B2113"")),
E1414=""Exclude"",
FILTER(IMPORTRANGE(""https://docs.google.com/spreadsheets/d/1qpEmbGH0JjaJbUdp21-y2cPbobDbMjr09BbtdKROZWc/edit#gid=14448656"&amp;"54"",""articles_with_PRISMA_reasons!Z2:Z2113""), $A1414=IMPORTRANGE(""https://docs.google.com/spreadsheets/d/1qpEmbGH0JjaJbUdp21-y2cPbobDbMjr09BbtdKROZWc/edit#gid=1444865654"",""articles_with_PRISMA_reasons!B2:B2113"")),F1414
=""Include"",FILTER(IMPORTRAN"&amp;"GE(""https://docs.google.com/spreadsheets/d/1kGrh75X1cNR1D7_FcY9zMnHP8iPO4M5RCRjy6nZY0TY/edit#gid=0"",""Table 1: Study characteristics!A4:A171""), $A1414=IMPORTRANGE(""https://docs.google.com/spreadsheets/d/1kGrh75X1cNR1D7_FcY9zMnHP8iPO4M5RCRjy6nZY0TY/edi"&amp;"t#gid=0"",""Table 1: Study characteristics!B4:B171""))
)"),"Duplicate")</f>
        <v>Duplicate</v>
      </c>
    </row>
    <row r="1415">
      <c r="A1415" s="4" t="str">
        <f>IFERROR(__xludf.DUMMYFUNCTION("""COMPUTED_VALUE"""),"Pediatric encephaloceles: A series of 20 cases over a period of 3 years")</f>
        <v>Pediatric encephaloceles: A series of 20 cases over a period of 3 years</v>
      </c>
      <c r="B1415" s="5" t="str">
        <f>IFERROR(__xludf.DUMMYFUNCTION("LEFT(FILTER(IMPORTRANGE(""https://docs.google.com/spreadsheets/d/1BJSV3WBYJGRhQ6zExamkszQ5VutGIcaQqmbD9ZTVXMQ/edit#gid=1251630045"",""articles_with_PRISMA_reasons!K2:K2113""), $A1415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$A1415=IMPORTRANGE(""https://docs.google.com/spreadsheets/d/1BJSV3WBYJGRhQ6zExamkszQ5VutGIcaQqmbD9ZTVXMQ/edit#gid=1251630045"",""articles_with_PRISMA_reasons!B2:B2113"")))-1)"),"Ramdurg")</f>
        <v>Ramdurg</v>
      </c>
      <c r="C1415" s="6">
        <f>IFERROR(__xludf.DUMMYFUNCTION("FILTER(IMPORTRANGE(""https://docs.google.com/spreadsheets/d/1BJSV3WBYJGRhQ6zExamkszQ5VutGIcaQqmbD9ZTVXMQ/edit#gid=1251630045"",""articles_with_PRISMA_reasons!C2:C2113""), $A1415=IMPORTRANGE(""https://docs.google.com/spreadsheets/d/1BJSV3WBYJGRhQ6zExamkszQ"&amp;"5VutGIcaQqmbD9ZTVXMQ/edit#gid=1251630045"",""articles_with_PRISMA_reasons!B2:B2113""))"),2015.0)</f>
        <v>2015</v>
      </c>
      <c r="D1415" s="5" t="str">
        <f>IFERROR(__xludf.DUMMYFUNCTION("IFS(AND(
FILTER(IMPORTRANGE(""https://docs.google.com/spreadsheets/d/1BJSV3WBYJGRhQ6zExamkszQ5VutGIcaQqmbD9ZTVXMQ/edit#gid=1251630045"",""articles_with_PRISMA_reasons!Y2:Y2113""), $A1415=IMPORTRANGE(""https://docs.google.com/spreadsheets/d/1BJSV3WBYJGRhQ6"&amp;"zExamkszQ5VutGIcaQqmbD9ZTVXMQ/edit#gid=1251630045"",""articles_with_PRISMA_reasons!B2:B2113""))&gt;=2,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$A1415=IMPORTRANGE(""https://docs.google.com/spreadsheets/d/1BJSV3WBYJGRhQ6zExamkszQ5VutGIcaQqmbD9ZTVXMQ/edit#gid=1251630045"",""articles_with_PRISMA_reasons!B2:B2113""))&lt;2),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$A1415=IMPORTRANGE(""https://docs.google.com/spreadsheets/d/1BJSV3WBYJGRhQ6zExamkszQ5VutGIcaQqmbD9ZTVXMQ/edit#gid=1251630045"",""a"&amp;"rticles_with_PRISMA_reasons!B2:B2113""))&lt;2,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$A1415=IMPORTRANGE(""https://docs.google"&amp;".com/spreadsheets/d/1BJSV3WBYJGRhQ6zExamkszQ5VutGIcaQqmbD9ZTVXMQ/edit#gid=1251630045"",""articles_with_PRISMA_reasons!B2:B2113""))&gt;=2),
""Exclude""
)"),"Exclude")</f>
        <v>Exclude</v>
      </c>
      <c r="E1415" s="5" t="str">
        <f>IFERROR(__xludf.DUMMYFUNCTION("IFS(
D1415=""Exclude"",""Exclude"",
AND(
FILTER(IMPORTRANGE(""https://docs.google.com/spreadsheets/d/1qpEmbGH0JjaJbUdp21-y2cPbobDbMjr09BbtdKROZWc/edit#gid=1444865654"",""articles_with_PRISMA_reasons!W2:W2113""), $A1415=IMPORTRANGE(""https://docs.google.co"&amp;"m/spreadsheets/d/1qpEmbGH0JjaJbUdp21-y2cPbobDbMjr09BbtdKROZWc/edit#gid=1444865654"",""articles_with_PRISMA_reasons!B2:B2113""))&gt;=2,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$A1415=IMPORTRANGE(""https://docs.google.com/spreadsheets/d/1qpEmbGH0JjaJbUdp21-y2cPbobDbMjr09BbtdKROZWc/edit#gid=1444865654"",""articles_with_PRISMA_reasons!B2:B2113""))&lt;2),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$A1415=IMPORTRANGE(""https://docs.google.com/spreadsheets/d/1qpEmbGH0JjaJbUdp21-y2cPbobDbMjr09Bbtd"&amp;"KROZWc/edit#gid=1444865654"",""articles_with_PRISMA_reasons!B2:B2113""))&lt;2,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$A1415=I"&amp;"MPORTRANGE(""https://docs.google.com/spreadsheets/d/1qpEmbGH0JjaJbUdp21-y2cPbobDbMjr09BbtdKROZWc/edit#gid=1444865654"",""articles_with_PRISMA_reasons!B2:B2113""))&gt;=2),
""Exclude""
)"),"Exclude")</f>
        <v>Exclude</v>
      </c>
      <c r="F1415" s="5" t="str">
        <f>IFERROR(__xludf.DUMMYFUNCTION("IFS(
E1415=""Exclude"",""Exclude"",
AND(
COUNTIF(
IMPORTRANGE(""https://docs.google.com/spreadsheets/d/1kGrh75X1cNR1D7_FcY9zMnHP8iPO4M5RCRjy6nZY0TY/edit#gid=0"",""Table 1: Study characteristics!B4:B171""),A1415)&gt;0,
COUNTIF(Studies!$A$2:$A$85,FILTER(IMPORT"&amp;"RANGE(""https://docs.google.com/spreadsheets/d/1kGrh75X1cNR1D7_FcY9zMnHP8iPO4M5RCRjy6nZY0TY/edit#gid=0"",""Table 1: Study characteristics!A4:A171""), $A1415=IMPORTRANGE(""https://docs.google.com/spreadsheets/d/1kGrh75X1cNR1D7_FcY9zMnHP8iPO4M5RCRjy6nZY0TY/"&amp;"edit#gid=0"",""Table 1: Study characteristics!B4:B171"")))&gt;0
),
""Include""
)"),"Exclude")</f>
        <v>Exclude</v>
      </c>
      <c r="G1415" s="5" t="str">
        <f>IFERROR(__xludf.DUMMYFUNCTION("IFS(
D1415=""Exclude"",
FILTER(IMPORTRANGE(""https://docs.google.com/spreadsheets/d/1BJSV3WBYJGRhQ6zExamkszQ5VutGIcaQqmbD9ZTVXMQ/edit#gid=1251630045"",""articles_with_PRISMA_reasons!AB2:AB2113""), $A1415=IMPORTRANGE(""https://docs.google.com/spreadsheets/"&amp;"d/1BJSV3WBYJGRhQ6zExamkszQ5VutGIcaQqmbD9ZTVXMQ/edit#gid=1251630045"",""articles_with_PRISMA_reasons!B2:B2113"")),
E1415=""Exclude"",
FILTER(IMPORTRANGE(""https://docs.google.com/spreadsheets/d/1qpEmbGH0JjaJbUdp21-y2cPbobDbMjr09BbtdKROZWc/edit#gid=14448656"&amp;"54"",""articles_with_PRISMA_reasons!Z2:Z2113""), $A1415=IMPORTRANGE(""https://docs.google.com/spreadsheets/d/1qpEmbGH0JjaJbUdp21-y2cPbobDbMjr09BbtdKROZWc/edit#gid=1444865654"",""articles_with_PRISMA_reasons!B2:B2113"")),F1415
=""Include"",FILTER(IMPORTRAN"&amp;"GE(""https://docs.google.com/spreadsheets/d/1kGrh75X1cNR1D7_FcY9zMnHP8iPO4M5RCRjy6nZY0TY/edit#gid=0"",""Table 1: Study characteristics!A4:A171""), $A1415=IMPORTRANGE(""https://docs.google.com/spreadsheets/d/1kGrh75X1cNR1D7_FcY9zMnHP8iPO4M5RCRjy6nZY0TY/edi"&amp;"t#gid=0"",""Table 1: Study characteristics!B4:B171""))
)"),"wrong study design")</f>
        <v>wrong study design</v>
      </c>
    </row>
    <row r="1416">
      <c r="A1416" s="4" t="str">
        <f>IFERROR(__xludf.DUMMYFUNCTION("""COMPUTED_VALUE"""),"Pediatric endoscopic third ventriculostomy: a population-based study")</f>
        <v>Pediatric endoscopic third ventriculostomy: a population-based study</v>
      </c>
      <c r="B1416" s="5" t="str">
        <f>IFERROR(__xludf.DUMMYFUNCTION("LEFT(FILTER(IMPORTRANGE(""https://docs.google.com/spreadsheets/d/1BJSV3WBYJGRhQ6zExamkszQ5VutGIcaQqmbD9ZTVXMQ/edit#gid=1251630045"",""articles_with_PRISMA_reasons!K2:K2113""), $A1416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$A1416=IMPORTRANGE(""https://docs.google.com/spreadsheets/d/1BJSV3WBYJGRhQ6zExamkszQ5VutGIcaQqmbD9ZTVXMQ/edit#gid=1251630045"",""articles_with_PRISMA_reasons!B2:B2113"")))-1)"),"Lam")</f>
        <v>Lam</v>
      </c>
      <c r="C1416" s="6" t="str">
        <f>IFERROR(__xludf.DUMMYFUNCTION("FILTER(IMPORTRANGE(""https://docs.google.com/spreadsheets/d/1BJSV3WBYJGRhQ6zExamkszQ5VutGIcaQqmbD9ZTVXMQ/edit#gid=1251630045"",""articles_with_PRISMA_reasons!C2:C2113""), $A1416=IMPORTRANGE(""https://docs.google.com/spreadsheets/d/1BJSV3WBYJGRhQ6zExamkszQ"&amp;"5VutGIcaQqmbD9ZTVXMQ/edit#gid=1251630045"",""articles_with_PRISMA_reasons!B2:B2113""))"),"Nov")</f>
        <v>Nov</v>
      </c>
      <c r="D1416" s="5" t="str">
        <f>IFERROR(__xludf.DUMMYFUNCTION("IFS(AND(
FILTER(IMPORTRANGE(""https://docs.google.com/spreadsheets/d/1BJSV3WBYJGRhQ6zExamkszQ5VutGIcaQqmbD9ZTVXMQ/edit#gid=1251630045"",""articles_with_PRISMA_reasons!Y2:Y2113""), $A1416=IMPORTRANGE(""https://docs.google.com/spreadsheets/d/1BJSV3WBYJGRhQ6"&amp;"zExamkszQ5VutGIcaQqmbD9ZTVXMQ/edit#gid=1251630045"",""articles_with_PRISMA_reasons!B2:B2113""))&gt;=2,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$A1416=IMPORTRANGE(""https://docs.google.com/spreadsheets/d/1BJSV3WBYJGRhQ6zExamkszQ5VutGIcaQqmbD9ZTVXMQ/edit#gid=1251630045"",""articles_with_PRISMA_reasons!B2:B2113""))&lt;2),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$A1416=IMPORTRANGE(""https://docs.google.com/spreadsheets/d/1BJSV3WBYJGRhQ6zExamkszQ5VutGIcaQqmbD9ZTVXMQ/edit#gid=1251630045"",""a"&amp;"rticles_with_PRISMA_reasons!B2:B2113""))&lt;2,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$A1416=IMPORTRANGE(""https://docs.google"&amp;".com/spreadsheets/d/1BJSV3WBYJGRhQ6zExamkszQ5VutGIcaQqmbD9ZTVXMQ/edit#gid=1251630045"",""articles_with_PRISMA_reasons!B2:B2113""))&gt;=2),
""Exclude""
)"),"Exclude")</f>
        <v>Exclude</v>
      </c>
      <c r="E1416" s="5" t="str">
        <f>IFERROR(__xludf.DUMMYFUNCTION("IFS(
D1416=""Exclude"",""Exclude"",
AND(
FILTER(IMPORTRANGE(""https://docs.google.com/spreadsheets/d/1qpEmbGH0JjaJbUdp21-y2cPbobDbMjr09BbtdKROZWc/edit#gid=1444865654"",""articles_with_PRISMA_reasons!W2:W2113""), $A1416=IMPORTRANGE(""https://docs.google.co"&amp;"m/spreadsheets/d/1qpEmbGH0JjaJbUdp21-y2cPbobDbMjr09BbtdKROZWc/edit#gid=1444865654"",""articles_with_PRISMA_reasons!B2:B2113""))&gt;=2,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$A1416=IMPORTRANGE(""https://docs.google.com/spreadsheets/d/1qpEmbGH0JjaJbUdp21-y2cPbobDbMjr09BbtdKROZWc/edit#gid=1444865654"",""articles_with_PRISMA_reasons!B2:B2113""))&lt;2),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$A1416=IMPORTRANGE(""https://docs.google.com/spreadsheets/d/1qpEmbGH0JjaJbUdp21-y2cPbobDbMjr09Bbtd"&amp;"KROZWc/edit#gid=1444865654"",""articles_with_PRISMA_reasons!B2:B2113""))&lt;2,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$A1416=I"&amp;"MPORTRANGE(""https://docs.google.com/spreadsheets/d/1qpEmbGH0JjaJbUdp21-y2cPbobDbMjr09BbtdKROZWc/edit#gid=1444865654"",""articles_with_PRISMA_reasons!B2:B2113""))&gt;=2),
""Exclude""
)"),"Exclude")</f>
        <v>Exclude</v>
      </c>
      <c r="F1416" s="5" t="str">
        <f>IFERROR(__xludf.DUMMYFUNCTION("IFS(
E1416=""Exclude"",""Exclude"",
AND(
COUNTIF(
IMPORTRANGE(""https://docs.google.com/spreadsheets/d/1kGrh75X1cNR1D7_FcY9zMnHP8iPO4M5RCRjy6nZY0TY/edit#gid=0"",""Table 1: Study characteristics!B4:B171""),A1416)&gt;0,
COUNTIF(Studies!$A$2:$A$85,FILTER(IMPORT"&amp;"RANGE(""https://docs.google.com/spreadsheets/d/1kGrh75X1cNR1D7_FcY9zMnHP8iPO4M5RCRjy6nZY0TY/edit#gid=0"",""Table 1: Study characteristics!A4:A171""), $A1416=IMPORTRANGE(""https://docs.google.com/spreadsheets/d/1kGrh75X1cNR1D7_FcY9zMnHP8iPO4M5RCRjy6nZY0TY/"&amp;"edit#gid=0"",""Table 1: Study characteristics!B4:B171"")))&gt;0
),
""Include""
)"),"Exclude")</f>
        <v>Exclude</v>
      </c>
      <c r="G1416" s="5" t="str">
        <f>IFERROR(__xludf.DUMMYFUNCTION("IFS(
D1416=""Exclude"",
FILTER(IMPORTRANGE(""https://docs.google.com/spreadsheets/d/1BJSV3WBYJGRhQ6zExamkszQ5VutGIcaQqmbD9ZTVXMQ/edit#gid=1251630045"",""articles_with_PRISMA_reasons!AB2:AB2113""), $A1416=IMPORTRANGE(""https://docs.google.com/spreadsheets/"&amp;"d/1BJSV3WBYJGRhQ6zExamkszQ5VutGIcaQqmbD9ZTVXMQ/edit#gid=1251630045"",""articles_with_PRISMA_reasons!B2:B2113"")),
E1416=""Exclude"",
FILTER(IMPORTRANGE(""https://docs.google.com/spreadsheets/d/1qpEmbGH0JjaJbUdp21-y2cPbobDbMjr09BbtdKROZWc/edit#gid=14448656"&amp;"54"",""articles_with_PRISMA_reasons!Z2:Z2113""), $A1416=IMPORTRANGE(""https://docs.google.com/spreadsheets/d/1qpEmbGH0JjaJbUdp21-y2cPbobDbMjr09BbtdKROZWc/edit#gid=1444865654"",""articles_with_PRISMA_reasons!B2:B2113"")),F1416
=""Include"",FILTER(IMPORTRAN"&amp;"GE(""https://docs.google.com/spreadsheets/d/1kGrh75X1cNR1D7_FcY9zMnHP8iPO4M5RCRjy6nZY0TY/edit#gid=0"",""Table 1: Study characteristics!A4:A171""), $A1416=IMPORTRANGE(""https://docs.google.com/spreadsheets/d/1kGrh75X1cNR1D7_FcY9zMnHP8iPO4M5RCRjy6nZY0TY/edi"&amp;"t#gid=0"",""Table 1: Study characteristics!B4:B171""))
)"),"Duplicate")</f>
        <v>Duplicate</v>
      </c>
    </row>
    <row r="1417">
      <c r="A1417" s="4" t="str">
        <f>IFERROR(__xludf.DUMMYFUNCTION("""COMPUTED_VALUE"""),"Pediatric hydrocephalus in east Africa: Prevalence, causes, treatments, and strategies for the future")</f>
        <v>Pediatric hydrocephalus in east Africa: Prevalence, causes, treatments, and strategies for the future</v>
      </c>
      <c r="B1417" s="5" t="str">
        <f>IFERROR(__xludf.DUMMYFUNCTION("LEFT(FILTER(IMPORTRANGE(""https://docs.google.com/spreadsheets/d/1BJSV3WBYJGRhQ6zExamkszQ5VutGIcaQqmbD9ZTVXMQ/edit#gid=1251630045"",""articles_with_PRISMA_reasons!K2:K2113""), $A1417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$A1417=IMPORTRANGE(""https://docs.google.com/spreadsheets/d/1BJSV3WBYJGRhQ6zExamkszQ5VutGIcaQqmbD9ZTVXMQ/edit#gid=1251630045"",""articles_with_PRISMA_reasons!B2:B2113"")))-1)"),"Warf")</f>
        <v>Warf</v>
      </c>
      <c r="C1417" s="6">
        <f>IFERROR(__xludf.DUMMYFUNCTION("FILTER(IMPORTRANGE(""https://docs.google.com/spreadsheets/d/1BJSV3WBYJGRhQ6zExamkszQ5VutGIcaQqmbD9ZTVXMQ/edit#gid=1251630045"",""articles_with_PRISMA_reasons!C2:C2113""), $A1417=IMPORTRANGE(""https://docs.google.com/spreadsheets/d/1BJSV3WBYJGRhQ6zExamkszQ"&amp;"5VutGIcaQqmbD9ZTVXMQ/edit#gid=1251630045"",""articles_with_PRISMA_reasons!B2:B2113""))"),2010.0)</f>
        <v>2010</v>
      </c>
      <c r="D1417" s="5" t="str">
        <f>IFERROR(__xludf.DUMMYFUNCTION("IFS(AND(
FILTER(IMPORTRANGE(""https://docs.google.com/spreadsheets/d/1BJSV3WBYJGRhQ6zExamkszQ5VutGIcaQqmbD9ZTVXMQ/edit#gid=1251630045"",""articles_with_PRISMA_reasons!Y2:Y2113""), $A1417=IMPORTRANGE(""https://docs.google.com/spreadsheets/d/1BJSV3WBYJGRhQ6"&amp;"zExamkszQ5VutGIcaQqmbD9ZTVXMQ/edit#gid=1251630045"",""articles_with_PRISMA_reasons!B2:B2113""))&gt;=2,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$A1417=IMPORTRANGE(""https://docs.google.com/spreadsheets/d/1BJSV3WBYJGRhQ6zExamkszQ5VutGIcaQqmbD9ZTVXMQ/edit#gid=1251630045"",""articles_with_PRISMA_reasons!B2:B2113""))&lt;2),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$A1417=IMPORTRANGE(""https://docs.google.com/spreadsheets/d/1BJSV3WBYJGRhQ6zExamkszQ5VutGIcaQqmbD9ZTVXMQ/edit#gid=1251630045"",""a"&amp;"rticles_with_PRISMA_reasons!B2:B2113""))&lt;2,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$A1417=IMPORTRANGE(""https://docs.google"&amp;".com/spreadsheets/d/1BJSV3WBYJGRhQ6zExamkszQ5VutGIcaQqmbD9ZTVXMQ/edit#gid=1251630045"",""articles_with_PRISMA_reasons!B2:B2113""))&gt;=2),
""Exclude""
)"),"Exclude")</f>
        <v>Exclude</v>
      </c>
      <c r="E1417" s="5" t="str">
        <f>IFERROR(__xludf.DUMMYFUNCTION("IFS(
D1417=""Exclude"",""Exclude"",
AND(
FILTER(IMPORTRANGE(""https://docs.google.com/spreadsheets/d/1qpEmbGH0JjaJbUdp21-y2cPbobDbMjr09BbtdKROZWc/edit#gid=1444865654"",""articles_with_PRISMA_reasons!W2:W2113""), $A1417=IMPORTRANGE(""https://docs.google.co"&amp;"m/spreadsheets/d/1qpEmbGH0JjaJbUdp21-y2cPbobDbMjr09BbtdKROZWc/edit#gid=1444865654"",""articles_with_PRISMA_reasons!B2:B2113""))&gt;=2,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$A1417=IMPORTRANGE(""https://docs.google.com/spreadsheets/d/1qpEmbGH0JjaJbUdp21-y2cPbobDbMjr09BbtdKROZWc/edit#gid=1444865654"",""articles_with_PRISMA_reasons!B2:B2113""))&lt;2),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$A1417=IMPORTRANGE(""https://docs.google.com/spreadsheets/d/1qpEmbGH0JjaJbUdp21-y2cPbobDbMjr09Bbtd"&amp;"KROZWc/edit#gid=1444865654"",""articles_with_PRISMA_reasons!B2:B2113""))&lt;2,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$A1417=I"&amp;"MPORTRANGE(""https://docs.google.com/spreadsheets/d/1qpEmbGH0JjaJbUdp21-y2cPbobDbMjr09BbtdKROZWc/edit#gid=1444865654"",""articles_with_PRISMA_reasons!B2:B2113""))&gt;=2),
""Exclude""
)"),"Exclude")</f>
        <v>Exclude</v>
      </c>
      <c r="F1417" s="5" t="str">
        <f>IFERROR(__xludf.DUMMYFUNCTION("IFS(
E1417=""Exclude"",""Exclude"",
AND(
COUNTIF(
IMPORTRANGE(""https://docs.google.com/spreadsheets/d/1kGrh75X1cNR1D7_FcY9zMnHP8iPO4M5RCRjy6nZY0TY/edit#gid=0"",""Table 1: Study characteristics!B4:B171""),A1417)&gt;0,
COUNTIF(Studies!$A$2:$A$85,FILTER(IMPORT"&amp;"RANGE(""https://docs.google.com/spreadsheets/d/1kGrh75X1cNR1D7_FcY9zMnHP8iPO4M5RCRjy6nZY0TY/edit#gid=0"",""Table 1: Study characteristics!A4:A171""), $A1417=IMPORTRANGE(""https://docs.google.com/spreadsheets/d/1kGrh75X1cNR1D7_FcY9zMnHP8iPO4M5RCRjy6nZY0TY/"&amp;"edit#gid=0"",""Table 1: Study characteristics!B4:B171"")))&gt;0
),
""Include""
)"),"Exclude")</f>
        <v>Exclude</v>
      </c>
      <c r="G1417" s="5" t="str">
        <f>IFERROR(__xludf.DUMMYFUNCTION("IFS(
D1417=""Exclude"",
FILTER(IMPORTRANGE(""https://docs.google.com/spreadsheets/d/1BJSV3WBYJGRhQ6zExamkszQ5VutGIcaQqmbD9ZTVXMQ/edit#gid=1251630045"",""articles_with_PRISMA_reasons!AB2:AB2113""), $A1417=IMPORTRANGE(""https://docs.google.com/spreadsheets/"&amp;"d/1BJSV3WBYJGRhQ6zExamkszQ5VutGIcaQqmbD9ZTVXMQ/edit#gid=1251630045"",""articles_with_PRISMA_reasons!B2:B2113"")),
E1417=""Exclude"",
FILTER(IMPORTRANGE(""https://docs.google.com/spreadsheets/d/1qpEmbGH0JjaJbUdp21-y2cPbobDbMjr09BbtdKROZWc/edit#gid=14448656"&amp;"54"",""articles_with_PRISMA_reasons!Z2:Z2113""), $A1417=IMPORTRANGE(""https://docs.google.com/spreadsheets/d/1qpEmbGH0JjaJbUdp21-y2cPbobDbMjr09BbtdKROZWc/edit#gid=1444865654"",""articles_with_PRISMA_reasons!B2:B2113"")),F1417
=""Include"",FILTER(IMPORTRAN"&amp;"GE(""https://docs.google.com/spreadsheets/d/1kGrh75X1cNR1D7_FcY9zMnHP8iPO4M5RCRjy6nZY0TY/edit#gid=0"",""Table 1: Study characteristics!A4:A171""), $A1417=IMPORTRANGE(""https://docs.google.com/spreadsheets/d/1kGrh75X1cNR1D7_FcY9zMnHP8iPO4M5RCRjy6nZY0TY/edi"&amp;"t#gid=0"",""Table 1: Study characteristics!B4:B171""))
)"),"wrong population")</f>
        <v>wrong population</v>
      </c>
    </row>
    <row r="1418">
      <c r="A1418" s="4" t="str">
        <f>IFERROR(__xludf.DUMMYFUNCTION("""COMPUTED_VALUE"""),"Pediatric Hydrocephalus in Ethiopia: Treatment Failures and Infections: A Hospital-Based, Retrospective Study")</f>
        <v>Pediatric Hydrocephalus in Ethiopia: Treatment Failures and Infections: A Hospital-Based, Retrospective Study</v>
      </c>
      <c r="B1418" s="5" t="str">
        <f>IFERROR(__xludf.DUMMYFUNCTION("LEFT(FILTER(IMPORTRANGE(""https://docs.google.com/spreadsheets/d/1BJSV3WBYJGRhQ6zExamkszQ5VutGIcaQqmbD9ZTVXMQ/edit#gid=1251630045"",""articles_with_PRISMA_reasons!K2:K2113""), $A1418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$A1418=IMPORTRANGE(""https://docs.google.com/spreadsheets/d/1BJSV3WBYJGRhQ6zExamkszQ5VutGIcaQqmbD9ZTVXMQ/edit#gid=1251630045"",""articles_with_PRISMA_reasons!B2:B2113"")))-1)"),"Laeke")</f>
        <v>Laeke</v>
      </c>
      <c r="C1418" s="6">
        <f>IFERROR(__xludf.DUMMYFUNCTION("FILTER(IMPORTRANGE(""https://docs.google.com/spreadsheets/d/1BJSV3WBYJGRhQ6zExamkszQ5VutGIcaQqmbD9ZTVXMQ/edit#gid=1251630045"",""articles_with_PRISMA_reasons!C2:C2113""), $A1418=IMPORTRANGE(""https://docs.google.com/spreadsheets/d/1BJSV3WBYJGRhQ6zExamkszQ"&amp;"5VutGIcaQqmbD9ZTVXMQ/edit#gid=1251630045"",""articles_with_PRISMA_reasons!B2:B2113""))"),2017.0)</f>
        <v>2017</v>
      </c>
      <c r="D1418" s="5" t="str">
        <f>IFERROR(__xludf.DUMMYFUNCTION("IFS(AND(
FILTER(IMPORTRANGE(""https://docs.google.com/spreadsheets/d/1BJSV3WBYJGRhQ6zExamkszQ5VutGIcaQqmbD9ZTVXMQ/edit#gid=1251630045"",""articles_with_PRISMA_reasons!Y2:Y2113""), $A1418=IMPORTRANGE(""https://docs.google.com/spreadsheets/d/1BJSV3WBYJGRhQ6"&amp;"zExamkszQ5VutGIcaQqmbD9ZTVXMQ/edit#gid=1251630045"",""articles_with_PRISMA_reasons!B2:B2113""))&gt;=2,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$A1418=IMPORTRANGE(""https://docs.google.com/spreadsheets/d/1BJSV3WBYJGRhQ6zExamkszQ5VutGIcaQqmbD9ZTVXMQ/edit#gid=1251630045"",""articles_with_PRISMA_reasons!B2:B2113""))&lt;2),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$A1418=IMPORTRANGE(""https://docs.google.com/spreadsheets/d/1BJSV3WBYJGRhQ6zExamkszQ5VutGIcaQqmbD9ZTVXMQ/edit#gid=1251630045"",""a"&amp;"rticles_with_PRISMA_reasons!B2:B2113""))&lt;2,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$A1418=IMPORTRANGE(""https://docs.google"&amp;".com/spreadsheets/d/1BJSV3WBYJGRhQ6zExamkszQ5VutGIcaQqmbD9ZTVXMQ/edit#gid=1251630045"",""articles_with_PRISMA_reasons!B2:B2113""))&gt;=2),
""Exclude""
)"),"Include")</f>
        <v>Include</v>
      </c>
      <c r="E1418" s="5" t="str">
        <f>IFERROR(__xludf.DUMMYFUNCTION("IFS(
D1418=""Exclude"",""Exclude"",
AND(
FILTER(IMPORTRANGE(""https://docs.google.com/spreadsheets/d/1qpEmbGH0JjaJbUdp21-y2cPbobDbMjr09BbtdKROZWc/edit#gid=1444865654"",""articles_with_PRISMA_reasons!W2:W2113""), $A1418=IMPORTRANGE(""https://docs.google.co"&amp;"m/spreadsheets/d/1qpEmbGH0JjaJbUdp21-y2cPbobDbMjr09BbtdKROZWc/edit#gid=1444865654"",""articles_with_PRISMA_reasons!B2:B2113""))&gt;=2,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$A1418=IMPORTRANGE(""https://docs.google.com/spreadsheets/d/1qpEmbGH0JjaJbUdp21-y2cPbobDbMjr09BbtdKROZWc/edit#gid=1444865654"",""articles_with_PRISMA_reasons!B2:B2113""))&lt;2),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$A1418=IMPORTRANGE(""https://docs.google.com/spreadsheets/d/1qpEmbGH0JjaJbUdp21-y2cPbobDbMjr09Bbtd"&amp;"KROZWc/edit#gid=1444865654"",""articles_with_PRISMA_reasons!B2:B2113""))&lt;2,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$A1418=I"&amp;"MPORTRANGE(""https://docs.google.com/spreadsheets/d/1qpEmbGH0JjaJbUdp21-y2cPbobDbMjr09BbtdKROZWc/edit#gid=1444865654"",""articles_with_PRISMA_reasons!B2:B2113""))&gt;=2),
""Exclude""
)"),"Include")</f>
        <v>Include</v>
      </c>
      <c r="F1418" s="2" t="s">
        <v>8</v>
      </c>
      <c r="G1418" s="2" t="s">
        <v>17</v>
      </c>
    </row>
    <row r="1419">
      <c r="A1419" s="4" t="str">
        <f>IFERROR(__xludf.DUMMYFUNCTION("""COMPUTED_VALUE"""),"Pediatric hydrocephalus in the developing world: Connecting means and ends")</f>
        <v>Pediatric hydrocephalus in the developing world: Connecting means and ends</v>
      </c>
      <c r="B1419" s="5" t="str">
        <f>IFERROR(__xludf.DUMMYFUNCTION("LEFT(FILTER(IMPORTRANGE(""https://docs.google.com/spreadsheets/d/1BJSV3WBYJGRhQ6zExamkszQ5VutGIcaQqmbD9ZTVXMQ/edit#gid=1251630045"",""articles_with_PRISMA_reasons!K2:K2113""), $A1419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$A1419=IMPORTRANGE(""https://docs.google.com/spreadsheets/d/1BJSV3WBYJGRhQ6zExamkszQ5VutGIcaQqmbD9ZTVXMQ/edit#gid=1251630045"",""articles_with_PRISMA_reasons!B2:B2113"")))-1)"),"Warf")</f>
        <v>Warf</v>
      </c>
      <c r="C1419" s="6">
        <f>IFERROR(__xludf.DUMMYFUNCTION("FILTER(IMPORTRANGE(""https://docs.google.com/spreadsheets/d/1BJSV3WBYJGRhQ6zExamkszQ5VutGIcaQqmbD9ZTVXMQ/edit#gid=1251630045"",""articles_with_PRISMA_reasons!C2:C2113""), $A1419=IMPORTRANGE(""https://docs.google.com/spreadsheets/d/1BJSV3WBYJGRhQ6zExamkszQ"&amp;"5VutGIcaQqmbD9ZTVXMQ/edit#gid=1251630045"",""articles_with_PRISMA_reasons!B2:B2113""))"),2008.0)</f>
        <v>2008</v>
      </c>
      <c r="D1419" s="5" t="str">
        <f>IFERROR(__xludf.DUMMYFUNCTION("IFS(AND(
FILTER(IMPORTRANGE(""https://docs.google.com/spreadsheets/d/1BJSV3WBYJGRhQ6zExamkszQ5VutGIcaQqmbD9ZTVXMQ/edit#gid=1251630045"",""articles_with_PRISMA_reasons!Y2:Y2113""), $A1419=IMPORTRANGE(""https://docs.google.com/spreadsheets/d/1BJSV3WBYJGRhQ6"&amp;"zExamkszQ5VutGIcaQqmbD9ZTVXMQ/edit#gid=1251630045"",""articles_with_PRISMA_reasons!B2:B2113""))&gt;=2,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$A1419=IMPORTRANGE(""https://docs.google.com/spreadsheets/d/1BJSV3WBYJGRhQ6zExamkszQ5VutGIcaQqmbD9ZTVXMQ/edit#gid=1251630045"",""articles_with_PRISMA_reasons!B2:B2113""))&lt;2),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$A1419=IMPORTRANGE(""https://docs.google.com/spreadsheets/d/1BJSV3WBYJGRhQ6zExamkszQ5VutGIcaQqmbD9ZTVXMQ/edit#gid=1251630045"",""a"&amp;"rticles_with_PRISMA_reasons!B2:B2113""))&lt;2,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$A1419=IMPORTRANGE(""https://docs.google"&amp;".com/spreadsheets/d/1BJSV3WBYJGRhQ6zExamkszQ5VutGIcaQqmbD9ZTVXMQ/edit#gid=1251630045"",""articles_with_PRISMA_reasons!B2:B2113""))&gt;=2),
""Exclude""
)"),"Exclude")</f>
        <v>Exclude</v>
      </c>
      <c r="E1419" s="5" t="str">
        <f>IFERROR(__xludf.DUMMYFUNCTION("IFS(
D1419=""Exclude"",""Exclude"",
AND(
FILTER(IMPORTRANGE(""https://docs.google.com/spreadsheets/d/1qpEmbGH0JjaJbUdp21-y2cPbobDbMjr09BbtdKROZWc/edit#gid=1444865654"",""articles_with_PRISMA_reasons!W2:W2113""), $A1419=IMPORTRANGE(""https://docs.google.co"&amp;"m/spreadsheets/d/1qpEmbGH0JjaJbUdp21-y2cPbobDbMjr09BbtdKROZWc/edit#gid=1444865654"",""articles_with_PRISMA_reasons!B2:B2113""))&gt;=2,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$A1419=IMPORTRANGE(""https://docs.google.com/spreadsheets/d/1qpEmbGH0JjaJbUdp21-y2cPbobDbMjr09BbtdKROZWc/edit#gid=1444865654"",""articles_with_PRISMA_reasons!B2:B2113""))&lt;2),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$A1419=IMPORTRANGE(""https://docs.google.com/spreadsheets/d/1qpEmbGH0JjaJbUdp21-y2cPbobDbMjr09Bbtd"&amp;"KROZWc/edit#gid=1444865654"",""articles_with_PRISMA_reasons!B2:B2113""))&lt;2,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$A1419=I"&amp;"MPORTRANGE(""https://docs.google.com/spreadsheets/d/1qpEmbGH0JjaJbUdp21-y2cPbobDbMjr09BbtdKROZWc/edit#gid=1444865654"",""articles_with_PRISMA_reasons!B2:B2113""))&gt;=2),
""Exclude""
)"),"Exclude")</f>
        <v>Exclude</v>
      </c>
      <c r="F1419" s="5" t="str">
        <f>IFERROR(__xludf.DUMMYFUNCTION("IFS(
E1419=""Exclude"",""Exclude"",
AND(
COUNTIF(
IMPORTRANGE(""https://docs.google.com/spreadsheets/d/1kGrh75X1cNR1D7_FcY9zMnHP8iPO4M5RCRjy6nZY0TY/edit#gid=0"",""Table 1: Study characteristics!B4:B171""),A1419)&gt;0,
COUNTIF(Studies!$A$2:$A$85,FILTER(IMPORT"&amp;"RANGE(""https://docs.google.com/spreadsheets/d/1kGrh75X1cNR1D7_FcY9zMnHP8iPO4M5RCRjy6nZY0TY/edit#gid=0"",""Table 1: Study characteristics!A4:A171""), $A1419=IMPORTRANGE(""https://docs.google.com/spreadsheets/d/1kGrh75X1cNR1D7_FcY9zMnHP8iPO4M5RCRjy6nZY0TY/"&amp;"edit#gid=0"",""Table 1: Study characteristics!B4:B171"")))&gt;0
),
""Include""
)"),"Exclude")</f>
        <v>Exclude</v>
      </c>
      <c r="G1419" s="5" t="str">
        <f>IFERROR(__xludf.DUMMYFUNCTION("IFS(
D1419=""Exclude"",
FILTER(IMPORTRANGE(""https://docs.google.com/spreadsheets/d/1BJSV3WBYJGRhQ6zExamkszQ5VutGIcaQqmbD9ZTVXMQ/edit#gid=1251630045"",""articles_with_PRISMA_reasons!AB2:AB2113""), $A1419=IMPORTRANGE(""https://docs.google.com/spreadsheets/"&amp;"d/1BJSV3WBYJGRhQ6zExamkszQ5VutGIcaQqmbD9ZTVXMQ/edit#gid=1251630045"",""articles_with_PRISMA_reasons!B2:B2113"")),
E1419=""Exclude"",
FILTER(IMPORTRANGE(""https://docs.google.com/spreadsheets/d/1qpEmbGH0JjaJbUdp21-y2cPbobDbMjr09BbtdKROZWc/edit#gid=14448656"&amp;"54"",""articles_with_PRISMA_reasons!Z2:Z2113""), $A1419=IMPORTRANGE(""https://docs.google.com/spreadsheets/d/1qpEmbGH0JjaJbUdp21-y2cPbobDbMjr09BbtdKROZWc/edit#gid=1444865654"",""articles_with_PRISMA_reasons!B2:B2113"")),F1419
=""Include"",FILTER(IMPORTRAN"&amp;"GE(""https://docs.google.com/spreadsheets/d/1kGrh75X1cNR1D7_FcY9zMnHP8iPO4M5RCRjy6nZY0TY/edit#gid=0"",""Table 1: Study characteristics!A4:A171""), $A1419=IMPORTRANGE(""https://docs.google.com/spreadsheets/d/1kGrh75X1cNR1D7_FcY9zMnHP8iPO4M5RCRjy6nZY0TY/edi"&amp;"t#gid=0"",""Table 1: Study characteristics!B4:B171""))
)"),"wrong study design")</f>
        <v>wrong study design</v>
      </c>
    </row>
    <row r="1420">
      <c r="A1420" s="4" t="str">
        <f>IFERROR(__xludf.DUMMYFUNCTION("""COMPUTED_VALUE"""),"Pediatric hydrocephalus outcomes in Lusaka, Zambia")</f>
        <v>Pediatric hydrocephalus outcomes in Lusaka, Zambia</v>
      </c>
      <c r="B1420" s="5" t="str">
        <f>IFERROR(__xludf.DUMMYFUNCTION("LEFT(FILTER(IMPORTRANGE(""https://docs.google.com/spreadsheets/d/1BJSV3WBYJGRhQ6zExamkszQ5VutGIcaQqmbD9ZTVXMQ/edit#gid=1251630045"",""articles_with_PRISMA_reasons!K2:K2113""), $A1420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$A1420=IMPORTRANGE(""https://docs.google.com/spreadsheets/d/1BJSV3WBYJGRhQ6zExamkszQ5VutGIcaQqmbD9ZTVXMQ/edit#gid=1251630045"",""articles_with_PRISMA_reasons!B2:B2113"")))-1)"),"Bhebhe")</f>
        <v>Bhebhe</v>
      </c>
      <c r="C1420" s="6">
        <f>IFERROR(__xludf.DUMMYFUNCTION("FILTER(IMPORTRANGE(""https://docs.google.com/spreadsheets/d/1BJSV3WBYJGRhQ6zExamkszQ5VutGIcaQqmbD9ZTVXMQ/edit#gid=1251630045"",""articles_with_PRISMA_reasons!C2:C2113""), $A1420=IMPORTRANGE(""https://docs.google.com/spreadsheets/d/1BJSV3WBYJGRhQ6zExamkszQ"&amp;"5VutGIcaQqmbD9ZTVXMQ/edit#gid=1251630045"",""articles_with_PRISMA_reasons!B2:B2113""))"),2020.0)</f>
        <v>2020</v>
      </c>
      <c r="D1420" s="5" t="str">
        <f>IFERROR(__xludf.DUMMYFUNCTION("IFS(AND(
FILTER(IMPORTRANGE(""https://docs.google.com/spreadsheets/d/1BJSV3WBYJGRhQ6zExamkszQ5VutGIcaQqmbD9ZTVXMQ/edit#gid=1251630045"",""articles_with_PRISMA_reasons!Y2:Y2113""), $A1420=IMPORTRANGE(""https://docs.google.com/spreadsheets/d/1BJSV3WBYJGRhQ6"&amp;"zExamkszQ5VutGIcaQqmbD9ZTVXMQ/edit#gid=1251630045"",""articles_with_PRISMA_reasons!B2:B2113""))&gt;=2,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$A1420=IMPORTRANGE(""https://docs.google.com/spreadsheets/d/1BJSV3WBYJGRhQ6zExamkszQ5VutGIcaQqmbD9ZTVXMQ/edit#gid=1251630045"",""articles_with_PRISMA_reasons!B2:B2113""))&lt;2),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$A1420=IMPORTRANGE(""https://docs.google.com/spreadsheets/d/1BJSV3WBYJGRhQ6zExamkszQ5VutGIcaQqmbD9ZTVXMQ/edit#gid=1251630045"",""a"&amp;"rticles_with_PRISMA_reasons!B2:B2113""))&lt;2,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$A1420=IMPORTRANGE(""https://docs.google"&amp;".com/spreadsheets/d/1BJSV3WBYJGRhQ6zExamkszQ5VutGIcaQqmbD9ZTVXMQ/edit#gid=1251630045"",""articles_with_PRISMA_reasons!B2:B2113""))&gt;=2),
""Exclude""
)"),"Include")</f>
        <v>Include</v>
      </c>
      <c r="E1420" s="5" t="str">
        <f>IFERROR(__xludf.DUMMYFUNCTION("IFS(
D1420=""Exclude"",""Exclude"",
AND(
FILTER(IMPORTRANGE(""https://docs.google.com/spreadsheets/d/1qpEmbGH0JjaJbUdp21-y2cPbobDbMjr09BbtdKROZWc/edit#gid=1444865654"",""articles_with_PRISMA_reasons!W2:W2113""), $A1420=IMPORTRANGE(""https://docs.google.co"&amp;"m/spreadsheets/d/1qpEmbGH0JjaJbUdp21-y2cPbobDbMjr09BbtdKROZWc/edit#gid=1444865654"",""articles_with_PRISMA_reasons!B2:B2113""))&gt;=2,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$A1420=IMPORTRANGE(""https://docs.google.com/spreadsheets/d/1qpEmbGH0JjaJbUdp21-y2cPbobDbMjr09BbtdKROZWc/edit#gid=1444865654"",""articles_with_PRISMA_reasons!B2:B2113""))&lt;2),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$A1420=IMPORTRANGE(""https://docs.google.com/spreadsheets/d/1qpEmbGH0JjaJbUdp21-y2cPbobDbMjr09Bbtd"&amp;"KROZWc/edit#gid=1444865654"",""articles_with_PRISMA_reasons!B2:B2113""))&lt;2,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$A1420=I"&amp;"MPORTRANGE(""https://docs.google.com/spreadsheets/d/1qpEmbGH0JjaJbUdp21-y2cPbobDbMjr09BbtdKROZWc/edit#gid=1444865654"",""articles_with_PRISMA_reasons!B2:B2113""))&gt;=2),
""Exclude""
)"),"Include")</f>
        <v>Include</v>
      </c>
      <c r="F1420" s="2" t="s">
        <v>8</v>
      </c>
      <c r="G1420" s="2" t="s">
        <v>17</v>
      </c>
    </row>
    <row r="1421">
      <c r="A1421" s="4" t="str">
        <f>IFERROR(__xludf.DUMMYFUNCTION("""COMPUTED_VALUE"""),"Pediatric hydrocephalus: 40-year outcomes in 128 hydrocephalic patients treated with shunts during childhood. Assessment of surgical outcome, work participation, and health-related quality of life")</f>
        <v>Pediatric hydrocephalus: 40-year outcomes in 128 hydrocephalic patients treated with shunts during childhood. Assessment of surgical outcome, work participation, and health-related quality of life</v>
      </c>
      <c r="B1421" s="5" t="str">
        <f>IFERROR(__xludf.DUMMYFUNCTION("LEFT(FILTER(IMPORTRANGE(""https://docs.google.com/spreadsheets/d/1BJSV3WBYJGRhQ6zExamkszQ5VutGIcaQqmbD9ZTVXMQ/edit#gid=1251630045"",""articles_with_PRISMA_reasons!K2:K2113""), $A1421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$A1421=IMPORTRANGE(""https://docs.google.com/spreadsheets/d/1BJSV3WBYJGRhQ6zExamkszQ5VutGIcaQqmbD9ZTVXMQ/edit#gid=1251630045"",""articles_with_PRISMA_reasons!B2:B2113"")))-1)"),"Paulsen")</f>
        <v>Paulsen</v>
      </c>
      <c r="C1421" s="6" t="str">
        <f>IFERROR(__xludf.DUMMYFUNCTION("FILTER(IMPORTRANGE(""https://docs.google.com/spreadsheets/d/1BJSV3WBYJGRhQ6zExamkszQ5VutGIcaQqmbD9ZTVXMQ/edit#gid=1251630045"",""articles_with_PRISMA_reasons!C2:C2113""), $A1421=IMPORTRANGE(""https://docs.google.com/spreadsheets/d/1BJSV3WBYJGRhQ6zExamkszQ"&amp;"5VutGIcaQqmbD9ZTVXMQ/edit#gid=1251630045"",""articles_with_PRISMA_reasons!B2:B2113""))"),"Dec")</f>
        <v>Dec</v>
      </c>
      <c r="D1421" s="5" t="str">
        <f>IFERROR(__xludf.DUMMYFUNCTION("IFS(AND(
FILTER(IMPORTRANGE(""https://docs.google.com/spreadsheets/d/1BJSV3WBYJGRhQ6zExamkszQ5VutGIcaQqmbD9ZTVXMQ/edit#gid=1251630045"",""articles_with_PRISMA_reasons!Y2:Y2113""), $A1421=IMPORTRANGE(""https://docs.google.com/spreadsheets/d/1BJSV3WBYJGRhQ6"&amp;"zExamkszQ5VutGIcaQqmbD9ZTVXMQ/edit#gid=1251630045"",""articles_with_PRISMA_reasons!B2:B2113""))&gt;=2,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$A1421=IMPORTRANGE(""https://docs.google.com/spreadsheets/d/1BJSV3WBYJGRhQ6zExamkszQ5VutGIcaQqmbD9ZTVXMQ/edit#gid=1251630045"",""articles_with_PRISMA_reasons!B2:B2113""))&lt;2),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$A1421=IMPORTRANGE(""https://docs.google.com/spreadsheets/d/1BJSV3WBYJGRhQ6zExamkszQ5VutGIcaQqmbD9ZTVXMQ/edit#gid=1251630045"",""a"&amp;"rticles_with_PRISMA_reasons!B2:B2113""))&lt;2,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$A1421=IMPORTRANGE(""https://docs.google"&amp;".com/spreadsheets/d/1BJSV3WBYJGRhQ6zExamkszQ5VutGIcaQqmbD9ZTVXMQ/edit#gid=1251630045"",""articles_with_PRISMA_reasons!B2:B2113""))&gt;=2),
""Exclude""
)"),"Include")</f>
        <v>Include</v>
      </c>
      <c r="E1421" s="5" t="str">
        <f>IFERROR(__xludf.DUMMYFUNCTION("IFS(
D1421=""Exclude"",""Exclude"",
AND(
FILTER(IMPORTRANGE(""https://docs.google.com/spreadsheets/d/1qpEmbGH0JjaJbUdp21-y2cPbobDbMjr09BbtdKROZWc/edit#gid=1444865654"",""articles_with_PRISMA_reasons!W2:W2113""), $A1421=IMPORTRANGE(""https://docs.google.co"&amp;"m/spreadsheets/d/1qpEmbGH0JjaJbUdp21-y2cPbobDbMjr09BbtdKROZWc/edit#gid=1444865654"",""articles_with_PRISMA_reasons!B2:B2113""))&gt;=2,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$A1421=IMPORTRANGE(""https://docs.google.com/spreadsheets/d/1qpEmbGH0JjaJbUdp21-y2cPbobDbMjr09BbtdKROZWc/edit#gid=1444865654"",""articles_with_PRISMA_reasons!B2:B2113""))&lt;2),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$A1421=IMPORTRANGE(""https://docs.google.com/spreadsheets/d/1qpEmbGH0JjaJbUdp21-y2cPbobDbMjr09Bbtd"&amp;"KROZWc/edit#gid=1444865654"",""articles_with_PRISMA_reasons!B2:B2113""))&lt;2,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$A1421=I"&amp;"MPORTRANGE(""https://docs.google.com/spreadsheets/d/1qpEmbGH0JjaJbUdp21-y2cPbobDbMjr09BbtdKROZWc/edit#gid=1444865654"",""articles_with_PRISMA_reasons!B2:B2113""))&gt;=2),
""Exclude""
)"),"Exclude")</f>
        <v>Exclude</v>
      </c>
      <c r="F1421" s="5" t="str">
        <f>IFERROR(__xludf.DUMMYFUNCTION("IFS(
E1421=""Exclude"",""Exclude"",
AND(
COUNTIF(
IMPORTRANGE(""https://docs.google.com/spreadsheets/d/1kGrh75X1cNR1D7_FcY9zMnHP8iPO4M5RCRjy6nZY0TY/edit#gid=0"",""Table 1: Study characteristics!B4:B171""),A1421)&gt;0,
COUNTIF(Studies!$A$2:$A$85,FILTER(IMPORT"&amp;"RANGE(""https://docs.google.com/spreadsheets/d/1kGrh75X1cNR1D7_FcY9zMnHP8iPO4M5RCRjy6nZY0TY/edit#gid=0"",""Table 1: Study characteristics!A4:A171""), $A1421=IMPORTRANGE(""https://docs.google.com/spreadsheets/d/1kGrh75X1cNR1D7_FcY9zMnHP8iPO4M5RCRjy6nZY0TY/"&amp;"edit#gid=0"",""Table 1: Study characteristics!B4:B171"")))&gt;0
),
""Include""
)"),"Exclude")</f>
        <v>Exclude</v>
      </c>
      <c r="G1421" s="5" t="str">
        <f>IFERROR(__xludf.DUMMYFUNCTION("IFS(
D1421=""Exclude"",
FILTER(IMPORTRANGE(""https://docs.google.com/spreadsheets/d/1BJSV3WBYJGRhQ6zExamkszQ5VutGIcaQqmbD9ZTVXMQ/edit#gid=1251630045"",""articles_with_PRISMA_reasons!AB2:AB2113""), $A1421=IMPORTRANGE(""https://docs.google.com/spreadsheets/"&amp;"d/1BJSV3WBYJGRhQ6zExamkszQ5VutGIcaQqmbD9ZTVXMQ/edit#gid=1251630045"",""articles_with_PRISMA_reasons!B2:B2113"")),
E1421=""Exclude"",
FILTER(IMPORTRANGE(""https://docs.google.com/spreadsheets/d/1qpEmbGH0JjaJbUdp21-y2cPbobDbMjr09BbtdKROZWc/edit#gid=14448656"&amp;"54"",""articles_with_PRISMA_reasons!Z2:Z2113""), $A1421=IMPORTRANGE(""https://docs.google.com/spreadsheets/d/1qpEmbGH0JjaJbUdp21-y2cPbobDbMjr09BbtdKROZWc/edit#gid=1444865654"",""articles_with_PRISMA_reasons!B2:B2113"")),F1421
=""Include"",FILTER(IMPORTRAN"&amp;"GE(""https://docs.google.com/spreadsheets/d/1kGrh75X1cNR1D7_FcY9zMnHP8iPO4M5RCRjy6nZY0TY/edit#gid=0"",""Table 1: Study characteristics!A4:A171""), $A1421=IMPORTRANGE(""https://docs.google.com/spreadsheets/d/1kGrh75X1cNR1D7_FcY9zMnHP8iPO4M5RCRjy6nZY0TY/edi"&amp;"t#gid=0"",""Table 1: Study characteristics!B4:B171""))
)"),"wrong population")</f>
        <v>wrong population</v>
      </c>
    </row>
    <row r="1422">
      <c r="A1422" s="4" t="str">
        <f>IFERROR(__xludf.DUMMYFUNCTION("""COMPUTED_VALUE"""),"Pediatric hydrocephalus: Current management")</f>
        <v>Pediatric hydrocephalus: Current management</v>
      </c>
      <c r="B1422" s="5" t="str">
        <f>IFERROR(__xludf.DUMMYFUNCTION("LEFT(FILTER(IMPORTRANGE(""https://docs.google.com/spreadsheets/d/1BJSV3WBYJGRhQ6zExamkszQ5VutGIcaQqmbD9ZTVXMQ/edit#gid=1251630045"",""articles_with_PRISMA_reasons!K2:K2113""), $A1422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$A1422=IMPORTRANGE(""https://docs.google.com/spreadsheets/d/1BJSV3WBYJGRhQ6zExamkszQ5VutGIcaQqmbD9ZTVXMQ/edit#gid=1251630045"",""articles_with_PRISMA_reasons!B2:B2113"")))-1)"),"Kestle")</f>
        <v>Kestle</v>
      </c>
      <c r="C1422" s="6">
        <f>IFERROR(__xludf.DUMMYFUNCTION("FILTER(IMPORTRANGE(""https://docs.google.com/spreadsheets/d/1BJSV3WBYJGRhQ6zExamkszQ5VutGIcaQqmbD9ZTVXMQ/edit#gid=1251630045"",""articles_with_PRISMA_reasons!C2:C2113""), $A1422=IMPORTRANGE(""https://docs.google.com/spreadsheets/d/1BJSV3WBYJGRhQ6zExamkszQ"&amp;"5VutGIcaQqmbD9ZTVXMQ/edit#gid=1251630045"",""articles_with_PRISMA_reasons!B2:B2113""))"),2003.0)</f>
        <v>2003</v>
      </c>
      <c r="D1422" s="5" t="str">
        <f>IFERROR(__xludf.DUMMYFUNCTION("IFS(AND(
FILTER(IMPORTRANGE(""https://docs.google.com/spreadsheets/d/1BJSV3WBYJGRhQ6zExamkszQ5VutGIcaQqmbD9ZTVXMQ/edit#gid=1251630045"",""articles_with_PRISMA_reasons!Y2:Y2113""), $A1422=IMPORTRANGE(""https://docs.google.com/spreadsheets/d/1BJSV3WBYJGRhQ6"&amp;"zExamkszQ5VutGIcaQqmbD9ZTVXMQ/edit#gid=1251630045"",""articles_with_PRISMA_reasons!B2:B2113""))&gt;=2,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$A1422=IMPORTRANGE(""https://docs.google.com/spreadsheets/d/1BJSV3WBYJGRhQ6zExamkszQ5VutGIcaQqmbD9ZTVXMQ/edit#gid=1251630045"",""articles_with_PRISMA_reasons!B2:B2113""))&lt;2),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$A1422=IMPORTRANGE(""https://docs.google.com/spreadsheets/d/1BJSV3WBYJGRhQ6zExamkszQ5VutGIcaQqmbD9ZTVXMQ/edit#gid=1251630045"",""a"&amp;"rticles_with_PRISMA_reasons!B2:B2113""))&lt;2,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$A1422=IMPORTRANGE(""https://docs.google"&amp;".com/spreadsheets/d/1BJSV3WBYJGRhQ6zExamkszQ5VutGIcaQqmbD9ZTVXMQ/edit#gid=1251630045"",""articles_with_PRISMA_reasons!B2:B2113""))&gt;=2),
""Exclude""
)"),"Exclude")</f>
        <v>Exclude</v>
      </c>
      <c r="E1422" s="5" t="str">
        <f>IFERROR(__xludf.DUMMYFUNCTION("IFS(
D1422=""Exclude"",""Exclude"",
AND(
FILTER(IMPORTRANGE(""https://docs.google.com/spreadsheets/d/1qpEmbGH0JjaJbUdp21-y2cPbobDbMjr09BbtdKROZWc/edit#gid=1444865654"",""articles_with_PRISMA_reasons!W2:W2113""), $A1422=IMPORTRANGE(""https://docs.google.co"&amp;"m/spreadsheets/d/1qpEmbGH0JjaJbUdp21-y2cPbobDbMjr09BbtdKROZWc/edit#gid=1444865654"",""articles_with_PRISMA_reasons!B2:B2113""))&gt;=2,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$A1422=IMPORTRANGE(""https://docs.google.com/spreadsheets/d/1qpEmbGH0JjaJbUdp21-y2cPbobDbMjr09BbtdKROZWc/edit#gid=1444865654"",""articles_with_PRISMA_reasons!B2:B2113""))&lt;2),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$A1422=IMPORTRANGE(""https://docs.google.com/spreadsheets/d/1qpEmbGH0JjaJbUdp21-y2cPbobDbMjr09Bbtd"&amp;"KROZWc/edit#gid=1444865654"",""articles_with_PRISMA_reasons!B2:B2113""))&lt;2,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$A1422=I"&amp;"MPORTRANGE(""https://docs.google.com/spreadsheets/d/1qpEmbGH0JjaJbUdp21-y2cPbobDbMjr09BbtdKROZWc/edit#gid=1444865654"",""articles_with_PRISMA_reasons!B2:B2113""))&gt;=2),
""Exclude""
)"),"Exclude")</f>
        <v>Exclude</v>
      </c>
      <c r="F1422" s="5" t="str">
        <f>IFERROR(__xludf.DUMMYFUNCTION("IFS(
E1422=""Exclude"",""Exclude"",
AND(
COUNTIF(
IMPORTRANGE(""https://docs.google.com/spreadsheets/d/1kGrh75X1cNR1D7_FcY9zMnHP8iPO4M5RCRjy6nZY0TY/edit#gid=0"",""Table 1: Study characteristics!B4:B171""),A1422)&gt;0,
COUNTIF(Studies!$A$2:$A$85,FILTER(IMPORT"&amp;"RANGE(""https://docs.google.com/spreadsheets/d/1kGrh75X1cNR1D7_FcY9zMnHP8iPO4M5RCRjy6nZY0TY/edit#gid=0"",""Table 1: Study characteristics!A4:A171""), $A1422=IMPORTRANGE(""https://docs.google.com/spreadsheets/d/1kGrh75X1cNR1D7_FcY9zMnHP8iPO4M5RCRjy6nZY0TY/"&amp;"edit#gid=0"",""Table 1: Study characteristics!B4:B171"")))&gt;0
),
""Include""
)"),"Exclude")</f>
        <v>Exclude</v>
      </c>
      <c r="G1422" s="5" t="str">
        <f>IFERROR(__xludf.DUMMYFUNCTION("IFS(
D1422=""Exclude"",
FILTER(IMPORTRANGE(""https://docs.google.com/spreadsheets/d/1BJSV3WBYJGRhQ6zExamkszQ5VutGIcaQqmbD9ZTVXMQ/edit#gid=1251630045"",""articles_with_PRISMA_reasons!AB2:AB2113""), $A1422=IMPORTRANGE(""https://docs.google.com/spreadsheets/"&amp;"d/1BJSV3WBYJGRhQ6zExamkszQ5VutGIcaQqmbD9ZTVXMQ/edit#gid=1251630045"",""articles_with_PRISMA_reasons!B2:B2113"")),
E1422=""Exclude"",
FILTER(IMPORTRANGE(""https://docs.google.com/spreadsheets/d/1qpEmbGH0JjaJbUdp21-y2cPbobDbMjr09BbtdKROZWc/edit#gid=14448656"&amp;"54"",""articles_with_PRISMA_reasons!Z2:Z2113""), $A1422=IMPORTRANGE(""https://docs.google.com/spreadsheets/d/1qpEmbGH0JjaJbUdp21-y2cPbobDbMjr09BbtdKROZWc/edit#gid=1444865654"",""articles_with_PRISMA_reasons!B2:B2113"")),F1422
=""Include"",FILTER(IMPORTRAN"&amp;"GE(""https://docs.google.com/spreadsheets/d/1kGrh75X1cNR1D7_FcY9zMnHP8iPO4M5RCRjy6nZY0TY/edit#gid=0"",""Table 1: Study characteristics!A4:A171""), $A1422=IMPORTRANGE(""https://docs.google.com/spreadsheets/d/1kGrh75X1cNR1D7_FcY9zMnHP8iPO4M5RCRjy6nZY0TY/edi"&amp;"t#gid=0"",""Table 1: Study characteristics!B4:B171""))
)"),"wrong study design")</f>
        <v>wrong study design</v>
      </c>
    </row>
    <row r="1423">
      <c r="A1423" s="4" t="str">
        <f>IFERROR(__xludf.DUMMYFUNCTION("""COMPUTED_VALUE"""),"Pediatric neuroanesthesia. Hydrocephalus")</f>
        <v>Pediatric neuroanesthesia. Hydrocephalus</v>
      </c>
      <c r="B1423" s="5" t="str">
        <f>IFERROR(__xludf.DUMMYFUNCTION("LEFT(FILTER(IMPORTRANGE(""https://docs.google.com/spreadsheets/d/1BJSV3WBYJGRhQ6zExamkszQ5VutGIcaQqmbD9ZTVXMQ/edit#gid=1251630045"",""articles_with_PRISMA_reasons!K2:K2113""), $A1423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$A1423=IMPORTRANGE(""https://docs.google.com/spreadsheets/d/1BJSV3WBYJGRhQ6zExamkszQ5VutGIcaQqmbD9ZTVXMQ/edit#gid=1251630045"",""articles_with_PRISMA_reasons!B2:B2113"")))-1)"),"Hamid")</f>
        <v>Hamid</v>
      </c>
      <c r="C1423" s="6">
        <f>IFERROR(__xludf.DUMMYFUNCTION("FILTER(IMPORTRANGE(""https://docs.google.com/spreadsheets/d/1BJSV3WBYJGRhQ6zExamkszQ5VutGIcaQqmbD9ZTVXMQ/edit#gid=1251630045"",""articles_with_PRISMA_reasons!C2:C2113""), $A1423=IMPORTRANGE(""https://docs.google.com/spreadsheets/d/1BJSV3WBYJGRhQ6zExamkszQ"&amp;"5VutGIcaQqmbD9ZTVXMQ/edit#gid=1251630045"",""articles_with_PRISMA_reasons!B2:B2113""))"),2001.0)</f>
        <v>2001</v>
      </c>
      <c r="D1423" s="5" t="str">
        <f>IFERROR(__xludf.DUMMYFUNCTION("IFS(AND(
FILTER(IMPORTRANGE(""https://docs.google.com/spreadsheets/d/1BJSV3WBYJGRhQ6zExamkszQ5VutGIcaQqmbD9ZTVXMQ/edit#gid=1251630045"",""articles_with_PRISMA_reasons!Y2:Y2113""), $A1423=IMPORTRANGE(""https://docs.google.com/spreadsheets/d/1BJSV3WBYJGRhQ6"&amp;"zExamkszQ5VutGIcaQqmbD9ZTVXMQ/edit#gid=1251630045"",""articles_with_PRISMA_reasons!B2:B2113""))&gt;=2,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$A1423=IMPORTRANGE(""https://docs.google.com/spreadsheets/d/1BJSV3WBYJGRhQ6zExamkszQ5VutGIcaQqmbD9ZTVXMQ/edit#gid=1251630045"",""articles_with_PRISMA_reasons!B2:B2113""))&lt;2),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$A1423=IMPORTRANGE(""https://docs.google.com/spreadsheets/d/1BJSV3WBYJGRhQ6zExamkszQ5VutGIcaQqmbD9ZTVXMQ/edit#gid=1251630045"",""a"&amp;"rticles_with_PRISMA_reasons!B2:B2113""))&lt;2,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$A1423=IMPORTRANGE(""https://docs.google"&amp;".com/spreadsheets/d/1BJSV3WBYJGRhQ6zExamkszQ5VutGIcaQqmbD9ZTVXMQ/edit#gid=1251630045"",""articles_with_PRISMA_reasons!B2:B2113""))&gt;=2),
""Exclude""
)"),"Exclude")</f>
        <v>Exclude</v>
      </c>
      <c r="E1423" s="5" t="str">
        <f>IFERROR(__xludf.DUMMYFUNCTION("IFS(
D1423=""Exclude"",""Exclude"",
AND(
FILTER(IMPORTRANGE(""https://docs.google.com/spreadsheets/d/1qpEmbGH0JjaJbUdp21-y2cPbobDbMjr09BbtdKROZWc/edit#gid=1444865654"",""articles_with_PRISMA_reasons!W2:W2113""), $A1423=IMPORTRANGE(""https://docs.google.co"&amp;"m/spreadsheets/d/1qpEmbGH0JjaJbUdp21-y2cPbobDbMjr09BbtdKROZWc/edit#gid=1444865654"",""articles_with_PRISMA_reasons!B2:B2113""))&gt;=2,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$A1423=IMPORTRANGE(""https://docs.google.com/spreadsheets/d/1qpEmbGH0JjaJbUdp21-y2cPbobDbMjr09BbtdKROZWc/edit#gid=1444865654"",""articles_with_PRISMA_reasons!B2:B2113""))&lt;2),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$A1423=IMPORTRANGE(""https://docs.google.com/spreadsheets/d/1qpEmbGH0JjaJbUdp21-y2cPbobDbMjr09Bbtd"&amp;"KROZWc/edit#gid=1444865654"",""articles_with_PRISMA_reasons!B2:B2113""))&lt;2,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$A1423=I"&amp;"MPORTRANGE(""https://docs.google.com/spreadsheets/d/1qpEmbGH0JjaJbUdp21-y2cPbobDbMjr09BbtdKROZWc/edit#gid=1444865654"",""articles_with_PRISMA_reasons!B2:B2113""))&gt;=2),
""Exclude""
)"),"Exclude")</f>
        <v>Exclude</v>
      </c>
      <c r="F1423" s="5" t="str">
        <f>IFERROR(__xludf.DUMMYFUNCTION("IFS(
E1423=""Exclude"",""Exclude"",
AND(
COUNTIF(
IMPORTRANGE(""https://docs.google.com/spreadsheets/d/1kGrh75X1cNR1D7_FcY9zMnHP8iPO4M5RCRjy6nZY0TY/edit#gid=0"",""Table 1: Study characteristics!B4:B171""),A1423)&gt;0,
COUNTIF(Studies!$A$2:$A$85,FILTER(IMPORT"&amp;"RANGE(""https://docs.google.com/spreadsheets/d/1kGrh75X1cNR1D7_FcY9zMnHP8iPO4M5RCRjy6nZY0TY/edit#gid=0"",""Table 1: Study characteristics!A4:A171""), $A1423=IMPORTRANGE(""https://docs.google.com/spreadsheets/d/1kGrh75X1cNR1D7_FcY9zMnHP8iPO4M5RCRjy6nZY0TY/"&amp;"edit#gid=0"",""Table 1: Study characteristics!B4:B171"")))&gt;0
),
""Include""
)"),"Exclude")</f>
        <v>Exclude</v>
      </c>
      <c r="G1423" s="5" t="str">
        <f>IFERROR(__xludf.DUMMYFUNCTION("IFS(
D1423=""Exclude"",
FILTER(IMPORTRANGE(""https://docs.google.com/spreadsheets/d/1BJSV3WBYJGRhQ6zExamkszQ5VutGIcaQqmbD9ZTVXMQ/edit#gid=1251630045"",""articles_with_PRISMA_reasons!AB2:AB2113""), $A1423=IMPORTRANGE(""https://docs.google.com/spreadsheets/"&amp;"d/1BJSV3WBYJGRhQ6zExamkszQ5VutGIcaQqmbD9ZTVXMQ/edit#gid=1251630045"",""articles_with_PRISMA_reasons!B2:B2113"")),
E1423=""Exclude"",
FILTER(IMPORTRANGE(""https://docs.google.com/spreadsheets/d/1qpEmbGH0JjaJbUdp21-y2cPbobDbMjr09BbtdKROZWc/edit#gid=14448656"&amp;"54"",""articles_with_PRISMA_reasons!Z2:Z2113""), $A1423=IMPORTRANGE(""https://docs.google.com/spreadsheets/d/1qpEmbGH0JjaJbUdp21-y2cPbobDbMjr09BbtdKROZWc/edit#gid=1444865654"",""articles_with_PRISMA_reasons!B2:B2113"")),F1423
=""Include"",FILTER(IMPORTRAN"&amp;"GE(""https://docs.google.com/spreadsheets/d/1kGrh75X1cNR1D7_FcY9zMnHP8iPO4M5RCRjy6nZY0TY/edit#gid=0"",""Table 1: Study characteristics!A4:A171""), $A1423=IMPORTRANGE(""https://docs.google.com/spreadsheets/d/1kGrh75X1cNR1D7_FcY9zMnHP8iPO4M5RCRjy6nZY0TY/edi"&amp;"t#gid=0"",""Table 1: Study characteristics!B4:B171""))
)"),"wrong population")</f>
        <v>wrong population</v>
      </c>
    </row>
    <row r="1424">
      <c r="A1424" s="4" t="str">
        <f>IFERROR(__xludf.DUMMYFUNCTION("""COMPUTED_VALUE"""),"Pediatric neurosurgeons' views regarding prenatal surgery for myelomeningocele and the management of hydrocephalus: a national survey")</f>
        <v>Pediatric neurosurgeons' views regarding prenatal surgery for myelomeningocele and the management of hydrocephalus: a national survey</v>
      </c>
      <c r="B1424" s="5" t="str">
        <f>IFERROR(__xludf.DUMMYFUNCTION("LEFT(FILTER(IMPORTRANGE(""https://docs.google.com/spreadsheets/d/1BJSV3WBYJGRhQ6zExamkszQ5VutGIcaQqmbD9ZTVXMQ/edit#gid=1251630045"",""articles_with_PRISMA_reasons!K2:K2113""), $A1424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$A1424=IMPORTRANGE(""https://docs.google.com/spreadsheets/d/1BJSV3WBYJGRhQ6zExamkszQ5VutGIcaQqmbD9ZTVXMQ/edit#gid=1251630045"",""articles_with_PRISMA_reasons!B2:B2113"")))-1)"),"Riley")</f>
        <v>Riley</v>
      </c>
      <c r="C1424" s="6">
        <f>IFERROR(__xludf.DUMMYFUNCTION("FILTER(IMPORTRANGE(""https://docs.google.com/spreadsheets/d/1BJSV3WBYJGRhQ6zExamkszQ5VutGIcaQqmbD9ZTVXMQ/edit#gid=1251630045"",""articles_with_PRISMA_reasons!C2:C2113""), $A1424=IMPORTRANGE(""https://docs.google.com/spreadsheets/d/1BJSV3WBYJGRhQ6zExamkszQ"&amp;"5VutGIcaQqmbD9ZTVXMQ/edit#gid=1251630045"",""articles_with_PRISMA_reasons!B2:B2113""))"),2019.0)</f>
        <v>2019</v>
      </c>
      <c r="D1424" s="5" t="str">
        <f>IFERROR(__xludf.DUMMYFUNCTION("IFS(AND(
FILTER(IMPORTRANGE(""https://docs.google.com/spreadsheets/d/1BJSV3WBYJGRhQ6zExamkszQ5VutGIcaQqmbD9ZTVXMQ/edit#gid=1251630045"",""articles_with_PRISMA_reasons!Y2:Y2113""), $A1424=IMPORTRANGE(""https://docs.google.com/spreadsheets/d/1BJSV3WBYJGRhQ6"&amp;"zExamkszQ5VutGIcaQqmbD9ZTVXMQ/edit#gid=1251630045"",""articles_with_PRISMA_reasons!B2:B2113""))&gt;=2,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$A1424=IMPORTRANGE(""https://docs.google.com/spreadsheets/d/1BJSV3WBYJGRhQ6zExamkszQ5VutGIcaQqmbD9ZTVXMQ/edit#gid=1251630045"",""articles_with_PRISMA_reasons!B2:B2113""))&lt;2),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$A1424=IMPORTRANGE(""https://docs.google.com/spreadsheets/d/1BJSV3WBYJGRhQ6zExamkszQ5VutGIcaQqmbD9ZTVXMQ/edit#gid=1251630045"",""a"&amp;"rticles_with_PRISMA_reasons!B2:B2113""))&lt;2,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$A1424=IMPORTRANGE(""https://docs.google"&amp;".com/spreadsheets/d/1BJSV3WBYJGRhQ6zExamkszQ5VutGIcaQqmbD9ZTVXMQ/edit#gid=1251630045"",""articles_with_PRISMA_reasons!B2:B2113""))&gt;=2),
""Exclude""
)"),"Exclude")</f>
        <v>Exclude</v>
      </c>
      <c r="E1424" s="5" t="str">
        <f>IFERROR(__xludf.DUMMYFUNCTION("IFS(
D1424=""Exclude"",""Exclude"",
AND(
FILTER(IMPORTRANGE(""https://docs.google.com/spreadsheets/d/1qpEmbGH0JjaJbUdp21-y2cPbobDbMjr09BbtdKROZWc/edit#gid=1444865654"",""articles_with_PRISMA_reasons!W2:W2113""), $A1424=IMPORTRANGE(""https://docs.google.co"&amp;"m/spreadsheets/d/1qpEmbGH0JjaJbUdp21-y2cPbobDbMjr09BbtdKROZWc/edit#gid=1444865654"",""articles_with_PRISMA_reasons!B2:B2113""))&gt;=2,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$A1424=IMPORTRANGE(""https://docs.google.com/spreadsheets/d/1qpEmbGH0JjaJbUdp21-y2cPbobDbMjr09BbtdKROZWc/edit#gid=1444865654"",""articles_with_PRISMA_reasons!B2:B2113""))&lt;2),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$A1424=IMPORTRANGE(""https://docs.google.com/spreadsheets/d/1qpEmbGH0JjaJbUdp21-y2cPbobDbMjr09Bbtd"&amp;"KROZWc/edit#gid=1444865654"",""articles_with_PRISMA_reasons!B2:B2113""))&lt;2,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$A1424=I"&amp;"MPORTRANGE(""https://docs.google.com/spreadsheets/d/1qpEmbGH0JjaJbUdp21-y2cPbobDbMjr09BbtdKROZWc/edit#gid=1444865654"",""articles_with_PRISMA_reasons!B2:B2113""))&gt;=2),
""Exclude""
)"),"Exclude")</f>
        <v>Exclude</v>
      </c>
      <c r="F1424" s="5" t="str">
        <f>IFERROR(__xludf.DUMMYFUNCTION("IFS(
E1424=""Exclude"",""Exclude"",
AND(
COUNTIF(
IMPORTRANGE(""https://docs.google.com/spreadsheets/d/1kGrh75X1cNR1D7_FcY9zMnHP8iPO4M5RCRjy6nZY0TY/edit#gid=0"",""Table 1: Study characteristics!B4:B171""),A1424)&gt;0,
COUNTIF(Studies!$A$2:$A$85,FILTER(IMPORT"&amp;"RANGE(""https://docs.google.com/spreadsheets/d/1kGrh75X1cNR1D7_FcY9zMnHP8iPO4M5RCRjy6nZY0TY/edit#gid=0"",""Table 1: Study characteristics!A4:A171""), $A1424=IMPORTRANGE(""https://docs.google.com/spreadsheets/d/1kGrh75X1cNR1D7_FcY9zMnHP8iPO4M5RCRjy6nZY0TY/"&amp;"edit#gid=0"",""Table 1: Study characteristics!B4:B171"")))&gt;0
),
""Include""
)"),"Exclude")</f>
        <v>Exclude</v>
      </c>
      <c r="G1424" s="5" t="str">
        <f>IFERROR(__xludf.DUMMYFUNCTION("IFS(
D1424=""Exclude"",
FILTER(IMPORTRANGE(""https://docs.google.com/spreadsheets/d/1BJSV3WBYJGRhQ6zExamkszQ5VutGIcaQqmbD9ZTVXMQ/edit#gid=1251630045"",""articles_with_PRISMA_reasons!AB2:AB2113""), $A1424=IMPORTRANGE(""https://docs.google.com/spreadsheets/"&amp;"d/1BJSV3WBYJGRhQ6zExamkszQ5VutGIcaQqmbD9ZTVXMQ/edit#gid=1251630045"",""articles_with_PRISMA_reasons!B2:B2113"")),
E1424=""Exclude"",
FILTER(IMPORTRANGE(""https://docs.google.com/spreadsheets/d/1qpEmbGH0JjaJbUdp21-y2cPbobDbMjr09BbtdKROZWc/edit#gid=14448656"&amp;"54"",""articles_with_PRISMA_reasons!Z2:Z2113""), $A1424=IMPORTRANGE(""https://docs.google.com/spreadsheets/d/1qpEmbGH0JjaJbUdp21-y2cPbobDbMjr09BbtdKROZWc/edit#gid=1444865654"",""articles_with_PRISMA_reasons!B2:B2113"")),F1424
=""Include"",FILTER(IMPORTRAN"&amp;"GE(""https://docs.google.com/spreadsheets/d/1kGrh75X1cNR1D7_FcY9zMnHP8iPO4M5RCRjy6nZY0TY/edit#gid=0"",""Table 1: Study characteristics!A4:A171""), $A1424=IMPORTRANGE(""https://docs.google.com/spreadsheets/d/1kGrh75X1cNR1D7_FcY9zMnHP8iPO4M5RCRjy6nZY0TY/edi"&amp;"t#gid=0"",""Table 1: Study characteristics!B4:B171""))
)"),"wrong study design")</f>
        <v>wrong study design</v>
      </c>
    </row>
    <row r="1425">
      <c r="A1425" s="4" t="str">
        <f>IFERROR(__xludf.DUMMYFUNCTION("""COMPUTED_VALUE"""),"Pediatric neurosurgery telemedicine clinics: A model to provide care to geographically underserved areas of the United States and its territories")</f>
        <v>Pediatric neurosurgery telemedicine clinics: A model to provide care to geographically underserved areas of the United States and its territories</v>
      </c>
      <c r="B1425" s="5" t="str">
        <f>IFERROR(__xludf.DUMMYFUNCTION("LEFT(FILTER(IMPORTRANGE(""https://docs.google.com/spreadsheets/d/1BJSV3WBYJGRhQ6zExamkszQ5VutGIcaQqmbD9ZTVXMQ/edit#gid=1251630045"",""articles_with_PRISMA_reasons!K2:K2113""), $A1425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$A1425=IMPORTRANGE(""https://docs.google.com/spreadsheets/d/1BJSV3WBYJGRhQ6zExamkszQ5VutGIcaQqmbD9ZTVXMQ/edit#gid=1251630045"",""articles_with_PRISMA_reasons!B2:B2113"")))-1)"),"James")</f>
        <v>James</v>
      </c>
      <c r="C1425" s="6">
        <f>IFERROR(__xludf.DUMMYFUNCTION("FILTER(IMPORTRANGE(""https://docs.google.com/spreadsheets/d/1BJSV3WBYJGRhQ6zExamkszQ5VutGIcaQqmbD9ZTVXMQ/edit#gid=1251630045"",""articles_with_PRISMA_reasons!C2:C2113""), $A1425=IMPORTRANGE(""https://docs.google.com/spreadsheets/d/1BJSV3WBYJGRhQ6zExamkszQ"&amp;"5VutGIcaQqmbD9ZTVXMQ/edit#gid=1251630045"",""articles_with_PRISMA_reasons!B2:B2113""))"),2016.0)</f>
        <v>2016</v>
      </c>
      <c r="D1425" s="5" t="str">
        <f>IFERROR(__xludf.DUMMYFUNCTION("IFS(AND(
FILTER(IMPORTRANGE(""https://docs.google.com/spreadsheets/d/1BJSV3WBYJGRhQ6zExamkszQ5VutGIcaQqmbD9ZTVXMQ/edit#gid=1251630045"",""articles_with_PRISMA_reasons!Y2:Y2113""), $A1425=IMPORTRANGE(""https://docs.google.com/spreadsheets/d/1BJSV3WBYJGRhQ6"&amp;"zExamkszQ5VutGIcaQqmbD9ZTVXMQ/edit#gid=1251630045"",""articles_with_PRISMA_reasons!B2:B2113""))&gt;=2,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$A1425=IMPORTRANGE(""https://docs.google.com/spreadsheets/d/1BJSV3WBYJGRhQ6zExamkszQ5VutGIcaQqmbD9ZTVXMQ/edit#gid=1251630045"",""articles_with_PRISMA_reasons!B2:B2113""))&lt;2),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$A1425=IMPORTRANGE(""https://docs.google.com/spreadsheets/d/1BJSV3WBYJGRhQ6zExamkszQ5VutGIcaQqmbD9ZTVXMQ/edit#gid=1251630045"",""a"&amp;"rticles_with_PRISMA_reasons!B2:B2113""))&lt;2,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$A1425=IMPORTRANGE(""https://docs.google"&amp;".com/spreadsheets/d/1BJSV3WBYJGRhQ6zExamkszQ5VutGIcaQqmbD9ZTVXMQ/edit#gid=1251630045"",""articles_with_PRISMA_reasons!B2:B2113""))&gt;=2),
""Exclude""
)"),"Exclude")</f>
        <v>Exclude</v>
      </c>
      <c r="E1425" s="5" t="str">
        <f>IFERROR(__xludf.DUMMYFUNCTION("IFS(
D1425=""Exclude"",""Exclude"",
AND(
FILTER(IMPORTRANGE(""https://docs.google.com/spreadsheets/d/1qpEmbGH0JjaJbUdp21-y2cPbobDbMjr09BbtdKROZWc/edit#gid=1444865654"",""articles_with_PRISMA_reasons!W2:W2113""), $A1425=IMPORTRANGE(""https://docs.google.co"&amp;"m/spreadsheets/d/1qpEmbGH0JjaJbUdp21-y2cPbobDbMjr09BbtdKROZWc/edit#gid=1444865654"",""articles_with_PRISMA_reasons!B2:B2113""))&gt;=2,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$A1425=IMPORTRANGE(""https://docs.google.com/spreadsheets/d/1qpEmbGH0JjaJbUdp21-y2cPbobDbMjr09BbtdKROZWc/edit#gid=1444865654"",""articles_with_PRISMA_reasons!B2:B2113""))&lt;2),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$A1425=IMPORTRANGE(""https://docs.google.com/spreadsheets/d/1qpEmbGH0JjaJbUdp21-y2cPbobDbMjr09Bbtd"&amp;"KROZWc/edit#gid=1444865654"",""articles_with_PRISMA_reasons!B2:B2113""))&lt;2,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$A1425=I"&amp;"MPORTRANGE(""https://docs.google.com/spreadsheets/d/1qpEmbGH0JjaJbUdp21-y2cPbobDbMjr09BbtdKROZWc/edit#gid=1444865654"",""articles_with_PRISMA_reasons!B2:B2113""))&gt;=2),
""Exclude""
)"),"Exclude")</f>
        <v>Exclude</v>
      </c>
      <c r="F1425" s="5" t="str">
        <f>IFERROR(__xludf.DUMMYFUNCTION("IFS(
E1425=""Exclude"",""Exclude"",
AND(
COUNTIF(
IMPORTRANGE(""https://docs.google.com/spreadsheets/d/1kGrh75X1cNR1D7_FcY9zMnHP8iPO4M5RCRjy6nZY0TY/edit#gid=0"",""Table 1: Study characteristics!B4:B171""),A1425)&gt;0,
COUNTIF(Studies!$A$2:$A$85,FILTER(IMPORT"&amp;"RANGE(""https://docs.google.com/spreadsheets/d/1kGrh75X1cNR1D7_FcY9zMnHP8iPO4M5RCRjy6nZY0TY/edit#gid=0"",""Table 1: Study characteristics!A4:A171""), $A1425=IMPORTRANGE(""https://docs.google.com/spreadsheets/d/1kGrh75X1cNR1D7_FcY9zMnHP8iPO4M5RCRjy6nZY0TY/"&amp;"edit#gid=0"",""Table 1: Study characteristics!B4:B171"")))&gt;0
),
""Include""
)"),"Exclude")</f>
        <v>Exclude</v>
      </c>
      <c r="G1425" s="5" t="str">
        <f>IFERROR(__xludf.DUMMYFUNCTION("IFS(
D1425=""Exclude"",
FILTER(IMPORTRANGE(""https://docs.google.com/spreadsheets/d/1BJSV3WBYJGRhQ6zExamkszQ5VutGIcaQqmbD9ZTVXMQ/edit#gid=1251630045"",""articles_with_PRISMA_reasons!AB2:AB2113""), $A1425=IMPORTRANGE(""https://docs.google.com/spreadsheets/"&amp;"d/1BJSV3WBYJGRhQ6zExamkszQ5VutGIcaQqmbD9ZTVXMQ/edit#gid=1251630045"",""articles_with_PRISMA_reasons!B2:B2113"")),
E1425=""Exclude"",
FILTER(IMPORTRANGE(""https://docs.google.com/spreadsheets/d/1qpEmbGH0JjaJbUdp21-y2cPbobDbMjr09BbtdKROZWc/edit#gid=14448656"&amp;"54"",""articles_with_PRISMA_reasons!Z2:Z2113""), $A1425=IMPORTRANGE(""https://docs.google.com/spreadsheets/d/1qpEmbGH0JjaJbUdp21-y2cPbobDbMjr09BbtdKROZWc/edit#gid=1444865654"",""articles_with_PRISMA_reasons!B2:B2113"")),F1425
=""Include"",FILTER(IMPORTRAN"&amp;"GE(""https://docs.google.com/spreadsheets/d/1kGrh75X1cNR1D7_FcY9zMnHP8iPO4M5RCRjy6nZY0TY/edit#gid=0"",""Table 1: Study characteristics!A4:A171""), $A1425=IMPORTRANGE(""https://docs.google.com/spreadsheets/d/1kGrh75X1cNR1D7_FcY9zMnHP8iPO4M5RCRjy6nZY0TY/edi"&amp;"t#gid=0"",""Table 1: Study characteristics!B4:B171""))
)"),"wrong study design")</f>
        <v>wrong study design</v>
      </c>
    </row>
    <row r="1426">
      <c r="A1426" s="4" t="str">
        <f>IFERROR(__xludf.DUMMYFUNCTION("""COMPUTED_VALUE"""),"Pediatric neurosurgical bellwether procedures for infrastructure capacity building in hospitals and healthcare systems worldwide")</f>
        <v>Pediatric neurosurgical bellwether procedures for infrastructure capacity building in hospitals and healthcare systems worldwide</v>
      </c>
      <c r="B1426" s="5" t="str">
        <f>IFERROR(__xludf.DUMMYFUNCTION("LEFT(FILTER(IMPORTRANGE(""https://docs.google.com/spreadsheets/d/1BJSV3WBYJGRhQ6zExamkszQ5VutGIcaQqmbD9ZTVXMQ/edit#gid=1251630045"",""articles_with_PRISMA_reasons!K2:K2113""), $A1426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$A1426=IMPORTRANGE(""https://docs.google.com/spreadsheets/d/1BJSV3WBYJGRhQ6zExamkszQ5VutGIcaQqmbD9ZTVXMQ/edit#gid=1251630045"",""articles_with_PRISMA_reasons!B2:B2113"")))-1)"),"Dewan")</f>
        <v>Dewan</v>
      </c>
      <c r="C1426" s="6">
        <f>IFERROR(__xludf.DUMMYFUNCTION("FILTER(IMPORTRANGE(""https://docs.google.com/spreadsheets/d/1BJSV3WBYJGRhQ6zExamkszQ5VutGIcaQqmbD9ZTVXMQ/edit#gid=1251630045"",""articles_with_PRISMA_reasons!C2:C2113""), $A1426=IMPORTRANGE(""https://docs.google.com/spreadsheets/d/1BJSV3WBYJGRhQ6zExamkszQ"&amp;"5VutGIcaQqmbD9ZTVXMQ/edit#gid=1251630045"",""articles_with_PRISMA_reasons!B2:B2113""))"),2018.0)</f>
        <v>2018</v>
      </c>
      <c r="D1426" s="5" t="str">
        <f>IFERROR(__xludf.DUMMYFUNCTION("IFS(AND(
FILTER(IMPORTRANGE(""https://docs.google.com/spreadsheets/d/1BJSV3WBYJGRhQ6zExamkszQ5VutGIcaQqmbD9ZTVXMQ/edit#gid=1251630045"",""articles_with_PRISMA_reasons!Y2:Y2113""), $A1426=IMPORTRANGE(""https://docs.google.com/spreadsheets/d/1BJSV3WBYJGRhQ6"&amp;"zExamkszQ5VutGIcaQqmbD9ZTVXMQ/edit#gid=1251630045"",""articles_with_PRISMA_reasons!B2:B2113""))&gt;=2,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$A1426=IMPORTRANGE(""https://docs.google.com/spreadsheets/d/1BJSV3WBYJGRhQ6zExamkszQ5VutGIcaQqmbD9ZTVXMQ/edit#gid=1251630045"",""articles_with_PRISMA_reasons!B2:B2113""))&lt;2),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$A1426=IMPORTRANGE(""https://docs.google.com/spreadsheets/d/1BJSV3WBYJGRhQ6zExamkszQ5VutGIcaQqmbD9ZTVXMQ/edit#gid=1251630045"",""a"&amp;"rticles_with_PRISMA_reasons!B2:B2113""))&lt;2,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$A1426=IMPORTRANGE(""https://docs.google"&amp;".com/spreadsheets/d/1BJSV3WBYJGRhQ6zExamkszQ5VutGIcaQqmbD9ZTVXMQ/edit#gid=1251630045"",""articles_with_PRISMA_reasons!B2:B2113""))&gt;=2),
""Exclude""
)"),"Exclude")</f>
        <v>Exclude</v>
      </c>
      <c r="E1426" s="5" t="str">
        <f>IFERROR(__xludf.DUMMYFUNCTION("IFS(
D1426=""Exclude"",""Exclude"",
AND(
FILTER(IMPORTRANGE(""https://docs.google.com/spreadsheets/d/1qpEmbGH0JjaJbUdp21-y2cPbobDbMjr09BbtdKROZWc/edit#gid=1444865654"",""articles_with_PRISMA_reasons!W2:W2113""), $A1426=IMPORTRANGE(""https://docs.google.co"&amp;"m/spreadsheets/d/1qpEmbGH0JjaJbUdp21-y2cPbobDbMjr09BbtdKROZWc/edit#gid=1444865654"",""articles_with_PRISMA_reasons!B2:B2113""))&gt;=2,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$A1426=IMPORTRANGE(""https://docs.google.com/spreadsheets/d/1qpEmbGH0JjaJbUdp21-y2cPbobDbMjr09BbtdKROZWc/edit#gid=1444865654"",""articles_with_PRISMA_reasons!B2:B2113""))&lt;2),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$A1426=IMPORTRANGE(""https://docs.google.com/spreadsheets/d/1qpEmbGH0JjaJbUdp21-y2cPbobDbMjr09Bbtd"&amp;"KROZWc/edit#gid=1444865654"",""articles_with_PRISMA_reasons!B2:B2113""))&lt;2,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$A1426=I"&amp;"MPORTRANGE(""https://docs.google.com/spreadsheets/d/1qpEmbGH0JjaJbUdp21-y2cPbobDbMjr09BbtdKROZWc/edit#gid=1444865654"",""articles_with_PRISMA_reasons!B2:B2113""))&gt;=2),
""Exclude""
)"),"Exclude")</f>
        <v>Exclude</v>
      </c>
      <c r="F1426" s="5" t="str">
        <f>IFERROR(__xludf.DUMMYFUNCTION("IFS(
E1426=""Exclude"",""Exclude"",
AND(
COUNTIF(
IMPORTRANGE(""https://docs.google.com/spreadsheets/d/1kGrh75X1cNR1D7_FcY9zMnHP8iPO4M5RCRjy6nZY0TY/edit#gid=0"",""Table 1: Study characteristics!B4:B171""),A1426)&gt;0,
COUNTIF(Studies!$A$2:$A$85,FILTER(IMPORT"&amp;"RANGE(""https://docs.google.com/spreadsheets/d/1kGrh75X1cNR1D7_FcY9zMnHP8iPO4M5RCRjy6nZY0TY/edit#gid=0"",""Table 1: Study characteristics!A4:A171""), $A1426=IMPORTRANGE(""https://docs.google.com/spreadsheets/d/1kGrh75X1cNR1D7_FcY9zMnHP8iPO4M5RCRjy6nZY0TY/"&amp;"edit#gid=0"",""Table 1: Study characteristics!B4:B171"")))&gt;0
),
""Include""
)"),"Exclude")</f>
        <v>Exclude</v>
      </c>
      <c r="G1426" s="5" t="str">
        <f>IFERROR(__xludf.DUMMYFUNCTION("IFS(
D1426=""Exclude"",
FILTER(IMPORTRANGE(""https://docs.google.com/spreadsheets/d/1BJSV3WBYJGRhQ6zExamkszQ5VutGIcaQqmbD9ZTVXMQ/edit#gid=1251630045"",""articles_with_PRISMA_reasons!AB2:AB2113""), $A1426=IMPORTRANGE(""https://docs.google.com/spreadsheets/"&amp;"d/1BJSV3WBYJGRhQ6zExamkszQ5VutGIcaQqmbD9ZTVXMQ/edit#gid=1251630045"",""articles_with_PRISMA_reasons!B2:B2113"")),
E1426=""Exclude"",
FILTER(IMPORTRANGE(""https://docs.google.com/spreadsheets/d/1qpEmbGH0JjaJbUdp21-y2cPbobDbMjr09BbtdKROZWc/edit#gid=14448656"&amp;"54"",""articles_with_PRISMA_reasons!Z2:Z2113""), $A1426=IMPORTRANGE(""https://docs.google.com/spreadsheets/d/1qpEmbGH0JjaJbUdp21-y2cPbobDbMjr09BbtdKROZWc/edit#gid=1444865654"",""articles_with_PRISMA_reasons!B2:B2113"")),F1426
=""Include"",FILTER(IMPORTRAN"&amp;"GE(""https://docs.google.com/spreadsheets/d/1kGrh75X1cNR1D7_FcY9zMnHP8iPO4M5RCRjy6nZY0TY/edit#gid=0"",""Table 1: Study characteristics!A4:A171""), $A1426=IMPORTRANGE(""https://docs.google.com/spreadsheets/d/1kGrh75X1cNR1D7_FcY9zMnHP8iPO4M5RCRjy6nZY0TY/edi"&amp;"t#gid=0"",""Table 1: Study characteristics!B4:B171""))
)"),"wrong population")</f>
        <v>wrong population</v>
      </c>
    </row>
    <row r="1427">
      <c r="A1427" s="4" t="str">
        <f>IFERROR(__xludf.DUMMYFUNCTION("""COMPUTED_VALUE"""),"Pediatric neurosurgical disease")</f>
        <v>Pediatric neurosurgical disease</v>
      </c>
      <c r="B1427" s="5" t="str">
        <f>IFERROR(__xludf.DUMMYFUNCTION("LEFT(FILTER(IMPORTRANGE(""https://docs.google.com/spreadsheets/d/1BJSV3WBYJGRhQ6zExamkszQ5VutGIcaQqmbD9ZTVXMQ/edit#gid=1251630045"",""articles_with_PRISMA_reasons!K2:K2113""), $A1427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$A1427=IMPORTRANGE(""https://docs.google.com/spreadsheets/d/1BJSV3WBYJGRhQ6zExamkszQ5VutGIcaQqmbD9ZTVXMQ/edit#gid=1251630045"",""articles_with_PRISMA_reasons!B2:B2113"")))-1)"),"Dias")</f>
        <v>Dias</v>
      </c>
      <c r="C1427" s="6">
        <f>IFERROR(__xludf.DUMMYFUNCTION("FILTER(IMPORTRANGE(""https://docs.google.com/spreadsheets/d/1BJSV3WBYJGRhQ6zExamkszQ5VutGIcaQqmbD9ZTVXMQ/edit#gid=1251630045"",""articles_with_PRISMA_reasons!C2:C2113""), $A1427=IMPORTRANGE(""https://docs.google.com/spreadsheets/d/1BJSV3WBYJGRhQ6zExamkszQ"&amp;"5VutGIcaQqmbD9ZTVXMQ/edit#gid=1251630045"",""articles_with_PRISMA_reasons!B2:B2113""))"),1998.0)</f>
        <v>1998</v>
      </c>
      <c r="D1427" s="5" t="str">
        <f>IFERROR(__xludf.DUMMYFUNCTION("IFS(AND(
FILTER(IMPORTRANGE(""https://docs.google.com/spreadsheets/d/1BJSV3WBYJGRhQ6zExamkszQ5VutGIcaQqmbD9ZTVXMQ/edit#gid=1251630045"",""articles_with_PRISMA_reasons!Y2:Y2113""), $A1427=IMPORTRANGE(""https://docs.google.com/spreadsheets/d/1BJSV3WBYJGRhQ6"&amp;"zExamkszQ5VutGIcaQqmbD9ZTVXMQ/edit#gid=1251630045"",""articles_with_PRISMA_reasons!B2:B2113""))&gt;=2,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$A1427=IMPORTRANGE(""https://docs.google.com/spreadsheets/d/1BJSV3WBYJGRhQ6zExamkszQ5VutGIcaQqmbD9ZTVXMQ/edit#gid=1251630045"",""articles_with_PRISMA_reasons!B2:B2113""))&lt;2),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$A1427=IMPORTRANGE(""https://docs.google.com/spreadsheets/d/1BJSV3WBYJGRhQ6zExamkszQ5VutGIcaQqmbD9ZTVXMQ/edit#gid=1251630045"",""a"&amp;"rticles_with_PRISMA_reasons!B2:B2113""))&lt;2,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$A1427=IMPORTRANGE(""https://docs.google"&amp;".com/spreadsheets/d/1BJSV3WBYJGRhQ6zExamkszQ5VutGIcaQqmbD9ZTVXMQ/edit#gid=1251630045"",""articles_with_PRISMA_reasons!B2:B2113""))&gt;=2),
""Exclude""
)"),"Exclude")</f>
        <v>Exclude</v>
      </c>
      <c r="E1427" s="5" t="str">
        <f>IFERROR(__xludf.DUMMYFUNCTION("IFS(
D1427=""Exclude"",""Exclude"",
AND(
FILTER(IMPORTRANGE(""https://docs.google.com/spreadsheets/d/1qpEmbGH0JjaJbUdp21-y2cPbobDbMjr09BbtdKROZWc/edit#gid=1444865654"",""articles_with_PRISMA_reasons!W2:W2113""), $A1427=IMPORTRANGE(""https://docs.google.co"&amp;"m/spreadsheets/d/1qpEmbGH0JjaJbUdp21-y2cPbobDbMjr09BbtdKROZWc/edit#gid=1444865654"",""articles_with_PRISMA_reasons!B2:B2113""))&gt;=2,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$A1427=IMPORTRANGE(""https://docs.google.com/spreadsheets/d/1qpEmbGH0JjaJbUdp21-y2cPbobDbMjr09BbtdKROZWc/edit#gid=1444865654"",""articles_with_PRISMA_reasons!B2:B2113""))&lt;2),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$A1427=IMPORTRANGE(""https://docs.google.com/spreadsheets/d/1qpEmbGH0JjaJbUdp21-y2cPbobDbMjr09Bbtd"&amp;"KROZWc/edit#gid=1444865654"",""articles_with_PRISMA_reasons!B2:B2113""))&lt;2,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$A1427=I"&amp;"MPORTRANGE(""https://docs.google.com/spreadsheets/d/1qpEmbGH0JjaJbUdp21-y2cPbobDbMjr09BbtdKROZWc/edit#gid=1444865654"",""articles_with_PRISMA_reasons!B2:B2113""))&gt;=2),
""Exclude""
)"),"Exclude")</f>
        <v>Exclude</v>
      </c>
      <c r="F1427" s="5" t="str">
        <f>IFERROR(__xludf.DUMMYFUNCTION("IFS(
E1427=""Exclude"",""Exclude"",
AND(
COUNTIF(
IMPORTRANGE(""https://docs.google.com/spreadsheets/d/1kGrh75X1cNR1D7_FcY9zMnHP8iPO4M5RCRjy6nZY0TY/edit#gid=0"",""Table 1: Study characteristics!B4:B171""),A1427)&gt;0,
COUNTIF(Studies!$A$2:$A$85,FILTER(IMPORT"&amp;"RANGE(""https://docs.google.com/spreadsheets/d/1kGrh75X1cNR1D7_FcY9zMnHP8iPO4M5RCRjy6nZY0TY/edit#gid=0"",""Table 1: Study characteristics!A4:A171""), $A1427=IMPORTRANGE(""https://docs.google.com/spreadsheets/d/1kGrh75X1cNR1D7_FcY9zMnHP8iPO4M5RCRjy6nZY0TY/"&amp;"edit#gid=0"",""Table 1: Study characteristics!B4:B171"")))&gt;0
),
""Include""
)"),"Exclude")</f>
        <v>Exclude</v>
      </c>
      <c r="G1427" s="5" t="str">
        <f>IFERROR(__xludf.DUMMYFUNCTION("IFS(
D1427=""Exclude"",
FILTER(IMPORTRANGE(""https://docs.google.com/spreadsheets/d/1BJSV3WBYJGRhQ6zExamkszQ5VutGIcaQqmbD9ZTVXMQ/edit#gid=1251630045"",""articles_with_PRISMA_reasons!AB2:AB2113""), $A1427=IMPORTRANGE(""https://docs.google.com/spreadsheets/"&amp;"d/1BJSV3WBYJGRhQ6zExamkszQ5VutGIcaQqmbD9ZTVXMQ/edit#gid=1251630045"",""articles_with_PRISMA_reasons!B2:B2113"")),
E1427=""Exclude"",
FILTER(IMPORTRANGE(""https://docs.google.com/spreadsheets/d/1qpEmbGH0JjaJbUdp21-y2cPbobDbMjr09BbtdKROZWc/edit#gid=14448656"&amp;"54"",""articles_with_PRISMA_reasons!Z2:Z2113""), $A1427=IMPORTRANGE(""https://docs.google.com/spreadsheets/d/1qpEmbGH0JjaJbUdp21-y2cPbobDbMjr09BbtdKROZWc/edit#gid=1444865654"",""articles_with_PRISMA_reasons!B2:B2113"")),F1427
=""Include"",FILTER(IMPORTRAN"&amp;"GE(""https://docs.google.com/spreadsheets/d/1kGrh75X1cNR1D7_FcY9zMnHP8iPO4M5RCRjy6nZY0TY/edit#gid=0"",""Table 1: Study characteristics!A4:A171""), $A1427=IMPORTRANGE(""https://docs.google.com/spreadsheets/d/1kGrh75X1cNR1D7_FcY9zMnHP8iPO4M5RCRjy6nZY0TY/edi"&amp;"t#gid=0"",""Table 1: Study characteristics!B4:B171""))
)"),"background article")</f>
        <v>background article</v>
      </c>
    </row>
    <row r="1428">
      <c r="A1428" s="4" t="str">
        <f>IFERROR(__xludf.DUMMYFUNCTION("""COMPUTED_VALUE"""),"Pediatric perspective on prenatal counseling for myelomeningocele")</f>
        <v>Pediatric perspective on prenatal counseling for myelomeningocele</v>
      </c>
      <c r="B1428" s="5" t="str">
        <f>IFERROR(__xludf.DUMMYFUNCTION("LEFT(FILTER(IMPORTRANGE(""https://docs.google.com/spreadsheets/d/1BJSV3WBYJGRhQ6zExamkszQ5VutGIcaQqmbD9ZTVXMQ/edit#gid=1251630045"",""articles_with_PRISMA_reasons!K2:K2113""), $A1428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$A1428=IMPORTRANGE(""https://docs.google.com/spreadsheets/d/1BJSV3WBYJGRhQ6zExamkszQ5VutGIcaQqmbD9ZTVXMQ/edit#gid=1251630045"",""articles_with_PRISMA_reasons!B2:B2113"")))-1)"),"Doherty")</f>
        <v>Doherty</v>
      </c>
      <c r="C1428" s="6">
        <f>IFERROR(__xludf.DUMMYFUNCTION("FILTER(IMPORTRANGE(""https://docs.google.com/spreadsheets/d/1BJSV3WBYJGRhQ6zExamkszQ5VutGIcaQqmbD9ZTVXMQ/edit#gid=1251630045"",""articles_with_PRISMA_reasons!C2:C2113""), $A1428=IMPORTRANGE(""https://docs.google.com/spreadsheets/d/1BJSV3WBYJGRhQ6zExamkszQ"&amp;"5VutGIcaQqmbD9ZTVXMQ/edit#gid=1251630045"",""articles_with_PRISMA_reasons!B2:B2113""))"),2006.0)</f>
        <v>2006</v>
      </c>
      <c r="D1428" s="5" t="str">
        <f>IFERROR(__xludf.DUMMYFUNCTION("IFS(AND(
FILTER(IMPORTRANGE(""https://docs.google.com/spreadsheets/d/1BJSV3WBYJGRhQ6zExamkszQ5VutGIcaQqmbD9ZTVXMQ/edit#gid=1251630045"",""articles_with_PRISMA_reasons!Y2:Y2113""), $A1428=IMPORTRANGE(""https://docs.google.com/spreadsheets/d/1BJSV3WBYJGRhQ6"&amp;"zExamkszQ5VutGIcaQqmbD9ZTVXMQ/edit#gid=1251630045"",""articles_with_PRISMA_reasons!B2:B2113""))&gt;=2,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$A1428=IMPORTRANGE(""https://docs.google.com/spreadsheets/d/1BJSV3WBYJGRhQ6zExamkszQ5VutGIcaQqmbD9ZTVXMQ/edit#gid=1251630045"",""articles_with_PRISMA_reasons!B2:B2113""))&lt;2),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$A1428=IMPORTRANGE(""https://docs.google.com/spreadsheets/d/1BJSV3WBYJGRhQ6zExamkszQ5VutGIcaQqmbD9ZTVXMQ/edit#gid=1251630045"",""a"&amp;"rticles_with_PRISMA_reasons!B2:B2113""))&lt;2,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$A1428=IMPORTRANGE(""https://docs.google"&amp;".com/spreadsheets/d/1BJSV3WBYJGRhQ6zExamkszQ5VutGIcaQqmbD9ZTVXMQ/edit#gid=1251630045"",""articles_with_PRISMA_reasons!B2:B2113""))&gt;=2),
""Exclude""
)"),"Exclude")</f>
        <v>Exclude</v>
      </c>
      <c r="E1428" s="5" t="str">
        <f>IFERROR(__xludf.DUMMYFUNCTION("IFS(
D1428=""Exclude"",""Exclude"",
AND(
FILTER(IMPORTRANGE(""https://docs.google.com/spreadsheets/d/1qpEmbGH0JjaJbUdp21-y2cPbobDbMjr09BbtdKROZWc/edit#gid=1444865654"",""articles_with_PRISMA_reasons!W2:W2113""), $A1428=IMPORTRANGE(""https://docs.google.co"&amp;"m/spreadsheets/d/1qpEmbGH0JjaJbUdp21-y2cPbobDbMjr09BbtdKROZWc/edit#gid=1444865654"",""articles_with_PRISMA_reasons!B2:B2113""))&gt;=2,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$A1428=IMPORTRANGE(""https://docs.google.com/spreadsheets/d/1qpEmbGH0JjaJbUdp21-y2cPbobDbMjr09BbtdKROZWc/edit#gid=1444865654"",""articles_with_PRISMA_reasons!B2:B2113""))&lt;2),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$A1428=IMPORTRANGE(""https://docs.google.com/spreadsheets/d/1qpEmbGH0JjaJbUdp21-y2cPbobDbMjr09Bbtd"&amp;"KROZWc/edit#gid=1444865654"",""articles_with_PRISMA_reasons!B2:B2113""))&lt;2,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$A1428=I"&amp;"MPORTRANGE(""https://docs.google.com/spreadsheets/d/1qpEmbGH0JjaJbUdp21-y2cPbobDbMjr09BbtdKROZWc/edit#gid=1444865654"",""articles_with_PRISMA_reasons!B2:B2113""))&gt;=2),
""Exclude""
)"),"Exclude")</f>
        <v>Exclude</v>
      </c>
      <c r="F1428" s="5" t="str">
        <f>IFERROR(__xludf.DUMMYFUNCTION("IFS(
E1428=""Exclude"",""Exclude"",
AND(
COUNTIF(
IMPORTRANGE(""https://docs.google.com/spreadsheets/d/1kGrh75X1cNR1D7_FcY9zMnHP8iPO4M5RCRjy6nZY0TY/edit#gid=0"",""Table 1: Study characteristics!B4:B171""),A1428)&gt;0,
COUNTIF(Studies!$A$2:$A$85,FILTER(IMPORT"&amp;"RANGE(""https://docs.google.com/spreadsheets/d/1kGrh75X1cNR1D7_FcY9zMnHP8iPO4M5RCRjy6nZY0TY/edit#gid=0"",""Table 1: Study characteristics!A4:A171""), $A1428=IMPORTRANGE(""https://docs.google.com/spreadsheets/d/1kGrh75X1cNR1D7_FcY9zMnHP8iPO4M5RCRjy6nZY0TY/"&amp;"edit#gid=0"",""Table 1: Study characteristics!B4:B171"")))&gt;0
),
""Include""
)"),"Exclude")</f>
        <v>Exclude</v>
      </c>
      <c r="G1428" s="5" t="str">
        <f>IFERROR(__xludf.DUMMYFUNCTION("IFS(
D1428=""Exclude"",
FILTER(IMPORTRANGE(""https://docs.google.com/spreadsheets/d/1BJSV3WBYJGRhQ6zExamkszQ5VutGIcaQqmbD9ZTVXMQ/edit#gid=1251630045"",""articles_with_PRISMA_reasons!AB2:AB2113""), $A1428=IMPORTRANGE(""https://docs.google.com/spreadsheets/"&amp;"d/1BJSV3WBYJGRhQ6zExamkszQ5VutGIcaQqmbD9ZTVXMQ/edit#gid=1251630045"",""articles_with_PRISMA_reasons!B2:B2113"")),
E1428=""Exclude"",
FILTER(IMPORTRANGE(""https://docs.google.com/spreadsheets/d/1qpEmbGH0JjaJbUdp21-y2cPbobDbMjr09BbtdKROZWc/edit#gid=14448656"&amp;"54"",""articles_with_PRISMA_reasons!Z2:Z2113""), $A1428=IMPORTRANGE(""https://docs.google.com/spreadsheets/d/1qpEmbGH0JjaJbUdp21-y2cPbobDbMjr09BbtdKROZWc/edit#gid=1444865654"",""articles_with_PRISMA_reasons!B2:B2113"")),F1428
=""Include"",FILTER(IMPORTRAN"&amp;"GE(""https://docs.google.com/spreadsheets/d/1kGrh75X1cNR1D7_FcY9zMnHP8iPO4M5RCRjy6nZY0TY/edit#gid=0"",""Table 1: Study characteristics!A4:A171""), $A1428=IMPORTRANGE(""https://docs.google.com/spreadsheets/d/1kGrh75X1cNR1D7_FcY9zMnHP8iPO4M5RCRjy6nZY0TY/edi"&amp;"t#gid=0"",""Table 1: Study characteristics!B4:B171""))
)"),"wrong study design")</f>
        <v>wrong study design</v>
      </c>
    </row>
    <row r="1429">
      <c r="A1429" s="4" t="str">
        <f>IFERROR(__xludf.DUMMYFUNCTION("""COMPUTED_VALUE"""),"Pediatric rehabilitation. Part II: spina bifida and limb deficiencies")</f>
        <v>Pediatric rehabilitation. Part II: spina bifida and limb deficiencies</v>
      </c>
      <c r="B1429" s="5" t="str">
        <f>IFERROR(__xludf.DUMMYFUNCTION("LEFT(FILTER(IMPORTRANGE(""https://docs.google.com/spreadsheets/d/1BJSV3WBYJGRhQ6zExamkszQ5VutGIcaQqmbD9ZTVXMQ/edit#gid=1251630045"",""articles_with_PRISMA_reasons!K2:K2113""), $A1429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$A1429=IMPORTRANGE(""https://docs.google.com/spreadsheets/d/1BJSV3WBYJGRhQ6zExamkszQ5VutGIcaQqmbD9ZTVXMQ/edit#gid=1251630045"",""articles_with_PRISMA_reasons!B2:B2113"")))-1)"),"Molnar")</f>
        <v>Molnar</v>
      </c>
      <c r="C1429" s="6">
        <f>IFERROR(__xludf.DUMMYFUNCTION("FILTER(IMPORTRANGE(""https://docs.google.com/spreadsheets/d/1BJSV3WBYJGRhQ6zExamkszQ5VutGIcaQqmbD9ZTVXMQ/edit#gid=1251630045"",""articles_with_PRISMA_reasons!C2:C2113""), $A1429=IMPORTRANGE(""https://docs.google.com/spreadsheets/d/1BJSV3WBYJGRhQ6zExamkszQ"&amp;"5VutGIcaQqmbD9ZTVXMQ/edit#gid=1251630045"",""articles_with_PRISMA_reasons!B2:B2113""))"),1977.0)</f>
        <v>1977</v>
      </c>
      <c r="D1429" s="5" t="str">
        <f>IFERROR(__xludf.DUMMYFUNCTION("IFS(AND(
FILTER(IMPORTRANGE(""https://docs.google.com/spreadsheets/d/1BJSV3WBYJGRhQ6zExamkszQ5VutGIcaQqmbD9ZTVXMQ/edit#gid=1251630045"",""articles_with_PRISMA_reasons!Y2:Y2113""), $A1429=IMPORTRANGE(""https://docs.google.com/spreadsheets/d/1BJSV3WBYJGRhQ6"&amp;"zExamkszQ5VutGIcaQqmbD9ZTVXMQ/edit#gid=1251630045"",""articles_with_PRISMA_reasons!B2:B2113""))&gt;=2,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$A1429=IMPORTRANGE(""https://docs.google.com/spreadsheets/d/1BJSV3WBYJGRhQ6zExamkszQ5VutGIcaQqmbD9ZTVXMQ/edit#gid=1251630045"",""articles_with_PRISMA_reasons!B2:B2113""))&lt;2),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$A1429=IMPORTRANGE(""https://docs.google.com/spreadsheets/d/1BJSV3WBYJGRhQ6zExamkszQ5VutGIcaQqmbD9ZTVXMQ/edit#gid=1251630045"",""a"&amp;"rticles_with_PRISMA_reasons!B2:B2113""))&lt;2,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$A1429=IMPORTRANGE(""https://docs.google"&amp;".com/spreadsheets/d/1BJSV3WBYJGRhQ6zExamkszQ5VutGIcaQqmbD9ZTVXMQ/edit#gid=1251630045"",""articles_with_PRISMA_reasons!B2:B2113""))&gt;=2),
""Exclude""
)"),"Exclude")</f>
        <v>Exclude</v>
      </c>
      <c r="E1429" s="5" t="str">
        <f>IFERROR(__xludf.DUMMYFUNCTION("IFS(
D1429=""Exclude"",""Exclude"",
AND(
FILTER(IMPORTRANGE(""https://docs.google.com/spreadsheets/d/1qpEmbGH0JjaJbUdp21-y2cPbobDbMjr09BbtdKROZWc/edit#gid=1444865654"",""articles_with_PRISMA_reasons!W2:W2113""), $A1429=IMPORTRANGE(""https://docs.google.co"&amp;"m/spreadsheets/d/1qpEmbGH0JjaJbUdp21-y2cPbobDbMjr09BbtdKROZWc/edit#gid=1444865654"",""articles_with_PRISMA_reasons!B2:B2113""))&gt;=2,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$A1429=IMPORTRANGE(""https://docs.google.com/spreadsheets/d/1qpEmbGH0JjaJbUdp21-y2cPbobDbMjr09BbtdKROZWc/edit#gid=1444865654"",""articles_with_PRISMA_reasons!B2:B2113""))&lt;2),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$A1429=IMPORTRANGE(""https://docs.google.com/spreadsheets/d/1qpEmbGH0JjaJbUdp21-y2cPbobDbMjr09Bbtd"&amp;"KROZWc/edit#gid=1444865654"",""articles_with_PRISMA_reasons!B2:B2113""))&lt;2,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$A1429=I"&amp;"MPORTRANGE(""https://docs.google.com/spreadsheets/d/1qpEmbGH0JjaJbUdp21-y2cPbobDbMjr09BbtdKROZWc/edit#gid=1444865654"",""articles_with_PRISMA_reasons!B2:B2113""))&gt;=2),
""Exclude""
)"),"Exclude")</f>
        <v>Exclude</v>
      </c>
      <c r="F1429" s="5" t="str">
        <f>IFERROR(__xludf.DUMMYFUNCTION("IFS(
E1429=""Exclude"",""Exclude"",
AND(
COUNTIF(
IMPORTRANGE(""https://docs.google.com/spreadsheets/d/1kGrh75X1cNR1D7_FcY9zMnHP8iPO4M5RCRjy6nZY0TY/edit#gid=0"",""Table 1: Study characteristics!B4:B171""),A1429)&gt;0,
COUNTIF(Studies!$A$2:$A$85,FILTER(IMPORT"&amp;"RANGE(""https://docs.google.com/spreadsheets/d/1kGrh75X1cNR1D7_FcY9zMnHP8iPO4M5RCRjy6nZY0TY/edit#gid=0"",""Table 1: Study characteristics!A4:A171""), $A1429=IMPORTRANGE(""https://docs.google.com/spreadsheets/d/1kGrh75X1cNR1D7_FcY9zMnHP8iPO4M5RCRjy6nZY0TY/"&amp;"edit#gid=0"",""Table 1: Study characteristics!B4:B171"")))&gt;0
),
""Include""
)"),"Exclude")</f>
        <v>Exclude</v>
      </c>
      <c r="G1429" s="5" t="str">
        <f>IFERROR(__xludf.DUMMYFUNCTION("IFS(
D1429=""Exclude"",
FILTER(IMPORTRANGE(""https://docs.google.com/spreadsheets/d/1BJSV3WBYJGRhQ6zExamkszQ5VutGIcaQqmbD9ZTVXMQ/edit#gid=1251630045"",""articles_with_PRISMA_reasons!AB2:AB2113""), $A1429=IMPORTRANGE(""https://docs.google.com/spreadsheets/"&amp;"d/1BJSV3WBYJGRhQ6zExamkszQ5VutGIcaQqmbD9ZTVXMQ/edit#gid=1251630045"",""articles_with_PRISMA_reasons!B2:B2113"")),
E1429=""Exclude"",
FILTER(IMPORTRANGE(""https://docs.google.com/spreadsheets/d/1qpEmbGH0JjaJbUdp21-y2cPbobDbMjr09BbtdKROZWc/edit#gid=14448656"&amp;"54"",""articles_with_PRISMA_reasons!Z2:Z2113""), $A1429=IMPORTRANGE(""https://docs.google.com/spreadsheets/d/1qpEmbGH0JjaJbUdp21-y2cPbobDbMjr09BbtdKROZWc/edit#gid=1444865654"",""articles_with_PRISMA_reasons!B2:B2113"")),F1429
=""Include"",FILTER(IMPORTRAN"&amp;"GE(""https://docs.google.com/spreadsheets/d/1kGrh75X1cNR1D7_FcY9zMnHP8iPO4M5RCRjy6nZY0TY/edit#gid=0"",""Table 1: Study characteristics!A4:A171""), $A1429=IMPORTRANGE(""https://docs.google.com/spreadsheets/d/1kGrh75X1cNR1D7_FcY9zMnHP8iPO4M5RCRjy6nZY0TY/edi"&amp;"t#gid=0"",""Table 1: Study characteristics!B4:B171""))
)"),"background article")</f>
        <v>background article</v>
      </c>
    </row>
    <row r="1430">
      <c r="A1430" s="4" t="str">
        <f>IFERROR(__xludf.DUMMYFUNCTION("""COMPUTED_VALUE"""),"Pediatric vocal cord paralysis")</f>
        <v>Pediatric vocal cord paralysis</v>
      </c>
      <c r="B1430" s="5" t="str">
        <f>IFERROR(__xludf.DUMMYFUNCTION("LEFT(FILTER(IMPORTRANGE(""https://docs.google.com/spreadsheets/d/1BJSV3WBYJGRhQ6zExamkszQ5VutGIcaQqmbD9ZTVXMQ/edit#gid=1251630045"",""articles_with_PRISMA_reasons!K2:K2113""), $A1430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$A1430=IMPORTRANGE(""https://docs.google.com/spreadsheets/d/1BJSV3WBYJGRhQ6zExamkszQ5VutGIcaQqmbD9ZTVXMQ/edit#gid=1251630045"",""articles_with_PRISMA_reasons!B2:B2113"")))-1)"),"Dedo")</f>
        <v>Dedo</v>
      </c>
      <c r="C1430" s="6">
        <f>IFERROR(__xludf.DUMMYFUNCTION("FILTER(IMPORTRANGE(""https://docs.google.com/spreadsheets/d/1BJSV3WBYJGRhQ6zExamkszQ5VutGIcaQqmbD9ZTVXMQ/edit#gid=1251630045"",""articles_with_PRISMA_reasons!C2:C2113""), $A1430=IMPORTRANGE(""https://docs.google.com/spreadsheets/d/1BJSV3WBYJGRhQ6zExamkszQ"&amp;"5VutGIcaQqmbD9ZTVXMQ/edit#gid=1251630045"",""articles_with_PRISMA_reasons!B2:B2113""))"),1979.0)</f>
        <v>1979</v>
      </c>
      <c r="D1430" s="5" t="str">
        <f>IFERROR(__xludf.DUMMYFUNCTION("IFS(AND(
FILTER(IMPORTRANGE(""https://docs.google.com/spreadsheets/d/1BJSV3WBYJGRhQ6zExamkszQ5VutGIcaQqmbD9ZTVXMQ/edit#gid=1251630045"",""articles_with_PRISMA_reasons!Y2:Y2113""), $A1430=IMPORTRANGE(""https://docs.google.com/spreadsheets/d/1BJSV3WBYJGRhQ6"&amp;"zExamkszQ5VutGIcaQqmbD9ZTVXMQ/edit#gid=1251630045"",""articles_with_PRISMA_reasons!B2:B2113""))&gt;=2,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$A1430=IMPORTRANGE(""https://docs.google.com/spreadsheets/d/1BJSV3WBYJGRhQ6zExamkszQ5VutGIcaQqmbD9ZTVXMQ/edit#gid=1251630045"",""articles_with_PRISMA_reasons!B2:B2113""))&lt;2),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$A1430=IMPORTRANGE(""https://docs.google.com/spreadsheets/d/1BJSV3WBYJGRhQ6zExamkszQ5VutGIcaQqmbD9ZTVXMQ/edit#gid=1251630045"",""a"&amp;"rticles_with_PRISMA_reasons!B2:B2113""))&lt;2,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$A1430=IMPORTRANGE(""https://docs.google"&amp;".com/spreadsheets/d/1BJSV3WBYJGRhQ6zExamkszQ5VutGIcaQqmbD9ZTVXMQ/edit#gid=1251630045"",""articles_with_PRISMA_reasons!B2:B2113""))&gt;=2),
""Exclude""
)"),"Exclude")</f>
        <v>Exclude</v>
      </c>
      <c r="E1430" s="5" t="str">
        <f>IFERROR(__xludf.DUMMYFUNCTION("IFS(
D1430=""Exclude"",""Exclude"",
AND(
FILTER(IMPORTRANGE(""https://docs.google.com/spreadsheets/d/1qpEmbGH0JjaJbUdp21-y2cPbobDbMjr09BbtdKROZWc/edit#gid=1444865654"",""articles_with_PRISMA_reasons!W2:W2113""), $A1430=IMPORTRANGE(""https://docs.google.co"&amp;"m/spreadsheets/d/1qpEmbGH0JjaJbUdp21-y2cPbobDbMjr09BbtdKROZWc/edit#gid=1444865654"",""articles_with_PRISMA_reasons!B2:B2113""))&gt;=2,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$A1430=IMPORTRANGE(""https://docs.google.com/spreadsheets/d/1qpEmbGH0JjaJbUdp21-y2cPbobDbMjr09BbtdKROZWc/edit#gid=1444865654"",""articles_with_PRISMA_reasons!B2:B2113""))&lt;2),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$A1430=IMPORTRANGE(""https://docs.google.com/spreadsheets/d/1qpEmbGH0JjaJbUdp21-y2cPbobDbMjr09Bbtd"&amp;"KROZWc/edit#gid=1444865654"",""articles_with_PRISMA_reasons!B2:B2113""))&lt;2,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$A1430=I"&amp;"MPORTRANGE(""https://docs.google.com/spreadsheets/d/1qpEmbGH0JjaJbUdp21-y2cPbobDbMjr09BbtdKROZWc/edit#gid=1444865654"",""articles_with_PRISMA_reasons!B2:B2113""))&gt;=2),
""Exclude""
)"),"Exclude")</f>
        <v>Exclude</v>
      </c>
      <c r="F1430" s="5" t="str">
        <f>IFERROR(__xludf.DUMMYFUNCTION("IFS(
E1430=""Exclude"",""Exclude"",
AND(
COUNTIF(
IMPORTRANGE(""https://docs.google.com/spreadsheets/d/1kGrh75X1cNR1D7_FcY9zMnHP8iPO4M5RCRjy6nZY0TY/edit#gid=0"",""Table 1: Study characteristics!B4:B171""),A1430)&gt;0,
COUNTIF(Studies!$A$2:$A$85,FILTER(IMPORT"&amp;"RANGE(""https://docs.google.com/spreadsheets/d/1kGrh75X1cNR1D7_FcY9zMnHP8iPO4M5RCRjy6nZY0TY/edit#gid=0"",""Table 1: Study characteristics!A4:A171""), $A1430=IMPORTRANGE(""https://docs.google.com/spreadsheets/d/1kGrh75X1cNR1D7_FcY9zMnHP8iPO4M5RCRjy6nZY0TY/"&amp;"edit#gid=0"",""Table 1: Study characteristics!B4:B171"")))&gt;0
),
""Include""
)"),"Exclude")</f>
        <v>Exclude</v>
      </c>
      <c r="G1430" s="5" t="str">
        <f>IFERROR(__xludf.DUMMYFUNCTION("IFS(
D1430=""Exclude"",
FILTER(IMPORTRANGE(""https://docs.google.com/spreadsheets/d/1BJSV3WBYJGRhQ6zExamkszQ5VutGIcaQqmbD9ZTVXMQ/edit#gid=1251630045"",""articles_with_PRISMA_reasons!AB2:AB2113""), $A1430=IMPORTRANGE(""https://docs.google.com/spreadsheets/"&amp;"d/1BJSV3WBYJGRhQ6zExamkszQ5VutGIcaQqmbD9ZTVXMQ/edit#gid=1251630045"",""articles_with_PRISMA_reasons!B2:B2113"")),
E1430=""Exclude"",
FILTER(IMPORTRANGE(""https://docs.google.com/spreadsheets/d/1qpEmbGH0JjaJbUdp21-y2cPbobDbMjr09BbtdKROZWc/edit#gid=14448656"&amp;"54"",""articles_with_PRISMA_reasons!Z2:Z2113""), $A1430=IMPORTRANGE(""https://docs.google.com/spreadsheets/d/1qpEmbGH0JjaJbUdp21-y2cPbobDbMjr09BbtdKROZWc/edit#gid=1444865654"",""articles_with_PRISMA_reasons!B2:B2113"")),F1430
=""Include"",FILTER(IMPORTRAN"&amp;"GE(""https://docs.google.com/spreadsheets/d/1kGrh75X1cNR1D7_FcY9zMnHP8iPO4M5RCRjy6nZY0TY/edit#gid=0"",""Table 1: Study characteristics!A4:A171""), $A1430=IMPORTRANGE(""https://docs.google.com/spreadsheets/d/1kGrh75X1cNR1D7_FcY9zMnHP8iPO4M5RCRjy6nZY0TY/edi"&amp;"t#gid=0"",""Table 1: Study characteristics!B4:B171""))
)"),"wrong study design")</f>
        <v>wrong study design</v>
      </c>
    </row>
    <row r="1431">
      <c r="A1431" s="4" t="str">
        <f>IFERROR(__xludf.DUMMYFUNCTION("""COMPUTED_VALUE"""),"Perceived social support, psychological adjustment, and functional ability in youths with physical disabilities")</f>
        <v>Perceived social support, psychological adjustment, and functional ability in youths with physical disabilities</v>
      </c>
      <c r="B1431" s="5" t="str">
        <f>IFERROR(__xludf.DUMMYFUNCTION("LEFT(FILTER(IMPORTRANGE(""https://docs.google.com/spreadsheets/d/1BJSV3WBYJGRhQ6zExamkszQ5VutGIcaQqmbD9ZTVXMQ/edit#gid=1251630045"",""articles_with_PRISMA_reasons!K2:K2113""), $A1431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$A1431=IMPORTRANGE(""https://docs.google.com/spreadsheets/d/1BJSV3WBYJGRhQ6zExamkszQ5VutGIcaQqmbD9ZTVXMQ/edit#gid=1251630045"",""articles_with_PRISMA_reasons!B2:B2113"")))-1)"),"Washington")</f>
        <v>Washington</v>
      </c>
      <c r="C1431" s="6">
        <f>IFERROR(__xludf.DUMMYFUNCTION("FILTER(IMPORTRANGE(""https://docs.google.com/spreadsheets/d/1BJSV3WBYJGRhQ6zExamkszQ5VutGIcaQqmbD9ZTVXMQ/edit#gid=1251630045"",""articles_with_PRISMA_reasons!C2:C2113""), $A1431=IMPORTRANGE(""https://docs.google.com/spreadsheets/d/1BJSV3WBYJGRhQ6zExamkszQ"&amp;"5VutGIcaQqmbD9ZTVXMQ/edit#gid=1251630045"",""articles_with_PRISMA_reasons!B2:B2113""))"),2006.0)</f>
        <v>2006</v>
      </c>
      <c r="D1431" s="5" t="str">
        <f>IFERROR(__xludf.DUMMYFUNCTION("IFS(AND(
FILTER(IMPORTRANGE(""https://docs.google.com/spreadsheets/d/1BJSV3WBYJGRhQ6zExamkszQ5VutGIcaQqmbD9ZTVXMQ/edit#gid=1251630045"",""articles_with_PRISMA_reasons!Y2:Y2113""), $A1431=IMPORTRANGE(""https://docs.google.com/spreadsheets/d/1BJSV3WBYJGRhQ6"&amp;"zExamkszQ5VutGIcaQqmbD9ZTVXMQ/edit#gid=1251630045"",""articles_with_PRISMA_reasons!B2:B2113""))&gt;=2,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$A1431=IMPORTRANGE(""https://docs.google.com/spreadsheets/d/1BJSV3WBYJGRhQ6zExamkszQ5VutGIcaQqmbD9ZTVXMQ/edit#gid=1251630045"",""articles_with_PRISMA_reasons!B2:B2113""))&lt;2),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$A1431=IMPORTRANGE(""https://docs.google.com/spreadsheets/d/1BJSV3WBYJGRhQ6zExamkszQ5VutGIcaQqmbD9ZTVXMQ/edit#gid=1251630045"",""a"&amp;"rticles_with_PRISMA_reasons!B2:B2113""))&lt;2,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$A1431=IMPORTRANGE(""https://docs.google"&amp;".com/spreadsheets/d/1BJSV3WBYJGRhQ6zExamkszQ5VutGIcaQqmbD9ZTVXMQ/edit#gid=1251630045"",""articles_with_PRISMA_reasons!B2:B2113""))&gt;=2),
""Exclude""
)"),"Exclude")</f>
        <v>Exclude</v>
      </c>
      <c r="E1431" s="5" t="str">
        <f>IFERROR(__xludf.DUMMYFUNCTION("IFS(
D1431=""Exclude"",""Exclude"",
AND(
FILTER(IMPORTRANGE(""https://docs.google.com/spreadsheets/d/1qpEmbGH0JjaJbUdp21-y2cPbobDbMjr09BbtdKROZWc/edit#gid=1444865654"",""articles_with_PRISMA_reasons!W2:W2113""), $A1431=IMPORTRANGE(""https://docs.google.co"&amp;"m/spreadsheets/d/1qpEmbGH0JjaJbUdp21-y2cPbobDbMjr09BbtdKROZWc/edit#gid=1444865654"",""articles_with_PRISMA_reasons!B2:B2113""))&gt;=2,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$A1431=IMPORTRANGE(""https://docs.google.com/spreadsheets/d/1qpEmbGH0JjaJbUdp21-y2cPbobDbMjr09BbtdKROZWc/edit#gid=1444865654"",""articles_with_PRISMA_reasons!B2:B2113""))&lt;2),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$A1431=IMPORTRANGE(""https://docs.google.com/spreadsheets/d/1qpEmbGH0JjaJbUdp21-y2cPbobDbMjr09Bbtd"&amp;"KROZWc/edit#gid=1444865654"",""articles_with_PRISMA_reasons!B2:B2113""))&lt;2,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$A1431=I"&amp;"MPORTRANGE(""https://docs.google.com/spreadsheets/d/1qpEmbGH0JjaJbUdp21-y2cPbobDbMjr09BbtdKROZWc/edit#gid=1444865654"",""articles_with_PRISMA_reasons!B2:B2113""))&gt;=2),
""Exclude""
)"),"Exclude")</f>
        <v>Exclude</v>
      </c>
      <c r="F1431" s="5" t="str">
        <f>IFERROR(__xludf.DUMMYFUNCTION("IFS(
E1431=""Exclude"",""Exclude"",
AND(
COUNTIF(
IMPORTRANGE(""https://docs.google.com/spreadsheets/d/1kGrh75X1cNR1D7_FcY9zMnHP8iPO4M5RCRjy6nZY0TY/edit#gid=0"",""Table 1: Study characteristics!B4:B171""),A1431)&gt;0,
COUNTIF(Studies!$A$2:$A$85,FILTER(IMPORT"&amp;"RANGE(""https://docs.google.com/spreadsheets/d/1kGrh75X1cNR1D7_FcY9zMnHP8iPO4M5RCRjy6nZY0TY/edit#gid=0"",""Table 1: Study characteristics!A4:A171""), $A1431=IMPORTRANGE(""https://docs.google.com/spreadsheets/d/1kGrh75X1cNR1D7_FcY9zMnHP8iPO4M5RCRjy6nZY0TY/"&amp;"edit#gid=0"",""Table 1: Study characteristics!B4:B171"")))&gt;0
),
""Include""
)"),"Exclude")</f>
        <v>Exclude</v>
      </c>
      <c r="G1431" s="5" t="str">
        <f>IFERROR(__xludf.DUMMYFUNCTION("IFS(
D1431=""Exclude"",
FILTER(IMPORTRANGE(""https://docs.google.com/spreadsheets/d/1BJSV3WBYJGRhQ6zExamkszQ5VutGIcaQqmbD9ZTVXMQ/edit#gid=1251630045"",""articles_with_PRISMA_reasons!AB2:AB2113""), $A1431=IMPORTRANGE(""https://docs.google.com/spreadsheets/"&amp;"d/1BJSV3WBYJGRhQ6zExamkszQ5VutGIcaQqmbD9ZTVXMQ/edit#gid=1251630045"",""articles_with_PRISMA_reasons!B2:B2113"")),
E1431=""Exclude"",
FILTER(IMPORTRANGE(""https://docs.google.com/spreadsheets/d/1qpEmbGH0JjaJbUdp21-y2cPbobDbMjr09BbtdKROZWc/edit#gid=14448656"&amp;"54"",""articles_with_PRISMA_reasons!Z2:Z2113""), $A1431=IMPORTRANGE(""https://docs.google.com/spreadsheets/d/1qpEmbGH0JjaJbUdp21-y2cPbobDbMjr09BbtdKROZWc/edit#gid=1444865654"",""articles_with_PRISMA_reasons!B2:B2113"")),F1431
=""Include"",FILTER(IMPORTRAN"&amp;"GE(""https://docs.google.com/spreadsheets/d/1kGrh75X1cNR1D7_FcY9zMnHP8iPO4M5RCRjy6nZY0TY/edit#gid=0"",""Table 1: Study characteristics!A4:A171""), $A1431=IMPORTRANGE(""https://docs.google.com/spreadsheets/d/1kGrh75X1cNR1D7_FcY9zMnHP8iPO4M5RCRjy6nZY0TY/edi"&amp;"t#gid=0"",""Table 1: Study characteristics!B4:B171""))
)"),"wrong population")</f>
        <v>wrong population</v>
      </c>
    </row>
    <row r="1432">
      <c r="A1432" s="4" t="str">
        <f>IFERROR(__xludf.DUMMYFUNCTION("""COMPUTED_VALUE"""),"Perceptual processes of children with myelomeningocele and hydrocephalus")</f>
        <v>Perceptual processes of children with myelomeningocele and hydrocephalus</v>
      </c>
      <c r="B1432" s="5" t="str">
        <f>IFERROR(__xludf.DUMMYFUNCTION("LEFT(FILTER(IMPORTRANGE(""https://docs.google.com/spreadsheets/d/1BJSV3WBYJGRhQ6zExamkszQ5VutGIcaQqmbD9ZTVXMQ/edit#gid=1251630045"",""articles_with_PRISMA_reasons!K2:K2113""), $A1432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$A1432=IMPORTRANGE(""https://docs.google.com/spreadsheets/d/1BJSV3WBYJGRhQ6zExamkszQ5VutGIcaQqmbD9ZTVXMQ/edit#gid=1251630045"",""articles_with_PRISMA_reasons!B2:B2113"")))-1)"),"Gressang")</f>
        <v>Gressang</v>
      </c>
      <c r="C1432" s="6">
        <f>IFERROR(__xludf.DUMMYFUNCTION("FILTER(IMPORTRANGE(""https://docs.google.com/spreadsheets/d/1BJSV3WBYJGRhQ6zExamkszQ5VutGIcaQqmbD9ZTVXMQ/edit#gid=1251630045"",""articles_with_PRISMA_reasons!C2:C2113""), $A1432=IMPORTRANGE(""https://docs.google.com/spreadsheets/d/1BJSV3WBYJGRhQ6zExamkszQ"&amp;"5VutGIcaQqmbD9ZTVXMQ/edit#gid=1251630045"",""articles_with_PRISMA_reasons!B2:B2113""))"),1974.0)</f>
        <v>1974</v>
      </c>
      <c r="D1432" s="5" t="str">
        <f>IFERROR(__xludf.DUMMYFUNCTION("IFS(AND(
FILTER(IMPORTRANGE(""https://docs.google.com/spreadsheets/d/1BJSV3WBYJGRhQ6zExamkszQ5VutGIcaQqmbD9ZTVXMQ/edit#gid=1251630045"",""articles_with_PRISMA_reasons!Y2:Y2113""), $A1432=IMPORTRANGE(""https://docs.google.com/spreadsheets/d/1BJSV3WBYJGRhQ6"&amp;"zExamkszQ5VutGIcaQqmbD9ZTVXMQ/edit#gid=1251630045"",""articles_with_PRISMA_reasons!B2:B2113""))&gt;=2,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$A1432=IMPORTRANGE(""https://docs.google.com/spreadsheets/d/1BJSV3WBYJGRhQ6zExamkszQ5VutGIcaQqmbD9ZTVXMQ/edit#gid=1251630045"",""articles_with_PRISMA_reasons!B2:B2113""))&lt;2),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$A1432=IMPORTRANGE(""https://docs.google.com/spreadsheets/d/1BJSV3WBYJGRhQ6zExamkszQ5VutGIcaQqmbD9ZTVXMQ/edit#gid=1251630045"",""a"&amp;"rticles_with_PRISMA_reasons!B2:B2113""))&lt;2,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$A1432=IMPORTRANGE(""https://docs.google"&amp;".com/spreadsheets/d/1BJSV3WBYJGRhQ6zExamkszQ5VutGIcaQqmbD9ZTVXMQ/edit#gid=1251630045"",""articles_with_PRISMA_reasons!B2:B2113""))&gt;=2),
""Exclude""
)"),"Exclude")</f>
        <v>Exclude</v>
      </c>
      <c r="E1432" s="5" t="str">
        <f>IFERROR(__xludf.DUMMYFUNCTION("IFS(
D1432=""Exclude"",""Exclude"",
AND(
FILTER(IMPORTRANGE(""https://docs.google.com/spreadsheets/d/1qpEmbGH0JjaJbUdp21-y2cPbobDbMjr09BbtdKROZWc/edit#gid=1444865654"",""articles_with_PRISMA_reasons!W2:W2113""), $A1432=IMPORTRANGE(""https://docs.google.co"&amp;"m/spreadsheets/d/1qpEmbGH0JjaJbUdp21-y2cPbobDbMjr09BbtdKROZWc/edit#gid=1444865654"",""articles_with_PRISMA_reasons!B2:B2113""))&gt;=2,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$A1432=IMPORTRANGE(""https://docs.google.com/spreadsheets/d/1qpEmbGH0JjaJbUdp21-y2cPbobDbMjr09BbtdKROZWc/edit#gid=1444865654"",""articles_with_PRISMA_reasons!B2:B2113""))&lt;2),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$A1432=IMPORTRANGE(""https://docs.google.com/spreadsheets/d/1qpEmbGH0JjaJbUdp21-y2cPbobDbMjr09Bbtd"&amp;"KROZWc/edit#gid=1444865654"",""articles_with_PRISMA_reasons!B2:B2113""))&lt;2,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$A1432=I"&amp;"MPORTRANGE(""https://docs.google.com/spreadsheets/d/1qpEmbGH0JjaJbUdp21-y2cPbobDbMjr09BbtdKROZWc/edit#gid=1444865654"",""articles_with_PRISMA_reasons!B2:B2113""))&gt;=2),
""Exclude""
)"),"Exclude")</f>
        <v>Exclude</v>
      </c>
      <c r="F1432" s="5" t="str">
        <f>IFERROR(__xludf.DUMMYFUNCTION("IFS(
E1432=""Exclude"",""Exclude"",
AND(
COUNTIF(
IMPORTRANGE(""https://docs.google.com/spreadsheets/d/1kGrh75X1cNR1D7_FcY9zMnHP8iPO4M5RCRjy6nZY0TY/edit#gid=0"",""Table 1: Study characteristics!B4:B171""),A1432)&gt;0,
COUNTIF(Studies!$A$2:$A$85,FILTER(IMPORT"&amp;"RANGE(""https://docs.google.com/spreadsheets/d/1kGrh75X1cNR1D7_FcY9zMnHP8iPO4M5RCRjy6nZY0TY/edit#gid=0"",""Table 1: Study characteristics!A4:A171""), $A1432=IMPORTRANGE(""https://docs.google.com/spreadsheets/d/1kGrh75X1cNR1D7_FcY9zMnHP8iPO4M5RCRjy6nZY0TY/"&amp;"edit#gid=0"",""Table 1: Study characteristics!B4:B171"")))&gt;0
),
""Include""
)"),"Exclude")</f>
        <v>Exclude</v>
      </c>
      <c r="G1432" s="5" t="str">
        <f>IFERROR(__xludf.DUMMYFUNCTION("IFS(
D1432=""Exclude"",
FILTER(IMPORTRANGE(""https://docs.google.com/spreadsheets/d/1BJSV3WBYJGRhQ6zExamkszQ5VutGIcaQqmbD9ZTVXMQ/edit#gid=1251630045"",""articles_with_PRISMA_reasons!AB2:AB2113""), $A1432=IMPORTRANGE(""https://docs.google.com/spreadsheets/"&amp;"d/1BJSV3WBYJGRhQ6zExamkszQ5VutGIcaQqmbD9ZTVXMQ/edit#gid=1251630045"",""articles_with_PRISMA_reasons!B2:B2113"")),
E1432=""Exclude"",
FILTER(IMPORTRANGE(""https://docs.google.com/spreadsheets/d/1qpEmbGH0JjaJbUdp21-y2cPbobDbMjr09BbtdKROZWc/edit#gid=14448656"&amp;"54"",""articles_with_PRISMA_reasons!Z2:Z2113""), $A1432=IMPORTRANGE(""https://docs.google.com/spreadsheets/d/1qpEmbGH0JjaJbUdp21-y2cPbobDbMjr09BbtdKROZWc/edit#gid=1444865654"",""articles_with_PRISMA_reasons!B2:B2113"")),F1432
=""Include"",FILTER(IMPORTRAN"&amp;"GE(""https://docs.google.com/spreadsheets/d/1kGrh75X1cNR1D7_FcY9zMnHP8iPO4M5RCRjy6nZY0TY/edit#gid=0"",""Table 1: Study characteristics!A4:A171""), $A1432=IMPORTRANGE(""https://docs.google.com/spreadsheets/d/1kGrh75X1cNR1D7_FcY9zMnHP8iPO4M5RCRjy6nZY0TY/edi"&amp;"t#gid=0"",""Table 1: Study characteristics!B4:B171""))
)"),"wrong study design")</f>
        <v>wrong study design</v>
      </c>
    </row>
    <row r="1433">
      <c r="A1433" s="4" t="str">
        <f>IFERROR(__xludf.DUMMYFUNCTION("""COMPUTED_VALUE"""),"Percutaneous fetoscopic patch closure of human spina bifida aperta: Advances in fetal surgical techniques may obviate the need for early postnatal neurosurgical intervention")</f>
        <v>Percutaneous fetoscopic patch closure of human spina bifida aperta: Advances in fetal surgical techniques may obviate the need for early postnatal neurosurgical intervention</v>
      </c>
      <c r="B1433" s="5" t="str">
        <f>IFERROR(__xludf.DUMMYFUNCTION("LEFT(FILTER(IMPORTRANGE(""https://docs.google.com/spreadsheets/d/1BJSV3WBYJGRhQ6zExamkszQ5VutGIcaQqmbD9ZTVXMQ/edit#gid=1251630045"",""articles_with_PRISMA_reasons!K2:K2113""), $A1433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$A1433=IMPORTRANGE(""https://docs.google.com/spreadsheets/d/1BJSV3WBYJGRhQ6zExamkszQ5VutGIcaQqmbD9ZTVXMQ/edit#gid=1251630045"",""articles_with_PRISMA_reasons!B2:B2113"")))-1)"),"Tchatcheva")</f>
        <v>Tchatcheva</v>
      </c>
      <c r="C1433" s="6">
        <f>IFERROR(__xludf.DUMMYFUNCTION("FILTER(IMPORTRANGE(""https://docs.google.com/spreadsheets/d/1BJSV3WBYJGRhQ6zExamkszQ5VutGIcaQqmbD9ZTVXMQ/edit#gid=1251630045"",""articles_with_PRISMA_reasons!C2:C2113""), $A1433=IMPORTRANGE(""https://docs.google.com/spreadsheets/d/1BJSV3WBYJGRhQ6zExamkszQ"&amp;"5VutGIcaQqmbD9ZTVXMQ/edit#gid=1251630045"",""articles_with_PRISMA_reasons!B2:B2113""))"),2009.0)</f>
        <v>2009</v>
      </c>
      <c r="D1433" s="5" t="str">
        <f>IFERROR(__xludf.DUMMYFUNCTION("IFS(AND(
FILTER(IMPORTRANGE(""https://docs.google.com/spreadsheets/d/1BJSV3WBYJGRhQ6zExamkszQ5VutGIcaQqmbD9ZTVXMQ/edit#gid=1251630045"",""articles_with_PRISMA_reasons!Y2:Y2113""), $A1433=IMPORTRANGE(""https://docs.google.com/spreadsheets/d/1BJSV3WBYJGRhQ6"&amp;"zExamkszQ5VutGIcaQqmbD9ZTVXMQ/edit#gid=1251630045"",""articles_with_PRISMA_reasons!B2:B2113""))&gt;=2,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$A1433=IMPORTRANGE(""https://docs.google.com/spreadsheets/d/1BJSV3WBYJGRhQ6zExamkszQ5VutGIcaQqmbD9ZTVXMQ/edit#gid=1251630045"",""articles_with_PRISMA_reasons!B2:B2113""))&lt;2),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$A1433=IMPORTRANGE(""https://docs.google.com/spreadsheets/d/1BJSV3WBYJGRhQ6zExamkszQ5VutGIcaQqmbD9ZTVXMQ/edit#gid=1251630045"",""a"&amp;"rticles_with_PRISMA_reasons!B2:B2113""))&lt;2,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$A1433=IMPORTRANGE(""https://docs.google"&amp;".com/spreadsheets/d/1BJSV3WBYJGRhQ6zExamkszQ5VutGIcaQqmbD9ZTVXMQ/edit#gid=1251630045"",""articles_with_PRISMA_reasons!B2:B2113""))&gt;=2),
""Exclude""
)"),"Exclude")</f>
        <v>Exclude</v>
      </c>
      <c r="E1433" s="5" t="str">
        <f>IFERROR(__xludf.DUMMYFUNCTION("IFS(
D1433=""Exclude"",""Exclude"",
AND(
FILTER(IMPORTRANGE(""https://docs.google.com/spreadsheets/d/1qpEmbGH0JjaJbUdp21-y2cPbobDbMjr09BbtdKROZWc/edit#gid=1444865654"",""articles_with_PRISMA_reasons!W2:W2113""), $A1433=IMPORTRANGE(""https://docs.google.co"&amp;"m/spreadsheets/d/1qpEmbGH0JjaJbUdp21-y2cPbobDbMjr09BbtdKROZWc/edit#gid=1444865654"",""articles_with_PRISMA_reasons!B2:B2113""))&gt;=2,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$A1433=IMPORTRANGE(""https://docs.google.com/spreadsheets/d/1qpEmbGH0JjaJbUdp21-y2cPbobDbMjr09BbtdKROZWc/edit#gid=1444865654"",""articles_with_PRISMA_reasons!B2:B2113""))&lt;2),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$A1433=IMPORTRANGE(""https://docs.google.com/spreadsheets/d/1qpEmbGH0JjaJbUdp21-y2cPbobDbMjr09Bbtd"&amp;"KROZWc/edit#gid=1444865654"",""articles_with_PRISMA_reasons!B2:B2113""))&lt;2,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$A1433=I"&amp;"MPORTRANGE(""https://docs.google.com/spreadsheets/d/1qpEmbGH0JjaJbUdp21-y2cPbobDbMjr09BbtdKROZWc/edit#gid=1444865654"",""articles_with_PRISMA_reasons!B2:B2113""))&gt;=2),
""Exclude""
)"),"Exclude")</f>
        <v>Exclude</v>
      </c>
      <c r="F1433" s="5" t="str">
        <f>IFERROR(__xludf.DUMMYFUNCTION("IFS(
E1433=""Exclude"",""Exclude"",
AND(
COUNTIF(
IMPORTRANGE(""https://docs.google.com/spreadsheets/d/1kGrh75X1cNR1D7_FcY9zMnHP8iPO4M5RCRjy6nZY0TY/edit#gid=0"",""Table 1: Study characteristics!B4:B171""),A1433)&gt;0,
COUNTIF(Studies!$A$2:$A$85,FILTER(IMPORT"&amp;"RANGE(""https://docs.google.com/spreadsheets/d/1kGrh75X1cNR1D7_FcY9zMnHP8iPO4M5RCRjy6nZY0TY/edit#gid=0"",""Table 1: Study characteristics!A4:A171""), $A1433=IMPORTRANGE(""https://docs.google.com/spreadsheets/d/1kGrh75X1cNR1D7_FcY9zMnHP8iPO4M5RCRjy6nZY0TY/"&amp;"edit#gid=0"",""Table 1: Study characteristics!B4:B171"")))&gt;0
),
""Include""
)"),"Exclude")</f>
        <v>Exclude</v>
      </c>
      <c r="G1433" s="5" t="str">
        <f>IFERROR(__xludf.DUMMYFUNCTION("IFS(
D1433=""Exclude"",
FILTER(IMPORTRANGE(""https://docs.google.com/spreadsheets/d/1BJSV3WBYJGRhQ6zExamkszQ5VutGIcaQqmbD9ZTVXMQ/edit#gid=1251630045"",""articles_with_PRISMA_reasons!AB2:AB2113""), $A1433=IMPORTRANGE(""https://docs.google.com/spreadsheets/"&amp;"d/1BJSV3WBYJGRhQ6zExamkszQ5VutGIcaQqmbD9ZTVXMQ/edit#gid=1251630045"",""articles_with_PRISMA_reasons!B2:B2113"")),
E1433=""Exclude"",
FILTER(IMPORTRANGE(""https://docs.google.com/spreadsheets/d/1qpEmbGH0JjaJbUdp21-y2cPbobDbMjr09BbtdKROZWc/edit#gid=14448656"&amp;"54"",""articles_with_PRISMA_reasons!Z2:Z2113""), $A1433=IMPORTRANGE(""https://docs.google.com/spreadsheets/d/1qpEmbGH0JjaJbUdp21-y2cPbobDbMjr09BbtdKROZWc/edit#gid=1444865654"",""articles_with_PRISMA_reasons!B2:B2113"")),F1433
=""Include"",FILTER(IMPORTRAN"&amp;"GE(""https://docs.google.com/spreadsheets/d/1kGrh75X1cNR1D7_FcY9zMnHP8iPO4M5RCRjy6nZY0TY/edit#gid=0"",""Table 1: Study characteristics!A4:A171""), $A1433=IMPORTRANGE(""https://docs.google.com/spreadsheets/d/1kGrh75X1cNR1D7_FcY9zMnHP8iPO4M5RCRjy6nZY0TY/edi"&amp;"t#gid=0"",""Table 1: Study characteristics!B4:B171""))
)"),"wrong population")</f>
        <v>wrong population</v>
      </c>
    </row>
    <row r="1434">
      <c r="A1434" s="4" t="str">
        <f>IFERROR(__xludf.DUMMYFUNCTION("""COMPUTED_VALUE"""),"Percutaneous minimally invasive fetoscopic surgery for spina bifida aperta. Part I: surgical technique and perioperative outcome")</f>
        <v>Percutaneous minimally invasive fetoscopic surgery for spina bifida aperta. Part I: surgical technique and perioperative outcome</v>
      </c>
      <c r="B1434" s="5" t="str">
        <f>IFERROR(__xludf.DUMMYFUNCTION("LEFT(FILTER(IMPORTRANGE(""https://docs.google.com/spreadsheets/d/1BJSV3WBYJGRhQ6zExamkszQ5VutGIcaQqmbD9ZTVXMQ/edit#gid=1251630045"",""articles_with_PRISMA_reasons!K2:K2113""), $A1434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$A1434=IMPORTRANGE(""https://docs.google.com/spreadsheets/d/1BJSV3WBYJGRhQ6zExamkszQ5VutGIcaQqmbD9ZTVXMQ/edit#gid=1251630045"",""articles_with_PRISMA_reasons!B2:B2113"")))-1)"),"Kohl")</f>
        <v>Kohl</v>
      </c>
      <c r="C1434" s="6">
        <f>IFERROR(__xludf.DUMMYFUNCTION("FILTER(IMPORTRANGE(""https://docs.google.com/spreadsheets/d/1BJSV3WBYJGRhQ6zExamkszQ5VutGIcaQqmbD9ZTVXMQ/edit#gid=1251630045"",""articles_with_PRISMA_reasons!C2:C2113""), $A1434=IMPORTRANGE(""https://docs.google.com/spreadsheets/d/1BJSV3WBYJGRhQ6zExamkszQ"&amp;"5VutGIcaQqmbD9ZTVXMQ/edit#gid=1251630045"",""articles_with_PRISMA_reasons!B2:B2113""))"),2014.0)</f>
        <v>2014</v>
      </c>
      <c r="D1434" s="5" t="str">
        <f>IFERROR(__xludf.DUMMYFUNCTION("IFS(AND(
FILTER(IMPORTRANGE(""https://docs.google.com/spreadsheets/d/1BJSV3WBYJGRhQ6zExamkszQ5VutGIcaQqmbD9ZTVXMQ/edit#gid=1251630045"",""articles_with_PRISMA_reasons!Y2:Y2113""), $A1434=IMPORTRANGE(""https://docs.google.com/spreadsheets/d/1BJSV3WBYJGRhQ6"&amp;"zExamkszQ5VutGIcaQqmbD9ZTVXMQ/edit#gid=1251630045"",""articles_with_PRISMA_reasons!B2:B2113""))&gt;=2,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$A1434=IMPORTRANGE(""https://docs.google.com/spreadsheets/d/1BJSV3WBYJGRhQ6zExamkszQ5VutGIcaQqmbD9ZTVXMQ/edit#gid=1251630045"",""articles_with_PRISMA_reasons!B2:B2113""))&lt;2),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$A1434=IMPORTRANGE(""https://docs.google.com/spreadsheets/d/1BJSV3WBYJGRhQ6zExamkszQ5VutGIcaQqmbD9ZTVXMQ/edit#gid=1251630045"",""a"&amp;"rticles_with_PRISMA_reasons!B2:B2113""))&lt;2,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$A1434=IMPORTRANGE(""https://docs.google"&amp;".com/spreadsheets/d/1BJSV3WBYJGRhQ6zExamkszQ5VutGIcaQqmbD9ZTVXMQ/edit#gid=1251630045"",""articles_with_PRISMA_reasons!B2:B2113""))&gt;=2),
""Exclude""
)"),"Exclude")</f>
        <v>Exclude</v>
      </c>
      <c r="E1434" s="5" t="str">
        <f>IFERROR(__xludf.DUMMYFUNCTION("IFS(
D1434=""Exclude"",""Exclude"",
AND(
FILTER(IMPORTRANGE(""https://docs.google.com/spreadsheets/d/1qpEmbGH0JjaJbUdp21-y2cPbobDbMjr09BbtdKROZWc/edit#gid=1444865654"",""articles_with_PRISMA_reasons!W2:W2113""), $A1434=IMPORTRANGE(""https://docs.google.co"&amp;"m/spreadsheets/d/1qpEmbGH0JjaJbUdp21-y2cPbobDbMjr09BbtdKROZWc/edit#gid=1444865654"",""articles_with_PRISMA_reasons!B2:B2113""))&gt;=2,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$A1434=IMPORTRANGE(""https://docs.google.com/spreadsheets/d/1qpEmbGH0JjaJbUdp21-y2cPbobDbMjr09BbtdKROZWc/edit#gid=1444865654"",""articles_with_PRISMA_reasons!B2:B2113""))&lt;2),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$A1434=IMPORTRANGE(""https://docs.google.com/spreadsheets/d/1qpEmbGH0JjaJbUdp21-y2cPbobDbMjr09Bbtd"&amp;"KROZWc/edit#gid=1444865654"",""articles_with_PRISMA_reasons!B2:B2113""))&lt;2,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$A1434=I"&amp;"MPORTRANGE(""https://docs.google.com/spreadsheets/d/1qpEmbGH0JjaJbUdp21-y2cPbobDbMjr09BbtdKROZWc/edit#gid=1444865654"",""articles_with_PRISMA_reasons!B2:B2113""))&gt;=2),
""Exclude""
)"),"Exclude")</f>
        <v>Exclude</v>
      </c>
      <c r="F1434" s="5" t="str">
        <f>IFERROR(__xludf.DUMMYFUNCTION("IFS(
E1434=""Exclude"",""Exclude"",
AND(
COUNTIF(
IMPORTRANGE(""https://docs.google.com/spreadsheets/d/1kGrh75X1cNR1D7_FcY9zMnHP8iPO4M5RCRjy6nZY0TY/edit#gid=0"",""Table 1: Study characteristics!B4:B171""),A1434)&gt;0,
COUNTIF(Studies!$A$2:$A$85,FILTER(IMPORT"&amp;"RANGE(""https://docs.google.com/spreadsheets/d/1kGrh75X1cNR1D7_FcY9zMnHP8iPO4M5RCRjy6nZY0TY/edit#gid=0"",""Table 1: Study characteristics!A4:A171""), $A1434=IMPORTRANGE(""https://docs.google.com/spreadsheets/d/1kGrh75X1cNR1D7_FcY9zMnHP8iPO4M5RCRjy6nZY0TY/"&amp;"edit#gid=0"",""Table 1: Study characteristics!B4:B171"")))&gt;0
),
""Include""
)"),"Exclude")</f>
        <v>Exclude</v>
      </c>
      <c r="G1434" s="5" t="str">
        <f>IFERROR(__xludf.DUMMYFUNCTION("IFS(
D1434=""Exclude"",
FILTER(IMPORTRANGE(""https://docs.google.com/spreadsheets/d/1BJSV3WBYJGRhQ6zExamkszQ5VutGIcaQqmbD9ZTVXMQ/edit#gid=1251630045"",""articles_with_PRISMA_reasons!AB2:AB2113""), $A1434=IMPORTRANGE(""https://docs.google.com/spreadsheets/"&amp;"d/1BJSV3WBYJGRhQ6zExamkszQ5VutGIcaQqmbD9ZTVXMQ/edit#gid=1251630045"",""articles_with_PRISMA_reasons!B2:B2113"")),
E1434=""Exclude"",
FILTER(IMPORTRANGE(""https://docs.google.com/spreadsheets/d/1qpEmbGH0JjaJbUdp21-y2cPbobDbMjr09BbtdKROZWc/edit#gid=14448656"&amp;"54"",""articles_with_PRISMA_reasons!Z2:Z2113""), $A1434=IMPORTRANGE(""https://docs.google.com/spreadsheets/d/1qpEmbGH0JjaJbUdp21-y2cPbobDbMjr09BbtdKROZWc/edit#gid=1444865654"",""articles_with_PRISMA_reasons!B2:B2113"")),F1434
=""Include"",FILTER(IMPORTRAN"&amp;"GE(""https://docs.google.com/spreadsheets/d/1kGrh75X1cNR1D7_FcY9zMnHP8iPO4M5RCRjy6nZY0TY/edit#gid=0"",""Table 1: Study characteristics!A4:A171""), $A1434=IMPORTRANGE(""https://docs.google.com/spreadsheets/d/1kGrh75X1cNR1D7_FcY9zMnHP8iPO4M5RCRjy6nZY0TY/edi"&amp;"t#gid=0"",""Table 1: Study characteristics!B4:B171""))
)"),"wrong publication type")</f>
        <v>wrong publication type</v>
      </c>
    </row>
    <row r="1435">
      <c r="A1435" s="4" t="str">
        <f>IFERROR(__xludf.DUMMYFUNCTION("""COMPUTED_VALUE"""),"Percutaneous minimally invasive fetoscopic surgery for spina bifida aperta. Part III: neurosurgical intervention in the first postnatal year")</f>
        <v>Percutaneous minimally invasive fetoscopic surgery for spina bifida aperta. Part III: neurosurgical intervention in the first postnatal year</v>
      </c>
      <c r="B1435" s="5" t="str">
        <f>IFERROR(__xludf.DUMMYFUNCTION("LEFT(FILTER(IMPORTRANGE(""https://docs.google.com/spreadsheets/d/1BJSV3WBYJGRhQ6zExamkszQ5VutGIcaQqmbD9ZTVXMQ/edit#gid=1251630045"",""articles_with_PRISMA_reasons!K2:K2113""), $A1435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$A1435=IMPORTRANGE(""https://docs.google.com/spreadsheets/d/1BJSV3WBYJGRhQ6zExamkszQ5VutGIcaQqmbD9ZTVXMQ/edit#gid=1251630045"",""articles_with_PRISMA_reasons!B2:B2113"")))-1)"),"Graf")</f>
        <v>Graf</v>
      </c>
      <c r="C1435" s="6" t="str">
        <f>IFERROR(__xludf.DUMMYFUNCTION("FILTER(IMPORTRANGE(""https://docs.google.com/spreadsheets/d/1BJSV3WBYJGRhQ6zExamkszQ5VutGIcaQqmbD9ZTVXMQ/edit#gid=1251630045"",""articles_with_PRISMA_reasons!C2:C2113""), $A1435=IMPORTRANGE(""https://docs.google.com/spreadsheets/d/1BJSV3WBYJGRhQ6zExamkszQ"&amp;"5VutGIcaQqmbD9ZTVXMQ/edit#gid=1251630045"",""articles_with_PRISMA_reasons!B2:B2113""))"),"Feb")</f>
        <v>Feb</v>
      </c>
      <c r="D1435" s="5" t="str">
        <f>IFERROR(__xludf.DUMMYFUNCTION("IFS(AND(
FILTER(IMPORTRANGE(""https://docs.google.com/spreadsheets/d/1BJSV3WBYJGRhQ6zExamkszQ5VutGIcaQqmbD9ZTVXMQ/edit#gid=1251630045"",""articles_with_PRISMA_reasons!Y2:Y2113""), $A1435=IMPORTRANGE(""https://docs.google.com/spreadsheets/d/1BJSV3WBYJGRhQ6"&amp;"zExamkszQ5VutGIcaQqmbD9ZTVXMQ/edit#gid=1251630045"",""articles_with_PRISMA_reasons!B2:B2113""))&gt;=2,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$A1435=IMPORTRANGE(""https://docs.google.com/spreadsheets/d/1BJSV3WBYJGRhQ6zExamkszQ5VutGIcaQqmbD9ZTVXMQ/edit#gid=1251630045"",""articles_with_PRISMA_reasons!B2:B2113""))&lt;2),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$A1435=IMPORTRANGE(""https://docs.google.com/spreadsheets/d/1BJSV3WBYJGRhQ6zExamkszQ5VutGIcaQqmbD9ZTVXMQ/edit#gid=1251630045"",""a"&amp;"rticles_with_PRISMA_reasons!B2:B2113""))&lt;2,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$A1435=IMPORTRANGE(""https://docs.google"&amp;".com/spreadsheets/d/1BJSV3WBYJGRhQ6zExamkszQ5VutGIcaQqmbD9ZTVXMQ/edit#gid=1251630045"",""articles_with_PRISMA_reasons!B2:B2113""))&gt;=2),
""Exclude""
)"),"Exclude")</f>
        <v>Exclude</v>
      </c>
      <c r="E1435" s="5" t="str">
        <f>IFERROR(__xludf.DUMMYFUNCTION("IFS(
D1435=""Exclude"",""Exclude"",
AND(
FILTER(IMPORTRANGE(""https://docs.google.com/spreadsheets/d/1qpEmbGH0JjaJbUdp21-y2cPbobDbMjr09BbtdKROZWc/edit#gid=1444865654"",""articles_with_PRISMA_reasons!W2:W2113""), $A1435=IMPORTRANGE(""https://docs.google.co"&amp;"m/spreadsheets/d/1qpEmbGH0JjaJbUdp21-y2cPbobDbMjr09BbtdKROZWc/edit#gid=1444865654"",""articles_with_PRISMA_reasons!B2:B2113""))&gt;=2,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$A1435=IMPORTRANGE(""https://docs.google.com/spreadsheets/d/1qpEmbGH0JjaJbUdp21-y2cPbobDbMjr09BbtdKROZWc/edit#gid=1444865654"",""articles_with_PRISMA_reasons!B2:B2113""))&lt;2),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$A1435=IMPORTRANGE(""https://docs.google.com/spreadsheets/d/1qpEmbGH0JjaJbUdp21-y2cPbobDbMjr09Bbtd"&amp;"KROZWc/edit#gid=1444865654"",""articles_with_PRISMA_reasons!B2:B2113""))&lt;2,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$A1435=I"&amp;"MPORTRANGE(""https://docs.google.com/spreadsheets/d/1qpEmbGH0JjaJbUdp21-y2cPbobDbMjr09BbtdKROZWc/edit#gid=1444865654"",""articles_with_PRISMA_reasons!B2:B2113""))&gt;=2),
""Exclude""
)"),"Exclude")</f>
        <v>Exclude</v>
      </c>
      <c r="F1435" s="5" t="str">
        <f>IFERROR(__xludf.DUMMYFUNCTION("IFS(
E1435=""Exclude"",""Exclude"",
AND(
COUNTIF(
IMPORTRANGE(""https://docs.google.com/spreadsheets/d/1kGrh75X1cNR1D7_FcY9zMnHP8iPO4M5RCRjy6nZY0TY/edit#gid=0"",""Table 1: Study characteristics!B4:B171""),A1435)&gt;0,
COUNTIF(Studies!$A$2:$A$85,FILTER(IMPORT"&amp;"RANGE(""https://docs.google.com/spreadsheets/d/1kGrh75X1cNR1D7_FcY9zMnHP8iPO4M5RCRjy6nZY0TY/edit#gid=0"",""Table 1: Study characteristics!A4:A171""), $A1435=IMPORTRANGE(""https://docs.google.com/spreadsheets/d/1kGrh75X1cNR1D7_FcY9zMnHP8iPO4M5RCRjy6nZY0TY/"&amp;"edit#gid=0"",""Table 1: Study characteristics!B4:B171"")))&gt;0
),
""Include""
)"),"Exclude")</f>
        <v>Exclude</v>
      </c>
      <c r="G1435" s="5" t="str">
        <f>IFERROR(__xludf.DUMMYFUNCTION("IFS(
D1435=""Exclude"",
FILTER(IMPORTRANGE(""https://docs.google.com/spreadsheets/d/1BJSV3WBYJGRhQ6zExamkszQ5VutGIcaQqmbD9ZTVXMQ/edit#gid=1251630045"",""articles_with_PRISMA_reasons!AB2:AB2113""), $A1435=IMPORTRANGE(""https://docs.google.com/spreadsheets/"&amp;"d/1BJSV3WBYJGRhQ6zExamkszQ5VutGIcaQqmbD9ZTVXMQ/edit#gid=1251630045"",""articles_with_PRISMA_reasons!B2:B2113"")),
E1435=""Exclude"",
FILTER(IMPORTRANGE(""https://docs.google.com/spreadsheets/d/1qpEmbGH0JjaJbUdp21-y2cPbobDbMjr09BbtdKROZWc/edit#gid=14448656"&amp;"54"",""articles_with_PRISMA_reasons!Z2:Z2113""), $A1435=IMPORTRANGE(""https://docs.google.com/spreadsheets/d/1qpEmbGH0JjaJbUdp21-y2cPbobDbMjr09BbtdKROZWc/edit#gid=1444865654"",""articles_with_PRISMA_reasons!B2:B2113"")),F1435
=""Include"",FILTER(IMPORTRAN"&amp;"GE(""https://docs.google.com/spreadsheets/d/1kGrh75X1cNR1D7_FcY9zMnHP8iPO4M5RCRjy6nZY0TY/edit#gid=0"",""Table 1: Study characteristics!A4:A171""), $A1435=IMPORTRANGE(""https://docs.google.com/spreadsheets/d/1kGrh75X1cNR1D7_FcY9zMnHP8iPO4M5RCRjy6nZY0TY/edi"&amp;"t#gid=0"",""Table 1: Study characteristics!B4:B171""))
)"),"wrong publication type")</f>
        <v>wrong publication type</v>
      </c>
    </row>
    <row r="1436">
      <c r="A1436" s="4" t="str">
        <f>IFERROR(__xludf.DUMMYFUNCTION("""COMPUTED_VALUE"""),"Perfil clínico-epidemiológico dos pacientes tratados com mielomeningocele em um hospital universitário de Curitiba")</f>
        <v>Perfil clínico-epidemiológico dos pacientes tratados com mielomeningocele em um hospital universitário de Curitiba</v>
      </c>
      <c r="B1436" s="5" t="str">
        <f>IFERROR(__xludf.DUMMYFUNCTION("LEFT(FILTER(IMPORTRANGE(""https://docs.google.com/spreadsheets/d/1BJSV3WBYJGRhQ6zExamkszQ5VutGIcaQqmbD9ZTVXMQ/edit#gid=1251630045"",""articles_with_PRISMA_reasons!K2:K2113""), $A1436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$A1436=IMPORTRANGE(""https://docs.google.com/spreadsheets/d/1BJSV3WBYJGRhQ6zExamkszQ5VutGIcaQqmbD9ZTVXMQ/edit#gid=1251630045"",""articles_with_PRISMA_reasons!B2:B2113"")))-1)"),"Borba")</f>
        <v>Borba</v>
      </c>
      <c r="C1436" s="6">
        <f>IFERROR(__xludf.DUMMYFUNCTION("FILTER(IMPORTRANGE(""https://docs.google.com/spreadsheets/d/1BJSV3WBYJGRhQ6zExamkszQ5VutGIcaQqmbD9ZTVXMQ/edit#gid=1251630045"",""articles_with_PRISMA_reasons!C2:C2113""), $A1436=IMPORTRANGE(""https://docs.google.com/spreadsheets/d/1BJSV3WBYJGRhQ6zExamkszQ"&amp;"5VutGIcaQqmbD9ZTVXMQ/edit#gid=1251630045"",""articles_with_PRISMA_reasons!B2:B2113""))"),2012.0)</f>
        <v>2012</v>
      </c>
      <c r="D1436" s="5" t="str">
        <f>IFERROR(__xludf.DUMMYFUNCTION("IFS(AND(
FILTER(IMPORTRANGE(""https://docs.google.com/spreadsheets/d/1BJSV3WBYJGRhQ6zExamkszQ5VutGIcaQqmbD9ZTVXMQ/edit#gid=1251630045"",""articles_with_PRISMA_reasons!Y2:Y2113""), $A1436=IMPORTRANGE(""https://docs.google.com/spreadsheets/d/1BJSV3WBYJGRhQ6"&amp;"zExamkszQ5VutGIcaQqmbD9ZTVXMQ/edit#gid=1251630045"",""articles_with_PRISMA_reasons!B2:B2113""))&gt;=2,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$A1436=IMPORTRANGE(""https://docs.google.com/spreadsheets/d/1BJSV3WBYJGRhQ6zExamkszQ5VutGIcaQqmbD9ZTVXMQ/edit#gid=1251630045"",""articles_with_PRISMA_reasons!B2:B2113""))&lt;2),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$A1436=IMPORTRANGE(""https://docs.google.com/spreadsheets/d/1BJSV3WBYJGRhQ6zExamkszQ5VutGIcaQqmbD9ZTVXMQ/edit#gid=1251630045"",""a"&amp;"rticles_with_PRISMA_reasons!B2:B2113""))&lt;2,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$A1436=IMPORTRANGE(""https://docs.google"&amp;".com/spreadsheets/d/1BJSV3WBYJGRhQ6zExamkszQ5VutGIcaQqmbD9ZTVXMQ/edit#gid=1251630045"",""articles_with_PRISMA_reasons!B2:B2113""))&gt;=2),
""Exclude""
)"),"Include")</f>
        <v>Include</v>
      </c>
      <c r="E1436" s="5" t="str">
        <f>IFERROR(__xludf.DUMMYFUNCTION("IFS(
D1436=""Exclude"",""Exclude"",
AND(
FILTER(IMPORTRANGE(""https://docs.google.com/spreadsheets/d/1qpEmbGH0JjaJbUdp21-y2cPbobDbMjr09BbtdKROZWc/edit#gid=1444865654"",""articles_with_PRISMA_reasons!W2:W2113""), $A1436=IMPORTRANGE(""https://docs.google.co"&amp;"m/spreadsheets/d/1qpEmbGH0JjaJbUdp21-y2cPbobDbMjr09BbtdKROZWc/edit#gid=1444865654"",""articles_with_PRISMA_reasons!B2:B2113""))&gt;=2,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$A1436=IMPORTRANGE(""https://docs.google.com/spreadsheets/d/1qpEmbGH0JjaJbUdp21-y2cPbobDbMjr09BbtdKROZWc/edit#gid=1444865654"",""articles_with_PRISMA_reasons!B2:B2113""))&lt;2),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$A1436=IMPORTRANGE(""https://docs.google.com/spreadsheets/d/1qpEmbGH0JjaJbUdp21-y2cPbobDbMjr09Bbtd"&amp;"KROZWc/edit#gid=1444865654"",""articles_with_PRISMA_reasons!B2:B2113""))&lt;2,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$A1436=I"&amp;"MPORTRANGE(""https://docs.google.com/spreadsheets/d/1qpEmbGH0JjaJbUdp21-y2cPbobDbMjr09BbtdKROZWc/edit#gid=1444865654"",""articles_with_PRISMA_reasons!B2:B2113""))&gt;=2),
""Exclude""
)"),"Exclude")</f>
        <v>Exclude</v>
      </c>
      <c r="F1436" s="5" t="str">
        <f>IFERROR(__xludf.DUMMYFUNCTION("IFS(
E1436=""Exclude"",""Exclude"",
AND(
COUNTIF(
IMPORTRANGE(""https://docs.google.com/spreadsheets/d/1kGrh75X1cNR1D7_FcY9zMnHP8iPO4M5RCRjy6nZY0TY/edit#gid=0"",""Table 1: Study characteristics!B4:B171""),A1436)&gt;0,
COUNTIF(Studies!$A$2:$A$85,FILTER(IMPORT"&amp;"RANGE(""https://docs.google.com/spreadsheets/d/1kGrh75X1cNR1D7_FcY9zMnHP8iPO4M5RCRjy6nZY0TY/edit#gid=0"",""Table 1: Study characteristics!A4:A171""), $A1436=IMPORTRANGE(""https://docs.google.com/spreadsheets/d/1kGrh75X1cNR1D7_FcY9zMnHP8iPO4M5RCRjy6nZY0TY/"&amp;"edit#gid=0"",""Table 1: Study characteristics!B4:B171"")))&gt;0
),
""Include""
)"),"Exclude")</f>
        <v>Exclude</v>
      </c>
      <c r="G1436" s="5" t="str">
        <f>IFERROR(__xludf.DUMMYFUNCTION("IFS(
D1436=""Exclude"",
FILTER(IMPORTRANGE(""https://docs.google.com/spreadsheets/d/1BJSV3WBYJGRhQ6zExamkszQ5VutGIcaQqmbD9ZTVXMQ/edit#gid=1251630045"",""articles_with_PRISMA_reasons!AB2:AB2113""), $A1436=IMPORTRANGE(""https://docs.google.com/spreadsheets/"&amp;"d/1BJSV3WBYJGRhQ6zExamkszQ5VutGIcaQqmbD9ZTVXMQ/edit#gid=1251630045"",""articles_with_PRISMA_reasons!B2:B2113"")),
E1436=""Exclude"",
FILTER(IMPORTRANGE(""https://docs.google.com/spreadsheets/d/1qpEmbGH0JjaJbUdp21-y2cPbobDbMjr09BbtdKROZWc/edit#gid=14448656"&amp;"54"",""articles_with_PRISMA_reasons!Z2:Z2113""), $A1436=IMPORTRANGE(""https://docs.google.com/spreadsheets/d/1qpEmbGH0JjaJbUdp21-y2cPbobDbMjr09BbtdKROZWc/edit#gid=1444865654"",""articles_with_PRISMA_reasons!B2:B2113"")),F1436
=""Include"",FILTER(IMPORTRAN"&amp;"GE(""https://docs.google.com/spreadsheets/d/1kGrh75X1cNR1D7_FcY9zMnHP8iPO4M5RCRjy6nZY0TY/edit#gid=0"",""Table 1: Study characteristics!A4:A171""), $A1436=IMPORTRANGE(""https://docs.google.com/spreadsheets/d/1kGrh75X1cNR1D7_FcY9zMnHP8iPO4M5RCRjy6nZY0TY/edi"&amp;"t#gid=0"",""Table 1: Study characteristics!B4:B171""))
)"),"Full text not available")</f>
        <v>Full text not available</v>
      </c>
    </row>
    <row r="1437">
      <c r="A1437" s="4" t="str">
        <f>IFERROR(__xludf.DUMMYFUNCTION("""COMPUTED_VALUE"""),"Perfil dos pacientes com mielomeningocele da Associação de Assistência à Criança Deficiente (AACD) em São Paulo - SP, Brasil")</f>
        <v>Perfil dos pacientes com mielomeningocele da Associação de Assistência à Criança Deficiente (AACD) em São Paulo - SP, Brasil</v>
      </c>
      <c r="B1437" s="5" t="str">
        <f>IFERROR(__xludf.DUMMYFUNCTION("LEFT(FILTER(IMPORTRANGE(""https://docs.google.com/spreadsheets/d/1BJSV3WBYJGRhQ6zExamkszQ5VutGIcaQqmbD9ZTVXMQ/edit#gid=1251630045"",""articles_with_PRISMA_reasons!K2:K2113""), $A1437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$A1437=IMPORTRANGE(""https://docs.google.com/spreadsheets/d/1BJSV3WBYJGRhQ6zExamkszQ5VutGIcaQqmbD9ZTVXMQ/edit#gid=1251630045"",""articles_with_PRISMA_reasons!B2:B2113"")))-1)"),"Rocco")</f>
        <v>Rocco</v>
      </c>
      <c r="C1437" s="6">
        <f>IFERROR(__xludf.DUMMYFUNCTION("FILTER(IMPORTRANGE(""https://docs.google.com/spreadsheets/d/1BJSV3WBYJGRhQ6zExamkszQ5VutGIcaQqmbD9ZTVXMQ/edit#gid=1251630045"",""articles_with_PRISMA_reasons!C2:C2113""), $A1437=IMPORTRANGE(""https://docs.google.com/spreadsheets/d/1BJSV3WBYJGRhQ6zExamkszQ"&amp;"5VutGIcaQqmbD9ZTVXMQ/edit#gid=1251630045"",""articles_with_PRISMA_reasons!B2:B2113""))"),2007.0)</f>
        <v>2007</v>
      </c>
      <c r="D1437" s="5" t="str">
        <f>IFERROR(__xludf.DUMMYFUNCTION("IFS(AND(
FILTER(IMPORTRANGE(""https://docs.google.com/spreadsheets/d/1BJSV3WBYJGRhQ6zExamkszQ5VutGIcaQqmbD9ZTVXMQ/edit#gid=1251630045"",""articles_with_PRISMA_reasons!Y2:Y2113""), $A1437=IMPORTRANGE(""https://docs.google.com/spreadsheets/d/1BJSV3WBYJGRhQ6"&amp;"zExamkszQ5VutGIcaQqmbD9ZTVXMQ/edit#gid=1251630045"",""articles_with_PRISMA_reasons!B2:B2113""))&gt;=2,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$A1437=IMPORTRANGE(""https://docs.google.com/spreadsheets/d/1BJSV3WBYJGRhQ6zExamkszQ5VutGIcaQqmbD9ZTVXMQ/edit#gid=1251630045"",""articles_with_PRISMA_reasons!B2:B2113""))&lt;2),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$A1437=IMPORTRANGE(""https://docs.google.com/spreadsheets/d/1BJSV3WBYJGRhQ6zExamkszQ5VutGIcaQqmbD9ZTVXMQ/edit#gid=1251630045"",""a"&amp;"rticles_with_PRISMA_reasons!B2:B2113""))&lt;2,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$A1437=IMPORTRANGE(""https://docs.google"&amp;".com/spreadsheets/d/1BJSV3WBYJGRhQ6zExamkszQ5VutGIcaQqmbD9ZTVXMQ/edit#gid=1251630045"",""articles_with_PRISMA_reasons!B2:B2113""))&gt;=2),
""Exclude""
)"),"Include")</f>
        <v>Include</v>
      </c>
      <c r="E1437" s="5" t="str">
        <f>IFERROR(__xludf.DUMMYFUNCTION("IFS(
D1437=""Exclude"",""Exclude"",
AND(
FILTER(IMPORTRANGE(""https://docs.google.com/spreadsheets/d/1qpEmbGH0JjaJbUdp21-y2cPbobDbMjr09BbtdKROZWc/edit#gid=1444865654"",""articles_with_PRISMA_reasons!W2:W2113""), $A1437=IMPORTRANGE(""https://docs.google.co"&amp;"m/spreadsheets/d/1qpEmbGH0JjaJbUdp21-y2cPbobDbMjr09BbtdKROZWc/edit#gid=1444865654"",""articles_with_PRISMA_reasons!B2:B2113""))&gt;=2,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$A1437=IMPORTRANGE(""https://docs.google.com/spreadsheets/d/1qpEmbGH0JjaJbUdp21-y2cPbobDbMjr09BbtdKROZWc/edit#gid=1444865654"",""articles_with_PRISMA_reasons!B2:B2113""))&lt;2),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$A1437=IMPORTRANGE(""https://docs.google.com/spreadsheets/d/1qpEmbGH0JjaJbUdp21-y2cPbobDbMjr09Bbtd"&amp;"KROZWc/edit#gid=1444865654"",""articles_with_PRISMA_reasons!B2:B2113""))&lt;2,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$A1437=I"&amp;"MPORTRANGE(""https://docs.google.com/spreadsheets/d/1qpEmbGH0JjaJbUdp21-y2cPbobDbMjr09BbtdKROZWc/edit#gid=1444865654"",""articles_with_PRISMA_reasons!B2:B2113""))&gt;=2),
""Exclude""
)"),"Include")</f>
        <v>Include</v>
      </c>
      <c r="F1437" s="2" t="s">
        <v>8</v>
      </c>
      <c r="G1437" s="2" t="s">
        <v>34</v>
      </c>
    </row>
    <row r="1438">
      <c r="A1438" s="4" t="str">
        <f>IFERROR(__xludf.DUMMYFUNCTION("""COMPUTED_VALUE"""),"Performance on the Memory Validity Profile in a mixed clinic-referred pediatric sample")</f>
        <v>Performance on the Memory Validity Profile in a mixed clinic-referred pediatric sample</v>
      </c>
      <c r="B1438" s="5" t="str">
        <f>IFERROR(__xludf.DUMMYFUNCTION("LEFT(FILTER(IMPORTRANGE(""https://docs.google.com/spreadsheets/d/1BJSV3WBYJGRhQ6zExamkszQ5VutGIcaQqmbD9ZTVXMQ/edit#gid=1251630045"",""articles_with_PRISMA_reasons!K2:K2113""), $A1438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$A1438=IMPORTRANGE(""https://docs.google.com/spreadsheets/d/1BJSV3WBYJGRhQ6zExamkszQ5VutGIcaQqmbD9ZTVXMQ/edit#gid=1251630045"",""articles_with_PRISMA_reasons!B2:B2113"")))-1)"),"Wilson")</f>
        <v>Wilson</v>
      </c>
      <c r="C1438" s="6">
        <f>IFERROR(__xludf.DUMMYFUNCTION("FILTER(IMPORTRANGE(""https://docs.google.com/spreadsheets/d/1BJSV3WBYJGRhQ6zExamkszQ5VutGIcaQqmbD9ZTVXMQ/edit#gid=1251630045"",""articles_with_PRISMA_reasons!C2:C2113""), $A1438=IMPORTRANGE(""https://docs.google.com/spreadsheets/d/1BJSV3WBYJGRhQ6zExamkszQ"&amp;"5VutGIcaQqmbD9ZTVXMQ/edit#gid=1251630045"",""articles_with_PRISMA_reasons!B2:B2113""))"),2021.0)</f>
        <v>2021</v>
      </c>
      <c r="D1438" s="5" t="str">
        <f>IFERROR(__xludf.DUMMYFUNCTION("IFS(AND(
FILTER(IMPORTRANGE(""https://docs.google.com/spreadsheets/d/1BJSV3WBYJGRhQ6zExamkszQ5VutGIcaQqmbD9ZTVXMQ/edit#gid=1251630045"",""articles_with_PRISMA_reasons!Y2:Y2113""), $A1438=IMPORTRANGE(""https://docs.google.com/spreadsheets/d/1BJSV3WBYJGRhQ6"&amp;"zExamkszQ5VutGIcaQqmbD9ZTVXMQ/edit#gid=1251630045"",""articles_with_PRISMA_reasons!B2:B2113""))&gt;=2,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$A1438=IMPORTRANGE(""https://docs.google.com/spreadsheets/d/1BJSV3WBYJGRhQ6zExamkszQ5VutGIcaQqmbD9ZTVXMQ/edit#gid=1251630045"",""articles_with_PRISMA_reasons!B2:B2113""))&lt;2),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$A1438=IMPORTRANGE(""https://docs.google.com/spreadsheets/d/1BJSV3WBYJGRhQ6zExamkszQ5VutGIcaQqmbD9ZTVXMQ/edit#gid=1251630045"",""a"&amp;"rticles_with_PRISMA_reasons!B2:B2113""))&lt;2,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$A1438=IMPORTRANGE(""https://docs.google"&amp;".com/spreadsheets/d/1BJSV3WBYJGRhQ6zExamkszQ5VutGIcaQqmbD9ZTVXMQ/edit#gid=1251630045"",""articles_with_PRISMA_reasons!B2:B2113""))&gt;=2),
""Exclude""
)"),"Exclude")</f>
        <v>Exclude</v>
      </c>
      <c r="E1438" s="5" t="str">
        <f>IFERROR(__xludf.DUMMYFUNCTION("IFS(
D1438=""Exclude"",""Exclude"",
AND(
FILTER(IMPORTRANGE(""https://docs.google.com/spreadsheets/d/1qpEmbGH0JjaJbUdp21-y2cPbobDbMjr09BbtdKROZWc/edit#gid=1444865654"",""articles_with_PRISMA_reasons!W2:W2113""), $A1438=IMPORTRANGE(""https://docs.google.co"&amp;"m/spreadsheets/d/1qpEmbGH0JjaJbUdp21-y2cPbobDbMjr09BbtdKROZWc/edit#gid=1444865654"",""articles_with_PRISMA_reasons!B2:B2113""))&gt;=2,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$A1438=IMPORTRANGE(""https://docs.google.com/spreadsheets/d/1qpEmbGH0JjaJbUdp21-y2cPbobDbMjr09BbtdKROZWc/edit#gid=1444865654"",""articles_with_PRISMA_reasons!B2:B2113""))&lt;2),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$A1438=IMPORTRANGE(""https://docs.google.com/spreadsheets/d/1qpEmbGH0JjaJbUdp21-y2cPbobDbMjr09Bbtd"&amp;"KROZWc/edit#gid=1444865654"",""articles_with_PRISMA_reasons!B2:B2113""))&lt;2,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$A1438=I"&amp;"MPORTRANGE(""https://docs.google.com/spreadsheets/d/1qpEmbGH0JjaJbUdp21-y2cPbobDbMjr09BbtdKROZWc/edit#gid=1444865654"",""articles_with_PRISMA_reasons!B2:B2113""))&gt;=2),
""Exclude""
)"),"Exclude")</f>
        <v>Exclude</v>
      </c>
      <c r="F1438" s="5" t="str">
        <f>IFERROR(__xludf.DUMMYFUNCTION("IFS(
E1438=""Exclude"",""Exclude"",
AND(
COUNTIF(
IMPORTRANGE(""https://docs.google.com/spreadsheets/d/1kGrh75X1cNR1D7_FcY9zMnHP8iPO4M5RCRjy6nZY0TY/edit#gid=0"",""Table 1: Study characteristics!B4:B171""),A1438)&gt;0,
COUNTIF(Studies!$A$2:$A$85,FILTER(IMPORT"&amp;"RANGE(""https://docs.google.com/spreadsheets/d/1kGrh75X1cNR1D7_FcY9zMnHP8iPO4M5RCRjy6nZY0TY/edit#gid=0"",""Table 1: Study characteristics!A4:A171""), $A1438=IMPORTRANGE(""https://docs.google.com/spreadsheets/d/1kGrh75X1cNR1D7_FcY9zMnHP8iPO4M5RCRjy6nZY0TY/"&amp;"edit#gid=0"",""Table 1: Study characteristics!B4:B171"")))&gt;0
),
""Include""
)"),"Exclude")</f>
        <v>Exclude</v>
      </c>
      <c r="G1438" s="5" t="str">
        <f>IFERROR(__xludf.DUMMYFUNCTION("IFS(
D1438=""Exclude"",
FILTER(IMPORTRANGE(""https://docs.google.com/spreadsheets/d/1BJSV3WBYJGRhQ6zExamkszQ5VutGIcaQqmbD9ZTVXMQ/edit#gid=1251630045"",""articles_with_PRISMA_reasons!AB2:AB2113""), $A1438=IMPORTRANGE(""https://docs.google.com/spreadsheets/"&amp;"d/1BJSV3WBYJGRhQ6zExamkszQ5VutGIcaQqmbD9ZTVXMQ/edit#gid=1251630045"",""articles_with_PRISMA_reasons!B2:B2113"")),
E1438=""Exclude"",
FILTER(IMPORTRANGE(""https://docs.google.com/spreadsheets/d/1qpEmbGH0JjaJbUdp21-y2cPbobDbMjr09BbtdKROZWc/edit#gid=14448656"&amp;"54"",""articles_with_PRISMA_reasons!Z2:Z2113""), $A1438=IMPORTRANGE(""https://docs.google.com/spreadsheets/d/1qpEmbGH0JjaJbUdp21-y2cPbobDbMjr09BbtdKROZWc/edit#gid=1444865654"",""articles_with_PRISMA_reasons!B2:B2113"")),F1438
=""Include"",FILTER(IMPORTRAN"&amp;"GE(""https://docs.google.com/spreadsheets/d/1kGrh75X1cNR1D7_FcY9zMnHP8iPO4M5RCRjy6nZY0TY/edit#gid=0"",""Table 1: Study characteristics!A4:A171""), $A1438=IMPORTRANGE(""https://docs.google.com/spreadsheets/d/1kGrh75X1cNR1D7_FcY9zMnHP8iPO4M5RCRjy6nZY0TY/edi"&amp;"t#gid=0"",""Table 1: Study characteristics!B4:B171""))
)"),"wrong population")</f>
        <v>wrong population</v>
      </c>
    </row>
    <row r="1439">
      <c r="A1439" s="4" t="str">
        <f>IFERROR(__xludf.DUMMYFUNCTION("""COMPUTED_VALUE"""),"Performance on the NEPSY among children with spina bifida")</f>
        <v>Performance on the NEPSY among children with spina bifida</v>
      </c>
      <c r="B1439" s="5" t="str">
        <f>IFERROR(__xludf.DUMMYFUNCTION("LEFT(FILTER(IMPORTRANGE(""https://docs.google.com/spreadsheets/d/1BJSV3WBYJGRhQ6zExamkszQ5VutGIcaQqmbD9ZTVXMQ/edit#gid=1251630045"",""articles_with_PRISMA_reasons!K2:K2113""), $A1439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$A1439=IMPORTRANGE(""https://docs.google.com/spreadsheets/d/1BJSV3WBYJGRhQ6zExamkszQ5VutGIcaQqmbD9ZTVXMQ/edit#gid=1251630045"",""articles_with_PRISMA_reasons!B2:B2113"")))-1)"),"Riddle")</f>
        <v>Riddle</v>
      </c>
      <c r="C1439" s="6">
        <f>IFERROR(__xludf.DUMMYFUNCTION("FILTER(IMPORTRANGE(""https://docs.google.com/spreadsheets/d/1BJSV3WBYJGRhQ6zExamkszQ5VutGIcaQqmbD9ZTVXMQ/edit#gid=1251630045"",""articles_with_PRISMA_reasons!C2:C2113""), $A1439=IMPORTRANGE(""https://docs.google.com/spreadsheets/d/1BJSV3WBYJGRhQ6zExamkszQ"&amp;"5VutGIcaQqmbD9ZTVXMQ/edit#gid=1251630045"",""articles_with_PRISMA_reasons!B2:B2113""))"),2005.0)</f>
        <v>2005</v>
      </c>
      <c r="D1439" s="5" t="str">
        <f>IFERROR(__xludf.DUMMYFUNCTION("IFS(AND(
FILTER(IMPORTRANGE(""https://docs.google.com/spreadsheets/d/1BJSV3WBYJGRhQ6zExamkszQ5VutGIcaQqmbD9ZTVXMQ/edit#gid=1251630045"",""articles_with_PRISMA_reasons!Y2:Y2113""), $A1439=IMPORTRANGE(""https://docs.google.com/spreadsheets/d/1BJSV3WBYJGRhQ6"&amp;"zExamkszQ5VutGIcaQqmbD9ZTVXMQ/edit#gid=1251630045"",""articles_with_PRISMA_reasons!B2:B2113""))&gt;=2,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$A1439=IMPORTRANGE(""https://docs.google.com/spreadsheets/d/1BJSV3WBYJGRhQ6zExamkszQ5VutGIcaQqmbD9ZTVXMQ/edit#gid=1251630045"",""articles_with_PRISMA_reasons!B2:B2113""))&lt;2),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$A1439=IMPORTRANGE(""https://docs.google.com/spreadsheets/d/1BJSV3WBYJGRhQ6zExamkszQ5VutGIcaQqmbD9ZTVXMQ/edit#gid=1251630045"",""a"&amp;"rticles_with_PRISMA_reasons!B2:B2113""))&lt;2,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$A1439=IMPORTRANGE(""https://docs.google"&amp;".com/spreadsheets/d/1BJSV3WBYJGRhQ6zExamkszQ5VutGIcaQqmbD9ZTVXMQ/edit#gid=1251630045"",""articles_with_PRISMA_reasons!B2:B2113""))&gt;=2),
""Exclude""
)"),"Exclude")</f>
        <v>Exclude</v>
      </c>
      <c r="E1439" s="5" t="str">
        <f>IFERROR(__xludf.DUMMYFUNCTION("IFS(
D1439=""Exclude"",""Exclude"",
AND(
FILTER(IMPORTRANGE(""https://docs.google.com/spreadsheets/d/1qpEmbGH0JjaJbUdp21-y2cPbobDbMjr09BbtdKROZWc/edit#gid=1444865654"",""articles_with_PRISMA_reasons!W2:W2113""), $A1439=IMPORTRANGE(""https://docs.google.co"&amp;"m/spreadsheets/d/1qpEmbGH0JjaJbUdp21-y2cPbobDbMjr09BbtdKROZWc/edit#gid=1444865654"",""articles_with_PRISMA_reasons!B2:B2113""))&gt;=2,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$A1439=IMPORTRANGE(""https://docs.google.com/spreadsheets/d/1qpEmbGH0JjaJbUdp21-y2cPbobDbMjr09BbtdKROZWc/edit#gid=1444865654"",""articles_with_PRISMA_reasons!B2:B2113""))&lt;2),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$A1439=IMPORTRANGE(""https://docs.google.com/spreadsheets/d/1qpEmbGH0JjaJbUdp21-y2cPbobDbMjr09Bbtd"&amp;"KROZWc/edit#gid=1444865654"",""articles_with_PRISMA_reasons!B2:B2113""))&lt;2,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$A1439=I"&amp;"MPORTRANGE(""https://docs.google.com/spreadsheets/d/1qpEmbGH0JjaJbUdp21-y2cPbobDbMjr09BbtdKROZWc/edit#gid=1444865654"",""articles_with_PRISMA_reasons!B2:B2113""))&gt;=2),
""Exclude""
)"),"Exclude")</f>
        <v>Exclude</v>
      </c>
      <c r="F1439" s="5" t="str">
        <f>IFERROR(__xludf.DUMMYFUNCTION("IFS(
E1439=""Exclude"",""Exclude"",
AND(
COUNTIF(
IMPORTRANGE(""https://docs.google.com/spreadsheets/d/1kGrh75X1cNR1D7_FcY9zMnHP8iPO4M5RCRjy6nZY0TY/edit#gid=0"",""Table 1: Study characteristics!B4:B171""),A1439)&gt;0,
COUNTIF(Studies!$A$2:$A$85,FILTER(IMPORT"&amp;"RANGE(""https://docs.google.com/spreadsheets/d/1kGrh75X1cNR1D7_FcY9zMnHP8iPO4M5RCRjy6nZY0TY/edit#gid=0"",""Table 1: Study characteristics!A4:A171""), $A1439=IMPORTRANGE(""https://docs.google.com/spreadsheets/d/1kGrh75X1cNR1D7_FcY9zMnHP8iPO4M5RCRjy6nZY0TY/"&amp;"edit#gid=0"",""Table 1: Study characteristics!B4:B171"")))&gt;0
),
""Include""
)"),"Exclude")</f>
        <v>Exclude</v>
      </c>
      <c r="G1439" s="5" t="str">
        <f>IFERROR(__xludf.DUMMYFUNCTION("IFS(
D1439=""Exclude"",
FILTER(IMPORTRANGE(""https://docs.google.com/spreadsheets/d/1BJSV3WBYJGRhQ6zExamkszQ5VutGIcaQqmbD9ZTVXMQ/edit#gid=1251630045"",""articles_with_PRISMA_reasons!AB2:AB2113""), $A1439=IMPORTRANGE(""https://docs.google.com/spreadsheets/"&amp;"d/1BJSV3WBYJGRhQ6zExamkszQ5VutGIcaQqmbD9ZTVXMQ/edit#gid=1251630045"",""articles_with_PRISMA_reasons!B2:B2113"")),
E1439=""Exclude"",
FILTER(IMPORTRANGE(""https://docs.google.com/spreadsheets/d/1qpEmbGH0JjaJbUdp21-y2cPbobDbMjr09BbtdKROZWc/edit#gid=14448656"&amp;"54"",""articles_with_PRISMA_reasons!Z2:Z2113""), $A1439=IMPORTRANGE(""https://docs.google.com/spreadsheets/d/1qpEmbGH0JjaJbUdp21-y2cPbobDbMjr09BbtdKROZWc/edit#gid=1444865654"",""articles_with_PRISMA_reasons!B2:B2113"")),F1439
=""Include"",FILTER(IMPORTRAN"&amp;"GE(""https://docs.google.com/spreadsheets/d/1kGrh75X1cNR1D7_FcY9zMnHP8iPO4M5RCRjy6nZY0TY/edit#gid=0"",""Table 1: Study characteristics!A4:A171""), $A1439=IMPORTRANGE(""https://docs.google.com/spreadsheets/d/1kGrh75X1cNR1D7_FcY9zMnHP8iPO4M5RCRjy6nZY0TY/edi"&amp;"t#gid=0"",""Table 1: Study characteristics!B4:B171""))
)"),"wrong population")</f>
        <v>wrong population</v>
      </c>
    </row>
    <row r="1440">
      <c r="A1440" s="4" t="str">
        <f>IFERROR(__xludf.DUMMYFUNCTION("""COMPUTED_VALUE"""),"Perinatal management of a newborn with neural tube defect: Case report")</f>
        <v>Perinatal management of a newborn with neural tube defect: Case report</v>
      </c>
      <c r="B1440" s="5" t="str">
        <f>IFERROR(__xludf.DUMMYFUNCTION("LEFT(FILTER(IMPORTRANGE(""https://docs.google.com/spreadsheets/d/1BJSV3WBYJGRhQ6zExamkszQ5VutGIcaQqmbD9ZTVXMQ/edit#gid=1251630045"",""articles_with_PRISMA_reasons!K2:K2113""), $A1440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$A1440=IMPORTRANGE(""https://docs.google.com/spreadsheets/d/1BJSV3WBYJGRhQ6zExamkszQ5VutGIcaQqmbD9ZTVXMQ/edit#gid=1251630045"",""articles_with_PRISMA_reasons!B2:B2113"")))-1)"),"Zakanj")</f>
        <v>Zakanj</v>
      </c>
      <c r="C1440" s="6">
        <f>IFERROR(__xludf.DUMMYFUNCTION("FILTER(IMPORTRANGE(""https://docs.google.com/spreadsheets/d/1BJSV3WBYJGRhQ6zExamkszQ5VutGIcaQqmbD9ZTVXMQ/edit#gid=1251630045"",""articles_with_PRISMA_reasons!C2:C2113""), $A1440=IMPORTRANGE(""https://docs.google.com/spreadsheets/d/1BJSV3WBYJGRhQ6zExamkszQ"&amp;"5VutGIcaQqmbD9ZTVXMQ/edit#gid=1251630045"",""articles_with_PRISMA_reasons!B2:B2113""))"),2014.0)</f>
        <v>2014</v>
      </c>
      <c r="D1440" s="5" t="str">
        <f>IFERROR(__xludf.DUMMYFUNCTION("IFS(AND(
FILTER(IMPORTRANGE(""https://docs.google.com/spreadsheets/d/1BJSV3WBYJGRhQ6zExamkszQ5VutGIcaQqmbD9ZTVXMQ/edit#gid=1251630045"",""articles_with_PRISMA_reasons!Y2:Y2113""), $A1440=IMPORTRANGE(""https://docs.google.com/spreadsheets/d/1BJSV3WBYJGRhQ6"&amp;"zExamkszQ5VutGIcaQqmbD9ZTVXMQ/edit#gid=1251630045"",""articles_with_PRISMA_reasons!B2:B2113""))&gt;=2,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$A1440=IMPORTRANGE(""https://docs.google.com/spreadsheets/d/1BJSV3WBYJGRhQ6zExamkszQ5VutGIcaQqmbD9ZTVXMQ/edit#gid=1251630045"",""articles_with_PRISMA_reasons!B2:B2113""))&lt;2),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$A1440=IMPORTRANGE(""https://docs.google.com/spreadsheets/d/1BJSV3WBYJGRhQ6zExamkszQ5VutGIcaQqmbD9ZTVXMQ/edit#gid=1251630045"",""a"&amp;"rticles_with_PRISMA_reasons!B2:B2113""))&lt;2,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$A1440=IMPORTRANGE(""https://docs.google"&amp;".com/spreadsheets/d/1BJSV3WBYJGRhQ6zExamkszQ5VutGIcaQqmbD9ZTVXMQ/edit#gid=1251630045"",""articles_with_PRISMA_reasons!B2:B2113""))&gt;=2),
""Exclude""
)"),"Exclude")</f>
        <v>Exclude</v>
      </c>
      <c r="E1440" s="5" t="str">
        <f>IFERROR(__xludf.DUMMYFUNCTION("IFS(
D1440=""Exclude"",""Exclude"",
AND(
FILTER(IMPORTRANGE(""https://docs.google.com/spreadsheets/d/1qpEmbGH0JjaJbUdp21-y2cPbobDbMjr09BbtdKROZWc/edit#gid=1444865654"",""articles_with_PRISMA_reasons!W2:W2113""), $A1440=IMPORTRANGE(""https://docs.google.co"&amp;"m/spreadsheets/d/1qpEmbGH0JjaJbUdp21-y2cPbobDbMjr09BbtdKROZWc/edit#gid=1444865654"",""articles_with_PRISMA_reasons!B2:B2113""))&gt;=2,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$A1440=IMPORTRANGE(""https://docs.google.com/spreadsheets/d/1qpEmbGH0JjaJbUdp21-y2cPbobDbMjr09BbtdKROZWc/edit#gid=1444865654"",""articles_with_PRISMA_reasons!B2:B2113""))&lt;2),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$A1440=IMPORTRANGE(""https://docs.google.com/spreadsheets/d/1qpEmbGH0JjaJbUdp21-y2cPbobDbMjr09Bbtd"&amp;"KROZWc/edit#gid=1444865654"",""articles_with_PRISMA_reasons!B2:B2113""))&lt;2,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$A1440=I"&amp;"MPORTRANGE(""https://docs.google.com/spreadsheets/d/1qpEmbGH0JjaJbUdp21-y2cPbobDbMjr09BbtdKROZWc/edit#gid=1444865654"",""articles_with_PRISMA_reasons!B2:B2113""))&gt;=2),
""Exclude""
)"),"Exclude")</f>
        <v>Exclude</v>
      </c>
      <c r="F1440" s="5" t="str">
        <f>IFERROR(__xludf.DUMMYFUNCTION("IFS(
E1440=""Exclude"",""Exclude"",
AND(
COUNTIF(
IMPORTRANGE(""https://docs.google.com/spreadsheets/d/1kGrh75X1cNR1D7_FcY9zMnHP8iPO4M5RCRjy6nZY0TY/edit#gid=0"",""Table 1: Study characteristics!B4:B171""),A1440)&gt;0,
COUNTIF(Studies!$A$2:$A$85,FILTER(IMPORT"&amp;"RANGE(""https://docs.google.com/spreadsheets/d/1kGrh75X1cNR1D7_FcY9zMnHP8iPO4M5RCRjy6nZY0TY/edit#gid=0"",""Table 1: Study characteristics!A4:A171""), $A1440=IMPORTRANGE(""https://docs.google.com/spreadsheets/d/1kGrh75X1cNR1D7_FcY9zMnHP8iPO4M5RCRjy6nZY0TY/"&amp;"edit#gid=0"",""Table 1: Study characteristics!B4:B171"")))&gt;0
),
""Include""
)"),"Exclude")</f>
        <v>Exclude</v>
      </c>
      <c r="G1440" s="5" t="str">
        <f>IFERROR(__xludf.DUMMYFUNCTION("IFS(
D1440=""Exclude"",
FILTER(IMPORTRANGE(""https://docs.google.com/spreadsheets/d/1BJSV3WBYJGRhQ6zExamkszQ5VutGIcaQqmbD9ZTVXMQ/edit#gid=1251630045"",""articles_with_PRISMA_reasons!AB2:AB2113""), $A1440=IMPORTRANGE(""https://docs.google.com/spreadsheets/"&amp;"d/1BJSV3WBYJGRhQ6zExamkszQ5VutGIcaQqmbD9ZTVXMQ/edit#gid=1251630045"",""articles_with_PRISMA_reasons!B2:B2113"")),
E1440=""Exclude"",
FILTER(IMPORTRANGE(""https://docs.google.com/spreadsheets/d/1qpEmbGH0JjaJbUdp21-y2cPbobDbMjr09BbtdKROZWc/edit#gid=14448656"&amp;"54"",""articles_with_PRISMA_reasons!Z2:Z2113""), $A1440=IMPORTRANGE(""https://docs.google.com/spreadsheets/d/1qpEmbGH0JjaJbUdp21-y2cPbobDbMjr09BbtdKROZWc/edit#gid=1444865654"",""articles_with_PRISMA_reasons!B2:B2113"")),F1440
=""Include"",FILTER(IMPORTRAN"&amp;"GE(""https://docs.google.com/spreadsheets/d/1kGrh75X1cNR1D7_FcY9zMnHP8iPO4M5RCRjy6nZY0TY/edit#gid=0"",""Table 1: Study characteristics!A4:A171""), $A1440=IMPORTRANGE(""https://docs.google.com/spreadsheets/d/1kGrh75X1cNR1D7_FcY9zMnHP8iPO4M5RCRjy6nZY0TY/edi"&amp;"t#gid=0"",""Table 1: Study characteristics!B4:B171""))
)"),"wrong publication type")</f>
        <v>wrong publication type</v>
      </c>
    </row>
    <row r="1441">
      <c r="A1441" s="4" t="str">
        <f>IFERROR(__xludf.DUMMYFUNCTION("""COMPUTED_VALUE"""),"Perinatal management of meningomyelocele")</f>
        <v>Perinatal management of meningomyelocele</v>
      </c>
      <c r="B1441" s="5" t="str">
        <f>IFERROR(__xludf.DUMMYFUNCTION("LEFT(FILTER(IMPORTRANGE(""https://docs.google.com/spreadsheets/d/1BJSV3WBYJGRhQ6zExamkszQ5VutGIcaQqmbD9ZTVXMQ/edit#gid=1251630045"",""articles_with_PRISMA_reasons!K2:K2113""), $A1441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$A1441=IMPORTRANGE(""https://docs.google.com/spreadsheets/d/1BJSV3WBYJGRhQ6zExamkszQ5VutGIcaQqmbD9ZTVXMQ/edit#gid=1251630045"",""articles_with_PRISMA_reasons!B2:B2113"")))-1)"),"Chervenak")</f>
        <v>Chervenak</v>
      </c>
      <c r="C1441" s="6">
        <f>IFERROR(__xludf.DUMMYFUNCTION("FILTER(IMPORTRANGE(""https://docs.google.com/spreadsheets/d/1BJSV3WBYJGRhQ6zExamkszQ5VutGIcaQqmbD9ZTVXMQ/edit#gid=1251630045"",""articles_with_PRISMA_reasons!C2:C2113""), $A1441=IMPORTRANGE(""https://docs.google.com/spreadsheets/d/1BJSV3WBYJGRhQ6zExamkszQ"&amp;"5VutGIcaQqmbD9ZTVXMQ/edit#gid=1251630045"",""articles_with_PRISMA_reasons!B2:B2113""))"),1984.0)</f>
        <v>1984</v>
      </c>
      <c r="D1441" s="5" t="str">
        <f>IFERROR(__xludf.DUMMYFUNCTION("IFS(AND(
FILTER(IMPORTRANGE(""https://docs.google.com/spreadsheets/d/1BJSV3WBYJGRhQ6zExamkszQ5VutGIcaQqmbD9ZTVXMQ/edit#gid=1251630045"",""articles_with_PRISMA_reasons!Y2:Y2113""), $A1441=IMPORTRANGE(""https://docs.google.com/spreadsheets/d/1BJSV3WBYJGRhQ6"&amp;"zExamkszQ5VutGIcaQqmbD9ZTVXMQ/edit#gid=1251630045"",""articles_with_PRISMA_reasons!B2:B2113""))&gt;=2,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$A1441=IMPORTRANGE(""https://docs.google.com/spreadsheets/d/1BJSV3WBYJGRhQ6zExamkszQ5VutGIcaQqmbD9ZTVXMQ/edit#gid=1251630045"",""articles_with_PRISMA_reasons!B2:B2113""))&lt;2),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$A1441=IMPORTRANGE(""https://docs.google.com/spreadsheets/d/1BJSV3WBYJGRhQ6zExamkszQ5VutGIcaQqmbD9ZTVXMQ/edit#gid=1251630045"",""a"&amp;"rticles_with_PRISMA_reasons!B2:B2113""))&lt;2,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$A1441=IMPORTRANGE(""https://docs.google"&amp;".com/spreadsheets/d/1BJSV3WBYJGRhQ6zExamkszQ5VutGIcaQqmbD9ZTVXMQ/edit#gid=1251630045"",""articles_with_PRISMA_reasons!B2:B2113""))&gt;=2),
""Exclude""
)"),"Include")</f>
        <v>Include</v>
      </c>
      <c r="E1441" s="5" t="str">
        <f>IFERROR(__xludf.DUMMYFUNCTION("IFS(
D1441=""Exclude"",""Exclude"",
AND(
FILTER(IMPORTRANGE(""https://docs.google.com/spreadsheets/d/1qpEmbGH0JjaJbUdp21-y2cPbobDbMjr09BbtdKROZWc/edit#gid=1444865654"",""articles_with_PRISMA_reasons!W2:W2113""), $A1441=IMPORTRANGE(""https://docs.google.co"&amp;"m/spreadsheets/d/1qpEmbGH0JjaJbUdp21-y2cPbobDbMjr09BbtdKROZWc/edit#gid=1444865654"",""articles_with_PRISMA_reasons!B2:B2113""))&gt;=2,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$A1441=IMPORTRANGE(""https://docs.google.com/spreadsheets/d/1qpEmbGH0JjaJbUdp21-y2cPbobDbMjr09BbtdKROZWc/edit#gid=1444865654"",""articles_with_PRISMA_reasons!B2:B2113""))&lt;2),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$A1441=IMPORTRANGE(""https://docs.google.com/spreadsheets/d/1qpEmbGH0JjaJbUdp21-y2cPbobDbMjr09Bbtd"&amp;"KROZWc/edit#gid=1444865654"",""articles_with_PRISMA_reasons!B2:B2113""))&lt;2,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$A1441=I"&amp;"MPORTRANGE(""https://docs.google.com/spreadsheets/d/1qpEmbGH0JjaJbUdp21-y2cPbobDbMjr09BbtdKROZWc/edit#gid=1444865654"",""articles_with_PRISMA_reasons!B2:B2113""))&gt;=2),
""Exclude""
)"),"Include")</f>
        <v>Include</v>
      </c>
      <c r="F1441" s="2" t="s">
        <v>8</v>
      </c>
      <c r="G1441" s="2" t="s">
        <v>35</v>
      </c>
    </row>
    <row r="1442">
      <c r="A1442" s="4" t="str">
        <f>IFERROR(__xludf.DUMMYFUNCTION("""COMPUTED_VALUE"""),"Perinatal management of spina bifida")</f>
        <v>Perinatal management of spina bifida</v>
      </c>
      <c r="B1442" s="5" t="str">
        <f>IFERROR(__xludf.DUMMYFUNCTION("LEFT(FILTER(IMPORTRANGE(""https://docs.google.com/spreadsheets/d/1BJSV3WBYJGRhQ6zExamkszQ5VutGIcaQqmbD9ZTVXMQ/edit#gid=1251630045"",""articles_with_PRISMA_reasons!K2:K2113""), $A1442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$A1442=IMPORTRANGE(""https://docs.google.com/spreadsheets/d/1BJSV3WBYJGRhQ6zExamkszQ5VutGIcaQqmbD9ZTVXMQ/edit#gid=1251630045"",""articles_with_PRISMA_reasons!B2:B2113"")))-1)"),"Padayachy")</f>
        <v>Padayachy</v>
      </c>
      <c r="C1442" s="6">
        <f>IFERROR(__xludf.DUMMYFUNCTION("FILTER(IMPORTRANGE(""https://docs.google.com/spreadsheets/d/1BJSV3WBYJGRhQ6zExamkszQ5VutGIcaQqmbD9ZTVXMQ/edit#gid=1251630045"",""articles_with_PRISMA_reasons!C2:C2113""), $A1442=IMPORTRANGE(""https://docs.google.com/spreadsheets/d/1BJSV3WBYJGRhQ6zExamkszQ"&amp;"5VutGIcaQqmbD9ZTVXMQ/edit#gid=1251630045"",""articles_with_PRISMA_reasons!B2:B2113""))"),2014.0)</f>
        <v>2014</v>
      </c>
      <c r="D1442" s="5" t="str">
        <f>IFERROR(__xludf.DUMMYFUNCTION("IFS(AND(
FILTER(IMPORTRANGE(""https://docs.google.com/spreadsheets/d/1BJSV3WBYJGRhQ6zExamkszQ5VutGIcaQqmbD9ZTVXMQ/edit#gid=1251630045"",""articles_with_PRISMA_reasons!Y2:Y2113""), $A1442=IMPORTRANGE(""https://docs.google.com/spreadsheets/d/1BJSV3WBYJGRhQ6"&amp;"zExamkszQ5VutGIcaQqmbD9ZTVXMQ/edit#gid=1251630045"",""articles_with_PRISMA_reasons!B2:B2113""))&gt;=2,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$A1442=IMPORTRANGE(""https://docs.google.com/spreadsheets/d/1BJSV3WBYJGRhQ6zExamkszQ5VutGIcaQqmbD9ZTVXMQ/edit#gid=1251630045"",""articles_with_PRISMA_reasons!B2:B2113""))&lt;2),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$A1442=IMPORTRANGE(""https://docs.google.com/spreadsheets/d/1BJSV3WBYJGRhQ6zExamkszQ5VutGIcaQqmbD9ZTVXMQ/edit#gid=1251630045"",""a"&amp;"rticles_with_PRISMA_reasons!B2:B2113""))&lt;2,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$A1442=IMPORTRANGE(""https://docs.google"&amp;".com/spreadsheets/d/1BJSV3WBYJGRhQ6zExamkszQ5VutGIcaQqmbD9ZTVXMQ/edit#gid=1251630045"",""articles_with_PRISMA_reasons!B2:B2113""))&gt;=2),
""Exclude""
)"),"Exclude")</f>
        <v>Exclude</v>
      </c>
      <c r="E1442" s="5" t="str">
        <f>IFERROR(__xludf.DUMMYFUNCTION("IFS(
D1442=""Exclude"",""Exclude"",
AND(
FILTER(IMPORTRANGE(""https://docs.google.com/spreadsheets/d/1qpEmbGH0JjaJbUdp21-y2cPbobDbMjr09BbtdKROZWc/edit#gid=1444865654"",""articles_with_PRISMA_reasons!W2:W2113""), $A1442=IMPORTRANGE(""https://docs.google.co"&amp;"m/spreadsheets/d/1qpEmbGH0JjaJbUdp21-y2cPbobDbMjr09BbtdKROZWc/edit#gid=1444865654"",""articles_with_PRISMA_reasons!B2:B2113""))&gt;=2,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$A1442=IMPORTRANGE(""https://docs.google.com/spreadsheets/d/1qpEmbGH0JjaJbUdp21-y2cPbobDbMjr09BbtdKROZWc/edit#gid=1444865654"",""articles_with_PRISMA_reasons!B2:B2113""))&lt;2),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$A1442=IMPORTRANGE(""https://docs.google.com/spreadsheets/d/1qpEmbGH0JjaJbUdp21-y2cPbobDbMjr09Bbtd"&amp;"KROZWc/edit#gid=1444865654"",""articles_with_PRISMA_reasons!B2:B2113""))&lt;2,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$A1442=I"&amp;"MPORTRANGE(""https://docs.google.com/spreadsheets/d/1qpEmbGH0JjaJbUdp21-y2cPbobDbMjr09BbtdKROZWc/edit#gid=1444865654"",""articles_with_PRISMA_reasons!B2:B2113""))&gt;=2),
""Exclude""
)"),"Exclude")</f>
        <v>Exclude</v>
      </c>
      <c r="F1442" s="5" t="str">
        <f>IFERROR(__xludf.DUMMYFUNCTION("IFS(
E1442=""Exclude"",""Exclude"",
AND(
COUNTIF(
IMPORTRANGE(""https://docs.google.com/spreadsheets/d/1kGrh75X1cNR1D7_FcY9zMnHP8iPO4M5RCRjy6nZY0TY/edit#gid=0"",""Table 1: Study characteristics!B4:B171""),A1442)&gt;0,
COUNTIF(Studies!$A$2:$A$85,FILTER(IMPORT"&amp;"RANGE(""https://docs.google.com/spreadsheets/d/1kGrh75X1cNR1D7_FcY9zMnHP8iPO4M5RCRjy6nZY0TY/edit#gid=0"",""Table 1: Study characteristics!A4:A171""), $A1442=IMPORTRANGE(""https://docs.google.com/spreadsheets/d/1kGrh75X1cNR1D7_FcY9zMnHP8iPO4M5RCRjy6nZY0TY/"&amp;"edit#gid=0"",""Table 1: Study characteristics!B4:B171"")))&gt;0
),
""Include""
)"),"Exclude")</f>
        <v>Exclude</v>
      </c>
      <c r="G1442" s="5" t="str">
        <f>IFERROR(__xludf.DUMMYFUNCTION("IFS(
D1442=""Exclude"",
FILTER(IMPORTRANGE(""https://docs.google.com/spreadsheets/d/1BJSV3WBYJGRhQ6zExamkszQ5VutGIcaQqmbD9ZTVXMQ/edit#gid=1251630045"",""articles_with_PRISMA_reasons!AB2:AB2113""), $A1442=IMPORTRANGE(""https://docs.google.com/spreadsheets/"&amp;"d/1BJSV3WBYJGRhQ6zExamkszQ5VutGIcaQqmbD9ZTVXMQ/edit#gid=1251630045"",""articles_with_PRISMA_reasons!B2:B2113"")),
E1442=""Exclude"",
FILTER(IMPORTRANGE(""https://docs.google.com/spreadsheets/d/1qpEmbGH0JjaJbUdp21-y2cPbobDbMjr09BbtdKROZWc/edit#gid=14448656"&amp;"54"",""articles_with_PRISMA_reasons!Z2:Z2113""), $A1442=IMPORTRANGE(""https://docs.google.com/spreadsheets/d/1qpEmbGH0JjaJbUdp21-y2cPbobDbMjr09BbtdKROZWc/edit#gid=1444865654"",""articles_with_PRISMA_reasons!B2:B2113"")),F1442
=""Include"",FILTER(IMPORTRAN"&amp;"GE(""https://docs.google.com/spreadsheets/d/1kGrh75X1cNR1D7_FcY9zMnHP8iPO4M5RCRjy6nZY0TY/edit#gid=0"",""Table 1: Study characteristics!A4:A171""), $A1442=IMPORTRANGE(""https://docs.google.com/spreadsheets/d/1kGrh75X1cNR1D7_FcY9zMnHP8iPO4M5RCRjy6nZY0TY/edi"&amp;"t#gid=0"",""Table 1: Study characteristics!B4:B171""))
)"),"wrong population")</f>
        <v>wrong population</v>
      </c>
    </row>
    <row r="1443">
      <c r="A1443" s="4" t="str">
        <f>IFERROR(__xludf.DUMMYFUNCTION("""COMPUTED_VALUE"""),"Perinatal results of intrauterine open fetal surgery of fetuses diagnosed with myelomeningocoele--the clinical report of ten cases")</f>
        <v>Perinatal results of intrauterine open fetal surgery of fetuses diagnosed with myelomeningocoele--the clinical report of ten cases</v>
      </c>
      <c r="B1443" s="5" t="str">
        <f>IFERROR(__xludf.DUMMYFUNCTION("LEFT(FILTER(IMPORTRANGE(""https://docs.google.com/spreadsheets/d/1BJSV3WBYJGRhQ6zExamkszQ5VutGIcaQqmbD9ZTVXMQ/edit#gid=1251630045"",""articles_with_PRISMA_reasons!K2:K2113""), $A1443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$A1443=IMPORTRANGE(""https://docs.google.com/spreadsheets/d/1BJSV3WBYJGRhQ6zExamkszQ5VutGIcaQqmbD9ZTVXMQ/edit#gid=1251630045"",""articles_with_PRISMA_reasons!B2:B2113"")))-1)"),"Zamlyniski")</f>
        <v>Zamlyniski</v>
      </c>
      <c r="C1443" s="6">
        <f>IFERROR(__xludf.DUMMYFUNCTION("FILTER(IMPORTRANGE(""https://docs.google.com/spreadsheets/d/1BJSV3WBYJGRhQ6zExamkszQ5VutGIcaQqmbD9ZTVXMQ/edit#gid=1251630045"",""articles_with_PRISMA_reasons!C2:C2113""), $A1443=IMPORTRANGE(""https://docs.google.com/spreadsheets/d/1BJSV3WBYJGRhQ6zExamkszQ"&amp;"5VutGIcaQqmbD9ZTVXMQ/edit#gid=1251630045"",""articles_with_PRISMA_reasons!B2:B2113""))"),2007.0)</f>
        <v>2007</v>
      </c>
      <c r="D1443" s="5" t="str">
        <f>IFERROR(__xludf.DUMMYFUNCTION("IFS(AND(
FILTER(IMPORTRANGE(""https://docs.google.com/spreadsheets/d/1BJSV3WBYJGRhQ6zExamkszQ5VutGIcaQqmbD9ZTVXMQ/edit#gid=1251630045"",""articles_with_PRISMA_reasons!Y2:Y2113""), $A1443=IMPORTRANGE(""https://docs.google.com/spreadsheets/d/1BJSV3WBYJGRhQ6"&amp;"zExamkszQ5VutGIcaQqmbD9ZTVXMQ/edit#gid=1251630045"",""articles_with_PRISMA_reasons!B2:B2113""))&gt;=2,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$A1443=IMPORTRANGE(""https://docs.google.com/spreadsheets/d/1BJSV3WBYJGRhQ6zExamkszQ5VutGIcaQqmbD9ZTVXMQ/edit#gid=1251630045"",""articles_with_PRISMA_reasons!B2:B2113""))&lt;2),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$A1443=IMPORTRANGE(""https://docs.google.com/spreadsheets/d/1BJSV3WBYJGRhQ6zExamkszQ5VutGIcaQqmbD9ZTVXMQ/edit#gid=1251630045"",""a"&amp;"rticles_with_PRISMA_reasons!B2:B2113""))&lt;2,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$A1443=IMPORTRANGE(""https://docs.google"&amp;".com/spreadsheets/d/1BJSV3WBYJGRhQ6zExamkszQ5VutGIcaQqmbD9ZTVXMQ/edit#gid=1251630045"",""articles_with_PRISMA_reasons!B2:B2113""))&gt;=2),
""Exclude""
)"),"Exclude")</f>
        <v>Exclude</v>
      </c>
      <c r="E1443" s="5" t="str">
        <f>IFERROR(__xludf.DUMMYFUNCTION("IFS(
D1443=""Exclude"",""Exclude"",
AND(
FILTER(IMPORTRANGE(""https://docs.google.com/spreadsheets/d/1qpEmbGH0JjaJbUdp21-y2cPbobDbMjr09BbtdKROZWc/edit#gid=1444865654"",""articles_with_PRISMA_reasons!W2:W2113""), $A1443=IMPORTRANGE(""https://docs.google.co"&amp;"m/spreadsheets/d/1qpEmbGH0JjaJbUdp21-y2cPbobDbMjr09BbtdKROZWc/edit#gid=1444865654"",""articles_with_PRISMA_reasons!B2:B2113""))&gt;=2,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$A1443=IMPORTRANGE(""https://docs.google.com/spreadsheets/d/1qpEmbGH0JjaJbUdp21-y2cPbobDbMjr09BbtdKROZWc/edit#gid=1444865654"",""articles_with_PRISMA_reasons!B2:B2113""))&lt;2),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$A1443=IMPORTRANGE(""https://docs.google.com/spreadsheets/d/1qpEmbGH0JjaJbUdp21-y2cPbobDbMjr09Bbtd"&amp;"KROZWc/edit#gid=1444865654"",""articles_with_PRISMA_reasons!B2:B2113""))&lt;2,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$A1443=I"&amp;"MPORTRANGE(""https://docs.google.com/spreadsheets/d/1qpEmbGH0JjaJbUdp21-y2cPbobDbMjr09BbtdKROZWc/edit#gid=1444865654"",""articles_with_PRISMA_reasons!B2:B2113""))&gt;=2),
""Exclude""
)"),"Exclude")</f>
        <v>Exclude</v>
      </c>
      <c r="F1443" s="5" t="str">
        <f>IFERROR(__xludf.DUMMYFUNCTION("IFS(
E1443=""Exclude"",""Exclude"",
AND(
COUNTIF(
IMPORTRANGE(""https://docs.google.com/spreadsheets/d/1kGrh75X1cNR1D7_FcY9zMnHP8iPO4M5RCRjy6nZY0TY/edit#gid=0"",""Table 1: Study characteristics!B4:B171""),A1443)&gt;0,
COUNTIF(Studies!$A$2:$A$85,FILTER(IMPORT"&amp;"RANGE(""https://docs.google.com/spreadsheets/d/1kGrh75X1cNR1D7_FcY9zMnHP8iPO4M5RCRjy6nZY0TY/edit#gid=0"",""Table 1: Study characteristics!A4:A171""), $A1443=IMPORTRANGE(""https://docs.google.com/spreadsheets/d/1kGrh75X1cNR1D7_FcY9zMnHP8iPO4M5RCRjy6nZY0TY/"&amp;"edit#gid=0"",""Table 1: Study characteristics!B4:B171"")))&gt;0
),
""Include""
)"),"Exclude")</f>
        <v>Exclude</v>
      </c>
      <c r="G1443" s="5" t="str">
        <f>IFERROR(__xludf.DUMMYFUNCTION("IFS(
D1443=""Exclude"",
FILTER(IMPORTRANGE(""https://docs.google.com/spreadsheets/d/1BJSV3WBYJGRhQ6zExamkszQ5VutGIcaQqmbD9ZTVXMQ/edit#gid=1251630045"",""articles_with_PRISMA_reasons!AB2:AB2113""), $A1443=IMPORTRANGE(""https://docs.google.com/spreadsheets/"&amp;"d/1BJSV3WBYJGRhQ6zExamkszQ5VutGIcaQqmbD9ZTVXMQ/edit#gid=1251630045"",""articles_with_PRISMA_reasons!B2:B2113"")),
E1443=""Exclude"",
FILTER(IMPORTRANGE(""https://docs.google.com/spreadsheets/d/1qpEmbGH0JjaJbUdp21-y2cPbobDbMjr09BbtdKROZWc/edit#gid=14448656"&amp;"54"",""articles_with_PRISMA_reasons!Z2:Z2113""), $A1443=IMPORTRANGE(""https://docs.google.com/spreadsheets/d/1qpEmbGH0JjaJbUdp21-y2cPbobDbMjr09BbtdKROZWc/edit#gid=1444865654"",""articles_with_PRISMA_reasons!B2:B2113"")),F1443
=""Include"",FILTER(IMPORTRAN"&amp;"GE(""https://docs.google.com/spreadsheets/d/1kGrh75X1cNR1D7_FcY9zMnHP8iPO4M5RCRjy6nZY0TY/edit#gid=0"",""Table 1: Study characteristics!A4:A171""), $A1443=IMPORTRANGE(""https://docs.google.com/spreadsheets/d/1kGrh75X1cNR1D7_FcY9zMnHP8iPO4M5RCRjy6nZY0TY/edi"&amp;"t#gid=0"",""Table 1: Study characteristics!B4:B171""))
)"),"Ante-natal intervention")</f>
        <v>Ante-natal intervention</v>
      </c>
    </row>
    <row r="1444">
      <c r="A1444" s="4" t="str">
        <f>IFERROR(__xludf.DUMMYFUNCTION("""COMPUTED_VALUE"""),"Perinatal screening for neural tube defects among Egyptians")</f>
        <v>Perinatal screening for neural tube defects among Egyptians</v>
      </c>
      <c r="B1444" s="5" t="str">
        <f>IFERROR(__xludf.DUMMYFUNCTION("LEFT(FILTER(IMPORTRANGE(""https://docs.google.com/spreadsheets/d/1BJSV3WBYJGRhQ6zExamkszQ5VutGIcaQqmbD9ZTVXMQ/edit#gid=1251630045"",""articles_with_PRISMA_reasons!K2:K2113""), $A1444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$A1444=IMPORTRANGE(""https://docs.google.com/spreadsheets/d/1BJSV3WBYJGRhQ6zExamkszQ5VutGIcaQqmbD9ZTVXMQ/edit#gid=1251630045"",""articles_with_PRISMA_reasons!B2:B2113"")))-1)"),"Hashem")</f>
        <v>Hashem</v>
      </c>
      <c r="C1444" s="6">
        <f>IFERROR(__xludf.DUMMYFUNCTION("FILTER(IMPORTRANGE(""https://docs.google.com/spreadsheets/d/1BJSV3WBYJGRhQ6zExamkszQ5VutGIcaQqmbD9ZTVXMQ/edit#gid=1251630045"",""articles_with_PRISMA_reasons!C2:C2113""), $A1444=IMPORTRANGE(""https://docs.google.com/spreadsheets/d/1BJSV3WBYJGRhQ6zExamkszQ"&amp;"5VutGIcaQqmbD9ZTVXMQ/edit#gid=1251630045"",""articles_with_PRISMA_reasons!B2:B2113""))"),1988.0)</f>
        <v>1988</v>
      </c>
      <c r="D1444" s="5" t="str">
        <f>IFERROR(__xludf.DUMMYFUNCTION("IFS(AND(
FILTER(IMPORTRANGE(""https://docs.google.com/spreadsheets/d/1BJSV3WBYJGRhQ6zExamkszQ5VutGIcaQqmbD9ZTVXMQ/edit#gid=1251630045"",""articles_with_PRISMA_reasons!Y2:Y2113""), $A1444=IMPORTRANGE(""https://docs.google.com/spreadsheets/d/1BJSV3WBYJGRhQ6"&amp;"zExamkszQ5VutGIcaQqmbD9ZTVXMQ/edit#gid=1251630045"",""articles_with_PRISMA_reasons!B2:B2113""))&gt;=2,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$A1444=IMPORTRANGE(""https://docs.google.com/spreadsheets/d/1BJSV3WBYJGRhQ6zExamkszQ5VutGIcaQqmbD9ZTVXMQ/edit#gid=1251630045"",""articles_with_PRISMA_reasons!B2:B2113""))&lt;2),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$A1444=IMPORTRANGE(""https://docs.google.com/spreadsheets/d/1BJSV3WBYJGRhQ6zExamkszQ5VutGIcaQqmbD9ZTVXMQ/edit#gid=1251630045"",""a"&amp;"rticles_with_PRISMA_reasons!B2:B2113""))&lt;2,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$A1444=IMPORTRANGE(""https://docs.google"&amp;".com/spreadsheets/d/1BJSV3WBYJGRhQ6zExamkszQ5VutGIcaQqmbD9ZTVXMQ/edit#gid=1251630045"",""articles_with_PRISMA_reasons!B2:B2113""))&gt;=2),
""Exclude""
)"),"Exclude")</f>
        <v>Exclude</v>
      </c>
      <c r="E1444" s="5" t="str">
        <f>IFERROR(__xludf.DUMMYFUNCTION("IFS(
D1444=""Exclude"",""Exclude"",
AND(
FILTER(IMPORTRANGE(""https://docs.google.com/spreadsheets/d/1qpEmbGH0JjaJbUdp21-y2cPbobDbMjr09BbtdKROZWc/edit#gid=1444865654"",""articles_with_PRISMA_reasons!W2:W2113""), $A1444=IMPORTRANGE(""https://docs.google.co"&amp;"m/spreadsheets/d/1qpEmbGH0JjaJbUdp21-y2cPbobDbMjr09BbtdKROZWc/edit#gid=1444865654"",""articles_with_PRISMA_reasons!B2:B2113""))&gt;=2,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$A1444=IMPORTRANGE(""https://docs.google.com/spreadsheets/d/1qpEmbGH0JjaJbUdp21-y2cPbobDbMjr09BbtdKROZWc/edit#gid=1444865654"",""articles_with_PRISMA_reasons!B2:B2113""))&lt;2),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$A1444=IMPORTRANGE(""https://docs.google.com/spreadsheets/d/1qpEmbGH0JjaJbUdp21-y2cPbobDbMjr09Bbtd"&amp;"KROZWc/edit#gid=1444865654"",""articles_with_PRISMA_reasons!B2:B2113""))&lt;2,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$A1444=I"&amp;"MPORTRANGE(""https://docs.google.com/spreadsheets/d/1qpEmbGH0JjaJbUdp21-y2cPbobDbMjr09BbtdKROZWc/edit#gid=1444865654"",""articles_with_PRISMA_reasons!B2:B2113""))&gt;=2),
""Exclude""
)"),"Exclude")</f>
        <v>Exclude</v>
      </c>
      <c r="F1444" s="5" t="str">
        <f>IFERROR(__xludf.DUMMYFUNCTION("IFS(
E1444=""Exclude"",""Exclude"",
AND(
COUNTIF(
IMPORTRANGE(""https://docs.google.com/spreadsheets/d/1kGrh75X1cNR1D7_FcY9zMnHP8iPO4M5RCRjy6nZY0TY/edit#gid=0"",""Table 1: Study characteristics!B4:B171""),A1444)&gt;0,
COUNTIF(Studies!$A$2:$A$85,FILTER(IMPORT"&amp;"RANGE(""https://docs.google.com/spreadsheets/d/1kGrh75X1cNR1D7_FcY9zMnHP8iPO4M5RCRjy6nZY0TY/edit#gid=0"",""Table 1: Study characteristics!A4:A171""), $A1444=IMPORTRANGE(""https://docs.google.com/spreadsheets/d/1kGrh75X1cNR1D7_FcY9zMnHP8iPO4M5RCRjy6nZY0TY/"&amp;"edit#gid=0"",""Table 1: Study characteristics!B4:B171"")))&gt;0
),
""Include""
)"),"Exclude")</f>
        <v>Exclude</v>
      </c>
      <c r="G1444" s="5" t="str">
        <f>IFERROR(__xludf.DUMMYFUNCTION("IFS(
D1444=""Exclude"",
FILTER(IMPORTRANGE(""https://docs.google.com/spreadsheets/d/1BJSV3WBYJGRhQ6zExamkszQ5VutGIcaQqmbD9ZTVXMQ/edit#gid=1251630045"",""articles_with_PRISMA_reasons!AB2:AB2113""), $A1444=IMPORTRANGE(""https://docs.google.com/spreadsheets/"&amp;"d/1BJSV3WBYJGRhQ6zExamkszQ5VutGIcaQqmbD9ZTVXMQ/edit#gid=1251630045"",""articles_with_PRISMA_reasons!B2:B2113"")),
E1444=""Exclude"",
FILTER(IMPORTRANGE(""https://docs.google.com/spreadsheets/d/1qpEmbGH0JjaJbUdp21-y2cPbobDbMjr09BbtdKROZWc/edit#gid=14448656"&amp;"54"",""articles_with_PRISMA_reasons!Z2:Z2113""), $A1444=IMPORTRANGE(""https://docs.google.com/spreadsheets/d/1qpEmbGH0JjaJbUdp21-y2cPbobDbMjr09BbtdKROZWc/edit#gid=1444865654"",""articles_with_PRISMA_reasons!B2:B2113"")),F1444
=""Include"",FILTER(IMPORTRAN"&amp;"GE(""https://docs.google.com/spreadsheets/d/1kGrh75X1cNR1D7_FcY9zMnHP8iPO4M5RCRjy6nZY0TY/edit#gid=0"",""Table 1: Study characteristics!A4:A171""), $A1444=IMPORTRANGE(""https://docs.google.com/spreadsheets/d/1kGrh75X1cNR1D7_FcY9zMnHP8iPO4M5RCRjy6nZY0TY/edi"&amp;"t#gid=0"",""Table 1: Study characteristics!B4:B171""))
)"),"wrong population")</f>
        <v>wrong population</v>
      </c>
    </row>
    <row r="1445">
      <c r="A1445" s="4" t="str">
        <f>IFERROR(__xludf.DUMMYFUNCTION("""COMPUTED_VALUE"""),"Perinatal ventriculomegaly")</f>
        <v>Perinatal ventriculomegaly</v>
      </c>
      <c r="B1445" s="5" t="str">
        <f>IFERROR(__xludf.DUMMYFUNCTION("LEFT(FILTER(IMPORTRANGE(""https://docs.google.com/spreadsheets/d/1BJSV3WBYJGRhQ6zExamkszQ5VutGIcaQqmbD9ZTVXMQ/edit#gid=1251630045"",""articles_with_PRISMA_reasons!K2:K2113""), $A1445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$A1445=IMPORTRANGE(""https://docs.google.com/spreadsheets/d/1BJSV3WBYJGRhQ6zExamkszQ5VutGIcaQqmbD9ZTVXMQ/edit#gid=1251630045"",""articles_with_PRISMA_reasons!B2:B2113"")))-1)"),"Hassanein")</f>
        <v>Hassanein</v>
      </c>
      <c r="C1445" s="6">
        <f>IFERROR(__xludf.DUMMYFUNCTION("FILTER(IMPORTRANGE(""https://docs.google.com/spreadsheets/d/1BJSV3WBYJGRhQ6zExamkszQ5VutGIcaQqmbD9ZTVXMQ/edit#gid=1251630045"",""articles_with_PRISMA_reasons!C2:C2113""), $A1445=IMPORTRANGE(""https://docs.google.com/spreadsheets/d/1BJSV3WBYJGRhQ6zExamkszQ"&amp;"5VutGIcaQqmbD9ZTVXMQ/edit#gid=1251630045"",""articles_with_PRISMA_reasons!B2:B2113""))"),2008.0)</f>
        <v>2008</v>
      </c>
      <c r="D1445" s="5" t="str">
        <f>IFERROR(__xludf.DUMMYFUNCTION("IFS(AND(
FILTER(IMPORTRANGE(""https://docs.google.com/spreadsheets/d/1BJSV3WBYJGRhQ6zExamkszQ5VutGIcaQqmbD9ZTVXMQ/edit#gid=1251630045"",""articles_with_PRISMA_reasons!Y2:Y2113""), $A1445=IMPORTRANGE(""https://docs.google.com/spreadsheets/d/1BJSV3WBYJGRhQ6"&amp;"zExamkszQ5VutGIcaQqmbD9ZTVXMQ/edit#gid=1251630045"",""articles_with_PRISMA_reasons!B2:B2113""))&gt;=2,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$A1445=IMPORTRANGE(""https://docs.google.com/spreadsheets/d/1BJSV3WBYJGRhQ6zExamkszQ5VutGIcaQqmbD9ZTVXMQ/edit#gid=1251630045"",""articles_with_PRISMA_reasons!B2:B2113""))&lt;2),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$A1445=IMPORTRANGE(""https://docs.google.com/spreadsheets/d/1BJSV3WBYJGRhQ6zExamkszQ5VutGIcaQqmbD9ZTVXMQ/edit#gid=1251630045"",""a"&amp;"rticles_with_PRISMA_reasons!B2:B2113""))&lt;2,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$A1445=IMPORTRANGE(""https://docs.google"&amp;".com/spreadsheets/d/1BJSV3WBYJGRhQ6zExamkszQ5VutGIcaQqmbD9ZTVXMQ/edit#gid=1251630045"",""articles_with_PRISMA_reasons!B2:B2113""))&gt;=2),
""Exclude""
)"),"Exclude")</f>
        <v>Exclude</v>
      </c>
      <c r="E1445" s="5" t="str">
        <f>IFERROR(__xludf.DUMMYFUNCTION("IFS(
D1445=""Exclude"",""Exclude"",
AND(
FILTER(IMPORTRANGE(""https://docs.google.com/spreadsheets/d/1qpEmbGH0JjaJbUdp21-y2cPbobDbMjr09BbtdKROZWc/edit#gid=1444865654"",""articles_with_PRISMA_reasons!W2:W2113""), $A1445=IMPORTRANGE(""https://docs.google.co"&amp;"m/spreadsheets/d/1qpEmbGH0JjaJbUdp21-y2cPbobDbMjr09BbtdKROZWc/edit#gid=1444865654"",""articles_with_PRISMA_reasons!B2:B2113""))&gt;=2,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$A1445=IMPORTRANGE(""https://docs.google.com/spreadsheets/d/1qpEmbGH0JjaJbUdp21-y2cPbobDbMjr09BbtdKROZWc/edit#gid=1444865654"",""articles_with_PRISMA_reasons!B2:B2113""))&lt;2),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$A1445=IMPORTRANGE(""https://docs.google.com/spreadsheets/d/1qpEmbGH0JjaJbUdp21-y2cPbobDbMjr09Bbtd"&amp;"KROZWc/edit#gid=1444865654"",""articles_with_PRISMA_reasons!B2:B2113""))&lt;2,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$A1445=I"&amp;"MPORTRANGE(""https://docs.google.com/spreadsheets/d/1qpEmbGH0JjaJbUdp21-y2cPbobDbMjr09BbtdKROZWc/edit#gid=1444865654"",""articles_with_PRISMA_reasons!B2:B2113""))&gt;=2),
""Exclude""
)"),"Exclude")</f>
        <v>Exclude</v>
      </c>
      <c r="F1445" s="5" t="str">
        <f>IFERROR(__xludf.DUMMYFUNCTION("IFS(
E1445=""Exclude"",""Exclude"",
AND(
COUNTIF(
IMPORTRANGE(""https://docs.google.com/spreadsheets/d/1kGrh75X1cNR1D7_FcY9zMnHP8iPO4M5RCRjy6nZY0TY/edit#gid=0"",""Table 1: Study characteristics!B4:B171""),A1445)&gt;0,
COUNTIF(Studies!$A$2:$A$85,FILTER(IMPORT"&amp;"RANGE(""https://docs.google.com/spreadsheets/d/1kGrh75X1cNR1D7_FcY9zMnHP8iPO4M5RCRjy6nZY0TY/edit#gid=0"",""Table 1: Study characteristics!A4:A171""), $A1445=IMPORTRANGE(""https://docs.google.com/spreadsheets/d/1kGrh75X1cNR1D7_FcY9zMnHP8iPO4M5RCRjy6nZY0TY/"&amp;"edit#gid=0"",""Table 1: Study characteristics!B4:B171"")))&gt;0
),
""Include""
)"),"Exclude")</f>
        <v>Exclude</v>
      </c>
      <c r="G1445" s="5" t="str">
        <f>IFERROR(__xludf.DUMMYFUNCTION("IFS(
D1445=""Exclude"",
FILTER(IMPORTRANGE(""https://docs.google.com/spreadsheets/d/1BJSV3WBYJGRhQ6zExamkszQ5VutGIcaQqmbD9ZTVXMQ/edit#gid=1251630045"",""articles_with_PRISMA_reasons!AB2:AB2113""), $A1445=IMPORTRANGE(""https://docs.google.com/spreadsheets/"&amp;"d/1BJSV3WBYJGRhQ6zExamkszQ5VutGIcaQqmbD9ZTVXMQ/edit#gid=1251630045"",""articles_with_PRISMA_reasons!B2:B2113"")),
E1445=""Exclude"",
FILTER(IMPORTRANGE(""https://docs.google.com/spreadsheets/d/1qpEmbGH0JjaJbUdp21-y2cPbobDbMjr09BbtdKROZWc/edit#gid=14448656"&amp;"54"",""articles_with_PRISMA_reasons!Z2:Z2113""), $A1445=IMPORTRANGE(""https://docs.google.com/spreadsheets/d/1qpEmbGH0JjaJbUdp21-y2cPbobDbMjr09BbtdKROZWc/edit#gid=1444865654"",""articles_with_PRISMA_reasons!B2:B2113"")),F1445
=""Include"",FILTER(IMPORTRAN"&amp;"GE(""https://docs.google.com/spreadsheets/d/1kGrh75X1cNR1D7_FcY9zMnHP8iPO4M5RCRjy6nZY0TY/edit#gid=0"",""Table 1: Study characteristics!A4:A171""), $A1445=IMPORTRANGE(""https://docs.google.com/spreadsheets/d/1kGrh75X1cNR1D7_FcY9zMnHP8iPO4M5RCRjy6nZY0TY/edi"&amp;"t#gid=0"",""Table 1: Study characteristics!B4:B171""))
)"),"wrong study design")</f>
        <v>wrong study design</v>
      </c>
    </row>
    <row r="1446">
      <c r="A1446" s="4" t="str">
        <f>IFERROR(__xludf.DUMMYFUNCTION("""COMPUTED_VALUE"""),"Peritoneal dialysis in a patient with neurogenic bladder and chronic kidney disease with ventriculoperitoneal shunt")</f>
        <v>Peritoneal dialysis in a patient with neurogenic bladder and chronic kidney disease with ventriculoperitoneal shunt</v>
      </c>
      <c r="B1446" s="5" t="str">
        <f>IFERROR(__xludf.DUMMYFUNCTION("LEFT(FILTER(IMPORTRANGE(""https://docs.google.com/spreadsheets/d/1BJSV3WBYJGRhQ6zExamkszQ5VutGIcaQqmbD9ZTVXMQ/edit#gid=1251630045"",""articles_with_PRISMA_reasons!K2:K2113""), $A1446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$A1446=IMPORTRANGE(""https://docs.google.com/spreadsheets/d/1BJSV3WBYJGRhQ6zExamkszQ5VutGIcaQqmbD9ZTVXMQ/edit#gid=1251630045"",""articles_with_PRISMA_reasons!B2:B2113"")))-1)"),"Ram Prabahar")</f>
        <v>Ram Prabahar</v>
      </c>
      <c r="C1446" s="6">
        <f>IFERROR(__xludf.DUMMYFUNCTION("FILTER(IMPORTRANGE(""https://docs.google.com/spreadsheets/d/1BJSV3WBYJGRhQ6zExamkszQ5VutGIcaQqmbD9ZTVXMQ/edit#gid=1251630045"",""articles_with_PRISMA_reasons!C2:C2113""), $A1446=IMPORTRANGE(""https://docs.google.com/spreadsheets/d/1BJSV3WBYJGRhQ6zExamkszQ"&amp;"5VutGIcaQqmbD9ZTVXMQ/edit#gid=1251630045"",""articles_with_PRISMA_reasons!B2:B2113""))"),2008.0)</f>
        <v>2008</v>
      </c>
      <c r="D1446" s="5" t="str">
        <f>IFERROR(__xludf.DUMMYFUNCTION("IFS(AND(
FILTER(IMPORTRANGE(""https://docs.google.com/spreadsheets/d/1BJSV3WBYJGRhQ6zExamkszQ5VutGIcaQqmbD9ZTVXMQ/edit#gid=1251630045"",""articles_with_PRISMA_reasons!Y2:Y2113""), $A1446=IMPORTRANGE(""https://docs.google.com/spreadsheets/d/1BJSV3WBYJGRhQ6"&amp;"zExamkszQ5VutGIcaQqmbD9ZTVXMQ/edit#gid=1251630045"",""articles_with_PRISMA_reasons!B2:B2113""))&gt;=2,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$A1446=IMPORTRANGE(""https://docs.google.com/spreadsheets/d/1BJSV3WBYJGRhQ6zExamkszQ5VutGIcaQqmbD9ZTVXMQ/edit#gid=1251630045"",""articles_with_PRISMA_reasons!B2:B2113""))&lt;2),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$A1446=IMPORTRANGE(""https://docs.google.com/spreadsheets/d/1BJSV3WBYJGRhQ6zExamkszQ5VutGIcaQqmbD9ZTVXMQ/edit#gid=1251630045"",""a"&amp;"rticles_with_PRISMA_reasons!B2:B2113""))&lt;2,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$A1446=IMPORTRANGE(""https://docs.google"&amp;".com/spreadsheets/d/1BJSV3WBYJGRhQ6zExamkszQ5VutGIcaQqmbD9ZTVXMQ/edit#gid=1251630045"",""articles_with_PRISMA_reasons!B2:B2113""))&gt;=2),
""Exclude""
)"),"Exclude")</f>
        <v>Exclude</v>
      </c>
      <c r="E1446" s="5" t="str">
        <f>IFERROR(__xludf.DUMMYFUNCTION("IFS(
D1446=""Exclude"",""Exclude"",
AND(
FILTER(IMPORTRANGE(""https://docs.google.com/spreadsheets/d/1qpEmbGH0JjaJbUdp21-y2cPbobDbMjr09BbtdKROZWc/edit#gid=1444865654"",""articles_with_PRISMA_reasons!W2:W2113""), $A1446=IMPORTRANGE(""https://docs.google.co"&amp;"m/spreadsheets/d/1qpEmbGH0JjaJbUdp21-y2cPbobDbMjr09BbtdKROZWc/edit#gid=1444865654"",""articles_with_PRISMA_reasons!B2:B2113""))&gt;=2,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$A1446=IMPORTRANGE(""https://docs.google.com/spreadsheets/d/1qpEmbGH0JjaJbUdp21-y2cPbobDbMjr09BbtdKROZWc/edit#gid=1444865654"",""articles_with_PRISMA_reasons!B2:B2113""))&lt;2),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$A1446=IMPORTRANGE(""https://docs.google.com/spreadsheets/d/1qpEmbGH0JjaJbUdp21-y2cPbobDbMjr09Bbtd"&amp;"KROZWc/edit#gid=1444865654"",""articles_with_PRISMA_reasons!B2:B2113""))&lt;2,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$A1446=I"&amp;"MPORTRANGE(""https://docs.google.com/spreadsheets/d/1qpEmbGH0JjaJbUdp21-y2cPbobDbMjr09BbtdKROZWc/edit#gid=1444865654"",""articles_with_PRISMA_reasons!B2:B2113""))&gt;=2),
""Exclude""
)"),"Exclude")</f>
        <v>Exclude</v>
      </c>
      <c r="F1446" s="5" t="str">
        <f>IFERROR(__xludf.DUMMYFUNCTION("IFS(
E1446=""Exclude"",""Exclude"",
AND(
COUNTIF(
IMPORTRANGE(""https://docs.google.com/spreadsheets/d/1kGrh75X1cNR1D7_FcY9zMnHP8iPO4M5RCRjy6nZY0TY/edit#gid=0"",""Table 1: Study characteristics!B4:B171""),A1446)&gt;0,
COUNTIF(Studies!$A$2:$A$85,FILTER(IMPORT"&amp;"RANGE(""https://docs.google.com/spreadsheets/d/1kGrh75X1cNR1D7_FcY9zMnHP8iPO4M5RCRjy6nZY0TY/edit#gid=0"",""Table 1: Study characteristics!A4:A171""), $A1446=IMPORTRANGE(""https://docs.google.com/spreadsheets/d/1kGrh75X1cNR1D7_FcY9zMnHP8iPO4M5RCRjy6nZY0TY/"&amp;"edit#gid=0"",""Table 1: Study characteristics!B4:B171"")))&gt;0
),
""Include""
)"),"Exclude")</f>
        <v>Exclude</v>
      </c>
      <c r="G1446" s="5" t="str">
        <f>IFERROR(__xludf.DUMMYFUNCTION("IFS(
D1446=""Exclude"",
FILTER(IMPORTRANGE(""https://docs.google.com/spreadsheets/d/1BJSV3WBYJGRhQ6zExamkszQ5VutGIcaQqmbD9ZTVXMQ/edit#gid=1251630045"",""articles_with_PRISMA_reasons!AB2:AB2113""), $A1446=IMPORTRANGE(""https://docs.google.com/spreadsheets/"&amp;"d/1BJSV3WBYJGRhQ6zExamkszQ5VutGIcaQqmbD9ZTVXMQ/edit#gid=1251630045"",""articles_with_PRISMA_reasons!B2:B2113"")),
E1446=""Exclude"",
FILTER(IMPORTRANGE(""https://docs.google.com/spreadsheets/d/1qpEmbGH0JjaJbUdp21-y2cPbobDbMjr09BbtdKROZWc/edit#gid=14448656"&amp;"54"",""articles_with_PRISMA_reasons!Z2:Z2113""), $A1446=IMPORTRANGE(""https://docs.google.com/spreadsheets/d/1qpEmbGH0JjaJbUdp21-y2cPbobDbMjr09BbtdKROZWc/edit#gid=1444865654"",""articles_with_PRISMA_reasons!B2:B2113"")),F1446
=""Include"",FILTER(IMPORTRAN"&amp;"GE(""https://docs.google.com/spreadsheets/d/1kGrh75X1cNR1D7_FcY9zMnHP8iPO4M5RCRjy6nZY0TY/edit#gid=0"",""Table 1: Study characteristics!A4:A171""), $A1446=IMPORTRANGE(""https://docs.google.com/spreadsheets/d/1kGrh75X1cNR1D7_FcY9zMnHP8iPO4M5RCRjy6nZY0TY/edi"&amp;"t#gid=0"",""Table 1: Study characteristics!B4:B171""))
)"),"wrong study design")</f>
        <v>wrong study design</v>
      </c>
    </row>
    <row r="1447">
      <c r="A1447" s="4" t="str">
        <f>IFERROR(__xludf.DUMMYFUNCTION("""COMPUTED_VALUE"""),"Peritoneography in the assessment of peritoneal cerebrospinal fluid absorption potential for distal ventriculoperitoneal shunt catheter placement: technical case report")</f>
        <v>Peritoneography in the assessment of peritoneal cerebrospinal fluid absorption potential for distal ventriculoperitoneal shunt catheter placement: technical case report</v>
      </c>
      <c r="B1447" s="5" t="str">
        <f>IFERROR(__xludf.DUMMYFUNCTION("LEFT(FILTER(IMPORTRANGE(""https://docs.google.com/spreadsheets/d/1BJSV3WBYJGRhQ6zExamkszQ5VutGIcaQqmbD9ZTVXMQ/edit#gid=1251630045"",""articles_with_PRISMA_reasons!K2:K2113""), $A1447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$A1447=IMPORTRANGE(""https://docs.google.com/spreadsheets/d/1BJSV3WBYJGRhQ6zExamkszQ5VutGIcaQqmbD9ZTVXMQ/edit#gid=1251630045"",""articles_with_PRISMA_reasons!B2:B2113"")))-1)"),"McAuley")</f>
        <v>McAuley</v>
      </c>
      <c r="C1447" s="6">
        <f>IFERROR(__xludf.DUMMYFUNCTION("FILTER(IMPORTRANGE(""https://docs.google.com/spreadsheets/d/1BJSV3WBYJGRhQ6zExamkszQ5VutGIcaQqmbD9ZTVXMQ/edit#gid=1251630045"",""articles_with_PRISMA_reasons!C2:C2113""), $A1447=IMPORTRANGE(""https://docs.google.com/spreadsheets/d/1BJSV3WBYJGRhQ6zExamkszQ"&amp;"5VutGIcaQqmbD9ZTVXMQ/edit#gid=1251630045"",""articles_with_PRISMA_reasons!B2:B2113""))"),2001.0)</f>
        <v>2001</v>
      </c>
      <c r="D1447" s="5" t="str">
        <f>IFERROR(__xludf.DUMMYFUNCTION("IFS(AND(
FILTER(IMPORTRANGE(""https://docs.google.com/spreadsheets/d/1BJSV3WBYJGRhQ6zExamkszQ5VutGIcaQqmbD9ZTVXMQ/edit#gid=1251630045"",""articles_with_PRISMA_reasons!Y2:Y2113""), $A1447=IMPORTRANGE(""https://docs.google.com/spreadsheets/d/1BJSV3WBYJGRhQ6"&amp;"zExamkszQ5VutGIcaQqmbD9ZTVXMQ/edit#gid=1251630045"",""articles_with_PRISMA_reasons!B2:B2113""))&gt;=2,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$A1447=IMPORTRANGE(""https://docs.google.com/spreadsheets/d/1BJSV3WBYJGRhQ6zExamkszQ5VutGIcaQqmbD9ZTVXMQ/edit#gid=1251630045"",""articles_with_PRISMA_reasons!B2:B2113""))&lt;2),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$A1447=IMPORTRANGE(""https://docs.google.com/spreadsheets/d/1BJSV3WBYJGRhQ6zExamkszQ5VutGIcaQqmbD9ZTVXMQ/edit#gid=1251630045"",""a"&amp;"rticles_with_PRISMA_reasons!B2:B2113""))&lt;2,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$A1447=IMPORTRANGE(""https://docs.google"&amp;".com/spreadsheets/d/1BJSV3WBYJGRhQ6zExamkszQ5VutGIcaQqmbD9ZTVXMQ/edit#gid=1251630045"",""articles_with_PRISMA_reasons!B2:B2113""))&gt;=2),
""Exclude""
)"),"Exclude")</f>
        <v>Exclude</v>
      </c>
      <c r="E1447" s="5" t="str">
        <f>IFERROR(__xludf.DUMMYFUNCTION("IFS(
D1447=""Exclude"",""Exclude"",
AND(
FILTER(IMPORTRANGE(""https://docs.google.com/spreadsheets/d/1qpEmbGH0JjaJbUdp21-y2cPbobDbMjr09BbtdKROZWc/edit#gid=1444865654"",""articles_with_PRISMA_reasons!W2:W2113""), $A1447=IMPORTRANGE(""https://docs.google.co"&amp;"m/spreadsheets/d/1qpEmbGH0JjaJbUdp21-y2cPbobDbMjr09BbtdKROZWc/edit#gid=1444865654"",""articles_with_PRISMA_reasons!B2:B2113""))&gt;=2,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$A1447=IMPORTRANGE(""https://docs.google.com/spreadsheets/d/1qpEmbGH0JjaJbUdp21-y2cPbobDbMjr09BbtdKROZWc/edit#gid=1444865654"",""articles_with_PRISMA_reasons!B2:B2113""))&lt;2),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$A1447=IMPORTRANGE(""https://docs.google.com/spreadsheets/d/1qpEmbGH0JjaJbUdp21-y2cPbobDbMjr09Bbtd"&amp;"KROZWc/edit#gid=1444865654"",""articles_with_PRISMA_reasons!B2:B2113""))&lt;2,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$A1447=I"&amp;"MPORTRANGE(""https://docs.google.com/spreadsheets/d/1qpEmbGH0JjaJbUdp21-y2cPbobDbMjr09BbtdKROZWc/edit#gid=1444865654"",""articles_with_PRISMA_reasons!B2:B2113""))&gt;=2),
""Exclude""
)"),"Exclude")</f>
        <v>Exclude</v>
      </c>
      <c r="F1447" s="5" t="str">
        <f>IFERROR(__xludf.DUMMYFUNCTION("IFS(
E1447=""Exclude"",""Exclude"",
AND(
COUNTIF(
IMPORTRANGE(""https://docs.google.com/spreadsheets/d/1kGrh75X1cNR1D7_FcY9zMnHP8iPO4M5RCRjy6nZY0TY/edit#gid=0"",""Table 1: Study characteristics!B4:B171""),A1447)&gt;0,
COUNTIF(Studies!$A$2:$A$85,FILTER(IMPORT"&amp;"RANGE(""https://docs.google.com/spreadsheets/d/1kGrh75X1cNR1D7_FcY9zMnHP8iPO4M5RCRjy6nZY0TY/edit#gid=0"",""Table 1: Study characteristics!A4:A171""), $A1447=IMPORTRANGE(""https://docs.google.com/spreadsheets/d/1kGrh75X1cNR1D7_FcY9zMnHP8iPO4M5RCRjy6nZY0TY/"&amp;"edit#gid=0"",""Table 1: Study characteristics!B4:B171"")))&gt;0
),
""Include""
)"),"Exclude")</f>
        <v>Exclude</v>
      </c>
      <c r="G1447" s="5" t="str">
        <f>IFERROR(__xludf.DUMMYFUNCTION("IFS(
D1447=""Exclude"",
FILTER(IMPORTRANGE(""https://docs.google.com/spreadsheets/d/1BJSV3WBYJGRhQ6zExamkszQ5VutGIcaQqmbD9ZTVXMQ/edit#gid=1251630045"",""articles_with_PRISMA_reasons!AB2:AB2113""), $A1447=IMPORTRANGE(""https://docs.google.com/spreadsheets/"&amp;"d/1BJSV3WBYJGRhQ6zExamkszQ5VutGIcaQqmbD9ZTVXMQ/edit#gid=1251630045"",""articles_with_PRISMA_reasons!B2:B2113"")),
E1447=""Exclude"",
FILTER(IMPORTRANGE(""https://docs.google.com/spreadsheets/d/1qpEmbGH0JjaJbUdp21-y2cPbobDbMjr09BbtdKROZWc/edit#gid=14448656"&amp;"54"",""articles_with_PRISMA_reasons!Z2:Z2113""), $A1447=IMPORTRANGE(""https://docs.google.com/spreadsheets/d/1qpEmbGH0JjaJbUdp21-y2cPbobDbMjr09BbtdKROZWc/edit#gid=1444865654"",""articles_with_PRISMA_reasons!B2:B2113"")),F1447
=""Include"",FILTER(IMPORTRAN"&amp;"GE(""https://docs.google.com/spreadsheets/d/1kGrh75X1cNR1D7_FcY9zMnHP8iPO4M5RCRjy6nZY0TY/edit#gid=0"",""Table 1: Study characteristics!A4:A171""), $A1447=IMPORTRANGE(""https://docs.google.com/spreadsheets/d/1kGrh75X1cNR1D7_FcY9zMnHP8iPO4M5RCRjy6nZY0TY/edi"&amp;"t#gid=0"",""Table 1: Study characteristics!B4:B171""))
)"),"wrong publication type")</f>
        <v>wrong publication type</v>
      </c>
    </row>
    <row r="1448">
      <c r="A1448" s="4" t="str">
        <f>IFERROR(__xludf.DUMMYFUNCTION("""COMPUTED_VALUE"""),"Periumbilical swelling, erythema, and discharge in a girl: Questions")</f>
        <v>Periumbilical swelling, erythema, and discharge in a girl: Questions</v>
      </c>
      <c r="B1448" s="5" t="str">
        <f>IFERROR(__xludf.DUMMYFUNCTION("LEFT(FILTER(IMPORTRANGE(""https://docs.google.com/spreadsheets/d/1BJSV3WBYJGRhQ6zExamkszQ5VutGIcaQqmbD9ZTVXMQ/edit#gid=1251630045"",""articles_with_PRISMA_reasons!K2:K2113""), $A1448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$A1448=IMPORTRANGE(""https://docs.google.com/spreadsheets/d/1BJSV3WBYJGRhQ6zExamkszQ5VutGIcaQqmbD9ZTVXMQ/edit#gid=1251630045"",""articles_with_PRISMA_reasons!B2:B2113"")))-1)"),"Alaygut")</f>
        <v>Alaygut</v>
      </c>
      <c r="C1448" s="6">
        <f>IFERROR(__xludf.DUMMYFUNCTION("FILTER(IMPORTRANGE(""https://docs.google.com/spreadsheets/d/1BJSV3WBYJGRhQ6zExamkszQ5VutGIcaQqmbD9ZTVXMQ/edit#gid=1251630045"",""articles_with_PRISMA_reasons!C2:C2113""), $A1448=IMPORTRANGE(""https://docs.google.com/spreadsheets/d/1BJSV3WBYJGRhQ6zExamkszQ"&amp;"5VutGIcaQqmbD9ZTVXMQ/edit#gid=1251630045"",""articles_with_PRISMA_reasons!B2:B2113""))"),2020.0)</f>
        <v>2020</v>
      </c>
      <c r="D1448" s="5" t="str">
        <f>IFERROR(__xludf.DUMMYFUNCTION("IFS(AND(
FILTER(IMPORTRANGE(""https://docs.google.com/spreadsheets/d/1BJSV3WBYJGRhQ6zExamkszQ5VutGIcaQqmbD9ZTVXMQ/edit#gid=1251630045"",""articles_with_PRISMA_reasons!Y2:Y2113""), $A1448=IMPORTRANGE(""https://docs.google.com/spreadsheets/d/1BJSV3WBYJGRhQ6"&amp;"zExamkszQ5VutGIcaQqmbD9ZTVXMQ/edit#gid=1251630045"",""articles_with_PRISMA_reasons!B2:B2113""))&gt;=2,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$A1448=IMPORTRANGE(""https://docs.google.com/spreadsheets/d/1BJSV3WBYJGRhQ6zExamkszQ5VutGIcaQqmbD9ZTVXMQ/edit#gid=1251630045"",""articles_with_PRISMA_reasons!B2:B2113""))&lt;2),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$A1448=IMPORTRANGE(""https://docs.google.com/spreadsheets/d/1BJSV3WBYJGRhQ6zExamkszQ5VutGIcaQqmbD9ZTVXMQ/edit#gid=1251630045"",""a"&amp;"rticles_with_PRISMA_reasons!B2:B2113""))&lt;2,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$A1448=IMPORTRANGE(""https://docs.google"&amp;".com/spreadsheets/d/1BJSV3WBYJGRhQ6zExamkszQ5VutGIcaQqmbD9ZTVXMQ/edit#gid=1251630045"",""articles_with_PRISMA_reasons!B2:B2113""))&gt;=2),
""Exclude""
)"),"Exclude")</f>
        <v>Exclude</v>
      </c>
      <c r="E1448" s="5" t="str">
        <f>IFERROR(__xludf.DUMMYFUNCTION("IFS(
D1448=""Exclude"",""Exclude"",
AND(
FILTER(IMPORTRANGE(""https://docs.google.com/spreadsheets/d/1qpEmbGH0JjaJbUdp21-y2cPbobDbMjr09BbtdKROZWc/edit#gid=1444865654"",""articles_with_PRISMA_reasons!W2:W2113""), $A1448=IMPORTRANGE(""https://docs.google.co"&amp;"m/spreadsheets/d/1qpEmbGH0JjaJbUdp21-y2cPbobDbMjr09BbtdKROZWc/edit#gid=1444865654"",""articles_with_PRISMA_reasons!B2:B2113""))&gt;=2,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$A1448=IMPORTRANGE(""https://docs.google.com/spreadsheets/d/1qpEmbGH0JjaJbUdp21-y2cPbobDbMjr09BbtdKROZWc/edit#gid=1444865654"",""articles_with_PRISMA_reasons!B2:B2113""))&lt;2),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$A1448=IMPORTRANGE(""https://docs.google.com/spreadsheets/d/1qpEmbGH0JjaJbUdp21-y2cPbobDbMjr09Bbtd"&amp;"KROZWc/edit#gid=1444865654"",""articles_with_PRISMA_reasons!B2:B2113""))&lt;2,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$A1448=I"&amp;"MPORTRANGE(""https://docs.google.com/spreadsheets/d/1qpEmbGH0JjaJbUdp21-y2cPbobDbMjr09BbtdKROZWc/edit#gid=1444865654"",""articles_with_PRISMA_reasons!B2:B2113""))&gt;=2),
""Exclude""
)"),"Exclude")</f>
        <v>Exclude</v>
      </c>
      <c r="F1448" s="5" t="str">
        <f>IFERROR(__xludf.DUMMYFUNCTION("IFS(
E1448=""Exclude"",""Exclude"",
AND(
COUNTIF(
IMPORTRANGE(""https://docs.google.com/spreadsheets/d/1kGrh75X1cNR1D7_FcY9zMnHP8iPO4M5RCRjy6nZY0TY/edit#gid=0"",""Table 1: Study characteristics!B4:B171""),A1448)&gt;0,
COUNTIF(Studies!$A$2:$A$85,FILTER(IMPORT"&amp;"RANGE(""https://docs.google.com/spreadsheets/d/1kGrh75X1cNR1D7_FcY9zMnHP8iPO4M5RCRjy6nZY0TY/edit#gid=0"",""Table 1: Study characteristics!A4:A171""), $A1448=IMPORTRANGE(""https://docs.google.com/spreadsheets/d/1kGrh75X1cNR1D7_FcY9zMnHP8iPO4M5RCRjy6nZY0TY/"&amp;"edit#gid=0"",""Table 1: Study characteristics!B4:B171"")))&gt;0
),
""Include""
)"),"Exclude")</f>
        <v>Exclude</v>
      </c>
      <c r="G1448" s="5" t="str">
        <f>IFERROR(__xludf.DUMMYFUNCTION("IFS(
D1448=""Exclude"",
FILTER(IMPORTRANGE(""https://docs.google.com/spreadsheets/d/1BJSV3WBYJGRhQ6zExamkszQ5VutGIcaQqmbD9ZTVXMQ/edit#gid=1251630045"",""articles_with_PRISMA_reasons!AB2:AB2113""), $A1448=IMPORTRANGE(""https://docs.google.com/spreadsheets/"&amp;"d/1BJSV3WBYJGRhQ6zExamkszQ5VutGIcaQqmbD9ZTVXMQ/edit#gid=1251630045"",""articles_with_PRISMA_reasons!B2:B2113"")),
E1448=""Exclude"",
FILTER(IMPORTRANGE(""https://docs.google.com/spreadsheets/d/1qpEmbGH0JjaJbUdp21-y2cPbobDbMjr09BbtdKROZWc/edit#gid=14448656"&amp;"54"",""articles_with_PRISMA_reasons!Z2:Z2113""), $A1448=IMPORTRANGE(""https://docs.google.com/spreadsheets/d/1qpEmbGH0JjaJbUdp21-y2cPbobDbMjr09BbtdKROZWc/edit#gid=1444865654"",""articles_with_PRISMA_reasons!B2:B2113"")),F1448
=""Include"",FILTER(IMPORTRAN"&amp;"GE(""https://docs.google.com/spreadsheets/d/1kGrh75X1cNR1D7_FcY9zMnHP8iPO4M5RCRjy6nZY0TY/edit#gid=0"",""Table 1: Study characteristics!A4:A171""), $A1448=IMPORTRANGE(""https://docs.google.com/spreadsheets/d/1kGrh75X1cNR1D7_FcY9zMnHP8iPO4M5RCRjy6nZY0TY/edi"&amp;"t#gid=0"",""Table 1: Study characteristics!B4:B171""))
)"),"wrong study design")</f>
        <v>wrong study design</v>
      </c>
    </row>
    <row r="1449">
      <c r="A1449" s="4" t="str">
        <f>IFERROR(__xludf.DUMMYFUNCTION("""COMPUTED_VALUE"""),"Peroral extrusion of ventriculoperitoneal shunt: A case report and review of the literature")</f>
        <v>Peroral extrusion of ventriculoperitoneal shunt: A case report and review of the literature</v>
      </c>
      <c r="B1449" s="5" t="str">
        <f>IFERROR(__xludf.DUMMYFUNCTION("LEFT(FILTER(IMPORTRANGE(""https://docs.google.com/spreadsheets/d/1BJSV3WBYJGRhQ6zExamkszQ5VutGIcaQqmbD9ZTVXMQ/edit#gid=1251630045"",""articles_with_PRISMA_reasons!K2:K2113""), $A1449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$A1449=IMPORTRANGE(""https://docs.google.com/spreadsheets/d/1BJSV3WBYJGRhQ6zExamkszQ5VutGIcaQqmbD9ZTVXMQ/edit#gid=1251630045"",""articles_with_PRISMA_reasons!B2:B2113"")))-1)"),"Dua")</f>
        <v>Dua</v>
      </c>
      <c r="C1449" s="6">
        <f>IFERROR(__xludf.DUMMYFUNCTION("FILTER(IMPORTRANGE(""https://docs.google.com/spreadsheets/d/1BJSV3WBYJGRhQ6zExamkszQ5VutGIcaQqmbD9ZTVXMQ/edit#gid=1251630045"",""articles_with_PRISMA_reasons!C2:C2113""), $A1449=IMPORTRANGE(""https://docs.google.com/spreadsheets/d/1BJSV3WBYJGRhQ6zExamkszQ"&amp;"5VutGIcaQqmbD9ZTVXMQ/edit#gid=1251630045"",""articles_with_PRISMA_reasons!B2:B2113""))"),2011.0)</f>
        <v>2011</v>
      </c>
      <c r="D1449" s="5" t="str">
        <f>IFERROR(__xludf.DUMMYFUNCTION("IFS(AND(
FILTER(IMPORTRANGE(""https://docs.google.com/spreadsheets/d/1BJSV3WBYJGRhQ6zExamkszQ5VutGIcaQqmbD9ZTVXMQ/edit#gid=1251630045"",""articles_with_PRISMA_reasons!Y2:Y2113""), $A1449=IMPORTRANGE(""https://docs.google.com/spreadsheets/d/1BJSV3WBYJGRhQ6"&amp;"zExamkszQ5VutGIcaQqmbD9ZTVXMQ/edit#gid=1251630045"",""articles_with_PRISMA_reasons!B2:B2113""))&gt;=2,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$A1449=IMPORTRANGE(""https://docs.google.com/spreadsheets/d/1BJSV3WBYJGRhQ6zExamkszQ5VutGIcaQqmbD9ZTVXMQ/edit#gid=1251630045"",""articles_with_PRISMA_reasons!B2:B2113""))&lt;2),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$A1449=IMPORTRANGE(""https://docs.google.com/spreadsheets/d/1BJSV3WBYJGRhQ6zExamkszQ5VutGIcaQqmbD9ZTVXMQ/edit#gid=1251630045"",""a"&amp;"rticles_with_PRISMA_reasons!B2:B2113""))&lt;2,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$A1449=IMPORTRANGE(""https://docs.google"&amp;".com/spreadsheets/d/1BJSV3WBYJGRhQ6zExamkszQ5VutGIcaQqmbD9ZTVXMQ/edit#gid=1251630045"",""articles_with_PRISMA_reasons!B2:B2113""))&gt;=2),
""Exclude""
)"),"Exclude")</f>
        <v>Exclude</v>
      </c>
      <c r="E1449" s="5" t="str">
        <f>IFERROR(__xludf.DUMMYFUNCTION("IFS(
D1449=""Exclude"",""Exclude"",
AND(
FILTER(IMPORTRANGE(""https://docs.google.com/spreadsheets/d/1qpEmbGH0JjaJbUdp21-y2cPbobDbMjr09BbtdKROZWc/edit#gid=1444865654"",""articles_with_PRISMA_reasons!W2:W2113""), $A1449=IMPORTRANGE(""https://docs.google.co"&amp;"m/spreadsheets/d/1qpEmbGH0JjaJbUdp21-y2cPbobDbMjr09BbtdKROZWc/edit#gid=1444865654"",""articles_with_PRISMA_reasons!B2:B2113""))&gt;=2,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$A1449=IMPORTRANGE(""https://docs.google.com/spreadsheets/d/1qpEmbGH0JjaJbUdp21-y2cPbobDbMjr09BbtdKROZWc/edit#gid=1444865654"",""articles_with_PRISMA_reasons!B2:B2113""))&lt;2),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$A1449=IMPORTRANGE(""https://docs.google.com/spreadsheets/d/1qpEmbGH0JjaJbUdp21-y2cPbobDbMjr09Bbtd"&amp;"KROZWc/edit#gid=1444865654"",""articles_with_PRISMA_reasons!B2:B2113""))&lt;2,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$A1449=I"&amp;"MPORTRANGE(""https://docs.google.com/spreadsheets/d/1qpEmbGH0JjaJbUdp21-y2cPbobDbMjr09BbtdKROZWc/edit#gid=1444865654"",""articles_with_PRISMA_reasons!B2:B2113""))&gt;=2),
""Exclude""
)"),"Exclude")</f>
        <v>Exclude</v>
      </c>
      <c r="F1449" s="5" t="str">
        <f>IFERROR(__xludf.DUMMYFUNCTION("IFS(
E1449=""Exclude"",""Exclude"",
AND(
COUNTIF(
IMPORTRANGE(""https://docs.google.com/spreadsheets/d/1kGrh75X1cNR1D7_FcY9zMnHP8iPO4M5RCRjy6nZY0TY/edit#gid=0"",""Table 1: Study characteristics!B4:B171""),A1449)&gt;0,
COUNTIF(Studies!$A$2:$A$85,FILTER(IMPORT"&amp;"RANGE(""https://docs.google.com/spreadsheets/d/1kGrh75X1cNR1D7_FcY9zMnHP8iPO4M5RCRjy6nZY0TY/edit#gid=0"",""Table 1: Study characteristics!A4:A171""), $A1449=IMPORTRANGE(""https://docs.google.com/spreadsheets/d/1kGrh75X1cNR1D7_FcY9zMnHP8iPO4M5RCRjy6nZY0TY/"&amp;"edit#gid=0"",""Table 1: Study characteristics!B4:B171"")))&gt;0
),
""Include""
)"),"Exclude")</f>
        <v>Exclude</v>
      </c>
      <c r="G1449" s="5" t="str">
        <f>IFERROR(__xludf.DUMMYFUNCTION("IFS(
D1449=""Exclude"",
FILTER(IMPORTRANGE(""https://docs.google.com/spreadsheets/d/1BJSV3WBYJGRhQ6zExamkszQ5VutGIcaQqmbD9ZTVXMQ/edit#gid=1251630045"",""articles_with_PRISMA_reasons!AB2:AB2113""), $A1449=IMPORTRANGE(""https://docs.google.com/spreadsheets/"&amp;"d/1BJSV3WBYJGRhQ6zExamkszQ5VutGIcaQqmbD9ZTVXMQ/edit#gid=1251630045"",""articles_with_PRISMA_reasons!B2:B2113"")),
E1449=""Exclude"",
FILTER(IMPORTRANGE(""https://docs.google.com/spreadsheets/d/1qpEmbGH0JjaJbUdp21-y2cPbobDbMjr09BbtdKROZWc/edit#gid=14448656"&amp;"54"",""articles_with_PRISMA_reasons!Z2:Z2113""), $A1449=IMPORTRANGE(""https://docs.google.com/spreadsheets/d/1qpEmbGH0JjaJbUdp21-y2cPbobDbMjr09BbtdKROZWc/edit#gid=1444865654"",""articles_with_PRISMA_reasons!B2:B2113"")),F1449
=""Include"",FILTER(IMPORTRAN"&amp;"GE(""https://docs.google.com/spreadsheets/d/1kGrh75X1cNR1D7_FcY9zMnHP8iPO4M5RCRjy6nZY0TY/edit#gid=0"",""Table 1: Study characteristics!A4:A171""), $A1449=IMPORTRANGE(""https://docs.google.com/spreadsheets/d/1kGrh75X1cNR1D7_FcY9zMnHP8iPO4M5RCRjy6nZY0TY/edi"&amp;"t#gid=0"",""Table 1: Study characteristics!B4:B171""))
)"),"wrong publication type")</f>
        <v>wrong publication type</v>
      </c>
    </row>
    <row r="1450">
      <c r="A1450" s="4" t="str">
        <f>IFERROR(__xludf.DUMMYFUNCTION("""COMPUTED_VALUE"""),"Perspectives of school-work transitions among youth with spina bifida, their parents and health care providers")</f>
        <v>Perspectives of school-work transitions among youth with spina bifida, their parents and health care providers</v>
      </c>
      <c r="B1450" s="5" t="str">
        <f>IFERROR(__xludf.DUMMYFUNCTION("LEFT(FILTER(IMPORTRANGE(""https://docs.google.com/spreadsheets/d/1BJSV3WBYJGRhQ6zExamkszQ5VutGIcaQqmbD9ZTVXMQ/edit#gid=1251630045"",""articles_with_PRISMA_reasons!K2:K2113""), $A1450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$A1450=IMPORTRANGE(""https://docs.google.com/spreadsheets/d/1BJSV3WBYJGRhQ6zExamkszQ5VutGIcaQqmbD9ZTVXMQ/edit#gid=1251630045"",""articles_with_PRISMA_reasons!B2:B2113"")))-1)"),"Lindsay")</f>
        <v>Lindsay</v>
      </c>
      <c r="C1450" s="6">
        <f>IFERROR(__xludf.DUMMYFUNCTION("FILTER(IMPORTRANGE(""https://docs.google.com/spreadsheets/d/1BJSV3WBYJGRhQ6zExamkszQ5VutGIcaQqmbD9ZTVXMQ/edit#gid=1251630045"",""articles_with_PRISMA_reasons!C2:C2113""), $A1450=IMPORTRANGE(""https://docs.google.com/spreadsheets/d/1BJSV3WBYJGRhQ6zExamkszQ"&amp;"5VutGIcaQqmbD9ZTVXMQ/edit#gid=1251630045"",""articles_with_PRISMA_reasons!B2:B2113""))"),2017.0)</f>
        <v>2017</v>
      </c>
      <c r="D1450" s="5" t="str">
        <f>IFERROR(__xludf.DUMMYFUNCTION("IFS(AND(
FILTER(IMPORTRANGE(""https://docs.google.com/spreadsheets/d/1BJSV3WBYJGRhQ6zExamkszQ5VutGIcaQqmbD9ZTVXMQ/edit#gid=1251630045"",""articles_with_PRISMA_reasons!Y2:Y2113""), $A1450=IMPORTRANGE(""https://docs.google.com/spreadsheets/d/1BJSV3WBYJGRhQ6"&amp;"zExamkszQ5VutGIcaQqmbD9ZTVXMQ/edit#gid=1251630045"",""articles_with_PRISMA_reasons!B2:B2113""))&gt;=2,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$A1450=IMPORTRANGE(""https://docs.google.com/spreadsheets/d/1BJSV3WBYJGRhQ6zExamkszQ5VutGIcaQqmbD9ZTVXMQ/edit#gid=1251630045"",""articles_with_PRISMA_reasons!B2:B2113""))&lt;2),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$A1450=IMPORTRANGE(""https://docs.google.com/spreadsheets/d/1BJSV3WBYJGRhQ6zExamkszQ5VutGIcaQqmbD9ZTVXMQ/edit#gid=1251630045"",""a"&amp;"rticles_with_PRISMA_reasons!B2:B2113""))&lt;2,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$A1450=IMPORTRANGE(""https://docs.google"&amp;".com/spreadsheets/d/1BJSV3WBYJGRhQ6zExamkszQ5VutGIcaQqmbD9ZTVXMQ/edit#gid=1251630045"",""articles_with_PRISMA_reasons!B2:B2113""))&gt;=2),
""Exclude""
)"),"Exclude")</f>
        <v>Exclude</v>
      </c>
      <c r="E1450" s="5" t="str">
        <f>IFERROR(__xludf.DUMMYFUNCTION("IFS(
D1450=""Exclude"",""Exclude"",
AND(
FILTER(IMPORTRANGE(""https://docs.google.com/spreadsheets/d/1qpEmbGH0JjaJbUdp21-y2cPbobDbMjr09BbtdKROZWc/edit#gid=1444865654"",""articles_with_PRISMA_reasons!W2:W2113""), $A1450=IMPORTRANGE(""https://docs.google.co"&amp;"m/spreadsheets/d/1qpEmbGH0JjaJbUdp21-y2cPbobDbMjr09BbtdKROZWc/edit#gid=1444865654"",""articles_with_PRISMA_reasons!B2:B2113""))&gt;=2,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$A1450=IMPORTRANGE(""https://docs.google.com/spreadsheets/d/1qpEmbGH0JjaJbUdp21-y2cPbobDbMjr09BbtdKROZWc/edit#gid=1444865654"",""articles_with_PRISMA_reasons!B2:B2113""))&lt;2),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$A1450=IMPORTRANGE(""https://docs.google.com/spreadsheets/d/1qpEmbGH0JjaJbUdp21-y2cPbobDbMjr09Bbtd"&amp;"KROZWc/edit#gid=1444865654"",""articles_with_PRISMA_reasons!B2:B2113""))&lt;2,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$A1450=I"&amp;"MPORTRANGE(""https://docs.google.com/spreadsheets/d/1qpEmbGH0JjaJbUdp21-y2cPbobDbMjr09BbtdKROZWc/edit#gid=1444865654"",""articles_with_PRISMA_reasons!B2:B2113""))&gt;=2),
""Exclude""
)"),"Exclude")</f>
        <v>Exclude</v>
      </c>
      <c r="F1450" s="5" t="str">
        <f>IFERROR(__xludf.DUMMYFUNCTION("IFS(
E1450=""Exclude"",""Exclude"",
AND(
COUNTIF(
IMPORTRANGE(""https://docs.google.com/spreadsheets/d/1kGrh75X1cNR1D7_FcY9zMnHP8iPO4M5RCRjy6nZY0TY/edit#gid=0"",""Table 1: Study characteristics!B4:B171""),A1450)&gt;0,
COUNTIF(Studies!$A$2:$A$85,FILTER(IMPORT"&amp;"RANGE(""https://docs.google.com/spreadsheets/d/1kGrh75X1cNR1D7_FcY9zMnHP8iPO4M5RCRjy6nZY0TY/edit#gid=0"",""Table 1: Study characteristics!A4:A171""), $A1450=IMPORTRANGE(""https://docs.google.com/spreadsheets/d/1kGrh75X1cNR1D7_FcY9zMnHP8iPO4M5RCRjy6nZY0TY/"&amp;"edit#gid=0"",""Table 1: Study characteristics!B4:B171"")))&gt;0
),
""Include""
)"),"Exclude")</f>
        <v>Exclude</v>
      </c>
      <c r="G1450" s="5" t="str">
        <f>IFERROR(__xludf.DUMMYFUNCTION("IFS(
D1450=""Exclude"",
FILTER(IMPORTRANGE(""https://docs.google.com/spreadsheets/d/1BJSV3WBYJGRhQ6zExamkszQ5VutGIcaQqmbD9ZTVXMQ/edit#gid=1251630045"",""articles_with_PRISMA_reasons!AB2:AB2113""), $A1450=IMPORTRANGE(""https://docs.google.com/spreadsheets/"&amp;"d/1BJSV3WBYJGRhQ6zExamkszQ5VutGIcaQqmbD9ZTVXMQ/edit#gid=1251630045"",""articles_with_PRISMA_reasons!B2:B2113"")),
E1450=""Exclude"",
FILTER(IMPORTRANGE(""https://docs.google.com/spreadsheets/d/1qpEmbGH0JjaJbUdp21-y2cPbobDbMjr09BbtdKROZWc/edit#gid=14448656"&amp;"54"",""articles_with_PRISMA_reasons!Z2:Z2113""), $A1450=IMPORTRANGE(""https://docs.google.com/spreadsheets/d/1qpEmbGH0JjaJbUdp21-y2cPbobDbMjr09BbtdKROZWc/edit#gid=1444865654"",""articles_with_PRISMA_reasons!B2:B2113"")),F1450
=""Include"",FILTER(IMPORTRAN"&amp;"GE(""https://docs.google.com/spreadsheets/d/1kGrh75X1cNR1D7_FcY9zMnHP8iPO4M5RCRjy6nZY0TY/edit#gid=0"",""Table 1: Study characteristics!A4:A171""), $A1450=IMPORTRANGE(""https://docs.google.com/spreadsheets/d/1kGrh75X1cNR1D7_FcY9zMnHP8iPO4M5RCRjy6nZY0TY/edi"&amp;"t#gid=0"",""Table 1: Study characteristics!B4:B171""))
)"),"wrong population")</f>
        <v>wrong population</v>
      </c>
    </row>
    <row r="1451">
      <c r="A1451" s="4" t="str">
        <f>IFERROR(__xludf.DUMMYFUNCTION("""COMPUTED_VALUE"""),"Peter: an infant with a myelomeningocele")</f>
        <v>Peter: an infant with a myelomeningocele</v>
      </c>
      <c r="B1451" s="5" t="str">
        <f>IFERROR(__xludf.DUMMYFUNCTION("LEFT(FILTER(IMPORTRANGE(""https://docs.google.com/spreadsheets/d/1BJSV3WBYJGRhQ6zExamkszQ5VutGIcaQqmbD9ZTVXMQ/edit#gid=1251630045"",""articles_with_PRISMA_reasons!K2:K2113""), $A1451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$A1451=IMPORTRANGE(""https://docs.google.com/spreadsheets/d/1BJSV3WBYJGRhQ6zExamkszQ5VutGIcaQqmbD9ZTVXMQ/edit#gid=1251630045"",""articles_with_PRISMA_reasons!B2:B2113"")))-1)"),"Hendry")</f>
        <v>Hendry</v>
      </c>
      <c r="C1451" s="6" t="str">
        <f>IFERROR(__xludf.DUMMYFUNCTION("FILTER(IMPORTRANGE(""https://docs.google.com/spreadsheets/d/1BJSV3WBYJGRhQ6zExamkszQ5VutGIcaQqmbD9ZTVXMQ/edit#gid=1251630045"",""articles_with_PRISMA_reasons!C2:C2113""), $A1451=IMPORTRANGE(""https://docs.google.com/spreadsheets/d/1BJSV3WBYJGRhQ6zExamkszQ"&amp;"5VutGIcaQqmbD9ZTVXMQ/edit#gid=1251630045"",""articles_with_PRISMA_reasons!B2:B2113""))"),"Jan")</f>
        <v>Jan</v>
      </c>
      <c r="D1451" s="5" t="str">
        <f>IFERROR(__xludf.DUMMYFUNCTION("IFS(AND(
FILTER(IMPORTRANGE(""https://docs.google.com/spreadsheets/d/1BJSV3WBYJGRhQ6zExamkszQ5VutGIcaQqmbD9ZTVXMQ/edit#gid=1251630045"",""articles_with_PRISMA_reasons!Y2:Y2113""), $A1451=IMPORTRANGE(""https://docs.google.com/spreadsheets/d/1BJSV3WBYJGRhQ6"&amp;"zExamkszQ5VutGIcaQqmbD9ZTVXMQ/edit#gid=1251630045"",""articles_with_PRISMA_reasons!B2:B2113""))&gt;=2,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$A1451=IMPORTRANGE(""https://docs.google.com/spreadsheets/d/1BJSV3WBYJGRhQ6zExamkszQ5VutGIcaQqmbD9ZTVXMQ/edit#gid=1251630045"",""articles_with_PRISMA_reasons!B2:B2113""))&lt;2),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$A1451=IMPORTRANGE(""https://docs.google.com/spreadsheets/d/1BJSV3WBYJGRhQ6zExamkszQ5VutGIcaQqmbD9ZTVXMQ/edit#gid=1251630045"",""a"&amp;"rticles_with_PRISMA_reasons!B2:B2113""))&lt;2,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$A1451=IMPORTRANGE(""https://docs.google"&amp;".com/spreadsheets/d/1BJSV3WBYJGRhQ6zExamkszQ5VutGIcaQqmbD9ZTVXMQ/edit#gid=1251630045"",""articles_with_PRISMA_reasons!B2:B2113""))&gt;=2),
""Exclude""
)"),"Exclude")</f>
        <v>Exclude</v>
      </c>
      <c r="E1451" s="5" t="str">
        <f>IFERROR(__xludf.DUMMYFUNCTION("IFS(
D1451=""Exclude"",""Exclude"",
AND(
FILTER(IMPORTRANGE(""https://docs.google.com/spreadsheets/d/1qpEmbGH0JjaJbUdp21-y2cPbobDbMjr09BbtdKROZWc/edit#gid=1444865654"",""articles_with_PRISMA_reasons!W2:W2113""), $A1451=IMPORTRANGE(""https://docs.google.co"&amp;"m/spreadsheets/d/1qpEmbGH0JjaJbUdp21-y2cPbobDbMjr09BbtdKROZWc/edit#gid=1444865654"",""articles_with_PRISMA_reasons!B2:B2113""))&gt;=2,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$A1451=IMPORTRANGE(""https://docs.google.com/spreadsheets/d/1qpEmbGH0JjaJbUdp21-y2cPbobDbMjr09BbtdKROZWc/edit#gid=1444865654"",""articles_with_PRISMA_reasons!B2:B2113""))&lt;2),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$A1451=IMPORTRANGE(""https://docs.google.com/spreadsheets/d/1qpEmbGH0JjaJbUdp21-y2cPbobDbMjr09Bbtd"&amp;"KROZWc/edit#gid=1444865654"",""articles_with_PRISMA_reasons!B2:B2113""))&lt;2,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$A1451=I"&amp;"MPORTRANGE(""https://docs.google.com/spreadsheets/d/1qpEmbGH0JjaJbUdp21-y2cPbobDbMjr09BbtdKROZWc/edit#gid=1444865654"",""articles_with_PRISMA_reasons!B2:B2113""))&gt;=2),
""Exclude""
)"),"Exclude")</f>
        <v>Exclude</v>
      </c>
      <c r="F1451" s="5" t="str">
        <f>IFERROR(__xludf.DUMMYFUNCTION("IFS(
E1451=""Exclude"",""Exclude"",
AND(
COUNTIF(
IMPORTRANGE(""https://docs.google.com/spreadsheets/d/1kGrh75X1cNR1D7_FcY9zMnHP8iPO4M5RCRjy6nZY0TY/edit#gid=0"",""Table 1: Study characteristics!B4:B171""),A1451)&gt;0,
COUNTIF(Studies!$A$2:$A$85,FILTER(IMPORT"&amp;"RANGE(""https://docs.google.com/spreadsheets/d/1kGrh75X1cNR1D7_FcY9zMnHP8iPO4M5RCRjy6nZY0TY/edit#gid=0"",""Table 1: Study characteristics!A4:A171""), $A1451=IMPORTRANGE(""https://docs.google.com/spreadsheets/d/1kGrh75X1cNR1D7_FcY9zMnHP8iPO4M5RCRjy6nZY0TY/"&amp;"edit#gid=0"",""Table 1: Study characteristics!B4:B171"")))&gt;0
),
""Include""
)"),"Exclude")</f>
        <v>Exclude</v>
      </c>
      <c r="G1451" s="5" t="str">
        <f>IFERROR(__xludf.DUMMYFUNCTION("IFS(
D1451=""Exclude"",
FILTER(IMPORTRANGE(""https://docs.google.com/spreadsheets/d/1BJSV3WBYJGRhQ6zExamkszQ5VutGIcaQqmbD9ZTVXMQ/edit#gid=1251630045"",""articles_with_PRISMA_reasons!AB2:AB2113""), $A1451=IMPORTRANGE(""https://docs.google.com/spreadsheets/"&amp;"d/1BJSV3WBYJGRhQ6zExamkszQ5VutGIcaQqmbD9ZTVXMQ/edit#gid=1251630045"",""articles_with_PRISMA_reasons!B2:B2113"")),
E1451=""Exclude"",
FILTER(IMPORTRANGE(""https://docs.google.com/spreadsheets/d/1qpEmbGH0JjaJbUdp21-y2cPbobDbMjr09BbtdKROZWc/edit#gid=14448656"&amp;"54"",""articles_with_PRISMA_reasons!Z2:Z2113""), $A1451=IMPORTRANGE(""https://docs.google.com/spreadsheets/d/1qpEmbGH0JjaJbUdp21-y2cPbobDbMjr09BbtdKROZWc/edit#gid=1444865654"",""articles_with_PRISMA_reasons!B2:B2113"")),F1451
=""Include"",FILTER(IMPORTRAN"&amp;"GE(""https://docs.google.com/spreadsheets/d/1kGrh75X1cNR1D7_FcY9zMnHP8iPO4M5RCRjy6nZY0TY/edit#gid=0"",""Table 1: Study characteristics!A4:A171""), $A1451=IMPORTRANGE(""https://docs.google.com/spreadsheets/d/1kGrh75X1cNR1D7_FcY9zMnHP8iPO4M5RCRjy6nZY0TY/edi"&amp;"t#gid=0"",""Table 1: Study characteristics!B4:B171""))
)"),"Duplicate")</f>
        <v>Duplicate</v>
      </c>
    </row>
    <row r="1452">
      <c r="A1452" s="4" t="str">
        <f>IFERROR(__xludf.DUMMYFUNCTION("""COMPUTED_VALUE"""),"Photoclinic")</f>
        <v>Photoclinic</v>
      </c>
      <c r="B1452" s="5" t="str">
        <f>IFERROR(__xludf.DUMMYFUNCTION("LEFT(FILTER(IMPORTRANGE(""https://docs.google.com/spreadsheets/d/1BJSV3WBYJGRhQ6zExamkszQ5VutGIcaQqmbD9ZTVXMQ/edit#gid=1251630045"",""articles_with_PRISMA_reasons!K2:K2113""), $A1452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$A1452=IMPORTRANGE(""https://docs.google.com/spreadsheets/d/1BJSV3WBYJGRhQ6zExamkszQ5VutGIcaQqmbD9ZTVXMQ/edit#gid=1251630045"",""articles_with_PRISMA_reasons!B2:B2113"")))-1)"),"Saeedy-Boroujeni")</f>
        <v>Saeedy-Boroujeni</v>
      </c>
      <c r="C1452" s="6">
        <f>IFERROR(__xludf.DUMMYFUNCTION("FILTER(IMPORTRANGE(""https://docs.google.com/spreadsheets/d/1BJSV3WBYJGRhQ6zExamkszQ5VutGIcaQqmbD9ZTVXMQ/edit#gid=1251630045"",""articles_with_PRISMA_reasons!C2:C2113""), $A1452=IMPORTRANGE(""https://docs.google.com/spreadsheets/d/1BJSV3WBYJGRhQ6zExamkszQ"&amp;"5VutGIcaQqmbD9ZTVXMQ/edit#gid=1251630045"",""articles_with_PRISMA_reasons!B2:B2113""))"),2002.0)</f>
        <v>2002</v>
      </c>
      <c r="D1452" s="5" t="str">
        <f>IFERROR(__xludf.DUMMYFUNCTION("IFS(AND(
FILTER(IMPORTRANGE(""https://docs.google.com/spreadsheets/d/1BJSV3WBYJGRhQ6zExamkszQ5VutGIcaQqmbD9ZTVXMQ/edit#gid=1251630045"",""articles_with_PRISMA_reasons!Y2:Y2113""), $A1452=IMPORTRANGE(""https://docs.google.com/spreadsheets/d/1BJSV3WBYJGRhQ6"&amp;"zExamkszQ5VutGIcaQqmbD9ZTVXMQ/edit#gid=1251630045"",""articles_with_PRISMA_reasons!B2:B2113""))&gt;=2,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$A1452=IMPORTRANGE(""https://docs.google.com/spreadsheets/d/1BJSV3WBYJGRhQ6zExamkszQ5VutGIcaQqmbD9ZTVXMQ/edit#gid=1251630045"",""articles_with_PRISMA_reasons!B2:B2113""))&lt;2),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$A1452=IMPORTRANGE(""https://docs.google.com/spreadsheets/d/1BJSV3WBYJGRhQ6zExamkszQ5VutGIcaQqmbD9ZTVXMQ/edit#gid=1251630045"",""a"&amp;"rticles_with_PRISMA_reasons!B2:B2113""))&lt;2,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$A1452=IMPORTRANGE(""https://docs.google"&amp;".com/spreadsheets/d/1BJSV3WBYJGRhQ6zExamkszQ5VutGIcaQqmbD9ZTVXMQ/edit#gid=1251630045"",""articles_with_PRISMA_reasons!B2:B2113""))&gt;=2),
""Exclude""
)"),"Exclude")</f>
        <v>Exclude</v>
      </c>
      <c r="E1452" s="5" t="str">
        <f>IFERROR(__xludf.DUMMYFUNCTION("IFS(
D1452=""Exclude"",""Exclude"",
AND(
FILTER(IMPORTRANGE(""https://docs.google.com/spreadsheets/d/1qpEmbGH0JjaJbUdp21-y2cPbobDbMjr09BbtdKROZWc/edit#gid=1444865654"",""articles_with_PRISMA_reasons!W2:W2113""), $A1452=IMPORTRANGE(""https://docs.google.co"&amp;"m/spreadsheets/d/1qpEmbGH0JjaJbUdp21-y2cPbobDbMjr09BbtdKROZWc/edit#gid=1444865654"",""articles_with_PRISMA_reasons!B2:B2113""))&gt;=2,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$A1452=IMPORTRANGE(""https://docs.google.com/spreadsheets/d/1qpEmbGH0JjaJbUdp21-y2cPbobDbMjr09BbtdKROZWc/edit#gid=1444865654"",""articles_with_PRISMA_reasons!B2:B2113""))&lt;2),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$A1452=IMPORTRANGE(""https://docs.google.com/spreadsheets/d/1qpEmbGH0JjaJbUdp21-y2cPbobDbMjr09Bbtd"&amp;"KROZWc/edit#gid=1444865654"",""articles_with_PRISMA_reasons!B2:B2113""))&lt;2,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$A1452=I"&amp;"MPORTRANGE(""https://docs.google.com/spreadsheets/d/1qpEmbGH0JjaJbUdp21-y2cPbobDbMjr09BbtdKROZWc/edit#gid=1444865654"",""articles_with_PRISMA_reasons!B2:B2113""))&gt;=2),
""Exclude""
)"),"Exclude")</f>
        <v>Exclude</v>
      </c>
      <c r="F1452" s="5" t="str">
        <f>IFERROR(__xludf.DUMMYFUNCTION("IFS(
E1452=""Exclude"",""Exclude"",
AND(
COUNTIF(
IMPORTRANGE(""https://docs.google.com/spreadsheets/d/1kGrh75X1cNR1D7_FcY9zMnHP8iPO4M5RCRjy6nZY0TY/edit#gid=0"",""Table 1: Study characteristics!B4:B171""),A1452)&gt;0,
COUNTIF(Studies!$A$2:$A$85,FILTER(IMPORT"&amp;"RANGE(""https://docs.google.com/spreadsheets/d/1kGrh75X1cNR1D7_FcY9zMnHP8iPO4M5RCRjy6nZY0TY/edit#gid=0"",""Table 1: Study characteristics!A4:A171""), $A1452=IMPORTRANGE(""https://docs.google.com/spreadsheets/d/1kGrh75X1cNR1D7_FcY9zMnHP8iPO4M5RCRjy6nZY0TY/"&amp;"edit#gid=0"",""Table 1: Study characteristics!B4:B171"")))&gt;0
),
""Include""
)"),"Exclude")</f>
        <v>Exclude</v>
      </c>
      <c r="G1452" s="5" t="str">
        <f>IFERROR(__xludf.DUMMYFUNCTION("IFS(
D1452=""Exclude"",
FILTER(IMPORTRANGE(""https://docs.google.com/spreadsheets/d/1BJSV3WBYJGRhQ6zExamkszQ5VutGIcaQqmbD9ZTVXMQ/edit#gid=1251630045"",""articles_with_PRISMA_reasons!AB2:AB2113""), $A1452=IMPORTRANGE(""https://docs.google.com/spreadsheets/"&amp;"d/1BJSV3WBYJGRhQ6zExamkszQ5VutGIcaQqmbD9ZTVXMQ/edit#gid=1251630045"",""articles_with_PRISMA_reasons!B2:B2113"")),
E1452=""Exclude"",
FILTER(IMPORTRANGE(""https://docs.google.com/spreadsheets/d/1qpEmbGH0JjaJbUdp21-y2cPbobDbMjr09BbtdKROZWc/edit#gid=14448656"&amp;"54"",""articles_with_PRISMA_reasons!Z2:Z2113""), $A1452=IMPORTRANGE(""https://docs.google.com/spreadsheets/d/1qpEmbGH0JjaJbUdp21-y2cPbobDbMjr09BbtdKROZWc/edit#gid=1444865654"",""articles_with_PRISMA_reasons!B2:B2113"")),F1452
=""Include"",FILTER(IMPORTRAN"&amp;"GE(""https://docs.google.com/spreadsheets/d/1kGrh75X1cNR1D7_FcY9zMnHP8iPO4M5RCRjy6nZY0TY/edit#gid=0"",""Table 1: Study characteristics!A4:A171""), $A1452=IMPORTRANGE(""https://docs.google.com/spreadsheets/d/1kGrh75X1cNR1D7_FcY9zMnHP8iPO4M5RCRjy6nZY0TY/edi"&amp;"t#gid=0"",""Table 1: Study characteristics!B4:B171""))
)"),"wrong study design")</f>
        <v>wrong study design</v>
      </c>
    </row>
    <row r="1453">
      <c r="A1453" s="4" t="str">
        <f>IFERROR(__xludf.DUMMYFUNCTION("""COMPUTED_VALUE"""),"Physical development of children with myelomeningocele")</f>
        <v>Physical development of children with myelomeningocele</v>
      </c>
      <c r="B1453" s="5" t="str">
        <f>IFERROR(__xludf.DUMMYFUNCTION("LEFT(FILTER(IMPORTRANGE(""https://docs.google.com/spreadsheets/d/1BJSV3WBYJGRhQ6zExamkszQ5VutGIcaQqmbD9ZTVXMQ/edit#gid=1251630045"",""articles_with_PRISMA_reasons!K2:K2113""), $A1453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$A1453=IMPORTRANGE(""https://docs.google.com/spreadsheets/d/1BJSV3WBYJGRhQ6zExamkszQ5VutGIcaQqmbD9ZTVXMQ/edit#gid=1251630045"",""articles_with_PRISMA_reasons!B2:B2113"")))-1)"),"Pyzuk")</f>
        <v>Pyzuk</v>
      </c>
      <c r="C1453" s="6">
        <f>IFERROR(__xludf.DUMMYFUNCTION("FILTER(IMPORTRANGE(""https://docs.google.com/spreadsheets/d/1BJSV3WBYJGRhQ6zExamkszQ5VutGIcaQqmbD9ZTVXMQ/edit#gid=1251630045"",""articles_with_PRISMA_reasons!C2:C2113""), $A1453=IMPORTRANGE(""https://docs.google.com/spreadsheets/d/1BJSV3WBYJGRhQ6zExamkszQ"&amp;"5VutGIcaQqmbD9ZTVXMQ/edit#gid=1251630045"",""articles_with_PRISMA_reasons!B2:B2113""))"),1990.0)</f>
        <v>1990</v>
      </c>
      <c r="D1453" s="5" t="str">
        <f>IFERROR(__xludf.DUMMYFUNCTION("IFS(AND(
FILTER(IMPORTRANGE(""https://docs.google.com/spreadsheets/d/1BJSV3WBYJGRhQ6zExamkszQ5VutGIcaQqmbD9ZTVXMQ/edit#gid=1251630045"",""articles_with_PRISMA_reasons!Y2:Y2113""), $A1453=IMPORTRANGE(""https://docs.google.com/spreadsheets/d/1BJSV3WBYJGRhQ6"&amp;"zExamkszQ5VutGIcaQqmbD9ZTVXMQ/edit#gid=1251630045"",""articles_with_PRISMA_reasons!B2:B2113""))&gt;=2,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$A1453=IMPORTRANGE(""https://docs.google.com/spreadsheets/d/1BJSV3WBYJGRhQ6zExamkszQ5VutGIcaQqmbD9ZTVXMQ/edit#gid=1251630045"",""articles_with_PRISMA_reasons!B2:B2113""))&lt;2),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$A1453=IMPORTRANGE(""https://docs.google.com/spreadsheets/d/1BJSV3WBYJGRhQ6zExamkszQ5VutGIcaQqmbD9ZTVXMQ/edit#gid=1251630045"",""a"&amp;"rticles_with_PRISMA_reasons!B2:B2113""))&lt;2,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$A1453=IMPORTRANGE(""https://docs.google"&amp;".com/spreadsheets/d/1BJSV3WBYJGRhQ6zExamkszQ5VutGIcaQqmbD9ZTVXMQ/edit#gid=1251630045"",""articles_with_PRISMA_reasons!B2:B2113""))&gt;=2),
""Exclude""
)"),"Exclude")</f>
        <v>Exclude</v>
      </c>
      <c r="E1453" s="5" t="str">
        <f>IFERROR(__xludf.DUMMYFUNCTION("IFS(
D1453=""Exclude"",""Exclude"",
AND(
FILTER(IMPORTRANGE(""https://docs.google.com/spreadsheets/d/1qpEmbGH0JjaJbUdp21-y2cPbobDbMjr09BbtdKROZWc/edit#gid=1444865654"",""articles_with_PRISMA_reasons!W2:W2113""), $A1453=IMPORTRANGE(""https://docs.google.co"&amp;"m/spreadsheets/d/1qpEmbGH0JjaJbUdp21-y2cPbobDbMjr09BbtdKROZWc/edit#gid=1444865654"",""articles_with_PRISMA_reasons!B2:B2113""))&gt;=2,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$A1453=IMPORTRANGE(""https://docs.google.com/spreadsheets/d/1qpEmbGH0JjaJbUdp21-y2cPbobDbMjr09BbtdKROZWc/edit#gid=1444865654"",""articles_with_PRISMA_reasons!B2:B2113""))&lt;2),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$A1453=IMPORTRANGE(""https://docs.google.com/spreadsheets/d/1qpEmbGH0JjaJbUdp21-y2cPbobDbMjr09Bbtd"&amp;"KROZWc/edit#gid=1444865654"",""articles_with_PRISMA_reasons!B2:B2113""))&lt;2,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$A1453=I"&amp;"MPORTRANGE(""https://docs.google.com/spreadsheets/d/1qpEmbGH0JjaJbUdp21-y2cPbobDbMjr09BbtdKROZWc/edit#gid=1444865654"",""articles_with_PRISMA_reasons!B2:B2113""))&gt;=2),
""Exclude""
)"),"Exclude")</f>
        <v>Exclude</v>
      </c>
      <c r="F1453" s="5" t="str">
        <f>IFERROR(__xludf.DUMMYFUNCTION("IFS(
E1453=""Exclude"",""Exclude"",
AND(
COUNTIF(
IMPORTRANGE(""https://docs.google.com/spreadsheets/d/1kGrh75X1cNR1D7_FcY9zMnHP8iPO4M5RCRjy6nZY0TY/edit#gid=0"",""Table 1: Study characteristics!B4:B171""),A1453)&gt;0,
COUNTIF(Studies!$A$2:$A$85,FILTER(IMPORT"&amp;"RANGE(""https://docs.google.com/spreadsheets/d/1kGrh75X1cNR1D7_FcY9zMnHP8iPO4M5RCRjy6nZY0TY/edit#gid=0"",""Table 1: Study characteristics!A4:A171""), $A1453=IMPORTRANGE(""https://docs.google.com/spreadsheets/d/1kGrh75X1cNR1D7_FcY9zMnHP8iPO4M5RCRjy6nZY0TY/"&amp;"edit#gid=0"",""Table 1: Study characteristics!B4:B171"")))&gt;0
),
""Include""
)"),"Exclude")</f>
        <v>Exclude</v>
      </c>
      <c r="G1453" s="5" t="str">
        <f>IFERROR(__xludf.DUMMYFUNCTION("IFS(
D1453=""Exclude"",
FILTER(IMPORTRANGE(""https://docs.google.com/spreadsheets/d/1BJSV3WBYJGRhQ6zExamkszQ5VutGIcaQqmbD9ZTVXMQ/edit#gid=1251630045"",""articles_with_PRISMA_reasons!AB2:AB2113""), $A1453=IMPORTRANGE(""https://docs.google.com/spreadsheets/"&amp;"d/1BJSV3WBYJGRhQ6zExamkszQ5VutGIcaQqmbD9ZTVXMQ/edit#gid=1251630045"",""articles_with_PRISMA_reasons!B2:B2113"")),
E1453=""Exclude"",
FILTER(IMPORTRANGE(""https://docs.google.com/spreadsheets/d/1qpEmbGH0JjaJbUdp21-y2cPbobDbMjr09BbtdKROZWc/edit#gid=14448656"&amp;"54"",""articles_with_PRISMA_reasons!Z2:Z2113""), $A1453=IMPORTRANGE(""https://docs.google.com/spreadsheets/d/1qpEmbGH0JjaJbUdp21-y2cPbobDbMjr09BbtdKROZWc/edit#gid=1444865654"",""articles_with_PRISMA_reasons!B2:B2113"")),F1453
=""Include"",FILTER(IMPORTRAN"&amp;"GE(""https://docs.google.com/spreadsheets/d/1kGrh75X1cNR1D7_FcY9zMnHP8iPO4M5RCRjy6nZY0TY/edit#gid=0"",""Table 1: Study characteristics!A4:A171""), $A1453=IMPORTRANGE(""https://docs.google.com/spreadsheets/d/1kGrh75X1cNR1D7_FcY9zMnHP8iPO4M5RCRjy6nZY0TY/edi"&amp;"t#gid=0"",""Table 1: Study characteristics!B4:B171""))
)"),"wrong population")</f>
        <v>wrong population</v>
      </c>
    </row>
    <row r="1454">
      <c r="A1454" s="4" t="str">
        <f>IFERROR(__xludf.DUMMYFUNCTION("""COMPUTED_VALUE"""),"Picture quiz")</f>
        <v>Picture quiz</v>
      </c>
      <c r="B1454" s="5"/>
      <c r="C1454" s="6">
        <f>IFERROR(__xludf.DUMMYFUNCTION("FILTER(IMPORTRANGE(""https://docs.google.com/spreadsheets/d/1BJSV3WBYJGRhQ6zExamkszQ5VutGIcaQqmbD9ZTVXMQ/edit#gid=1251630045"",""articles_with_PRISMA_reasons!C2:C2113""), $A1454=IMPORTRANGE(""https://docs.google.com/spreadsheets/d/1BJSV3WBYJGRhQ6zExamkszQ"&amp;"5VutGIcaQqmbD9ZTVXMQ/edit#gid=1251630045"",""articles_with_PRISMA_reasons!B2:B2113""))"),2005.0)</f>
        <v>2005</v>
      </c>
      <c r="D1454" s="5" t="str">
        <f>IFERROR(__xludf.DUMMYFUNCTION("IFS(AND(
FILTER(IMPORTRANGE(""https://docs.google.com/spreadsheets/d/1BJSV3WBYJGRhQ6zExamkszQ5VutGIcaQqmbD9ZTVXMQ/edit#gid=1251630045"",""articles_with_PRISMA_reasons!Y2:Y2113""), $A1454=IMPORTRANGE(""https://docs.google.com/spreadsheets/d/1BJSV3WBYJGRhQ6"&amp;"zExamkszQ5VutGIcaQqmbD9ZTVXMQ/edit#gid=1251630045"",""articles_with_PRISMA_reasons!B2:B2113""))&gt;=2,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$A1454=IMPORTRANGE(""https://docs.google.com/spreadsheets/d/1BJSV3WBYJGRhQ6zExamkszQ5VutGIcaQqmbD9ZTVXMQ/edit#gid=1251630045"",""articles_with_PRISMA_reasons!B2:B2113""))&lt;2),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$A1454=IMPORTRANGE(""https://docs.google.com/spreadsheets/d/1BJSV3WBYJGRhQ6zExamkszQ5VutGIcaQqmbD9ZTVXMQ/edit#gid=1251630045"",""a"&amp;"rticles_with_PRISMA_reasons!B2:B2113""))&lt;2,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$A1454=IMPORTRANGE(""https://docs.google"&amp;".com/spreadsheets/d/1BJSV3WBYJGRhQ6zExamkszQ5VutGIcaQqmbD9ZTVXMQ/edit#gid=1251630045"",""articles_with_PRISMA_reasons!B2:B2113""))&gt;=2),
""Exclude""
)"),"Exclude")</f>
        <v>Exclude</v>
      </c>
      <c r="E1454" s="5" t="str">
        <f>IFERROR(__xludf.DUMMYFUNCTION("IFS(
D1454=""Exclude"",""Exclude"",
AND(
FILTER(IMPORTRANGE(""https://docs.google.com/spreadsheets/d/1qpEmbGH0JjaJbUdp21-y2cPbobDbMjr09BbtdKROZWc/edit#gid=1444865654"",""articles_with_PRISMA_reasons!W2:W2113""), $A1454=IMPORTRANGE(""https://docs.google.co"&amp;"m/spreadsheets/d/1qpEmbGH0JjaJbUdp21-y2cPbobDbMjr09BbtdKROZWc/edit#gid=1444865654"",""articles_with_PRISMA_reasons!B2:B2113""))&gt;=2,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$A1454=IMPORTRANGE(""https://docs.google.com/spreadsheets/d/1qpEmbGH0JjaJbUdp21-y2cPbobDbMjr09BbtdKROZWc/edit#gid=1444865654"",""articles_with_PRISMA_reasons!B2:B2113""))&lt;2),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$A1454=IMPORTRANGE(""https://docs.google.com/spreadsheets/d/1qpEmbGH0JjaJbUdp21-y2cPbobDbMjr09Bbtd"&amp;"KROZWc/edit#gid=1444865654"",""articles_with_PRISMA_reasons!B2:B2113""))&lt;2,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$A1454=I"&amp;"MPORTRANGE(""https://docs.google.com/spreadsheets/d/1qpEmbGH0JjaJbUdp21-y2cPbobDbMjr09BbtdKROZWc/edit#gid=1444865654"",""articles_with_PRISMA_reasons!B2:B2113""))&gt;=2),
""Exclude""
)"),"Exclude")</f>
        <v>Exclude</v>
      </c>
      <c r="F1454" s="5" t="str">
        <f>IFERROR(__xludf.DUMMYFUNCTION("IFS(
E1454=""Exclude"",""Exclude"",
AND(
COUNTIF(
IMPORTRANGE(""https://docs.google.com/spreadsheets/d/1kGrh75X1cNR1D7_FcY9zMnHP8iPO4M5RCRjy6nZY0TY/edit#gid=0"",""Table 1: Study characteristics!B4:B171""),A1454)&gt;0,
COUNTIF(Studies!$A$2:$A$85,FILTER(IMPORT"&amp;"RANGE(""https://docs.google.com/spreadsheets/d/1kGrh75X1cNR1D7_FcY9zMnHP8iPO4M5RCRjy6nZY0TY/edit#gid=0"",""Table 1: Study characteristics!A4:A171""), $A1454=IMPORTRANGE(""https://docs.google.com/spreadsheets/d/1kGrh75X1cNR1D7_FcY9zMnHP8iPO4M5RCRjy6nZY0TY/"&amp;"edit#gid=0"",""Table 1: Study characteristics!B4:B171"")))&gt;0
),
""Include""
)"),"Exclude")</f>
        <v>Exclude</v>
      </c>
      <c r="G1454" s="5" t="str">
        <f>IFERROR(__xludf.DUMMYFUNCTION("IFS(
D1454=""Exclude"",
FILTER(IMPORTRANGE(""https://docs.google.com/spreadsheets/d/1BJSV3WBYJGRhQ6zExamkszQ5VutGIcaQqmbD9ZTVXMQ/edit#gid=1251630045"",""articles_with_PRISMA_reasons!AB2:AB2113""), $A1454=IMPORTRANGE(""https://docs.google.com/spreadsheets/"&amp;"d/1BJSV3WBYJGRhQ6zExamkszQ5VutGIcaQqmbD9ZTVXMQ/edit#gid=1251630045"",""articles_with_PRISMA_reasons!B2:B2113"")),
E1454=""Exclude"",
FILTER(IMPORTRANGE(""https://docs.google.com/spreadsheets/d/1qpEmbGH0JjaJbUdp21-y2cPbobDbMjr09BbtdKROZWc/edit#gid=14448656"&amp;"54"",""articles_with_PRISMA_reasons!Z2:Z2113""), $A1454=IMPORTRANGE(""https://docs.google.com/spreadsheets/d/1qpEmbGH0JjaJbUdp21-y2cPbobDbMjr09BbtdKROZWc/edit#gid=1444865654"",""articles_with_PRISMA_reasons!B2:B2113"")),F1454
=""Include"",FILTER(IMPORTRAN"&amp;"GE(""https://docs.google.com/spreadsheets/d/1kGrh75X1cNR1D7_FcY9zMnHP8iPO4M5RCRjy6nZY0TY/edit#gid=0"",""Table 1: Study characteristics!A4:A171""), $A1454=IMPORTRANGE(""https://docs.google.com/spreadsheets/d/1kGrh75X1cNR1D7_FcY9zMnHP8iPO4M5RCRjy6nZY0TY/edi"&amp;"t#gid=0"",""Table 1: Study characteristics!B4:B171""))
)"),"Duplicate")</f>
        <v>Duplicate</v>
      </c>
    </row>
    <row r="1455">
      <c r="A1455" s="4" t="str">
        <f>IFERROR(__xludf.DUMMYFUNCTION("""COMPUTED_VALUE"""),"Place of cranial ultrasonography in the assessment of myelomeningoceles")</f>
        <v>Place of cranial ultrasonography in the assessment of myelomeningoceles</v>
      </c>
      <c r="B1455" s="5" t="str">
        <f>IFERROR(__xludf.DUMMYFUNCTION("LEFT(FILTER(IMPORTRANGE(""https://docs.google.com/spreadsheets/d/1BJSV3WBYJGRhQ6zExamkszQ5VutGIcaQqmbD9ZTVXMQ/edit#gid=1251630045"",""articles_with_PRISMA_reasons!K2:K2113""), $A1455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$A1455=IMPORTRANGE(""https://docs.google.com/spreadsheets/d/1BJSV3WBYJGRhQ6zExamkszQ5VutGIcaQqmbD9ZTVXMQ/edit#gid=1251630045"",""articles_with_PRISMA_reasons!B2:B2113"")))-1)"),"Dumas")</f>
        <v>Dumas</v>
      </c>
      <c r="C1455" s="6">
        <f>IFERROR(__xludf.DUMMYFUNCTION("FILTER(IMPORTRANGE(""https://docs.google.com/spreadsheets/d/1BJSV3WBYJGRhQ6zExamkszQ5VutGIcaQqmbD9ZTVXMQ/edit#gid=1251630045"",""articles_with_PRISMA_reasons!C2:C2113""), $A1455=IMPORTRANGE(""https://docs.google.com/spreadsheets/d/1BJSV3WBYJGRhQ6zExamkszQ"&amp;"5VutGIcaQqmbD9ZTVXMQ/edit#gid=1251630045"",""articles_with_PRISMA_reasons!B2:B2113""))"),1992.0)</f>
        <v>1992</v>
      </c>
      <c r="D1455" s="5" t="str">
        <f>IFERROR(__xludf.DUMMYFUNCTION("IFS(AND(
FILTER(IMPORTRANGE(""https://docs.google.com/spreadsheets/d/1BJSV3WBYJGRhQ6zExamkszQ5VutGIcaQqmbD9ZTVXMQ/edit#gid=1251630045"",""articles_with_PRISMA_reasons!Y2:Y2113""), $A1455=IMPORTRANGE(""https://docs.google.com/spreadsheets/d/1BJSV3WBYJGRhQ6"&amp;"zExamkszQ5VutGIcaQqmbD9ZTVXMQ/edit#gid=1251630045"",""articles_with_PRISMA_reasons!B2:B2113""))&gt;=2,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$A1455=IMPORTRANGE(""https://docs.google.com/spreadsheets/d/1BJSV3WBYJGRhQ6zExamkszQ5VutGIcaQqmbD9ZTVXMQ/edit#gid=1251630045"",""articles_with_PRISMA_reasons!B2:B2113""))&lt;2),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$A1455=IMPORTRANGE(""https://docs.google.com/spreadsheets/d/1BJSV3WBYJGRhQ6zExamkszQ5VutGIcaQqmbD9ZTVXMQ/edit#gid=1251630045"",""a"&amp;"rticles_with_PRISMA_reasons!B2:B2113""))&lt;2,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$A1455=IMPORTRANGE(""https://docs.google"&amp;".com/spreadsheets/d/1BJSV3WBYJGRhQ6zExamkszQ5VutGIcaQqmbD9ZTVXMQ/edit#gid=1251630045"",""articles_with_PRISMA_reasons!B2:B2113""))&gt;=2),
""Exclude""
)"),"Include")</f>
        <v>Include</v>
      </c>
      <c r="E1455" s="5" t="str">
        <f>IFERROR(__xludf.DUMMYFUNCTION("IFS(
D1455=""Exclude"",""Exclude"",
AND(
FILTER(IMPORTRANGE(""https://docs.google.com/spreadsheets/d/1qpEmbGH0JjaJbUdp21-y2cPbobDbMjr09BbtdKROZWc/edit#gid=1444865654"",""articles_with_PRISMA_reasons!W2:W2113""), $A1455=IMPORTRANGE(""https://docs.google.co"&amp;"m/spreadsheets/d/1qpEmbGH0JjaJbUdp21-y2cPbobDbMjr09BbtdKROZWc/edit#gid=1444865654"",""articles_with_PRISMA_reasons!B2:B2113""))&gt;=2,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$A1455=IMPORTRANGE(""https://docs.google.com/spreadsheets/d/1qpEmbGH0JjaJbUdp21-y2cPbobDbMjr09BbtdKROZWc/edit#gid=1444865654"",""articles_with_PRISMA_reasons!B2:B2113""))&lt;2),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$A1455=IMPORTRANGE(""https://docs.google.com/spreadsheets/d/1qpEmbGH0JjaJbUdp21-y2cPbobDbMjr09Bbtd"&amp;"KROZWc/edit#gid=1444865654"",""articles_with_PRISMA_reasons!B2:B2113""))&lt;2,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$A1455=I"&amp;"MPORTRANGE(""https://docs.google.com/spreadsheets/d/1qpEmbGH0JjaJbUdp21-y2cPbobDbMjr09BbtdKROZWc/edit#gid=1444865654"",""articles_with_PRISMA_reasons!B2:B2113""))&gt;=2),
""Exclude""
)"),"Exclude")</f>
        <v>Exclude</v>
      </c>
      <c r="F1455" s="5" t="str">
        <f>IFERROR(__xludf.DUMMYFUNCTION("IFS(
E1455=""Exclude"",""Exclude"",
AND(
COUNTIF(
IMPORTRANGE(""https://docs.google.com/spreadsheets/d/1kGrh75X1cNR1D7_FcY9zMnHP8iPO4M5RCRjy6nZY0TY/edit#gid=0"",""Table 1: Study characteristics!B4:B171""),A1455)&gt;0,
COUNTIF(Studies!$A$2:$A$85,FILTER(IMPORT"&amp;"RANGE(""https://docs.google.com/spreadsheets/d/1kGrh75X1cNR1D7_FcY9zMnHP8iPO4M5RCRjy6nZY0TY/edit#gid=0"",""Table 1: Study characteristics!A4:A171""), $A1455=IMPORTRANGE(""https://docs.google.com/spreadsheets/d/1kGrh75X1cNR1D7_FcY9zMnHP8iPO4M5RCRjy6nZY0TY/"&amp;"edit#gid=0"",""Table 1: Study characteristics!B4:B171"")))&gt;0
),
""Include""
)"),"Exclude")</f>
        <v>Exclude</v>
      </c>
      <c r="G1455" s="5" t="str">
        <f>IFERROR(__xludf.DUMMYFUNCTION("IFS(
D1455=""Exclude"",
FILTER(IMPORTRANGE(""https://docs.google.com/spreadsheets/d/1BJSV3WBYJGRhQ6zExamkszQ5VutGIcaQqmbD9ZTVXMQ/edit#gid=1251630045"",""articles_with_PRISMA_reasons!AB2:AB2113""), $A1455=IMPORTRANGE(""https://docs.google.com/spreadsheets/"&amp;"d/1BJSV3WBYJGRhQ6zExamkszQ5VutGIcaQqmbD9ZTVXMQ/edit#gid=1251630045"",""articles_with_PRISMA_reasons!B2:B2113"")),
E1455=""Exclude"",
FILTER(IMPORTRANGE(""https://docs.google.com/spreadsheets/d/1qpEmbGH0JjaJbUdp21-y2cPbobDbMjr09BbtdKROZWc/edit#gid=14448656"&amp;"54"",""articles_with_PRISMA_reasons!Z2:Z2113""), $A1455=IMPORTRANGE(""https://docs.google.com/spreadsheets/d/1qpEmbGH0JjaJbUdp21-y2cPbobDbMjr09BbtdKROZWc/edit#gid=1444865654"",""articles_with_PRISMA_reasons!B2:B2113"")),F1455
=""Include"",FILTER(IMPORTRAN"&amp;"GE(""https://docs.google.com/spreadsheets/d/1kGrh75X1cNR1D7_FcY9zMnHP8iPO4M5RCRjy6nZY0TY/edit#gid=0"",""Table 1: Study characteristics!A4:A171""), $A1455=IMPORTRANGE(""https://docs.google.com/spreadsheets/d/1kGrh75X1cNR1D7_FcY9zMnHP8iPO4M5RCRjy6nZY0TY/edi"&amp;"t#gid=0"",""Table 1: Study characteristics!B4:B171""))
)"),"no full text")</f>
        <v>no full text</v>
      </c>
    </row>
    <row r="1456">
      <c r="A1456" s="4" t="str">
        <f>IFERROR(__xludf.DUMMYFUNCTION("""COMPUTED_VALUE"""),"Plasticity of Interhemispheric Temporal Lobe White Matter Pathways Due to Early Disruption of Corpus Callosum Development in Spina Bifida")</f>
        <v>Plasticity of Interhemispheric Temporal Lobe White Matter Pathways Due to Early Disruption of Corpus Callosum Development in Spina Bifida</v>
      </c>
      <c r="B1456" s="5" t="str">
        <f>IFERROR(__xludf.DUMMYFUNCTION("LEFT(FILTER(IMPORTRANGE(""https://docs.google.com/spreadsheets/d/1BJSV3WBYJGRhQ6zExamkszQ5VutGIcaQqmbD9ZTVXMQ/edit#gid=1251630045"",""articles_with_PRISMA_reasons!K2:K2113""), $A1456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$A1456=IMPORTRANGE(""https://docs.google.com/spreadsheets/d/1BJSV3WBYJGRhQ6zExamkszQ5VutGIcaQqmbD9ZTVXMQ/edit#gid=1251630045"",""articles_with_PRISMA_reasons!B2:B2113"")))-1)"),"Bradley")</f>
        <v>Bradley</v>
      </c>
      <c r="C1456" s="6">
        <f>IFERROR(__xludf.DUMMYFUNCTION("FILTER(IMPORTRANGE(""https://docs.google.com/spreadsheets/d/1BJSV3WBYJGRhQ6zExamkszQ5VutGIcaQqmbD9ZTVXMQ/edit#gid=1251630045"",""articles_with_PRISMA_reasons!C2:C2113""), $A1456=IMPORTRANGE(""https://docs.google.com/spreadsheets/d/1BJSV3WBYJGRhQ6zExamkszQ"&amp;"5VutGIcaQqmbD9ZTVXMQ/edit#gid=1251630045"",""articles_with_PRISMA_reasons!B2:B2113""))"),2016.0)</f>
        <v>2016</v>
      </c>
      <c r="D1456" s="5" t="str">
        <f>IFERROR(__xludf.DUMMYFUNCTION("IFS(AND(
FILTER(IMPORTRANGE(""https://docs.google.com/spreadsheets/d/1BJSV3WBYJGRhQ6zExamkszQ5VutGIcaQqmbD9ZTVXMQ/edit#gid=1251630045"",""articles_with_PRISMA_reasons!Y2:Y2113""), $A1456=IMPORTRANGE(""https://docs.google.com/spreadsheets/d/1BJSV3WBYJGRhQ6"&amp;"zExamkszQ5VutGIcaQqmbD9ZTVXMQ/edit#gid=1251630045"",""articles_with_PRISMA_reasons!B2:B2113""))&gt;=2,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$A1456=IMPORTRANGE(""https://docs.google.com/spreadsheets/d/1BJSV3WBYJGRhQ6zExamkszQ5VutGIcaQqmbD9ZTVXMQ/edit#gid=1251630045"",""articles_with_PRISMA_reasons!B2:B2113""))&lt;2),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$A1456=IMPORTRANGE(""https://docs.google.com/spreadsheets/d/1BJSV3WBYJGRhQ6zExamkszQ5VutGIcaQqmbD9ZTVXMQ/edit#gid=1251630045"",""a"&amp;"rticles_with_PRISMA_reasons!B2:B2113""))&lt;2,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$A1456=IMPORTRANGE(""https://docs.google"&amp;".com/spreadsheets/d/1BJSV3WBYJGRhQ6zExamkszQ5VutGIcaQqmbD9ZTVXMQ/edit#gid=1251630045"",""articles_with_PRISMA_reasons!B2:B2113""))&gt;=2),
""Exclude""
)"),"Exclude")</f>
        <v>Exclude</v>
      </c>
      <c r="E1456" s="5" t="str">
        <f>IFERROR(__xludf.DUMMYFUNCTION("IFS(
D1456=""Exclude"",""Exclude"",
AND(
FILTER(IMPORTRANGE(""https://docs.google.com/spreadsheets/d/1qpEmbGH0JjaJbUdp21-y2cPbobDbMjr09BbtdKROZWc/edit#gid=1444865654"",""articles_with_PRISMA_reasons!W2:W2113""), $A1456=IMPORTRANGE(""https://docs.google.co"&amp;"m/spreadsheets/d/1qpEmbGH0JjaJbUdp21-y2cPbobDbMjr09BbtdKROZWc/edit#gid=1444865654"",""articles_with_PRISMA_reasons!B2:B2113""))&gt;=2,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$A1456=IMPORTRANGE(""https://docs.google.com/spreadsheets/d/1qpEmbGH0JjaJbUdp21-y2cPbobDbMjr09BbtdKROZWc/edit#gid=1444865654"",""articles_with_PRISMA_reasons!B2:B2113""))&lt;2),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$A1456=IMPORTRANGE(""https://docs.google.com/spreadsheets/d/1qpEmbGH0JjaJbUdp21-y2cPbobDbMjr09Bbtd"&amp;"KROZWc/edit#gid=1444865654"",""articles_with_PRISMA_reasons!B2:B2113""))&lt;2,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$A1456=I"&amp;"MPORTRANGE(""https://docs.google.com/spreadsheets/d/1qpEmbGH0JjaJbUdp21-y2cPbobDbMjr09BbtdKROZWc/edit#gid=1444865654"",""articles_with_PRISMA_reasons!B2:B2113""))&gt;=2),
""Exclude""
)"),"Exclude")</f>
        <v>Exclude</v>
      </c>
      <c r="F1456" s="5" t="str">
        <f>IFERROR(__xludf.DUMMYFUNCTION("IFS(
E1456=""Exclude"",""Exclude"",
AND(
COUNTIF(
IMPORTRANGE(""https://docs.google.com/spreadsheets/d/1kGrh75X1cNR1D7_FcY9zMnHP8iPO4M5RCRjy6nZY0TY/edit#gid=0"",""Table 1: Study characteristics!B4:B171""),A1456)&gt;0,
COUNTIF(Studies!$A$2:$A$85,FILTER(IMPORT"&amp;"RANGE(""https://docs.google.com/spreadsheets/d/1kGrh75X1cNR1D7_FcY9zMnHP8iPO4M5RCRjy6nZY0TY/edit#gid=0"",""Table 1: Study characteristics!A4:A171""), $A1456=IMPORTRANGE(""https://docs.google.com/spreadsheets/d/1kGrh75X1cNR1D7_FcY9zMnHP8iPO4M5RCRjy6nZY0TY/"&amp;"edit#gid=0"",""Table 1: Study characteristics!B4:B171"")))&gt;0
),
""Include""
)"),"Exclude")</f>
        <v>Exclude</v>
      </c>
      <c r="G1456" s="5" t="str">
        <f>IFERROR(__xludf.DUMMYFUNCTION("IFS(
D1456=""Exclude"",
FILTER(IMPORTRANGE(""https://docs.google.com/spreadsheets/d/1BJSV3WBYJGRhQ6zExamkszQ5VutGIcaQqmbD9ZTVXMQ/edit#gid=1251630045"",""articles_with_PRISMA_reasons!AB2:AB2113""), $A1456=IMPORTRANGE(""https://docs.google.com/spreadsheets/"&amp;"d/1BJSV3WBYJGRhQ6zExamkszQ5VutGIcaQqmbD9ZTVXMQ/edit#gid=1251630045"",""articles_with_PRISMA_reasons!B2:B2113"")),
E1456=""Exclude"",
FILTER(IMPORTRANGE(""https://docs.google.com/spreadsheets/d/1qpEmbGH0JjaJbUdp21-y2cPbobDbMjr09BbtdKROZWc/edit#gid=14448656"&amp;"54"",""articles_with_PRISMA_reasons!Z2:Z2113""), $A1456=IMPORTRANGE(""https://docs.google.com/spreadsheets/d/1qpEmbGH0JjaJbUdp21-y2cPbobDbMjr09BbtdKROZWc/edit#gid=1444865654"",""articles_with_PRISMA_reasons!B2:B2113"")),F1456
=""Include"",FILTER(IMPORTRAN"&amp;"GE(""https://docs.google.com/spreadsheets/d/1kGrh75X1cNR1D7_FcY9zMnHP8iPO4M5RCRjy6nZY0TY/edit#gid=0"",""Table 1: Study characteristics!A4:A171""), $A1456=IMPORTRANGE(""https://docs.google.com/spreadsheets/d/1kGrh75X1cNR1D7_FcY9zMnHP8iPO4M5RCRjy6nZY0TY/edi"&amp;"t#gid=0"",""Table 1: Study characteristics!B4:B171""))
)"),"wrong population")</f>
        <v>wrong population</v>
      </c>
    </row>
    <row r="1457">
      <c r="A1457" s="4" t="str">
        <f>IFERROR(__xludf.DUMMYFUNCTION("""COMPUTED_VALUE"""),"Pneumocephalus in a newborn with an open myelomeningocele")</f>
        <v>Pneumocephalus in a newborn with an open myelomeningocele</v>
      </c>
      <c r="B1457" s="5" t="str">
        <f>IFERROR(__xludf.DUMMYFUNCTION("LEFT(FILTER(IMPORTRANGE(""https://docs.google.com/spreadsheets/d/1BJSV3WBYJGRhQ6zExamkszQ5VutGIcaQqmbD9ZTVXMQ/edit#gid=1251630045"",""articles_with_PRISMA_reasons!K2:K2113""), $A1457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$A1457=IMPORTRANGE(""https://docs.google.com/spreadsheets/d/1BJSV3WBYJGRhQ6zExamkszQ5VutGIcaQqmbD9ZTVXMQ/edit#gid=1251630045"",""articles_with_PRISMA_reasons!B2:B2113"")))-1)"),"Samdani")</f>
        <v>Samdani</v>
      </c>
      <c r="C1457" s="6">
        <f>IFERROR(__xludf.DUMMYFUNCTION("FILTER(IMPORTRANGE(""https://docs.google.com/spreadsheets/d/1BJSV3WBYJGRhQ6zExamkszQ5VutGIcaQqmbD9ZTVXMQ/edit#gid=1251630045"",""articles_with_PRISMA_reasons!C2:C2113""), $A1457=IMPORTRANGE(""https://docs.google.com/spreadsheets/d/1BJSV3WBYJGRhQ6zExamkszQ"&amp;"5VutGIcaQqmbD9ZTVXMQ/edit#gid=1251630045"",""articles_with_PRISMA_reasons!B2:B2113""))"),2001.0)</f>
        <v>2001</v>
      </c>
      <c r="D1457" s="5" t="str">
        <f>IFERROR(__xludf.DUMMYFUNCTION("IFS(AND(
FILTER(IMPORTRANGE(""https://docs.google.com/spreadsheets/d/1BJSV3WBYJGRhQ6zExamkszQ5VutGIcaQqmbD9ZTVXMQ/edit#gid=1251630045"",""articles_with_PRISMA_reasons!Y2:Y2113""), $A1457=IMPORTRANGE(""https://docs.google.com/spreadsheets/d/1BJSV3WBYJGRhQ6"&amp;"zExamkszQ5VutGIcaQqmbD9ZTVXMQ/edit#gid=1251630045"",""articles_with_PRISMA_reasons!B2:B2113""))&gt;=2,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$A1457=IMPORTRANGE(""https://docs.google.com/spreadsheets/d/1BJSV3WBYJGRhQ6zExamkszQ5VutGIcaQqmbD9ZTVXMQ/edit#gid=1251630045"",""articles_with_PRISMA_reasons!B2:B2113""))&lt;2),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$A1457=IMPORTRANGE(""https://docs.google.com/spreadsheets/d/1BJSV3WBYJGRhQ6zExamkszQ5VutGIcaQqmbD9ZTVXMQ/edit#gid=1251630045"",""a"&amp;"rticles_with_PRISMA_reasons!B2:B2113""))&lt;2,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$A1457=IMPORTRANGE(""https://docs.google"&amp;".com/spreadsheets/d/1BJSV3WBYJGRhQ6zExamkszQ5VutGIcaQqmbD9ZTVXMQ/edit#gid=1251630045"",""articles_with_PRISMA_reasons!B2:B2113""))&gt;=2),
""Exclude""
)"),"Exclude")</f>
        <v>Exclude</v>
      </c>
      <c r="E1457" s="5" t="str">
        <f>IFERROR(__xludf.DUMMYFUNCTION("IFS(
D1457=""Exclude"",""Exclude"",
AND(
FILTER(IMPORTRANGE(""https://docs.google.com/spreadsheets/d/1qpEmbGH0JjaJbUdp21-y2cPbobDbMjr09BbtdKROZWc/edit#gid=1444865654"",""articles_with_PRISMA_reasons!W2:W2113""), $A1457=IMPORTRANGE(""https://docs.google.co"&amp;"m/spreadsheets/d/1qpEmbGH0JjaJbUdp21-y2cPbobDbMjr09BbtdKROZWc/edit#gid=1444865654"",""articles_with_PRISMA_reasons!B2:B2113""))&gt;=2,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$A1457=IMPORTRANGE(""https://docs.google.com/spreadsheets/d/1qpEmbGH0JjaJbUdp21-y2cPbobDbMjr09BbtdKROZWc/edit#gid=1444865654"",""articles_with_PRISMA_reasons!B2:B2113""))&lt;2),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$A1457=IMPORTRANGE(""https://docs.google.com/spreadsheets/d/1qpEmbGH0JjaJbUdp21-y2cPbobDbMjr09Bbtd"&amp;"KROZWc/edit#gid=1444865654"",""articles_with_PRISMA_reasons!B2:B2113""))&lt;2,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$A1457=I"&amp;"MPORTRANGE(""https://docs.google.com/spreadsheets/d/1qpEmbGH0JjaJbUdp21-y2cPbobDbMjr09BbtdKROZWc/edit#gid=1444865654"",""articles_with_PRISMA_reasons!B2:B2113""))&gt;=2),
""Exclude""
)"),"Exclude")</f>
        <v>Exclude</v>
      </c>
      <c r="F1457" s="5" t="str">
        <f>IFERROR(__xludf.DUMMYFUNCTION("IFS(
E1457=""Exclude"",""Exclude"",
AND(
COUNTIF(
IMPORTRANGE(""https://docs.google.com/spreadsheets/d/1kGrh75X1cNR1D7_FcY9zMnHP8iPO4M5RCRjy6nZY0TY/edit#gid=0"",""Table 1: Study characteristics!B4:B171""),A1457)&gt;0,
COUNTIF(Studies!$A$2:$A$85,FILTER(IMPORT"&amp;"RANGE(""https://docs.google.com/spreadsheets/d/1kGrh75X1cNR1D7_FcY9zMnHP8iPO4M5RCRjy6nZY0TY/edit#gid=0"",""Table 1: Study characteristics!A4:A171""), $A1457=IMPORTRANGE(""https://docs.google.com/spreadsheets/d/1kGrh75X1cNR1D7_FcY9zMnHP8iPO4M5RCRjy6nZY0TY/"&amp;"edit#gid=0"",""Table 1: Study characteristics!B4:B171"")))&gt;0
),
""Include""
)"),"Exclude")</f>
        <v>Exclude</v>
      </c>
      <c r="G1457" s="5" t="str">
        <f>IFERROR(__xludf.DUMMYFUNCTION("IFS(
D1457=""Exclude"",
FILTER(IMPORTRANGE(""https://docs.google.com/spreadsheets/d/1BJSV3WBYJGRhQ6zExamkszQ5VutGIcaQqmbD9ZTVXMQ/edit#gid=1251630045"",""articles_with_PRISMA_reasons!AB2:AB2113""), $A1457=IMPORTRANGE(""https://docs.google.com/spreadsheets/"&amp;"d/1BJSV3WBYJGRhQ6zExamkszQ5VutGIcaQqmbD9ZTVXMQ/edit#gid=1251630045"",""articles_with_PRISMA_reasons!B2:B2113"")),
E1457=""Exclude"",
FILTER(IMPORTRANGE(""https://docs.google.com/spreadsheets/d/1qpEmbGH0JjaJbUdp21-y2cPbobDbMjr09BbtdKROZWc/edit#gid=14448656"&amp;"54"",""articles_with_PRISMA_reasons!Z2:Z2113""), $A1457=IMPORTRANGE(""https://docs.google.com/spreadsheets/d/1qpEmbGH0JjaJbUdp21-y2cPbobDbMjr09BbtdKROZWc/edit#gid=1444865654"",""articles_with_PRISMA_reasons!B2:B2113"")),F1457
=""Include"",FILTER(IMPORTRAN"&amp;"GE(""https://docs.google.com/spreadsheets/d/1kGrh75X1cNR1D7_FcY9zMnHP8iPO4M5RCRjy6nZY0TY/edit#gid=0"",""Table 1: Study characteristics!A4:A171""), $A1457=IMPORTRANGE(""https://docs.google.com/spreadsheets/d/1kGrh75X1cNR1D7_FcY9zMnHP8iPO4M5RCRjy6nZY0TY/edi"&amp;"t#gid=0"",""Table 1: Study characteristics!B4:B171""))
)"),"wrong study design")</f>
        <v>wrong study design</v>
      </c>
    </row>
    <row r="1458">
      <c r="A1458" s="4" t="str">
        <f>IFERROR(__xludf.DUMMYFUNCTION("""COMPUTED_VALUE"""),"Poland syndrome with extracorporeal intercostal liver herniation and thoracic myelomeningocele")</f>
        <v>Poland syndrome with extracorporeal intercostal liver herniation and thoracic myelomeningocele</v>
      </c>
      <c r="B1458" s="5" t="str">
        <f>IFERROR(__xludf.DUMMYFUNCTION("LEFT(FILTER(IMPORTRANGE(""https://docs.google.com/spreadsheets/d/1BJSV3WBYJGRhQ6zExamkszQ5VutGIcaQqmbD9ZTVXMQ/edit#gid=1251630045"",""articles_with_PRISMA_reasons!K2:K2113""), $A1458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$A1458=IMPORTRANGE(""https://docs.google.com/spreadsheets/d/1BJSV3WBYJGRhQ6zExamkszQ5VutGIcaQqmbD9ZTVXMQ/edit#gid=1251630045"",""articles_with_PRISMA_reasons!B2:B2113"")))-1)"),"Seifarth")</f>
        <v>Seifarth</v>
      </c>
      <c r="C1458" s="6">
        <f>IFERROR(__xludf.DUMMYFUNCTION("FILTER(IMPORTRANGE(""https://docs.google.com/spreadsheets/d/1BJSV3WBYJGRhQ6zExamkszQ5VutGIcaQqmbD9ZTVXMQ/edit#gid=1251630045"",""articles_with_PRISMA_reasons!C2:C2113""), $A1458=IMPORTRANGE(""https://docs.google.com/spreadsheets/d/1BJSV3WBYJGRhQ6zExamkszQ"&amp;"5VutGIcaQqmbD9ZTVXMQ/edit#gid=1251630045"",""articles_with_PRISMA_reasons!B2:B2113""))"),2012.0)</f>
        <v>2012</v>
      </c>
      <c r="D1458" s="5" t="str">
        <f>IFERROR(__xludf.DUMMYFUNCTION("IFS(AND(
FILTER(IMPORTRANGE(""https://docs.google.com/spreadsheets/d/1BJSV3WBYJGRhQ6zExamkszQ5VutGIcaQqmbD9ZTVXMQ/edit#gid=1251630045"",""articles_with_PRISMA_reasons!Y2:Y2113""), $A1458=IMPORTRANGE(""https://docs.google.com/spreadsheets/d/1BJSV3WBYJGRhQ6"&amp;"zExamkszQ5VutGIcaQqmbD9ZTVXMQ/edit#gid=1251630045"",""articles_with_PRISMA_reasons!B2:B2113""))&gt;=2,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$A1458=IMPORTRANGE(""https://docs.google.com/spreadsheets/d/1BJSV3WBYJGRhQ6zExamkszQ5VutGIcaQqmbD9ZTVXMQ/edit#gid=1251630045"",""articles_with_PRISMA_reasons!B2:B2113""))&lt;2),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$A1458=IMPORTRANGE(""https://docs.google.com/spreadsheets/d/1BJSV3WBYJGRhQ6zExamkszQ5VutGIcaQqmbD9ZTVXMQ/edit#gid=1251630045"",""a"&amp;"rticles_with_PRISMA_reasons!B2:B2113""))&lt;2,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$A1458=IMPORTRANGE(""https://docs.google"&amp;".com/spreadsheets/d/1BJSV3WBYJGRhQ6zExamkszQ5VutGIcaQqmbD9ZTVXMQ/edit#gid=1251630045"",""articles_with_PRISMA_reasons!B2:B2113""))&gt;=2),
""Exclude""
)"),"Exclude")</f>
        <v>Exclude</v>
      </c>
      <c r="E1458" s="5" t="str">
        <f>IFERROR(__xludf.DUMMYFUNCTION("IFS(
D1458=""Exclude"",""Exclude"",
AND(
FILTER(IMPORTRANGE(""https://docs.google.com/spreadsheets/d/1qpEmbGH0JjaJbUdp21-y2cPbobDbMjr09BbtdKROZWc/edit#gid=1444865654"",""articles_with_PRISMA_reasons!W2:W2113""), $A1458=IMPORTRANGE(""https://docs.google.co"&amp;"m/spreadsheets/d/1qpEmbGH0JjaJbUdp21-y2cPbobDbMjr09BbtdKROZWc/edit#gid=1444865654"",""articles_with_PRISMA_reasons!B2:B2113""))&gt;=2,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$A1458=IMPORTRANGE(""https://docs.google.com/spreadsheets/d/1qpEmbGH0JjaJbUdp21-y2cPbobDbMjr09BbtdKROZWc/edit#gid=1444865654"",""articles_with_PRISMA_reasons!B2:B2113""))&lt;2),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$A1458=IMPORTRANGE(""https://docs.google.com/spreadsheets/d/1qpEmbGH0JjaJbUdp21-y2cPbobDbMjr09Bbtd"&amp;"KROZWc/edit#gid=1444865654"",""articles_with_PRISMA_reasons!B2:B2113""))&lt;2,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$A1458=I"&amp;"MPORTRANGE(""https://docs.google.com/spreadsheets/d/1qpEmbGH0JjaJbUdp21-y2cPbobDbMjr09BbtdKROZWc/edit#gid=1444865654"",""articles_with_PRISMA_reasons!B2:B2113""))&gt;=2),
""Exclude""
)"),"Exclude")</f>
        <v>Exclude</v>
      </c>
      <c r="F1458" s="5" t="str">
        <f>IFERROR(__xludf.DUMMYFUNCTION("IFS(
E1458=""Exclude"",""Exclude"",
AND(
COUNTIF(
IMPORTRANGE(""https://docs.google.com/spreadsheets/d/1kGrh75X1cNR1D7_FcY9zMnHP8iPO4M5RCRjy6nZY0TY/edit#gid=0"",""Table 1: Study characteristics!B4:B171""),A1458)&gt;0,
COUNTIF(Studies!$A$2:$A$85,FILTER(IMPORT"&amp;"RANGE(""https://docs.google.com/spreadsheets/d/1kGrh75X1cNR1D7_FcY9zMnHP8iPO4M5RCRjy6nZY0TY/edit#gid=0"",""Table 1: Study characteristics!A4:A171""), $A1458=IMPORTRANGE(""https://docs.google.com/spreadsheets/d/1kGrh75X1cNR1D7_FcY9zMnHP8iPO4M5RCRjy6nZY0TY/"&amp;"edit#gid=0"",""Table 1: Study characteristics!B4:B171"")))&gt;0
),
""Include""
)"),"Exclude")</f>
        <v>Exclude</v>
      </c>
      <c r="G1458" s="5" t="str">
        <f>IFERROR(__xludf.DUMMYFUNCTION("IFS(
D1458=""Exclude"",
FILTER(IMPORTRANGE(""https://docs.google.com/spreadsheets/d/1BJSV3WBYJGRhQ6zExamkszQ5VutGIcaQqmbD9ZTVXMQ/edit#gid=1251630045"",""articles_with_PRISMA_reasons!AB2:AB2113""), $A1458=IMPORTRANGE(""https://docs.google.com/spreadsheets/"&amp;"d/1BJSV3WBYJGRhQ6zExamkszQ5VutGIcaQqmbD9ZTVXMQ/edit#gid=1251630045"",""articles_with_PRISMA_reasons!B2:B2113"")),
E1458=""Exclude"",
FILTER(IMPORTRANGE(""https://docs.google.com/spreadsheets/d/1qpEmbGH0JjaJbUdp21-y2cPbobDbMjr09BbtdKROZWc/edit#gid=14448656"&amp;"54"",""articles_with_PRISMA_reasons!Z2:Z2113""), $A1458=IMPORTRANGE(""https://docs.google.com/spreadsheets/d/1qpEmbGH0JjaJbUdp21-y2cPbobDbMjr09BbtdKROZWc/edit#gid=1444865654"",""articles_with_PRISMA_reasons!B2:B2113"")),F1458
=""Include"",FILTER(IMPORTRAN"&amp;"GE(""https://docs.google.com/spreadsheets/d/1kGrh75X1cNR1D7_FcY9zMnHP8iPO4M5RCRjy6nZY0TY/edit#gid=0"",""Table 1: Study characteristics!A4:A171""), $A1458=IMPORTRANGE(""https://docs.google.com/spreadsheets/d/1kGrh75X1cNR1D7_FcY9zMnHP8iPO4M5RCRjy6nZY0TY/edi"&amp;"t#gid=0"",""Table 1: Study characteristics!B4:B171""))
)"),"wrong study design")</f>
        <v>wrong study design</v>
      </c>
    </row>
    <row r="1459">
      <c r="A1459" s="4" t="str">
        <f>IFERROR(__xludf.DUMMYFUNCTION("""COMPUTED_VALUE"""),"Poor reading comprehension despite fast word decoding in children with hydrocephalus")</f>
        <v>Poor reading comprehension despite fast word decoding in children with hydrocephalus</v>
      </c>
      <c r="B1459" s="5" t="str">
        <f>IFERROR(__xludf.DUMMYFUNCTION("LEFT(FILTER(IMPORTRANGE(""https://docs.google.com/spreadsheets/d/1BJSV3WBYJGRhQ6zExamkszQ5VutGIcaQqmbD9ZTVXMQ/edit#gid=1251630045"",""articles_with_PRISMA_reasons!K2:K2113""), $A1459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$A1459=IMPORTRANGE(""https://docs.google.com/spreadsheets/d/1BJSV3WBYJGRhQ6zExamkszQ5VutGIcaQqmbD9ZTVXMQ/edit#gid=1251630045"",""articles_with_PRISMA_reasons!B2:B2113"")))-1)"),"Faulkner")</f>
        <v>Faulkner</v>
      </c>
      <c r="C1459" s="6">
        <f>IFERROR(__xludf.DUMMYFUNCTION("FILTER(IMPORTRANGE(""https://docs.google.com/spreadsheets/d/1BJSV3WBYJGRhQ6zExamkszQ5VutGIcaQqmbD9ZTVXMQ/edit#gid=1251630045"",""articles_with_PRISMA_reasons!C2:C2113""), $A1459=IMPORTRANGE(""https://docs.google.com/spreadsheets/d/1BJSV3WBYJGRhQ6zExamkszQ"&amp;"5VutGIcaQqmbD9ZTVXMQ/edit#gid=1251630045"",""articles_with_PRISMA_reasons!B2:B2113""))"),2001.0)</f>
        <v>2001</v>
      </c>
      <c r="D1459" s="5" t="str">
        <f>IFERROR(__xludf.DUMMYFUNCTION("IFS(AND(
FILTER(IMPORTRANGE(""https://docs.google.com/spreadsheets/d/1BJSV3WBYJGRhQ6zExamkszQ5VutGIcaQqmbD9ZTVXMQ/edit#gid=1251630045"",""articles_with_PRISMA_reasons!Y2:Y2113""), $A1459=IMPORTRANGE(""https://docs.google.com/spreadsheets/d/1BJSV3WBYJGRhQ6"&amp;"zExamkszQ5VutGIcaQqmbD9ZTVXMQ/edit#gid=1251630045"",""articles_with_PRISMA_reasons!B2:B2113""))&gt;=2,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$A1459=IMPORTRANGE(""https://docs.google.com/spreadsheets/d/1BJSV3WBYJGRhQ6zExamkszQ5VutGIcaQqmbD9ZTVXMQ/edit#gid=1251630045"",""articles_with_PRISMA_reasons!B2:B2113""))&lt;2),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$A1459=IMPORTRANGE(""https://docs.google.com/spreadsheets/d/1BJSV3WBYJGRhQ6zExamkszQ5VutGIcaQqmbD9ZTVXMQ/edit#gid=1251630045"",""a"&amp;"rticles_with_PRISMA_reasons!B2:B2113""))&lt;2,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$A1459=IMPORTRANGE(""https://docs.google"&amp;".com/spreadsheets/d/1BJSV3WBYJGRhQ6zExamkszQ5VutGIcaQqmbD9ZTVXMQ/edit#gid=1251630045"",""articles_with_PRISMA_reasons!B2:B2113""))&gt;=2),
""Exclude""
)"),"Exclude")</f>
        <v>Exclude</v>
      </c>
      <c r="E1459" s="5" t="str">
        <f>IFERROR(__xludf.DUMMYFUNCTION("IFS(
D1459=""Exclude"",""Exclude"",
AND(
FILTER(IMPORTRANGE(""https://docs.google.com/spreadsheets/d/1qpEmbGH0JjaJbUdp21-y2cPbobDbMjr09BbtdKROZWc/edit#gid=1444865654"",""articles_with_PRISMA_reasons!W2:W2113""), $A1459=IMPORTRANGE(""https://docs.google.co"&amp;"m/spreadsheets/d/1qpEmbGH0JjaJbUdp21-y2cPbobDbMjr09BbtdKROZWc/edit#gid=1444865654"",""articles_with_PRISMA_reasons!B2:B2113""))&gt;=2,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$A1459=IMPORTRANGE(""https://docs.google.com/spreadsheets/d/1qpEmbGH0JjaJbUdp21-y2cPbobDbMjr09BbtdKROZWc/edit#gid=1444865654"",""articles_with_PRISMA_reasons!B2:B2113""))&lt;2),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$A1459=IMPORTRANGE(""https://docs.google.com/spreadsheets/d/1qpEmbGH0JjaJbUdp21-y2cPbobDbMjr09Bbtd"&amp;"KROZWc/edit#gid=1444865654"",""articles_with_PRISMA_reasons!B2:B2113""))&lt;2,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$A1459=I"&amp;"MPORTRANGE(""https://docs.google.com/spreadsheets/d/1qpEmbGH0JjaJbUdp21-y2cPbobDbMjr09BbtdKROZWc/edit#gid=1444865654"",""articles_with_PRISMA_reasons!B2:B2113""))&gt;=2),
""Exclude""
)"),"Exclude")</f>
        <v>Exclude</v>
      </c>
      <c r="F1459" s="5" t="str">
        <f>IFERROR(__xludf.DUMMYFUNCTION("IFS(
E1459=""Exclude"",""Exclude"",
AND(
COUNTIF(
IMPORTRANGE(""https://docs.google.com/spreadsheets/d/1kGrh75X1cNR1D7_FcY9zMnHP8iPO4M5RCRjy6nZY0TY/edit#gid=0"",""Table 1: Study characteristics!B4:B171""),A1459)&gt;0,
COUNTIF(Studies!$A$2:$A$85,FILTER(IMPORT"&amp;"RANGE(""https://docs.google.com/spreadsheets/d/1kGrh75X1cNR1D7_FcY9zMnHP8iPO4M5RCRjy6nZY0TY/edit#gid=0"",""Table 1: Study characteristics!A4:A171""), $A1459=IMPORTRANGE(""https://docs.google.com/spreadsheets/d/1kGrh75X1cNR1D7_FcY9zMnHP8iPO4M5RCRjy6nZY0TY/"&amp;"edit#gid=0"",""Table 1: Study characteristics!B4:B171"")))&gt;0
),
""Include""
)"),"Exclude")</f>
        <v>Exclude</v>
      </c>
      <c r="G1459" s="5" t="str">
        <f>IFERROR(__xludf.DUMMYFUNCTION("IFS(
D1459=""Exclude"",
FILTER(IMPORTRANGE(""https://docs.google.com/spreadsheets/d/1BJSV3WBYJGRhQ6zExamkszQ5VutGIcaQqmbD9ZTVXMQ/edit#gid=1251630045"",""articles_with_PRISMA_reasons!AB2:AB2113""), $A1459=IMPORTRANGE(""https://docs.google.com/spreadsheets/"&amp;"d/1BJSV3WBYJGRhQ6zExamkszQ5VutGIcaQqmbD9ZTVXMQ/edit#gid=1251630045"",""articles_with_PRISMA_reasons!B2:B2113"")),
E1459=""Exclude"",
FILTER(IMPORTRANGE(""https://docs.google.com/spreadsheets/d/1qpEmbGH0JjaJbUdp21-y2cPbobDbMjr09BbtdKROZWc/edit#gid=14448656"&amp;"54"",""articles_with_PRISMA_reasons!Z2:Z2113""), $A1459=IMPORTRANGE(""https://docs.google.com/spreadsheets/d/1qpEmbGH0JjaJbUdp21-y2cPbobDbMjr09BbtdKROZWc/edit#gid=1444865654"",""articles_with_PRISMA_reasons!B2:B2113"")),F1459
=""Include"",FILTER(IMPORTRAN"&amp;"GE(""https://docs.google.com/spreadsheets/d/1kGrh75X1cNR1D7_FcY9zMnHP8iPO4M5RCRjy6nZY0TY/edit#gid=0"",""Table 1: Study characteristics!A4:A171""), $A1459=IMPORTRANGE(""https://docs.google.com/spreadsheets/d/1kGrh75X1cNR1D7_FcY9zMnHP8iPO4M5RCRjy6nZY0TY/edi"&amp;"t#gid=0"",""Table 1: Study characteristics!B4:B171""))
)"),"wrong study design")</f>
        <v>wrong study design</v>
      </c>
    </row>
    <row r="1460">
      <c r="A1460" s="4" t="str">
        <f>IFERROR(__xludf.DUMMYFUNCTION("""COMPUTED_VALUE"""),"Positioning infants with myelomeningocele")</f>
        <v>Positioning infants with myelomeningocele</v>
      </c>
      <c r="B1460" s="5" t="str">
        <f>IFERROR(__xludf.DUMMYFUNCTION("LEFT(FILTER(IMPORTRANGE(""https://docs.google.com/spreadsheets/d/1BJSV3WBYJGRhQ6zExamkszQ5VutGIcaQqmbD9ZTVXMQ/edit#gid=1251630045"",""articles_with_PRISMA_reasons!K2:K2113""), $A1460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$A1460=IMPORTRANGE(""https://docs.google.com/spreadsheets/d/1BJSV3WBYJGRhQ6zExamkszQ5VutGIcaQqmbD9ZTVXMQ/edit#gid=1251630045"",""articles_with_PRISMA_reasons!B2:B2113"")))-1)"),"Passo")</f>
        <v>Passo</v>
      </c>
      <c r="C1460" s="6">
        <f>IFERROR(__xludf.DUMMYFUNCTION("FILTER(IMPORTRANGE(""https://docs.google.com/spreadsheets/d/1BJSV3WBYJGRhQ6zExamkszQ5VutGIcaQqmbD9ZTVXMQ/edit#gid=1251630045"",""articles_with_PRISMA_reasons!C2:C2113""), $A1460=IMPORTRANGE(""https://docs.google.com/spreadsheets/d/1BJSV3WBYJGRhQ6zExamkszQ"&amp;"5VutGIcaQqmbD9ZTVXMQ/edit#gid=1251630045"",""articles_with_PRISMA_reasons!B2:B2113""))"),1974.0)</f>
        <v>1974</v>
      </c>
      <c r="D1460" s="5" t="str">
        <f>IFERROR(__xludf.DUMMYFUNCTION("IFS(AND(
FILTER(IMPORTRANGE(""https://docs.google.com/spreadsheets/d/1BJSV3WBYJGRhQ6zExamkszQ5VutGIcaQqmbD9ZTVXMQ/edit#gid=1251630045"",""articles_with_PRISMA_reasons!Y2:Y2113""), $A1460=IMPORTRANGE(""https://docs.google.com/spreadsheets/d/1BJSV3WBYJGRhQ6"&amp;"zExamkszQ5VutGIcaQqmbD9ZTVXMQ/edit#gid=1251630045"",""articles_with_PRISMA_reasons!B2:B2113""))&gt;=2,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$A1460=IMPORTRANGE(""https://docs.google.com/spreadsheets/d/1BJSV3WBYJGRhQ6zExamkszQ5VutGIcaQqmbD9ZTVXMQ/edit#gid=1251630045"",""articles_with_PRISMA_reasons!B2:B2113""))&lt;2),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$A1460=IMPORTRANGE(""https://docs.google.com/spreadsheets/d/1BJSV3WBYJGRhQ6zExamkszQ5VutGIcaQqmbD9ZTVXMQ/edit#gid=1251630045"",""a"&amp;"rticles_with_PRISMA_reasons!B2:B2113""))&lt;2,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$A1460=IMPORTRANGE(""https://docs.google"&amp;".com/spreadsheets/d/1BJSV3WBYJGRhQ6zExamkszQ5VutGIcaQqmbD9ZTVXMQ/edit#gid=1251630045"",""articles_with_PRISMA_reasons!B2:B2113""))&gt;=2),
""Exclude""
)"),"Exclude")</f>
        <v>Exclude</v>
      </c>
      <c r="E1460" s="5" t="str">
        <f>IFERROR(__xludf.DUMMYFUNCTION("IFS(
D1460=""Exclude"",""Exclude"",
AND(
FILTER(IMPORTRANGE(""https://docs.google.com/spreadsheets/d/1qpEmbGH0JjaJbUdp21-y2cPbobDbMjr09BbtdKROZWc/edit#gid=1444865654"",""articles_with_PRISMA_reasons!W2:W2113""), $A1460=IMPORTRANGE(""https://docs.google.co"&amp;"m/spreadsheets/d/1qpEmbGH0JjaJbUdp21-y2cPbobDbMjr09BbtdKROZWc/edit#gid=1444865654"",""articles_with_PRISMA_reasons!B2:B2113""))&gt;=2,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$A1460=IMPORTRANGE(""https://docs.google.com/spreadsheets/d/1qpEmbGH0JjaJbUdp21-y2cPbobDbMjr09BbtdKROZWc/edit#gid=1444865654"",""articles_with_PRISMA_reasons!B2:B2113""))&lt;2),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$A1460=IMPORTRANGE(""https://docs.google.com/spreadsheets/d/1qpEmbGH0JjaJbUdp21-y2cPbobDbMjr09Bbtd"&amp;"KROZWc/edit#gid=1444865654"",""articles_with_PRISMA_reasons!B2:B2113""))&lt;2,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$A1460=I"&amp;"MPORTRANGE(""https://docs.google.com/spreadsheets/d/1qpEmbGH0JjaJbUdp21-y2cPbobDbMjr09BbtdKROZWc/edit#gid=1444865654"",""articles_with_PRISMA_reasons!B2:B2113""))&gt;=2),
""Exclude""
)"),"Exclude")</f>
        <v>Exclude</v>
      </c>
      <c r="F1460" s="5" t="str">
        <f>IFERROR(__xludf.DUMMYFUNCTION("IFS(
E1460=""Exclude"",""Exclude"",
AND(
COUNTIF(
IMPORTRANGE(""https://docs.google.com/spreadsheets/d/1kGrh75X1cNR1D7_FcY9zMnHP8iPO4M5RCRjy6nZY0TY/edit#gid=0"",""Table 1: Study characteristics!B4:B171""),A1460)&gt;0,
COUNTIF(Studies!$A$2:$A$85,FILTER(IMPORT"&amp;"RANGE(""https://docs.google.com/spreadsheets/d/1kGrh75X1cNR1D7_FcY9zMnHP8iPO4M5RCRjy6nZY0TY/edit#gid=0"",""Table 1: Study characteristics!A4:A171""), $A1460=IMPORTRANGE(""https://docs.google.com/spreadsheets/d/1kGrh75X1cNR1D7_FcY9zMnHP8iPO4M5RCRjy6nZY0TY/"&amp;"edit#gid=0"",""Table 1: Study characteristics!B4:B171"")))&gt;0
),
""Include""
)"),"Exclude")</f>
        <v>Exclude</v>
      </c>
      <c r="G1460" s="5" t="str">
        <f>IFERROR(__xludf.DUMMYFUNCTION("IFS(
D1460=""Exclude"",
FILTER(IMPORTRANGE(""https://docs.google.com/spreadsheets/d/1BJSV3WBYJGRhQ6zExamkszQ5VutGIcaQqmbD9ZTVXMQ/edit#gid=1251630045"",""articles_with_PRISMA_reasons!AB2:AB2113""), $A1460=IMPORTRANGE(""https://docs.google.com/spreadsheets/"&amp;"d/1BJSV3WBYJGRhQ6zExamkszQ5VutGIcaQqmbD9ZTVXMQ/edit#gid=1251630045"",""articles_with_PRISMA_reasons!B2:B2113"")),
E1460=""Exclude"",
FILTER(IMPORTRANGE(""https://docs.google.com/spreadsheets/d/1qpEmbGH0JjaJbUdp21-y2cPbobDbMjr09BbtdKROZWc/edit#gid=14448656"&amp;"54"",""articles_with_PRISMA_reasons!Z2:Z2113""), $A1460=IMPORTRANGE(""https://docs.google.com/spreadsheets/d/1qpEmbGH0JjaJbUdp21-y2cPbobDbMjr09BbtdKROZWc/edit#gid=1444865654"",""articles_with_PRISMA_reasons!B2:B2113"")),F1460
=""Include"",FILTER(IMPORTRAN"&amp;"GE(""https://docs.google.com/spreadsheets/d/1kGrh75X1cNR1D7_FcY9zMnHP8iPO4M5RCRjy6nZY0TY/edit#gid=0"",""Table 1: Study characteristics!A4:A171""), $A1460=IMPORTRANGE(""https://docs.google.com/spreadsheets/d/1kGrh75X1cNR1D7_FcY9zMnHP8iPO4M5RCRjy6nZY0TY/edi"&amp;"t#gid=0"",""Table 1: Study characteristics!B4:B171""))
)"),"wrong study design")</f>
        <v>wrong study design</v>
      </c>
    </row>
    <row r="1461">
      <c r="A1461" s="4" t="str">
        <f>IFERROR(__xludf.DUMMYFUNCTION("""COMPUTED_VALUE"""),"Positive contrast ventriculography with Dimer X in hydrocephalus")</f>
        <v>Positive contrast ventriculography with Dimer X in hydrocephalus</v>
      </c>
      <c r="B1461" s="5" t="str">
        <f>IFERROR(__xludf.DUMMYFUNCTION("LEFT(FILTER(IMPORTRANGE(""https://docs.google.com/spreadsheets/d/1BJSV3WBYJGRhQ6zExamkszQ5VutGIcaQqmbD9ZTVXMQ/edit#gid=1251630045"",""articles_with_PRISMA_reasons!K2:K2113""), $A1461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$A1461=IMPORTRANGE(""https://docs.google.com/spreadsheets/d/1BJSV3WBYJGRhQ6zExamkszQ5VutGIcaQqmbD9ZTVXMQ/edit#gid=1251630045"",""articles_with_PRISMA_reasons!B2:B2113"")))-1)"),"Steiner")</f>
        <v>Steiner</v>
      </c>
      <c r="C1461" s="6">
        <f>IFERROR(__xludf.DUMMYFUNCTION("FILTER(IMPORTRANGE(""https://docs.google.com/spreadsheets/d/1BJSV3WBYJGRhQ6zExamkszQ5VutGIcaQqmbD9ZTVXMQ/edit#gid=1251630045"",""articles_with_PRISMA_reasons!C2:C2113""), $A1461=IMPORTRANGE(""https://docs.google.com/spreadsheets/d/1BJSV3WBYJGRhQ6zExamkszQ"&amp;"5VutGIcaQqmbD9ZTVXMQ/edit#gid=1251630045"",""articles_with_PRISMA_reasons!B2:B2113""))"),1974.0)</f>
        <v>1974</v>
      </c>
      <c r="D1461" s="5" t="str">
        <f>IFERROR(__xludf.DUMMYFUNCTION("IFS(AND(
FILTER(IMPORTRANGE(""https://docs.google.com/spreadsheets/d/1BJSV3WBYJGRhQ6zExamkszQ5VutGIcaQqmbD9ZTVXMQ/edit#gid=1251630045"",""articles_with_PRISMA_reasons!Y2:Y2113""), $A1461=IMPORTRANGE(""https://docs.google.com/spreadsheets/d/1BJSV3WBYJGRhQ6"&amp;"zExamkszQ5VutGIcaQqmbD9ZTVXMQ/edit#gid=1251630045"",""articles_with_PRISMA_reasons!B2:B2113""))&gt;=2,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$A1461=IMPORTRANGE(""https://docs.google.com/spreadsheets/d/1BJSV3WBYJGRhQ6zExamkszQ5VutGIcaQqmbD9ZTVXMQ/edit#gid=1251630045"",""articles_with_PRISMA_reasons!B2:B2113""))&lt;2),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$A1461=IMPORTRANGE(""https://docs.google.com/spreadsheets/d/1BJSV3WBYJGRhQ6zExamkszQ5VutGIcaQqmbD9ZTVXMQ/edit#gid=1251630045"",""a"&amp;"rticles_with_PRISMA_reasons!B2:B2113""))&lt;2,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$A1461=IMPORTRANGE(""https://docs.google"&amp;".com/spreadsheets/d/1BJSV3WBYJGRhQ6zExamkszQ5VutGIcaQqmbD9ZTVXMQ/edit#gid=1251630045"",""articles_with_PRISMA_reasons!B2:B2113""))&gt;=2),
""Exclude""
)"),"Exclude")</f>
        <v>Exclude</v>
      </c>
      <c r="E1461" s="5" t="str">
        <f>IFERROR(__xludf.DUMMYFUNCTION("IFS(
D1461=""Exclude"",""Exclude"",
AND(
FILTER(IMPORTRANGE(""https://docs.google.com/spreadsheets/d/1qpEmbGH0JjaJbUdp21-y2cPbobDbMjr09BbtdKROZWc/edit#gid=1444865654"",""articles_with_PRISMA_reasons!W2:W2113""), $A1461=IMPORTRANGE(""https://docs.google.co"&amp;"m/spreadsheets/d/1qpEmbGH0JjaJbUdp21-y2cPbobDbMjr09BbtdKROZWc/edit#gid=1444865654"",""articles_with_PRISMA_reasons!B2:B2113""))&gt;=2,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$A1461=IMPORTRANGE(""https://docs.google.com/spreadsheets/d/1qpEmbGH0JjaJbUdp21-y2cPbobDbMjr09BbtdKROZWc/edit#gid=1444865654"",""articles_with_PRISMA_reasons!B2:B2113""))&lt;2),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$A1461=IMPORTRANGE(""https://docs.google.com/spreadsheets/d/1qpEmbGH0JjaJbUdp21-y2cPbobDbMjr09Bbtd"&amp;"KROZWc/edit#gid=1444865654"",""articles_with_PRISMA_reasons!B2:B2113""))&lt;2,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$A1461=I"&amp;"MPORTRANGE(""https://docs.google.com/spreadsheets/d/1qpEmbGH0JjaJbUdp21-y2cPbobDbMjr09BbtdKROZWc/edit#gid=1444865654"",""articles_with_PRISMA_reasons!B2:B2113""))&gt;=2),
""Exclude""
)"),"Exclude")</f>
        <v>Exclude</v>
      </c>
      <c r="F1461" s="5" t="str">
        <f>IFERROR(__xludf.DUMMYFUNCTION("IFS(
E1461=""Exclude"",""Exclude"",
AND(
COUNTIF(
IMPORTRANGE(""https://docs.google.com/spreadsheets/d/1kGrh75X1cNR1D7_FcY9zMnHP8iPO4M5RCRjy6nZY0TY/edit#gid=0"",""Table 1: Study characteristics!B4:B171""),A1461)&gt;0,
COUNTIF(Studies!$A$2:$A$85,FILTER(IMPORT"&amp;"RANGE(""https://docs.google.com/spreadsheets/d/1kGrh75X1cNR1D7_FcY9zMnHP8iPO4M5RCRjy6nZY0TY/edit#gid=0"",""Table 1: Study characteristics!A4:A171""), $A1461=IMPORTRANGE(""https://docs.google.com/spreadsheets/d/1kGrh75X1cNR1D7_FcY9zMnHP8iPO4M5RCRjy6nZY0TY/"&amp;"edit#gid=0"",""Table 1: Study characteristics!B4:B171"")))&gt;0
),
""Include""
)"),"Exclude")</f>
        <v>Exclude</v>
      </c>
      <c r="G1461" s="5" t="str">
        <f>IFERROR(__xludf.DUMMYFUNCTION("IFS(
D1461=""Exclude"",
FILTER(IMPORTRANGE(""https://docs.google.com/spreadsheets/d/1BJSV3WBYJGRhQ6zExamkszQ5VutGIcaQqmbD9ZTVXMQ/edit#gid=1251630045"",""articles_with_PRISMA_reasons!AB2:AB2113""), $A1461=IMPORTRANGE(""https://docs.google.com/spreadsheets/"&amp;"d/1BJSV3WBYJGRhQ6zExamkszQ5VutGIcaQqmbD9ZTVXMQ/edit#gid=1251630045"",""articles_with_PRISMA_reasons!B2:B2113"")),
E1461=""Exclude"",
FILTER(IMPORTRANGE(""https://docs.google.com/spreadsheets/d/1qpEmbGH0JjaJbUdp21-y2cPbobDbMjr09BbtdKROZWc/edit#gid=14448656"&amp;"54"",""articles_with_PRISMA_reasons!Z2:Z2113""), $A1461=IMPORTRANGE(""https://docs.google.com/spreadsheets/d/1qpEmbGH0JjaJbUdp21-y2cPbobDbMjr09BbtdKROZWc/edit#gid=1444865654"",""articles_with_PRISMA_reasons!B2:B2113"")),F1461
=""Include"",FILTER(IMPORTRAN"&amp;"GE(""https://docs.google.com/spreadsheets/d/1kGrh75X1cNR1D7_FcY9zMnHP8iPO4M5RCRjy6nZY0TY/edit#gid=0"",""Table 1: Study characteristics!A4:A171""), $A1461=IMPORTRANGE(""https://docs.google.com/spreadsheets/d/1kGrh75X1cNR1D7_FcY9zMnHP8iPO4M5RCRjy6nZY0TY/edi"&amp;"t#gid=0"",""Table 1: Study characteristics!B4:B171""))
)"),"wrong population")</f>
        <v>wrong population</v>
      </c>
    </row>
    <row r="1462">
      <c r="A1462" s="4" t="str">
        <f>IFERROR(__xludf.DUMMYFUNCTION("""COMPUTED_VALUE"""),"Positive ventriculography using water-soluble contrast media in infants with myelomeningocele and hydrocephalus")</f>
        <v>Positive ventriculography using water-soluble contrast media in infants with myelomeningocele and hydrocephalus</v>
      </c>
      <c r="B1462" s="5" t="str">
        <f>IFERROR(__xludf.DUMMYFUNCTION("LEFT(FILTER(IMPORTRANGE(""https://docs.google.com/spreadsheets/d/1BJSV3WBYJGRhQ6zExamkszQ5VutGIcaQqmbD9ZTVXMQ/edit#gid=1251630045"",""articles_with_PRISMA_reasons!K2:K2113""), $A1462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$A1462=IMPORTRANGE(""https://docs.google.com/spreadsheets/d/1BJSV3WBYJGRhQ6zExamkszQ5VutGIcaQqmbD9ZTVXMQ/edit#gid=1251630045"",""articles_with_PRISMA_reasons!B2:B2113"")))-1)"),"Kellermann")</f>
        <v>Kellermann</v>
      </c>
      <c r="C1462" s="6">
        <f>IFERROR(__xludf.DUMMYFUNCTION("FILTER(IMPORTRANGE(""https://docs.google.com/spreadsheets/d/1BJSV3WBYJGRhQ6zExamkszQ5VutGIcaQqmbD9ZTVXMQ/edit#gid=1251630045"",""articles_with_PRISMA_reasons!C2:C2113""), $A1462=IMPORTRANGE(""https://docs.google.com/spreadsheets/d/1BJSV3WBYJGRhQ6zExamkszQ"&amp;"5VutGIcaQqmbD9ZTVXMQ/edit#gid=1251630045"",""articles_with_PRISMA_reasons!B2:B2113""))"),1978.0)</f>
        <v>1978</v>
      </c>
      <c r="D1462" s="5" t="str">
        <f>IFERROR(__xludf.DUMMYFUNCTION("IFS(AND(
FILTER(IMPORTRANGE(""https://docs.google.com/spreadsheets/d/1BJSV3WBYJGRhQ6zExamkszQ5VutGIcaQqmbD9ZTVXMQ/edit#gid=1251630045"",""articles_with_PRISMA_reasons!Y2:Y2113""), $A1462=IMPORTRANGE(""https://docs.google.com/spreadsheets/d/1BJSV3WBYJGRhQ6"&amp;"zExamkszQ5VutGIcaQqmbD9ZTVXMQ/edit#gid=1251630045"",""articles_with_PRISMA_reasons!B2:B2113""))&gt;=2,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$A1462=IMPORTRANGE(""https://docs.google.com/spreadsheets/d/1BJSV3WBYJGRhQ6zExamkszQ5VutGIcaQqmbD9ZTVXMQ/edit#gid=1251630045"",""articles_with_PRISMA_reasons!B2:B2113""))&lt;2),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$A1462=IMPORTRANGE(""https://docs.google.com/spreadsheets/d/1BJSV3WBYJGRhQ6zExamkszQ5VutGIcaQqmbD9ZTVXMQ/edit#gid=1251630045"",""a"&amp;"rticles_with_PRISMA_reasons!B2:B2113""))&lt;2,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$A1462=IMPORTRANGE(""https://docs.google"&amp;".com/spreadsheets/d/1BJSV3WBYJGRhQ6zExamkszQ5VutGIcaQqmbD9ZTVXMQ/edit#gid=1251630045"",""articles_with_PRISMA_reasons!B2:B2113""))&gt;=2),
""Exclude""
)"),"Include")</f>
        <v>Include</v>
      </c>
      <c r="E1462" s="5" t="str">
        <f>IFERROR(__xludf.DUMMYFUNCTION("IFS(
D1462=""Exclude"",""Exclude"",
AND(
FILTER(IMPORTRANGE(""https://docs.google.com/spreadsheets/d/1qpEmbGH0JjaJbUdp21-y2cPbobDbMjr09BbtdKROZWc/edit#gid=1444865654"",""articles_with_PRISMA_reasons!W2:W2113""), $A1462=IMPORTRANGE(""https://docs.google.co"&amp;"m/spreadsheets/d/1qpEmbGH0JjaJbUdp21-y2cPbobDbMjr09BbtdKROZWc/edit#gid=1444865654"",""articles_with_PRISMA_reasons!B2:B2113""))&gt;=2,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$A1462=IMPORTRANGE(""https://docs.google.com/spreadsheets/d/1qpEmbGH0JjaJbUdp21-y2cPbobDbMjr09BbtdKROZWc/edit#gid=1444865654"",""articles_with_PRISMA_reasons!B2:B2113""))&lt;2),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$A1462=IMPORTRANGE(""https://docs.google.com/spreadsheets/d/1qpEmbGH0JjaJbUdp21-y2cPbobDbMjr09Bbtd"&amp;"KROZWc/edit#gid=1444865654"",""articles_with_PRISMA_reasons!B2:B2113""))&lt;2,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$A1462=I"&amp;"MPORTRANGE(""https://docs.google.com/spreadsheets/d/1qpEmbGH0JjaJbUdp21-y2cPbobDbMjr09BbtdKROZWc/edit#gid=1444865654"",""articles_with_PRISMA_reasons!B2:B2113""))&gt;=2),
""Exclude""
)"),"Exclude")</f>
        <v>Exclude</v>
      </c>
      <c r="F1462" s="5" t="str">
        <f>IFERROR(__xludf.DUMMYFUNCTION("IFS(
E1462=""Exclude"",""Exclude"",
AND(
COUNTIF(
IMPORTRANGE(""https://docs.google.com/spreadsheets/d/1kGrh75X1cNR1D7_FcY9zMnHP8iPO4M5RCRjy6nZY0TY/edit#gid=0"",""Table 1: Study characteristics!B4:B171""),A1462)&gt;0,
COUNTIF(Studies!$A$2:$A$85,FILTER(IMPORT"&amp;"RANGE(""https://docs.google.com/spreadsheets/d/1kGrh75X1cNR1D7_FcY9zMnHP8iPO4M5RCRjy6nZY0TY/edit#gid=0"",""Table 1: Study characteristics!A4:A171""), $A1462=IMPORTRANGE(""https://docs.google.com/spreadsheets/d/1kGrh75X1cNR1D7_FcY9zMnHP8iPO4M5RCRjy6nZY0TY/"&amp;"edit#gid=0"",""Table 1: Study characteristics!B4:B171"")))&gt;0
),
""Include""
)"),"Exclude")</f>
        <v>Exclude</v>
      </c>
      <c r="G1462" s="5" t="str">
        <f>IFERROR(__xludf.DUMMYFUNCTION("IFS(
D1462=""Exclude"",
FILTER(IMPORTRANGE(""https://docs.google.com/spreadsheets/d/1BJSV3WBYJGRhQ6zExamkszQ5VutGIcaQqmbD9ZTVXMQ/edit#gid=1251630045"",""articles_with_PRISMA_reasons!AB2:AB2113""), $A1462=IMPORTRANGE(""https://docs.google.com/spreadsheets/"&amp;"d/1BJSV3WBYJGRhQ6zExamkszQ5VutGIcaQqmbD9ZTVXMQ/edit#gid=1251630045"",""articles_with_PRISMA_reasons!B2:B2113"")),
E1462=""Exclude"",
FILTER(IMPORTRANGE(""https://docs.google.com/spreadsheets/d/1qpEmbGH0JjaJbUdp21-y2cPbobDbMjr09BbtdKROZWc/edit#gid=14448656"&amp;"54"",""articles_with_PRISMA_reasons!Z2:Z2113""), $A1462=IMPORTRANGE(""https://docs.google.com/spreadsheets/d/1qpEmbGH0JjaJbUdp21-y2cPbobDbMjr09BbtdKROZWc/edit#gid=1444865654"",""articles_with_PRISMA_reasons!B2:B2113"")),F1462
=""Include"",FILTER(IMPORTRAN"&amp;"GE(""https://docs.google.com/spreadsheets/d/1kGrh75X1cNR1D7_FcY9zMnHP8iPO4M5RCRjy6nZY0TY/edit#gid=0"",""Table 1: Study characteristics!A4:A171""), $A1462=IMPORTRANGE(""https://docs.google.com/spreadsheets/d/1kGrh75X1cNR1D7_FcY9zMnHP8iPO4M5RCRjy6nZY0TY/edi"&amp;"t#gid=0"",""Table 1: Study characteristics!B4:B171""))
)"),"text not accessible")</f>
        <v>text not accessible</v>
      </c>
    </row>
    <row r="1463">
      <c r="A1463" s="4" t="str">
        <f>IFERROR(__xludf.DUMMYFUNCTION("""COMPUTED_VALUE"""),"Posterior Cranial Fossa Maldevelopment in Infants with Repaired Open Myelomeningoceles: Double Trouble or a Dynamic Process of Posterior Cranial Fossa Abnormalities?")</f>
        <v>Posterior Cranial Fossa Maldevelopment in Infants with Repaired Open Myelomeningoceles: Double Trouble or a Dynamic Process of Posterior Cranial Fossa Abnormalities?</v>
      </c>
      <c r="B1463" s="5" t="str">
        <f>IFERROR(__xludf.DUMMYFUNCTION("LEFT(FILTER(IMPORTRANGE(""https://docs.google.com/spreadsheets/d/1BJSV3WBYJGRhQ6zExamkszQ5VutGIcaQqmbD9ZTVXMQ/edit#gid=1251630045"",""articles_with_PRISMA_reasons!K2:K2113""), $A1463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$A1463=IMPORTRANGE(""https://docs.google.com/spreadsheets/d/1BJSV3WBYJGRhQ6zExamkszQ5VutGIcaQqmbD9ZTVXMQ/edit#gid=1251630045"",""articles_with_PRISMA_reasons!B2:B2113"")))-1)"),"Cal and relli")</f>
        <v>Cal and relli</v>
      </c>
      <c r="C1463" s="6">
        <f>IFERROR(__xludf.DUMMYFUNCTION("FILTER(IMPORTRANGE(""https://docs.google.com/spreadsheets/d/1BJSV3WBYJGRhQ6zExamkszQ5VutGIcaQqmbD9ZTVXMQ/edit#gid=1251630045"",""articles_with_PRISMA_reasons!C2:C2113""), $A1463=IMPORTRANGE(""https://docs.google.com/spreadsheets/d/1BJSV3WBYJGRhQ6zExamkszQ"&amp;"5VutGIcaQqmbD9ZTVXMQ/edit#gid=1251630045"",""articles_with_PRISMA_reasons!B2:B2113""))"),2020.0)</f>
        <v>2020</v>
      </c>
      <c r="D1463" s="5" t="str">
        <f>IFERROR(__xludf.DUMMYFUNCTION("IFS(AND(
FILTER(IMPORTRANGE(""https://docs.google.com/spreadsheets/d/1BJSV3WBYJGRhQ6zExamkszQ5VutGIcaQqmbD9ZTVXMQ/edit#gid=1251630045"",""articles_with_PRISMA_reasons!Y2:Y2113""), $A1463=IMPORTRANGE(""https://docs.google.com/spreadsheets/d/1BJSV3WBYJGRhQ6"&amp;"zExamkszQ5VutGIcaQqmbD9ZTVXMQ/edit#gid=1251630045"",""articles_with_PRISMA_reasons!B2:B2113""))&gt;=2,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$A1463=IMPORTRANGE(""https://docs.google.com/spreadsheets/d/1BJSV3WBYJGRhQ6zExamkszQ5VutGIcaQqmbD9ZTVXMQ/edit#gid=1251630045"",""articles_with_PRISMA_reasons!B2:B2113""))&lt;2),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$A1463=IMPORTRANGE(""https://docs.google.com/spreadsheets/d/1BJSV3WBYJGRhQ6zExamkszQ5VutGIcaQqmbD9ZTVXMQ/edit#gid=1251630045"",""a"&amp;"rticles_with_PRISMA_reasons!B2:B2113""))&lt;2,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$A1463=IMPORTRANGE(""https://docs.google"&amp;".com/spreadsheets/d/1BJSV3WBYJGRhQ6zExamkszQ5VutGIcaQqmbD9ZTVXMQ/edit#gid=1251630045"",""articles_with_PRISMA_reasons!B2:B2113""))&gt;=2),
""Exclude""
)"),"Exclude")</f>
        <v>Exclude</v>
      </c>
      <c r="E1463" s="5" t="str">
        <f>IFERROR(__xludf.DUMMYFUNCTION("IFS(
D1463=""Exclude"",""Exclude"",
AND(
FILTER(IMPORTRANGE(""https://docs.google.com/spreadsheets/d/1qpEmbGH0JjaJbUdp21-y2cPbobDbMjr09BbtdKROZWc/edit#gid=1444865654"",""articles_with_PRISMA_reasons!W2:W2113""), $A1463=IMPORTRANGE(""https://docs.google.co"&amp;"m/spreadsheets/d/1qpEmbGH0JjaJbUdp21-y2cPbobDbMjr09BbtdKROZWc/edit#gid=1444865654"",""articles_with_PRISMA_reasons!B2:B2113""))&gt;=2,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$A1463=IMPORTRANGE(""https://docs.google.com/spreadsheets/d/1qpEmbGH0JjaJbUdp21-y2cPbobDbMjr09BbtdKROZWc/edit#gid=1444865654"",""articles_with_PRISMA_reasons!B2:B2113""))&lt;2),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$A1463=IMPORTRANGE(""https://docs.google.com/spreadsheets/d/1qpEmbGH0JjaJbUdp21-y2cPbobDbMjr09Bbtd"&amp;"KROZWc/edit#gid=1444865654"",""articles_with_PRISMA_reasons!B2:B2113""))&lt;2,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$A1463=I"&amp;"MPORTRANGE(""https://docs.google.com/spreadsheets/d/1qpEmbGH0JjaJbUdp21-y2cPbobDbMjr09BbtdKROZWc/edit#gid=1444865654"",""articles_with_PRISMA_reasons!B2:B2113""))&gt;=2),
""Exclude""
)"),"Exclude")</f>
        <v>Exclude</v>
      </c>
      <c r="F1463" s="5" t="str">
        <f>IFERROR(__xludf.DUMMYFUNCTION("IFS(
E1463=""Exclude"",""Exclude"",
AND(
COUNTIF(
IMPORTRANGE(""https://docs.google.com/spreadsheets/d/1kGrh75X1cNR1D7_FcY9zMnHP8iPO4M5RCRjy6nZY0TY/edit#gid=0"",""Table 1: Study characteristics!B4:B171""),A1463)&gt;0,
COUNTIF(Studies!$A$2:$A$85,FILTER(IMPORT"&amp;"RANGE(""https://docs.google.com/spreadsheets/d/1kGrh75X1cNR1D7_FcY9zMnHP8iPO4M5RCRjy6nZY0TY/edit#gid=0"",""Table 1: Study characteristics!A4:A171""), $A1463=IMPORTRANGE(""https://docs.google.com/spreadsheets/d/1kGrh75X1cNR1D7_FcY9zMnHP8iPO4M5RCRjy6nZY0TY/"&amp;"edit#gid=0"",""Table 1: Study characteristics!B4:B171"")))&gt;0
),
""Include""
)"),"Exclude")</f>
        <v>Exclude</v>
      </c>
      <c r="G1463" s="5" t="str">
        <f>IFERROR(__xludf.DUMMYFUNCTION("IFS(
D1463=""Exclude"",
FILTER(IMPORTRANGE(""https://docs.google.com/spreadsheets/d/1BJSV3WBYJGRhQ6zExamkszQ5VutGIcaQqmbD9ZTVXMQ/edit#gid=1251630045"",""articles_with_PRISMA_reasons!AB2:AB2113""), $A1463=IMPORTRANGE(""https://docs.google.com/spreadsheets/"&amp;"d/1BJSV3WBYJGRhQ6zExamkszQ5VutGIcaQqmbD9ZTVXMQ/edit#gid=1251630045"",""articles_with_PRISMA_reasons!B2:B2113"")),
E1463=""Exclude"",
FILTER(IMPORTRANGE(""https://docs.google.com/spreadsheets/d/1qpEmbGH0JjaJbUdp21-y2cPbobDbMjr09BbtdKROZWc/edit#gid=14448656"&amp;"54"",""articles_with_PRISMA_reasons!Z2:Z2113""), $A1463=IMPORTRANGE(""https://docs.google.com/spreadsheets/d/1qpEmbGH0JjaJbUdp21-y2cPbobDbMjr09BbtdKROZWc/edit#gid=1444865654"",""articles_with_PRISMA_reasons!B2:B2113"")),F1463
=""Include"",FILTER(IMPORTRAN"&amp;"GE(""https://docs.google.com/spreadsheets/d/1kGrh75X1cNR1D7_FcY9zMnHP8iPO4M5RCRjy6nZY0TY/edit#gid=0"",""Table 1: Study characteristics!A4:A171""), $A1463=IMPORTRANGE(""https://docs.google.com/spreadsheets/d/1kGrh75X1cNR1D7_FcY9zMnHP8iPO4M5RCRjy6nZY0TY/edi"&amp;"t#gid=0"",""Table 1: Study characteristics!B4:B171""))
)"),"wrong population")</f>
        <v>wrong population</v>
      </c>
    </row>
    <row r="1464">
      <c r="A1464" s="4" t="str">
        <f>IFERROR(__xludf.DUMMYFUNCTION("""COMPUTED_VALUE"""),"Posterior fossa malformations: main features and limits in prenatal diagnosis")</f>
        <v>Posterior fossa malformations: main features and limits in prenatal diagnosis</v>
      </c>
      <c r="B1464" s="5" t="str">
        <f>IFERROR(__xludf.DUMMYFUNCTION("LEFT(FILTER(IMPORTRANGE(""https://docs.google.com/spreadsheets/d/1BJSV3WBYJGRhQ6zExamkszQ5VutGIcaQqmbD9ZTVXMQ/edit#gid=1251630045"",""articles_with_PRISMA_reasons!K2:K2113""), $A1464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$A1464=IMPORTRANGE(""https://docs.google.com/spreadsheets/d/1BJSV3WBYJGRhQ6zExamkszQ5VutGIcaQqmbD9ZTVXMQ/edit#gid=1251630045"",""articles_with_PRISMA_reasons!B2:B2113"")))-1)"),"Garel")</f>
        <v>Garel</v>
      </c>
      <c r="C1464" s="6">
        <f>IFERROR(__xludf.DUMMYFUNCTION("FILTER(IMPORTRANGE(""https://docs.google.com/spreadsheets/d/1BJSV3WBYJGRhQ6zExamkszQ5VutGIcaQqmbD9ZTVXMQ/edit#gid=1251630045"",""articles_with_PRISMA_reasons!C2:C2113""), $A1464=IMPORTRANGE(""https://docs.google.com/spreadsheets/d/1BJSV3WBYJGRhQ6zExamkszQ"&amp;"5VutGIcaQqmbD9ZTVXMQ/edit#gid=1251630045"",""articles_with_PRISMA_reasons!B2:B2113""))"),2010.0)</f>
        <v>2010</v>
      </c>
      <c r="D1464" s="5" t="str">
        <f>IFERROR(__xludf.DUMMYFUNCTION("IFS(AND(
FILTER(IMPORTRANGE(""https://docs.google.com/spreadsheets/d/1BJSV3WBYJGRhQ6zExamkszQ5VutGIcaQqmbD9ZTVXMQ/edit#gid=1251630045"",""articles_with_PRISMA_reasons!Y2:Y2113""), $A1464=IMPORTRANGE(""https://docs.google.com/spreadsheets/d/1BJSV3WBYJGRhQ6"&amp;"zExamkszQ5VutGIcaQqmbD9ZTVXMQ/edit#gid=1251630045"",""articles_with_PRISMA_reasons!B2:B2113""))&gt;=2,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$A1464=IMPORTRANGE(""https://docs.google.com/spreadsheets/d/1BJSV3WBYJGRhQ6zExamkszQ5VutGIcaQqmbD9ZTVXMQ/edit#gid=1251630045"",""articles_with_PRISMA_reasons!B2:B2113""))&lt;2),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$A1464=IMPORTRANGE(""https://docs.google.com/spreadsheets/d/1BJSV3WBYJGRhQ6zExamkszQ5VutGIcaQqmbD9ZTVXMQ/edit#gid=1251630045"",""a"&amp;"rticles_with_PRISMA_reasons!B2:B2113""))&lt;2,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$A1464=IMPORTRANGE(""https://docs.google"&amp;".com/spreadsheets/d/1BJSV3WBYJGRhQ6zExamkszQ5VutGIcaQqmbD9ZTVXMQ/edit#gid=1251630045"",""articles_with_PRISMA_reasons!B2:B2113""))&gt;=2),
""Exclude""
)"),"Exclude")</f>
        <v>Exclude</v>
      </c>
      <c r="E1464" s="5" t="str">
        <f>IFERROR(__xludf.DUMMYFUNCTION("IFS(
D1464=""Exclude"",""Exclude"",
AND(
FILTER(IMPORTRANGE(""https://docs.google.com/spreadsheets/d/1qpEmbGH0JjaJbUdp21-y2cPbobDbMjr09BbtdKROZWc/edit#gid=1444865654"",""articles_with_PRISMA_reasons!W2:W2113""), $A1464=IMPORTRANGE(""https://docs.google.co"&amp;"m/spreadsheets/d/1qpEmbGH0JjaJbUdp21-y2cPbobDbMjr09BbtdKROZWc/edit#gid=1444865654"",""articles_with_PRISMA_reasons!B2:B2113""))&gt;=2,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$A1464=IMPORTRANGE(""https://docs.google.com/spreadsheets/d/1qpEmbGH0JjaJbUdp21-y2cPbobDbMjr09BbtdKROZWc/edit#gid=1444865654"",""articles_with_PRISMA_reasons!B2:B2113""))&lt;2),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$A1464=IMPORTRANGE(""https://docs.google.com/spreadsheets/d/1qpEmbGH0JjaJbUdp21-y2cPbobDbMjr09Bbtd"&amp;"KROZWc/edit#gid=1444865654"",""articles_with_PRISMA_reasons!B2:B2113""))&lt;2,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$A1464=I"&amp;"MPORTRANGE(""https://docs.google.com/spreadsheets/d/1qpEmbGH0JjaJbUdp21-y2cPbobDbMjr09BbtdKROZWc/edit#gid=1444865654"",""articles_with_PRISMA_reasons!B2:B2113""))&gt;=2),
""Exclude""
)"),"Exclude")</f>
        <v>Exclude</v>
      </c>
      <c r="F1464" s="5" t="str">
        <f>IFERROR(__xludf.DUMMYFUNCTION("IFS(
E1464=""Exclude"",""Exclude"",
AND(
COUNTIF(
IMPORTRANGE(""https://docs.google.com/spreadsheets/d/1kGrh75X1cNR1D7_FcY9zMnHP8iPO4M5RCRjy6nZY0TY/edit#gid=0"",""Table 1: Study characteristics!B4:B171""),A1464)&gt;0,
COUNTIF(Studies!$A$2:$A$85,FILTER(IMPORT"&amp;"RANGE(""https://docs.google.com/spreadsheets/d/1kGrh75X1cNR1D7_FcY9zMnHP8iPO4M5RCRjy6nZY0TY/edit#gid=0"",""Table 1: Study characteristics!A4:A171""), $A1464=IMPORTRANGE(""https://docs.google.com/spreadsheets/d/1kGrh75X1cNR1D7_FcY9zMnHP8iPO4M5RCRjy6nZY0TY/"&amp;"edit#gid=0"",""Table 1: Study characteristics!B4:B171"")))&gt;0
),
""Include""
)"),"Exclude")</f>
        <v>Exclude</v>
      </c>
      <c r="G1464" s="5" t="str">
        <f>IFERROR(__xludf.DUMMYFUNCTION("IFS(
D1464=""Exclude"",
FILTER(IMPORTRANGE(""https://docs.google.com/spreadsheets/d/1BJSV3WBYJGRhQ6zExamkszQ5VutGIcaQqmbD9ZTVXMQ/edit#gid=1251630045"",""articles_with_PRISMA_reasons!AB2:AB2113""), $A1464=IMPORTRANGE(""https://docs.google.com/spreadsheets/"&amp;"d/1BJSV3WBYJGRhQ6zExamkszQ5VutGIcaQqmbD9ZTVXMQ/edit#gid=1251630045"",""articles_with_PRISMA_reasons!B2:B2113"")),
E1464=""Exclude"",
FILTER(IMPORTRANGE(""https://docs.google.com/spreadsheets/d/1qpEmbGH0JjaJbUdp21-y2cPbobDbMjr09BbtdKROZWc/edit#gid=14448656"&amp;"54"",""articles_with_PRISMA_reasons!Z2:Z2113""), $A1464=IMPORTRANGE(""https://docs.google.com/spreadsheets/d/1qpEmbGH0JjaJbUdp21-y2cPbobDbMjr09BbtdKROZWc/edit#gid=1444865654"",""articles_with_PRISMA_reasons!B2:B2113"")),F1464
=""Include"",FILTER(IMPORTRAN"&amp;"GE(""https://docs.google.com/spreadsheets/d/1kGrh75X1cNR1D7_FcY9zMnHP8iPO4M5RCRjy6nZY0TY/edit#gid=0"",""Table 1: Study characteristics!A4:A171""), $A1464=IMPORTRANGE(""https://docs.google.com/spreadsheets/d/1kGrh75X1cNR1D7_FcY9zMnHP8iPO4M5RCRjy6nZY0TY/edi"&amp;"t#gid=0"",""Table 1: Study characteristics!B4:B171""))
)"),"wrong study design")</f>
        <v>wrong study design</v>
      </c>
    </row>
    <row r="1465">
      <c r="A1465" s="7" t="str">
        <f>IFERROR(__xludf.DUMMYFUNCTION("""COMPUTED_VALUE"""),"Posterior fossa measurements. II. Size of the posterior fossa in myelomeningocele")</f>
        <v>Posterior fossa measurements. II. Size of the posterior fossa in myelomeningocele</v>
      </c>
      <c r="B1465" s="8" t="str">
        <f>IFERROR(__xludf.DUMMYFUNCTION("LEFT(FILTER(IMPORTRANGE(""https://docs.google.com/spreadsheets/d/1BJSV3WBYJGRhQ6zExamkszQ5VutGIcaQqmbD9ZTVXMQ/edit#gid=1251630045"",""articles_with_PRISMA_reasons!K2:K2113""), $A1465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$A1465=IMPORTRANGE(""https://docs.google.com/spreadsheets/d/1BJSV3WBYJGRhQ6zExamkszQ5VutGIcaQqmbD9ZTVXMQ/edit#gid=1251630045"",""articles_with_PRISMA_reasons!B2:B2113"")))-1)"),"Krogness")</f>
        <v>Krogness</v>
      </c>
      <c r="C1465" s="9">
        <f>IFERROR(__xludf.DUMMYFUNCTION("FILTER(IMPORTRANGE(""https://docs.google.com/spreadsheets/d/1BJSV3WBYJGRhQ6zExamkszQ5VutGIcaQqmbD9ZTVXMQ/edit#gid=1251630045"",""articles_with_PRISMA_reasons!C2:C2113""), $A1465=IMPORTRANGE(""https://docs.google.com/spreadsheets/d/1BJSV3WBYJGRhQ6zExamkszQ"&amp;"5VutGIcaQqmbD9ZTVXMQ/edit#gid=1251630045"",""articles_with_PRISMA_reasons!B2:B2113""))"),1978.0)</f>
        <v>1978</v>
      </c>
      <c r="D1465" s="8" t="str">
        <f>IFERROR(__xludf.DUMMYFUNCTION("IFS(AND(
FILTER(IMPORTRANGE(""https://docs.google.com/spreadsheets/d/1BJSV3WBYJGRhQ6zExamkszQ5VutGIcaQqmbD9ZTVXMQ/edit#gid=1251630045"",""articles_with_PRISMA_reasons!Y2:Y2113""), $A1465=IMPORTRANGE(""https://docs.google.com/spreadsheets/d/1BJSV3WBYJGRhQ6"&amp;"zExamkszQ5VutGIcaQqmbD9ZTVXMQ/edit#gid=1251630045"",""articles_with_PRISMA_reasons!B2:B2113""))&gt;=2,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$A1465=IMPORTRANGE(""https://docs.google.com/spreadsheets/d/1BJSV3WBYJGRhQ6zExamkszQ5VutGIcaQqmbD9ZTVXMQ/edit#gid=1251630045"",""articles_with_PRISMA_reasons!B2:B2113""))&lt;2),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$A1465=IMPORTRANGE(""https://docs.google.com/spreadsheets/d/1BJSV3WBYJGRhQ6zExamkszQ5VutGIcaQqmbD9ZTVXMQ/edit#gid=1251630045"",""a"&amp;"rticles_with_PRISMA_reasons!B2:B2113""))&lt;2,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$A1465=IMPORTRANGE(""https://docs.google"&amp;".com/spreadsheets/d/1BJSV3WBYJGRhQ6zExamkszQ5VutGIcaQqmbD9ZTVXMQ/edit#gid=1251630045"",""articles_with_PRISMA_reasons!B2:B2113""))&gt;=2),
""Exclude""
)"),"Include")</f>
        <v>Include</v>
      </c>
      <c r="E1465" s="8" t="str">
        <f>IFERROR(__xludf.DUMMYFUNCTION("IFS(
D1465=""Exclude"",""Exclude"",
AND(
FILTER(IMPORTRANGE(""https://docs.google.com/spreadsheets/d/1qpEmbGH0JjaJbUdp21-y2cPbobDbMjr09BbtdKROZWc/edit#gid=1444865654"",""articles_with_PRISMA_reasons!W2:W2113""), $A1465=IMPORTRANGE(""https://docs.google.co"&amp;"m/spreadsheets/d/1qpEmbGH0JjaJbUdp21-y2cPbobDbMjr09BbtdKROZWc/edit#gid=1444865654"",""articles_with_PRISMA_reasons!B2:B2113""))&gt;=2,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$A1465=IMPORTRANGE(""https://docs.google.com/spreadsheets/d/1qpEmbGH0JjaJbUdp21-y2cPbobDbMjr09BbtdKROZWc/edit#gid=1444865654"",""articles_with_PRISMA_reasons!B2:B2113""))&lt;2),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$A1465=IMPORTRANGE(""https://docs.google.com/spreadsheets/d/1qpEmbGH0JjaJbUdp21-y2cPbobDbMjr09Bbtd"&amp;"KROZWc/edit#gid=1444865654"",""articles_with_PRISMA_reasons!B2:B2113""))&lt;2,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$A1465=I"&amp;"MPORTRANGE(""https://docs.google.com/spreadsheets/d/1qpEmbGH0JjaJbUdp21-y2cPbobDbMjr09BbtdKROZWc/edit#gid=1444865654"",""articles_with_PRISMA_reasons!B2:B2113""))&gt;=2),
""Exclude""
)"),"Include")</f>
        <v>Include</v>
      </c>
      <c r="F1465" s="10" t="s">
        <v>8</v>
      </c>
      <c r="G1465" s="10" t="s">
        <v>9</v>
      </c>
    </row>
    <row r="1466">
      <c r="A1466" s="4" t="str">
        <f>IFERROR(__xludf.DUMMYFUNCTION("""COMPUTED_VALUE"""),"Postfolate spina bifida lesion level change")</f>
        <v>Postfolate spina bifida lesion level change</v>
      </c>
      <c r="B1466" s="5" t="str">
        <f>IFERROR(__xludf.DUMMYFUNCTION("LEFT(FILTER(IMPORTRANGE(""https://docs.google.com/spreadsheets/d/1BJSV3WBYJGRhQ6zExamkszQ5VutGIcaQqmbD9ZTVXMQ/edit#gid=1251630045"",""articles_with_PRISMA_reasons!K2:K2113""), $A1466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$A1466=IMPORTRANGE(""https://docs.google.com/spreadsheets/d/1BJSV3WBYJGRhQ6zExamkszQ5VutGIcaQqmbD9ZTVXMQ/edit#gid=1251630045"",""articles_with_PRISMA_reasons!B2:B2113"")))-1)"),"Eldridge")</f>
        <v>Eldridge</v>
      </c>
      <c r="C1466" s="6">
        <f>IFERROR(__xludf.DUMMYFUNCTION("FILTER(IMPORTRANGE(""https://docs.google.com/spreadsheets/d/1BJSV3WBYJGRhQ6zExamkszQ5VutGIcaQqmbD9ZTVXMQ/edit#gid=1251630045"",""articles_with_PRISMA_reasons!C2:C2113""), $A1466=IMPORTRANGE(""https://docs.google.com/spreadsheets/d/1BJSV3WBYJGRhQ6zExamkszQ"&amp;"5VutGIcaQqmbD9ZTVXMQ/edit#gid=1251630045"",""articles_with_PRISMA_reasons!B2:B2113""))"),2018.0)</f>
        <v>2018</v>
      </c>
      <c r="D1466" s="5" t="str">
        <f>IFERROR(__xludf.DUMMYFUNCTION("IFS(AND(
FILTER(IMPORTRANGE(""https://docs.google.com/spreadsheets/d/1BJSV3WBYJGRhQ6zExamkszQ5VutGIcaQqmbD9ZTVXMQ/edit#gid=1251630045"",""articles_with_PRISMA_reasons!Y2:Y2113""), $A1466=IMPORTRANGE(""https://docs.google.com/spreadsheets/d/1BJSV3WBYJGRhQ6"&amp;"zExamkszQ5VutGIcaQqmbD9ZTVXMQ/edit#gid=1251630045"",""articles_with_PRISMA_reasons!B2:B2113""))&gt;=2,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$A1466=IMPORTRANGE(""https://docs.google.com/spreadsheets/d/1BJSV3WBYJGRhQ6zExamkszQ5VutGIcaQqmbD9ZTVXMQ/edit#gid=1251630045"",""articles_with_PRISMA_reasons!B2:B2113""))&lt;2),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$A1466=IMPORTRANGE(""https://docs.google.com/spreadsheets/d/1BJSV3WBYJGRhQ6zExamkszQ5VutGIcaQqmbD9ZTVXMQ/edit#gid=1251630045"",""a"&amp;"rticles_with_PRISMA_reasons!B2:B2113""))&lt;2,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$A1466=IMPORTRANGE(""https://docs.google"&amp;".com/spreadsheets/d/1BJSV3WBYJGRhQ6zExamkszQ5VutGIcaQqmbD9ZTVXMQ/edit#gid=1251630045"",""articles_with_PRISMA_reasons!B2:B2113""))&gt;=2),
""Exclude""
)"),"Exclude")</f>
        <v>Exclude</v>
      </c>
      <c r="E1466" s="5" t="str">
        <f>IFERROR(__xludf.DUMMYFUNCTION("IFS(
D1466=""Exclude"",""Exclude"",
AND(
FILTER(IMPORTRANGE(""https://docs.google.com/spreadsheets/d/1qpEmbGH0JjaJbUdp21-y2cPbobDbMjr09BbtdKROZWc/edit#gid=1444865654"",""articles_with_PRISMA_reasons!W2:W2113""), $A1466=IMPORTRANGE(""https://docs.google.co"&amp;"m/spreadsheets/d/1qpEmbGH0JjaJbUdp21-y2cPbobDbMjr09BbtdKROZWc/edit#gid=1444865654"",""articles_with_PRISMA_reasons!B2:B2113""))&gt;=2,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$A1466=IMPORTRANGE(""https://docs.google.com/spreadsheets/d/1qpEmbGH0JjaJbUdp21-y2cPbobDbMjr09BbtdKROZWc/edit#gid=1444865654"",""articles_with_PRISMA_reasons!B2:B2113""))&lt;2),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$A1466=IMPORTRANGE(""https://docs.google.com/spreadsheets/d/1qpEmbGH0JjaJbUdp21-y2cPbobDbMjr09Bbtd"&amp;"KROZWc/edit#gid=1444865654"",""articles_with_PRISMA_reasons!B2:B2113""))&lt;2,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$A1466=I"&amp;"MPORTRANGE(""https://docs.google.com/spreadsheets/d/1qpEmbGH0JjaJbUdp21-y2cPbobDbMjr09BbtdKROZWc/edit#gid=1444865654"",""articles_with_PRISMA_reasons!B2:B2113""))&gt;=2),
""Exclude""
)"),"Exclude")</f>
        <v>Exclude</v>
      </c>
      <c r="F1466" s="5" t="str">
        <f>IFERROR(__xludf.DUMMYFUNCTION("IFS(
E1466=""Exclude"",""Exclude"",
AND(
COUNTIF(
IMPORTRANGE(""https://docs.google.com/spreadsheets/d/1kGrh75X1cNR1D7_FcY9zMnHP8iPO4M5RCRjy6nZY0TY/edit#gid=0"",""Table 1: Study characteristics!B4:B171""),A1466)&gt;0,
COUNTIF(Studies!$A$2:$A$85,FILTER(IMPORT"&amp;"RANGE(""https://docs.google.com/spreadsheets/d/1kGrh75X1cNR1D7_FcY9zMnHP8iPO4M5RCRjy6nZY0TY/edit#gid=0"",""Table 1: Study characteristics!A4:A171""), $A1466=IMPORTRANGE(""https://docs.google.com/spreadsheets/d/1kGrh75X1cNR1D7_FcY9zMnHP8iPO4M5RCRjy6nZY0TY/"&amp;"edit#gid=0"",""Table 1: Study characteristics!B4:B171"")))&gt;0
),
""Include""
)"),"Exclude")</f>
        <v>Exclude</v>
      </c>
      <c r="G1466" s="5" t="str">
        <f>IFERROR(__xludf.DUMMYFUNCTION("IFS(
D1466=""Exclude"",
FILTER(IMPORTRANGE(""https://docs.google.com/spreadsheets/d/1BJSV3WBYJGRhQ6zExamkszQ5VutGIcaQqmbD9ZTVXMQ/edit#gid=1251630045"",""articles_with_PRISMA_reasons!AB2:AB2113""), $A1466=IMPORTRANGE(""https://docs.google.com/spreadsheets/"&amp;"d/1BJSV3WBYJGRhQ6zExamkszQ5VutGIcaQqmbD9ZTVXMQ/edit#gid=1251630045"",""articles_with_PRISMA_reasons!B2:B2113"")),
E1466=""Exclude"",
FILTER(IMPORTRANGE(""https://docs.google.com/spreadsheets/d/1qpEmbGH0JjaJbUdp21-y2cPbobDbMjr09BbtdKROZWc/edit#gid=14448656"&amp;"54"",""articles_with_PRISMA_reasons!Z2:Z2113""), $A1466=IMPORTRANGE(""https://docs.google.com/spreadsheets/d/1qpEmbGH0JjaJbUdp21-y2cPbobDbMjr09BbtdKROZWc/edit#gid=1444865654"",""articles_with_PRISMA_reasons!B2:B2113"")),F1466
=""Include"",FILTER(IMPORTRAN"&amp;"GE(""https://docs.google.com/spreadsheets/d/1kGrh75X1cNR1D7_FcY9zMnHP8iPO4M5RCRjy6nZY0TY/edit#gid=0"",""Table 1: Study characteristics!A4:A171""), $A1466=IMPORTRANGE(""https://docs.google.com/spreadsheets/d/1kGrh75X1cNR1D7_FcY9zMnHP8iPO4M5RCRjy6nZY0TY/edi"&amp;"t#gid=0"",""Table 1: Study characteristics!B4:B171""))
)"),"background article")</f>
        <v>background article</v>
      </c>
    </row>
    <row r="1467">
      <c r="A1467" s="4" t="str">
        <f>IFERROR(__xludf.DUMMYFUNCTION("""COMPUTED_VALUE"""),"Postmortem MR imaging of the fetal and stillborn central nervous system")</f>
        <v>Postmortem MR imaging of the fetal and stillborn central nervous system</v>
      </c>
      <c r="B1467" s="5" t="str">
        <f>IFERROR(__xludf.DUMMYFUNCTION("LEFT(FILTER(IMPORTRANGE(""https://docs.google.com/spreadsheets/d/1BJSV3WBYJGRhQ6zExamkszQ5VutGIcaQqmbD9ZTVXMQ/edit#gid=1251630045"",""articles_with_PRISMA_reasons!K2:K2113""), $A1467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$A1467=IMPORTRANGE(""https://docs.google.com/spreadsheets/d/1BJSV3WBYJGRhQ6zExamkszQ5VutGIcaQqmbD9ZTVXMQ/edit#gid=1251630045"",""articles_with_PRISMA_reasons!B2:B2113"")))-1)"),"Jones")</f>
        <v>Jones</v>
      </c>
      <c r="C1467" s="6">
        <f>IFERROR(__xludf.DUMMYFUNCTION("FILTER(IMPORTRANGE(""https://docs.google.com/spreadsheets/d/1BJSV3WBYJGRhQ6zExamkszQ5VutGIcaQqmbD9ZTVXMQ/edit#gid=1251630045"",""articles_with_PRISMA_reasons!C2:C2113""), $A1467=IMPORTRANGE(""https://docs.google.com/spreadsheets/d/1BJSV3WBYJGRhQ6zExamkszQ"&amp;"5VutGIcaQqmbD9ZTVXMQ/edit#gid=1251630045"",""articles_with_PRISMA_reasons!B2:B2113""))"),2003.0)</f>
        <v>2003</v>
      </c>
      <c r="D1467" s="5" t="str">
        <f>IFERROR(__xludf.DUMMYFUNCTION("IFS(AND(
FILTER(IMPORTRANGE(""https://docs.google.com/spreadsheets/d/1BJSV3WBYJGRhQ6zExamkszQ5VutGIcaQqmbD9ZTVXMQ/edit#gid=1251630045"",""articles_with_PRISMA_reasons!Y2:Y2113""), $A1467=IMPORTRANGE(""https://docs.google.com/spreadsheets/d/1BJSV3WBYJGRhQ6"&amp;"zExamkszQ5VutGIcaQqmbD9ZTVXMQ/edit#gid=1251630045"",""articles_with_PRISMA_reasons!B2:B2113""))&gt;=2,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$A1467=IMPORTRANGE(""https://docs.google.com/spreadsheets/d/1BJSV3WBYJGRhQ6zExamkszQ5VutGIcaQqmbD9ZTVXMQ/edit#gid=1251630045"",""articles_with_PRISMA_reasons!B2:B2113""))&lt;2),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$A1467=IMPORTRANGE(""https://docs.google.com/spreadsheets/d/1BJSV3WBYJGRhQ6zExamkszQ5VutGIcaQqmbD9ZTVXMQ/edit#gid=1251630045"",""a"&amp;"rticles_with_PRISMA_reasons!B2:B2113""))&lt;2,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$A1467=IMPORTRANGE(""https://docs.google"&amp;".com/spreadsheets/d/1BJSV3WBYJGRhQ6zExamkszQ5VutGIcaQqmbD9ZTVXMQ/edit#gid=1251630045"",""articles_with_PRISMA_reasons!B2:B2113""))&gt;=2),
""Exclude""
)"),"Exclude")</f>
        <v>Exclude</v>
      </c>
      <c r="E1467" s="5" t="str">
        <f>IFERROR(__xludf.DUMMYFUNCTION("IFS(
D1467=""Exclude"",""Exclude"",
AND(
FILTER(IMPORTRANGE(""https://docs.google.com/spreadsheets/d/1qpEmbGH0JjaJbUdp21-y2cPbobDbMjr09BbtdKROZWc/edit#gid=1444865654"",""articles_with_PRISMA_reasons!W2:W2113""), $A1467=IMPORTRANGE(""https://docs.google.co"&amp;"m/spreadsheets/d/1qpEmbGH0JjaJbUdp21-y2cPbobDbMjr09BbtdKROZWc/edit#gid=1444865654"",""articles_with_PRISMA_reasons!B2:B2113""))&gt;=2,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$A1467=IMPORTRANGE(""https://docs.google.com/spreadsheets/d/1qpEmbGH0JjaJbUdp21-y2cPbobDbMjr09BbtdKROZWc/edit#gid=1444865654"",""articles_with_PRISMA_reasons!B2:B2113""))&lt;2),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$A1467=IMPORTRANGE(""https://docs.google.com/spreadsheets/d/1qpEmbGH0JjaJbUdp21-y2cPbobDbMjr09Bbtd"&amp;"KROZWc/edit#gid=1444865654"",""articles_with_PRISMA_reasons!B2:B2113""))&lt;2,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$A1467=I"&amp;"MPORTRANGE(""https://docs.google.com/spreadsheets/d/1qpEmbGH0JjaJbUdp21-y2cPbobDbMjr09BbtdKROZWc/edit#gid=1444865654"",""articles_with_PRISMA_reasons!B2:B2113""))&gt;=2),
""Exclude""
)"),"Exclude")</f>
        <v>Exclude</v>
      </c>
      <c r="F1467" s="5" t="str">
        <f>IFERROR(__xludf.DUMMYFUNCTION("IFS(
E1467=""Exclude"",""Exclude"",
AND(
COUNTIF(
IMPORTRANGE(""https://docs.google.com/spreadsheets/d/1kGrh75X1cNR1D7_FcY9zMnHP8iPO4M5RCRjy6nZY0TY/edit#gid=0"",""Table 1: Study characteristics!B4:B171""),A1467)&gt;0,
COUNTIF(Studies!$A$2:$A$85,FILTER(IMPORT"&amp;"RANGE(""https://docs.google.com/spreadsheets/d/1kGrh75X1cNR1D7_FcY9zMnHP8iPO4M5RCRjy6nZY0TY/edit#gid=0"",""Table 1: Study characteristics!A4:A171""), $A1467=IMPORTRANGE(""https://docs.google.com/spreadsheets/d/1kGrh75X1cNR1D7_FcY9zMnHP8iPO4M5RCRjy6nZY0TY/"&amp;"edit#gid=0"",""Table 1: Study characteristics!B4:B171"")))&gt;0
),
""Include""
)"),"Exclude")</f>
        <v>Exclude</v>
      </c>
      <c r="G1467" s="5" t="str">
        <f>IFERROR(__xludf.DUMMYFUNCTION("IFS(
D1467=""Exclude"",
FILTER(IMPORTRANGE(""https://docs.google.com/spreadsheets/d/1BJSV3WBYJGRhQ6zExamkszQ5VutGIcaQqmbD9ZTVXMQ/edit#gid=1251630045"",""articles_with_PRISMA_reasons!AB2:AB2113""), $A1467=IMPORTRANGE(""https://docs.google.com/spreadsheets/"&amp;"d/1BJSV3WBYJGRhQ6zExamkszQ5VutGIcaQqmbD9ZTVXMQ/edit#gid=1251630045"",""articles_with_PRISMA_reasons!B2:B2113"")),
E1467=""Exclude"",
FILTER(IMPORTRANGE(""https://docs.google.com/spreadsheets/d/1qpEmbGH0JjaJbUdp21-y2cPbobDbMjr09BbtdKROZWc/edit#gid=14448656"&amp;"54"",""articles_with_PRISMA_reasons!Z2:Z2113""), $A1467=IMPORTRANGE(""https://docs.google.com/spreadsheets/d/1qpEmbGH0JjaJbUdp21-y2cPbobDbMjr09BbtdKROZWc/edit#gid=1444865654"",""articles_with_PRISMA_reasons!B2:B2113"")),F1467
=""Include"",FILTER(IMPORTRAN"&amp;"GE(""https://docs.google.com/spreadsheets/d/1kGrh75X1cNR1D7_FcY9zMnHP8iPO4M5RCRjy6nZY0TY/edit#gid=0"",""Table 1: Study characteristics!A4:A171""), $A1467=IMPORTRANGE(""https://docs.google.com/spreadsheets/d/1kGrh75X1cNR1D7_FcY9zMnHP8iPO4M5RCRjy6nZY0TY/edi"&amp;"t#gid=0"",""Table 1: Study characteristics!B4:B171""))
)"),"wrong study design")</f>
        <v>wrong study design</v>
      </c>
    </row>
    <row r="1468">
      <c r="A1468" s="4" t="str">
        <f>IFERROR(__xludf.DUMMYFUNCTION("""COMPUTED_VALUE"""),"Postnatal ascent of the cerebellar tonsils in Chiari malformation Type II following surgical repair of myelomeningocele")</f>
        <v>Postnatal ascent of the cerebellar tonsils in Chiari malformation Type II following surgical repair of myelomeningocele</v>
      </c>
      <c r="B1468" s="2" t="s">
        <v>36</v>
      </c>
      <c r="C1468" s="6">
        <f>IFERROR(__xludf.DUMMYFUNCTION("FILTER(IMPORTRANGE(""https://docs.google.com/spreadsheets/d/1BJSV3WBYJGRhQ6zExamkszQ5VutGIcaQqmbD9ZTVXMQ/edit#gid=1251630045"",""articles_with_PRISMA_reasons!C2:C2113""), $A1468=IMPORTRANGE(""https://docs.google.com/spreadsheets/d/1BJSV3WBYJGRhQ6zExamkszQ"&amp;"5VutGIcaQqmbD9ZTVXMQ/edit#gid=1251630045"",""articles_with_PRISMA_reasons!B2:B2113""))"),2008.0)</f>
        <v>2008</v>
      </c>
      <c r="D1468" s="5" t="str">
        <f>IFERROR(__xludf.DUMMYFUNCTION("IFS(AND(
FILTER(IMPORTRANGE(""https://docs.google.com/spreadsheets/d/1BJSV3WBYJGRhQ6zExamkszQ5VutGIcaQqmbD9ZTVXMQ/edit#gid=1251630045"",""articles_with_PRISMA_reasons!Y2:Y2113""), $A1468=IMPORTRANGE(""https://docs.google.com/spreadsheets/d/1BJSV3WBYJGRhQ6"&amp;"zExamkszQ5VutGIcaQqmbD9ZTVXMQ/edit#gid=1251630045"",""articles_with_PRISMA_reasons!B2:B2113""))&gt;=2,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$A1468=IMPORTRANGE(""https://docs.google.com/spreadsheets/d/1BJSV3WBYJGRhQ6zExamkszQ5VutGIcaQqmbD9ZTVXMQ/edit#gid=1251630045"",""articles_with_PRISMA_reasons!B2:B2113""))&lt;2),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$A1468=IMPORTRANGE(""https://docs.google.com/spreadsheets/d/1BJSV3WBYJGRhQ6zExamkszQ5VutGIcaQqmbD9ZTVXMQ/edit#gid=1251630045"",""a"&amp;"rticles_with_PRISMA_reasons!B2:B2113""))&lt;2,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$A1468=IMPORTRANGE(""https://docs.google"&amp;".com/spreadsheets/d/1BJSV3WBYJGRhQ6zExamkszQ5VutGIcaQqmbD9ZTVXMQ/edit#gid=1251630045"",""articles_with_PRISMA_reasons!B2:B2113""))&gt;=2),
""Exclude""
)"),"Include")</f>
        <v>Include</v>
      </c>
      <c r="E1468" s="5" t="str">
        <f>IFERROR(__xludf.DUMMYFUNCTION("IFS(
D1468=""Exclude"",""Exclude"",
AND(
FILTER(IMPORTRANGE(""https://docs.google.com/spreadsheets/d/1qpEmbGH0JjaJbUdp21-y2cPbobDbMjr09BbtdKROZWc/edit#gid=1444865654"",""articles_with_PRISMA_reasons!W2:W2113""), $A1468=IMPORTRANGE(""https://docs.google.co"&amp;"m/spreadsheets/d/1qpEmbGH0JjaJbUdp21-y2cPbobDbMjr09BbtdKROZWc/edit#gid=1444865654"",""articles_with_PRISMA_reasons!B2:B2113""))&gt;=2,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$A1468=IMPORTRANGE(""https://docs.google.com/spreadsheets/d/1qpEmbGH0JjaJbUdp21-y2cPbobDbMjr09BbtdKROZWc/edit#gid=1444865654"",""articles_with_PRISMA_reasons!B2:B2113""))&lt;2),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$A1468=IMPORTRANGE(""https://docs.google.com/spreadsheets/d/1qpEmbGH0JjaJbUdp21-y2cPbobDbMjr09Bbtd"&amp;"KROZWc/edit#gid=1444865654"",""articles_with_PRISMA_reasons!B2:B2113""))&lt;2,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$A1468=I"&amp;"MPORTRANGE(""https://docs.google.com/spreadsheets/d/1qpEmbGH0JjaJbUdp21-y2cPbobDbMjr09BbtdKROZWc/edit#gid=1444865654"",""articles_with_PRISMA_reasons!B2:B2113""))&gt;=2),
""Exclude""
)"),"Include")</f>
        <v>Include</v>
      </c>
      <c r="F1468" s="2" t="s">
        <v>8</v>
      </c>
      <c r="G1468" s="2" t="s">
        <v>9</v>
      </c>
    </row>
    <row r="1469">
      <c r="A1469" s="4" t="str">
        <f>IFERROR(__xludf.DUMMYFUNCTION("""COMPUTED_VALUE"""),"Postnatal diagnosis of de novo complex der(8) in a boy with prenatal diagnosis of recombinant chromosome 8 syndrome")</f>
        <v>Postnatal diagnosis of de novo complex der(8) in a boy with prenatal diagnosis of recombinant chromosome 8 syndrome</v>
      </c>
      <c r="B1469" s="5" t="str">
        <f>IFERROR(__xludf.DUMMYFUNCTION("LEFT(FILTER(IMPORTRANGE(""https://docs.google.com/spreadsheets/d/1BJSV3WBYJGRhQ6zExamkszQ5VutGIcaQqmbD9ZTVXMQ/edit#gid=1251630045"",""articles_with_PRISMA_reasons!K2:K2113""), $A1469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$A1469=IMPORTRANGE(""https://docs.google.com/spreadsheets/d/1BJSV3WBYJGRhQ6zExamkszQ5VutGIcaQqmbD9ZTVXMQ/edit#gid=1251630045"",""articles_with_PRISMA_reasons!B2:B2113"")))-1)"),"Oren")</f>
        <v>Oren</v>
      </c>
      <c r="C1469" s="6">
        <f>IFERROR(__xludf.DUMMYFUNCTION("FILTER(IMPORTRANGE(""https://docs.google.com/spreadsheets/d/1BJSV3WBYJGRhQ6zExamkszQ5VutGIcaQqmbD9ZTVXMQ/edit#gid=1251630045"",""articles_with_PRISMA_reasons!C2:C2113""), $A1469=IMPORTRANGE(""https://docs.google.com/spreadsheets/d/1BJSV3WBYJGRhQ6zExamkszQ"&amp;"5VutGIcaQqmbD9ZTVXMQ/edit#gid=1251630045"",""articles_with_PRISMA_reasons!B2:B2113""))"),2019.0)</f>
        <v>2019</v>
      </c>
      <c r="D1469" s="5" t="str">
        <f>IFERROR(__xludf.DUMMYFUNCTION("IFS(AND(
FILTER(IMPORTRANGE(""https://docs.google.com/spreadsheets/d/1BJSV3WBYJGRhQ6zExamkszQ5VutGIcaQqmbD9ZTVXMQ/edit#gid=1251630045"",""articles_with_PRISMA_reasons!Y2:Y2113""), $A1469=IMPORTRANGE(""https://docs.google.com/spreadsheets/d/1BJSV3WBYJGRhQ6"&amp;"zExamkszQ5VutGIcaQqmbD9ZTVXMQ/edit#gid=1251630045"",""articles_with_PRISMA_reasons!B2:B2113""))&gt;=2,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$A1469=IMPORTRANGE(""https://docs.google.com/spreadsheets/d/1BJSV3WBYJGRhQ6zExamkszQ5VutGIcaQqmbD9ZTVXMQ/edit#gid=1251630045"",""articles_with_PRISMA_reasons!B2:B2113""))&lt;2),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$A1469=IMPORTRANGE(""https://docs.google.com/spreadsheets/d/1BJSV3WBYJGRhQ6zExamkszQ5VutGIcaQqmbD9ZTVXMQ/edit#gid=1251630045"",""a"&amp;"rticles_with_PRISMA_reasons!B2:B2113""))&lt;2,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$A1469=IMPORTRANGE(""https://docs.google"&amp;".com/spreadsheets/d/1BJSV3WBYJGRhQ6zExamkszQ5VutGIcaQqmbD9ZTVXMQ/edit#gid=1251630045"",""articles_with_PRISMA_reasons!B2:B2113""))&gt;=2),
""Exclude""
)"),"Exclude")</f>
        <v>Exclude</v>
      </c>
      <c r="E1469" s="5" t="str">
        <f>IFERROR(__xludf.DUMMYFUNCTION("IFS(
D1469=""Exclude"",""Exclude"",
AND(
FILTER(IMPORTRANGE(""https://docs.google.com/spreadsheets/d/1qpEmbGH0JjaJbUdp21-y2cPbobDbMjr09BbtdKROZWc/edit#gid=1444865654"",""articles_with_PRISMA_reasons!W2:W2113""), $A1469=IMPORTRANGE(""https://docs.google.co"&amp;"m/spreadsheets/d/1qpEmbGH0JjaJbUdp21-y2cPbobDbMjr09BbtdKROZWc/edit#gid=1444865654"",""articles_with_PRISMA_reasons!B2:B2113""))&gt;=2,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$A1469=IMPORTRANGE(""https://docs.google.com/spreadsheets/d/1qpEmbGH0JjaJbUdp21-y2cPbobDbMjr09BbtdKROZWc/edit#gid=1444865654"",""articles_with_PRISMA_reasons!B2:B2113""))&lt;2),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$A1469=IMPORTRANGE(""https://docs.google.com/spreadsheets/d/1qpEmbGH0JjaJbUdp21-y2cPbobDbMjr09Bbtd"&amp;"KROZWc/edit#gid=1444865654"",""articles_with_PRISMA_reasons!B2:B2113""))&lt;2,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$A1469=I"&amp;"MPORTRANGE(""https://docs.google.com/spreadsheets/d/1qpEmbGH0JjaJbUdp21-y2cPbobDbMjr09BbtdKROZWc/edit#gid=1444865654"",""articles_with_PRISMA_reasons!B2:B2113""))&gt;=2),
""Exclude""
)"),"Exclude")</f>
        <v>Exclude</v>
      </c>
      <c r="F1469" s="5" t="str">
        <f>IFERROR(__xludf.DUMMYFUNCTION("IFS(
E1469=""Exclude"",""Exclude"",
AND(
COUNTIF(
IMPORTRANGE(""https://docs.google.com/spreadsheets/d/1kGrh75X1cNR1D7_FcY9zMnHP8iPO4M5RCRjy6nZY0TY/edit#gid=0"",""Table 1: Study characteristics!B4:B171""),A1469)&gt;0,
COUNTIF(Studies!$A$2:$A$85,FILTER(IMPORT"&amp;"RANGE(""https://docs.google.com/spreadsheets/d/1kGrh75X1cNR1D7_FcY9zMnHP8iPO4M5RCRjy6nZY0TY/edit#gid=0"",""Table 1: Study characteristics!A4:A171""), $A1469=IMPORTRANGE(""https://docs.google.com/spreadsheets/d/1kGrh75X1cNR1D7_FcY9zMnHP8iPO4M5RCRjy6nZY0TY/"&amp;"edit#gid=0"",""Table 1: Study characteristics!B4:B171"")))&gt;0
),
""Include""
)"),"Exclude")</f>
        <v>Exclude</v>
      </c>
      <c r="G1469" s="5" t="str">
        <f>IFERROR(__xludf.DUMMYFUNCTION("IFS(
D1469=""Exclude"",
FILTER(IMPORTRANGE(""https://docs.google.com/spreadsheets/d/1BJSV3WBYJGRhQ6zExamkszQ5VutGIcaQqmbD9ZTVXMQ/edit#gid=1251630045"",""articles_with_PRISMA_reasons!AB2:AB2113""), $A1469=IMPORTRANGE(""https://docs.google.com/spreadsheets/"&amp;"d/1BJSV3WBYJGRhQ6zExamkszQ5VutGIcaQqmbD9ZTVXMQ/edit#gid=1251630045"",""articles_with_PRISMA_reasons!B2:B2113"")),
E1469=""Exclude"",
FILTER(IMPORTRANGE(""https://docs.google.com/spreadsheets/d/1qpEmbGH0JjaJbUdp21-y2cPbobDbMjr09BbtdKROZWc/edit#gid=14448656"&amp;"54"",""articles_with_PRISMA_reasons!Z2:Z2113""), $A1469=IMPORTRANGE(""https://docs.google.com/spreadsheets/d/1qpEmbGH0JjaJbUdp21-y2cPbobDbMjr09BbtdKROZWc/edit#gid=1444865654"",""articles_with_PRISMA_reasons!B2:B2113"")),F1469
=""Include"",FILTER(IMPORTRAN"&amp;"GE(""https://docs.google.com/spreadsheets/d/1kGrh75X1cNR1D7_FcY9zMnHP8iPO4M5RCRjy6nZY0TY/edit#gid=0"",""Table 1: Study characteristics!A4:A171""), $A1469=IMPORTRANGE(""https://docs.google.com/spreadsheets/d/1kGrh75X1cNR1D7_FcY9zMnHP8iPO4M5RCRjy6nZY0TY/edi"&amp;"t#gid=0"",""Table 1: Study characteristics!B4:B171""))
)"),"wrong population")</f>
        <v>wrong population</v>
      </c>
    </row>
    <row r="1470">
      <c r="A1470" s="4" t="str">
        <f>IFERROR(__xludf.DUMMYFUNCTION("""COMPUTED_VALUE"""),"Postnatal management and outcome for neural tube defects including spina bifida and encephalocoeles")</f>
        <v>Postnatal management and outcome for neural tube defects including spina bifida and encephalocoeles</v>
      </c>
      <c r="B1470" s="5" t="str">
        <f>IFERROR(__xludf.DUMMYFUNCTION("LEFT(FILTER(IMPORTRANGE(""https://docs.google.com/spreadsheets/d/1BJSV3WBYJGRhQ6zExamkszQ5VutGIcaQqmbD9ZTVXMQ/edit#gid=1251630045"",""articles_with_PRISMA_reasons!K2:K2113""), $A1470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$A1470=IMPORTRANGE(""https://docs.google.com/spreadsheets/d/1BJSV3WBYJGRhQ6zExamkszQ5VutGIcaQqmbD9ZTVXMQ/edit#gid=1251630045"",""articles_with_PRISMA_reasons!B2:B2113"")))-1)"),"Thompson")</f>
        <v>Thompson</v>
      </c>
      <c r="C1470" s="6">
        <f>IFERROR(__xludf.DUMMYFUNCTION("FILTER(IMPORTRANGE(""https://docs.google.com/spreadsheets/d/1BJSV3WBYJGRhQ6zExamkszQ5VutGIcaQqmbD9ZTVXMQ/edit#gid=1251630045"",""articles_with_PRISMA_reasons!C2:C2113""), $A1470=IMPORTRANGE(""https://docs.google.com/spreadsheets/d/1BJSV3WBYJGRhQ6zExamkszQ"&amp;"5VutGIcaQqmbD9ZTVXMQ/edit#gid=1251630045"",""articles_with_PRISMA_reasons!B2:B2113""))"),2009.0)</f>
        <v>2009</v>
      </c>
      <c r="D1470" s="5" t="str">
        <f>IFERROR(__xludf.DUMMYFUNCTION("IFS(AND(
FILTER(IMPORTRANGE(""https://docs.google.com/spreadsheets/d/1BJSV3WBYJGRhQ6zExamkszQ5VutGIcaQqmbD9ZTVXMQ/edit#gid=1251630045"",""articles_with_PRISMA_reasons!Y2:Y2113""), $A1470=IMPORTRANGE(""https://docs.google.com/spreadsheets/d/1BJSV3WBYJGRhQ6"&amp;"zExamkszQ5VutGIcaQqmbD9ZTVXMQ/edit#gid=1251630045"",""articles_with_PRISMA_reasons!B2:B2113""))&gt;=2,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$A1470=IMPORTRANGE(""https://docs.google.com/spreadsheets/d/1BJSV3WBYJGRhQ6zExamkszQ5VutGIcaQqmbD9ZTVXMQ/edit#gid=1251630045"",""articles_with_PRISMA_reasons!B2:B2113""))&lt;2),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$A1470=IMPORTRANGE(""https://docs.google.com/spreadsheets/d/1BJSV3WBYJGRhQ6zExamkszQ5VutGIcaQqmbD9ZTVXMQ/edit#gid=1251630045"",""a"&amp;"rticles_with_PRISMA_reasons!B2:B2113""))&lt;2,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$A1470=IMPORTRANGE(""https://docs.google"&amp;".com/spreadsheets/d/1BJSV3WBYJGRhQ6zExamkszQ5VutGIcaQqmbD9ZTVXMQ/edit#gid=1251630045"",""articles_with_PRISMA_reasons!B2:B2113""))&gt;=2),
""Exclude""
)"),"Exclude")</f>
        <v>Exclude</v>
      </c>
      <c r="E1470" s="5" t="str">
        <f>IFERROR(__xludf.DUMMYFUNCTION("IFS(
D1470=""Exclude"",""Exclude"",
AND(
FILTER(IMPORTRANGE(""https://docs.google.com/spreadsheets/d/1qpEmbGH0JjaJbUdp21-y2cPbobDbMjr09BbtdKROZWc/edit#gid=1444865654"",""articles_with_PRISMA_reasons!W2:W2113""), $A1470=IMPORTRANGE(""https://docs.google.co"&amp;"m/spreadsheets/d/1qpEmbGH0JjaJbUdp21-y2cPbobDbMjr09BbtdKROZWc/edit#gid=1444865654"",""articles_with_PRISMA_reasons!B2:B2113""))&gt;=2,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$A1470=IMPORTRANGE(""https://docs.google.com/spreadsheets/d/1qpEmbGH0JjaJbUdp21-y2cPbobDbMjr09BbtdKROZWc/edit#gid=1444865654"",""articles_with_PRISMA_reasons!B2:B2113""))&lt;2),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$A1470=IMPORTRANGE(""https://docs.google.com/spreadsheets/d/1qpEmbGH0JjaJbUdp21-y2cPbobDbMjr09Bbtd"&amp;"KROZWc/edit#gid=1444865654"",""articles_with_PRISMA_reasons!B2:B2113""))&lt;2,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$A1470=I"&amp;"MPORTRANGE(""https://docs.google.com/spreadsheets/d/1qpEmbGH0JjaJbUdp21-y2cPbobDbMjr09BbtdKROZWc/edit#gid=1444865654"",""articles_with_PRISMA_reasons!B2:B2113""))&gt;=2),
""Exclude""
)"),"Exclude")</f>
        <v>Exclude</v>
      </c>
      <c r="F1470" s="5" t="str">
        <f>IFERROR(__xludf.DUMMYFUNCTION("IFS(
E1470=""Exclude"",""Exclude"",
AND(
COUNTIF(
IMPORTRANGE(""https://docs.google.com/spreadsheets/d/1kGrh75X1cNR1D7_FcY9zMnHP8iPO4M5RCRjy6nZY0TY/edit#gid=0"",""Table 1: Study characteristics!B4:B171""),A1470)&gt;0,
COUNTIF(Studies!$A$2:$A$85,FILTER(IMPORT"&amp;"RANGE(""https://docs.google.com/spreadsheets/d/1kGrh75X1cNR1D7_FcY9zMnHP8iPO4M5RCRjy6nZY0TY/edit#gid=0"",""Table 1: Study characteristics!A4:A171""), $A1470=IMPORTRANGE(""https://docs.google.com/spreadsheets/d/1kGrh75X1cNR1D7_FcY9zMnHP8iPO4M5RCRjy6nZY0TY/"&amp;"edit#gid=0"",""Table 1: Study characteristics!B4:B171"")))&gt;0
),
""Include""
)"),"Exclude")</f>
        <v>Exclude</v>
      </c>
      <c r="G1470" s="5" t="str">
        <f>IFERROR(__xludf.DUMMYFUNCTION("IFS(
D1470=""Exclude"",
FILTER(IMPORTRANGE(""https://docs.google.com/spreadsheets/d/1BJSV3WBYJGRhQ6zExamkszQ5VutGIcaQqmbD9ZTVXMQ/edit#gid=1251630045"",""articles_with_PRISMA_reasons!AB2:AB2113""), $A1470=IMPORTRANGE(""https://docs.google.com/spreadsheets/"&amp;"d/1BJSV3WBYJGRhQ6zExamkszQ5VutGIcaQqmbD9ZTVXMQ/edit#gid=1251630045"",""articles_with_PRISMA_reasons!B2:B2113"")),
E1470=""Exclude"",
FILTER(IMPORTRANGE(""https://docs.google.com/spreadsheets/d/1qpEmbGH0JjaJbUdp21-y2cPbobDbMjr09BbtdKROZWc/edit#gid=14448656"&amp;"54"",""articles_with_PRISMA_reasons!Z2:Z2113""), $A1470=IMPORTRANGE(""https://docs.google.com/spreadsheets/d/1qpEmbGH0JjaJbUdp21-y2cPbobDbMjr09BbtdKROZWc/edit#gid=1444865654"",""articles_with_PRISMA_reasons!B2:B2113"")),F1470
=""Include"",FILTER(IMPORTRAN"&amp;"GE(""https://docs.google.com/spreadsheets/d/1kGrh75X1cNR1D7_FcY9zMnHP8iPO4M5RCRjy6nZY0TY/edit#gid=0"",""Table 1: Study characteristics!A4:A171""), $A1470=IMPORTRANGE(""https://docs.google.com/spreadsheets/d/1kGrh75X1cNR1D7_FcY9zMnHP8iPO4M5RCRjy6nZY0TY/edi"&amp;"t#gid=0"",""Table 1: Study characteristics!B4:B171""))
)"),"wrong study design")</f>
        <v>wrong study design</v>
      </c>
    </row>
    <row r="1471">
      <c r="A1471" s="4" t="str">
        <f>IFERROR(__xludf.DUMMYFUNCTION("""COMPUTED_VALUE"""),"Postnatal repair of open neural tube defects: A single center with 90-month interdisciplinary follow-up")</f>
        <v>Postnatal repair of open neural tube defects: A single center with 90-month interdisciplinary follow-up</v>
      </c>
      <c r="B1471" s="5" t="str">
        <f>IFERROR(__xludf.DUMMYFUNCTION("LEFT(FILTER(IMPORTRANGE(""https://docs.google.com/spreadsheets/d/1BJSV3WBYJGRhQ6zExamkszQ5VutGIcaQqmbD9ZTVXMQ/edit#gid=1251630045"",""articles_with_PRISMA_reasons!K2:K2113""), $A1471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$A1471=IMPORTRANGE(""https://docs.google.com/spreadsheets/d/1BJSV3WBYJGRhQ6zExamkszQ5VutGIcaQqmbD9ZTVXMQ/edit#gid=1251630045"",""articles_with_PRISMA_reasons!B2:B2113"")))-1)"),"Hagemann")</f>
        <v>Hagemann</v>
      </c>
      <c r="C1471" s="6">
        <f>IFERROR(__xludf.DUMMYFUNCTION("FILTER(IMPORTRANGE(""https://docs.google.com/spreadsheets/d/1BJSV3WBYJGRhQ6zExamkszQ5VutGIcaQqmbD9ZTVXMQ/edit#gid=1251630045"",""articles_with_PRISMA_reasons!C2:C2113""), $A1471=IMPORTRANGE(""https://docs.google.com/spreadsheets/d/1BJSV3WBYJGRhQ6zExamkszQ"&amp;"5VutGIcaQqmbD9ZTVXMQ/edit#gid=1251630045"",""articles_with_PRISMA_reasons!B2:B2113""))"),2021.0)</f>
        <v>2021</v>
      </c>
      <c r="D1471" s="5" t="str">
        <f>IFERROR(__xludf.DUMMYFUNCTION("IFS(AND(
FILTER(IMPORTRANGE(""https://docs.google.com/spreadsheets/d/1BJSV3WBYJGRhQ6zExamkszQ5VutGIcaQqmbD9ZTVXMQ/edit#gid=1251630045"",""articles_with_PRISMA_reasons!Y2:Y2113""), $A1471=IMPORTRANGE(""https://docs.google.com/spreadsheets/d/1BJSV3WBYJGRhQ6"&amp;"zExamkszQ5VutGIcaQqmbD9ZTVXMQ/edit#gid=1251630045"",""articles_with_PRISMA_reasons!B2:B2113""))&gt;=2,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$A1471=IMPORTRANGE(""https://docs.google.com/spreadsheets/d/1BJSV3WBYJGRhQ6zExamkszQ5VutGIcaQqmbD9ZTVXMQ/edit#gid=1251630045"",""articles_with_PRISMA_reasons!B2:B2113""))&lt;2),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$A1471=IMPORTRANGE(""https://docs.google.com/spreadsheets/d/1BJSV3WBYJGRhQ6zExamkszQ5VutGIcaQqmbD9ZTVXMQ/edit#gid=1251630045"",""a"&amp;"rticles_with_PRISMA_reasons!B2:B2113""))&lt;2,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$A1471=IMPORTRANGE(""https://docs.google"&amp;".com/spreadsheets/d/1BJSV3WBYJGRhQ6zExamkszQ5VutGIcaQqmbD9ZTVXMQ/edit#gid=1251630045"",""articles_with_PRISMA_reasons!B2:B2113""))&gt;=2),
""Exclude""
)"),"Include")</f>
        <v>Include</v>
      </c>
      <c r="E1471" s="5" t="str">
        <f>IFERROR(__xludf.DUMMYFUNCTION("IFS(
D1471=""Exclude"",""Exclude"",
AND(
FILTER(IMPORTRANGE(""https://docs.google.com/spreadsheets/d/1qpEmbGH0JjaJbUdp21-y2cPbobDbMjr09BbtdKROZWc/edit#gid=1444865654"",""articles_with_PRISMA_reasons!W2:W2113""), $A1471=IMPORTRANGE(""https://docs.google.co"&amp;"m/spreadsheets/d/1qpEmbGH0JjaJbUdp21-y2cPbobDbMjr09BbtdKROZWc/edit#gid=1444865654"",""articles_with_PRISMA_reasons!B2:B2113""))&gt;=2,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$A1471=IMPORTRANGE(""https://docs.google.com/spreadsheets/d/1qpEmbGH0JjaJbUdp21-y2cPbobDbMjr09BbtdKROZWc/edit#gid=1444865654"",""articles_with_PRISMA_reasons!B2:B2113""))&lt;2),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$A1471=IMPORTRANGE(""https://docs.google.com/spreadsheets/d/1qpEmbGH0JjaJbUdp21-y2cPbobDbMjr09Bbtd"&amp;"KROZWc/edit#gid=1444865654"",""articles_with_PRISMA_reasons!B2:B2113""))&lt;2,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$A1471=I"&amp;"MPORTRANGE(""https://docs.google.com/spreadsheets/d/1qpEmbGH0JjaJbUdp21-y2cPbobDbMjr09BbtdKROZWc/edit#gid=1444865654"",""articles_with_PRISMA_reasons!B2:B2113""))&gt;=2),
""Exclude""
)"),"Include")</f>
        <v>Include</v>
      </c>
      <c r="F1471" s="5" t="str">
        <f>IFERROR(__xludf.DUMMYFUNCTION("IFS(
E1471=""Exclude"",""Exclude"",
AND(
COUNTIF(
IMPORTRANGE(""https://docs.google.com/spreadsheets/d/1kGrh75X1cNR1D7_FcY9zMnHP8iPO4M5RCRjy6nZY0TY/edit#gid=0"",""Table 1: Study characteristics!B4:B171""),A1471)&gt;0,
COUNTIF(Studies!$A$2:$A$85,FILTER(IMPORT"&amp;"RANGE(""https://docs.google.com/spreadsheets/d/1kGrh75X1cNR1D7_FcY9zMnHP8iPO4M5RCRjy6nZY0TY/edit#gid=0"",""Table 1: Study characteristics!A4:A171""), $A1471=IMPORTRANGE(""https://docs.google.com/spreadsheets/d/1kGrh75X1cNR1D7_FcY9zMnHP8iPO4M5RCRjy6nZY0TY/"&amp;"edit#gid=0"",""Table 1: Study characteristics!B4:B171"")))&gt;0
),
""Include""
)"),"Include")</f>
        <v>Include</v>
      </c>
      <c r="G1471" s="5" t="str">
        <f>IFERROR(__xludf.DUMMYFUNCTION("IFS(
D1471=""Exclude"",
FILTER(IMPORTRANGE(""https://docs.google.com/spreadsheets/d/1BJSV3WBYJGRhQ6zExamkszQ5VutGIcaQqmbD9ZTVXMQ/edit#gid=1251630045"",""articles_with_PRISMA_reasons!AB2:AB2113""), $A1471=IMPORTRANGE(""https://docs.google.com/spreadsheets/"&amp;"d/1BJSV3WBYJGRhQ6zExamkszQ5VutGIcaQqmbD9ZTVXMQ/edit#gid=1251630045"",""articles_with_PRISMA_reasons!B2:B2113"")),
E1471=""Exclude"",
FILTER(IMPORTRANGE(""https://docs.google.com/spreadsheets/d/1qpEmbGH0JjaJbUdp21-y2cPbobDbMjr09BbtdKROZWc/edit#gid=14448656"&amp;"54"",""articles_with_PRISMA_reasons!Z2:Z2113""), $A1471=IMPORTRANGE(""https://docs.google.com/spreadsheets/d/1qpEmbGH0JjaJbUdp21-y2cPbobDbMjr09BbtdKROZWc/edit#gid=1444865654"",""articles_with_PRISMA_reasons!B2:B2113"")),F1471
=""Include"",FILTER(IMPORTRAN"&amp;"GE(""https://docs.google.com/spreadsheets/d/1kGrh75X1cNR1D7_FcY9zMnHP8iPO4M5RCRjy6nZY0TY/edit#gid=0"",""Table 1: Study characteristics!A4:A171""), $A1471=IMPORTRANGE(""https://docs.google.com/spreadsheets/d/1kGrh75X1cNR1D7_FcY9zMnHP8iPO4M5RCRjy6nZY0TY/edi"&amp;"t#gid=0"",""Table 1: Study characteristics!B4:B171""))
)"),"ID 97")</f>
        <v>ID 97</v>
      </c>
    </row>
    <row r="1472">
      <c r="A1472" s="4" t="str">
        <f>IFERROR(__xludf.DUMMYFUNCTION("""COMPUTED_VALUE"""),"Postoperative cardiorespiratory arrest in a case of cervical meningocele")</f>
        <v>Postoperative cardiorespiratory arrest in a case of cervical meningocele</v>
      </c>
      <c r="B1472" s="5" t="str">
        <f>IFERROR(__xludf.DUMMYFUNCTION("LEFT(FILTER(IMPORTRANGE(""https://docs.google.com/spreadsheets/d/1BJSV3WBYJGRhQ6zExamkszQ5VutGIcaQqmbD9ZTVXMQ/edit#gid=1251630045"",""articles_with_PRISMA_reasons!K2:K2113""), $A1472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$A1472=IMPORTRANGE(""https://docs.google.com/spreadsheets/d/1BJSV3WBYJGRhQ6zExamkszQ5VutGIcaQqmbD9ZTVXMQ/edit#gid=1251630045"",""articles_with_PRISMA_reasons!B2:B2113"")))-1)"),"Sriharsha")</f>
        <v>Sriharsha</v>
      </c>
      <c r="C1472" s="6">
        <f>IFERROR(__xludf.DUMMYFUNCTION("FILTER(IMPORTRANGE(""https://docs.google.com/spreadsheets/d/1BJSV3WBYJGRhQ6zExamkszQ5VutGIcaQqmbD9ZTVXMQ/edit#gid=1251630045"",""articles_with_PRISMA_reasons!C2:C2113""), $A1472=IMPORTRANGE(""https://docs.google.com/spreadsheets/d/1BJSV3WBYJGRhQ6zExamkszQ"&amp;"5VutGIcaQqmbD9ZTVXMQ/edit#gid=1251630045"",""articles_with_PRISMA_reasons!B2:B2113""))"),2020.0)</f>
        <v>2020</v>
      </c>
      <c r="D1472" s="5" t="str">
        <f>IFERROR(__xludf.DUMMYFUNCTION("IFS(AND(
FILTER(IMPORTRANGE(""https://docs.google.com/spreadsheets/d/1BJSV3WBYJGRhQ6zExamkszQ5VutGIcaQqmbD9ZTVXMQ/edit#gid=1251630045"",""articles_with_PRISMA_reasons!Y2:Y2113""), $A1472=IMPORTRANGE(""https://docs.google.com/spreadsheets/d/1BJSV3WBYJGRhQ6"&amp;"zExamkszQ5VutGIcaQqmbD9ZTVXMQ/edit#gid=1251630045"",""articles_with_PRISMA_reasons!B2:B2113""))&gt;=2,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$A1472=IMPORTRANGE(""https://docs.google.com/spreadsheets/d/1BJSV3WBYJGRhQ6zExamkszQ5VutGIcaQqmbD9ZTVXMQ/edit#gid=1251630045"",""articles_with_PRISMA_reasons!B2:B2113""))&lt;2),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$A1472=IMPORTRANGE(""https://docs.google.com/spreadsheets/d/1BJSV3WBYJGRhQ6zExamkszQ5VutGIcaQqmbD9ZTVXMQ/edit#gid=1251630045"",""a"&amp;"rticles_with_PRISMA_reasons!B2:B2113""))&lt;2,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$A1472=IMPORTRANGE(""https://docs.google"&amp;".com/spreadsheets/d/1BJSV3WBYJGRhQ6zExamkszQ5VutGIcaQqmbD9ZTVXMQ/edit#gid=1251630045"",""articles_with_PRISMA_reasons!B2:B2113""))&gt;=2),
""Exclude""
)"),"Exclude")</f>
        <v>Exclude</v>
      </c>
      <c r="E1472" s="5" t="str">
        <f>IFERROR(__xludf.DUMMYFUNCTION("IFS(
D1472=""Exclude"",""Exclude"",
AND(
FILTER(IMPORTRANGE(""https://docs.google.com/spreadsheets/d/1qpEmbGH0JjaJbUdp21-y2cPbobDbMjr09BbtdKROZWc/edit#gid=1444865654"",""articles_with_PRISMA_reasons!W2:W2113""), $A1472=IMPORTRANGE(""https://docs.google.co"&amp;"m/spreadsheets/d/1qpEmbGH0JjaJbUdp21-y2cPbobDbMjr09BbtdKROZWc/edit#gid=1444865654"",""articles_with_PRISMA_reasons!B2:B2113""))&gt;=2,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$A1472=IMPORTRANGE(""https://docs.google.com/spreadsheets/d/1qpEmbGH0JjaJbUdp21-y2cPbobDbMjr09BbtdKROZWc/edit#gid=1444865654"",""articles_with_PRISMA_reasons!B2:B2113""))&lt;2),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$A1472=IMPORTRANGE(""https://docs.google.com/spreadsheets/d/1qpEmbGH0JjaJbUdp21-y2cPbobDbMjr09Bbtd"&amp;"KROZWc/edit#gid=1444865654"",""articles_with_PRISMA_reasons!B2:B2113""))&lt;2,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$A1472=I"&amp;"MPORTRANGE(""https://docs.google.com/spreadsheets/d/1qpEmbGH0JjaJbUdp21-y2cPbobDbMjr09BbtdKROZWc/edit#gid=1444865654"",""articles_with_PRISMA_reasons!B2:B2113""))&gt;=2),
""Exclude""
)"),"Exclude")</f>
        <v>Exclude</v>
      </c>
      <c r="F1472" s="5" t="str">
        <f>IFERROR(__xludf.DUMMYFUNCTION("IFS(
E1472=""Exclude"",""Exclude"",
AND(
COUNTIF(
IMPORTRANGE(""https://docs.google.com/spreadsheets/d/1kGrh75X1cNR1D7_FcY9zMnHP8iPO4M5RCRjy6nZY0TY/edit#gid=0"",""Table 1: Study characteristics!B4:B171""),A1472)&gt;0,
COUNTIF(Studies!$A$2:$A$85,FILTER(IMPORT"&amp;"RANGE(""https://docs.google.com/spreadsheets/d/1kGrh75X1cNR1D7_FcY9zMnHP8iPO4M5RCRjy6nZY0TY/edit#gid=0"",""Table 1: Study characteristics!A4:A171""), $A1472=IMPORTRANGE(""https://docs.google.com/spreadsheets/d/1kGrh75X1cNR1D7_FcY9zMnHP8iPO4M5RCRjy6nZY0TY/"&amp;"edit#gid=0"",""Table 1: Study characteristics!B4:B171"")))&gt;0
),
""Include""
)"),"Exclude")</f>
        <v>Exclude</v>
      </c>
      <c r="G1472" s="5" t="str">
        <f>IFERROR(__xludf.DUMMYFUNCTION("IFS(
D1472=""Exclude"",
FILTER(IMPORTRANGE(""https://docs.google.com/spreadsheets/d/1BJSV3WBYJGRhQ6zExamkszQ5VutGIcaQqmbD9ZTVXMQ/edit#gid=1251630045"",""articles_with_PRISMA_reasons!AB2:AB2113""), $A1472=IMPORTRANGE(""https://docs.google.com/spreadsheets/"&amp;"d/1BJSV3WBYJGRhQ6zExamkszQ5VutGIcaQqmbD9ZTVXMQ/edit#gid=1251630045"",""articles_with_PRISMA_reasons!B2:B2113"")),
E1472=""Exclude"",
FILTER(IMPORTRANGE(""https://docs.google.com/spreadsheets/d/1qpEmbGH0JjaJbUdp21-y2cPbobDbMjr09BbtdKROZWc/edit#gid=14448656"&amp;"54"",""articles_with_PRISMA_reasons!Z2:Z2113""), $A1472=IMPORTRANGE(""https://docs.google.com/spreadsheets/d/1qpEmbGH0JjaJbUdp21-y2cPbobDbMjr09BbtdKROZWc/edit#gid=1444865654"",""articles_with_PRISMA_reasons!B2:B2113"")),F1472
=""Include"",FILTER(IMPORTRAN"&amp;"GE(""https://docs.google.com/spreadsheets/d/1kGrh75X1cNR1D7_FcY9zMnHP8iPO4M5RCRjy6nZY0TY/edit#gid=0"",""Table 1: Study characteristics!A4:A171""), $A1472=IMPORTRANGE(""https://docs.google.com/spreadsheets/d/1kGrh75X1cNR1D7_FcY9zMnHP8iPO4M5RCRjy6nZY0TY/edi"&amp;"t#gid=0"",""Table 1: Study characteristics!B4:B171""))
)"),"wrong publication type")</f>
        <v>wrong publication type</v>
      </c>
    </row>
    <row r="1473">
      <c r="A1473" s="4" t="str">
        <f>IFERROR(__xludf.DUMMYFUNCTION("""COMPUTED_VALUE"""),"Postshunt insertion CSF leaks in infants treated by an adjustable valve opening pressure reduction")</f>
        <v>Postshunt insertion CSF leaks in infants treated by an adjustable valve opening pressure reduction</v>
      </c>
      <c r="B1473" s="5" t="str">
        <f>IFERROR(__xludf.DUMMYFUNCTION("LEFT(FILTER(IMPORTRANGE(""https://docs.google.com/spreadsheets/d/1BJSV3WBYJGRhQ6zExamkszQ5VutGIcaQqmbD9ZTVXMQ/edit#gid=1251630045"",""articles_with_PRISMA_reasons!K2:K2113""), $A1473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$A1473=IMPORTRANGE(""https://docs.google.com/spreadsheets/d/1BJSV3WBYJGRhQ6zExamkszQ5VutGIcaQqmbD9ZTVXMQ/edit#gid=1251630045"",""articles_with_PRISMA_reasons!B2:B2113"")))-1)"),"Rohde")</f>
        <v>Rohde</v>
      </c>
      <c r="C1473" s="6">
        <f>IFERROR(__xludf.DUMMYFUNCTION("FILTER(IMPORTRANGE(""https://docs.google.com/spreadsheets/d/1BJSV3WBYJGRhQ6zExamkszQ5VutGIcaQqmbD9ZTVXMQ/edit#gid=1251630045"",""articles_with_PRISMA_reasons!C2:C2113""), $A1473=IMPORTRANGE(""https://docs.google.com/spreadsheets/d/1BJSV3WBYJGRhQ6zExamkszQ"&amp;"5VutGIcaQqmbD9ZTVXMQ/edit#gid=1251630045"",""articles_with_PRISMA_reasons!B2:B2113""))"),2002.0)</f>
        <v>2002</v>
      </c>
      <c r="D1473" s="5" t="str">
        <f>IFERROR(__xludf.DUMMYFUNCTION("IFS(AND(
FILTER(IMPORTRANGE(""https://docs.google.com/spreadsheets/d/1BJSV3WBYJGRhQ6zExamkszQ5VutGIcaQqmbD9ZTVXMQ/edit#gid=1251630045"",""articles_with_PRISMA_reasons!Y2:Y2113""), $A1473=IMPORTRANGE(""https://docs.google.com/spreadsheets/d/1BJSV3WBYJGRhQ6"&amp;"zExamkszQ5VutGIcaQqmbD9ZTVXMQ/edit#gid=1251630045"",""articles_with_PRISMA_reasons!B2:B2113""))&gt;=2,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$A1473=IMPORTRANGE(""https://docs.google.com/spreadsheets/d/1BJSV3WBYJGRhQ6zExamkszQ5VutGIcaQqmbD9ZTVXMQ/edit#gid=1251630045"",""articles_with_PRISMA_reasons!B2:B2113""))&lt;2),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$A1473=IMPORTRANGE(""https://docs.google.com/spreadsheets/d/1BJSV3WBYJGRhQ6zExamkszQ5VutGIcaQqmbD9ZTVXMQ/edit#gid=1251630045"",""a"&amp;"rticles_with_PRISMA_reasons!B2:B2113""))&lt;2,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$A1473=IMPORTRANGE(""https://docs.google"&amp;".com/spreadsheets/d/1BJSV3WBYJGRhQ6zExamkszQ5VutGIcaQqmbD9ZTVXMQ/edit#gid=1251630045"",""articles_with_PRISMA_reasons!B2:B2113""))&gt;=2),
""Exclude""
)"),"Exclude")</f>
        <v>Exclude</v>
      </c>
      <c r="E1473" s="5" t="str">
        <f>IFERROR(__xludf.DUMMYFUNCTION("IFS(
D1473=""Exclude"",""Exclude"",
AND(
FILTER(IMPORTRANGE(""https://docs.google.com/spreadsheets/d/1qpEmbGH0JjaJbUdp21-y2cPbobDbMjr09BbtdKROZWc/edit#gid=1444865654"",""articles_with_PRISMA_reasons!W2:W2113""), $A1473=IMPORTRANGE(""https://docs.google.co"&amp;"m/spreadsheets/d/1qpEmbGH0JjaJbUdp21-y2cPbobDbMjr09BbtdKROZWc/edit#gid=1444865654"",""articles_with_PRISMA_reasons!B2:B2113""))&gt;=2,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$A1473=IMPORTRANGE(""https://docs.google.com/spreadsheets/d/1qpEmbGH0JjaJbUdp21-y2cPbobDbMjr09BbtdKROZWc/edit#gid=1444865654"",""articles_with_PRISMA_reasons!B2:B2113""))&lt;2),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$A1473=IMPORTRANGE(""https://docs.google.com/spreadsheets/d/1qpEmbGH0JjaJbUdp21-y2cPbobDbMjr09Bbtd"&amp;"KROZWc/edit#gid=1444865654"",""articles_with_PRISMA_reasons!B2:B2113""))&lt;2,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$A1473=I"&amp;"MPORTRANGE(""https://docs.google.com/spreadsheets/d/1qpEmbGH0JjaJbUdp21-y2cPbobDbMjr09BbtdKROZWc/edit#gid=1444865654"",""articles_with_PRISMA_reasons!B2:B2113""))&gt;=2),
""Exclude""
)"),"Exclude")</f>
        <v>Exclude</v>
      </c>
      <c r="F1473" s="5" t="str">
        <f>IFERROR(__xludf.DUMMYFUNCTION("IFS(
E1473=""Exclude"",""Exclude"",
AND(
COUNTIF(
IMPORTRANGE(""https://docs.google.com/spreadsheets/d/1kGrh75X1cNR1D7_FcY9zMnHP8iPO4M5RCRjy6nZY0TY/edit#gid=0"",""Table 1: Study characteristics!B4:B171""),A1473)&gt;0,
COUNTIF(Studies!$A$2:$A$85,FILTER(IMPORT"&amp;"RANGE(""https://docs.google.com/spreadsheets/d/1kGrh75X1cNR1D7_FcY9zMnHP8iPO4M5RCRjy6nZY0TY/edit#gid=0"",""Table 1: Study characteristics!A4:A171""), $A1473=IMPORTRANGE(""https://docs.google.com/spreadsheets/d/1kGrh75X1cNR1D7_FcY9zMnHP8iPO4M5RCRjy6nZY0TY/"&amp;"edit#gid=0"",""Table 1: Study characteristics!B4:B171"")))&gt;0
),
""Include""
)"),"Exclude")</f>
        <v>Exclude</v>
      </c>
      <c r="G1473" s="5" t="str">
        <f>IFERROR(__xludf.DUMMYFUNCTION("IFS(
D1473=""Exclude"",
FILTER(IMPORTRANGE(""https://docs.google.com/spreadsheets/d/1BJSV3WBYJGRhQ6zExamkszQ5VutGIcaQqmbD9ZTVXMQ/edit#gid=1251630045"",""articles_with_PRISMA_reasons!AB2:AB2113""), $A1473=IMPORTRANGE(""https://docs.google.com/spreadsheets/"&amp;"d/1BJSV3WBYJGRhQ6zExamkszQ5VutGIcaQqmbD9ZTVXMQ/edit#gid=1251630045"",""articles_with_PRISMA_reasons!B2:B2113"")),
E1473=""Exclude"",
FILTER(IMPORTRANGE(""https://docs.google.com/spreadsheets/d/1qpEmbGH0JjaJbUdp21-y2cPbobDbMjr09BbtdKROZWc/edit#gid=14448656"&amp;"54"",""articles_with_PRISMA_reasons!Z2:Z2113""), $A1473=IMPORTRANGE(""https://docs.google.com/spreadsheets/d/1qpEmbGH0JjaJbUdp21-y2cPbobDbMjr09BbtdKROZWc/edit#gid=1444865654"",""articles_with_PRISMA_reasons!B2:B2113"")),F1473
=""Include"",FILTER(IMPORTRAN"&amp;"GE(""https://docs.google.com/spreadsheets/d/1kGrh75X1cNR1D7_FcY9zMnHP8iPO4M5RCRjy6nZY0TY/edit#gid=0"",""Table 1: Study characteristics!A4:A171""), $A1473=IMPORTRANGE(""https://docs.google.com/spreadsheets/d/1kGrh75X1cNR1D7_FcY9zMnHP8iPO4M5RCRjy6nZY0TY/edi"&amp;"t#gid=0"",""Table 1: Study characteristics!B4:B171""))
)"),"wrong population")</f>
        <v>wrong population</v>
      </c>
    </row>
    <row r="1474">
      <c r="A1474" s="4" t="str">
        <f>IFERROR(__xludf.DUMMYFUNCTION("""COMPUTED_VALUE"""),"Postsurgical infection after myelomeningocele repair: A multivariate analysis of 60 consecutive cases")</f>
        <v>Postsurgical infection after myelomeningocele repair: A multivariate analysis of 60 consecutive cases</v>
      </c>
      <c r="B1474" s="5" t="str">
        <f>IFERROR(__xludf.DUMMYFUNCTION("LEFT(FILTER(IMPORTRANGE(""https://docs.google.com/spreadsheets/d/1BJSV3WBYJGRhQ6zExamkszQ5VutGIcaQqmbD9ZTVXMQ/edit#gid=1251630045"",""articles_with_PRISMA_reasons!K2:K2113""), $A1474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$A1474=IMPORTRANGE(""https://docs.google.com/spreadsheets/d/1BJSV3WBYJGRhQ6zExamkszQ5VutGIcaQqmbD9ZTVXMQ/edit#gid=1251630045"",""articles_with_PRISMA_reasons!B2:B2113"")))-1)"),"Madeira")</f>
        <v>Madeira</v>
      </c>
      <c r="C1474" s="6">
        <f>IFERROR(__xludf.DUMMYFUNCTION("FILTER(IMPORTRANGE(""https://docs.google.com/spreadsheets/d/1BJSV3WBYJGRhQ6zExamkszQ5VutGIcaQqmbD9ZTVXMQ/edit#gid=1251630045"",""articles_with_PRISMA_reasons!C2:C2113""), $A1474=IMPORTRANGE(""https://docs.google.com/spreadsheets/d/1BJSV3WBYJGRhQ6zExamkszQ"&amp;"5VutGIcaQqmbD9ZTVXMQ/edit#gid=1251630045"",""articles_with_PRISMA_reasons!B2:B2113""))"),2012.0)</f>
        <v>2012</v>
      </c>
      <c r="D1474" s="5" t="str">
        <f>IFERROR(__xludf.DUMMYFUNCTION("IFS(AND(
FILTER(IMPORTRANGE(""https://docs.google.com/spreadsheets/d/1BJSV3WBYJGRhQ6zExamkszQ5VutGIcaQqmbD9ZTVXMQ/edit#gid=1251630045"",""articles_with_PRISMA_reasons!Y2:Y2113""), $A1474=IMPORTRANGE(""https://docs.google.com/spreadsheets/d/1BJSV3WBYJGRhQ6"&amp;"zExamkszQ5VutGIcaQqmbD9ZTVXMQ/edit#gid=1251630045"",""articles_with_PRISMA_reasons!B2:B2113""))&gt;=2,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$A1474=IMPORTRANGE(""https://docs.google.com/spreadsheets/d/1BJSV3WBYJGRhQ6zExamkszQ5VutGIcaQqmbD9ZTVXMQ/edit#gid=1251630045"",""articles_with_PRISMA_reasons!B2:B2113""))&lt;2),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$A1474=IMPORTRANGE(""https://docs.google.com/spreadsheets/d/1BJSV3WBYJGRhQ6zExamkszQ5VutGIcaQqmbD9ZTVXMQ/edit#gid=1251630045"",""a"&amp;"rticles_with_PRISMA_reasons!B2:B2113""))&lt;2,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$A1474=IMPORTRANGE(""https://docs.google"&amp;".com/spreadsheets/d/1BJSV3WBYJGRhQ6zExamkszQ5VutGIcaQqmbD9ZTVXMQ/edit#gid=1251630045"",""articles_with_PRISMA_reasons!B2:B2113""))&gt;=2),
""Exclude""
)"),"Include")</f>
        <v>Include</v>
      </c>
      <c r="E1474" s="5" t="str">
        <f>IFERROR(__xludf.DUMMYFUNCTION("IFS(
D1474=""Exclude"",""Exclude"",
AND(
FILTER(IMPORTRANGE(""https://docs.google.com/spreadsheets/d/1qpEmbGH0JjaJbUdp21-y2cPbobDbMjr09BbtdKROZWc/edit#gid=1444865654"",""articles_with_PRISMA_reasons!W2:W2113""), $A1474=IMPORTRANGE(""https://docs.google.co"&amp;"m/spreadsheets/d/1qpEmbGH0JjaJbUdp21-y2cPbobDbMjr09BbtdKROZWc/edit#gid=1444865654"",""articles_with_PRISMA_reasons!B2:B2113""))&gt;=2,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$A1474=IMPORTRANGE(""https://docs.google.com/spreadsheets/d/1qpEmbGH0JjaJbUdp21-y2cPbobDbMjr09BbtdKROZWc/edit#gid=1444865654"",""articles_with_PRISMA_reasons!B2:B2113""))&lt;2),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$A1474=IMPORTRANGE(""https://docs.google.com/spreadsheets/d/1qpEmbGH0JjaJbUdp21-y2cPbobDbMjr09Bbtd"&amp;"KROZWc/edit#gid=1444865654"",""articles_with_PRISMA_reasons!B2:B2113""))&lt;2,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$A1474=I"&amp;"MPORTRANGE(""https://docs.google.com/spreadsheets/d/1qpEmbGH0JjaJbUdp21-y2cPbobDbMjr09BbtdKROZWc/edit#gid=1444865654"",""articles_with_PRISMA_reasons!B2:B2113""))&gt;=2),
""Exclude""
)"),"Include")</f>
        <v>Include</v>
      </c>
      <c r="F1474" s="2" t="s">
        <v>8</v>
      </c>
      <c r="G1474" s="2" t="s">
        <v>17</v>
      </c>
    </row>
    <row r="1475">
      <c r="A1475" s="4" t="str">
        <f>IFERROR(__xludf.DUMMYFUNCTION("""COMPUTED_VALUE"""),"Postural Stability in Children with High Sacral Level Spina Bifida: Deviations from a Control Group")</f>
        <v>Postural Stability in Children with High Sacral Level Spina Bifida: Deviations from a Control Group</v>
      </c>
      <c r="B1475" s="5" t="str">
        <f>IFERROR(__xludf.DUMMYFUNCTION("LEFT(FILTER(IMPORTRANGE(""https://docs.google.com/spreadsheets/d/1BJSV3WBYJGRhQ6zExamkszQ5VutGIcaQqmbD9ZTVXMQ/edit#gid=1251630045"",""articles_with_PRISMA_reasons!K2:K2113""), $A1475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$A1475=IMPORTRANGE(""https://docs.google.com/spreadsheets/d/1BJSV3WBYJGRhQ6zExamkszQ5VutGIcaQqmbD9ZTVXMQ/edit#gid=1251630045"",""articles_with_PRISMA_reasons!B2:B2113"")))-1)"),"Gencer-Atalay")</f>
        <v>Gencer-Atalay</v>
      </c>
      <c r="C1475" s="6">
        <f>IFERROR(__xludf.DUMMYFUNCTION("FILTER(IMPORTRANGE(""https://docs.google.com/spreadsheets/d/1BJSV3WBYJGRhQ6zExamkszQ5VutGIcaQqmbD9ZTVXMQ/edit#gid=1251630045"",""articles_with_PRISMA_reasons!C2:C2113""), $A1475=IMPORTRANGE(""https://docs.google.com/spreadsheets/d/1BJSV3WBYJGRhQ6zExamkszQ"&amp;"5VutGIcaQqmbD9ZTVXMQ/edit#gid=1251630045"",""articles_with_PRISMA_reasons!B2:B2113""))"),2020.0)</f>
        <v>2020</v>
      </c>
      <c r="D1475" s="5" t="str">
        <f>IFERROR(__xludf.DUMMYFUNCTION("IFS(AND(
FILTER(IMPORTRANGE(""https://docs.google.com/spreadsheets/d/1BJSV3WBYJGRhQ6zExamkszQ5VutGIcaQqmbD9ZTVXMQ/edit#gid=1251630045"",""articles_with_PRISMA_reasons!Y2:Y2113""), $A1475=IMPORTRANGE(""https://docs.google.com/spreadsheets/d/1BJSV3WBYJGRhQ6"&amp;"zExamkszQ5VutGIcaQqmbD9ZTVXMQ/edit#gid=1251630045"",""articles_with_PRISMA_reasons!B2:B2113""))&gt;=2,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$A1475=IMPORTRANGE(""https://docs.google.com/spreadsheets/d/1BJSV3WBYJGRhQ6zExamkszQ5VutGIcaQqmbD9ZTVXMQ/edit#gid=1251630045"",""articles_with_PRISMA_reasons!B2:B2113""))&lt;2),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$A1475=IMPORTRANGE(""https://docs.google.com/spreadsheets/d/1BJSV3WBYJGRhQ6zExamkszQ5VutGIcaQqmbD9ZTVXMQ/edit#gid=1251630045"",""a"&amp;"rticles_with_PRISMA_reasons!B2:B2113""))&lt;2,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$A1475=IMPORTRANGE(""https://docs.google"&amp;".com/spreadsheets/d/1BJSV3WBYJGRhQ6zExamkszQ5VutGIcaQqmbD9ZTVXMQ/edit#gid=1251630045"",""articles_with_PRISMA_reasons!B2:B2113""))&gt;=2),
""Exclude""
)"),"Exclude")</f>
        <v>Exclude</v>
      </c>
      <c r="E1475" s="5" t="str">
        <f>IFERROR(__xludf.DUMMYFUNCTION("IFS(
D1475=""Exclude"",""Exclude"",
AND(
FILTER(IMPORTRANGE(""https://docs.google.com/spreadsheets/d/1qpEmbGH0JjaJbUdp21-y2cPbobDbMjr09BbtdKROZWc/edit#gid=1444865654"",""articles_with_PRISMA_reasons!W2:W2113""), $A1475=IMPORTRANGE(""https://docs.google.co"&amp;"m/spreadsheets/d/1qpEmbGH0JjaJbUdp21-y2cPbobDbMjr09BbtdKROZWc/edit#gid=1444865654"",""articles_with_PRISMA_reasons!B2:B2113""))&gt;=2,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$A1475=IMPORTRANGE(""https://docs.google.com/spreadsheets/d/1qpEmbGH0JjaJbUdp21-y2cPbobDbMjr09BbtdKROZWc/edit#gid=1444865654"",""articles_with_PRISMA_reasons!B2:B2113""))&lt;2),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$A1475=IMPORTRANGE(""https://docs.google.com/spreadsheets/d/1qpEmbGH0JjaJbUdp21-y2cPbobDbMjr09Bbtd"&amp;"KROZWc/edit#gid=1444865654"",""articles_with_PRISMA_reasons!B2:B2113""))&lt;2,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$A1475=I"&amp;"MPORTRANGE(""https://docs.google.com/spreadsheets/d/1qpEmbGH0JjaJbUdp21-y2cPbobDbMjr09BbtdKROZWc/edit#gid=1444865654"",""articles_with_PRISMA_reasons!B2:B2113""))&gt;=2),
""Exclude""
)"),"Exclude")</f>
        <v>Exclude</v>
      </c>
      <c r="F1475" s="5" t="str">
        <f>IFERROR(__xludf.DUMMYFUNCTION("IFS(
E1475=""Exclude"",""Exclude"",
AND(
COUNTIF(
IMPORTRANGE(""https://docs.google.com/spreadsheets/d/1kGrh75X1cNR1D7_FcY9zMnHP8iPO4M5RCRjy6nZY0TY/edit#gid=0"",""Table 1: Study characteristics!B4:B171""),A1475)&gt;0,
COUNTIF(Studies!$A$2:$A$85,FILTER(IMPORT"&amp;"RANGE(""https://docs.google.com/spreadsheets/d/1kGrh75X1cNR1D7_FcY9zMnHP8iPO4M5RCRjy6nZY0TY/edit#gid=0"",""Table 1: Study characteristics!A4:A171""), $A1475=IMPORTRANGE(""https://docs.google.com/spreadsheets/d/1kGrh75X1cNR1D7_FcY9zMnHP8iPO4M5RCRjy6nZY0TY/"&amp;"edit#gid=0"",""Table 1: Study characteristics!B4:B171"")))&gt;0
),
""Include""
)"),"Exclude")</f>
        <v>Exclude</v>
      </c>
      <c r="G1475" s="5" t="str">
        <f>IFERROR(__xludf.DUMMYFUNCTION("IFS(
D1475=""Exclude"",
FILTER(IMPORTRANGE(""https://docs.google.com/spreadsheets/d/1BJSV3WBYJGRhQ6zExamkszQ5VutGIcaQqmbD9ZTVXMQ/edit#gid=1251630045"",""articles_with_PRISMA_reasons!AB2:AB2113""), $A1475=IMPORTRANGE(""https://docs.google.com/spreadsheets/"&amp;"d/1BJSV3WBYJGRhQ6zExamkszQ5VutGIcaQqmbD9ZTVXMQ/edit#gid=1251630045"",""articles_with_PRISMA_reasons!B2:B2113"")),
E1475=""Exclude"",
FILTER(IMPORTRANGE(""https://docs.google.com/spreadsheets/d/1qpEmbGH0JjaJbUdp21-y2cPbobDbMjr09BbtdKROZWc/edit#gid=14448656"&amp;"54"",""articles_with_PRISMA_reasons!Z2:Z2113""), $A1475=IMPORTRANGE(""https://docs.google.com/spreadsheets/d/1qpEmbGH0JjaJbUdp21-y2cPbobDbMjr09BbtdKROZWc/edit#gid=1444865654"",""articles_with_PRISMA_reasons!B2:B2113"")),F1475
=""Include"",FILTER(IMPORTRAN"&amp;"GE(""https://docs.google.com/spreadsheets/d/1kGrh75X1cNR1D7_FcY9zMnHP8iPO4M5RCRjy6nZY0TY/edit#gid=0"",""Table 1: Study characteristics!A4:A171""), $A1475=IMPORTRANGE(""https://docs.google.com/spreadsheets/d/1kGrh75X1cNR1D7_FcY9zMnHP8iPO4M5RCRjy6nZY0TY/edi"&amp;"t#gid=0"",""Table 1: Study characteristics!B4:B171""))
)"),"wrong population")</f>
        <v>wrong population</v>
      </c>
    </row>
    <row r="1476">
      <c r="A1476" s="4" t="str">
        <f>IFERROR(__xludf.DUMMYFUNCTION("""COMPUTED_VALUE"""),"Praenatal ultrasound findings of the Arnold-Chiari malformation")</f>
        <v>Praenatal ultrasound findings of the Arnold-Chiari malformation</v>
      </c>
      <c r="B1476" s="5" t="str">
        <f>IFERROR(__xludf.DUMMYFUNCTION("LEFT(FILTER(IMPORTRANGE(""https://docs.google.com/spreadsheets/d/1BJSV3WBYJGRhQ6zExamkszQ5VutGIcaQqmbD9ZTVXMQ/edit#gid=1251630045"",""articles_with_PRISMA_reasons!K2:K2113""), $A1476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$A1476=IMPORTRANGE(""https://docs.google.com/spreadsheets/d/1BJSV3WBYJGRhQ6zExamkszQ5VutGIcaQqmbD9ZTVXMQ/edit#gid=1251630045"",""articles_with_PRISMA_reasons!B2:B2113"")))-1)"),"Goldhofer")</f>
        <v>Goldhofer</v>
      </c>
      <c r="C1476" s="6">
        <f>IFERROR(__xludf.DUMMYFUNCTION("FILTER(IMPORTRANGE(""https://docs.google.com/spreadsheets/d/1BJSV3WBYJGRhQ6zExamkszQ5VutGIcaQqmbD9ZTVXMQ/edit#gid=1251630045"",""articles_with_PRISMA_reasons!C2:C2113""), $A1476=IMPORTRANGE(""https://docs.google.com/spreadsheets/d/1BJSV3WBYJGRhQ6zExamkszQ"&amp;"5VutGIcaQqmbD9ZTVXMQ/edit#gid=1251630045"",""articles_with_PRISMA_reasons!B2:B2113""))"),1985.0)</f>
        <v>1985</v>
      </c>
      <c r="D1476" s="5" t="str">
        <f>IFERROR(__xludf.DUMMYFUNCTION("IFS(AND(
FILTER(IMPORTRANGE(""https://docs.google.com/spreadsheets/d/1BJSV3WBYJGRhQ6zExamkszQ5VutGIcaQqmbD9ZTVXMQ/edit#gid=1251630045"",""articles_with_PRISMA_reasons!Y2:Y2113""), $A1476=IMPORTRANGE(""https://docs.google.com/spreadsheets/d/1BJSV3WBYJGRhQ6"&amp;"zExamkszQ5VutGIcaQqmbD9ZTVXMQ/edit#gid=1251630045"",""articles_with_PRISMA_reasons!B2:B2113""))&gt;=2,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$A1476=IMPORTRANGE(""https://docs.google.com/spreadsheets/d/1BJSV3WBYJGRhQ6zExamkszQ5VutGIcaQqmbD9ZTVXMQ/edit#gid=1251630045"",""articles_with_PRISMA_reasons!B2:B2113""))&lt;2),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$A1476=IMPORTRANGE(""https://docs.google.com/spreadsheets/d/1BJSV3WBYJGRhQ6zExamkszQ5VutGIcaQqmbD9ZTVXMQ/edit#gid=1251630045"",""a"&amp;"rticles_with_PRISMA_reasons!B2:B2113""))&lt;2,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$A1476=IMPORTRANGE(""https://docs.google"&amp;".com/spreadsheets/d/1BJSV3WBYJGRhQ6zExamkszQ5VutGIcaQqmbD9ZTVXMQ/edit#gid=1251630045"",""articles_with_PRISMA_reasons!B2:B2113""))&gt;=2),
""Exclude""
)"),"Exclude")</f>
        <v>Exclude</v>
      </c>
      <c r="E1476" s="5" t="str">
        <f>IFERROR(__xludf.DUMMYFUNCTION("IFS(
D1476=""Exclude"",""Exclude"",
AND(
FILTER(IMPORTRANGE(""https://docs.google.com/spreadsheets/d/1qpEmbGH0JjaJbUdp21-y2cPbobDbMjr09BbtdKROZWc/edit#gid=1444865654"",""articles_with_PRISMA_reasons!W2:W2113""), $A1476=IMPORTRANGE(""https://docs.google.co"&amp;"m/spreadsheets/d/1qpEmbGH0JjaJbUdp21-y2cPbobDbMjr09BbtdKROZWc/edit#gid=1444865654"",""articles_with_PRISMA_reasons!B2:B2113""))&gt;=2,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$A1476=IMPORTRANGE(""https://docs.google.com/spreadsheets/d/1qpEmbGH0JjaJbUdp21-y2cPbobDbMjr09BbtdKROZWc/edit#gid=1444865654"",""articles_with_PRISMA_reasons!B2:B2113""))&lt;2),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$A1476=IMPORTRANGE(""https://docs.google.com/spreadsheets/d/1qpEmbGH0JjaJbUdp21-y2cPbobDbMjr09Bbtd"&amp;"KROZWc/edit#gid=1444865654"",""articles_with_PRISMA_reasons!B2:B2113""))&lt;2,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$A1476=I"&amp;"MPORTRANGE(""https://docs.google.com/spreadsheets/d/1qpEmbGH0JjaJbUdp21-y2cPbobDbMjr09BbtdKROZWc/edit#gid=1444865654"",""articles_with_PRISMA_reasons!B2:B2113""))&gt;=2),
""Exclude""
)"),"Exclude")</f>
        <v>Exclude</v>
      </c>
      <c r="F1476" s="5" t="str">
        <f>IFERROR(__xludf.DUMMYFUNCTION("IFS(
E1476=""Exclude"",""Exclude"",
AND(
COUNTIF(
IMPORTRANGE(""https://docs.google.com/spreadsheets/d/1kGrh75X1cNR1D7_FcY9zMnHP8iPO4M5RCRjy6nZY0TY/edit#gid=0"",""Table 1: Study characteristics!B4:B171""),A1476)&gt;0,
COUNTIF(Studies!$A$2:$A$85,FILTER(IMPORT"&amp;"RANGE(""https://docs.google.com/spreadsheets/d/1kGrh75X1cNR1D7_FcY9zMnHP8iPO4M5RCRjy6nZY0TY/edit#gid=0"",""Table 1: Study characteristics!A4:A171""), $A1476=IMPORTRANGE(""https://docs.google.com/spreadsheets/d/1kGrh75X1cNR1D7_FcY9zMnHP8iPO4M5RCRjy6nZY0TY/"&amp;"edit#gid=0"",""Table 1: Study characteristics!B4:B171"")))&gt;0
),
""Include""
)"),"Exclude")</f>
        <v>Exclude</v>
      </c>
      <c r="G1476" s="5" t="str">
        <f>IFERROR(__xludf.DUMMYFUNCTION("IFS(
D1476=""Exclude"",
FILTER(IMPORTRANGE(""https://docs.google.com/spreadsheets/d/1BJSV3WBYJGRhQ6zExamkszQ5VutGIcaQqmbD9ZTVXMQ/edit#gid=1251630045"",""articles_with_PRISMA_reasons!AB2:AB2113""), $A1476=IMPORTRANGE(""https://docs.google.com/spreadsheets/"&amp;"d/1BJSV3WBYJGRhQ6zExamkszQ5VutGIcaQqmbD9ZTVXMQ/edit#gid=1251630045"",""articles_with_PRISMA_reasons!B2:B2113"")),
E1476=""Exclude"",
FILTER(IMPORTRANGE(""https://docs.google.com/spreadsheets/d/1qpEmbGH0JjaJbUdp21-y2cPbobDbMjr09BbtdKROZWc/edit#gid=14448656"&amp;"54"",""articles_with_PRISMA_reasons!Z2:Z2113""), $A1476=IMPORTRANGE(""https://docs.google.com/spreadsheets/d/1qpEmbGH0JjaJbUdp21-y2cPbobDbMjr09BbtdKROZWc/edit#gid=1444865654"",""articles_with_PRISMA_reasons!B2:B2113"")),F1476
=""Include"",FILTER(IMPORTRAN"&amp;"GE(""https://docs.google.com/spreadsheets/d/1kGrh75X1cNR1D7_FcY9zMnHP8iPO4M5RCRjy6nZY0TY/edit#gid=0"",""Table 1: Study characteristics!A4:A171""), $A1476=IMPORTRANGE(""https://docs.google.com/spreadsheets/d/1kGrh75X1cNR1D7_FcY9zMnHP8iPO4M5RCRjy6nZY0TY/edi"&amp;"t#gid=0"",""Table 1: Study characteristics!B4:B171""))
)"),"wrong study design")</f>
        <v>wrong study design</v>
      </c>
    </row>
    <row r="1477">
      <c r="A1477" s="4" t="str">
        <f>IFERROR(__xludf.DUMMYFUNCTION("""COMPUTED_VALUE"""),"Pranatale sonografische Messungen des Kopfumfangs sowie der lateralen Ventrikel-Weiten vor und nach offenem fetalem Myelomeningocelen-Verschluss - Vorhersage der Shunt-Bedurftigkeit im ersten Lebensjahr, Prenatal Sonographic Head Circumference and Cerebra"&amp;"l Ventricle Width Measurements Before and After Open Fetal Myelomeningocele Repair - Prediction of Shunting During the First Year of Life")</f>
        <v>Pranatale sonografische Messungen des Kopfumfangs sowie der lateralen Ventrikel-Weiten vor und nach offenem fetalem Myelomeningocelen-Verschluss - Vorhersage der Shunt-Bedurftigkeit im ersten Lebensjahr, Prenatal Sonographic Head Circumference and Cerebral Ventricle Width Measurements Before and After Open Fetal Myelomeningocele Repair - Prediction of Shunting During the First Year of Life</v>
      </c>
      <c r="B1477" s="5" t="str">
        <f>IFERROR(__xludf.DUMMYFUNCTION("LEFT(FILTER(IMPORTRANGE(""https://docs.google.com/spreadsheets/d/1BJSV3WBYJGRhQ6zExamkszQ5VutGIcaQqmbD9ZTVXMQ/edit#gid=1251630045"",""articles_with_PRISMA_reasons!K2:K2113""), $A1477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$A1477=IMPORTRANGE(""https://docs.google.com/spreadsheets/d/1BJSV3WBYJGRhQ6zExamkszQ5VutGIcaQqmbD9ZTVXMQ/edit#gid=1251630045"",""articles_with_PRISMA_reasons!B2:B2113"")))-1)"),"Vonzun")</f>
        <v>Vonzun</v>
      </c>
      <c r="C1477" s="6">
        <f>IFERROR(__xludf.DUMMYFUNCTION("FILTER(IMPORTRANGE(""https://docs.google.com/spreadsheets/d/1BJSV3WBYJGRhQ6zExamkszQ5VutGIcaQqmbD9ZTVXMQ/edit#gid=1251630045"",""articles_with_PRISMA_reasons!C2:C2113""), $A1477=IMPORTRANGE(""https://docs.google.com/spreadsheets/d/1BJSV3WBYJGRhQ6zExamkszQ"&amp;"5VutGIcaQqmbD9ZTVXMQ/edit#gid=1251630045"",""articles_with_PRISMA_reasons!B2:B2113""))"),2020.0)</f>
        <v>2020</v>
      </c>
      <c r="D1477" s="5" t="str">
        <f>IFERROR(__xludf.DUMMYFUNCTION("IFS(AND(
FILTER(IMPORTRANGE(""https://docs.google.com/spreadsheets/d/1BJSV3WBYJGRhQ6zExamkszQ5VutGIcaQqmbD9ZTVXMQ/edit#gid=1251630045"",""articles_with_PRISMA_reasons!Y2:Y2113""), $A1477=IMPORTRANGE(""https://docs.google.com/spreadsheets/d/1BJSV3WBYJGRhQ6"&amp;"zExamkszQ5VutGIcaQqmbD9ZTVXMQ/edit#gid=1251630045"",""articles_with_PRISMA_reasons!B2:B2113""))&gt;=2,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$A1477=IMPORTRANGE(""https://docs.google.com/spreadsheets/d/1BJSV3WBYJGRhQ6zExamkszQ5VutGIcaQqmbD9ZTVXMQ/edit#gid=1251630045"",""articles_with_PRISMA_reasons!B2:B2113""))&lt;2),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$A1477=IMPORTRANGE(""https://docs.google.com/spreadsheets/d/1BJSV3WBYJGRhQ6zExamkszQ5VutGIcaQqmbD9ZTVXMQ/edit#gid=1251630045"",""a"&amp;"rticles_with_PRISMA_reasons!B2:B2113""))&lt;2,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$A1477=IMPORTRANGE(""https://docs.google"&amp;".com/spreadsheets/d/1BJSV3WBYJGRhQ6zExamkszQ5VutGIcaQqmbD9ZTVXMQ/edit#gid=1251630045"",""articles_with_PRISMA_reasons!B2:B2113""))&gt;=2),
""Exclude""
)"),"Exclude")</f>
        <v>Exclude</v>
      </c>
      <c r="E1477" s="5" t="str">
        <f>IFERROR(__xludf.DUMMYFUNCTION("IFS(
D1477=""Exclude"",""Exclude"",
AND(
FILTER(IMPORTRANGE(""https://docs.google.com/spreadsheets/d/1qpEmbGH0JjaJbUdp21-y2cPbobDbMjr09BbtdKROZWc/edit#gid=1444865654"",""articles_with_PRISMA_reasons!W2:W2113""), $A1477=IMPORTRANGE(""https://docs.google.co"&amp;"m/spreadsheets/d/1qpEmbGH0JjaJbUdp21-y2cPbobDbMjr09BbtdKROZWc/edit#gid=1444865654"",""articles_with_PRISMA_reasons!B2:B2113""))&gt;=2,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$A1477=IMPORTRANGE(""https://docs.google.com/spreadsheets/d/1qpEmbGH0JjaJbUdp21-y2cPbobDbMjr09BbtdKROZWc/edit#gid=1444865654"",""articles_with_PRISMA_reasons!B2:B2113""))&lt;2),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$A1477=IMPORTRANGE(""https://docs.google.com/spreadsheets/d/1qpEmbGH0JjaJbUdp21-y2cPbobDbMjr09Bbtd"&amp;"KROZWc/edit#gid=1444865654"",""articles_with_PRISMA_reasons!B2:B2113""))&lt;2,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$A1477=I"&amp;"MPORTRANGE(""https://docs.google.com/spreadsheets/d/1qpEmbGH0JjaJbUdp21-y2cPbobDbMjr09BbtdKROZWc/edit#gid=1444865654"",""articles_with_PRISMA_reasons!B2:B2113""))&gt;=2),
""Exclude""
)"),"Exclude")</f>
        <v>Exclude</v>
      </c>
      <c r="F1477" s="5" t="str">
        <f>IFERROR(__xludf.DUMMYFUNCTION("IFS(
E1477=""Exclude"",""Exclude"",
AND(
COUNTIF(
IMPORTRANGE(""https://docs.google.com/spreadsheets/d/1kGrh75X1cNR1D7_FcY9zMnHP8iPO4M5RCRjy6nZY0TY/edit#gid=0"",""Table 1: Study characteristics!B4:B171""),A1477)&gt;0,
COUNTIF(Studies!$A$2:$A$85,FILTER(IMPORT"&amp;"RANGE(""https://docs.google.com/spreadsheets/d/1kGrh75X1cNR1D7_FcY9zMnHP8iPO4M5RCRjy6nZY0TY/edit#gid=0"",""Table 1: Study characteristics!A4:A171""), $A1477=IMPORTRANGE(""https://docs.google.com/spreadsheets/d/1kGrh75X1cNR1D7_FcY9zMnHP8iPO4M5RCRjy6nZY0TY/"&amp;"edit#gid=0"",""Table 1: Study characteristics!B4:B171"")))&gt;0
),
""Include""
)"),"Exclude")</f>
        <v>Exclude</v>
      </c>
      <c r="G1477" s="5" t="str">
        <f>IFERROR(__xludf.DUMMYFUNCTION("IFS(
D1477=""Exclude"",
FILTER(IMPORTRANGE(""https://docs.google.com/spreadsheets/d/1BJSV3WBYJGRhQ6zExamkszQ5VutGIcaQqmbD9ZTVXMQ/edit#gid=1251630045"",""articles_with_PRISMA_reasons!AB2:AB2113""), $A1477=IMPORTRANGE(""https://docs.google.com/spreadsheets/"&amp;"d/1BJSV3WBYJGRhQ6zExamkszQ5VutGIcaQqmbD9ZTVXMQ/edit#gid=1251630045"",""articles_with_PRISMA_reasons!B2:B2113"")),
E1477=""Exclude"",
FILTER(IMPORTRANGE(""https://docs.google.com/spreadsheets/d/1qpEmbGH0JjaJbUdp21-y2cPbobDbMjr09BbtdKROZWc/edit#gid=14448656"&amp;"54"",""articles_with_PRISMA_reasons!Z2:Z2113""), $A1477=IMPORTRANGE(""https://docs.google.com/spreadsheets/d/1qpEmbGH0JjaJbUdp21-y2cPbobDbMjr09BbtdKROZWc/edit#gid=1444865654"",""articles_with_PRISMA_reasons!B2:B2113"")),F1477
=""Include"",FILTER(IMPORTRAN"&amp;"GE(""https://docs.google.com/spreadsheets/d/1kGrh75X1cNR1D7_FcY9zMnHP8iPO4M5RCRjy6nZY0TY/edit#gid=0"",""Table 1: Study characteristics!A4:A171""), $A1477=IMPORTRANGE(""https://docs.google.com/spreadsheets/d/1kGrh75X1cNR1D7_FcY9zMnHP8iPO4M5RCRjy6nZY0TY/edi"&amp;"t#gid=0"",""Table 1: Study characteristics!B4:B171""))
)"),"wrong population")</f>
        <v>wrong population</v>
      </c>
    </row>
    <row r="1478">
      <c r="A1478" s="4" t="str">
        <f>IFERROR(__xludf.DUMMYFUNCTION("""COMPUTED_VALUE"""),"Pre- and neonatal hydrocephalus in the Middle East: Experience in Qatar")</f>
        <v>Pre- and neonatal hydrocephalus in the Middle East: Experience in Qatar</v>
      </c>
      <c r="B1478" s="5" t="str">
        <f>IFERROR(__xludf.DUMMYFUNCTION("LEFT(FILTER(IMPORTRANGE(""https://docs.google.com/spreadsheets/d/1BJSV3WBYJGRhQ6zExamkszQ5VutGIcaQqmbD9ZTVXMQ/edit#gid=1251630045"",""articles_with_PRISMA_reasons!K2:K2113""), $A1478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$A1478=IMPORTRANGE(""https://docs.google.com/spreadsheets/d/1BJSV3WBYJGRhQ6zExamkszQ5VutGIcaQqmbD9ZTVXMQ/edit#gid=1251630045"",""articles_with_PRISMA_reasons!B2:B2113"")))-1)"),"Nogueira")</f>
        <v>Nogueira</v>
      </c>
      <c r="C1478" s="6">
        <f>IFERROR(__xludf.DUMMYFUNCTION("FILTER(IMPORTRANGE(""https://docs.google.com/spreadsheets/d/1BJSV3WBYJGRhQ6zExamkszQ5VutGIcaQqmbD9ZTVXMQ/edit#gid=1251630045"",""articles_with_PRISMA_reasons!C2:C2113""), $A1478=IMPORTRANGE(""https://docs.google.com/spreadsheets/d/1BJSV3WBYJGRhQ6zExamkszQ"&amp;"5VutGIcaQqmbD9ZTVXMQ/edit#gid=1251630045"",""articles_with_PRISMA_reasons!B2:B2113""))"),1992.0)</f>
        <v>1992</v>
      </c>
      <c r="D1478" s="5" t="str">
        <f>IFERROR(__xludf.DUMMYFUNCTION("IFS(AND(
FILTER(IMPORTRANGE(""https://docs.google.com/spreadsheets/d/1BJSV3WBYJGRhQ6zExamkszQ5VutGIcaQqmbD9ZTVXMQ/edit#gid=1251630045"",""articles_with_PRISMA_reasons!Y2:Y2113""), $A1478=IMPORTRANGE(""https://docs.google.com/spreadsheets/d/1BJSV3WBYJGRhQ6"&amp;"zExamkszQ5VutGIcaQqmbD9ZTVXMQ/edit#gid=1251630045"",""articles_with_PRISMA_reasons!B2:B2113""))&gt;=2,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$A1478=IMPORTRANGE(""https://docs.google.com/spreadsheets/d/1BJSV3WBYJGRhQ6zExamkszQ5VutGIcaQqmbD9ZTVXMQ/edit#gid=1251630045"",""articles_with_PRISMA_reasons!B2:B2113""))&lt;2),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$A1478=IMPORTRANGE(""https://docs.google.com/spreadsheets/d/1BJSV3WBYJGRhQ6zExamkszQ5VutGIcaQqmbD9ZTVXMQ/edit#gid=1251630045"",""a"&amp;"rticles_with_PRISMA_reasons!B2:B2113""))&lt;2,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$A1478=IMPORTRANGE(""https://docs.google"&amp;".com/spreadsheets/d/1BJSV3WBYJGRhQ6zExamkszQ5VutGIcaQqmbD9ZTVXMQ/edit#gid=1251630045"",""articles_with_PRISMA_reasons!B2:B2113""))&gt;=2),
""Exclude""
)"),"Include")</f>
        <v>Include</v>
      </c>
      <c r="E1478" s="5" t="str">
        <f>IFERROR(__xludf.DUMMYFUNCTION("IFS(
D1478=""Exclude"",""Exclude"",
AND(
FILTER(IMPORTRANGE(""https://docs.google.com/spreadsheets/d/1qpEmbGH0JjaJbUdp21-y2cPbobDbMjr09BbtdKROZWc/edit#gid=1444865654"",""articles_with_PRISMA_reasons!W2:W2113""), $A1478=IMPORTRANGE(""https://docs.google.co"&amp;"m/spreadsheets/d/1qpEmbGH0JjaJbUdp21-y2cPbobDbMjr09BbtdKROZWc/edit#gid=1444865654"",""articles_with_PRISMA_reasons!B2:B2113""))&gt;=2,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$A1478=IMPORTRANGE(""https://docs.google.com/spreadsheets/d/1qpEmbGH0JjaJbUdp21-y2cPbobDbMjr09BbtdKROZWc/edit#gid=1444865654"",""articles_with_PRISMA_reasons!B2:B2113""))&lt;2),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$A1478=IMPORTRANGE(""https://docs.google.com/spreadsheets/d/1qpEmbGH0JjaJbUdp21-y2cPbobDbMjr09Bbtd"&amp;"KROZWc/edit#gid=1444865654"",""articles_with_PRISMA_reasons!B2:B2113""))&lt;2,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$A1478=I"&amp;"MPORTRANGE(""https://docs.google.com/spreadsheets/d/1qpEmbGH0JjaJbUdp21-y2cPbobDbMjr09BbtdKROZWc/edit#gid=1444865654"",""articles_with_PRISMA_reasons!B2:B2113""))&gt;=2),
""Exclude""
)"),"Exclude")</f>
        <v>Exclude</v>
      </c>
      <c r="F1478" s="5" t="str">
        <f>IFERROR(__xludf.DUMMYFUNCTION("IFS(
E1478=""Exclude"",""Exclude"",
AND(
COUNTIF(
IMPORTRANGE(""https://docs.google.com/spreadsheets/d/1kGrh75X1cNR1D7_FcY9zMnHP8iPO4M5RCRjy6nZY0TY/edit#gid=0"",""Table 1: Study characteristics!B4:B171""),A1478)&gt;0,
COUNTIF(Studies!$A$2:$A$85,FILTER(IMPORT"&amp;"RANGE(""https://docs.google.com/spreadsheets/d/1kGrh75X1cNR1D7_FcY9zMnHP8iPO4M5RCRjy6nZY0TY/edit#gid=0"",""Table 1: Study characteristics!A4:A171""), $A1478=IMPORTRANGE(""https://docs.google.com/spreadsheets/d/1kGrh75X1cNR1D7_FcY9zMnHP8iPO4M5RCRjy6nZY0TY/"&amp;"edit#gid=0"",""Table 1: Study characteristics!B4:B171"")))&gt;0
),
""Include""
)"),"Exclude")</f>
        <v>Exclude</v>
      </c>
      <c r="G1478" s="5" t="str">
        <f>IFERROR(__xludf.DUMMYFUNCTION("IFS(
D1478=""Exclude"",
FILTER(IMPORTRANGE(""https://docs.google.com/spreadsheets/d/1BJSV3WBYJGRhQ6zExamkszQ5VutGIcaQqmbD9ZTVXMQ/edit#gid=1251630045"",""articles_with_PRISMA_reasons!AB2:AB2113""), $A1478=IMPORTRANGE(""https://docs.google.com/spreadsheets/"&amp;"d/1BJSV3WBYJGRhQ6zExamkszQ5VutGIcaQqmbD9ZTVXMQ/edit#gid=1251630045"",""articles_with_PRISMA_reasons!B2:B2113"")),
E1478=""Exclude"",
FILTER(IMPORTRANGE(""https://docs.google.com/spreadsheets/d/1qpEmbGH0JjaJbUdp21-y2cPbobDbMjr09BbtdKROZWc/edit#gid=14448656"&amp;"54"",""articles_with_PRISMA_reasons!Z2:Z2113""), $A1478=IMPORTRANGE(""https://docs.google.com/spreadsheets/d/1qpEmbGH0JjaJbUdp21-y2cPbobDbMjr09BbtdKROZWc/edit#gid=1444865654"",""articles_with_PRISMA_reasons!B2:B2113"")),F1478
=""Include"",FILTER(IMPORTRAN"&amp;"GE(""https://docs.google.com/spreadsheets/d/1kGrh75X1cNR1D7_FcY9zMnHP8iPO4M5RCRjy6nZY0TY/edit#gid=0"",""Table 1: Study characteristics!A4:A171""), $A1478=IMPORTRANGE(""https://docs.google.com/spreadsheets/d/1kGrh75X1cNR1D7_FcY9zMnHP8iPO4M5RCRjy6nZY0TY/edi"&amp;"t#gid=0"",""Table 1: Study characteristics!B4:B171""))
)"),"wrong outcome")</f>
        <v>wrong outcome</v>
      </c>
    </row>
    <row r="1479">
      <c r="A1479" s="4" t="str">
        <f>IFERROR(__xludf.DUMMYFUNCTION("""COMPUTED_VALUE"""),"Pre- and postoperative cerebrospinal fluid absorption studies in patients with myelomeningocele shunted for hydrocephalus")</f>
        <v>Pre- and postoperative cerebrospinal fluid absorption studies in patients with myelomeningocele shunted for hydrocephalus</v>
      </c>
      <c r="B1479" s="5" t="str">
        <f>IFERROR(__xludf.DUMMYFUNCTION("LEFT(FILTER(IMPORTRANGE(""https://docs.google.com/spreadsheets/d/1BJSV3WBYJGRhQ6zExamkszQ5VutGIcaQqmbD9ZTVXMQ/edit#gid=1251630045"",""articles_with_PRISMA_reasons!K2:K2113""), $A1479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$A1479=IMPORTRANGE(""https://docs.google.com/spreadsheets/d/1BJSV3WBYJGRhQ6zExamkszQ5VutGIcaQqmbD9ZTVXMQ/edit#gid=1251630045"",""articles_with_PRISMA_reasons!B2:B2113"")))-1)"),"Portnoy")</f>
        <v>Portnoy</v>
      </c>
      <c r="C1479" s="6">
        <f>IFERROR(__xludf.DUMMYFUNCTION("FILTER(IMPORTRANGE(""https://docs.google.com/spreadsheets/d/1BJSV3WBYJGRhQ6zExamkszQ5VutGIcaQqmbD9ZTVXMQ/edit#gid=1251630045"",""articles_with_PRISMA_reasons!C2:C2113""), $A1479=IMPORTRANGE(""https://docs.google.com/spreadsheets/d/1BJSV3WBYJGRhQ6zExamkszQ"&amp;"5VutGIcaQqmbD9ZTVXMQ/edit#gid=1251630045"",""articles_with_PRISMA_reasons!B2:B2113""))"),1978.0)</f>
        <v>1978</v>
      </c>
      <c r="D1479" s="5" t="str">
        <f>IFERROR(__xludf.DUMMYFUNCTION("IFS(AND(
FILTER(IMPORTRANGE(""https://docs.google.com/spreadsheets/d/1BJSV3WBYJGRhQ6zExamkszQ5VutGIcaQqmbD9ZTVXMQ/edit#gid=1251630045"",""articles_with_PRISMA_reasons!Y2:Y2113""), $A1479=IMPORTRANGE(""https://docs.google.com/spreadsheets/d/1BJSV3WBYJGRhQ6"&amp;"zExamkszQ5VutGIcaQqmbD9ZTVXMQ/edit#gid=1251630045"",""articles_with_PRISMA_reasons!B2:B2113""))&gt;=2,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$A1479=IMPORTRANGE(""https://docs.google.com/spreadsheets/d/1BJSV3WBYJGRhQ6zExamkszQ5VutGIcaQqmbD9ZTVXMQ/edit#gid=1251630045"",""articles_with_PRISMA_reasons!B2:B2113""))&lt;2),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$A1479=IMPORTRANGE(""https://docs.google.com/spreadsheets/d/1BJSV3WBYJGRhQ6zExamkszQ5VutGIcaQqmbD9ZTVXMQ/edit#gid=1251630045"",""a"&amp;"rticles_with_PRISMA_reasons!B2:B2113""))&lt;2,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$A1479=IMPORTRANGE(""https://docs.google"&amp;".com/spreadsheets/d/1BJSV3WBYJGRhQ6zExamkszQ5VutGIcaQqmbD9ZTVXMQ/edit#gid=1251630045"",""articles_with_PRISMA_reasons!B2:B2113""))&gt;=2),
""Exclude""
)"),"Include")</f>
        <v>Include</v>
      </c>
      <c r="E1479" s="5" t="str">
        <f>IFERROR(__xludf.DUMMYFUNCTION("IFS(
D1479=""Exclude"",""Exclude"",
AND(
FILTER(IMPORTRANGE(""https://docs.google.com/spreadsheets/d/1qpEmbGH0JjaJbUdp21-y2cPbobDbMjr09BbtdKROZWc/edit#gid=1444865654"",""articles_with_PRISMA_reasons!W2:W2113""), $A1479=IMPORTRANGE(""https://docs.google.co"&amp;"m/spreadsheets/d/1qpEmbGH0JjaJbUdp21-y2cPbobDbMjr09BbtdKROZWc/edit#gid=1444865654"",""articles_with_PRISMA_reasons!B2:B2113""))&gt;=2,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$A1479=IMPORTRANGE(""https://docs.google.com/spreadsheets/d/1qpEmbGH0JjaJbUdp21-y2cPbobDbMjr09BbtdKROZWc/edit#gid=1444865654"",""articles_with_PRISMA_reasons!B2:B2113""))&lt;2),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$A1479=IMPORTRANGE(""https://docs.google.com/spreadsheets/d/1qpEmbGH0JjaJbUdp21-y2cPbobDbMjr09Bbtd"&amp;"KROZWc/edit#gid=1444865654"",""articles_with_PRISMA_reasons!B2:B2113""))&lt;2,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$A1479=I"&amp;"MPORTRANGE(""https://docs.google.com/spreadsheets/d/1qpEmbGH0JjaJbUdp21-y2cPbobDbMjr09BbtdKROZWc/edit#gid=1444865654"",""articles_with_PRISMA_reasons!B2:B2113""))&gt;=2),
""Exclude""
)"),"Exclude")</f>
        <v>Exclude</v>
      </c>
      <c r="F1479" s="5" t="str">
        <f>IFERROR(__xludf.DUMMYFUNCTION("IFS(
E1479=""Exclude"",""Exclude"",
AND(
COUNTIF(
IMPORTRANGE(""https://docs.google.com/spreadsheets/d/1kGrh75X1cNR1D7_FcY9zMnHP8iPO4M5RCRjy6nZY0TY/edit#gid=0"",""Table 1: Study characteristics!B4:B171""),A1479)&gt;0,
COUNTIF(Studies!$A$2:$A$85,FILTER(IMPORT"&amp;"RANGE(""https://docs.google.com/spreadsheets/d/1kGrh75X1cNR1D7_FcY9zMnHP8iPO4M5RCRjy6nZY0TY/edit#gid=0"",""Table 1: Study characteristics!A4:A171""), $A1479=IMPORTRANGE(""https://docs.google.com/spreadsheets/d/1kGrh75X1cNR1D7_FcY9zMnHP8iPO4M5RCRjy6nZY0TY/"&amp;"edit#gid=0"",""Table 1: Study characteristics!B4:B171"")))&gt;0
),
""Include""
)"),"Exclude")</f>
        <v>Exclude</v>
      </c>
      <c r="G1479" s="5" t="str">
        <f>IFERROR(__xludf.DUMMYFUNCTION("IFS(
D1479=""Exclude"",
FILTER(IMPORTRANGE(""https://docs.google.com/spreadsheets/d/1BJSV3WBYJGRhQ6zExamkszQ5VutGIcaQqmbD9ZTVXMQ/edit#gid=1251630045"",""articles_with_PRISMA_reasons!AB2:AB2113""), $A1479=IMPORTRANGE(""https://docs.google.com/spreadsheets/"&amp;"d/1BJSV3WBYJGRhQ6zExamkszQ5VutGIcaQqmbD9ZTVXMQ/edit#gid=1251630045"",""articles_with_PRISMA_reasons!B2:B2113"")),
E1479=""Exclude"",
FILTER(IMPORTRANGE(""https://docs.google.com/spreadsheets/d/1qpEmbGH0JjaJbUdp21-y2cPbobDbMjr09BbtdKROZWc/edit#gid=14448656"&amp;"54"",""articles_with_PRISMA_reasons!Z2:Z2113""), $A1479=IMPORTRANGE(""https://docs.google.com/spreadsheets/d/1qpEmbGH0JjaJbUdp21-y2cPbobDbMjr09BbtdKROZWc/edit#gid=1444865654"",""articles_with_PRISMA_reasons!B2:B2113"")),F1479
=""Include"",FILTER(IMPORTRAN"&amp;"GE(""https://docs.google.com/spreadsheets/d/1kGrh75X1cNR1D7_FcY9zMnHP8iPO4M5RCRjy6nZY0TY/edit#gid=0"",""Table 1: Study characteristics!A4:A171""), $A1479=IMPORTRANGE(""https://docs.google.com/spreadsheets/d/1kGrh75X1cNR1D7_FcY9zMnHP8iPO4M5RCRjy6nZY0TY/edi"&amp;"t#gid=0"",""Table 1: Study characteristics!B4:B171""))
)"),"wrong outcome")</f>
        <v>wrong outcome</v>
      </c>
    </row>
    <row r="1480">
      <c r="A1480" s="4" t="str">
        <f>IFERROR(__xludf.DUMMYFUNCTION("""COMPUTED_VALUE"""),"Pre-conceptional vitamin/folic acid supplementation 2007: the use of folic acid in combination with a multivitamin supplement for the prevention of neural tube defects and other congenital anomalies")</f>
        <v>Pre-conceptional vitamin/folic acid supplementation 2007: the use of folic acid in combination with a multivitamin supplement for the prevention of neural tube defects and other congenital anomalies</v>
      </c>
      <c r="B1480" s="5" t="str">
        <f>IFERROR(__xludf.DUMMYFUNCTION("LEFT(FILTER(IMPORTRANGE(""https://docs.google.com/spreadsheets/d/1BJSV3WBYJGRhQ6zExamkszQ5VutGIcaQqmbD9ZTVXMQ/edit#gid=1251630045"",""articles_with_PRISMA_reasons!K2:K2113""), $A1480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$A1480=IMPORTRANGE(""https://docs.google.com/spreadsheets/d/1BJSV3WBYJGRhQ6zExamkszQ5VutGIcaQqmbD9ZTVXMQ/edit#gid=1251630045"",""articles_with_PRISMA_reasons!B2:B2113"")))-1)"),"Wilson")</f>
        <v>Wilson</v>
      </c>
      <c r="C1480" s="6">
        <f>IFERROR(__xludf.DUMMYFUNCTION("FILTER(IMPORTRANGE(""https://docs.google.com/spreadsheets/d/1BJSV3WBYJGRhQ6zExamkszQ5VutGIcaQqmbD9ZTVXMQ/edit#gid=1251630045"",""articles_with_PRISMA_reasons!C2:C2113""), $A1480=IMPORTRANGE(""https://docs.google.com/spreadsheets/d/1BJSV3WBYJGRhQ6zExamkszQ"&amp;"5VutGIcaQqmbD9ZTVXMQ/edit#gid=1251630045"",""articles_with_PRISMA_reasons!B2:B2113""))"),2007.0)</f>
        <v>2007</v>
      </c>
      <c r="D1480" s="5" t="str">
        <f>IFERROR(__xludf.DUMMYFUNCTION("IFS(AND(
FILTER(IMPORTRANGE(""https://docs.google.com/spreadsheets/d/1BJSV3WBYJGRhQ6zExamkszQ5VutGIcaQqmbD9ZTVXMQ/edit#gid=1251630045"",""articles_with_PRISMA_reasons!Y2:Y2113""), $A1480=IMPORTRANGE(""https://docs.google.com/spreadsheets/d/1BJSV3WBYJGRhQ6"&amp;"zExamkszQ5VutGIcaQqmbD9ZTVXMQ/edit#gid=1251630045"",""articles_with_PRISMA_reasons!B2:B2113""))&gt;=2,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$A1480=IMPORTRANGE(""https://docs.google.com/spreadsheets/d/1BJSV3WBYJGRhQ6zExamkszQ5VutGIcaQqmbD9ZTVXMQ/edit#gid=1251630045"",""articles_with_PRISMA_reasons!B2:B2113""))&lt;2),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$A1480=IMPORTRANGE(""https://docs.google.com/spreadsheets/d/1BJSV3WBYJGRhQ6zExamkszQ5VutGIcaQqmbD9ZTVXMQ/edit#gid=1251630045"",""a"&amp;"rticles_with_PRISMA_reasons!B2:B2113""))&lt;2,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$A1480=IMPORTRANGE(""https://docs.google"&amp;".com/spreadsheets/d/1BJSV3WBYJGRhQ6zExamkszQ5VutGIcaQqmbD9ZTVXMQ/edit#gid=1251630045"",""articles_with_PRISMA_reasons!B2:B2113""))&gt;=2),
""Exclude""
)"),"Exclude")</f>
        <v>Exclude</v>
      </c>
      <c r="E1480" s="5" t="str">
        <f>IFERROR(__xludf.DUMMYFUNCTION("IFS(
D1480=""Exclude"",""Exclude"",
AND(
FILTER(IMPORTRANGE(""https://docs.google.com/spreadsheets/d/1qpEmbGH0JjaJbUdp21-y2cPbobDbMjr09BbtdKROZWc/edit#gid=1444865654"",""articles_with_PRISMA_reasons!W2:W2113""), $A1480=IMPORTRANGE(""https://docs.google.co"&amp;"m/spreadsheets/d/1qpEmbGH0JjaJbUdp21-y2cPbobDbMjr09BbtdKROZWc/edit#gid=1444865654"",""articles_with_PRISMA_reasons!B2:B2113""))&gt;=2,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$A1480=IMPORTRANGE(""https://docs.google.com/spreadsheets/d/1qpEmbGH0JjaJbUdp21-y2cPbobDbMjr09BbtdKROZWc/edit#gid=1444865654"",""articles_with_PRISMA_reasons!B2:B2113""))&lt;2),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$A1480=IMPORTRANGE(""https://docs.google.com/spreadsheets/d/1qpEmbGH0JjaJbUdp21-y2cPbobDbMjr09Bbtd"&amp;"KROZWc/edit#gid=1444865654"",""articles_with_PRISMA_reasons!B2:B2113""))&lt;2,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$A1480=I"&amp;"MPORTRANGE(""https://docs.google.com/spreadsheets/d/1qpEmbGH0JjaJbUdp21-y2cPbobDbMjr09BbtdKROZWc/edit#gid=1444865654"",""articles_with_PRISMA_reasons!B2:B2113""))&gt;=2),
""Exclude""
)"),"Exclude")</f>
        <v>Exclude</v>
      </c>
      <c r="F1480" s="5" t="str">
        <f>IFERROR(__xludf.DUMMYFUNCTION("IFS(
E1480=""Exclude"",""Exclude"",
AND(
COUNTIF(
IMPORTRANGE(""https://docs.google.com/spreadsheets/d/1kGrh75X1cNR1D7_FcY9zMnHP8iPO4M5RCRjy6nZY0TY/edit#gid=0"",""Table 1: Study characteristics!B4:B171""),A1480)&gt;0,
COUNTIF(Studies!$A$2:$A$85,FILTER(IMPORT"&amp;"RANGE(""https://docs.google.com/spreadsheets/d/1kGrh75X1cNR1D7_FcY9zMnHP8iPO4M5RCRjy6nZY0TY/edit#gid=0"",""Table 1: Study characteristics!A4:A171""), $A1480=IMPORTRANGE(""https://docs.google.com/spreadsheets/d/1kGrh75X1cNR1D7_FcY9zMnHP8iPO4M5RCRjy6nZY0TY/"&amp;"edit#gid=0"",""Table 1: Study characteristics!B4:B171"")))&gt;0
),
""Include""
)"),"Exclude")</f>
        <v>Exclude</v>
      </c>
      <c r="G1480" s="5" t="str">
        <f>IFERROR(__xludf.DUMMYFUNCTION("IFS(
D1480=""Exclude"",
FILTER(IMPORTRANGE(""https://docs.google.com/spreadsheets/d/1BJSV3WBYJGRhQ6zExamkszQ5VutGIcaQqmbD9ZTVXMQ/edit#gid=1251630045"",""articles_with_PRISMA_reasons!AB2:AB2113""), $A1480=IMPORTRANGE(""https://docs.google.com/spreadsheets/"&amp;"d/1BJSV3WBYJGRhQ6zExamkszQ5VutGIcaQqmbD9ZTVXMQ/edit#gid=1251630045"",""articles_with_PRISMA_reasons!B2:B2113"")),
E1480=""Exclude"",
FILTER(IMPORTRANGE(""https://docs.google.com/spreadsheets/d/1qpEmbGH0JjaJbUdp21-y2cPbobDbMjr09BbtdKROZWc/edit#gid=14448656"&amp;"54"",""articles_with_PRISMA_reasons!Z2:Z2113""), $A1480=IMPORTRANGE(""https://docs.google.com/spreadsheets/d/1qpEmbGH0JjaJbUdp21-y2cPbobDbMjr09BbtdKROZWc/edit#gid=1444865654"",""articles_with_PRISMA_reasons!B2:B2113"")),F1480
=""Include"",FILTER(IMPORTRAN"&amp;"GE(""https://docs.google.com/spreadsheets/d/1kGrh75X1cNR1D7_FcY9zMnHP8iPO4M5RCRjy6nZY0TY/edit#gid=0"",""Table 1: Study characteristics!A4:A171""), $A1480=IMPORTRANGE(""https://docs.google.com/spreadsheets/d/1kGrh75X1cNR1D7_FcY9zMnHP8iPO4M5RCRjy6nZY0TY/edi"&amp;"t#gid=0"",""Table 1: Study characteristics!B4:B171""))
)"),"Duplicate")</f>
        <v>Duplicate</v>
      </c>
    </row>
    <row r="1481">
      <c r="A1481" s="4" t="str">
        <f>IFERROR(__xludf.DUMMYFUNCTION("""COMPUTED_VALUE"""),"Pre-natal brain development of fetuses with a myelomeningocele")</f>
        <v>Pre-natal brain development of fetuses with a myelomeningocele</v>
      </c>
      <c r="B1481" s="5" t="str">
        <f>IFERROR(__xludf.DUMMYFUNCTION("LEFT(FILTER(IMPORTRANGE(""https://docs.google.com/spreadsheets/d/1BJSV3WBYJGRhQ6zExamkszQ5VutGIcaQqmbD9ZTVXMQ/edit#gid=1251630045"",""articles_with_PRISMA_reasons!K2:K2113""), $A1481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$A1481=IMPORTRANGE(""https://docs.google.com/spreadsheets/d/1BJSV3WBYJGRhQ6zExamkszQ5VutGIcaQqmbD9ZTVXMQ/edit#gid=1251630045"",""articles_with_PRISMA_reasons!B2:B2113"")))-1)"),"Bannister")</f>
        <v>Bannister</v>
      </c>
      <c r="C1481" s="6">
        <f>IFERROR(__xludf.DUMMYFUNCTION("FILTER(IMPORTRANGE(""https://docs.google.com/spreadsheets/d/1BJSV3WBYJGRhQ6zExamkszQ5VutGIcaQqmbD9ZTVXMQ/edit#gid=1251630045"",""articles_with_PRISMA_reasons!C2:C2113""), $A1481=IMPORTRANGE(""https://docs.google.com/spreadsheets/d/1BJSV3WBYJGRhQ6zExamkszQ"&amp;"5VutGIcaQqmbD9ZTVXMQ/edit#gid=1251630045"",""articles_with_PRISMA_reasons!B2:B2113""))"),1998.0)</f>
        <v>1998</v>
      </c>
      <c r="D1481" s="5" t="str">
        <f>IFERROR(__xludf.DUMMYFUNCTION("IFS(AND(
FILTER(IMPORTRANGE(""https://docs.google.com/spreadsheets/d/1BJSV3WBYJGRhQ6zExamkszQ5VutGIcaQqmbD9ZTVXMQ/edit#gid=1251630045"",""articles_with_PRISMA_reasons!Y2:Y2113""), $A1481=IMPORTRANGE(""https://docs.google.com/spreadsheets/d/1BJSV3WBYJGRhQ6"&amp;"zExamkszQ5VutGIcaQqmbD9ZTVXMQ/edit#gid=1251630045"",""articles_with_PRISMA_reasons!B2:B2113""))&gt;=2,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$A1481=IMPORTRANGE(""https://docs.google.com/spreadsheets/d/1BJSV3WBYJGRhQ6zExamkszQ5VutGIcaQqmbD9ZTVXMQ/edit#gid=1251630045"",""articles_with_PRISMA_reasons!B2:B2113""))&lt;2),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$A1481=IMPORTRANGE(""https://docs.google.com/spreadsheets/d/1BJSV3WBYJGRhQ6zExamkszQ5VutGIcaQqmbD9ZTVXMQ/edit#gid=1251630045"",""a"&amp;"rticles_with_PRISMA_reasons!B2:B2113""))&lt;2,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$A1481=IMPORTRANGE(""https://docs.google"&amp;".com/spreadsheets/d/1BJSV3WBYJGRhQ6zExamkszQ5VutGIcaQqmbD9ZTVXMQ/edit#gid=1251630045"",""articles_with_PRISMA_reasons!B2:B2113""))&gt;=2),
""Exclude""
)"),"Exclude")</f>
        <v>Exclude</v>
      </c>
      <c r="E1481" s="5" t="str">
        <f>IFERROR(__xludf.DUMMYFUNCTION("IFS(
D1481=""Exclude"",""Exclude"",
AND(
FILTER(IMPORTRANGE(""https://docs.google.com/spreadsheets/d/1qpEmbGH0JjaJbUdp21-y2cPbobDbMjr09BbtdKROZWc/edit#gid=1444865654"",""articles_with_PRISMA_reasons!W2:W2113""), $A1481=IMPORTRANGE(""https://docs.google.co"&amp;"m/spreadsheets/d/1qpEmbGH0JjaJbUdp21-y2cPbobDbMjr09BbtdKROZWc/edit#gid=1444865654"",""articles_with_PRISMA_reasons!B2:B2113""))&gt;=2,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$A1481=IMPORTRANGE(""https://docs.google.com/spreadsheets/d/1qpEmbGH0JjaJbUdp21-y2cPbobDbMjr09BbtdKROZWc/edit#gid=1444865654"",""articles_with_PRISMA_reasons!B2:B2113""))&lt;2),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$A1481=IMPORTRANGE(""https://docs.google.com/spreadsheets/d/1qpEmbGH0JjaJbUdp21-y2cPbobDbMjr09Bbtd"&amp;"KROZWc/edit#gid=1444865654"",""articles_with_PRISMA_reasons!B2:B2113""))&lt;2,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$A1481=I"&amp;"MPORTRANGE(""https://docs.google.com/spreadsheets/d/1qpEmbGH0JjaJbUdp21-y2cPbobDbMjr09BbtdKROZWc/edit#gid=1444865654"",""articles_with_PRISMA_reasons!B2:B2113""))&gt;=2),
""Exclude""
)"),"Exclude")</f>
        <v>Exclude</v>
      </c>
      <c r="F1481" s="5" t="str">
        <f>IFERROR(__xludf.DUMMYFUNCTION("IFS(
E1481=""Exclude"",""Exclude"",
AND(
COUNTIF(
IMPORTRANGE(""https://docs.google.com/spreadsheets/d/1kGrh75X1cNR1D7_FcY9zMnHP8iPO4M5RCRjy6nZY0TY/edit#gid=0"",""Table 1: Study characteristics!B4:B171""),A1481)&gt;0,
COUNTIF(Studies!$A$2:$A$85,FILTER(IMPORT"&amp;"RANGE(""https://docs.google.com/spreadsheets/d/1kGrh75X1cNR1D7_FcY9zMnHP8iPO4M5RCRjy6nZY0TY/edit#gid=0"",""Table 1: Study characteristics!A4:A171""), $A1481=IMPORTRANGE(""https://docs.google.com/spreadsheets/d/1kGrh75X1cNR1D7_FcY9zMnHP8iPO4M5RCRjy6nZY0TY/"&amp;"edit#gid=0"",""Table 1: Study characteristics!B4:B171"")))&gt;0
),
""Include""
)"),"Exclude")</f>
        <v>Exclude</v>
      </c>
      <c r="G1481" s="5" t="str">
        <f>IFERROR(__xludf.DUMMYFUNCTION("IFS(
D1481=""Exclude"",
FILTER(IMPORTRANGE(""https://docs.google.com/spreadsheets/d/1BJSV3WBYJGRhQ6zExamkszQ5VutGIcaQqmbD9ZTVXMQ/edit#gid=1251630045"",""articles_with_PRISMA_reasons!AB2:AB2113""), $A1481=IMPORTRANGE(""https://docs.google.com/spreadsheets/"&amp;"d/1BJSV3WBYJGRhQ6zExamkszQ5VutGIcaQqmbD9ZTVXMQ/edit#gid=1251630045"",""articles_with_PRISMA_reasons!B2:B2113"")),
E1481=""Exclude"",
FILTER(IMPORTRANGE(""https://docs.google.com/spreadsheets/d/1qpEmbGH0JjaJbUdp21-y2cPbobDbMjr09BbtdKROZWc/edit#gid=14448656"&amp;"54"",""articles_with_PRISMA_reasons!Z2:Z2113""), $A1481=IMPORTRANGE(""https://docs.google.com/spreadsheets/d/1qpEmbGH0JjaJbUdp21-y2cPbobDbMjr09BbtdKROZWc/edit#gid=1444865654"",""articles_with_PRISMA_reasons!B2:B2113"")),F1481
=""Include"",FILTER(IMPORTRAN"&amp;"GE(""https://docs.google.com/spreadsheets/d/1kGrh75X1cNR1D7_FcY9zMnHP8iPO4M5RCRjy6nZY0TY/edit#gid=0"",""Table 1: Study characteristics!A4:A171""), $A1481=IMPORTRANGE(""https://docs.google.com/spreadsheets/d/1kGrh75X1cNR1D7_FcY9zMnHP8iPO4M5RCRjy6nZY0TY/edi"&amp;"t#gid=0"",""Table 1: Study characteristics!B4:B171""))
)"),"wrong study design")</f>
        <v>wrong study design</v>
      </c>
    </row>
    <row r="1482">
      <c r="A1482" s="4" t="str">
        <f>IFERROR(__xludf.DUMMYFUNCTION("""COMPUTED_VALUE"""),"Pre-natal ventriculomegaly and hydrocephalus")</f>
        <v>Pre-natal ventriculomegaly and hydrocephalus</v>
      </c>
      <c r="B1482" s="5" t="str">
        <f>IFERROR(__xludf.DUMMYFUNCTION("LEFT(FILTER(IMPORTRANGE(""https://docs.google.com/spreadsheets/d/1BJSV3WBYJGRhQ6zExamkszQ5VutGIcaQqmbD9ZTVXMQ/edit#gid=1251630045"",""articles_with_PRISMA_reasons!K2:K2113""), $A1482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$A1482=IMPORTRANGE(""https://docs.google.com/spreadsheets/d/1BJSV3WBYJGRhQ6zExamkszQ5VutGIcaQqmbD9ZTVXMQ/edit#gid=1251630045"",""articles_with_PRISMA_reasons!B2:B2113"")))-1)"),"Russell")</f>
        <v>Russell</v>
      </c>
      <c r="C1482" s="6">
        <f>IFERROR(__xludf.DUMMYFUNCTION("FILTER(IMPORTRANGE(""https://docs.google.com/spreadsheets/d/1BJSV3WBYJGRhQ6zExamkszQ5VutGIcaQqmbD9ZTVXMQ/edit#gid=1251630045"",""articles_with_PRISMA_reasons!C2:C2113""), $A1482=IMPORTRANGE(""https://docs.google.com/spreadsheets/d/1BJSV3WBYJGRhQ6zExamkszQ"&amp;"5VutGIcaQqmbD9ZTVXMQ/edit#gid=1251630045"",""articles_with_PRISMA_reasons!B2:B2113""))"),2000.0)</f>
        <v>2000</v>
      </c>
      <c r="D1482" s="5" t="str">
        <f>IFERROR(__xludf.DUMMYFUNCTION("IFS(AND(
FILTER(IMPORTRANGE(""https://docs.google.com/spreadsheets/d/1BJSV3WBYJGRhQ6zExamkszQ5VutGIcaQqmbD9ZTVXMQ/edit#gid=1251630045"",""articles_with_PRISMA_reasons!Y2:Y2113""), $A1482=IMPORTRANGE(""https://docs.google.com/spreadsheets/d/1BJSV3WBYJGRhQ6"&amp;"zExamkszQ5VutGIcaQqmbD9ZTVXMQ/edit#gid=1251630045"",""articles_with_PRISMA_reasons!B2:B2113""))&gt;=2,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$A1482=IMPORTRANGE(""https://docs.google.com/spreadsheets/d/1BJSV3WBYJGRhQ6zExamkszQ5VutGIcaQqmbD9ZTVXMQ/edit#gid=1251630045"",""articles_with_PRISMA_reasons!B2:B2113""))&lt;2),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$A1482=IMPORTRANGE(""https://docs.google.com/spreadsheets/d/1BJSV3WBYJGRhQ6zExamkszQ5VutGIcaQqmbD9ZTVXMQ/edit#gid=1251630045"",""a"&amp;"rticles_with_PRISMA_reasons!B2:B2113""))&lt;2,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$A1482=IMPORTRANGE(""https://docs.google"&amp;".com/spreadsheets/d/1BJSV3WBYJGRhQ6zExamkszQ5VutGIcaQqmbD9ZTVXMQ/edit#gid=1251630045"",""articles_with_PRISMA_reasons!B2:B2113""))&gt;=2),
""Exclude""
)"),"Exclude")</f>
        <v>Exclude</v>
      </c>
      <c r="E1482" s="5" t="str">
        <f>IFERROR(__xludf.DUMMYFUNCTION("IFS(
D1482=""Exclude"",""Exclude"",
AND(
FILTER(IMPORTRANGE(""https://docs.google.com/spreadsheets/d/1qpEmbGH0JjaJbUdp21-y2cPbobDbMjr09BbtdKROZWc/edit#gid=1444865654"",""articles_with_PRISMA_reasons!W2:W2113""), $A1482=IMPORTRANGE(""https://docs.google.co"&amp;"m/spreadsheets/d/1qpEmbGH0JjaJbUdp21-y2cPbobDbMjr09BbtdKROZWc/edit#gid=1444865654"",""articles_with_PRISMA_reasons!B2:B2113""))&gt;=2,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$A1482=IMPORTRANGE(""https://docs.google.com/spreadsheets/d/1qpEmbGH0JjaJbUdp21-y2cPbobDbMjr09BbtdKROZWc/edit#gid=1444865654"",""articles_with_PRISMA_reasons!B2:B2113""))&lt;2),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$A1482=IMPORTRANGE(""https://docs.google.com/spreadsheets/d/1qpEmbGH0JjaJbUdp21-y2cPbobDbMjr09Bbtd"&amp;"KROZWc/edit#gid=1444865654"",""articles_with_PRISMA_reasons!B2:B2113""))&lt;2,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$A1482=I"&amp;"MPORTRANGE(""https://docs.google.com/spreadsheets/d/1qpEmbGH0JjaJbUdp21-y2cPbobDbMjr09BbtdKROZWc/edit#gid=1444865654"",""articles_with_PRISMA_reasons!B2:B2113""))&gt;=2),
""Exclude""
)"),"Exclude")</f>
        <v>Exclude</v>
      </c>
      <c r="F1482" s="5" t="str">
        <f>IFERROR(__xludf.DUMMYFUNCTION("IFS(
E1482=""Exclude"",""Exclude"",
AND(
COUNTIF(
IMPORTRANGE(""https://docs.google.com/spreadsheets/d/1kGrh75X1cNR1D7_FcY9zMnHP8iPO4M5RCRjy6nZY0TY/edit#gid=0"",""Table 1: Study characteristics!B4:B171""),A1482)&gt;0,
COUNTIF(Studies!$A$2:$A$85,FILTER(IMPORT"&amp;"RANGE(""https://docs.google.com/spreadsheets/d/1kGrh75X1cNR1D7_FcY9zMnHP8iPO4M5RCRjy6nZY0TY/edit#gid=0"",""Table 1: Study characteristics!A4:A171""), $A1482=IMPORTRANGE(""https://docs.google.com/spreadsheets/d/1kGrh75X1cNR1D7_FcY9zMnHP8iPO4M5RCRjy6nZY0TY/"&amp;"edit#gid=0"",""Table 1: Study characteristics!B4:B171"")))&gt;0
),
""Include""
)"),"Exclude")</f>
        <v>Exclude</v>
      </c>
      <c r="G1482" s="5" t="str">
        <f>IFERROR(__xludf.DUMMYFUNCTION("IFS(
D1482=""Exclude"",
FILTER(IMPORTRANGE(""https://docs.google.com/spreadsheets/d/1BJSV3WBYJGRhQ6zExamkszQ5VutGIcaQqmbD9ZTVXMQ/edit#gid=1251630045"",""articles_with_PRISMA_reasons!AB2:AB2113""), $A1482=IMPORTRANGE(""https://docs.google.com/spreadsheets/"&amp;"d/1BJSV3WBYJGRhQ6zExamkszQ5VutGIcaQqmbD9ZTVXMQ/edit#gid=1251630045"",""articles_with_PRISMA_reasons!B2:B2113"")),
E1482=""Exclude"",
FILTER(IMPORTRANGE(""https://docs.google.com/spreadsheets/d/1qpEmbGH0JjaJbUdp21-y2cPbobDbMjr09BbtdKROZWc/edit#gid=14448656"&amp;"54"",""articles_with_PRISMA_reasons!Z2:Z2113""), $A1482=IMPORTRANGE(""https://docs.google.com/spreadsheets/d/1qpEmbGH0JjaJbUdp21-y2cPbobDbMjr09BbtdKROZWc/edit#gid=1444865654"",""articles_with_PRISMA_reasons!B2:B2113"")),F1482
=""Include"",FILTER(IMPORTRAN"&amp;"GE(""https://docs.google.com/spreadsheets/d/1kGrh75X1cNR1D7_FcY9zMnHP8iPO4M5RCRjy6nZY0TY/edit#gid=0"",""Table 1: Study characteristics!A4:A171""), $A1482=IMPORTRANGE(""https://docs.google.com/spreadsheets/d/1kGrh75X1cNR1D7_FcY9zMnHP8iPO4M5RCRjy6nZY0TY/edi"&amp;"t#gid=0"",""Table 1: Study characteristics!B4:B171""))
)"),"wrong population")</f>
        <v>wrong population</v>
      </c>
    </row>
    <row r="1483">
      <c r="A1483" s="4" t="str">
        <f>IFERROR(__xludf.DUMMYFUNCTION("""COMPUTED_VALUE"""),"Pre-school follow-up of a cohort of children with myelomeningocele in Cape Town, South Africa")</f>
        <v>Pre-school follow-up of a cohort of children with myelomeningocele in Cape Town, South Africa</v>
      </c>
      <c r="B1483" s="5" t="str">
        <f>IFERROR(__xludf.DUMMYFUNCTION("LEFT(FILTER(IMPORTRANGE(""https://docs.google.com/spreadsheets/d/1BJSV3WBYJGRhQ6zExamkszQ5VutGIcaQqmbD9ZTVXMQ/edit#gid=1251630045"",""articles_with_PRISMA_reasons!K2:K2113""), $A1483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$A1483=IMPORTRANGE(""https://docs.google.com/spreadsheets/d/1BJSV3WBYJGRhQ6zExamkszQ5VutGIcaQqmbD9ZTVXMQ/edit#gid=1251630045"",""articles_with_PRISMA_reasons!B2:B2113"")))-1)"),"Buccimazza")</f>
        <v>Buccimazza</v>
      </c>
      <c r="C1483" s="3">
        <v>1999.0</v>
      </c>
      <c r="D1483" s="5" t="str">
        <f>IFERROR(__xludf.DUMMYFUNCTION("IFS(AND(
FILTER(IMPORTRANGE(""https://docs.google.com/spreadsheets/d/1BJSV3WBYJGRhQ6zExamkszQ5VutGIcaQqmbD9ZTVXMQ/edit#gid=1251630045"",""articles_with_PRISMA_reasons!Y2:Y2113""), $A1483=IMPORTRANGE(""https://docs.google.com/spreadsheets/d/1BJSV3WBYJGRhQ6"&amp;"zExamkszQ5VutGIcaQqmbD9ZTVXMQ/edit#gid=1251630045"",""articles_with_PRISMA_reasons!B2:B2113""))&gt;=2,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$A1483=IMPORTRANGE(""https://docs.google.com/spreadsheets/d/1BJSV3WBYJGRhQ6zExamkszQ5VutGIcaQqmbD9ZTVXMQ/edit#gid=1251630045"",""articles_with_PRISMA_reasons!B2:B2113""))&lt;2),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$A1483=IMPORTRANGE(""https://docs.google.com/spreadsheets/d/1BJSV3WBYJGRhQ6zExamkszQ5VutGIcaQqmbD9ZTVXMQ/edit#gid=1251630045"",""a"&amp;"rticles_with_PRISMA_reasons!B2:B2113""))&lt;2,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$A1483=IMPORTRANGE(""https://docs.google"&amp;".com/spreadsheets/d/1BJSV3WBYJGRhQ6zExamkszQ5VutGIcaQqmbD9ZTVXMQ/edit#gid=1251630045"",""articles_with_PRISMA_reasons!B2:B2113""))&gt;=2),
""Exclude""
)"),"Exclude")</f>
        <v>Exclude</v>
      </c>
      <c r="E1483" s="5" t="str">
        <f>IFERROR(__xludf.DUMMYFUNCTION("IFS(
D1483=""Exclude"",""Exclude"",
AND(
FILTER(IMPORTRANGE(""https://docs.google.com/spreadsheets/d/1qpEmbGH0JjaJbUdp21-y2cPbobDbMjr09BbtdKROZWc/edit#gid=1444865654"",""articles_with_PRISMA_reasons!W2:W2113""), $A1483=IMPORTRANGE(""https://docs.google.co"&amp;"m/spreadsheets/d/1qpEmbGH0JjaJbUdp21-y2cPbobDbMjr09BbtdKROZWc/edit#gid=1444865654"",""articles_with_PRISMA_reasons!B2:B2113""))&gt;=2,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$A1483=IMPORTRANGE(""https://docs.google.com/spreadsheets/d/1qpEmbGH0JjaJbUdp21-y2cPbobDbMjr09BbtdKROZWc/edit#gid=1444865654"",""articles_with_PRISMA_reasons!B2:B2113""))&lt;2),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$A1483=IMPORTRANGE(""https://docs.google.com/spreadsheets/d/1qpEmbGH0JjaJbUdp21-y2cPbobDbMjr09Bbtd"&amp;"KROZWc/edit#gid=1444865654"",""articles_with_PRISMA_reasons!B2:B2113""))&lt;2,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$A1483=I"&amp;"MPORTRANGE(""https://docs.google.com/spreadsheets/d/1qpEmbGH0JjaJbUdp21-y2cPbobDbMjr09BbtdKROZWc/edit#gid=1444865654"",""articles_with_PRISMA_reasons!B2:B2113""))&gt;=2),
""Exclude""
)"),"Exclude")</f>
        <v>Exclude</v>
      </c>
      <c r="F1483" s="5" t="str">
        <f>IFERROR(__xludf.DUMMYFUNCTION("IFS(
E1483=""Exclude"",""Exclude"",
AND(
COUNTIF(
IMPORTRANGE(""https://docs.google.com/spreadsheets/d/1kGrh75X1cNR1D7_FcY9zMnHP8iPO4M5RCRjy6nZY0TY/edit#gid=0"",""Table 1: Study characteristics!B4:B171""),A1483)&gt;0,
COUNTIF(Studies!$A$2:$A$85,FILTER(IMPORT"&amp;"RANGE(""https://docs.google.com/spreadsheets/d/1kGrh75X1cNR1D7_FcY9zMnHP8iPO4M5RCRjy6nZY0TY/edit#gid=0"",""Table 1: Study characteristics!A4:A171""), $A1483=IMPORTRANGE(""https://docs.google.com/spreadsheets/d/1kGrh75X1cNR1D7_FcY9zMnHP8iPO4M5RCRjy6nZY0TY/"&amp;"edit#gid=0"",""Table 1: Study characteristics!B4:B171"")))&gt;0
),
""Include""
)"),"Exclude")</f>
        <v>Exclude</v>
      </c>
      <c r="G1483" s="5" t="s">
        <v>15</v>
      </c>
    </row>
    <row r="1484">
      <c r="A1484" s="4" t="str">
        <f>IFERROR(__xludf.DUMMYFUNCTION("""COMPUTED_VALUE"""),"Pre-school follow-up of a cohort of children with myelomeningocele in Cape Town, South Africa")</f>
        <v>Pre-school follow-up of a cohort of children with myelomeningocele in Cape Town, South Africa</v>
      </c>
      <c r="B1484" s="5" t="str">
        <f>IFERROR(__xludf.DUMMYFUNCTION("LEFT(FILTER(IMPORTRANGE(""https://docs.google.com/spreadsheets/d/1BJSV3WBYJGRhQ6zExamkszQ5VutGIcaQqmbD9ZTVXMQ/edit#gid=1251630045"",""articles_with_PRISMA_reasons!K2:K2113""), $A1484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$A1484=IMPORTRANGE(""https://docs.google.com/spreadsheets/d/1BJSV3WBYJGRhQ6zExamkszQ5VutGIcaQqmbD9ZTVXMQ/edit#gid=1251630045"",""articles_with_PRISMA_reasons!B2:B2113"")))-1)"),"Buccimazza")</f>
        <v>Buccimazza</v>
      </c>
      <c r="C1484" s="3">
        <v>1999.0</v>
      </c>
      <c r="D1484" s="5" t="str">
        <f>IFERROR(__xludf.DUMMYFUNCTION("IFS(AND(
FILTER(IMPORTRANGE(""https://docs.google.com/spreadsheets/d/1BJSV3WBYJGRhQ6zExamkszQ5VutGIcaQqmbD9ZTVXMQ/edit#gid=1251630045"",""articles_with_PRISMA_reasons!Y2:Y2113""), $A1484=IMPORTRANGE(""https://docs.google.com/spreadsheets/d/1BJSV3WBYJGRhQ6"&amp;"zExamkszQ5VutGIcaQqmbD9ZTVXMQ/edit#gid=1251630045"",""articles_with_PRISMA_reasons!B2:B2113""))&gt;=2,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$A1484=IMPORTRANGE(""https://docs.google.com/spreadsheets/d/1BJSV3WBYJGRhQ6zExamkszQ5VutGIcaQqmbD9ZTVXMQ/edit#gid=1251630045"",""articles_with_PRISMA_reasons!B2:B2113""))&lt;2),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$A1484=IMPORTRANGE(""https://docs.google.com/spreadsheets/d/1BJSV3WBYJGRhQ6zExamkszQ5VutGIcaQqmbD9ZTVXMQ/edit#gid=1251630045"",""a"&amp;"rticles_with_PRISMA_reasons!B2:B2113""))&lt;2,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$A1484=IMPORTRANGE(""https://docs.google"&amp;".com/spreadsheets/d/1BJSV3WBYJGRhQ6zExamkszQ5VutGIcaQqmbD9ZTVXMQ/edit#gid=1251630045"",""articles_with_PRISMA_reasons!B2:B2113""))&gt;=2),
""Exclude""
)"),"Exclude")</f>
        <v>Exclude</v>
      </c>
      <c r="E1484" s="5" t="str">
        <f>IFERROR(__xludf.DUMMYFUNCTION("IFS(
D1484=""Exclude"",""Exclude"",
AND(
FILTER(IMPORTRANGE(""https://docs.google.com/spreadsheets/d/1qpEmbGH0JjaJbUdp21-y2cPbobDbMjr09BbtdKROZWc/edit#gid=1444865654"",""articles_with_PRISMA_reasons!W2:W2113""), $A1484=IMPORTRANGE(""https://docs.google.co"&amp;"m/spreadsheets/d/1qpEmbGH0JjaJbUdp21-y2cPbobDbMjr09BbtdKROZWc/edit#gid=1444865654"",""articles_with_PRISMA_reasons!B2:B2113""))&gt;=2,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$A1484=IMPORTRANGE(""https://docs.google.com/spreadsheets/d/1qpEmbGH0JjaJbUdp21-y2cPbobDbMjr09BbtdKROZWc/edit#gid=1444865654"",""articles_with_PRISMA_reasons!B2:B2113""))&lt;2),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$A1484=IMPORTRANGE(""https://docs.google.com/spreadsheets/d/1qpEmbGH0JjaJbUdp21-y2cPbobDbMjr09Bbtd"&amp;"KROZWc/edit#gid=1444865654"",""articles_with_PRISMA_reasons!B2:B2113""))&lt;2,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$A1484=I"&amp;"MPORTRANGE(""https://docs.google.com/spreadsheets/d/1qpEmbGH0JjaJbUdp21-y2cPbobDbMjr09BbtdKROZWc/edit#gid=1444865654"",""articles_with_PRISMA_reasons!B2:B2113""))&gt;=2),
""Exclude""
)"),"Exclude")</f>
        <v>Exclude</v>
      </c>
      <c r="F1484" s="5" t="str">
        <f>IFERROR(__xludf.DUMMYFUNCTION("IFS(
E1484=""Exclude"",""Exclude"",
AND(
COUNTIF(
IMPORTRANGE(""https://docs.google.com/spreadsheets/d/1kGrh75X1cNR1D7_FcY9zMnHP8iPO4M5RCRjy6nZY0TY/edit#gid=0"",""Table 1: Study characteristics!B4:B171""),A1484)&gt;0,
COUNTIF(Studies!$A$2:$A$85,FILTER(IMPORT"&amp;"RANGE(""https://docs.google.com/spreadsheets/d/1kGrh75X1cNR1D7_FcY9zMnHP8iPO4M5RCRjy6nZY0TY/edit#gid=0"",""Table 1: Study characteristics!A4:A171""), $A1484=IMPORTRANGE(""https://docs.google.com/spreadsheets/d/1kGrh75X1cNR1D7_FcY9zMnHP8iPO4M5RCRjy6nZY0TY/"&amp;"edit#gid=0"",""Table 1: Study characteristics!B4:B171"")))&gt;0
),
""Include""
)"),"Exclude")</f>
        <v>Exclude</v>
      </c>
      <c r="G1484" s="5" t="s">
        <v>15</v>
      </c>
    </row>
    <row r="1485">
      <c r="A1485" s="4" t="str">
        <f>IFERROR(__xludf.DUMMYFUNCTION("""COMPUTED_VALUE"""),"Precocious puberty in children with myelomeningocele: Treatment with gonadotropin-releasing hormone analogues")</f>
        <v>Precocious puberty in children with myelomeningocele: Treatment with gonadotropin-releasing hormone analogues</v>
      </c>
      <c r="B1485" s="5" t="str">
        <f>IFERROR(__xludf.DUMMYFUNCTION("LEFT(FILTER(IMPORTRANGE(""https://docs.google.com/spreadsheets/d/1BJSV3WBYJGRhQ6zExamkszQ5VutGIcaQqmbD9ZTVXMQ/edit#gid=1251630045"",""articles_with_PRISMA_reasons!K2:K2113""), $A1485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$A1485=IMPORTRANGE(""https://docs.google.com/spreadsheets/d/1BJSV3WBYJGRhQ6zExamkszQ5VutGIcaQqmbD9ZTVXMQ/edit#gid=1251630045"",""articles_with_PRISMA_reasons!B2:B2113"")))-1)"),"Strehl")</f>
        <v>Strehl</v>
      </c>
      <c r="C1485" s="6">
        <f>IFERROR(__xludf.DUMMYFUNCTION("FILTER(IMPORTRANGE(""https://docs.google.com/spreadsheets/d/1BJSV3WBYJGRhQ6zExamkszQ5VutGIcaQqmbD9ZTVXMQ/edit#gid=1251630045"",""articles_with_PRISMA_reasons!C2:C2113""), $A1485=IMPORTRANGE(""https://docs.google.com/spreadsheets/d/1BJSV3WBYJGRhQ6zExamkszQ"&amp;"5VutGIcaQqmbD9ZTVXMQ/edit#gid=1251630045"",""articles_with_PRISMA_reasons!B2:B2113""))"),1998.0)</f>
        <v>1998</v>
      </c>
      <c r="D1485" s="5" t="str">
        <f>IFERROR(__xludf.DUMMYFUNCTION("IFS(AND(
FILTER(IMPORTRANGE(""https://docs.google.com/spreadsheets/d/1BJSV3WBYJGRhQ6zExamkszQ5VutGIcaQqmbD9ZTVXMQ/edit#gid=1251630045"",""articles_with_PRISMA_reasons!Y2:Y2113""), $A1485=IMPORTRANGE(""https://docs.google.com/spreadsheets/d/1BJSV3WBYJGRhQ6"&amp;"zExamkszQ5VutGIcaQqmbD9ZTVXMQ/edit#gid=1251630045"",""articles_with_PRISMA_reasons!B2:B2113""))&gt;=2,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$A1485=IMPORTRANGE(""https://docs.google.com/spreadsheets/d/1BJSV3WBYJGRhQ6zExamkszQ5VutGIcaQqmbD9ZTVXMQ/edit#gid=1251630045"",""articles_with_PRISMA_reasons!B2:B2113""))&lt;2),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$A1485=IMPORTRANGE(""https://docs.google.com/spreadsheets/d/1BJSV3WBYJGRhQ6zExamkszQ5VutGIcaQqmbD9ZTVXMQ/edit#gid=1251630045"",""a"&amp;"rticles_with_PRISMA_reasons!B2:B2113""))&lt;2,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$A1485=IMPORTRANGE(""https://docs.google"&amp;".com/spreadsheets/d/1BJSV3WBYJGRhQ6zExamkszQ5VutGIcaQqmbD9ZTVXMQ/edit#gid=1251630045"",""articles_with_PRISMA_reasons!B2:B2113""))&gt;=2),
""Exclude""
)"),"Exclude")</f>
        <v>Exclude</v>
      </c>
      <c r="E1485" s="5" t="str">
        <f>IFERROR(__xludf.DUMMYFUNCTION("IFS(
D1485=""Exclude"",""Exclude"",
AND(
FILTER(IMPORTRANGE(""https://docs.google.com/spreadsheets/d/1qpEmbGH0JjaJbUdp21-y2cPbobDbMjr09BbtdKROZWc/edit#gid=1444865654"",""articles_with_PRISMA_reasons!W2:W2113""), $A1485=IMPORTRANGE(""https://docs.google.co"&amp;"m/spreadsheets/d/1qpEmbGH0JjaJbUdp21-y2cPbobDbMjr09BbtdKROZWc/edit#gid=1444865654"",""articles_with_PRISMA_reasons!B2:B2113""))&gt;=2,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$A1485=IMPORTRANGE(""https://docs.google.com/spreadsheets/d/1qpEmbGH0JjaJbUdp21-y2cPbobDbMjr09BbtdKROZWc/edit#gid=1444865654"",""articles_with_PRISMA_reasons!B2:B2113""))&lt;2),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$A1485=IMPORTRANGE(""https://docs.google.com/spreadsheets/d/1qpEmbGH0JjaJbUdp21-y2cPbobDbMjr09Bbtd"&amp;"KROZWc/edit#gid=1444865654"",""articles_with_PRISMA_reasons!B2:B2113""))&lt;2,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$A1485=I"&amp;"MPORTRANGE(""https://docs.google.com/spreadsheets/d/1qpEmbGH0JjaJbUdp21-y2cPbobDbMjr09BbtdKROZWc/edit#gid=1444865654"",""articles_with_PRISMA_reasons!B2:B2113""))&gt;=2),
""Exclude""
)"),"Exclude")</f>
        <v>Exclude</v>
      </c>
      <c r="F1485" s="5" t="str">
        <f>IFERROR(__xludf.DUMMYFUNCTION("IFS(
E1485=""Exclude"",""Exclude"",
AND(
COUNTIF(
IMPORTRANGE(""https://docs.google.com/spreadsheets/d/1kGrh75X1cNR1D7_FcY9zMnHP8iPO4M5RCRjy6nZY0TY/edit#gid=0"",""Table 1: Study characteristics!B4:B171""),A1485)&gt;0,
COUNTIF(Studies!$A$2:$A$85,FILTER(IMPORT"&amp;"RANGE(""https://docs.google.com/spreadsheets/d/1kGrh75X1cNR1D7_FcY9zMnHP8iPO4M5RCRjy6nZY0TY/edit#gid=0"",""Table 1: Study characteristics!A4:A171""), $A1485=IMPORTRANGE(""https://docs.google.com/spreadsheets/d/1kGrh75X1cNR1D7_FcY9zMnHP8iPO4M5RCRjy6nZY0TY/"&amp;"edit#gid=0"",""Table 1: Study characteristics!B4:B171"")))&gt;0
),
""Include""
)"),"Exclude")</f>
        <v>Exclude</v>
      </c>
      <c r="G1485" s="5" t="str">
        <f>IFERROR(__xludf.DUMMYFUNCTION("IFS(
D1485=""Exclude"",
FILTER(IMPORTRANGE(""https://docs.google.com/spreadsheets/d/1BJSV3WBYJGRhQ6zExamkszQ5VutGIcaQqmbD9ZTVXMQ/edit#gid=1251630045"",""articles_with_PRISMA_reasons!AB2:AB2113""), $A1485=IMPORTRANGE(""https://docs.google.com/spreadsheets/"&amp;"d/1BJSV3WBYJGRhQ6zExamkszQ5VutGIcaQqmbD9ZTVXMQ/edit#gid=1251630045"",""articles_with_PRISMA_reasons!B2:B2113"")),
E1485=""Exclude"",
FILTER(IMPORTRANGE(""https://docs.google.com/spreadsheets/d/1qpEmbGH0JjaJbUdp21-y2cPbobDbMjr09BbtdKROZWc/edit#gid=14448656"&amp;"54"",""articles_with_PRISMA_reasons!Z2:Z2113""), $A1485=IMPORTRANGE(""https://docs.google.com/spreadsheets/d/1qpEmbGH0JjaJbUdp21-y2cPbobDbMjr09BbtdKROZWc/edit#gid=1444865654"",""articles_with_PRISMA_reasons!B2:B2113"")),F1485
=""Include"",FILTER(IMPORTRAN"&amp;"GE(""https://docs.google.com/spreadsheets/d/1kGrh75X1cNR1D7_FcY9zMnHP8iPO4M5RCRjy6nZY0TY/edit#gid=0"",""Table 1: Study characteristics!A4:A171""), $A1485=IMPORTRANGE(""https://docs.google.com/spreadsheets/d/1kGrh75X1cNR1D7_FcY9zMnHP8iPO4M5RCRjy6nZY0TY/edi"&amp;"t#gid=0"",""Table 1: Study characteristics!B4:B171""))
)"),"wrong population")</f>
        <v>wrong population</v>
      </c>
    </row>
    <row r="1486">
      <c r="A1486" s="4" t="str">
        <f>IFERROR(__xludf.DUMMYFUNCTION("""COMPUTED_VALUE"""),"Precocious puberty in girls with myelodysplasia")</f>
        <v>Precocious puberty in girls with myelodysplasia</v>
      </c>
      <c r="B1486" s="5" t="str">
        <f>IFERROR(__xludf.DUMMYFUNCTION("LEFT(FILTER(IMPORTRANGE(""https://docs.google.com/spreadsheets/d/1BJSV3WBYJGRhQ6zExamkszQ5VutGIcaQqmbD9ZTVXMQ/edit#gid=1251630045"",""articles_with_PRISMA_reasons!K2:K2113""), $A1486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$A1486=IMPORTRANGE(""https://docs.google.com/spreadsheets/d/1BJSV3WBYJGRhQ6zExamkszQ5VutGIcaQqmbD9ZTVXMQ/edit#gid=1251630045"",""articles_with_PRISMA_reasons!B2:B2113"")))-1)"),"Elias")</f>
        <v>Elias</v>
      </c>
      <c r="C1486" s="6">
        <f>IFERROR(__xludf.DUMMYFUNCTION("FILTER(IMPORTRANGE(""https://docs.google.com/spreadsheets/d/1BJSV3WBYJGRhQ6zExamkszQ5VutGIcaQqmbD9ZTVXMQ/edit#gid=1251630045"",""articles_with_PRISMA_reasons!C2:C2113""), $A1486=IMPORTRANGE(""https://docs.google.com/spreadsheets/d/1BJSV3WBYJGRhQ6zExamkszQ"&amp;"5VutGIcaQqmbD9ZTVXMQ/edit#gid=1251630045"",""articles_with_PRISMA_reasons!B2:B2113""))"),1994.0)</f>
        <v>1994</v>
      </c>
      <c r="D1486" s="5" t="str">
        <f>IFERROR(__xludf.DUMMYFUNCTION("IFS(AND(
FILTER(IMPORTRANGE(""https://docs.google.com/spreadsheets/d/1BJSV3WBYJGRhQ6zExamkszQ5VutGIcaQqmbD9ZTVXMQ/edit#gid=1251630045"",""articles_with_PRISMA_reasons!Y2:Y2113""), $A1486=IMPORTRANGE(""https://docs.google.com/spreadsheets/d/1BJSV3WBYJGRhQ6"&amp;"zExamkszQ5VutGIcaQqmbD9ZTVXMQ/edit#gid=1251630045"",""articles_with_PRISMA_reasons!B2:B2113""))&gt;=2,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$A1486=IMPORTRANGE(""https://docs.google.com/spreadsheets/d/1BJSV3WBYJGRhQ6zExamkszQ5VutGIcaQqmbD9ZTVXMQ/edit#gid=1251630045"",""articles_with_PRISMA_reasons!B2:B2113""))&lt;2),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$A1486=IMPORTRANGE(""https://docs.google.com/spreadsheets/d/1BJSV3WBYJGRhQ6zExamkszQ5VutGIcaQqmbD9ZTVXMQ/edit#gid=1251630045"",""a"&amp;"rticles_with_PRISMA_reasons!B2:B2113""))&lt;2,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$A1486=IMPORTRANGE(""https://docs.google"&amp;".com/spreadsheets/d/1BJSV3WBYJGRhQ6zExamkszQ5VutGIcaQqmbD9ZTVXMQ/edit#gid=1251630045"",""articles_with_PRISMA_reasons!B2:B2113""))&gt;=2),
""Exclude""
)"),"Exclude")</f>
        <v>Exclude</v>
      </c>
      <c r="E1486" s="5" t="str">
        <f>IFERROR(__xludf.DUMMYFUNCTION("IFS(
D1486=""Exclude"",""Exclude"",
AND(
FILTER(IMPORTRANGE(""https://docs.google.com/spreadsheets/d/1qpEmbGH0JjaJbUdp21-y2cPbobDbMjr09BbtdKROZWc/edit#gid=1444865654"",""articles_with_PRISMA_reasons!W2:W2113""), $A1486=IMPORTRANGE(""https://docs.google.co"&amp;"m/spreadsheets/d/1qpEmbGH0JjaJbUdp21-y2cPbobDbMjr09BbtdKROZWc/edit#gid=1444865654"",""articles_with_PRISMA_reasons!B2:B2113""))&gt;=2,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$A1486=IMPORTRANGE(""https://docs.google.com/spreadsheets/d/1qpEmbGH0JjaJbUdp21-y2cPbobDbMjr09BbtdKROZWc/edit#gid=1444865654"",""articles_with_PRISMA_reasons!B2:B2113""))&lt;2),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$A1486=IMPORTRANGE(""https://docs.google.com/spreadsheets/d/1qpEmbGH0JjaJbUdp21-y2cPbobDbMjr09Bbtd"&amp;"KROZWc/edit#gid=1444865654"",""articles_with_PRISMA_reasons!B2:B2113""))&lt;2,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$A1486=I"&amp;"MPORTRANGE(""https://docs.google.com/spreadsheets/d/1qpEmbGH0JjaJbUdp21-y2cPbobDbMjr09BbtdKROZWc/edit#gid=1444865654"",""articles_with_PRISMA_reasons!B2:B2113""))&gt;=2),
""Exclude""
)"),"Exclude")</f>
        <v>Exclude</v>
      </c>
      <c r="F1486" s="5" t="str">
        <f>IFERROR(__xludf.DUMMYFUNCTION("IFS(
E1486=""Exclude"",""Exclude"",
AND(
COUNTIF(
IMPORTRANGE(""https://docs.google.com/spreadsheets/d/1kGrh75X1cNR1D7_FcY9zMnHP8iPO4M5RCRjy6nZY0TY/edit#gid=0"",""Table 1: Study characteristics!B4:B171""),A1486)&gt;0,
COUNTIF(Studies!$A$2:$A$85,FILTER(IMPORT"&amp;"RANGE(""https://docs.google.com/spreadsheets/d/1kGrh75X1cNR1D7_FcY9zMnHP8iPO4M5RCRjy6nZY0TY/edit#gid=0"",""Table 1: Study characteristics!A4:A171""), $A1486=IMPORTRANGE(""https://docs.google.com/spreadsheets/d/1kGrh75X1cNR1D7_FcY9zMnHP8iPO4M5RCRjy6nZY0TY/"&amp;"edit#gid=0"",""Table 1: Study characteristics!B4:B171"")))&gt;0
),
""Include""
)"),"Exclude")</f>
        <v>Exclude</v>
      </c>
      <c r="G1486" s="5" t="str">
        <f>IFERROR(__xludf.DUMMYFUNCTION("IFS(
D1486=""Exclude"",
FILTER(IMPORTRANGE(""https://docs.google.com/spreadsheets/d/1BJSV3WBYJGRhQ6zExamkszQ5VutGIcaQqmbD9ZTVXMQ/edit#gid=1251630045"",""articles_with_PRISMA_reasons!AB2:AB2113""), $A1486=IMPORTRANGE(""https://docs.google.com/spreadsheets/"&amp;"d/1BJSV3WBYJGRhQ6zExamkszQ5VutGIcaQqmbD9ZTVXMQ/edit#gid=1251630045"",""articles_with_PRISMA_reasons!B2:B2113"")),
E1486=""Exclude"",
FILTER(IMPORTRANGE(""https://docs.google.com/spreadsheets/d/1qpEmbGH0JjaJbUdp21-y2cPbobDbMjr09BbtdKROZWc/edit#gid=14448656"&amp;"54"",""articles_with_PRISMA_reasons!Z2:Z2113""), $A1486=IMPORTRANGE(""https://docs.google.com/spreadsheets/d/1qpEmbGH0JjaJbUdp21-y2cPbobDbMjr09BbtdKROZWc/edit#gid=1444865654"",""articles_with_PRISMA_reasons!B2:B2113"")),F1486
=""Include"",FILTER(IMPORTRAN"&amp;"GE(""https://docs.google.com/spreadsheets/d/1kGrh75X1cNR1D7_FcY9zMnHP8iPO4M5RCRjy6nZY0TY/edit#gid=0"",""Table 1: Study characteristics!A4:A171""), $A1486=IMPORTRANGE(""https://docs.google.com/spreadsheets/d/1kGrh75X1cNR1D7_FcY9zMnHP8iPO4M5RCRjy6nZY0TY/edi"&amp;"t#gid=0"",""Table 1: Study characteristics!B4:B171""))
)"),"wrong study design")</f>
        <v>wrong study design</v>
      </c>
    </row>
    <row r="1487">
      <c r="A1487" s="4" t="str">
        <f>IFERROR(__xludf.DUMMYFUNCTION("""COMPUTED_VALUE"""),"Precocious puberty in myelomeningocele patients")</f>
        <v>Precocious puberty in myelomeningocele patients</v>
      </c>
      <c r="B1487" s="5" t="str">
        <f>IFERROR(__xludf.DUMMYFUNCTION("LEFT(FILTER(IMPORTRANGE(""https://docs.google.com/spreadsheets/d/1BJSV3WBYJGRhQ6zExamkszQ5VutGIcaQqmbD9ZTVXMQ/edit#gid=1251630045"",""articles_with_PRISMA_reasons!K2:K2113""), $A1487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$A1487=IMPORTRANGE(""https://docs.google.com/spreadsheets/d/1BJSV3WBYJGRhQ6zExamkszQ5VutGIcaQqmbD9ZTVXMQ/edit#gid=1251630045"",""articles_with_PRISMA_reasons!B2:B2113"")))-1)"),"Meyer")</f>
        <v>Meyer</v>
      </c>
      <c r="C1487" s="6">
        <f>IFERROR(__xludf.DUMMYFUNCTION("FILTER(IMPORTRANGE(""https://docs.google.com/spreadsheets/d/1BJSV3WBYJGRhQ6zExamkszQ5VutGIcaQqmbD9ZTVXMQ/edit#gid=1251630045"",""articles_with_PRISMA_reasons!C2:C2113""), $A1487=IMPORTRANGE(""https://docs.google.com/spreadsheets/d/1BJSV3WBYJGRhQ6zExamkszQ"&amp;"5VutGIcaQqmbD9ZTVXMQ/edit#gid=1251630045"",""articles_with_PRISMA_reasons!B2:B2113""))"),1984.0)</f>
        <v>1984</v>
      </c>
      <c r="D1487" s="5" t="str">
        <f>IFERROR(__xludf.DUMMYFUNCTION("IFS(AND(
FILTER(IMPORTRANGE(""https://docs.google.com/spreadsheets/d/1BJSV3WBYJGRhQ6zExamkszQ5VutGIcaQqmbD9ZTVXMQ/edit#gid=1251630045"",""articles_with_PRISMA_reasons!Y2:Y2113""), $A1487=IMPORTRANGE(""https://docs.google.com/spreadsheets/d/1BJSV3WBYJGRhQ6"&amp;"zExamkszQ5VutGIcaQqmbD9ZTVXMQ/edit#gid=1251630045"",""articles_with_PRISMA_reasons!B2:B2113""))&gt;=2,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$A1487=IMPORTRANGE(""https://docs.google.com/spreadsheets/d/1BJSV3WBYJGRhQ6zExamkszQ5VutGIcaQqmbD9ZTVXMQ/edit#gid=1251630045"",""articles_with_PRISMA_reasons!B2:B2113""))&lt;2),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$A1487=IMPORTRANGE(""https://docs.google.com/spreadsheets/d/1BJSV3WBYJGRhQ6zExamkszQ5VutGIcaQqmbD9ZTVXMQ/edit#gid=1251630045"",""a"&amp;"rticles_with_PRISMA_reasons!B2:B2113""))&lt;2,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$A1487=IMPORTRANGE(""https://docs.google"&amp;".com/spreadsheets/d/1BJSV3WBYJGRhQ6zExamkszQ5VutGIcaQqmbD9ZTVXMQ/edit#gid=1251630045"",""articles_with_PRISMA_reasons!B2:B2113""))&gt;=2),
""Exclude""
)"),"Exclude")</f>
        <v>Exclude</v>
      </c>
      <c r="E1487" s="5" t="str">
        <f>IFERROR(__xludf.DUMMYFUNCTION("IFS(
D1487=""Exclude"",""Exclude"",
AND(
FILTER(IMPORTRANGE(""https://docs.google.com/spreadsheets/d/1qpEmbGH0JjaJbUdp21-y2cPbobDbMjr09BbtdKROZWc/edit#gid=1444865654"",""articles_with_PRISMA_reasons!W2:W2113""), $A1487=IMPORTRANGE(""https://docs.google.co"&amp;"m/spreadsheets/d/1qpEmbGH0JjaJbUdp21-y2cPbobDbMjr09BbtdKROZWc/edit#gid=1444865654"",""articles_with_PRISMA_reasons!B2:B2113""))&gt;=2,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$A1487=IMPORTRANGE(""https://docs.google.com/spreadsheets/d/1qpEmbGH0JjaJbUdp21-y2cPbobDbMjr09BbtdKROZWc/edit#gid=1444865654"",""articles_with_PRISMA_reasons!B2:B2113""))&lt;2),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$A1487=IMPORTRANGE(""https://docs.google.com/spreadsheets/d/1qpEmbGH0JjaJbUdp21-y2cPbobDbMjr09Bbtd"&amp;"KROZWc/edit#gid=1444865654"",""articles_with_PRISMA_reasons!B2:B2113""))&lt;2,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$A1487=I"&amp;"MPORTRANGE(""https://docs.google.com/spreadsheets/d/1qpEmbGH0JjaJbUdp21-y2cPbobDbMjr09BbtdKROZWc/edit#gid=1444865654"",""articles_with_PRISMA_reasons!B2:B2113""))&gt;=2),
""Exclude""
)"),"Exclude")</f>
        <v>Exclude</v>
      </c>
      <c r="F1487" s="5" t="str">
        <f>IFERROR(__xludf.DUMMYFUNCTION("IFS(
E1487=""Exclude"",""Exclude"",
AND(
COUNTIF(
IMPORTRANGE(""https://docs.google.com/spreadsheets/d/1kGrh75X1cNR1D7_FcY9zMnHP8iPO4M5RCRjy6nZY0TY/edit#gid=0"",""Table 1: Study characteristics!B4:B171""),A1487)&gt;0,
COUNTIF(Studies!$A$2:$A$85,FILTER(IMPORT"&amp;"RANGE(""https://docs.google.com/spreadsheets/d/1kGrh75X1cNR1D7_FcY9zMnHP8iPO4M5RCRjy6nZY0TY/edit#gid=0"",""Table 1: Study characteristics!A4:A171""), $A1487=IMPORTRANGE(""https://docs.google.com/spreadsheets/d/1kGrh75X1cNR1D7_FcY9zMnHP8iPO4M5RCRjy6nZY0TY/"&amp;"edit#gid=0"",""Table 1: Study characteristics!B4:B171"")))&gt;0
),
""Include""
)"),"Exclude")</f>
        <v>Exclude</v>
      </c>
      <c r="G1487" s="5" t="str">
        <f>IFERROR(__xludf.DUMMYFUNCTION("IFS(
D1487=""Exclude"",
FILTER(IMPORTRANGE(""https://docs.google.com/spreadsheets/d/1BJSV3WBYJGRhQ6zExamkszQ5VutGIcaQqmbD9ZTVXMQ/edit#gid=1251630045"",""articles_with_PRISMA_reasons!AB2:AB2113""), $A1487=IMPORTRANGE(""https://docs.google.com/spreadsheets/"&amp;"d/1BJSV3WBYJGRhQ6zExamkszQ5VutGIcaQqmbD9ZTVXMQ/edit#gid=1251630045"",""articles_with_PRISMA_reasons!B2:B2113"")),
E1487=""Exclude"",
FILTER(IMPORTRANGE(""https://docs.google.com/spreadsheets/d/1qpEmbGH0JjaJbUdp21-y2cPbobDbMjr09BbtdKROZWc/edit#gid=14448656"&amp;"54"",""articles_with_PRISMA_reasons!Z2:Z2113""), $A1487=IMPORTRANGE(""https://docs.google.com/spreadsheets/d/1qpEmbGH0JjaJbUdp21-y2cPbobDbMjr09BbtdKROZWc/edit#gid=1444865654"",""articles_with_PRISMA_reasons!B2:B2113"")),F1487
=""Include"",FILTER(IMPORTRAN"&amp;"GE(""https://docs.google.com/spreadsheets/d/1kGrh75X1cNR1D7_FcY9zMnHP8iPO4M5RCRjy6nZY0TY/edit#gid=0"",""Table 1: Study characteristics!A4:A171""), $A1487=IMPORTRANGE(""https://docs.google.com/spreadsheets/d/1kGrh75X1cNR1D7_FcY9zMnHP8iPO4M5RCRjy6nZY0TY/edi"&amp;"t#gid=0"",""Table 1: Study characteristics!B4:B171""))
)"),"wrong population")</f>
        <v>wrong population</v>
      </c>
    </row>
    <row r="1488">
      <c r="A1488" s="4" t="str">
        <f>IFERROR(__xludf.DUMMYFUNCTION("""COMPUTED_VALUE"""),"Predicting success of endoscopic third ventriculostomy: validation of the ETV Success Score in a mixed population of adult and pediatric patients")</f>
        <v>Predicting success of endoscopic third ventriculostomy: validation of the ETV Success Score in a mixed population of adult and pediatric patients</v>
      </c>
      <c r="B1488" s="5" t="str">
        <f>IFERROR(__xludf.DUMMYFUNCTION("LEFT(FILTER(IMPORTRANGE(""https://docs.google.com/spreadsheets/d/1BJSV3WBYJGRhQ6zExamkszQ5VutGIcaQqmbD9ZTVXMQ/edit#gid=1251630045"",""articles_with_PRISMA_reasons!K2:K2113""), $A1488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$A1488=IMPORTRANGE(""https://docs.google.com/spreadsheets/d/1BJSV3WBYJGRhQ6zExamkszQ5VutGIcaQqmbD9ZTVXMQ/edit#gid=1251630045"",""articles_with_PRISMA_reasons!B2:B2113"")))-1)"),"Labidi")</f>
        <v>Labidi</v>
      </c>
      <c r="C1488" s="6" t="str">
        <f>IFERROR(__xludf.DUMMYFUNCTION("FILTER(IMPORTRANGE(""https://docs.google.com/spreadsheets/d/1BJSV3WBYJGRhQ6zExamkszQ5VutGIcaQqmbD9ZTVXMQ/edit#gid=1251630045"",""articles_with_PRISMA_reasons!C2:C2113""), $A1488=IMPORTRANGE(""https://docs.google.com/spreadsheets/d/1BJSV3WBYJGRhQ6zExamkszQ"&amp;"5VutGIcaQqmbD9ZTVXMQ/edit#gid=1251630045"",""articles_with_PRISMA_reasons!B2:B2113""))"),"Dec")</f>
        <v>Dec</v>
      </c>
      <c r="D1488" s="5" t="str">
        <f>IFERROR(__xludf.DUMMYFUNCTION("IFS(AND(
FILTER(IMPORTRANGE(""https://docs.google.com/spreadsheets/d/1BJSV3WBYJGRhQ6zExamkszQ5VutGIcaQqmbD9ZTVXMQ/edit#gid=1251630045"",""articles_with_PRISMA_reasons!Y2:Y2113""), $A1488=IMPORTRANGE(""https://docs.google.com/spreadsheets/d/1BJSV3WBYJGRhQ6"&amp;"zExamkszQ5VutGIcaQqmbD9ZTVXMQ/edit#gid=1251630045"",""articles_with_PRISMA_reasons!B2:B2113""))&gt;=2,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$A1488=IMPORTRANGE(""https://docs.google.com/spreadsheets/d/1BJSV3WBYJGRhQ6zExamkszQ5VutGIcaQqmbD9ZTVXMQ/edit#gid=1251630045"",""articles_with_PRISMA_reasons!B2:B2113""))&lt;2),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$A1488=IMPORTRANGE(""https://docs.google.com/spreadsheets/d/1BJSV3WBYJGRhQ6zExamkszQ5VutGIcaQqmbD9ZTVXMQ/edit#gid=1251630045"",""a"&amp;"rticles_with_PRISMA_reasons!B2:B2113""))&lt;2,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$A1488=IMPORTRANGE(""https://docs.google"&amp;".com/spreadsheets/d/1BJSV3WBYJGRhQ6zExamkszQ5VutGIcaQqmbD9ZTVXMQ/edit#gid=1251630045"",""articles_with_PRISMA_reasons!B2:B2113""))&gt;=2),
""Exclude""
)"),"Exclude")</f>
        <v>Exclude</v>
      </c>
      <c r="E1488" s="5" t="str">
        <f>IFERROR(__xludf.DUMMYFUNCTION("IFS(
D1488=""Exclude"",""Exclude"",
AND(
FILTER(IMPORTRANGE(""https://docs.google.com/spreadsheets/d/1qpEmbGH0JjaJbUdp21-y2cPbobDbMjr09BbtdKROZWc/edit#gid=1444865654"",""articles_with_PRISMA_reasons!W2:W2113""), $A1488=IMPORTRANGE(""https://docs.google.co"&amp;"m/spreadsheets/d/1qpEmbGH0JjaJbUdp21-y2cPbobDbMjr09BbtdKROZWc/edit#gid=1444865654"",""articles_with_PRISMA_reasons!B2:B2113""))&gt;=2,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$A1488=IMPORTRANGE(""https://docs.google.com/spreadsheets/d/1qpEmbGH0JjaJbUdp21-y2cPbobDbMjr09BbtdKROZWc/edit#gid=1444865654"",""articles_with_PRISMA_reasons!B2:B2113""))&lt;2),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$A1488=IMPORTRANGE(""https://docs.google.com/spreadsheets/d/1qpEmbGH0JjaJbUdp21-y2cPbobDbMjr09Bbtd"&amp;"KROZWc/edit#gid=1444865654"",""articles_with_PRISMA_reasons!B2:B2113""))&lt;2,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$A1488=I"&amp;"MPORTRANGE(""https://docs.google.com/spreadsheets/d/1qpEmbGH0JjaJbUdp21-y2cPbobDbMjr09BbtdKROZWc/edit#gid=1444865654"",""articles_with_PRISMA_reasons!B2:B2113""))&gt;=2),
""Exclude""
)"),"Exclude")</f>
        <v>Exclude</v>
      </c>
      <c r="F1488" s="5" t="str">
        <f>IFERROR(__xludf.DUMMYFUNCTION("IFS(
E1488=""Exclude"",""Exclude"",
AND(
COUNTIF(
IMPORTRANGE(""https://docs.google.com/spreadsheets/d/1kGrh75X1cNR1D7_FcY9zMnHP8iPO4M5RCRjy6nZY0TY/edit#gid=0"",""Table 1: Study characteristics!B4:B171""),A1488)&gt;0,
COUNTIF(Studies!$A$2:$A$85,FILTER(IMPORT"&amp;"RANGE(""https://docs.google.com/spreadsheets/d/1kGrh75X1cNR1D7_FcY9zMnHP8iPO4M5RCRjy6nZY0TY/edit#gid=0"",""Table 1: Study characteristics!A4:A171""), $A1488=IMPORTRANGE(""https://docs.google.com/spreadsheets/d/1kGrh75X1cNR1D7_FcY9zMnHP8iPO4M5RCRjy6nZY0TY/"&amp;"edit#gid=0"",""Table 1: Study characteristics!B4:B171"")))&gt;0
),
""Include""
)"),"Exclude")</f>
        <v>Exclude</v>
      </c>
      <c r="G1488" s="5" t="str">
        <f>IFERROR(__xludf.DUMMYFUNCTION("IFS(
D1488=""Exclude"",
FILTER(IMPORTRANGE(""https://docs.google.com/spreadsheets/d/1BJSV3WBYJGRhQ6zExamkszQ5VutGIcaQqmbD9ZTVXMQ/edit#gid=1251630045"",""articles_with_PRISMA_reasons!AB2:AB2113""), $A1488=IMPORTRANGE(""https://docs.google.com/spreadsheets/"&amp;"d/1BJSV3WBYJGRhQ6zExamkszQ5VutGIcaQqmbD9ZTVXMQ/edit#gid=1251630045"",""articles_with_PRISMA_reasons!B2:B2113"")),
E1488=""Exclude"",
FILTER(IMPORTRANGE(""https://docs.google.com/spreadsheets/d/1qpEmbGH0JjaJbUdp21-y2cPbobDbMjr09BbtdKROZWc/edit#gid=14448656"&amp;"54"",""articles_with_PRISMA_reasons!Z2:Z2113""), $A1488=IMPORTRANGE(""https://docs.google.com/spreadsheets/d/1qpEmbGH0JjaJbUdp21-y2cPbobDbMjr09BbtdKROZWc/edit#gid=1444865654"",""articles_with_PRISMA_reasons!B2:B2113"")),F1488
=""Include"",FILTER(IMPORTRAN"&amp;"GE(""https://docs.google.com/spreadsheets/d/1kGrh75X1cNR1D7_FcY9zMnHP8iPO4M5RCRjy6nZY0TY/edit#gid=0"",""Table 1: Study characteristics!A4:A171""), $A1488=IMPORTRANGE(""https://docs.google.com/spreadsheets/d/1kGrh75X1cNR1D7_FcY9zMnHP8iPO4M5RCRjy6nZY0TY/edi"&amp;"t#gid=0"",""Table 1: Study characteristics!B4:B171""))
)"),"wrong population")</f>
        <v>wrong population</v>
      </c>
    </row>
    <row r="1489">
      <c r="A1489" s="4" t="str">
        <f>IFERROR(__xludf.DUMMYFUNCTION("""COMPUTED_VALUE"""),"Predicting ventriculoperitoneal shunt infection in children with hydrocephalus using artificial neural network")</f>
        <v>Predicting ventriculoperitoneal shunt infection in children with hydrocephalus using artificial neural network</v>
      </c>
      <c r="B1489" s="5" t="str">
        <f>IFERROR(__xludf.DUMMYFUNCTION("LEFT(FILTER(IMPORTRANGE(""https://docs.google.com/spreadsheets/d/1BJSV3WBYJGRhQ6zExamkszQ5VutGIcaQqmbD9ZTVXMQ/edit#gid=1251630045"",""articles_with_PRISMA_reasons!K2:K2113""), $A1489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$A1489=IMPORTRANGE(""https://docs.google.com/spreadsheets/d/1BJSV3WBYJGRhQ6zExamkszQ5VutGIcaQqmbD9ZTVXMQ/edit#gid=1251630045"",""articles_with_PRISMA_reasons!B2:B2113"")))-1)"),"Habibi")</f>
        <v>Habibi</v>
      </c>
      <c r="C1489" s="6">
        <f>IFERROR(__xludf.DUMMYFUNCTION("FILTER(IMPORTRANGE(""https://docs.google.com/spreadsheets/d/1BJSV3WBYJGRhQ6zExamkszQ5VutGIcaQqmbD9ZTVXMQ/edit#gid=1251630045"",""articles_with_PRISMA_reasons!C2:C2113""), $A1489=IMPORTRANGE(""https://docs.google.com/spreadsheets/d/1BJSV3WBYJGRhQ6zExamkszQ"&amp;"5VutGIcaQqmbD9ZTVXMQ/edit#gid=1251630045"",""articles_with_PRISMA_reasons!B2:B2113""))"),2016.0)</f>
        <v>2016</v>
      </c>
      <c r="D1489" s="5" t="str">
        <f>IFERROR(__xludf.DUMMYFUNCTION("IFS(AND(
FILTER(IMPORTRANGE(""https://docs.google.com/spreadsheets/d/1BJSV3WBYJGRhQ6zExamkszQ5VutGIcaQqmbD9ZTVXMQ/edit#gid=1251630045"",""articles_with_PRISMA_reasons!Y2:Y2113""), $A1489=IMPORTRANGE(""https://docs.google.com/spreadsheets/d/1BJSV3WBYJGRhQ6"&amp;"zExamkszQ5VutGIcaQqmbD9ZTVXMQ/edit#gid=1251630045"",""articles_with_PRISMA_reasons!B2:B2113""))&gt;=2,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$A1489=IMPORTRANGE(""https://docs.google.com/spreadsheets/d/1BJSV3WBYJGRhQ6zExamkszQ5VutGIcaQqmbD9ZTVXMQ/edit#gid=1251630045"",""articles_with_PRISMA_reasons!B2:B2113""))&lt;2),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$A1489=IMPORTRANGE(""https://docs.google.com/spreadsheets/d/1BJSV3WBYJGRhQ6zExamkszQ5VutGIcaQqmbD9ZTVXMQ/edit#gid=1251630045"",""a"&amp;"rticles_with_PRISMA_reasons!B2:B2113""))&lt;2,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$A1489=IMPORTRANGE(""https://docs.google"&amp;".com/spreadsheets/d/1BJSV3WBYJGRhQ6zExamkszQ5VutGIcaQqmbD9ZTVXMQ/edit#gid=1251630045"",""articles_with_PRISMA_reasons!B2:B2113""))&gt;=2),
""Exclude""
)"),"Exclude")</f>
        <v>Exclude</v>
      </c>
      <c r="E1489" s="5" t="str">
        <f>IFERROR(__xludf.DUMMYFUNCTION("IFS(
D1489=""Exclude"",""Exclude"",
AND(
FILTER(IMPORTRANGE(""https://docs.google.com/spreadsheets/d/1qpEmbGH0JjaJbUdp21-y2cPbobDbMjr09BbtdKROZWc/edit#gid=1444865654"",""articles_with_PRISMA_reasons!W2:W2113""), $A1489=IMPORTRANGE(""https://docs.google.co"&amp;"m/spreadsheets/d/1qpEmbGH0JjaJbUdp21-y2cPbobDbMjr09BbtdKROZWc/edit#gid=1444865654"",""articles_with_PRISMA_reasons!B2:B2113""))&gt;=2,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$A1489=IMPORTRANGE(""https://docs.google.com/spreadsheets/d/1qpEmbGH0JjaJbUdp21-y2cPbobDbMjr09BbtdKROZWc/edit#gid=1444865654"",""articles_with_PRISMA_reasons!B2:B2113""))&lt;2),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$A1489=IMPORTRANGE(""https://docs.google.com/spreadsheets/d/1qpEmbGH0JjaJbUdp21-y2cPbobDbMjr09Bbtd"&amp;"KROZWc/edit#gid=1444865654"",""articles_with_PRISMA_reasons!B2:B2113""))&lt;2,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$A1489=I"&amp;"MPORTRANGE(""https://docs.google.com/spreadsheets/d/1qpEmbGH0JjaJbUdp21-y2cPbobDbMjr09BbtdKROZWc/edit#gid=1444865654"",""articles_with_PRISMA_reasons!B2:B2113""))&gt;=2),
""Exclude""
)"),"Exclude")</f>
        <v>Exclude</v>
      </c>
      <c r="F1489" s="5" t="str">
        <f>IFERROR(__xludf.DUMMYFUNCTION("IFS(
E1489=""Exclude"",""Exclude"",
AND(
COUNTIF(
IMPORTRANGE(""https://docs.google.com/spreadsheets/d/1kGrh75X1cNR1D7_FcY9zMnHP8iPO4M5RCRjy6nZY0TY/edit#gid=0"",""Table 1: Study characteristics!B4:B171""),A1489)&gt;0,
COUNTIF(Studies!$A$2:$A$85,FILTER(IMPORT"&amp;"RANGE(""https://docs.google.com/spreadsheets/d/1kGrh75X1cNR1D7_FcY9zMnHP8iPO4M5RCRjy6nZY0TY/edit#gid=0"",""Table 1: Study characteristics!A4:A171""), $A1489=IMPORTRANGE(""https://docs.google.com/spreadsheets/d/1kGrh75X1cNR1D7_FcY9zMnHP8iPO4M5RCRjy6nZY0TY/"&amp;"edit#gid=0"",""Table 1: Study characteristics!B4:B171"")))&gt;0
),
""Include""
)"),"Exclude")</f>
        <v>Exclude</v>
      </c>
      <c r="G1489" s="5" t="str">
        <f>IFERROR(__xludf.DUMMYFUNCTION("IFS(
D1489=""Exclude"",
FILTER(IMPORTRANGE(""https://docs.google.com/spreadsheets/d/1BJSV3WBYJGRhQ6zExamkszQ5VutGIcaQqmbD9ZTVXMQ/edit#gid=1251630045"",""articles_with_PRISMA_reasons!AB2:AB2113""), $A1489=IMPORTRANGE(""https://docs.google.com/spreadsheets/"&amp;"d/1BJSV3WBYJGRhQ6zExamkszQ5VutGIcaQqmbD9ZTVXMQ/edit#gid=1251630045"",""articles_with_PRISMA_reasons!B2:B2113"")),
E1489=""Exclude"",
FILTER(IMPORTRANGE(""https://docs.google.com/spreadsheets/d/1qpEmbGH0JjaJbUdp21-y2cPbobDbMjr09BbtdKROZWc/edit#gid=14448656"&amp;"54"",""articles_with_PRISMA_reasons!Z2:Z2113""), $A1489=IMPORTRANGE(""https://docs.google.com/spreadsheets/d/1qpEmbGH0JjaJbUdp21-y2cPbobDbMjr09BbtdKROZWc/edit#gid=1444865654"",""articles_with_PRISMA_reasons!B2:B2113"")),F1489
=""Include"",FILTER(IMPORTRAN"&amp;"GE(""https://docs.google.com/spreadsheets/d/1kGrh75X1cNR1D7_FcY9zMnHP8iPO4M5RCRjy6nZY0TY/edit#gid=0"",""Table 1: Study characteristics!A4:A171""), $A1489=IMPORTRANGE(""https://docs.google.com/spreadsheets/d/1kGrh75X1cNR1D7_FcY9zMnHP8iPO4M5RCRjy6nZY0TY/edi"&amp;"t#gid=0"",""Table 1: Study characteristics!B4:B171""))
)"),"wrong population")</f>
        <v>wrong population</v>
      </c>
    </row>
    <row r="1490">
      <c r="A1490" s="4" t="str">
        <f>IFERROR(__xludf.DUMMYFUNCTION("""COMPUTED_VALUE"""),"Predictors of death in pediatric patients requiring cerebrospinal fluid shunts")</f>
        <v>Predictors of death in pediatric patients requiring cerebrospinal fluid shunts</v>
      </c>
      <c r="B1490" s="5" t="str">
        <f>IFERROR(__xludf.DUMMYFUNCTION("LEFT(FILTER(IMPORTRANGE(""https://docs.google.com/spreadsheets/d/1BJSV3WBYJGRhQ6zExamkszQ5VutGIcaQqmbD9ZTVXMQ/edit#gid=1251630045"",""articles_with_PRISMA_reasons!K2:K2113""), $A1490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$A1490=IMPORTRANGE(""https://docs.google.com/spreadsheets/d/1BJSV3WBYJGRhQ6zExamkszQ5VutGIcaQqmbD9ZTVXMQ/edit#gid=1251630045"",""articles_with_PRISMA_reasons!B2:B2113"")))-1)"),"Drake")</f>
        <v>Drake</v>
      </c>
      <c r="C1490" s="6">
        <f>IFERROR(__xludf.DUMMYFUNCTION("FILTER(IMPORTRANGE(""https://docs.google.com/spreadsheets/d/1BJSV3WBYJGRhQ6zExamkszQ5VutGIcaQqmbD9ZTVXMQ/edit#gid=1251630045"",""articles_with_PRISMA_reasons!C2:C2113""), $A1490=IMPORTRANGE(""https://docs.google.com/spreadsheets/d/1BJSV3WBYJGRhQ6zExamkszQ"&amp;"5VutGIcaQqmbD9ZTVXMQ/edit#gid=1251630045"",""articles_with_PRISMA_reasons!B2:B2113""))"),2004.0)</f>
        <v>2004</v>
      </c>
      <c r="D1490" s="5" t="str">
        <f>IFERROR(__xludf.DUMMYFUNCTION("IFS(AND(
FILTER(IMPORTRANGE(""https://docs.google.com/spreadsheets/d/1BJSV3WBYJGRhQ6zExamkszQ5VutGIcaQqmbD9ZTVXMQ/edit#gid=1251630045"",""articles_with_PRISMA_reasons!Y2:Y2113""), $A1490=IMPORTRANGE(""https://docs.google.com/spreadsheets/d/1BJSV3WBYJGRhQ6"&amp;"zExamkszQ5VutGIcaQqmbD9ZTVXMQ/edit#gid=1251630045"",""articles_with_PRISMA_reasons!B2:B2113""))&gt;=2,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$A1490=IMPORTRANGE(""https://docs.google.com/spreadsheets/d/1BJSV3WBYJGRhQ6zExamkszQ5VutGIcaQqmbD9ZTVXMQ/edit#gid=1251630045"",""articles_with_PRISMA_reasons!B2:B2113""))&lt;2),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$A1490=IMPORTRANGE(""https://docs.google.com/spreadsheets/d/1BJSV3WBYJGRhQ6zExamkszQ5VutGIcaQqmbD9ZTVXMQ/edit#gid=1251630045"",""a"&amp;"rticles_with_PRISMA_reasons!B2:B2113""))&lt;2,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$A1490=IMPORTRANGE(""https://docs.google"&amp;".com/spreadsheets/d/1BJSV3WBYJGRhQ6zExamkszQ5VutGIcaQqmbD9ZTVXMQ/edit#gid=1251630045"",""articles_with_PRISMA_reasons!B2:B2113""))&gt;=2),
""Exclude""
)"),"Exclude")</f>
        <v>Exclude</v>
      </c>
      <c r="E1490" s="5" t="str">
        <f>IFERROR(__xludf.DUMMYFUNCTION("IFS(
D1490=""Exclude"",""Exclude"",
AND(
FILTER(IMPORTRANGE(""https://docs.google.com/spreadsheets/d/1qpEmbGH0JjaJbUdp21-y2cPbobDbMjr09BbtdKROZWc/edit#gid=1444865654"",""articles_with_PRISMA_reasons!W2:W2113""), $A1490=IMPORTRANGE(""https://docs.google.co"&amp;"m/spreadsheets/d/1qpEmbGH0JjaJbUdp21-y2cPbobDbMjr09BbtdKROZWc/edit#gid=1444865654"",""articles_with_PRISMA_reasons!B2:B2113""))&gt;=2,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$A1490=IMPORTRANGE(""https://docs.google.com/spreadsheets/d/1qpEmbGH0JjaJbUdp21-y2cPbobDbMjr09BbtdKROZWc/edit#gid=1444865654"",""articles_with_PRISMA_reasons!B2:B2113""))&lt;2),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$A1490=IMPORTRANGE(""https://docs.google.com/spreadsheets/d/1qpEmbGH0JjaJbUdp21-y2cPbobDbMjr09Bbtd"&amp;"KROZWc/edit#gid=1444865654"",""articles_with_PRISMA_reasons!B2:B2113""))&lt;2,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$A1490=I"&amp;"MPORTRANGE(""https://docs.google.com/spreadsheets/d/1qpEmbGH0JjaJbUdp21-y2cPbobDbMjr09BbtdKROZWc/edit#gid=1444865654"",""articles_with_PRISMA_reasons!B2:B2113""))&gt;=2),
""Exclude""
)"),"Exclude")</f>
        <v>Exclude</v>
      </c>
      <c r="F1490" s="5" t="str">
        <f>IFERROR(__xludf.DUMMYFUNCTION("IFS(
E1490=""Exclude"",""Exclude"",
AND(
COUNTIF(
IMPORTRANGE(""https://docs.google.com/spreadsheets/d/1kGrh75X1cNR1D7_FcY9zMnHP8iPO4M5RCRjy6nZY0TY/edit#gid=0"",""Table 1: Study characteristics!B4:B171""),A1490)&gt;0,
COUNTIF(Studies!$A$2:$A$85,FILTER(IMPORT"&amp;"RANGE(""https://docs.google.com/spreadsheets/d/1kGrh75X1cNR1D7_FcY9zMnHP8iPO4M5RCRjy6nZY0TY/edit#gid=0"",""Table 1: Study characteristics!A4:A171""), $A1490=IMPORTRANGE(""https://docs.google.com/spreadsheets/d/1kGrh75X1cNR1D7_FcY9zMnHP8iPO4M5RCRjy6nZY0TY/"&amp;"edit#gid=0"",""Table 1: Study characteristics!B4:B171"")))&gt;0
),
""Include""
)"),"Exclude")</f>
        <v>Exclude</v>
      </c>
      <c r="G1490" s="5" t="str">
        <f>IFERROR(__xludf.DUMMYFUNCTION("IFS(
D1490=""Exclude"",
FILTER(IMPORTRANGE(""https://docs.google.com/spreadsheets/d/1BJSV3WBYJGRhQ6zExamkszQ5VutGIcaQqmbD9ZTVXMQ/edit#gid=1251630045"",""articles_with_PRISMA_reasons!AB2:AB2113""), $A1490=IMPORTRANGE(""https://docs.google.com/spreadsheets/"&amp;"d/1BJSV3WBYJGRhQ6zExamkszQ5VutGIcaQqmbD9ZTVXMQ/edit#gid=1251630045"",""articles_with_PRISMA_reasons!B2:B2113"")),
E1490=""Exclude"",
FILTER(IMPORTRANGE(""https://docs.google.com/spreadsheets/d/1qpEmbGH0JjaJbUdp21-y2cPbobDbMjr09BbtdKROZWc/edit#gid=14448656"&amp;"54"",""articles_with_PRISMA_reasons!Z2:Z2113""), $A1490=IMPORTRANGE(""https://docs.google.com/spreadsheets/d/1qpEmbGH0JjaJbUdp21-y2cPbobDbMjr09BbtdKROZWc/edit#gid=1444865654"",""articles_with_PRISMA_reasons!B2:B2113"")),F1490
=""Include"",FILTER(IMPORTRAN"&amp;"GE(""https://docs.google.com/spreadsheets/d/1kGrh75X1cNR1D7_FcY9zMnHP8iPO4M5RCRjy6nZY0TY/edit#gid=0"",""Table 1: Study characteristics!A4:A171""), $A1490=IMPORTRANGE(""https://docs.google.com/spreadsheets/d/1kGrh75X1cNR1D7_FcY9zMnHP8iPO4M5RCRjy6nZY0TY/edi"&amp;"t#gid=0"",""Table 1: Study characteristics!B4:B171""))
)"),"wrong study design")</f>
        <v>wrong study design</v>
      </c>
    </row>
    <row r="1491">
      <c r="A1491" s="4" t="str">
        <f>IFERROR(__xludf.DUMMYFUNCTION("""COMPUTED_VALUE"""),"Predictors of endoscopic third ventriculostomy ostomy status in patients who experience failure of endoscopic third ventriculostomy with choroid plexus cauterization")</f>
        <v>Predictors of endoscopic third ventriculostomy ostomy status in patients who experience failure of endoscopic third ventriculostomy with choroid plexus cauterization</v>
      </c>
      <c r="B1491" s="5" t="str">
        <f>IFERROR(__xludf.DUMMYFUNCTION("LEFT(FILTER(IMPORTRANGE(""https://docs.google.com/spreadsheets/d/1BJSV3WBYJGRhQ6zExamkszQ5VutGIcaQqmbD9ZTVXMQ/edit#gid=1251630045"",""articles_with_PRISMA_reasons!K2:K2113""), $A1491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$A1491=IMPORTRANGE(""https://docs.google.com/spreadsheets/d/1BJSV3WBYJGRhQ6zExamkszQ5VutGIcaQqmbD9ZTVXMQ/edit#gid=1251630045"",""articles_with_PRISMA_reasons!B2:B2113"")))-1)"),"Zhao")</f>
        <v>Zhao</v>
      </c>
      <c r="C1491" s="6">
        <f>IFERROR(__xludf.DUMMYFUNCTION("FILTER(IMPORTRANGE(""https://docs.google.com/spreadsheets/d/1BJSV3WBYJGRhQ6zExamkszQ5VutGIcaQqmbD9ZTVXMQ/edit#gid=1251630045"",""articles_with_PRISMA_reasons!C2:C2113""), $A1491=IMPORTRANGE(""https://docs.google.com/spreadsheets/d/1BJSV3WBYJGRhQ6zExamkszQ"&amp;"5VutGIcaQqmbD9ZTVXMQ/edit#gid=1251630045"",""articles_with_PRISMA_reasons!B2:B2113""))"),2019.0)</f>
        <v>2019</v>
      </c>
      <c r="D1491" s="5" t="str">
        <f>IFERROR(__xludf.DUMMYFUNCTION("IFS(AND(
FILTER(IMPORTRANGE(""https://docs.google.com/spreadsheets/d/1BJSV3WBYJGRhQ6zExamkszQ5VutGIcaQqmbD9ZTVXMQ/edit#gid=1251630045"",""articles_with_PRISMA_reasons!Y2:Y2113""), $A1491=IMPORTRANGE(""https://docs.google.com/spreadsheets/d/1BJSV3WBYJGRhQ6"&amp;"zExamkszQ5VutGIcaQqmbD9ZTVXMQ/edit#gid=1251630045"",""articles_with_PRISMA_reasons!B2:B2113""))&gt;=2,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$A1491=IMPORTRANGE(""https://docs.google.com/spreadsheets/d/1BJSV3WBYJGRhQ6zExamkszQ5VutGIcaQqmbD9ZTVXMQ/edit#gid=1251630045"",""articles_with_PRISMA_reasons!B2:B2113""))&lt;2),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$A1491=IMPORTRANGE(""https://docs.google.com/spreadsheets/d/1BJSV3WBYJGRhQ6zExamkszQ5VutGIcaQqmbD9ZTVXMQ/edit#gid=1251630045"",""a"&amp;"rticles_with_PRISMA_reasons!B2:B2113""))&lt;2,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$A1491=IMPORTRANGE(""https://docs.google"&amp;".com/spreadsheets/d/1BJSV3WBYJGRhQ6zExamkszQ5VutGIcaQqmbD9ZTVXMQ/edit#gid=1251630045"",""articles_with_PRISMA_reasons!B2:B2113""))&gt;=2),
""Exclude""
)"),"Include")</f>
        <v>Include</v>
      </c>
      <c r="E1491" s="5" t="str">
        <f>IFERROR(__xludf.DUMMYFUNCTION("IFS(
D1491=""Exclude"",""Exclude"",
AND(
FILTER(IMPORTRANGE(""https://docs.google.com/spreadsheets/d/1qpEmbGH0JjaJbUdp21-y2cPbobDbMjr09BbtdKROZWc/edit#gid=1444865654"",""articles_with_PRISMA_reasons!W2:W2113""), $A1491=IMPORTRANGE(""https://docs.google.co"&amp;"m/spreadsheets/d/1qpEmbGH0JjaJbUdp21-y2cPbobDbMjr09BbtdKROZWc/edit#gid=1444865654"",""articles_with_PRISMA_reasons!B2:B2113""))&gt;=2,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$A1491=IMPORTRANGE(""https://docs.google.com/spreadsheets/d/1qpEmbGH0JjaJbUdp21-y2cPbobDbMjr09BbtdKROZWc/edit#gid=1444865654"",""articles_with_PRISMA_reasons!B2:B2113""))&lt;2),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$A1491=IMPORTRANGE(""https://docs.google.com/spreadsheets/d/1qpEmbGH0JjaJbUdp21-y2cPbobDbMjr09Bbtd"&amp;"KROZWc/edit#gid=1444865654"",""articles_with_PRISMA_reasons!B2:B2113""))&lt;2,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$A1491=I"&amp;"MPORTRANGE(""https://docs.google.com/spreadsheets/d/1qpEmbGH0JjaJbUdp21-y2cPbobDbMjr09BbtdKROZWc/edit#gid=1444865654"",""articles_with_PRISMA_reasons!B2:B2113""))&gt;=2),
""Exclude""
)"),"Exclude")</f>
        <v>Exclude</v>
      </c>
      <c r="F1491" s="5" t="str">
        <f>IFERROR(__xludf.DUMMYFUNCTION("IFS(
E1491=""Exclude"",""Exclude"",
AND(
COUNTIF(
IMPORTRANGE(""https://docs.google.com/spreadsheets/d/1kGrh75X1cNR1D7_FcY9zMnHP8iPO4M5RCRjy6nZY0TY/edit#gid=0"",""Table 1: Study characteristics!B4:B171""),A1491)&gt;0,
COUNTIF(Studies!$A$2:$A$85,FILTER(IMPORT"&amp;"RANGE(""https://docs.google.com/spreadsheets/d/1kGrh75X1cNR1D7_FcY9zMnHP8iPO4M5RCRjy6nZY0TY/edit#gid=0"",""Table 1: Study characteristics!A4:A171""), $A1491=IMPORTRANGE(""https://docs.google.com/spreadsheets/d/1kGrh75X1cNR1D7_FcY9zMnHP8iPO4M5RCRjy6nZY0TY/"&amp;"edit#gid=0"",""Table 1: Study characteristics!B4:B171"")))&gt;0
),
""Include""
)"),"Exclude")</f>
        <v>Exclude</v>
      </c>
      <c r="G1491" s="5" t="str">
        <f>IFERROR(__xludf.DUMMYFUNCTION("IFS(
D1491=""Exclude"",
FILTER(IMPORTRANGE(""https://docs.google.com/spreadsheets/d/1BJSV3WBYJGRhQ6zExamkszQ5VutGIcaQqmbD9ZTVXMQ/edit#gid=1251630045"",""articles_with_PRISMA_reasons!AB2:AB2113""), $A1491=IMPORTRANGE(""https://docs.google.com/spreadsheets/"&amp;"d/1BJSV3WBYJGRhQ6zExamkszQ5VutGIcaQqmbD9ZTVXMQ/edit#gid=1251630045"",""articles_with_PRISMA_reasons!B2:B2113"")),
E1491=""Exclude"",
FILTER(IMPORTRANGE(""https://docs.google.com/spreadsheets/d/1qpEmbGH0JjaJbUdp21-y2cPbobDbMjr09BbtdKROZWc/edit#gid=14448656"&amp;"54"",""articles_with_PRISMA_reasons!Z2:Z2113""), $A1491=IMPORTRANGE(""https://docs.google.com/spreadsheets/d/1qpEmbGH0JjaJbUdp21-y2cPbobDbMjr09BbtdKROZWc/edit#gid=1444865654"",""articles_with_PRISMA_reasons!B2:B2113"")),F1491
=""Include"",FILTER(IMPORTRAN"&amp;"GE(""https://docs.google.com/spreadsheets/d/1kGrh75X1cNR1D7_FcY9zMnHP8iPO4M5RCRjy6nZY0TY/edit#gid=0"",""Table 1: Study characteristics!A4:A171""), $A1491=IMPORTRANGE(""https://docs.google.com/spreadsheets/d/1kGrh75X1cNR1D7_FcY9zMnHP8iPO4M5RCRjy6nZY0TY/edi"&amp;"t#gid=0"",""Table 1: Study characteristics!B4:B171""))
)"),"wrong outcome")</f>
        <v>wrong outcome</v>
      </c>
    </row>
    <row r="1492">
      <c r="A1492" s="4" t="str">
        <f>IFERROR(__xludf.DUMMYFUNCTION("""COMPUTED_VALUE"""),"Predictors of fast and ultrafast shunt failure in pediatric hydrocephalus: A Hydrocephalus Clinical Research Network study")</f>
        <v>Predictors of fast and ultrafast shunt failure in pediatric hydrocephalus: A Hydrocephalus Clinical Research Network study</v>
      </c>
      <c r="B1492" s="5" t="str">
        <f>IFERROR(__xludf.DUMMYFUNCTION("LEFT(FILTER(IMPORTRANGE(""https://docs.google.com/spreadsheets/d/1BJSV3WBYJGRhQ6zExamkszQ5VutGIcaQqmbD9ZTVXMQ/edit#gid=1251630045"",""articles_with_PRISMA_reasons!K2:K2113""), $A1492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$A1492=IMPORTRANGE(""https://docs.google.com/spreadsheets/d/1BJSV3WBYJGRhQ6zExamkszQ5VutGIcaQqmbD9ZTVXMQ/edit#gid=1251630045"",""articles_with_PRISMA_reasons!B2:B2113"")))-1)"),"Hauptman")</f>
        <v>Hauptman</v>
      </c>
      <c r="C1492" s="6">
        <f>IFERROR(__xludf.DUMMYFUNCTION("FILTER(IMPORTRANGE(""https://docs.google.com/spreadsheets/d/1BJSV3WBYJGRhQ6zExamkszQ5VutGIcaQqmbD9ZTVXMQ/edit#gid=1251630045"",""articles_with_PRISMA_reasons!C2:C2113""), $A1492=IMPORTRANGE(""https://docs.google.com/spreadsheets/d/1BJSV3WBYJGRhQ6zExamkszQ"&amp;"5VutGIcaQqmbD9ZTVXMQ/edit#gid=1251630045"",""articles_with_PRISMA_reasons!B2:B2113""))"),2021.0)</f>
        <v>2021</v>
      </c>
      <c r="D1492" s="5" t="str">
        <f>IFERROR(__xludf.DUMMYFUNCTION("IFS(AND(
FILTER(IMPORTRANGE(""https://docs.google.com/spreadsheets/d/1BJSV3WBYJGRhQ6zExamkszQ5VutGIcaQqmbD9ZTVXMQ/edit#gid=1251630045"",""articles_with_PRISMA_reasons!Y2:Y2113""), $A1492=IMPORTRANGE(""https://docs.google.com/spreadsheets/d/1BJSV3WBYJGRhQ6"&amp;"zExamkszQ5VutGIcaQqmbD9ZTVXMQ/edit#gid=1251630045"",""articles_with_PRISMA_reasons!B2:B2113""))&gt;=2,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$A1492=IMPORTRANGE(""https://docs.google.com/spreadsheets/d/1BJSV3WBYJGRhQ6zExamkszQ5VutGIcaQqmbD9ZTVXMQ/edit#gid=1251630045"",""articles_with_PRISMA_reasons!B2:B2113""))&lt;2),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$A1492=IMPORTRANGE(""https://docs.google.com/spreadsheets/d/1BJSV3WBYJGRhQ6zExamkszQ5VutGIcaQqmbD9ZTVXMQ/edit#gid=1251630045"",""a"&amp;"rticles_with_PRISMA_reasons!B2:B2113""))&lt;2,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$A1492=IMPORTRANGE(""https://docs.google"&amp;".com/spreadsheets/d/1BJSV3WBYJGRhQ6zExamkszQ5VutGIcaQqmbD9ZTVXMQ/edit#gid=1251630045"",""articles_with_PRISMA_reasons!B2:B2113""))&gt;=2),
""Exclude""
)"),"Exclude")</f>
        <v>Exclude</v>
      </c>
      <c r="E1492" s="5" t="str">
        <f>IFERROR(__xludf.DUMMYFUNCTION("IFS(
D1492=""Exclude"",""Exclude"",
AND(
FILTER(IMPORTRANGE(""https://docs.google.com/spreadsheets/d/1qpEmbGH0JjaJbUdp21-y2cPbobDbMjr09BbtdKROZWc/edit#gid=1444865654"",""articles_with_PRISMA_reasons!W2:W2113""), $A1492=IMPORTRANGE(""https://docs.google.co"&amp;"m/spreadsheets/d/1qpEmbGH0JjaJbUdp21-y2cPbobDbMjr09BbtdKROZWc/edit#gid=1444865654"",""articles_with_PRISMA_reasons!B2:B2113""))&gt;=2,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$A1492=IMPORTRANGE(""https://docs.google.com/spreadsheets/d/1qpEmbGH0JjaJbUdp21-y2cPbobDbMjr09BbtdKROZWc/edit#gid=1444865654"",""articles_with_PRISMA_reasons!B2:B2113""))&lt;2),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$A1492=IMPORTRANGE(""https://docs.google.com/spreadsheets/d/1qpEmbGH0JjaJbUdp21-y2cPbobDbMjr09Bbtd"&amp;"KROZWc/edit#gid=1444865654"",""articles_with_PRISMA_reasons!B2:B2113""))&lt;2,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$A1492=I"&amp;"MPORTRANGE(""https://docs.google.com/spreadsheets/d/1qpEmbGH0JjaJbUdp21-y2cPbobDbMjr09BbtdKROZWc/edit#gid=1444865654"",""articles_with_PRISMA_reasons!B2:B2113""))&gt;=2),
""Exclude""
)"),"Exclude")</f>
        <v>Exclude</v>
      </c>
      <c r="F1492" s="5" t="str">
        <f>IFERROR(__xludf.DUMMYFUNCTION("IFS(
E1492=""Exclude"",""Exclude"",
AND(
COUNTIF(
IMPORTRANGE(""https://docs.google.com/spreadsheets/d/1kGrh75X1cNR1D7_FcY9zMnHP8iPO4M5RCRjy6nZY0TY/edit#gid=0"",""Table 1: Study characteristics!B4:B171""),A1492)&gt;0,
COUNTIF(Studies!$A$2:$A$85,FILTER(IMPORT"&amp;"RANGE(""https://docs.google.com/spreadsheets/d/1kGrh75X1cNR1D7_FcY9zMnHP8iPO4M5RCRjy6nZY0TY/edit#gid=0"",""Table 1: Study characteristics!A4:A171""), $A1492=IMPORTRANGE(""https://docs.google.com/spreadsheets/d/1kGrh75X1cNR1D7_FcY9zMnHP8iPO4M5RCRjy6nZY0TY/"&amp;"edit#gid=0"",""Table 1: Study characteristics!B4:B171"")))&gt;0
),
""Include""
)"),"Exclude")</f>
        <v>Exclude</v>
      </c>
      <c r="G1492" s="5" t="str">
        <f>IFERROR(__xludf.DUMMYFUNCTION("IFS(
D1492=""Exclude"",
FILTER(IMPORTRANGE(""https://docs.google.com/spreadsheets/d/1BJSV3WBYJGRhQ6zExamkszQ5VutGIcaQqmbD9ZTVXMQ/edit#gid=1251630045"",""articles_with_PRISMA_reasons!AB2:AB2113""), $A1492=IMPORTRANGE(""https://docs.google.com/spreadsheets/"&amp;"d/1BJSV3WBYJGRhQ6zExamkszQ5VutGIcaQqmbD9ZTVXMQ/edit#gid=1251630045"",""articles_with_PRISMA_reasons!B2:B2113"")),
E1492=""Exclude"",
FILTER(IMPORTRANGE(""https://docs.google.com/spreadsheets/d/1qpEmbGH0JjaJbUdp21-y2cPbobDbMjr09BbtdKROZWc/edit#gid=14448656"&amp;"54"",""articles_with_PRISMA_reasons!Z2:Z2113""), $A1492=IMPORTRANGE(""https://docs.google.com/spreadsheets/d/1qpEmbGH0JjaJbUdp21-y2cPbobDbMjr09BbtdKROZWc/edit#gid=1444865654"",""articles_with_PRISMA_reasons!B2:B2113"")),F1492
=""Include"",FILTER(IMPORTRAN"&amp;"GE(""https://docs.google.com/spreadsheets/d/1kGrh75X1cNR1D7_FcY9zMnHP8iPO4M5RCRjy6nZY0TY/edit#gid=0"",""Table 1: Study characteristics!A4:A171""), $A1492=IMPORTRANGE(""https://docs.google.com/spreadsheets/d/1kGrh75X1cNR1D7_FcY9zMnHP8iPO4M5RCRjy6nZY0TY/edi"&amp;"t#gid=0"",""Table 1: Study characteristics!B4:B171""))
)"),"wrong population")</f>
        <v>wrong population</v>
      </c>
    </row>
    <row r="1493">
      <c r="A1493" s="4" t="str">
        <f>IFERROR(__xludf.DUMMYFUNCTION("""COMPUTED_VALUE"""),"Predictors of success for combined endoscopic third ventriculostomy and choroid plexus cauterization in a North American setting: A Hydrocephalus Clinical Research Network study")</f>
        <v>Predictors of success for combined endoscopic third ventriculostomy and choroid plexus cauterization in a North American setting: A Hydrocephalus Clinical Research Network study</v>
      </c>
      <c r="B1493" s="5" t="str">
        <f>IFERROR(__xludf.DUMMYFUNCTION("LEFT(FILTER(IMPORTRANGE(""https://docs.google.com/spreadsheets/d/1BJSV3WBYJGRhQ6zExamkszQ5VutGIcaQqmbD9ZTVXMQ/edit#gid=1251630045"",""articles_with_PRISMA_reasons!K2:K2113""), $A1493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$A1493=IMPORTRANGE(""https://docs.google.com/spreadsheets/d/1BJSV3WBYJGRhQ6zExamkszQ5VutGIcaQqmbD9ZTVXMQ/edit#gid=1251630045"",""articles_with_PRISMA_reasons!B2:B2113"")))-1)"),"Riva-Cambrin")</f>
        <v>Riva-Cambrin</v>
      </c>
      <c r="C1493" s="6">
        <f>IFERROR(__xludf.DUMMYFUNCTION("FILTER(IMPORTRANGE(""https://docs.google.com/spreadsheets/d/1BJSV3WBYJGRhQ6zExamkszQ5VutGIcaQqmbD9ZTVXMQ/edit#gid=1251630045"",""articles_with_PRISMA_reasons!C2:C2113""), $A1493=IMPORTRANGE(""https://docs.google.com/spreadsheets/d/1BJSV3WBYJGRhQ6zExamkszQ"&amp;"5VutGIcaQqmbD9ZTVXMQ/edit#gid=1251630045"",""articles_with_PRISMA_reasons!B2:B2113""))"),2019.0)</f>
        <v>2019</v>
      </c>
      <c r="D1493" s="5" t="str">
        <f>IFERROR(__xludf.DUMMYFUNCTION("IFS(AND(
FILTER(IMPORTRANGE(""https://docs.google.com/spreadsheets/d/1BJSV3WBYJGRhQ6zExamkszQ5VutGIcaQqmbD9ZTVXMQ/edit#gid=1251630045"",""articles_with_PRISMA_reasons!Y2:Y2113""), $A1493=IMPORTRANGE(""https://docs.google.com/spreadsheets/d/1BJSV3WBYJGRhQ6"&amp;"zExamkszQ5VutGIcaQqmbD9ZTVXMQ/edit#gid=1251630045"",""articles_with_PRISMA_reasons!B2:B2113""))&gt;=2,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$A1493=IMPORTRANGE(""https://docs.google.com/spreadsheets/d/1BJSV3WBYJGRhQ6zExamkszQ5VutGIcaQqmbD9ZTVXMQ/edit#gid=1251630045"",""articles_with_PRISMA_reasons!B2:B2113""))&lt;2),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$A1493=IMPORTRANGE(""https://docs.google.com/spreadsheets/d/1BJSV3WBYJGRhQ6zExamkszQ5VutGIcaQqmbD9ZTVXMQ/edit#gid=1251630045"",""a"&amp;"rticles_with_PRISMA_reasons!B2:B2113""))&lt;2,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$A1493=IMPORTRANGE(""https://docs.google"&amp;".com/spreadsheets/d/1BJSV3WBYJGRhQ6zExamkszQ5VutGIcaQqmbD9ZTVXMQ/edit#gid=1251630045"",""articles_with_PRISMA_reasons!B2:B2113""))&gt;=2),
""Exclude""
)"),"Exclude")</f>
        <v>Exclude</v>
      </c>
      <c r="E1493" s="5" t="str">
        <f>IFERROR(__xludf.DUMMYFUNCTION("IFS(
D1493=""Exclude"",""Exclude"",
AND(
FILTER(IMPORTRANGE(""https://docs.google.com/spreadsheets/d/1qpEmbGH0JjaJbUdp21-y2cPbobDbMjr09BbtdKROZWc/edit#gid=1444865654"",""articles_with_PRISMA_reasons!W2:W2113""), $A1493=IMPORTRANGE(""https://docs.google.co"&amp;"m/spreadsheets/d/1qpEmbGH0JjaJbUdp21-y2cPbobDbMjr09BbtdKROZWc/edit#gid=1444865654"",""articles_with_PRISMA_reasons!B2:B2113""))&gt;=2,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$A1493=IMPORTRANGE(""https://docs.google.com/spreadsheets/d/1qpEmbGH0JjaJbUdp21-y2cPbobDbMjr09BbtdKROZWc/edit#gid=1444865654"",""articles_with_PRISMA_reasons!B2:B2113""))&lt;2),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$A1493=IMPORTRANGE(""https://docs.google.com/spreadsheets/d/1qpEmbGH0JjaJbUdp21-y2cPbobDbMjr09Bbtd"&amp;"KROZWc/edit#gid=1444865654"",""articles_with_PRISMA_reasons!B2:B2113""))&lt;2,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$A1493=I"&amp;"MPORTRANGE(""https://docs.google.com/spreadsheets/d/1qpEmbGH0JjaJbUdp21-y2cPbobDbMjr09BbtdKROZWc/edit#gid=1444865654"",""articles_with_PRISMA_reasons!B2:B2113""))&gt;=2),
""Exclude""
)"),"Exclude")</f>
        <v>Exclude</v>
      </c>
      <c r="F1493" s="5" t="str">
        <f>IFERROR(__xludf.DUMMYFUNCTION("IFS(
E1493=""Exclude"",""Exclude"",
AND(
COUNTIF(
IMPORTRANGE(""https://docs.google.com/spreadsheets/d/1kGrh75X1cNR1D7_FcY9zMnHP8iPO4M5RCRjy6nZY0TY/edit#gid=0"",""Table 1: Study characteristics!B4:B171""),A1493)&gt;0,
COUNTIF(Studies!$A$2:$A$85,FILTER(IMPORT"&amp;"RANGE(""https://docs.google.com/spreadsheets/d/1kGrh75X1cNR1D7_FcY9zMnHP8iPO4M5RCRjy6nZY0TY/edit#gid=0"",""Table 1: Study characteristics!A4:A171""), $A1493=IMPORTRANGE(""https://docs.google.com/spreadsheets/d/1kGrh75X1cNR1D7_FcY9zMnHP8iPO4M5RCRjy6nZY0TY/"&amp;"edit#gid=0"",""Table 1: Study characteristics!B4:B171"")))&gt;0
),
""Include""
)"),"Exclude")</f>
        <v>Exclude</v>
      </c>
      <c r="G1493" s="5" t="str">
        <f>IFERROR(__xludf.DUMMYFUNCTION("IFS(
D1493=""Exclude"",
FILTER(IMPORTRANGE(""https://docs.google.com/spreadsheets/d/1BJSV3WBYJGRhQ6zExamkszQ5VutGIcaQqmbD9ZTVXMQ/edit#gid=1251630045"",""articles_with_PRISMA_reasons!AB2:AB2113""), $A1493=IMPORTRANGE(""https://docs.google.com/spreadsheets/"&amp;"d/1BJSV3WBYJGRhQ6zExamkszQ5VutGIcaQqmbD9ZTVXMQ/edit#gid=1251630045"",""articles_with_PRISMA_reasons!B2:B2113"")),
E1493=""Exclude"",
FILTER(IMPORTRANGE(""https://docs.google.com/spreadsheets/d/1qpEmbGH0JjaJbUdp21-y2cPbobDbMjr09BbtdKROZWc/edit#gid=14448656"&amp;"54"",""articles_with_PRISMA_reasons!Z2:Z2113""), $A1493=IMPORTRANGE(""https://docs.google.com/spreadsheets/d/1qpEmbGH0JjaJbUdp21-y2cPbobDbMjr09BbtdKROZWc/edit#gid=1444865654"",""articles_with_PRISMA_reasons!B2:B2113"")),F1493
=""Include"",FILTER(IMPORTRAN"&amp;"GE(""https://docs.google.com/spreadsheets/d/1kGrh75X1cNR1D7_FcY9zMnHP8iPO4M5RCRjy6nZY0TY/edit#gid=0"",""Table 1: Study characteristics!A4:A171""), $A1493=IMPORTRANGE(""https://docs.google.com/spreadsheets/d/1kGrh75X1cNR1D7_FcY9zMnHP8iPO4M5RCRjy6nZY0TY/edi"&amp;"t#gid=0"",""Table 1: Study characteristics!B4:B171""))
)"),"wrong population")</f>
        <v>wrong population</v>
      </c>
    </row>
    <row r="1494">
      <c r="A1494" s="4" t="str">
        <f>IFERROR(__xludf.DUMMYFUNCTION("""COMPUTED_VALUE"""),"Predictors of the need for cerebrospinal fluid diversion in patients with myelomeningocele")</f>
        <v>Predictors of the need for cerebrospinal fluid diversion in patients with myelomeningocele</v>
      </c>
      <c r="B1494" s="5" t="str">
        <f>IFERROR(__xludf.DUMMYFUNCTION("LEFT(FILTER(IMPORTRANGE(""https://docs.google.com/spreadsheets/d/1BJSV3WBYJGRhQ6zExamkszQ5VutGIcaQqmbD9ZTVXMQ/edit#gid=1251630045"",""articles_with_PRISMA_reasons!K2:K2113""), $A1494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$A1494=IMPORTRANGE(""https://docs.google.com/spreadsheets/d/1BJSV3WBYJGRhQ6zExamkszQ5VutGIcaQqmbD9ZTVXMQ/edit#gid=1251630045"",""articles_with_PRISMA_reasons!B2:B2113"")))-1)"),"Phillips")</f>
        <v>Phillips</v>
      </c>
      <c r="C1494" s="6">
        <f>IFERROR(__xludf.DUMMYFUNCTION("FILTER(IMPORTRANGE(""https://docs.google.com/spreadsheets/d/1BJSV3WBYJGRhQ6zExamkszQ5VutGIcaQqmbD9ZTVXMQ/edit#gid=1251630045"",""articles_with_PRISMA_reasons!C2:C2113""), $A1494=IMPORTRANGE(""https://docs.google.com/spreadsheets/d/1BJSV3WBYJGRhQ6zExamkszQ"&amp;"5VutGIcaQqmbD9ZTVXMQ/edit#gid=1251630045"",""articles_with_PRISMA_reasons!B2:B2113""))"),2014.0)</f>
        <v>2014</v>
      </c>
      <c r="D1494" s="5" t="str">
        <f>IFERROR(__xludf.DUMMYFUNCTION("IFS(AND(
FILTER(IMPORTRANGE(""https://docs.google.com/spreadsheets/d/1BJSV3WBYJGRhQ6zExamkszQ5VutGIcaQqmbD9ZTVXMQ/edit#gid=1251630045"",""articles_with_PRISMA_reasons!Y2:Y2113""), $A1494=IMPORTRANGE(""https://docs.google.com/spreadsheets/d/1BJSV3WBYJGRhQ6"&amp;"zExamkszQ5VutGIcaQqmbD9ZTVXMQ/edit#gid=1251630045"",""articles_with_PRISMA_reasons!B2:B2113""))&gt;=2,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$A1494=IMPORTRANGE(""https://docs.google.com/spreadsheets/d/1BJSV3WBYJGRhQ6zExamkszQ5VutGIcaQqmbD9ZTVXMQ/edit#gid=1251630045"",""articles_with_PRISMA_reasons!B2:B2113""))&lt;2),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$A1494=IMPORTRANGE(""https://docs.google.com/spreadsheets/d/1BJSV3WBYJGRhQ6zExamkszQ5VutGIcaQqmbD9ZTVXMQ/edit#gid=1251630045"",""a"&amp;"rticles_with_PRISMA_reasons!B2:B2113""))&lt;2,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$A1494=IMPORTRANGE(""https://docs.google"&amp;".com/spreadsheets/d/1BJSV3WBYJGRhQ6zExamkszQ5VutGIcaQqmbD9ZTVXMQ/edit#gid=1251630045"",""articles_with_PRISMA_reasons!B2:B2113""))&gt;=2),
""Exclude""
)"),"Include")</f>
        <v>Include</v>
      </c>
      <c r="E1494" s="5" t="str">
        <f>IFERROR(__xludf.DUMMYFUNCTION("IFS(
D1494=""Exclude"",""Exclude"",
AND(
FILTER(IMPORTRANGE(""https://docs.google.com/spreadsheets/d/1qpEmbGH0JjaJbUdp21-y2cPbobDbMjr09BbtdKROZWc/edit#gid=1444865654"",""articles_with_PRISMA_reasons!W2:W2113""), $A1494=IMPORTRANGE(""https://docs.google.co"&amp;"m/spreadsheets/d/1qpEmbGH0JjaJbUdp21-y2cPbobDbMjr09BbtdKROZWc/edit#gid=1444865654"",""articles_with_PRISMA_reasons!B2:B2113""))&gt;=2,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$A1494=IMPORTRANGE(""https://docs.google.com/spreadsheets/d/1qpEmbGH0JjaJbUdp21-y2cPbobDbMjr09BbtdKROZWc/edit#gid=1444865654"",""articles_with_PRISMA_reasons!B2:B2113""))&lt;2),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$A1494=IMPORTRANGE(""https://docs.google.com/spreadsheets/d/1qpEmbGH0JjaJbUdp21-y2cPbobDbMjr09Bbtd"&amp;"KROZWc/edit#gid=1444865654"",""articles_with_PRISMA_reasons!B2:B2113""))&lt;2,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$A1494=I"&amp;"MPORTRANGE(""https://docs.google.com/spreadsheets/d/1qpEmbGH0JjaJbUdp21-y2cPbobDbMjr09BbtdKROZWc/edit#gid=1444865654"",""articles_with_PRISMA_reasons!B2:B2113""))&gt;=2),
""Exclude""
)"),"Include")</f>
        <v>Include</v>
      </c>
      <c r="F1494" s="5" t="str">
        <f>IFERROR(__xludf.DUMMYFUNCTION("IFS(
E1494=""Exclude"",""Exclude"",
AND(
COUNTIF(
IMPORTRANGE(""https://docs.google.com/spreadsheets/d/1kGrh75X1cNR1D7_FcY9zMnHP8iPO4M5RCRjy6nZY0TY/edit#gid=0"",""Table 1: Study characteristics!B4:B171""),A1494)&gt;0,
COUNTIF(Studies!$A$2:$A$85,FILTER(IMPORT"&amp;"RANGE(""https://docs.google.com/spreadsheets/d/1kGrh75X1cNR1D7_FcY9zMnHP8iPO4M5RCRjy6nZY0TY/edit#gid=0"",""Table 1: Study characteristics!A4:A171""), $A1494=IMPORTRANGE(""https://docs.google.com/spreadsheets/d/1kGrh75X1cNR1D7_FcY9zMnHP8iPO4M5RCRjy6nZY0TY/"&amp;"edit#gid=0"",""Table 1: Study characteristics!B4:B171"")))&gt;0
),
""Include""
)"),"Include")</f>
        <v>Include</v>
      </c>
      <c r="G1494" s="5" t="str">
        <f>IFERROR(__xludf.DUMMYFUNCTION("IFS(
D1494=""Exclude"",
FILTER(IMPORTRANGE(""https://docs.google.com/spreadsheets/d/1BJSV3WBYJGRhQ6zExamkszQ5VutGIcaQqmbD9ZTVXMQ/edit#gid=1251630045"",""articles_with_PRISMA_reasons!AB2:AB2113""), $A1494=IMPORTRANGE(""https://docs.google.com/spreadsheets/"&amp;"d/1BJSV3WBYJGRhQ6zExamkszQ5VutGIcaQqmbD9ZTVXMQ/edit#gid=1251630045"",""articles_with_PRISMA_reasons!B2:B2113"")),
E1494=""Exclude"",
FILTER(IMPORTRANGE(""https://docs.google.com/spreadsheets/d/1qpEmbGH0JjaJbUdp21-y2cPbobDbMjr09BbtdKROZWc/edit#gid=14448656"&amp;"54"",""articles_with_PRISMA_reasons!Z2:Z2113""), $A1494=IMPORTRANGE(""https://docs.google.com/spreadsheets/d/1qpEmbGH0JjaJbUdp21-y2cPbobDbMjr09BbtdKROZWc/edit#gid=1444865654"",""articles_with_PRISMA_reasons!B2:B2113"")),F1494
=""Include"",FILTER(IMPORTRAN"&amp;"GE(""https://docs.google.com/spreadsheets/d/1kGrh75X1cNR1D7_FcY9zMnHP8iPO4M5RCRjy6nZY0TY/edit#gid=0"",""Table 1: Study characteristics!A4:A171""), $A1494=IMPORTRANGE(""https://docs.google.com/spreadsheets/d/1kGrh75X1cNR1D7_FcY9zMnHP8iPO4M5RCRjy6nZY0TY/edi"&amp;"t#gid=0"",""Table 1: Study characteristics!B4:B171""))
)"),"ID 98")</f>
        <v>ID 98</v>
      </c>
    </row>
    <row r="1495">
      <c r="A1495" s="4" t="str">
        <f>IFERROR(__xludf.DUMMYFUNCTION("""COMPUTED_VALUE"""),"Preference-based measures of health-related quality of life in congenital mobility impairment: A systematic review of validity and responsiveness")</f>
        <v>Preference-based measures of health-related quality of life in congenital mobility impairment: A systematic review of validity and responsiveness</v>
      </c>
      <c r="B1495" s="5" t="str">
        <f>IFERROR(__xludf.DUMMYFUNCTION("LEFT(FILTER(IMPORTRANGE(""https://docs.google.com/spreadsheets/d/1BJSV3WBYJGRhQ6zExamkszQ5VutGIcaQqmbD9ZTVXMQ/edit#gid=1251630045"",""articles_with_PRISMA_reasons!K2:K2113""), $A1495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$A1495=IMPORTRANGE(""https://docs.google.com/spreadsheets/d/1BJSV3WBYJGRhQ6zExamkszQ5VutGIcaQqmbD9ZTVXMQ/edit#gid=1251630045"",""articles_with_PRISMA_reasons!B2:B2113"")))-1)"),"Bray")</f>
        <v>Bray</v>
      </c>
      <c r="C1495" s="6">
        <f>IFERROR(__xludf.DUMMYFUNCTION("FILTER(IMPORTRANGE(""https://docs.google.com/spreadsheets/d/1BJSV3WBYJGRhQ6zExamkszQ5VutGIcaQqmbD9ZTVXMQ/edit#gid=1251630045"",""articles_with_PRISMA_reasons!C2:C2113""), $A1495=IMPORTRANGE(""https://docs.google.com/spreadsheets/d/1BJSV3WBYJGRhQ6zExamkszQ"&amp;"5VutGIcaQqmbD9ZTVXMQ/edit#gid=1251630045"",""articles_with_PRISMA_reasons!B2:B2113""))"),2020.0)</f>
        <v>2020</v>
      </c>
      <c r="D1495" s="5" t="str">
        <f>IFERROR(__xludf.DUMMYFUNCTION("IFS(AND(
FILTER(IMPORTRANGE(""https://docs.google.com/spreadsheets/d/1BJSV3WBYJGRhQ6zExamkszQ5VutGIcaQqmbD9ZTVXMQ/edit#gid=1251630045"",""articles_with_PRISMA_reasons!Y2:Y2113""), $A1495=IMPORTRANGE(""https://docs.google.com/spreadsheets/d/1BJSV3WBYJGRhQ6"&amp;"zExamkszQ5VutGIcaQqmbD9ZTVXMQ/edit#gid=1251630045"",""articles_with_PRISMA_reasons!B2:B2113""))&gt;=2,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$A1495=IMPORTRANGE(""https://docs.google.com/spreadsheets/d/1BJSV3WBYJGRhQ6zExamkszQ5VutGIcaQqmbD9ZTVXMQ/edit#gid=1251630045"",""articles_with_PRISMA_reasons!B2:B2113""))&lt;2),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$A1495=IMPORTRANGE(""https://docs.google.com/spreadsheets/d/1BJSV3WBYJGRhQ6zExamkszQ5VutGIcaQqmbD9ZTVXMQ/edit#gid=1251630045"",""a"&amp;"rticles_with_PRISMA_reasons!B2:B2113""))&lt;2,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$A1495=IMPORTRANGE(""https://docs.google"&amp;".com/spreadsheets/d/1BJSV3WBYJGRhQ6zExamkszQ5VutGIcaQqmbD9ZTVXMQ/edit#gid=1251630045"",""articles_with_PRISMA_reasons!B2:B2113""))&gt;=2),
""Exclude""
)"),"Exclude")</f>
        <v>Exclude</v>
      </c>
      <c r="E1495" s="5" t="str">
        <f>IFERROR(__xludf.DUMMYFUNCTION("IFS(
D1495=""Exclude"",""Exclude"",
AND(
FILTER(IMPORTRANGE(""https://docs.google.com/spreadsheets/d/1qpEmbGH0JjaJbUdp21-y2cPbobDbMjr09BbtdKROZWc/edit#gid=1444865654"",""articles_with_PRISMA_reasons!W2:W2113""), $A1495=IMPORTRANGE(""https://docs.google.co"&amp;"m/spreadsheets/d/1qpEmbGH0JjaJbUdp21-y2cPbobDbMjr09BbtdKROZWc/edit#gid=1444865654"",""articles_with_PRISMA_reasons!B2:B2113""))&gt;=2,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$A1495=IMPORTRANGE(""https://docs.google.com/spreadsheets/d/1qpEmbGH0JjaJbUdp21-y2cPbobDbMjr09BbtdKROZWc/edit#gid=1444865654"",""articles_with_PRISMA_reasons!B2:B2113""))&lt;2),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$A1495=IMPORTRANGE(""https://docs.google.com/spreadsheets/d/1qpEmbGH0JjaJbUdp21-y2cPbobDbMjr09Bbtd"&amp;"KROZWc/edit#gid=1444865654"",""articles_with_PRISMA_reasons!B2:B2113""))&lt;2,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$A1495=I"&amp;"MPORTRANGE(""https://docs.google.com/spreadsheets/d/1qpEmbGH0JjaJbUdp21-y2cPbobDbMjr09BbtdKROZWc/edit#gid=1444865654"",""articles_with_PRISMA_reasons!B2:B2113""))&gt;=2),
""Exclude""
)"),"Exclude")</f>
        <v>Exclude</v>
      </c>
      <c r="F1495" s="5" t="str">
        <f>IFERROR(__xludf.DUMMYFUNCTION("IFS(
E1495=""Exclude"",""Exclude"",
AND(
COUNTIF(
IMPORTRANGE(""https://docs.google.com/spreadsheets/d/1kGrh75X1cNR1D7_FcY9zMnHP8iPO4M5RCRjy6nZY0TY/edit#gid=0"",""Table 1: Study characteristics!B4:B171""),A1495)&gt;0,
COUNTIF(Studies!$A$2:$A$85,FILTER(IMPORT"&amp;"RANGE(""https://docs.google.com/spreadsheets/d/1kGrh75X1cNR1D7_FcY9zMnHP8iPO4M5RCRjy6nZY0TY/edit#gid=0"",""Table 1: Study characteristics!A4:A171""), $A1495=IMPORTRANGE(""https://docs.google.com/spreadsheets/d/1kGrh75X1cNR1D7_FcY9zMnHP8iPO4M5RCRjy6nZY0TY/"&amp;"edit#gid=0"",""Table 1: Study characteristics!B4:B171"")))&gt;0
),
""Include""
)"),"Exclude")</f>
        <v>Exclude</v>
      </c>
      <c r="G1495" s="5" t="str">
        <f>IFERROR(__xludf.DUMMYFUNCTION("IFS(
D1495=""Exclude"",
FILTER(IMPORTRANGE(""https://docs.google.com/spreadsheets/d/1BJSV3WBYJGRhQ6zExamkszQ5VutGIcaQqmbD9ZTVXMQ/edit#gid=1251630045"",""articles_with_PRISMA_reasons!AB2:AB2113""), $A1495=IMPORTRANGE(""https://docs.google.com/spreadsheets/"&amp;"d/1BJSV3WBYJGRhQ6zExamkszQ5VutGIcaQqmbD9ZTVXMQ/edit#gid=1251630045"",""articles_with_PRISMA_reasons!B2:B2113"")),
E1495=""Exclude"",
FILTER(IMPORTRANGE(""https://docs.google.com/spreadsheets/d/1qpEmbGH0JjaJbUdp21-y2cPbobDbMjr09BbtdKROZWc/edit#gid=14448656"&amp;"54"",""articles_with_PRISMA_reasons!Z2:Z2113""), $A1495=IMPORTRANGE(""https://docs.google.com/spreadsheets/d/1qpEmbGH0JjaJbUdp21-y2cPbobDbMjr09BbtdKROZWc/edit#gid=1444865654"",""articles_with_PRISMA_reasons!B2:B2113"")),F1495
=""Include"",FILTER(IMPORTRAN"&amp;"GE(""https://docs.google.com/spreadsheets/d/1kGrh75X1cNR1D7_FcY9zMnHP8iPO4M5RCRjy6nZY0TY/edit#gid=0"",""Table 1: Study characteristics!A4:A171""), $A1495=IMPORTRANGE(""https://docs.google.com/spreadsheets/d/1kGrh75X1cNR1D7_FcY9zMnHP8iPO4M5RCRjy6nZY0TY/edi"&amp;"t#gid=0"",""Table 1: Study characteristics!B4:B171""))
)"),"wrong study design")</f>
        <v>wrong study design</v>
      </c>
    </row>
    <row r="1496">
      <c r="A1496" s="4" t="str">
        <f>IFERROR(__xludf.DUMMYFUNCTION("""COMPUTED_VALUE"""),"Pregnancy and delivery after myelomeningocele repair, ventriculoperitoneal shunt implantation, and augmentation cystoplasty")</f>
        <v>Pregnancy and delivery after myelomeningocele repair, ventriculoperitoneal shunt implantation, and augmentation cystoplasty</v>
      </c>
      <c r="B1496" s="5" t="str">
        <f>IFERROR(__xludf.DUMMYFUNCTION("LEFT(FILTER(IMPORTRANGE(""https://docs.google.com/spreadsheets/d/1BJSV3WBYJGRhQ6zExamkszQ5VutGIcaQqmbD9ZTVXMQ/edit#gid=1251630045"",""articles_with_PRISMA_reasons!K2:K2113""), $A1496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$A1496=IMPORTRANGE(""https://docs.google.com/spreadsheets/d/1BJSV3WBYJGRhQ6zExamkszQ5VutGIcaQqmbD9ZTVXMQ/edit#gid=1251630045"",""articles_with_PRISMA_reasons!B2:B2113"")))-1)"),"Kameda")</f>
        <v>Kameda</v>
      </c>
      <c r="C1496" s="6">
        <f>IFERROR(__xludf.DUMMYFUNCTION("FILTER(IMPORTRANGE(""https://docs.google.com/spreadsheets/d/1BJSV3WBYJGRhQ6zExamkszQ5VutGIcaQqmbD9ZTVXMQ/edit#gid=1251630045"",""articles_with_PRISMA_reasons!C2:C2113""), $A1496=IMPORTRANGE(""https://docs.google.com/spreadsheets/d/1BJSV3WBYJGRhQ6zExamkszQ"&amp;"5VutGIcaQqmbD9ZTVXMQ/edit#gid=1251630045"",""articles_with_PRISMA_reasons!B2:B2113""))"),2017.0)</f>
        <v>2017</v>
      </c>
      <c r="D1496" s="5" t="str">
        <f>IFERROR(__xludf.DUMMYFUNCTION("IFS(AND(
FILTER(IMPORTRANGE(""https://docs.google.com/spreadsheets/d/1BJSV3WBYJGRhQ6zExamkszQ5VutGIcaQqmbD9ZTVXMQ/edit#gid=1251630045"",""articles_with_PRISMA_reasons!Y2:Y2113""), $A1496=IMPORTRANGE(""https://docs.google.com/spreadsheets/d/1BJSV3WBYJGRhQ6"&amp;"zExamkszQ5VutGIcaQqmbD9ZTVXMQ/edit#gid=1251630045"",""articles_with_PRISMA_reasons!B2:B2113""))&gt;=2,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$A1496=IMPORTRANGE(""https://docs.google.com/spreadsheets/d/1BJSV3WBYJGRhQ6zExamkszQ5VutGIcaQqmbD9ZTVXMQ/edit#gid=1251630045"",""articles_with_PRISMA_reasons!B2:B2113""))&lt;2),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$A1496=IMPORTRANGE(""https://docs.google.com/spreadsheets/d/1BJSV3WBYJGRhQ6zExamkszQ5VutGIcaQqmbD9ZTVXMQ/edit#gid=1251630045"",""a"&amp;"rticles_with_PRISMA_reasons!B2:B2113""))&lt;2,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$A1496=IMPORTRANGE(""https://docs.google"&amp;".com/spreadsheets/d/1BJSV3WBYJGRhQ6zExamkszQ5VutGIcaQqmbD9ZTVXMQ/edit#gid=1251630045"",""articles_with_PRISMA_reasons!B2:B2113""))&gt;=2),
""Exclude""
)"),"Exclude")</f>
        <v>Exclude</v>
      </c>
      <c r="E1496" s="5" t="str">
        <f>IFERROR(__xludf.DUMMYFUNCTION("IFS(
D1496=""Exclude"",""Exclude"",
AND(
FILTER(IMPORTRANGE(""https://docs.google.com/spreadsheets/d/1qpEmbGH0JjaJbUdp21-y2cPbobDbMjr09BbtdKROZWc/edit#gid=1444865654"",""articles_with_PRISMA_reasons!W2:W2113""), $A1496=IMPORTRANGE(""https://docs.google.co"&amp;"m/spreadsheets/d/1qpEmbGH0JjaJbUdp21-y2cPbobDbMjr09BbtdKROZWc/edit#gid=1444865654"",""articles_with_PRISMA_reasons!B2:B2113""))&gt;=2,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$A1496=IMPORTRANGE(""https://docs.google.com/spreadsheets/d/1qpEmbGH0JjaJbUdp21-y2cPbobDbMjr09BbtdKROZWc/edit#gid=1444865654"",""articles_with_PRISMA_reasons!B2:B2113""))&lt;2),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$A1496=IMPORTRANGE(""https://docs.google.com/spreadsheets/d/1qpEmbGH0JjaJbUdp21-y2cPbobDbMjr09Bbtd"&amp;"KROZWc/edit#gid=1444865654"",""articles_with_PRISMA_reasons!B2:B2113""))&lt;2,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$A1496=I"&amp;"MPORTRANGE(""https://docs.google.com/spreadsheets/d/1qpEmbGH0JjaJbUdp21-y2cPbobDbMjr09BbtdKROZWc/edit#gid=1444865654"",""articles_with_PRISMA_reasons!B2:B2113""))&gt;=2),
""Exclude""
)"),"Exclude")</f>
        <v>Exclude</v>
      </c>
      <c r="F1496" s="5" t="str">
        <f>IFERROR(__xludf.DUMMYFUNCTION("IFS(
E1496=""Exclude"",""Exclude"",
AND(
COUNTIF(
IMPORTRANGE(""https://docs.google.com/spreadsheets/d/1kGrh75X1cNR1D7_FcY9zMnHP8iPO4M5RCRjy6nZY0TY/edit#gid=0"",""Table 1: Study characteristics!B4:B171""),A1496)&gt;0,
COUNTIF(Studies!$A$2:$A$85,FILTER(IMPORT"&amp;"RANGE(""https://docs.google.com/spreadsheets/d/1kGrh75X1cNR1D7_FcY9zMnHP8iPO4M5RCRjy6nZY0TY/edit#gid=0"",""Table 1: Study characteristics!A4:A171""), $A1496=IMPORTRANGE(""https://docs.google.com/spreadsheets/d/1kGrh75X1cNR1D7_FcY9zMnHP8iPO4M5RCRjy6nZY0TY/"&amp;"edit#gid=0"",""Table 1: Study characteristics!B4:B171"")))&gt;0
),
""Include""
)"),"Exclude")</f>
        <v>Exclude</v>
      </c>
      <c r="G1496" s="5" t="str">
        <f>IFERROR(__xludf.DUMMYFUNCTION("IFS(
D1496=""Exclude"",
FILTER(IMPORTRANGE(""https://docs.google.com/spreadsheets/d/1BJSV3WBYJGRhQ6zExamkszQ5VutGIcaQqmbD9ZTVXMQ/edit#gid=1251630045"",""articles_with_PRISMA_reasons!AB2:AB2113""), $A1496=IMPORTRANGE(""https://docs.google.com/spreadsheets/"&amp;"d/1BJSV3WBYJGRhQ6zExamkszQ5VutGIcaQqmbD9ZTVXMQ/edit#gid=1251630045"",""articles_with_PRISMA_reasons!B2:B2113"")),
E1496=""Exclude"",
FILTER(IMPORTRANGE(""https://docs.google.com/spreadsheets/d/1qpEmbGH0JjaJbUdp21-y2cPbobDbMjr09BbtdKROZWc/edit#gid=14448656"&amp;"54"",""articles_with_PRISMA_reasons!Z2:Z2113""), $A1496=IMPORTRANGE(""https://docs.google.com/spreadsheets/d/1qpEmbGH0JjaJbUdp21-y2cPbobDbMjr09BbtdKROZWc/edit#gid=1444865654"",""articles_with_PRISMA_reasons!B2:B2113"")),F1496
=""Include"",FILTER(IMPORTRAN"&amp;"GE(""https://docs.google.com/spreadsheets/d/1kGrh75X1cNR1D7_FcY9zMnHP8iPO4M5RCRjy6nZY0TY/edit#gid=0"",""Table 1: Study characteristics!A4:A171""), $A1496=IMPORTRANGE(""https://docs.google.com/spreadsheets/d/1kGrh75X1cNR1D7_FcY9zMnHP8iPO4M5RCRjy6nZY0TY/edi"&amp;"t#gid=0"",""Table 1: Study characteristics!B4:B171""))
)"),"wrong study design")</f>
        <v>wrong study design</v>
      </c>
    </row>
    <row r="1497">
      <c r="A1497" s="4" t="str">
        <f>IFERROR(__xludf.DUMMYFUNCTION("""COMPUTED_VALUE"""),"Pregnancy and multiple sclerosis")</f>
        <v>Pregnancy and multiple sclerosis</v>
      </c>
      <c r="B1497" s="5" t="str">
        <f>IFERROR(__xludf.DUMMYFUNCTION("LEFT(FILTER(IMPORTRANGE(""https://docs.google.com/spreadsheets/d/1BJSV3WBYJGRhQ6zExamkszQ5VutGIcaQqmbD9ZTVXMQ/edit#gid=1251630045"",""articles_with_PRISMA_reasons!K2:K2113""), $A1497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$A1497=IMPORTRANGE(""https://docs.google.com/spreadsheets/d/1BJSV3WBYJGRhQ6zExamkszQ5VutGIcaQqmbD9ZTVXMQ/edit#gid=1251630045"",""articles_with_PRISMA_reasons!B2:B2113"")))-1)"),"Houtchens")</f>
        <v>Houtchens</v>
      </c>
      <c r="C1497" s="6">
        <f>IFERROR(__xludf.DUMMYFUNCTION("FILTER(IMPORTRANGE(""https://docs.google.com/spreadsheets/d/1BJSV3WBYJGRhQ6zExamkszQ5VutGIcaQqmbD9ZTVXMQ/edit#gid=1251630045"",""articles_with_PRISMA_reasons!C2:C2113""), $A1497=IMPORTRANGE(""https://docs.google.com/spreadsheets/d/1BJSV3WBYJGRhQ6zExamkszQ"&amp;"5VutGIcaQqmbD9ZTVXMQ/edit#gid=1251630045"",""articles_with_PRISMA_reasons!B2:B2113""))"),2007.0)</f>
        <v>2007</v>
      </c>
      <c r="D1497" s="5" t="str">
        <f>IFERROR(__xludf.DUMMYFUNCTION("IFS(AND(
FILTER(IMPORTRANGE(""https://docs.google.com/spreadsheets/d/1BJSV3WBYJGRhQ6zExamkszQ5VutGIcaQqmbD9ZTVXMQ/edit#gid=1251630045"",""articles_with_PRISMA_reasons!Y2:Y2113""), $A1497=IMPORTRANGE(""https://docs.google.com/spreadsheets/d/1BJSV3WBYJGRhQ6"&amp;"zExamkszQ5VutGIcaQqmbD9ZTVXMQ/edit#gid=1251630045"",""articles_with_PRISMA_reasons!B2:B2113""))&gt;=2,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$A1497=IMPORTRANGE(""https://docs.google.com/spreadsheets/d/1BJSV3WBYJGRhQ6zExamkszQ5VutGIcaQqmbD9ZTVXMQ/edit#gid=1251630045"",""articles_with_PRISMA_reasons!B2:B2113""))&lt;2),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$A1497=IMPORTRANGE(""https://docs.google.com/spreadsheets/d/1BJSV3WBYJGRhQ6zExamkszQ5VutGIcaQqmbD9ZTVXMQ/edit#gid=1251630045"",""a"&amp;"rticles_with_PRISMA_reasons!B2:B2113""))&lt;2,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$A1497=IMPORTRANGE(""https://docs.google"&amp;".com/spreadsheets/d/1BJSV3WBYJGRhQ6zExamkszQ5VutGIcaQqmbD9ZTVXMQ/edit#gid=1251630045"",""articles_with_PRISMA_reasons!B2:B2113""))&gt;=2),
""Exclude""
)"),"Exclude")</f>
        <v>Exclude</v>
      </c>
      <c r="E1497" s="5" t="str">
        <f>IFERROR(__xludf.DUMMYFUNCTION("IFS(
D1497=""Exclude"",""Exclude"",
AND(
FILTER(IMPORTRANGE(""https://docs.google.com/spreadsheets/d/1qpEmbGH0JjaJbUdp21-y2cPbobDbMjr09BbtdKROZWc/edit#gid=1444865654"",""articles_with_PRISMA_reasons!W2:W2113""), $A1497=IMPORTRANGE(""https://docs.google.co"&amp;"m/spreadsheets/d/1qpEmbGH0JjaJbUdp21-y2cPbobDbMjr09BbtdKROZWc/edit#gid=1444865654"",""articles_with_PRISMA_reasons!B2:B2113""))&gt;=2,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$A1497=IMPORTRANGE(""https://docs.google.com/spreadsheets/d/1qpEmbGH0JjaJbUdp21-y2cPbobDbMjr09BbtdKROZWc/edit#gid=1444865654"",""articles_with_PRISMA_reasons!B2:B2113""))&lt;2),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$A1497=IMPORTRANGE(""https://docs.google.com/spreadsheets/d/1qpEmbGH0JjaJbUdp21-y2cPbobDbMjr09Bbtd"&amp;"KROZWc/edit#gid=1444865654"",""articles_with_PRISMA_reasons!B2:B2113""))&lt;2,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$A1497=I"&amp;"MPORTRANGE(""https://docs.google.com/spreadsheets/d/1qpEmbGH0JjaJbUdp21-y2cPbobDbMjr09BbtdKROZWc/edit#gid=1444865654"",""articles_with_PRISMA_reasons!B2:B2113""))&gt;=2),
""Exclude""
)"),"Exclude")</f>
        <v>Exclude</v>
      </c>
      <c r="F1497" s="5" t="str">
        <f>IFERROR(__xludf.DUMMYFUNCTION("IFS(
E1497=""Exclude"",""Exclude"",
AND(
COUNTIF(
IMPORTRANGE(""https://docs.google.com/spreadsheets/d/1kGrh75X1cNR1D7_FcY9zMnHP8iPO4M5RCRjy6nZY0TY/edit#gid=0"",""Table 1: Study characteristics!B4:B171""),A1497)&gt;0,
COUNTIF(Studies!$A$2:$A$85,FILTER(IMPORT"&amp;"RANGE(""https://docs.google.com/spreadsheets/d/1kGrh75X1cNR1D7_FcY9zMnHP8iPO4M5RCRjy6nZY0TY/edit#gid=0"",""Table 1: Study characteristics!A4:A171""), $A1497=IMPORTRANGE(""https://docs.google.com/spreadsheets/d/1kGrh75X1cNR1D7_FcY9zMnHP8iPO4M5RCRjy6nZY0TY/"&amp;"edit#gid=0"",""Table 1: Study characteristics!B4:B171"")))&gt;0
),
""Include""
)"),"Exclude")</f>
        <v>Exclude</v>
      </c>
      <c r="G1497" s="5" t="str">
        <f>IFERROR(__xludf.DUMMYFUNCTION("IFS(
D1497=""Exclude"",
FILTER(IMPORTRANGE(""https://docs.google.com/spreadsheets/d/1BJSV3WBYJGRhQ6zExamkszQ5VutGIcaQqmbD9ZTVXMQ/edit#gid=1251630045"",""articles_with_PRISMA_reasons!AB2:AB2113""), $A1497=IMPORTRANGE(""https://docs.google.com/spreadsheets/"&amp;"d/1BJSV3WBYJGRhQ6zExamkszQ5VutGIcaQqmbD9ZTVXMQ/edit#gid=1251630045"",""articles_with_PRISMA_reasons!B2:B2113"")),
E1497=""Exclude"",
FILTER(IMPORTRANGE(""https://docs.google.com/spreadsheets/d/1qpEmbGH0JjaJbUdp21-y2cPbobDbMjr09BbtdKROZWc/edit#gid=14448656"&amp;"54"",""articles_with_PRISMA_reasons!Z2:Z2113""), $A1497=IMPORTRANGE(""https://docs.google.com/spreadsheets/d/1qpEmbGH0JjaJbUdp21-y2cPbobDbMjr09BbtdKROZWc/edit#gid=1444865654"",""articles_with_PRISMA_reasons!B2:B2113"")),F1497
=""Include"",FILTER(IMPORTRAN"&amp;"GE(""https://docs.google.com/spreadsheets/d/1kGrh75X1cNR1D7_FcY9zMnHP8iPO4M5RCRjy6nZY0TY/edit#gid=0"",""Table 1: Study characteristics!A4:A171""), $A1497=IMPORTRANGE(""https://docs.google.com/spreadsheets/d/1kGrh75X1cNR1D7_FcY9zMnHP8iPO4M5RCRjy6nZY0TY/edi"&amp;"t#gid=0"",""Table 1: Study characteristics!B4:B171""))
)"),"wrong study design")</f>
        <v>wrong study design</v>
      </c>
    </row>
    <row r="1498">
      <c r="A1498" s="4" t="str">
        <f>IFERROR(__xludf.DUMMYFUNCTION("""COMPUTED_VALUE"""),"Pregnancy and pre-existing diabetes: Key concerns")</f>
        <v>Pregnancy and pre-existing diabetes: Key concerns</v>
      </c>
      <c r="B1498" s="5" t="str">
        <f>IFERROR(__xludf.DUMMYFUNCTION("LEFT(FILTER(IMPORTRANGE(""https://docs.google.com/spreadsheets/d/1BJSV3WBYJGRhQ6zExamkszQ5VutGIcaQqmbD9ZTVXMQ/edit#gid=1251630045"",""articles_with_PRISMA_reasons!K2:K2113""), $A1498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$A1498=IMPORTRANGE(""https://docs.google.com/spreadsheets/d/1BJSV3WBYJGRhQ6zExamkszQ5VutGIcaQqmbD9ZTVXMQ/edit#gid=1251630045"",""articles_with_PRISMA_reasons!B2:B2113"")))-1)"),"Crocker")</f>
        <v>Crocker</v>
      </c>
      <c r="C1498" s="6">
        <f>IFERROR(__xludf.DUMMYFUNCTION("FILTER(IMPORTRANGE(""https://docs.google.com/spreadsheets/d/1BJSV3WBYJGRhQ6zExamkszQ5VutGIcaQqmbD9ZTVXMQ/edit#gid=1251630045"",""articles_with_PRISMA_reasons!C2:C2113""), $A1498=IMPORTRANGE(""https://docs.google.com/spreadsheets/d/1BJSV3WBYJGRhQ6zExamkszQ"&amp;"5VutGIcaQqmbD9ZTVXMQ/edit#gid=1251630045"",""articles_with_PRISMA_reasons!B2:B2113""))"),2004.0)</f>
        <v>2004</v>
      </c>
      <c r="D1498" s="5" t="str">
        <f>IFERROR(__xludf.DUMMYFUNCTION("IFS(AND(
FILTER(IMPORTRANGE(""https://docs.google.com/spreadsheets/d/1BJSV3WBYJGRhQ6zExamkszQ5VutGIcaQqmbD9ZTVXMQ/edit#gid=1251630045"",""articles_with_PRISMA_reasons!Y2:Y2113""), $A1498=IMPORTRANGE(""https://docs.google.com/spreadsheets/d/1BJSV3WBYJGRhQ6"&amp;"zExamkszQ5VutGIcaQqmbD9ZTVXMQ/edit#gid=1251630045"",""articles_with_PRISMA_reasons!B2:B2113""))&gt;=2,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$A1498=IMPORTRANGE(""https://docs.google.com/spreadsheets/d/1BJSV3WBYJGRhQ6zExamkszQ5VutGIcaQqmbD9ZTVXMQ/edit#gid=1251630045"",""articles_with_PRISMA_reasons!B2:B2113""))&lt;2),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$A1498=IMPORTRANGE(""https://docs.google.com/spreadsheets/d/1BJSV3WBYJGRhQ6zExamkszQ5VutGIcaQqmbD9ZTVXMQ/edit#gid=1251630045"",""a"&amp;"rticles_with_PRISMA_reasons!B2:B2113""))&lt;2,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$A1498=IMPORTRANGE(""https://docs.google"&amp;".com/spreadsheets/d/1BJSV3WBYJGRhQ6zExamkszQ5VutGIcaQqmbD9ZTVXMQ/edit#gid=1251630045"",""articles_with_PRISMA_reasons!B2:B2113""))&gt;=2),
""Exclude""
)"),"Exclude")</f>
        <v>Exclude</v>
      </c>
      <c r="E1498" s="5" t="str">
        <f>IFERROR(__xludf.DUMMYFUNCTION("IFS(
D1498=""Exclude"",""Exclude"",
AND(
FILTER(IMPORTRANGE(""https://docs.google.com/spreadsheets/d/1qpEmbGH0JjaJbUdp21-y2cPbobDbMjr09BbtdKROZWc/edit#gid=1444865654"",""articles_with_PRISMA_reasons!W2:W2113""), $A1498=IMPORTRANGE(""https://docs.google.co"&amp;"m/spreadsheets/d/1qpEmbGH0JjaJbUdp21-y2cPbobDbMjr09BbtdKROZWc/edit#gid=1444865654"",""articles_with_PRISMA_reasons!B2:B2113""))&gt;=2,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$A1498=IMPORTRANGE(""https://docs.google.com/spreadsheets/d/1qpEmbGH0JjaJbUdp21-y2cPbobDbMjr09BbtdKROZWc/edit#gid=1444865654"",""articles_with_PRISMA_reasons!B2:B2113""))&lt;2),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$A1498=IMPORTRANGE(""https://docs.google.com/spreadsheets/d/1qpEmbGH0JjaJbUdp21-y2cPbobDbMjr09Bbtd"&amp;"KROZWc/edit#gid=1444865654"",""articles_with_PRISMA_reasons!B2:B2113""))&lt;2,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$A1498=I"&amp;"MPORTRANGE(""https://docs.google.com/spreadsheets/d/1qpEmbGH0JjaJbUdp21-y2cPbobDbMjr09BbtdKROZWc/edit#gid=1444865654"",""articles_with_PRISMA_reasons!B2:B2113""))&gt;=2),
""Exclude""
)"),"Exclude")</f>
        <v>Exclude</v>
      </c>
      <c r="F1498" s="5" t="str">
        <f>IFERROR(__xludf.DUMMYFUNCTION("IFS(
E1498=""Exclude"",""Exclude"",
AND(
COUNTIF(
IMPORTRANGE(""https://docs.google.com/spreadsheets/d/1kGrh75X1cNR1D7_FcY9zMnHP8iPO4M5RCRjy6nZY0TY/edit#gid=0"",""Table 1: Study characteristics!B4:B171""),A1498)&gt;0,
COUNTIF(Studies!$A$2:$A$85,FILTER(IMPORT"&amp;"RANGE(""https://docs.google.com/spreadsheets/d/1kGrh75X1cNR1D7_FcY9zMnHP8iPO4M5RCRjy6nZY0TY/edit#gid=0"",""Table 1: Study characteristics!A4:A171""), $A1498=IMPORTRANGE(""https://docs.google.com/spreadsheets/d/1kGrh75X1cNR1D7_FcY9zMnHP8iPO4M5RCRjy6nZY0TY/"&amp;"edit#gid=0"",""Table 1: Study characteristics!B4:B171"")))&gt;0
),
""Include""
)"),"Exclude")</f>
        <v>Exclude</v>
      </c>
      <c r="G1498" s="5" t="str">
        <f>IFERROR(__xludf.DUMMYFUNCTION("IFS(
D1498=""Exclude"",
FILTER(IMPORTRANGE(""https://docs.google.com/spreadsheets/d/1BJSV3WBYJGRhQ6zExamkszQ5VutGIcaQqmbD9ZTVXMQ/edit#gid=1251630045"",""articles_with_PRISMA_reasons!AB2:AB2113""), $A1498=IMPORTRANGE(""https://docs.google.com/spreadsheets/"&amp;"d/1BJSV3WBYJGRhQ6zExamkszQ5VutGIcaQqmbD9ZTVXMQ/edit#gid=1251630045"",""articles_with_PRISMA_reasons!B2:B2113"")),
E1498=""Exclude"",
FILTER(IMPORTRANGE(""https://docs.google.com/spreadsheets/d/1qpEmbGH0JjaJbUdp21-y2cPbobDbMjr09BbtdKROZWc/edit#gid=14448656"&amp;"54"",""articles_with_PRISMA_reasons!Z2:Z2113""), $A1498=IMPORTRANGE(""https://docs.google.com/spreadsheets/d/1qpEmbGH0JjaJbUdp21-y2cPbobDbMjr09BbtdKROZWc/edit#gid=1444865654"",""articles_with_PRISMA_reasons!B2:B2113"")),F1498
=""Include"",FILTER(IMPORTRAN"&amp;"GE(""https://docs.google.com/spreadsheets/d/1kGrh75X1cNR1D7_FcY9zMnHP8iPO4M5RCRjy6nZY0TY/edit#gid=0"",""Table 1: Study characteristics!A4:A171""), $A1498=IMPORTRANGE(""https://docs.google.com/spreadsheets/d/1kGrh75X1cNR1D7_FcY9zMnHP8iPO4M5RCRjy6nZY0TY/edi"&amp;"t#gid=0"",""Table 1: Study characteristics!B4:B171""))
)"),"wrong study design")</f>
        <v>wrong study design</v>
      </c>
    </row>
    <row r="1499">
      <c r="A1499" s="4" t="str">
        <f>IFERROR(__xludf.DUMMYFUNCTION("""COMPUTED_VALUE"""),"Pregnancy category change for efavirenz")</f>
        <v>Pregnancy category change for efavirenz</v>
      </c>
      <c r="B1499" s="5"/>
      <c r="C1499" s="6" t="str">
        <f>IFERROR(__xludf.DUMMYFUNCTION("FILTER(IMPORTRANGE(""https://docs.google.com/spreadsheets/d/1BJSV3WBYJGRhQ6zExamkszQ5VutGIcaQqmbD9ZTVXMQ/edit#gid=1251630045"",""articles_with_PRISMA_reasons!C2:C2113""), $A1499=IMPORTRANGE(""https://docs.google.com/spreadsheets/d/1BJSV3WBYJGRhQ6zExamkszQ"&amp;"5VutGIcaQqmbD9ZTVXMQ/edit#gid=1251630045"",""articles_with_PRISMA_reasons!B2:B2113""))"),"Jun")</f>
        <v>Jun</v>
      </c>
      <c r="D1499" s="5" t="str">
        <f>IFERROR(__xludf.DUMMYFUNCTION("IFS(AND(
FILTER(IMPORTRANGE(""https://docs.google.com/spreadsheets/d/1BJSV3WBYJGRhQ6zExamkszQ5VutGIcaQqmbD9ZTVXMQ/edit#gid=1251630045"",""articles_with_PRISMA_reasons!Y2:Y2113""), $A1499=IMPORTRANGE(""https://docs.google.com/spreadsheets/d/1BJSV3WBYJGRhQ6"&amp;"zExamkszQ5VutGIcaQqmbD9ZTVXMQ/edit#gid=1251630045"",""articles_with_PRISMA_reasons!B2:B2113""))&gt;=2,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$A1499=IMPORTRANGE(""https://docs.google.com/spreadsheets/d/1BJSV3WBYJGRhQ6zExamkszQ5VutGIcaQqmbD9ZTVXMQ/edit#gid=1251630045"",""articles_with_PRISMA_reasons!B2:B2113""))&lt;2),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$A1499=IMPORTRANGE(""https://docs.google.com/spreadsheets/d/1BJSV3WBYJGRhQ6zExamkszQ5VutGIcaQqmbD9ZTVXMQ/edit#gid=1251630045"",""a"&amp;"rticles_with_PRISMA_reasons!B2:B2113""))&lt;2,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$A1499=IMPORTRANGE(""https://docs.google"&amp;".com/spreadsheets/d/1BJSV3WBYJGRhQ6zExamkszQ5VutGIcaQqmbD9ZTVXMQ/edit#gid=1251630045"",""articles_with_PRISMA_reasons!B2:B2113""))&gt;=2),
""Exclude""
)"),"Exclude")</f>
        <v>Exclude</v>
      </c>
      <c r="E1499" s="5" t="str">
        <f>IFERROR(__xludf.DUMMYFUNCTION("IFS(
D1499=""Exclude"",""Exclude"",
AND(
FILTER(IMPORTRANGE(""https://docs.google.com/spreadsheets/d/1qpEmbGH0JjaJbUdp21-y2cPbobDbMjr09BbtdKROZWc/edit#gid=1444865654"",""articles_with_PRISMA_reasons!W2:W2113""), $A1499=IMPORTRANGE(""https://docs.google.co"&amp;"m/spreadsheets/d/1qpEmbGH0JjaJbUdp21-y2cPbobDbMjr09BbtdKROZWc/edit#gid=1444865654"",""articles_with_PRISMA_reasons!B2:B2113""))&gt;=2,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$A1499=IMPORTRANGE(""https://docs.google.com/spreadsheets/d/1qpEmbGH0JjaJbUdp21-y2cPbobDbMjr09BbtdKROZWc/edit#gid=1444865654"",""articles_with_PRISMA_reasons!B2:B2113""))&lt;2),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$A1499=IMPORTRANGE(""https://docs.google.com/spreadsheets/d/1qpEmbGH0JjaJbUdp21-y2cPbobDbMjr09Bbtd"&amp;"KROZWc/edit#gid=1444865654"",""articles_with_PRISMA_reasons!B2:B2113""))&lt;2,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$A1499=I"&amp;"MPORTRANGE(""https://docs.google.com/spreadsheets/d/1qpEmbGH0JjaJbUdp21-y2cPbobDbMjr09BbtdKROZWc/edit#gid=1444865654"",""articles_with_PRISMA_reasons!B2:B2113""))&gt;=2),
""Exclude""
)"),"Exclude")</f>
        <v>Exclude</v>
      </c>
      <c r="F1499" s="5" t="str">
        <f>IFERROR(__xludf.DUMMYFUNCTION("IFS(
E1499=""Exclude"",""Exclude"",
AND(
COUNTIF(
IMPORTRANGE(""https://docs.google.com/spreadsheets/d/1kGrh75X1cNR1D7_FcY9zMnHP8iPO4M5RCRjy6nZY0TY/edit#gid=0"",""Table 1: Study characteristics!B4:B171""),A1499)&gt;0,
COUNTIF(Studies!$A$2:$A$85,FILTER(IMPORT"&amp;"RANGE(""https://docs.google.com/spreadsheets/d/1kGrh75X1cNR1D7_FcY9zMnHP8iPO4M5RCRjy6nZY0TY/edit#gid=0"",""Table 1: Study characteristics!A4:A171""), $A1499=IMPORTRANGE(""https://docs.google.com/spreadsheets/d/1kGrh75X1cNR1D7_FcY9zMnHP8iPO4M5RCRjy6nZY0TY/"&amp;"edit#gid=0"",""Table 1: Study characteristics!B4:B171"")))&gt;0
),
""Include""
)"),"Exclude")</f>
        <v>Exclude</v>
      </c>
      <c r="G1499" s="5" t="str">
        <f>IFERROR(__xludf.DUMMYFUNCTION("IFS(
D1499=""Exclude"",
FILTER(IMPORTRANGE(""https://docs.google.com/spreadsheets/d/1BJSV3WBYJGRhQ6zExamkszQ5VutGIcaQqmbD9ZTVXMQ/edit#gid=1251630045"",""articles_with_PRISMA_reasons!AB2:AB2113""), $A1499=IMPORTRANGE(""https://docs.google.com/spreadsheets/"&amp;"d/1BJSV3WBYJGRhQ6zExamkszQ5VutGIcaQqmbD9ZTVXMQ/edit#gid=1251630045"",""articles_with_PRISMA_reasons!B2:B2113"")),
E1499=""Exclude"",
FILTER(IMPORTRANGE(""https://docs.google.com/spreadsheets/d/1qpEmbGH0JjaJbUdp21-y2cPbobDbMjr09BbtdKROZWc/edit#gid=14448656"&amp;"54"",""articles_with_PRISMA_reasons!Z2:Z2113""), $A1499=IMPORTRANGE(""https://docs.google.com/spreadsheets/d/1qpEmbGH0JjaJbUdp21-y2cPbobDbMjr09BbtdKROZWc/edit#gid=1444865654"",""articles_with_PRISMA_reasons!B2:B2113"")),F1499
=""Include"",FILTER(IMPORTRAN"&amp;"GE(""https://docs.google.com/spreadsheets/d/1kGrh75X1cNR1D7_FcY9zMnHP8iPO4M5RCRjy6nZY0TY/edit#gid=0"",""Table 1: Study characteristics!A4:A171""), $A1499=IMPORTRANGE(""https://docs.google.com/spreadsheets/d/1kGrh75X1cNR1D7_FcY9zMnHP8iPO4M5RCRjy6nZY0TY/edi"&amp;"t#gid=0"",""Table 1: Study characteristics!B4:B171""))
)"),"wrong study design")</f>
        <v>wrong study design</v>
      </c>
    </row>
    <row r="1500">
      <c r="A1500" s="4" t="str">
        <f>IFERROR(__xludf.DUMMYFUNCTION("""COMPUTED_VALUE"""),"Pregnancy in women who have epilepsy")</f>
        <v>Pregnancy in women who have epilepsy</v>
      </c>
      <c r="B1500" s="5" t="str">
        <f>IFERROR(__xludf.DUMMYFUNCTION("LEFT(FILTER(IMPORTRANGE(""https://docs.google.com/spreadsheets/d/1BJSV3WBYJGRhQ6zExamkszQ5VutGIcaQqmbD9ZTVXMQ/edit#gid=1251630045"",""articles_with_PRISMA_reasons!K2:K2113""), $A1500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$A1500=IMPORTRANGE(""https://docs.google.com/spreadsheets/d/1BJSV3WBYJGRhQ6zExamkszQ5VutGIcaQqmbD9ZTVXMQ/edit#gid=1251630045"",""articles_with_PRISMA_reasons!B2:B2113"")))-1)"),"Pennell")</f>
        <v>Pennell</v>
      </c>
      <c r="C1500" s="6">
        <f>IFERROR(__xludf.DUMMYFUNCTION("FILTER(IMPORTRANGE(""https://docs.google.com/spreadsheets/d/1BJSV3WBYJGRhQ6zExamkszQ5VutGIcaQqmbD9ZTVXMQ/edit#gid=1251630045"",""articles_with_PRISMA_reasons!C2:C2113""), $A1500=IMPORTRANGE(""https://docs.google.com/spreadsheets/d/1BJSV3WBYJGRhQ6zExamkszQ"&amp;"5VutGIcaQqmbD9ZTVXMQ/edit#gid=1251630045"",""articles_with_PRISMA_reasons!B2:B2113""))"),2004.0)</f>
        <v>2004</v>
      </c>
      <c r="D1500" s="5" t="str">
        <f>IFERROR(__xludf.DUMMYFUNCTION("IFS(AND(
FILTER(IMPORTRANGE(""https://docs.google.com/spreadsheets/d/1BJSV3WBYJGRhQ6zExamkszQ5VutGIcaQqmbD9ZTVXMQ/edit#gid=1251630045"",""articles_with_PRISMA_reasons!Y2:Y2113""), $A1500=IMPORTRANGE(""https://docs.google.com/spreadsheets/d/1BJSV3WBYJGRhQ6"&amp;"zExamkszQ5VutGIcaQqmbD9ZTVXMQ/edit#gid=1251630045"",""articles_with_PRISMA_reasons!B2:B2113""))&gt;=2,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$A1500=IMPORTRANGE(""https://docs.google"&amp;".com/spreadsheets/d/1BJSV3WBYJGRhQ6zExamkszQ5VutGIcaQqmbD9ZTVXMQ/edit#gid=1251630045"",""articles_with_PRISMA_reasons!B2:B2113""))&gt;=2),
""Exclude""
)"),"Exclude")</f>
        <v>Exclude</v>
      </c>
      <c r="E1500" s="5" t="str">
        <f>IFERROR(__xludf.DUMMYFUNCTION("IFS(
D1500=""Exclude"",""Exclude"",
AND(
FILTER(IMPORTRANGE(""https://docs.google.com/spreadsheets/d/1qpEmbGH0JjaJbUdp21-y2cPbobDbMjr09BbtdKROZWc/edit#gid=1444865654"",""articles_with_PRISMA_reasons!W2:W2113""), $A1500=IMPORTRANGE(""https://docs.google.co"&amp;"m/spreadsheets/d/1qpEmbGH0JjaJbUdp21-y2cPbobDbMjr09BbtdKROZWc/edit#gid=1444865654"",""articles_with_PRISMA_reasons!B2:B2113""))&gt;=2,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$A1500=IMPORTRANGE(""https://docs.google.com/spreadsheets/d/1qpEmbGH0JjaJbUdp21-y2cPbobDbMjr09BbtdKROZWc/edit#gid=1444865654"",""articles_with_PRISMA_reasons!B2:B2113""))&lt;2),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$A1500=IMPORTRANGE(""https://docs.google.com/spreadsheets/d/1qpEmbGH0JjaJbUdp21-y2cPbobDbMjr09Bbtd"&amp;"KROZWc/edit#gid=1444865654"",""articles_with_PRISMA_reasons!B2:B2113""))&lt;2,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$A1500=I"&amp;"MPORTRANGE(""https://docs.google.com/spreadsheets/d/1qpEmbGH0JjaJbUdp21-y2cPbobDbMjr09BbtdKROZWc/edit#gid=1444865654"",""articles_with_PRISMA_reasons!B2:B2113""))&gt;=2),
""Exclude""
)"),"Exclude")</f>
        <v>Exclude</v>
      </c>
      <c r="F1500" s="5" t="str">
        <f>IFERROR(__xludf.DUMMYFUNCTION("IFS(
E1500=""Exclude"",""Exclude"",
AND(
COUNTIF(
IMPORTRANGE(""https://docs.google.com/spreadsheets/d/1kGrh75X1cNR1D7_FcY9zMnHP8iPO4M5RCRjy6nZY0TY/edit#gid=0"",""Table 1: Study characteristics!B4:B171""),A1500)&gt;0,
COUNTIF(Studies!$A$2:$A$85,FILTER(IMPORT"&amp;"RANGE(""https://docs.google.com/spreadsheets/d/1kGrh75X1cNR1D7_FcY9zMnHP8iPO4M5RCRjy6nZY0TY/edit#gid=0"",""Table 1: Study characteristics!A4:A171""), $A1500=IMPORTRANGE(""https://docs.google.com/spreadsheets/d/1kGrh75X1cNR1D7_FcY9zMnHP8iPO4M5RCRjy6nZY0TY/"&amp;"edit#gid=0"",""Table 1: Study characteristics!B4:B171"")))&gt;0
),
""Include""
)"),"Exclude")</f>
        <v>Exclude</v>
      </c>
      <c r="G1500" s="5" t="str">
        <f>IFERROR(__xludf.DUMMYFUNCTION("IFS(
D1500=""Exclude"",
FILTER(IMPORTRANGE(""https://docs.google.com/spreadsheets/d/1BJSV3WBYJGRhQ6zExamkszQ5VutGIcaQqmbD9ZTVXMQ/edit#gid=1251630045"",""articles_with_PRISMA_reasons!AB2:AB2113""), $A1500=IMPORTRANGE(""https://docs.google.com/spreadsheets/"&amp;"d/1BJSV3WBYJGRhQ6zExamkszQ5VutGIcaQqmbD9ZTVXMQ/edit#gid=1251630045"",""articles_with_PRISMA_reasons!B2:B2113"")),
E1500=""Exclude"",
FILTER(IMPORTRANGE(""https://docs.google.com/spreadsheets/d/1qpEmbGH0JjaJbUdp21-y2cPbobDbMjr09BbtdKROZWc/edit#gid=14448656"&amp;"54"",""articles_with_PRISMA_reasons!Z2:Z2113""), $A1500=IMPORTRANGE(""https://docs.google.com/spreadsheets/d/1qpEmbGH0JjaJbUdp21-y2cPbobDbMjr09BbtdKROZWc/edit#gid=1444865654"",""articles_with_PRISMA_reasons!B2:B2113"")),F1500
=""Include"",FILTER(IMPORTRAN"&amp;"GE(""https://docs.google.com/spreadsheets/d/1kGrh75X1cNR1D7_FcY9zMnHP8iPO4M5RCRjy6nZY0TY/edit#gid=0"",""Table 1: Study characteristics!A4:A171""), $A1500=IMPORTRANGE(""https://docs.google.com/spreadsheets/d/1kGrh75X1cNR1D7_FcY9zMnHP8iPO4M5RCRjy6nZY0TY/edi"&amp;"t#gid=0"",""Table 1: Study characteristics!B4:B171""))
)"),"wrong study design")</f>
        <v>wrong study design</v>
      </c>
    </row>
    <row r="1501">
      <c r="A1501" s="4" t="str">
        <f>IFERROR(__xludf.DUMMYFUNCTION("""COMPUTED_VALUE"""),"Pregnancy outcomes in multiple sclerosis following subcutaneous interferon beta-1a therapy")</f>
        <v>Pregnancy outcomes in multiple sclerosis following subcutaneous interferon beta-1a therapy</v>
      </c>
      <c r="B1501" s="5" t="str">
        <f>IFERROR(__xludf.DUMMYFUNCTION("LEFT(FILTER(IMPORTRANGE(""https://docs.google.com/spreadsheets/d/1BJSV3WBYJGRhQ6zExamkszQ5VutGIcaQqmbD9ZTVXMQ/edit#gid=1251630045"",""articles_with_PRISMA_reasons!K2:K2113""), $A1501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$A1501=IMPORTRANGE(""https://docs.google.com/spreadsheets/d/1BJSV3WBYJGRhQ6zExamkszQ5VutGIcaQqmbD9ZTVXMQ/edit#gid=1251630045"",""articles_with_PRISMA_reasons!B2:B2113"")))-1)"),"S and berg-Wollheim")</f>
        <v>S and berg-Wollheim</v>
      </c>
      <c r="C1501" s="6">
        <f>IFERROR(__xludf.DUMMYFUNCTION("FILTER(IMPORTRANGE(""https://docs.google.com/spreadsheets/d/1BJSV3WBYJGRhQ6zExamkszQ5VutGIcaQqmbD9ZTVXMQ/edit#gid=1251630045"",""articles_with_PRISMA_reasons!C2:C2113""), $A1501=IMPORTRANGE(""https://docs.google.com/spreadsheets/d/1BJSV3WBYJGRhQ6zExamkszQ"&amp;"5VutGIcaQqmbD9ZTVXMQ/edit#gid=1251630045"",""articles_with_PRISMA_reasons!B2:B2113""))"),2011.0)</f>
        <v>2011</v>
      </c>
      <c r="D1501" s="5" t="str">
        <f>IFERROR(__xludf.DUMMYFUNCTION("IFS(AND(
FILTER(IMPORTRANGE(""https://docs.google.com/spreadsheets/d/1BJSV3WBYJGRhQ6zExamkszQ5VutGIcaQqmbD9ZTVXMQ/edit#gid=1251630045"",""articles_with_PRISMA_reasons!Y2:Y2113""), $A1501=IMPORTRANGE(""https://docs.google.com/spreadsheets/d/1BJSV3WBYJGRhQ6"&amp;"zExamkszQ5VutGIcaQqmbD9ZTVXMQ/edit#gid=1251630045"",""articles_with_PRISMA_reasons!B2:B2113""))&gt;=2,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$A1501=IMPORTRANGE(""https://docs.google"&amp;".com/spreadsheets/d/1BJSV3WBYJGRhQ6zExamkszQ5VutGIcaQqmbD9ZTVXMQ/edit#gid=1251630045"",""articles_with_PRISMA_reasons!B2:B2113""))&gt;=2),
""Exclude""
)"),"Exclude")</f>
        <v>Exclude</v>
      </c>
      <c r="E1501" s="5" t="str">
        <f>IFERROR(__xludf.DUMMYFUNCTION("IFS(
D1501=""Exclude"",""Exclude"",
AND(
FILTER(IMPORTRANGE(""https://docs.google.com/spreadsheets/d/1qpEmbGH0JjaJbUdp21-y2cPbobDbMjr09BbtdKROZWc/edit#gid=1444865654"",""articles_with_PRISMA_reasons!W2:W2113""), $A1501=IMPORTRANGE(""https://docs.google.co"&amp;"m/spreadsheets/d/1qpEmbGH0JjaJbUdp21-y2cPbobDbMjr09BbtdKROZWc/edit#gid=1444865654"",""articles_with_PRISMA_reasons!B2:B2113""))&gt;=2,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$A1501=IMPORTRANGE(""https://docs.google.com/spreadsheets/d/1qpEmbGH0JjaJbUdp21-y2cPbobDbMjr09BbtdKROZWc/edit#gid=1444865654"",""articles_with_PRISMA_reasons!B2:B2113""))&lt;2),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$A1501=IMPORTRANGE(""https://docs.google.com/spreadsheets/d/1qpEmbGH0JjaJbUdp21-y2cPbobDbMjr09Bbtd"&amp;"KROZWc/edit#gid=1444865654"",""articles_with_PRISMA_reasons!B2:B2113""))&lt;2,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$A1501=I"&amp;"MPORTRANGE(""https://docs.google.com/spreadsheets/d/1qpEmbGH0JjaJbUdp21-y2cPbobDbMjr09BbtdKROZWc/edit#gid=1444865654"",""articles_with_PRISMA_reasons!B2:B2113""))&gt;=2),
""Exclude""
)"),"Exclude")</f>
        <v>Exclude</v>
      </c>
      <c r="F1501" s="5" t="str">
        <f>IFERROR(__xludf.DUMMYFUNCTION("IFS(
E1501=""Exclude"",""Exclude"",
AND(
COUNTIF(
IMPORTRANGE(""https://docs.google.com/spreadsheets/d/1kGrh75X1cNR1D7_FcY9zMnHP8iPO4M5RCRjy6nZY0TY/edit#gid=0"",""Table 1: Study characteristics!B4:B171""),A1501)&gt;0,
COUNTIF(Studies!$A$2:$A$85,FILTER(IMPORT"&amp;"RANGE(""https://docs.google.com/spreadsheets/d/1kGrh75X1cNR1D7_FcY9zMnHP8iPO4M5RCRjy6nZY0TY/edit#gid=0"",""Table 1: Study characteristics!A4:A171""), $A1501=IMPORTRANGE(""https://docs.google.com/spreadsheets/d/1kGrh75X1cNR1D7_FcY9zMnHP8iPO4M5RCRjy6nZY0TY/"&amp;"edit#gid=0"",""Table 1: Study characteristics!B4:B171"")))&gt;0
),
""Include""
)"),"Exclude")</f>
        <v>Exclude</v>
      </c>
      <c r="G1501" s="5" t="str">
        <f>IFERROR(__xludf.DUMMYFUNCTION("IFS(
D1501=""Exclude"",
FILTER(IMPORTRANGE(""https://docs.google.com/spreadsheets/d/1BJSV3WBYJGRhQ6zExamkszQ5VutGIcaQqmbD9ZTVXMQ/edit#gid=1251630045"",""articles_with_PRISMA_reasons!AB2:AB2113""), $A1501=IMPORTRANGE(""https://docs.google.com/spreadsheets/"&amp;"d/1BJSV3WBYJGRhQ6zExamkszQ5VutGIcaQqmbD9ZTVXMQ/edit#gid=1251630045"",""articles_with_PRISMA_reasons!B2:B2113"")),
E1501=""Exclude"",
FILTER(IMPORTRANGE(""https://docs.google.com/spreadsheets/d/1qpEmbGH0JjaJbUdp21-y2cPbobDbMjr09BbtdKROZWc/edit#gid=14448656"&amp;"54"",""articles_with_PRISMA_reasons!Z2:Z2113""), $A1501=IMPORTRANGE(""https://docs.google.com/spreadsheets/d/1qpEmbGH0JjaJbUdp21-y2cPbobDbMjr09BbtdKROZWc/edit#gid=1444865654"",""articles_with_PRISMA_reasons!B2:B2113"")),F1501
=""Include"",FILTER(IMPORTRAN"&amp;"GE(""https://docs.google.com/spreadsheets/d/1kGrh75X1cNR1D7_FcY9zMnHP8iPO4M5RCRjy6nZY0TY/edit#gid=0"",""Table 1: Study characteristics!A4:A171""), $A1501=IMPORTRANGE(""https://docs.google.com/spreadsheets/d/1kGrh75X1cNR1D7_FcY9zMnHP8iPO4M5RCRjy6nZY0TY/edi"&amp;"t#gid=0"",""Table 1: Study characteristics!B4:B171""))
)"),"wrong population")</f>
        <v>wrong population</v>
      </c>
    </row>
    <row r="1502">
      <c r="A1502" s="4" t="str">
        <f>IFERROR(__xludf.DUMMYFUNCTION("""COMPUTED_VALUE"""),"Preliminary experiences with the Orbis-Sigma-System as a ventriculo-peritoneal shunt")</f>
        <v>Preliminary experiences with the Orbis-Sigma-System as a ventriculo-peritoneal shunt</v>
      </c>
      <c r="B1502" s="5" t="str">
        <f>IFERROR(__xludf.DUMMYFUNCTION("LEFT(FILTER(IMPORTRANGE(""https://docs.google.com/spreadsheets/d/1BJSV3WBYJGRhQ6zExamkszQ5VutGIcaQqmbD9ZTVXMQ/edit#gid=1251630045"",""articles_with_PRISMA_reasons!K2:K2113""), $A1502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$A1502=IMPORTRANGE(""https://docs.google.com/spreadsheets/d/1BJSV3WBYJGRhQ6zExamkszQ5VutGIcaQqmbD9ZTVXMQ/edit#gid=1251630045"",""articles_with_PRISMA_reasons!B2:B2113"")))-1)"),"Kaiser")</f>
        <v>Kaiser</v>
      </c>
      <c r="C1502" s="6">
        <f>IFERROR(__xludf.DUMMYFUNCTION("FILTER(IMPORTRANGE(""https://docs.google.com/spreadsheets/d/1BJSV3WBYJGRhQ6zExamkszQ5VutGIcaQqmbD9ZTVXMQ/edit#gid=1251630045"",""articles_with_PRISMA_reasons!C2:C2113""), $A1502=IMPORTRANGE(""https://docs.google.com/spreadsheets/d/1BJSV3WBYJGRhQ6zExamkszQ"&amp;"5VutGIcaQqmbD9ZTVXMQ/edit#gid=1251630045"",""articles_with_PRISMA_reasons!B2:B2113""))"),1992.0)</f>
        <v>1992</v>
      </c>
      <c r="D1502" s="5" t="str">
        <f>IFERROR(__xludf.DUMMYFUNCTION("IFS(AND(
FILTER(IMPORTRANGE(""https://docs.google.com/spreadsheets/d/1BJSV3WBYJGRhQ6zExamkszQ5VutGIcaQqmbD9ZTVXMQ/edit#gid=1251630045"",""articles_with_PRISMA_reasons!Y2:Y2113""), $A1502=IMPORTRANGE(""https://docs.google.com/spreadsheets/d/1BJSV3WBYJGRhQ6"&amp;"zExamkszQ5VutGIcaQqmbD9ZTVXMQ/edit#gid=1251630045"",""articles_with_PRISMA_reasons!B2:B2113""))&gt;=2,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$A1502=IMPORTRANGE(""https://docs.google.com/spreadsheets/d/1BJSV3WBYJGRhQ6zExamkszQ5VutGIcaQqmbD9ZTVXMQ/edit#gid=1251630045"",""articles_with_PRISMA_reasons!B2:B2113""))&lt;2),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$A1502=IMPORTRANGE(""https://docs.google.com/spreadsheets/d/1BJSV3WBYJGRhQ6zExamkszQ5VutGIcaQqmbD9ZTVXMQ/edit#gid=1251630045"",""a"&amp;"rticles_with_PRISMA_reasons!B2:B2113""))&lt;2,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$A1502=IMPORTRANGE(""https://docs.google"&amp;".com/spreadsheets/d/1BJSV3WBYJGRhQ6zExamkszQ5VutGIcaQqmbD9ZTVXMQ/edit#gid=1251630045"",""articles_with_PRISMA_reasons!B2:B2113""))&gt;=2),
""Exclude""
)"),"Exclude")</f>
        <v>Exclude</v>
      </c>
      <c r="E1502" s="5" t="str">
        <f>IFERROR(__xludf.DUMMYFUNCTION("IFS(
D1502=""Exclude"",""Exclude"",
AND(
FILTER(IMPORTRANGE(""https://docs.google.com/spreadsheets/d/1qpEmbGH0JjaJbUdp21-y2cPbobDbMjr09BbtdKROZWc/edit#gid=1444865654"",""articles_with_PRISMA_reasons!W2:W2113""), $A1502=IMPORTRANGE(""https://docs.google.co"&amp;"m/spreadsheets/d/1qpEmbGH0JjaJbUdp21-y2cPbobDbMjr09BbtdKROZWc/edit#gid=1444865654"",""articles_with_PRISMA_reasons!B2:B2113""))&gt;=2,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$A1502=I"&amp;"MPORTRANGE(""https://docs.google.com/spreadsheets/d/1qpEmbGH0JjaJbUdp21-y2cPbobDbMjr09BbtdKROZWc/edit#gid=1444865654"",""articles_with_PRISMA_reasons!B2:B2113""))&gt;=2),
""Exclude""
)"),"Exclude")</f>
        <v>Exclude</v>
      </c>
      <c r="F1502" s="5" t="str">
        <f>IFERROR(__xludf.DUMMYFUNCTION("IFS(
E1502=""Exclude"",""Exclude"",
AND(
COUNTIF(
IMPORTRANGE(""https://docs.google.com/spreadsheets/d/1kGrh75X1cNR1D7_FcY9zMnHP8iPO4M5RCRjy6nZY0TY/edit#gid=0"",""Table 1: Study characteristics!B4:B171""),A1502)&gt;0,
COUNTIF(Studies!$A$2:$A$85,FILTER(IMPORT"&amp;"RANGE(""https://docs.google.com/spreadsheets/d/1kGrh75X1cNR1D7_FcY9zMnHP8iPO4M5RCRjy6nZY0TY/edit#gid=0"",""Table 1: Study characteristics!A4:A171""), $A1502=IMPORTRANGE(""https://docs.google.com/spreadsheets/d/1kGrh75X1cNR1D7_FcY9zMnHP8iPO4M5RCRjy6nZY0TY/"&amp;"edit#gid=0"",""Table 1: Study characteristics!B4:B171"")))&gt;0
),
""Include""
)"),"Exclude")</f>
        <v>Exclude</v>
      </c>
      <c r="G1502" s="5" t="str">
        <f>IFERROR(__xludf.DUMMYFUNCTION("IFS(
D1502=""Exclude"",
FILTER(IMPORTRANGE(""https://docs.google.com/spreadsheets/d/1BJSV3WBYJGRhQ6zExamkszQ5VutGIcaQqmbD9ZTVXMQ/edit#gid=1251630045"",""articles_with_PRISMA_reasons!AB2:AB2113""), $A1502=IMPORTRANGE(""https://docs.google.com/spreadsheets/"&amp;"d/1BJSV3WBYJGRhQ6zExamkszQ5VutGIcaQqmbD9ZTVXMQ/edit#gid=1251630045"",""articles_with_PRISMA_reasons!B2:B2113"")),
E1502=""Exclude"",
FILTER(IMPORTRANGE(""https://docs.google.com/spreadsheets/d/1qpEmbGH0JjaJbUdp21-y2cPbobDbMjr09BbtdKROZWc/edit#gid=14448656"&amp;"54"",""articles_with_PRISMA_reasons!Z2:Z2113""), $A1502=IMPORTRANGE(""https://docs.google.com/spreadsheets/d/1qpEmbGH0JjaJbUdp21-y2cPbobDbMjr09BbtdKROZWc/edit#gid=1444865654"",""articles_with_PRISMA_reasons!B2:B2113"")),F1502
=""Include"",FILTER(IMPORTRAN"&amp;"GE(""https://docs.google.com/spreadsheets/d/1kGrh75X1cNR1D7_FcY9zMnHP8iPO4M5RCRjy6nZY0TY/edit#gid=0"",""Table 1: Study characteristics!A4:A171""), $A1502=IMPORTRANGE(""https://docs.google.com/spreadsheets/d/1kGrh75X1cNR1D7_FcY9zMnHP8iPO4M5RCRjy6nZY0TY/edi"&amp;"t#gid=0"",""Table 1: Study characteristics!B4:B171""))
)"),"wrong outcome")</f>
        <v>wrong outcome</v>
      </c>
    </row>
    <row r="1503">
      <c r="A1503" s="4" t="str">
        <f>IFERROR(__xludf.DUMMYFUNCTION("""COMPUTED_VALUE"""),"Prenatal and postnatal evaluation for syringomyelia in patients with spinal dysraphism")</f>
        <v>Prenatal and postnatal evaluation for syringomyelia in patients with spinal dysraphism</v>
      </c>
      <c r="B1503" s="5" t="str">
        <f>IFERROR(__xludf.DUMMYFUNCTION("LEFT(FILTER(IMPORTRANGE(""https://docs.google.com/spreadsheets/d/1BJSV3WBYJGRhQ6zExamkszQ5VutGIcaQqmbD9ZTVXMQ/edit#gid=1251630045"",""articles_with_PRISMA_reasons!K2:K2113""), $A1503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$A1503=IMPORTRANGE(""https://docs.google.com/spreadsheets/d/1BJSV3WBYJGRhQ6zExamkszQ5VutGIcaQqmbD9ZTVXMQ/edit#gid=1251630045"",""articles_with_PRISMA_reasons!B2:B2113"")))-1)"),"Bixenmann")</f>
        <v>Bixenmann</v>
      </c>
      <c r="C1503" s="6">
        <f>IFERROR(__xludf.DUMMYFUNCTION("FILTER(IMPORTRANGE(""https://docs.google.com/spreadsheets/d/1BJSV3WBYJGRhQ6zExamkszQ5VutGIcaQqmbD9ZTVXMQ/edit#gid=1251630045"",""articles_with_PRISMA_reasons!C2:C2113""), $A1503=IMPORTRANGE(""https://docs.google.com/spreadsheets/d/1BJSV3WBYJGRhQ6zExamkszQ"&amp;"5VutGIcaQqmbD9ZTVXMQ/edit#gid=1251630045"",""articles_with_PRISMA_reasons!B2:B2113""))"),2014.0)</f>
        <v>2014</v>
      </c>
      <c r="D1503" s="5" t="str">
        <f>IFERROR(__xludf.DUMMYFUNCTION("IFS(AND(
FILTER(IMPORTRANGE(""https://docs.google.com/spreadsheets/d/1BJSV3WBYJGRhQ6zExamkszQ5VutGIcaQqmbD9ZTVXMQ/edit#gid=1251630045"",""articles_with_PRISMA_reasons!Y2:Y2113""), $A1503=IMPORTRANGE(""https://docs.google.com/spreadsheets/d/1BJSV3WBYJGRhQ6"&amp;"zExamkszQ5VutGIcaQqmbD9ZTVXMQ/edit#gid=1251630045"",""articles_with_PRISMA_reasons!B2:B2113""))&gt;=2,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$A1503=IMPORTRANGE(""https://docs.google"&amp;".com/spreadsheets/d/1BJSV3WBYJGRhQ6zExamkszQ5VutGIcaQqmbD9ZTVXMQ/edit#gid=1251630045"",""articles_with_PRISMA_reasons!B2:B2113""))&gt;=2),
""Exclude""
)"),"Exclude")</f>
        <v>Exclude</v>
      </c>
      <c r="E1503" s="5" t="str">
        <f>IFERROR(__xludf.DUMMYFUNCTION("IFS(
D1503=""Exclude"",""Exclude"",
AND(
FILTER(IMPORTRANGE(""https://docs.google.com/spreadsheets/d/1qpEmbGH0JjaJbUdp21-y2cPbobDbMjr09BbtdKROZWc/edit#gid=1444865654"",""articles_with_PRISMA_reasons!W2:W2113""), $A1503=IMPORTRANGE(""https://docs.google.co"&amp;"m/spreadsheets/d/1qpEmbGH0JjaJbUdp21-y2cPbobDbMjr09BbtdKROZWc/edit#gid=1444865654"",""articles_with_PRISMA_reasons!B2:B2113""))&gt;=2,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$A1503=I"&amp;"MPORTRANGE(""https://docs.google.com/spreadsheets/d/1qpEmbGH0JjaJbUdp21-y2cPbobDbMjr09BbtdKROZWc/edit#gid=1444865654"",""articles_with_PRISMA_reasons!B2:B2113""))&gt;=2),
""Exclude""
)"),"Exclude")</f>
        <v>Exclude</v>
      </c>
      <c r="F1503" s="5" t="str">
        <f>IFERROR(__xludf.DUMMYFUNCTION("IFS(
E1503=""Exclude"",""Exclude"",
AND(
COUNTIF(
IMPORTRANGE(""https://docs.google.com/spreadsheets/d/1kGrh75X1cNR1D7_FcY9zMnHP8iPO4M5RCRjy6nZY0TY/edit#gid=0"",""Table 1: Study characteristics!B4:B171""),A1503)&gt;0,
COUNTIF(Studies!$A$2:$A$85,FILTER(IMPORT"&amp;"RANGE(""https://docs.google.com/spreadsheets/d/1kGrh75X1cNR1D7_FcY9zMnHP8iPO4M5RCRjy6nZY0TY/edit#gid=0"",""Table 1: Study characteristics!A4:A171""), $A1503=IMPORTRANGE(""https://docs.google.com/spreadsheets/d/1kGrh75X1cNR1D7_FcY9zMnHP8iPO4M5RCRjy6nZY0TY/"&amp;"edit#gid=0"",""Table 1: Study characteristics!B4:B171"")))&gt;0
),
""Include""
)"),"Exclude")</f>
        <v>Exclude</v>
      </c>
      <c r="G1503" s="5" t="str">
        <f>IFERROR(__xludf.DUMMYFUNCTION("IFS(
D1503=""Exclude"",
FILTER(IMPORTRANGE(""https://docs.google.com/spreadsheets/d/1BJSV3WBYJGRhQ6zExamkszQ5VutGIcaQqmbD9ZTVXMQ/edit#gid=1251630045"",""articles_with_PRISMA_reasons!AB2:AB2113""), $A1503=IMPORTRANGE(""https://docs.google.com/spreadsheets/"&amp;"d/1BJSV3WBYJGRhQ6zExamkszQ5VutGIcaQqmbD9ZTVXMQ/edit#gid=1251630045"",""articles_with_PRISMA_reasons!B2:B2113"")),
E1503=""Exclude"",
FILTER(IMPORTRANGE(""https://docs.google.com/spreadsheets/d/1qpEmbGH0JjaJbUdp21-y2cPbobDbMjr09BbtdKROZWc/edit#gid=14448656"&amp;"54"",""articles_with_PRISMA_reasons!Z2:Z2113""), $A1503=IMPORTRANGE(""https://docs.google.com/spreadsheets/d/1qpEmbGH0JjaJbUdp21-y2cPbobDbMjr09BbtdKROZWc/edit#gid=1444865654"",""articles_with_PRISMA_reasons!B2:B2113"")),F1503
=""Include"",FILTER(IMPORTRAN"&amp;"GE(""https://docs.google.com/spreadsheets/d/1kGrh75X1cNR1D7_FcY9zMnHP8iPO4M5RCRjy6nZY0TY/edit#gid=0"",""Table 1: Study characteristics!A4:A171""), $A1503=IMPORTRANGE(""https://docs.google.com/spreadsheets/d/1kGrh75X1cNR1D7_FcY9zMnHP8iPO4M5RCRjy6nZY0TY/edi"&amp;"t#gid=0"",""Table 1: Study characteristics!B4:B171""))
)"),"wrong population")</f>
        <v>wrong population</v>
      </c>
    </row>
    <row r="1504">
      <c r="A1504" s="4" t="str">
        <f>IFERROR(__xludf.DUMMYFUNCTION("""COMPUTED_VALUE"""),"Prenatal assignation of lesion levels in neural tube defects by using ultrasonography. Case report and review of the literature")</f>
        <v>Prenatal assignation of lesion levels in neural tube defects by using ultrasonography. Case report and review of the literature</v>
      </c>
      <c r="B1504" s="5" t="str">
        <f>IFERROR(__xludf.DUMMYFUNCTION("LEFT(FILTER(IMPORTRANGE(""https://docs.google.com/spreadsheets/d/1BJSV3WBYJGRhQ6zExamkszQ5VutGIcaQqmbD9ZTVXMQ/edit#gid=1251630045"",""articles_with_PRISMA_reasons!K2:K2113""), $A1504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$A1504=IMPORTRANGE(""https://docs.google.com/spreadsheets/d/1BJSV3WBYJGRhQ6zExamkszQ5VutGIcaQqmbD9ZTVXMQ/edit#gid=1251630045"",""articles_with_PRISMA_reasons!B2:B2113"")))-1)"),"McEwing")</f>
        <v>McEwing</v>
      </c>
      <c r="C1504" s="6">
        <f>IFERROR(__xludf.DUMMYFUNCTION("FILTER(IMPORTRANGE(""https://docs.google.com/spreadsheets/d/1BJSV3WBYJGRhQ6zExamkszQ5VutGIcaQqmbD9ZTVXMQ/edit#gid=1251630045"",""articles_with_PRISMA_reasons!C2:C2113""), $A1504=IMPORTRANGE(""https://docs.google.com/spreadsheets/d/1BJSV3WBYJGRhQ6zExamkszQ"&amp;"5VutGIcaQqmbD9ZTVXMQ/edit#gid=1251630045"",""articles_with_PRISMA_reasons!B2:B2113""))"),2005.0)</f>
        <v>2005</v>
      </c>
      <c r="D1504" s="5" t="str">
        <f>IFERROR(__xludf.DUMMYFUNCTION("IFS(AND(
FILTER(IMPORTRANGE(""https://docs.google.com/spreadsheets/d/1BJSV3WBYJGRhQ6zExamkszQ5VutGIcaQqmbD9ZTVXMQ/edit#gid=1251630045"",""articles_with_PRISMA_reasons!Y2:Y2113""), $A1504=IMPORTRANGE(""https://docs.google.com/spreadsheets/d/1BJSV3WBYJGRhQ6"&amp;"zExamkszQ5VutGIcaQqmbD9ZTVXMQ/edit#gid=1251630045"",""articles_with_PRISMA_reasons!B2:B2113""))&gt;=2,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$A1504=IMPORTRANGE(""https://docs.google"&amp;".com/spreadsheets/d/1BJSV3WBYJGRhQ6zExamkszQ5VutGIcaQqmbD9ZTVXMQ/edit#gid=1251630045"",""articles_with_PRISMA_reasons!B2:B2113""))&gt;=2),
""Exclude""
)"),"Exclude")</f>
        <v>Exclude</v>
      </c>
      <c r="E1504" s="5" t="str">
        <f>IFERROR(__xludf.DUMMYFUNCTION("IFS(
D1504=""Exclude"",""Exclude"",
AND(
FILTER(IMPORTRANGE(""https://docs.google.com/spreadsheets/d/1qpEmbGH0JjaJbUdp21-y2cPbobDbMjr09BbtdKROZWc/edit#gid=1444865654"",""articles_with_PRISMA_reasons!W2:W2113""), $A1504=IMPORTRANGE(""https://docs.google.co"&amp;"m/spreadsheets/d/1qpEmbGH0JjaJbUdp21-y2cPbobDbMjr09BbtdKROZWc/edit#gid=1444865654"",""articles_with_PRISMA_reasons!B2:B2113""))&gt;=2,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$A1504=I"&amp;"MPORTRANGE(""https://docs.google.com/spreadsheets/d/1qpEmbGH0JjaJbUdp21-y2cPbobDbMjr09BbtdKROZWc/edit#gid=1444865654"",""articles_with_PRISMA_reasons!B2:B2113""))&gt;=2),
""Exclude""
)"),"Exclude")</f>
        <v>Exclude</v>
      </c>
      <c r="F1504" s="5" t="str">
        <f>IFERROR(__xludf.DUMMYFUNCTION("IFS(
E1504=""Exclude"",""Exclude"",
AND(
COUNTIF(
IMPORTRANGE(""https://docs.google.com/spreadsheets/d/1kGrh75X1cNR1D7_FcY9zMnHP8iPO4M5RCRjy6nZY0TY/edit#gid=0"",""Table 1: Study characteristics!B4:B171""),A1504)&gt;0,
COUNTIF(Studies!$A$2:$A$85,FILTER(IMPORT"&amp;"RANGE(""https://docs.google.com/spreadsheets/d/1kGrh75X1cNR1D7_FcY9zMnHP8iPO4M5RCRjy6nZY0TY/edit#gid=0"",""Table 1: Study characteristics!A4:A171""), $A1504=IMPORTRANGE(""https://docs.google.com/spreadsheets/d/1kGrh75X1cNR1D7_FcY9zMnHP8iPO4M5RCRjy6nZY0TY/"&amp;"edit#gid=0"",""Table 1: Study characteristics!B4:B171"")))&gt;0
),
""Include""
)"),"Exclude")</f>
        <v>Exclude</v>
      </c>
      <c r="G1504" s="5" t="str">
        <f>IFERROR(__xludf.DUMMYFUNCTION("IFS(
D1504=""Exclude"",
FILTER(IMPORTRANGE(""https://docs.google.com/spreadsheets/d/1BJSV3WBYJGRhQ6zExamkszQ5VutGIcaQqmbD9ZTVXMQ/edit#gid=1251630045"",""articles_with_PRISMA_reasons!AB2:AB2113""), $A1504=IMPORTRANGE(""https://docs.google.com/spreadsheets/"&amp;"d/1BJSV3WBYJGRhQ6zExamkszQ5VutGIcaQqmbD9ZTVXMQ/edit#gid=1251630045"",""articles_with_PRISMA_reasons!B2:B2113"")),
E1504=""Exclude"",
FILTER(IMPORTRANGE(""https://docs.google.com/spreadsheets/d/1qpEmbGH0JjaJbUdp21-y2cPbobDbMjr09BbtdKROZWc/edit#gid=14448656"&amp;"54"",""articles_with_PRISMA_reasons!Z2:Z2113""), $A1504=IMPORTRANGE(""https://docs.google.com/spreadsheets/d/1qpEmbGH0JjaJbUdp21-y2cPbobDbMjr09BbtdKROZWc/edit#gid=1444865654"",""articles_with_PRISMA_reasons!B2:B2113"")),F1504
=""Include"",FILTER(IMPORTRAN"&amp;"GE(""https://docs.google.com/spreadsheets/d/1kGrh75X1cNR1D7_FcY9zMnHP8iPO4M5RCRjy6nZY0TY/edit#gid=0"",""Table 1: Study characteristics!A4:A171""), $A1504=IMPORTRANGE(""https://docs.google.com/spreadsheets/d/1kGrh75X1cNR1D7_FcY9zMnHP8iPO4M5RCRjy6nZY0TY/edi"&amp;"t#gid=0"",""Table 1: Study characteristics!B4:B171""))
)"),"wrong study design")</f>
        <v>wrong study design</v>
      </c>
    </row>
    <row r="1505">
      <c r="A1505" s="4" t="str">
        <f>IFERROR(__xludf.DUMMYFUNCTION("""COMPUTED_VALUE"""),"Prenatal brain imaging for predicting need for postnatal hydrocephalus treatment in fetuses that had neural tube defect repair in utero")</f>
        <v>Prenatal brain imaging for predicting need for postnatal hydrocephalus treatment in fetuses that had neural tube defect repair in utero</v>
      </c>
      <c r="B1505" s="5" t="str">
        <f>IFERROR(__xludf.DUMMYFUNCTION("LEFT(FILTER(IMPORTRANGE(""https://docs.google.com/spreadsheets/d/1BJSV3WBYJGRhQ6zExamkszQ5VutGIcaQqmbD9ZTVXMQ/edit#gid=1251630045"",""articles_with_PRISMA_reasons!K2:K2113""), $A1505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$A1505=IMPORTRANGE(""https://docs.google.com/spreadsheets/d/1BJSV3WBYJGRhQ6zExamkszQ5VutGIcaQqmbD9ZTVXMQ/edit#gid=1251630045"",""articles_with_PRISMA_reasons!B2:B2113"")))-1)"),"Zarutskie")</f>
        <v>Zarutskie</v>
      </c>
      <c r="C1505" s="6">
        <f>IFERROR(__xludf.DUMMYFUNCTION("FILTER(IMPORTRANGE(""https://docs.google.com/spreadsheets/d/1BJSV3WBYJGRhQ6zExamkszQ5VutGIcaQqmbD9ZTVXMQ/edit#gid=1251630045"",""articles_with_PRISMA_reasons!C2:C2113""), $A1505=IMPORTRANGE(""https://docs.google.com/spreadsheets/d/1BJSV3WBYJGRhQ6zExamkszQ"&amp;"5VutGIcaQqmbD9ZTVXMQ/edit#gid=1251630045"",""articles_with_PRISMA_reasons!B2:B2113""))"),2019.0)</f>
        <v>2019</v>
      </c>
      <c r="D1505" s="5" t="str">
        <f>IFERROR(__xludf.DUMMYFUNCTION("IFS(AND(
FILTER(IMPORTRANGE(""https://docs.google.com/spreadsheets/d/1BJSV3WBYJGRhQ6zExamkszQ5VutGIcaQqmbD9ZTVXMQ/edit#gid=1251630045"",""articles_with_PRISMA_reasons!Y2:Y2113""), $A1505=IMPORTRANGE(""https://docs.google.com/spreadsheets/d/1BJSV3WBYJGRhQ6"&amp;"zExamkszQ5VutGIcaQqmbD9ZTVXMQ/edit#gid=1251630045"",""articles_with_PRISMA_reasons!B2:B2113""))&gt;=2,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$A1505=IMPORTRANGE(""https://docs.google"&amp;".com/spreadsheets/d/1BJSV3WBYJGRhQ6zExamkszQ5VutGIcaQqmbD9ZTVXMQ/edit#gid=1251630045"",""articles_with_PRISMA_reasons!B2:B2113""))&gt;=2),
""Exclude""
)"),"Exclude")</f>
        <v>Exclude</v>
      </c>
      <c r="E1505" s="5" t="str">
        <f>IFERROR(__xludf.DUMMYFUNCTION("IFS(
D1505=""Exclude"",""Exclude"",
AND(
FILTER(IMPORTRANGE(""https://docs.google.com/spreadsheets/d/1qpEmbGH0JjaJbUdp21-y2cPbobDbMjr09BbtdKROZWc/edit#gid=1444865654"",""articles_with_PRISMA_reasons!W2:W2113""), $A1505=IMPORTRANGE(""https://docs.google.co"&amp;"m/spreadsheets/d/1qpEmbGH0JjaJbUdp21-y2cPbobDbMjr09BbtdKROZWc/edit#gid=1444865654"",""articles_with_PRISMA_reasons!B2:B2113""))&gt;=2,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$A1505=I"&amp;"MPORTRANGE(""https://docs.google.com/spreadsheets/d/1qpEmbGH0JjaJbUdp21-y2cPbobDbMjr09BbtdKROZWc/edit#gid=1444865654"",""articles_with_PRISMA_reasons!B2:B2113""))&gt;=2),
""Exclude""
)"),"Exclude")</f>
        <v>Exclude</v>
      </c>
      <c r="F1505" s="5" t="str">
        <f>IFERROR(__xludf.DUMMYFUNCTION("IFS(
E1505=""Exclude"",""Exclude"",
AND(
COUNTIF(
IMPORTRANGE(""https://docs.google.com/spreadsheets/d/1kGrh75X1cNR1D7_FcY9zMnHP8iPO4M5RCRjy6nZY0TY/edit#gid=0"",""Table 1: Study characteristics!B4:B171""),A1505)&gt;0,
COUNTIF(Studies!$A$2:$A$85,FILTER(IMPORT"&amp;"RANGE(""https://docs.google.com/spreadsheets/d/1kGrh75X1cNR1D7_FcY9zMnHP8iPO4M5RCRjy6nZY0TY/edit#gid=0"",""Table 1: Study characteristics!A4:A171""), $A1505=IMPORTRANGE(""https://docs.google.com/spreadsheets/d/1kGrh75X1cNR1D7_FcY9zMnHP8iPO4M5RCRjy6nZY0TY/"&amp;"edit#gid=0"",""Table 1: Study characteristics!B4:B171"")))&gt;0
),
""Include""
)"),"Exclude")</f>
        <v>Exclude</v>
      </c>
      <c r="G1505" s="5" t="str">
        <f>IFERROR(__xludf.DUMMYFUNCTION("IFS(
D1505=""Exclude"",
FILTER(IMPORTRANGE(""https://docs.google.com/spreadsheets/d/1BJSV3WBYJGRhQ6zExamkszQ5VutGIcaQqmbD9ZTVXMQ/edit#gid=1251630045"",""articles_with_PRISMA_reasons!AB2:AB2113""), $A1505=IMPORTRANGE(""https://docs.google.com/spreadsheets/"&amp;"d/1BJSV3WBYJGRhQ6zExamkszQ5VutGIcaQqmbD9ZTVXMQ/edit#gid=1251630045"",""articles_with_PRISMA_reasons!B2:B2113"")),
E1505=""Exclude"",
FILTER(IMPORTRANGE(""https://docs.google.com/spreadsheets/d/1qpEmbGH0JjaJbUdp21-y2cPbobDbMjr09BbtdKROZWc/edit#gid=14448656"&amp;"54"",""articles_with_PRISMA_reasons!Z2:Z2113""), $A1505=IMPORTRANGE(""https://docs.google.com/spreadsheets/d/1qpEmbGH0JjaJbUdp21-y2cPbobDbMjr09BbtdKROZWc/edit#gid=1444865654"",""articles_with_PRISMA_reasons!B2:B2113"")),F1505
=""Include"",FILTER(IMPORTRAN"&amp;"GE(""https://docs.google.com/spreadsheets/d/1kGrh75X1cNR1D7_FcY9zMnHP8iPO4M5RCRjy6nZY0TY/edit#gid=0"",""Table 1: Study characteristics!A4:A171""), $A1505=IMPORTRANGE(""https://docs.google.com/spreadsheets/d/1kGrh75X1cNR1D7_FcY9zMnHP8iPO4M5RCRjy6nZY0TY/edi"&amp;"t#gid=0"",""Table 1: Study characteristics!B4:B171""))
)"),"wrong population")</f>
        <v>wrong population</v>
      </c>
    </row>
    <row r="1506">
      <c r="A1506" s="4" t="str">
        <f>IFERROR(__xludf.DUMMYFUNCTION("""COMPUTED_VALUE"""),"Prenatal cerebral magnetic resonance imaging")</f>
        <v>Prenatal cerebral magnetic resonance imaging</v>
      </c>
      <c r="B1506" s="5" t="str">
        <f>IFERROR(__xludf.DUMMYFUNCTION("LEFT(FILTER(IMPORTRANGE(""https://docs.google.com/spreadsheets/d/1BJSV3WBYJGRhQ6zExamkszQ5VutGIcaQqmbD9ZTVXMQ/edit#gid=1251630045"",""articles_with_PRISMA_reasons!K2:K2113""), $A1506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$A1506=IMPORTRANGE(""https://docs.google.com/spreadsheets/d/1BJSV3WBYJGRhQ6zExamkszQ5VutGIcaQqmbD9ZTVXMQ/edit#gid=1251630045"",""articles_with_PRISMA_reasons!B2:B2113"")))-1)"),"Bendersky")</f>
        <v>Bendersky</v>
      </c>
      <c r="C1506" s="6">
        <f>IFERROR(__xludf.DUMMYFUNCTION("FILTER(IMPORTRANGE(""https://docs.google.com/spreadsheets/d/1BJSV3WBYJGRhQ6zExamkszQ5VutGIcaQqmbD9ZTVXMQ/edit#gid=1251630045"",""articles_with_PRISMA_reasons!C2:C2113""), $A1506=IMPORTRANGE(""https://docs.google.com/spreadsheets/d/1BJSV3WBYJGRhQ6zExamkszQ"&amp;"5VutGIcaQqmbD9ZTVXMQ/edit#gid=1251630045"",""articles_with_PRISMA_reasons!B2:B2113""))"),2008.0)</f>
        <v>2008</v>
      </c>
      <c r="D1506" s="5" t="str">
        <f>IFERROR(__xludf.DUMMYFUNCTION("IFS(AND(
FILTER(IMPORTRANGE(""https://docs.google.com/spreadsheets/d/1BJSV3WBYJGRhQ6zExamkszQ5VutGIcaQqmbD9ZTVXMQ/edit#gid=1251630045"",""articles_with_PRISMA_reasons!Y2:Y2113""), $A1506=IMPORTRANGE(""https://docs.google.com/spreadsheets/d/1BJSV3WBYJGRhQ6"&amp;"zExamkszQ5VutGIcaQqmbD9ZTVXMQ/edit#gid=1251630045"",""articles_with_PRISMA_reasons!B2:B2113""))&gt;=2,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$A1506=IMPORTRANGE(""https://docs.google"&amp;".com/spreadsheets/d/1BJSV3WBYJGRhQ6zExamkszQ5VutGIcaQqmbD9ZTVXMQ/edit#gid=1251630045"",""articles_with_PRISMA_reasons!B2:B2113""))&gt;=2),
""Exclude""
)"),"Exclude")</f>
        <v>Exclude</v>
      </c>
      <c r="E1506" s="5" t="str">
        <f>IFERROR(__xludf.DUMMYFUNCTION("IFS(
D1506=""Exclude"",""Exclude"",
AND(
FILTER(IMPORTRANGE(""https://docs.google.com/spreadsheets/d/1qpEmbGH0JjaJbUdp21-y2cPbobDbMjr09BbtdKROZWc/edit#gid=1444865654"",""articles_with_PRISMA_reasons!W2:W2113""), $A1506=IMPORTRANGE(""https://docs.google.co"&amp;"m/spreadsheets/d/1qpEmbGH0JjaJbUdp21-y2cPbobDbMjr09BbtdKROZWc/edit#gid=1444865654"",""articles_with_PRISMA_reasons!B2:B2113""))&gt;=2,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$A1506=I"&amp;"MPORTRANGE(""https://docs.google.com/spreadsheets/d/1qpEmbGH0JjaJbUdp21-y2cPbobDbMjr09BbtdKROZWc/edit#gid=1444865654"",""articles_with_PRISMA_reasons!B2:B2113""))&gt;=2),
""Exclude""
)"),"Exclude")</f>
        <v>Exclude</v>
      </c>
      <c r="F1506" s="5" t="str">
        <f>IFERROR(__xludf.DUMMYFUNCTION("IFS(
E1506=""Exclude"",""Exclude"",
AND(
COUNTIF(
IMPORTRANGE(""https://docs.google.com/spreadsheets/d/1kGrh75X1cNR1D7_FcY9zMnHP8iPO4M5RCRjy6nZY0TY/edit#gid=0"",""Table 1: Study characteristics!B4:B171""),A1506)&gt;0,
COUNTIF(Studies!$A$2:$A$85,FILTER(IMPORT"&amp;"RANGE(""https://docs.google.com/spreadsheets/d/1kGrh75X1cNR1D7_FcY9zMnHP8iPO4M5RCRjy6nZY0TY/edit#gid=0"",""Table 1: Study characteristics!A4:A171""), $A1506=IMPORTRANGE(""https://docs.google.com/spreadsheets/d/1kGrh75X1cNR1D7_FcY9zMnHP8iPO4M5RCRjy6nZY0TY/"&amp;"edit#gid=0"",""Table 1: Study characteristics!B4:B171"")))&gt;0
),
""Include""
)"),"Exclude")</f>
        <v>Exclude</v>
      </c>
      <c r="G1506" s="5" t="str">
        <f>IFERROR(__xludf.DUMMYFUNCTION("IFS(
D1506=""Exclude"",
FILTER(IMPORTRANGE(""https://docs.google.com/spreadsheets/d/1BJSV3WBYJGRhQ6zExamkszQ5VutGIcaQqmbD9ZTVXMQ/edit#gid=1251630045"",""articles_with_PRISMA_reasons!AB2:AB2113""), $A1506=IMPORTRANGE(""https://docs.google.com/spreadsheets/"&amp;"d/1BJSV3WBYJGRhQ6zExamkszQ5VutGIcaQqmbD9ZTVXMQ/edit#gid=1251630045"",""articles_with_PRISMA_reasons!B2:B2113"")),
E1506=""Exclude"",
FILTER(IMPORTRANGE(""https://docs.google.com/spreadsheets/d/1qpEmbGH0JjaJbUdp21-y2cPbobDbMjr09BbtdKROZWc/edit#gid=14448656"&amp;"54"",""articles_with_PRISMA_reasons!Z2:Z2113""), $A1506=IMPORTRANGE(""https://docs.google.com/spreadsheets/d/1qpEmbGH0JjaJbUdp21-y2cPbobDbMjr09BbtdKROZWc/edit#gid=1444865654"",""articles_with_PRISMA_reasons!B2:B2113"")),F1506
=""Include"",FILTER(IMPORTRAN"&amp;"GE(""https://docs.google.com/spreadsheets/d/1kGrh75X1cNR1D7_FcY9zMnHP8iPO4M5RCRjy6nZY0TY/edit#gid=0"",""Table 1: Study characteristics!A4:A171""), $A1506=IMPORTRANGE(""https://docs.google.com/spreadsheets/d/1kGrh75X1cNR1D7_FcY9zMnHP8iPO4M5RCRjy6nZY0TY/edi"&amp;"t#gid=0"",""Table 1: Study characteristics!B4:B171""))
)"),"wrong population")</f>
        <v>wrong population</v>
      </c>
    </row>
    <row r="1507">
      <c r="A1507" s="4" t="str">
        <f>IFERROR(__xludf.DUMMYFUNCTION("""COMPUTED_VALUE"""),"Prenatal counseling for myelomeningocele in the era of fetal surgery: A shared decision-making approach")</f>
        <v>Prenatal counseling for myelomeningocele in the era of fetal surgery: A shared decision-making approach</v>
      </c>
      <c r="B1507" s="5" t="str">
        <f>IFERROR(__xludf.DUMMYFUNCTION("LEFT(FILTER(IMPORTRANGE(""https://docs.google.com/spreadsheets/d/1BJSV3WBYJGRhQ6zExamkszQ5VutGIcaQqmbD9ZTVXMQ/edit#gid=1251630045"",""articles_with_PRISMA_reasons!K2:K2113""), $A1507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$A1507=IMPORTRANGE(""https://docs.google.com/spreadsheets/d/1BJSV3WBYJGRhQ6zExamkszQ5VutGIcaQqmbD9ZTVXMQ/edit#gid=1251630045"",""articles_with_PRISMA_reasons!B2:B2113"")))-1)"),"Ravindra")</f>
        <v>Ravindra</v>
      </c>
      <c r="C1507" s="6">
        <f>IFERROR(__xludf.DUMMYFUNCTION("FILTER(IMPORTRANGE(""https://docs.google.com/spreadsheets/d/1BJSV3WBYJGRhQ6zExamkszQ5VutGIcaQqmbD9ZTVXMQ/edit#gid=1251630045"",""articles_with_PRISMA_reasons!C2:C2113""), $A1507=IMPORTRANGE(""https://docs.google.com/spreadsheets/d/1BJSV3WBYJGRhQ6zExamkszQ"&amp;"5VutGIcaQqmbD9ZTVXMQ/edit#gid=1251630045"",""articles_with_PRISMA_reasons!B2:B2113""))"),2020.0)</f>
        <v>2020</v>
      </c>
      <c r="D1507" s="5" t="str">
        <f>IFERROR(__xludf.DUMMYFUNCTION("IFS(AND(
FILTER(IMPORTRANGE(""https://docs.google.com/spreadsheets/d/1BJSV3WBYJGRhQ6zExamkszQ5VutGIcaQqmbD9ZTVXMQ/edit#gid=1251630045"",""articles_with_PRISMA_reasons!Y2:Y2113""), $A1507=IMPORTRANGE(""https://docs.google.com/spreadsheets/d/1BJSV3WBYJGRhQ6"&amp;"zExamkszQ5VutGIcaQqmbD9ZTVXMQ/edit#gid=1251630045"",""articles_with_PRISMA_reasons!B2:B2113""))&gt;=2,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$A1507=IMPORTRANGE(""https://docs.google"&amp;".com/spreadsheets/d/1BJSV3WBYJGRhQ6zExamkszQ5VutGIcaQqmbD9ZTVXMQ/edit#gid=1251630045"",""articles_with_PRISMA_reasons!B2:B2113""))&gt;=2),
""Exclude""
)"),"Exclude")</f>
        <v>Exclude</v>
      </c>
      <c r="E1507" s="5" t="str">
        <f>IFERROR(__xludf.DUMMYFUNCTION("IFS(
D1507=""Exclude"",""Exclude"",
AND(
FILTER(IMPORTRANGE(""https://docs.google.com/spreadsheets/d/1qpEmbGH0JjaJbUdp21-y2cPbobDbMjr09BbtdKROZWc/edit#gid=1444865654"",""articles_with_PRISMA_reasons!W2:W2113""), $A1507=IMPORTRANGE(""https://docs.google.co"&amp;"m/spreadsheets/d/1qpEmbGH0JjaJbUdp21-y2cPbobDbMjr09BbtdKROZWc/edit#gid=1444865654"",""articles_with_PRISMA_reasons!B2:B2113""))&gt;=2,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$A1507=I"&amp;"MPORTRANGE(""https://docs.google.com/spreadsheets/d/1qpEmbGH0JjaJbUdp21-y2cPbobDbMjr09BbtdKROZWc/edit#gid=1444865654"",""articles_with_PRISMA_reasons!B2:B2113""))&gt;=2),
""Exclude""
)"),"Exclude")</f>
        <v>Exclude</v>
      </c>
      <c r="F1507" s="5" t="str">
        <f>IFERROR(__xludf.DUMMYFUNCTION("IFS(
E1507=""Exclude"",""Exclude"",
AND(
COUNTIF(
IMPORTRANGE(""https://docs.google.com/spreadsheets/d/1kGrh75X1cNR1D7_FcY9zMnHP8iPO4M5RCRjy6nZY0TY/edit#gid=0"",""Table 1: Study characteristics!B4:B171""),A1507)&gt;0,
COUNTIF(Studies!$A$2:$A$85,FILTER(IMPORT"&amp;"RANGE(""https://docs.google.com/spreadsheets/d/1kGrh75X1cNR1D7_FcY9zMnHP8iPO4M5RCRjy6nZY0TY/edit#gid=0"",""Table 1: Study characteristics!A4:A171""), $A1507=IMPORTRANGE(""https://docs.google.com/spreadsheets/d/1kGrh75X1cNR1D7_FcY9zMnHP8iPO4M5RCRjy6nZY0TY/"&amp;"edit#gid=0"",""Table 1: Study characteristics!B4:B171"")))&gt;0
),
""Include""
)"),"Exclude")</f>
        <v>Exclude</v>
      </c>
      <c r="G1507" s="5" t="str">
        <f>IFERROR(__xludf.DUMMYFUNCTION("IFS(
D1507=""Exclude"",
FILTER(IMPORTRANGE(""https://docs.google.com/spreadsheets/d/1BJSV3WBYJGRhQ6zExamkszQ5VutGIcaQqmbD9ZTVXMQ/edit#gid=1251630045"",""articles_with_PRISMA_reasons!AB2:AB2113""), $A1507=IMPORTRANGE(""https://docs.google.com/spreadsheets/"&amp;"d/1BJSV3WBYJGRhQ6zExamkszQ5VutGIcaQqmbD9ZTVXMQ/edit#gid=1251630045"",""articles_with_PRISMA_reasons!B2:B2113"")),
E1507=""Exclude"",
FILTER(IMPORTRANGE(""https://docs.google.com/spreadsheets/d/1qpEmbGH0JjaJbUdp21-y2cPbobDbMjr09BbtdKROZWc/edit#gid=14448656"&amp;"54"",""articles_with_PRISMA_reasons!Z2:Z2113""), $A1507=IMPORTRANGE(""https://docs.google.com/spreadsheets/d/1qpEmbGH0JjaJbUdp21-y2cPbobDbMjr09BbtdKROZWc/edit#gid=1444865654"",""articles_with_PRISMA_reasons!B2:B2113"")),F1507
=""Include"",FILTER(IMPORTRAN"&amp;"GE(""https://docs.google.com/spreadsheets/d/1kGrh75X1cNR1D7_FcY9zMnHP8iPO4M5RCRjy6nZY0TY/edit#gid=0"",""Table 1: Study characteristics!A4:A171""), $A1507=IMPORTRANGE(""https://docs.google.com/spreadsheets/d/1kGrh75X1cNR1D7_FcY9zMnHP8iPO4M5RCRjy6nZY0TY/edi"&amp;"t#gid=0"",""Table 1: Study characteristics!B4:B171""))
)"),"wrong study design")</f>
        <v>wrong study design</v>
      </c>
    </row>
    <row r="1508">
      <c r="A1508" s="4" t="str">
        <f>IFERROR(__xludf.DUMMYFUNCTION("""COMPUTED_VALUE"""),"Prenatal counseling: Guidelines for the care of people with spina bifida")</f>
        <v>Prenatal counseling: Guidelines for the care of people with spina bifida</v>
      </c>
      <c r="B1508" s="5" t="str">
        <f>IFERROR(__xludf.DUMMYFUNCTION("LEFT(FILTER(IMPORTRANGE(""https://docs.google.com/spreadsheets/d/1BJSV3WBYJGRhQ6zExamkszQ5VutGIcaQqmbD9ZTVXMQ/edit#gid=1251630045"",""articles_with_PRISMA_reasons!K2:K2113""), $A1508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$A1508=IMPORTRANGE(""https://docs.google.com/spreadsheets/d/1BJSV3WBYJGRhQ6zExamkszQ5VutGIcaQqmbD9ZTVXMQ/edit#gid=1251630045"",""articles_with_PRISMA_reasons!B2:B2113"")))-1)"),"Church")</f>
        <v>Church</v>
      </c>
      <c r="C1508" s="6">
        <f>IFERROR(__xludf.DUMMYFUNCTION("FILTER(IMPORTRANGE(""https://docs.google.com/spreadsheets/d/1BJSV3WBYJGRhQ6zExamkszQ5VutGIcaQqmbD9ZTVXMQ/edit#gid=1251630045"",""articles_with_PRISMA_reasons!C2:C2113""), $A1508=IMPORTRANGE(""https://docs.google.com/spreadsheets/d/1BJSV3WBYJGRhQ6zExamkszQ"&amp;"5VutGIcaQqmbD9ZTVXMQ/edit#gid=1251630045"",""articles_with_PRISMA_reasons!B2:B2113""))"),2020.0)</f>
        <v>2020</v>
      </c>
      <c r="D1508" s="5" t="str">
        <f>IFERROR(__xludf.DUMMYFUNCTION("IFS(AND(
FILTER(IMPORTRANGE(""https://docs.google.com/spreadsheets/d/1BJSV3WBYJGRhQ6zExamkszQ5VutGIcaQqmbD9ZTVXMQ/edit#gid=1251630045"",""articles_with_PRISMA_reasons!Y2:Y2113""), $A1508=IMPORTRANGE(""https://docs.google.com/spreadsheets/d/1BJSV3WBYJGRhQ6"&amp;"zExamkszQ5VutGIcaQqmbD9ZTVXMQ/edit#gid=1251630045"",""articles_with_PRISMA_reasons!B2:B2113""))&gt;=2,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$A1508=IMPORTRANGE(""https://docs.google"&amp;".com/spreadsheets/d/1BJSV3WBYJGRhQ6zExamkszQ5VutGIcaQqmbD9ZTVXMQ/edit#gid=1251630045"",""articles_with_PRISMA_reasons!B2:B2113""))&gt;=2),
""Exclude""
)"),"Exclude")</f>
        <v>Exclude</v>
      </c>
      <c r="E1508" s="5" t="str">
        <f>IFERROR(__xludf.DUMMYFUNCTION("IFS(
D1508=""Exclude"",""Exclude"",
AND(
FILTER(IMPORTRANGE(""https://docs.google.com/spreadsheets/d/1qpEmbGH0JjaJbUdp21-y2cPbobDbMjr09BbtdKROZWc/edit#gid=1444865654"",""articles_with_PRISMA_reasons!W2:W2113""), $A1508=IMPORTRANGE(""https://docs.google.co"&amp;"m/spreadsheets/d/1qpEmbGH0JjaJbUdp21-y2cPbobDbMjr09BbtdKROZWc/edit#gid=1444865654"",""articles_with_PRISMA_reasons!B2:B2113""))&gt;=2,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$A1508=I"&amp;"MPORTRANGE(""https://docs.google.com/spreadsheets/d/1qpEmbGH0JjaJbUdp21-y2cPbobDbMjr09BbtdKROZWc/edit#gid=1444865654"",""articles_with_PRISMA_reasons!B2:B2113""))&gt;=2),
""Exclude""
)"),"Exclude")</f>
        <v>Exclude</v>
      </c>
      <c r="F1508" s="5" t="str">
        <f>IFERROR(__xludf.DUMMYFUNCTION("IFS(
E1508=""Exclude"",""Exclude"",
AND(
COUNTIF(
IMPORTRANGE(""https://docs.google.com/spreadsheets/d/1kGrh75X1cNR1D7_FcY9zMnHP8iPO4M5RCRjy6nZY0TY/edit#gid=0"",""Table 1: Study characteristics!B4:B171""),A1508)&gt;0,
COUNTIF(Studies!$A$2:$A$85,FILTER(IMPORT"&amp;"RANGE(""https://docs.google.com/spreadsheets/d/1kGrh75X1cNR1D7_FcY9zMnHP8iPO4M5RCRjy6nZY0TY/edit#gid=0"",""Table 1: Study characteristics!A4:A171""), $A1508=IMPORTRANGE(""https://docs.google.com/spreadsheets/d/1kGrh75X1cNR1D7_FcY9zMnHP8iPO4M5RCRjy6nZY0TY/"&amp;"edit#gid=0"",""Table 1: Study characteristics!B4:B171"")))&gt;0
),
""Include""
)"),"Exclude")</f>
        <v>Exclude</v>
      </c>
      <c r="G1508" s="5" t="str">
        <f>IFERROR(__xludf.DUMMYFUNCTION("IFS(
D1508=""Exclude"",
FILTER(IMPORTRANGE(""https://docs.google.com/spreadsheets/d/1BJSV3WBYJGRhQ6zExamkszQ5VutGIcaQqmbD9ZTVXMQ/edit#gid=1251630045"",""articles_with_PRISMA_reasons!AB2:AB2113""), $A1508=IMPORTRANGE(""https://docs.google.com/spreadsheets/"&amp;"d/1BJSV3WBYJGRhQ6zExamkszQ5VutGIcaQqmbD9ZTVXMQ/edit#gid=1251630045"",""articles_with_PRISMA_reasons!B2:B2113"")),
E1508=""Exclude"",
FILTER(IMPORTRANGE(""https://docs.google.com/spreadsheets/d/1qpEmbGH0JjaJbUdp21-y2cPbobDbMjr09BbtdKROZWc/edit#gid=14448656"&amp;"54"",""articles_with_PRISMA_reasons!Z2:Z2113""), $A1508=IMPORTRANGE(""https://docs.google.com/spreadsheets/d/1qpEmbGH0JjaJbUdp21-y2cPbobDbMjr09BbtdKROZWc/edit#gid=1444865654"",""articles_with_PRISMA_reasons!B2:B2113"")),F1508
=""Include"",FILTER(IMPORTRAN"&amp;"GE(""https://docs.google.com/spreadsheets/d/1kGrh75X1cNR1D7_FcY9zMnHP8iPO4M5RCRjy6nZY0TY/edit#gid=0"",""Table 1: Study characteristics!A4:A171""), $A1508=IMPORTRANGE(""https://docs.google.com/spreadsheets/d/1kGrh75X1cNR1D7_FcY9zMnHP8iPO4M5RCRjy6nZY0TY/edi"&amp;"t#gid=0"",""Table 1: Study characteristics!B4:B171""))
)"),"background article")</f>
        <v>background article</v>
      </c>
    </row>
    <row r="1509">
      <c r="A1509" s="4" t="str">
        <f>IFERROR(__xludf.DUMMYFUNCTION("""COMPUTED_VALUE"""),"Prenatal detection of a neural tube defect after fetal exposure to valproic acid")</f>
        <v>Prenatal detection of a neural tube defect after fetal exposure to valproic acid</v>
      </c>
      <c r="B1509" s="5" t="str">
        <f>IFERROR(__xludf.DUMMYFUNCTION("LEFT(FILTER(IMPORTRANGE(""https://docs.google.com/spreadsheets/d/1BJSV3WBYJGRhQ6zExamkszQ5VutGIcaQqmbD9ZTVXMQ/edit#gid=1251630045"",""articles_with_PRISMA_reasons!K2:K2113""), $A1509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$A1509=IMPORTRANGE(""https://docs.google.com/spreadsheets/d/1BJSV3WBYJGRhQ6zExamkszQ5VutGIcaQqmbD9ZTVXMQ/edit#gid=1251630045"",""articles_with_PRISMA_reasons!B2:B2113"")))-1)"),"Weinbaum")</f>
        <v>Weinbaum</v>
      </c>
      <c r="C1509" s="6">
        <f>IFERROR(__xludf.DUMMYFUNCTION("FILTER(IMPORTRANGE(""https://docs.google.com/spreadsheets/d/1BJSV3WBYJGRhQ6zExamkszQ5VutGIcaQqmbD9ZTVXMQ/edit#gid=1251630045"",""articles_with_PRISMA_reasons!C2:C2113""), $A1509=IMPORTRANGE(""https://docs.google.com/spreadsheets/d/1BJSV3WBYJGRhQ6zExamkszQ"&amp;"5VutGIcaQqmbD9ZTVXMQ/edit#gid=1251630045"",""articles_with_PRISMA_reasons!B2:B2113""))"),1986.0)</f>
        <v>1986</v>
      </c>
      <c r="D1509" s="5" t="str">
        <f>IFERROR(__xludf.DUMMYFUNCTION("IFS(AND(
FILTER(IMPORTRANGE(""https://docs.google.com/spreadsheets/d/1BJSV3WBYJGRhQ6zExamkszQ5VutGIcaQqmbD9ZTVXMQ/edit#gid=1251630045"",""articles_with_PRISMA_reasons!Y2:Y2113""), $A1509=IMPORTRANGE(""https://docs.google.com/spreadsheets/d/1BJSV3WBYJGRhQ6"&amp;"zExamkszQ5VutGIcaQqmbD9ZTVXMQ/edit#gid=1251630045"",""articles_with_PRISMA_reasons!B2:B2113""))&gt;=2,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$A1509=IMPORTRANGE(""https://docs.google"&amp;".com/spreadsheets/d/1BJSV3WBYJGRhQ6zExamkszQ5VutGIcaQqmbD9ZTVXMQ/edit#gid=1251630045"",""articles_with_PRISMA_reasons!B2:B2113""))&gt;=2),
""Exclude""
)"),"Exclude")</f>
        <v>Exclude</v>
      </c>
      <c r="E1509" s="5" t="str">
        <f>IFERROR(__xludf.DUMMYFUNCTION("IFS(
D1509=""Exclude"",""Exclude"",
AND(
FILTER(IMPORTRANGE(""https://docs.google.com/spreadsheets/d/1qpEmbGH0JjaJbUdp21-y2cPbobDbMjr09BbtdKROZWc/edit#gid=1444865654"",""articles_with_PRISMA_reasons!W2:W2113""), $A1509=IMPORTRANGE(""https://docs.google.co"&amp;"m/spreadsheets/d/1qpEmbGH0JjaJbUdp21-y2cPbobDbMjr09BbtdKROZWc/edit#gid=1444865654"",""articles_with_PRISMA_reasons!B2:B2113""))&gt;=2,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$A1509=I"&amp;"MPORTRANGE(""https://docs.google.com/spreadsheets/d/1qpEmbGH0JjaJbUdp21-y2cPbobDbMjr09BbtdKROZWc/edit#gid=1444865654"",""articles_with_PRISMA_reasons!B2:B2113""))&gt;=2),
""Exclude""
)"),"Exclude")</f>
        <v>Exclude</v>
      </c>
      <c r="F1509" s="5" t="str">
        <f>IFERROR(__xludf.DUMMYFUNCTION("IFS(
E1509=""Exclude"",""Exclude"",
AND(
COUNTIF(
IMPORTRANGE(""https://docs.google.com/spreadsheets/d/1kGrh75X1cNR1D7_FcY9zMnHP8iPO4M5RCRjy6nZY0TY/edit#gid=0"",""Table 1: Study characteristics!B4:B171""),A1509)&gt;0,
COUNTIF(Studies!$A$2:$A$85,FILTER(IMPORT"&amp;"RANGE(""https://docs.google.com/spreadsheets/d/1kGrh75X1cNR1D7_FcY9zMnHP8iPO4M5RCRjy6nZY0TY/edit#gid=0"",""Table 1: Study characteristics!A4:A171""), $A1509=IMPORTRANGE(""https://docs.google.com/spreadsheets/d/1kGrh75X1cNR1D7_FcY9zMnHP8iPO4M5RCRjy6nZY0TY/"&amp;"edit#gid=0"",""Table 1: Study characteristics!B4:B171"")))&gt;0
),
""Include""
)"),"Exclude")</f>
        <v>Exclude</v>
      </c>
      <c r="G1509" s="5" t="str">
        <f>IFERROR(__xludf.DUMMYFUNCTION("IFS(
D1509=""Exclude"",
FILTER(IMPORTRANGE(""https://docs.google.com/spreadsheets/d/1BJSV3WBYJGRhQ6zExamkszQ5VutGIcaQqmbD9ZTVXMQ/edit#gid=1251630045"",""articles_with_PRISMA_reasons!AB2:AB2113""), $A1509=IMPORTRANGE(""https://docs.google.com/spreadsheets/"&amp;"d/1BJSV3WBYJGRhQ6zExamkszQ5VutGIcaQqmbD9ZTVXMQ/edit#gid=1251630045"",""articles_with_PRISMA_reasons!B2:B2113"")),
E1509=""Exclude"",
FILTER(IMPORTRANGE(""https://docs.google.com/spreadsheets/d/1qpEmbGH0JjaJbUdp21-y2cPbobDbMjr09BbtdKROZWc/edit#gid=14448656"&amp;"54"",""articles_with_PRISMA_reasons!Z2:Z2113""), $A1509=IMPORTRANGE(""https://docs.google.com/spreadsheets/d/1qpEmbGH0JjaJbUdp21-y2cPbobDbMjr09BbtdKROZWc/edit#gid=1444865654"",""articles_with_PRISMA_reasons!B2:B2113"")),F1509
=""Include"",FILTER(IMPORTRAN"&amp;"GE(""https://docs.google.com/spreadsheets/d/1kGrh75X1cNR1D7_FcY9zMnHP8iPO4M5RCRjy6nZY0TY/edit#gid=0"",""Table 1: Study characteristics!A4:A171""), $A1509=IMPORTRANGE(""https://docs.google.com/spreadsheets/d/1kGrh75X1cNR1D7_FcY9zMnHP8iPO4M5RCRjy6nZY0TY/edi"&amp;"t#gid=0"",""Table 1: Study characteristics!B4:B171""))
)"),"wrong study design")</f>
        <v>wrong study design</v>
      </c>
    </row>
    <row r="1510">
      <c r="A1510" s="4" t="str">
        <f>IFERROR(__xludf.DUMMYFUNCTION("""COMPUTED_VALUE"""),"Prenatal detection of fetal anomalies with sonography")</f>
        <v>Prenatal detection of fetal anomalies with sonography</v>
      </c>
      <c r="B1510" s="5" t="str">
        <f>IFERROR(__xludf.DUMMYFUNCTION("LEFT(FILTER(IMPORTRANGE(""https://docs.google.com/spreadsheets/d/1BJSV3WBYJGRhQ6zExamkszQ5VutGIcaQqmbD9ZTVXMQ/edit#gid=1251630045"",""articles_with_PRISMA_reasons!K2:K2113""), $A1510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$A1510=IMPORTRANGE(""https://docs.google.com/spreadsheets/d/1BJSV3WBYJGRhQ6zExamkszQ5VutGIcaQqmbD9ZTVXMQ/edit#gid=1251630045"",""articles_with_PRISMA_reasons!B2:B2113"")))-1)"),"Fleischer")</f>
        <v>Fleischer</v>
      </c>
      <c r="C1510" s="6">
        <f>IFERROR(__xludf.DUMMYFUNCTION("FILTER(IMPORTRANGE(""https://docs.google.com/spreadsheets/d/1BJSV3WBYJGRhQ6zExamkszQ5VutGIcaQqmbD9ZTVXMQ/edit#gid=1251630045"",""articles_with_PRISMA_reasons!C2:C2113""), $A1510=IMPORTRANGE(""https://docs.google.com/spreadsheets/d/1BJSV3WBYJGRhQ6zExamkszQ"&amp;"5VutGIcaQqmbD9ZTVXMQ/edit#gid=1251630045"",""articles_with_PRISMA_reasons!B2:B2113""))"),1985.0)</f>
        <v>1985</v>
      </c>
      <c r="D1510" s="5" t="str">
        <f>IFERROR(__xludf.DUMMYFUNCTION("IFS(AND(
FILTER(IMPORTRANGE(""https://docs.google.com/spreadsheets/d/1BJSV3WBYJGRhQ6zExamkszQ5VutGIcaQqmbD9ZTVXMQ/edit#gid=1251630045"",""articles_with_PRISMA_reasons!Y2:Y2113""), $A1510=IMPORTRANGE(""https://docs.google.com/spreadsheets/d/1BJSV3WBYJGRhQ6"&amp;"zExamkszQ5VutGIcaQqmbD9ZTVXMQ/edit#gid=1251630045"",""articles_with_PRISMA_reasons!B2:B2113""))&gt;=2,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$A1510=IMPORTRANGE(""https://docs.google"&amp;".com/spreadsheets/d/1BJSV3WBYJGRhQ6zExamkszQ5VutGIcaQqmbD9ZTVXMQ/edit#gid=1251630045"",""articles_with_PRISMA_reasons!B2:B2113""))&gt;=2),
""Exclude""
)"),"Exclude")</f>
        <v>Exclude</v>
      </c>
      <c r="E1510" s="5" t="str">
        <f>IFERROR(__xludf.DUMMYFUNCTION("IFS(
D1510=""Exclude"",""Exclude"",
AND(
FILTER(IMPORTRANGE(""https://docs.google.com/spreadsheets/d/1qpEmbGH0JjaJbUdp21-y2cPbobDbMjr09BbtdKROZWc/edit#gid=1444865654"",""articles_with_PRISMA_reasons!W2:W2113""), $A1510=IMPORTRANGE(""https://docs.google.co"&amp;"m/spreadsheets/d/1qpEmbGH0JjaJbUdp21-y2cPbobDbMjr09BbtdKROZWc/edit#gid=1444865654"",""articles_with_PRISMA_reasons!B2:B2113""))&gt;=2,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$A1510=I"&amp;"MPORTRANGE(""https://docs.google.com/spreadsheets/d/1qpEmbGH0JjaJbUdp21-y2cPbobDbMjr09BbtdKROZWc/edit#gid=1444865654"",""articles_with_PRISMA_reasons!B2:B2113""))&gt;=2),
""Exclude""
)"),"Exclude")</f>
        <v>Exclude</v>
      </c>
      <c r="F1510" s="5" t="str">
        <f>IFERROR(__xludf.DUMMYFUNCTION("IFS(
E1510=""Exclude"",""Exclude"",
AND(
COUNTIF(
IMPORTRANGE(""https://docs.google.com/spreadsheets/d/1kGrh75X1cNR1D7_FcY9zMnHP8iPO4M5RCRjy6nZY0TY/edit#gid=0"",""Table 1: Study characteristics!B4:B171""),A1510)&gt;0,
COUNTIF(Studies!$A$2:$A$85,FILTER(IMPORT"&amp;"RANGE(""https://docs.google.com/spreadsheets/d/1kGrh75X1cNR1D7_FcY9zMnHP8iPO4M5RCRjy6nZY0TY/edit#gid=0"",""Table 1: Study characteristics!A4:A171""), $A1510=IMPORTRANGE(""https://docs.google.com/spreadsheets/d/1kGrh75X1cNR1D7_FcY9zMnHP8iPO4M5RCRjy6nZY0TY/"&amp;"edit#gid=0"",""Table 1: Study characteristics!B4:B171"")))&gt;0
),
""Include""
)"),"Exclude")</f>
        <v>Exclude</v>
      </c>
      <c r="G1510" s="5" t="str">
        <f>IFERROR(__xludf.DUMMYFUNCTION("IFS(
D1510=""Exclude"",
FILTER(IMPORTRANGE(""https://docs.google.com/spreadsheets/d/1BJSV3WBYJGRhQ6zExamkszQ5VutGIcaQqmbD9ZTVXMQ/edit#gid=1251630045"",""articles_with_PRISMA_reasons!AB2:AB2113""), $A1510=IMPORTRANGE(""https://docs.google.com/spreadsheets/"&amp;"d/1BJSV3WBYJGRhQ6zExamkszQ5VutGIcaQqmbD9ZTVXMQ/edit#gid=1251630045"",""articles_with_PRISMA_reasons!B2:B2113"")),
E1510=""Exclude"",
FILTER(IMPORTRANGE(""https://docs.google.com/spreadsheets/d/1qpEmbGH0JjaJbUdp21-y2cPbobDbMjr09BbtdKROZWc/edit#gid=14448656"&amp;"54"",""articles_with_PRISMA_reasons!Z2:Z2113""), $A1510=IMPORTRANGE(""https://docs.google.com/spreadsheets/d/1qpEmbGH0JjaJbUdp21-y2cPbobDbMjr09BbtdKROZWc/edit#gid=1444865654"",""articles_with_PRISMA_reasons!B2:B2113"")),F1510
=""Include"",FILTER(IMPORTRAN"&amp;"GE(""https://docs.google.com/spreadsheets/d/1kGrh75X1cNR1D7_FcY9zMnHP8iPO4M5RCRjy6nZY0TY/edit#gid=0"",""Table 1: Study characteristics!A4:A171""), $A1510=IMPORTRANGE(""https://docs.google.com/spreadsheets/d/1kGrh75X1cNR1D7_FcY9zMnHP8iPO4M5RCRjy6nZY0TY/edi"&amp;"t#gid=0"",""Table 1: Study characteristics!B4:B171""))
)"),"wrong population")</f>
        <v>wrong population</v>
      </c>
    </row>
    <row r="1511">
      <c r="A1511" s="4" t="str">
        <f>IFERROR(__xludf.DUMMYFUNCTION("""COMPUTED_VALUE"""),"Prenatal diagnosis and pediatric neurosurgery")</f>
        <v>Prenatal diagnosis and pediatric neurosurgery</v>
      </c>
      <c r="B1511" s="5" t="str">
        <f>IFERROR(__xludf.DUMMYFUNCTION("LEFT(FILTER(IMPORTRANGE(""https://docs.google.com/spreadsheets/d/1BJSV3WBYJGRhQ6zExamkszQ5VutGIcaQqmbD9ZTVXMQ/edit#gid=1251630045"",""articles_with_PRISMA_reasons!K2:K2113""), $A1511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$A1511=IMPORTRANGE(""https://docs.google.com/spreadsheets/d/1BJSV3WBYJGRhQ6zExamkszQ5VutGIcaQqmbD9ZTVXMQ/edit#gid=1251630045"",""articles_with_PRISMA_reasons!B2:B2113"")))-1)"),"Bell")</f>
        <v>Bell</v>
      </c>
      <c r="C1511" s="6">
        <f>IFERROR(__xludf.DUMMYFUNCTION("FILTER(IMPORTRANGE(""https://docs.google.com/spreadsheets/d/1BJSV3WBYJGRhQ6zExamkszQ5VutGIcaQqmbD9ZTVXMQ/edit#gid=1251630045"",""articles_with_PRISMA_reasons!C2:C2113""), $A1511=IMPORTRANGE(""https://docs.google.com/spreadsheets/d/1BJSV3WBYJGRhQ6zExamkszQ"&amp;"5VutGIcaQqmbD9ZTVXMQ/edit#gid=1251630045"",""articles_with_PRISMA_reasons!B2:B2113""))"),1996.0)</f>
        <v>1996</v>
      </c>
      <c r="D1511" s="5" t="str">
        <f>IFERROR(__xludf.DUMMYFUNCTION("IFS(AND(
FILTER(IMPORTRANGE(""https://docs.google.com/spreadsheets/d/1BJSV3WBYJGRhQ6zExamkszQ5VutGIcaQqmbD9ZTVXMQ/edit#gid=1251630045"",""articles_with_PRISMA_reasons!Y2:Y2113""), $A1511=IMPORTRANGE(""https://docs.google.com/spreadsheets/d/1BJSV3WBYJGRhQ6"&amp;"zExamkszQ5VutGIcaQqmbD9ZTVXMQ/edit#gid=1251630045"",""articles_with_PRISMA_reasons!B2:B2113""))&gt;=2,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$A1511=IMPORTRANGE(""https://docs.google"&amp;".com/spreadsheets/d/1BJSV3WBYJGRhQ6zExamkszQ5VutGIcaQqmbD9ZTVXMQ/edit#gid=1251630045"",""articles_with_PRISMA_reasons!B2:B2113""))&gt;=2),
""Exclude""
)"),"Exclude")</f>
        <v>Exclude</v>
      </c>
      <c r="E1511" s="5" t="str">
        <f>IFERROR(__xludf.DUMMYFUNCTION("IFS(
D1511=""Exclude"",""Exclude"",
AND(
FILTER(IMPORTRANGE(""https://docs.google.com/spreadsheets/d/1qpEmbGH0JjaJbUdp21-y2cPbobDbMjr09BbtdKROZWc/edit#gid=1444865654"",""articles_with_PRISMA_reasons!W2:W2113""), $A1511=IMPORTRANGE(""https://docs.google.co"&amp;"m/spreadsheets/d/1qpEmbGH0JjaJbUdp21-y2cPbobDbMjr09BbtdKROZWc/edit#gid=1444865654"",""articles_with_PRISMA_reasons!B2:B2113""))&gt;=2,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$A1511=I"&amp;"MPORTRANGE(""https://docs.google.com/spreadsheets/d/1qpEmbGH0JjaJbUdp21-y2cPbobDbMjr09BbtdKROZWc/edit#gid=1444865654"",""articles_with_PRISMA_reasons!B2:B2113""))&gt;=2),
""Exclude""
)"),"Exclude")</f>
        <v>Exclude</v>
      </c>
      <c r="F1511" s="5" t="str">
        <f>IFERROR(__xludf.DUMMYFUNCTION("IFS(
E1511=""Exclude"",""Exclude"",
AND(
COUNTIF(
IMPORTRANGE(""https://docs.google.com/spreadsheets/d/1kGrh75X1cNR1D7_FcY9zMnHP8iPO4M5RCRjy6nZY0TY/edit#gid=0"",""Table 1: Study characteristics!B4:B171""),A1511)&gt;0,
COUNTIF(Studies!$A$2:$A$85,FILTER(IMPORT"&amp;"RANGE(""https://docs.google.com/spreadsheets/d/1kGrh75X1cNR1D7_FcY9zMnHP8iPO4M5RCRjy6nZY0TY/edit#gid=0"",""Table 1: Study characteristics!A4:A171""), $A1511=IMPORTRANGE(""https://docs.google.com/spreadsheets/d/1kGrh75X1cNR1D7_FcY9zMnHP8iPO4M5RCRjy6nZY0TY/"&amp;"edit#gid=0"",""Table 1: Study characteristics!B4:B171"")))&gt;0
),
""Include""
)"),"Exclude")</f>
        <v>Exclude</v>
      </c>
      <c r="G1511" s="5" t="str">
        <f>IFERROR(__xludf.DUMMYFUNCTION("IFS(
D1511=""Exclude"",
FILTER(IMPORTRANGE(""https://docs.google.com/spreadsheets/d/1BJSV3WBYJGRhQ6zExamkszQ5VutGIcaQqmbD9ZTVXMQ/edit#gid=1251630045"",""articles_with_PRISMA_reasons!AB2:AB2113""), $A1511=IMPORTRANGE(""https://docs.google.com/spreadsheets/"&amp;"d/1BJSV3WBYJGRhQ6zExamkszQ5VutGIcaQqmbD9ZTVXMQ/edit#gid=1251630045"",""articles_with_PRISMA_reasons!B2:B2113"")),
E1511=""Exclude"",
FILTER(IMPORTRANGE(""https://docs.google.com/spreadsheets/d/1qpEmbGH0JjaJbUdp21-y2cPbobDbMjr09BbtdKROZWc/edit#gid=14448656"&amp;"54"",""articles_with_PRISMA_reasons!Z2:Z2113""), $A1511=IMPORTRANGE(""https://docs.google.com/spreadsheets/d/1qpEmbGH0JjaJbUdp21-y2cPbobDbMjr09BbtdKROZWc/edit#gid=1444865654"",""articles_with_PRISMA_reasons!B2:B2113"")),F1511
=""Include"",FILTER(IMPORTRAN"&amp;"GE(""https://docs.google.com/spreadsheets/d/1kGrh75X1cNR1D7_FcY9zMnHP8iPO4M5RCRjy6nZY0TY/edit#gid=0"",""Table 1: Study characteristics!A4:A171""), $A1511=IMPORTRANGE(""https://docs.google.com/spreadsheets/d/1kGrh75X1cNR1D7_FcY9zMnHP8iPO4M5RCRjy6nZY0TY/edi"&amp;"t#gid=0"",""Table 1: Study characteristics!B4:B171""))
)"),"Ante-natal intervention")</f>
        <v>Ante-natal intervention</v>
      </c>
    </row>
    <row r="1512">
      <c r="A1512" s="4" t="str">
        <f>IFERROR(__xludf.DUMMYFUNCTION("""COMPUTED_VALUE"""),"Prenatal diagnosis of a 22q11 deletion in a second-trimester fetus with conotruncal anomaly, absent thymus and meningomyelocele: Kousseff syndrome")</f>
        <v>Prenatal diagnosis of a 22q11 deletion in a second-trimester fetus with conotruncal anomaly, absent thymus and meningomyelocele: Kousseff syndrome</v>
      </c>
      <c r="B1512" s="5" t="str">
        <f>IFERROR(__xludf.DUMMYFUNCTION("LEFT(FILTER(IMPORTRANGE(""https://docs.google.com/spreadsheets/d/1BJSV3WBYJGRhQ6zExamkszQ5VutGIcaQqmbD9ZTVXMQ/edit#gid=1251630045"",""articles_with_PRISMA_reasons!K2:K2113""), $A1512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$A1512=IMPORTRANGE(""https://docs.google.com/spreadsheets/d/1BJSV3WBYJGRhQ6zExamkszQ5VutGIcaQqmbD9ZTVXMQ/edit#gid=1251630045"",""articles_with_PRISMA_reasons!B2:B2113"")))-1)"),"C and a")</f>
        <v>C and a</v>
      </c>
      <c r="C1512" s="6">
        <f>IFERROR(__xludf.DUMMYFUNCTION("FILTER(IMPORTRANGE(""https://docs.google.com/spreadsheets/d/1BJSV3WBYJGRhQ6zExamkszQ5VutGIcaQqmbD9ZTVXMQ/edit#gid=1251630045"",""articles_with_PRISMA_reasons!C2:C2113""), $A1512=IMPORTRANGE(""https://docs.google.com/spreadsheets/d/1BJSV3WBYJGRhQ6zExamkszQ"&amp;"5VutGIcaQqmbD9ZTVXMQ/edit#gid=1251630045"",""articles_with_PRISMA_reasons!B2:B2113""))"),2012.0)</f>
        <v>2012</v>
      </c>
      <c r="D1512" s="5" t="str">
        <f>IFERROR(__xludf.DUMMYFUNCTION("IFS(AND(
FILTER(IMPORTRANGE(""https://docs.google.com/spreadsheets/d/1BJSV3WBYJGRhQ6zExamkszQ5VutGIcaQqmbD9ZTVXMQ/edit#gid=1251630045"",""articles_with_PRISMA_reasons!Y2:Y2113""), $A1512=IMPORTRANGE(""https://docs.google.com/spreadsheets/d/1BJSV3WBYJGRhQ6"&amp;"zExamkszQ5VutGIcaQqmbD9ZTVXMQ/edit#gid=1251630045"",""articles_with_PRISMA_reasons!B2:B2113""))&gt;=2,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$A1512=IMPORTRANGE(""https://docs.google"&amp;".com/spreadsheets/d/1BJSV3WBYJGRhQ6zExamkszQ5VutGIcaQqmbD9ZTVXMQ/edit#gid=1251630045"",""articles_with_PRISMA_reasons!B2:B2113""))&gt;=2),
""Exclude""
)"),"Exclude")</f>
        <v>Exclude</v>
      </c>
      <c r="E1512" s="5" t="str">
        <f>IFERROR(__xludf.DUMMYFUNCTION("IFS(
D1512=""Exclude"",""Exclude"",
AND(
FILTER(IMPORTRANGE(""https://docs.google.com/spreadsheets/d/1qpEmbGH0JjaJbUdp21-y2cPbobDbMjr09BbtdKROZWc/edit#gid=1444865654"",""articles_with_PRISMA_reasons!W2:W2113""), $A1512=IMPORTRANGE(""https://docs.google.co"&amp;"m/spreadsheets/d/1qpEmbGH0JjaJbUdp21-y2cPbobDbMjr09BbtdKROZWc/edit#gid=1444865654"",""articles_with_PRISMA_reasons!B2:B2113""))&gt;=2,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$A1512=I"&amp;"MPORTRANGE(""https://docs.google.com/spreadsheets/d/1qpEmbGH0JjaJbUdp21-y2cPbobDbMjr09BbtdKROZWc/edit#gid=1444865654"",""articles_with_PRISMA_reasons!B2:B2113""))&gt;=2),
""Exclude""
)"),"Exclude")</f>
        <v>Exclude</v>
      </c>
      <c r="F1512" s="5" t="str">
        <f>IFERROR(__xludf.DUMMYFUNCTION("IFS(
E1512=""Exclude"",""Exclude"",
AND(
COUNTIF(
IMPORTRANGE(""https://docs.google.com/spreadsheets/d/1kGrh75X1cNR1D7_FcY9zMnHP8iPO4M5RCRjy6nZY0TY/edit#gid=0"",""Table 1: Study characteristics!B4:B171""),A1512)&gt;0,
COUNTIF(Studies!$A$2:$A$85,FILTER(IMPORT"&amp;"RANGE(""https://docs.google.com/spreadsheets/d/1kGrh75X1cNR1D7_FcY9zMnHP8iPO4M5RCRjy6nZY0TY/edit#gid=0"",""Table 1: Study characteristics!A4:A171""), $A1512=IMPORTRANGE(""https://docs.google.com/spreadsheets/d/1kGrh75X1cNR1D7_FcY9zMnHP8iPO4M5RCRjy6nZY0TY/"&amp;"edit#gid=0"",""Table 1: Study characteristics!B4:B171"")))&gt;0
),
""Include""
)"),"Exclude")</f>
        <v>Exclude</v>
      </c>
      <c r="G1512" s="5" t="str">
        <f>IFERROR(__xludf.DUMMYFUNCTION("IFS(
D1512=""Exclude"",
FILTER(IMPORTRANGE(""https://docs.google.com/spreadsheets/d/1BJSV3WBYJGRhQ6zExamkszQ5VutGIcaQqmbD9ZTVXMQ/edit#gid=1251630045"",""articles_with_PRISMA_reasons!AB2:AB2113""), $A1512=IMPORTRANGE(""https://docs.google.com/spreadsheets/"&amp;"d/1BJSV3WBYJGRhQ6zExamkszQ5VutGIcaQqmbD9ZTVXMQ/edit#gid=1251630045"",""articles_with_PRISMA_reasons!B2:B2113"")),
E1512=""Exclude"",
FILTER(IMPORTRANGE(""https://docs.google.com/spreadsheets/d/1qpEmbGH0JjaJbUdp21-y2cPbobDbMjr09BbtdKROZWc/edit#gid=14448656"&amp;"54"",""articles_with_PRISMA_reasons!Z2:Z2113""), $A1512=IMPORTRANGE(""https://docs.google.com/spreadsheets/d/1qpEmbGH0JjaJbUdp21-y2cPbobDbMjr09BbtdKROZWc/edit#gid=1444865654"",""articles_with_PRISMA_reasons!B2:B2113"")),F1512
=""Include"",FILTER(IMPORTRAN"&amp;"GE(""https://docs.google.com/spreadsheets/d/1kGrh75X1cNR1D7_FcY9zMnHP8iPO4M5RCRjy6nZY0TY/edit#gid=0"",""Table 1: Study characteristics!A4:A171""), $A1512=IMPORTRANGE(""https://docs.google.com/spreadsheets/d/1kGrh75X1cNR1D7_FcY9zMnHP8iPO4M5RCRjy6nZY0TY/edi"&amp;"t#gid=0"",""Table 1: Study characteristics!B4:B171""))
)"),"wrong study design")</f>
        <v>wrong study design</v>
      </c>
    </row>
    <row r="1513">
      <c r="A1513" s="4" t="str">
        <f>IFERROR(__xludf.DUMMYFUNCTION("""COMPUTED_VALUE"""),"Prenatal diagnosis of neural tube defects")</f>
        <v>Prenatal diagnosis of neural tube defects</v>
      </c>
      <c r="B1513" s="5" t="str">
        <f>IFERROR(__xludf.DUMMYFUNCTION("LEFT(FILTER(IMPORTRANGE(""https://docs.google.com/spreadsheets/d/1BJSV3WBYJGRhQ6zExamkszQ5VutGIcaQqmbD9ZTVXMQ/edit#gid=1251630045"",""articles_with_PRISMA_reasons!K2:K2113""), $A1513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$A1513=IMPORTRANGE(""https://docs.google.com/spreadsheets/d/1BJSV3WBYJGRhQ6zExamkszQ5VutGIcaQqmbD9ZTVXMQ/edit#gid=1251630045"",""articles_with_PRISMA_reasons!B2:B2113"")))-1)"),"Macri")</f>
        <v>Macri</v>
      </c>
      <c r="C1513" s="6">
        <f>IFERROR(__xludf.DUMMYFUNCTION("FILTER(IMPORTRANGE(""https://docs.google.com/spreadsheets/d/1BJSV3WBYJGRhQ6zExamkszQ5VutGIcaQqmbD9ZTVXMQ/edit#gid=1251630045"",""articles_with_PRISMA_reasons!C2:C2113""), $A1513=IMPORTRANGE(""https://docs.google.com/spreadsheets/d/1BJSV3WBYJGRhQ6zExamkszQ"&amp;"5VutGIcaQqmbD9ZTVXMQ/edit#gid=1251630045"",""articles_with_PRISMA_reasons!B2:B2113""))"),1976.0)</f>
        <v>1976</v>
      </c>
      <c r="D1513" s="5" t="str">
        <f>IFERROR(__xludf.DUMMYFUNCTION("IFS(AND(
FILTER(IMPORTRANGE(""https://docs.google.com/spreadsheets/d/1BJSV3WBYJGRhQ6zExamkszQ5VutGIcaQqmbD9ZTVXMQ/edit#gid=1251630045"",""articles_with_PRISMA_reasons!Y2:Y2113""), $A1513=IMPORTRANGE(""https://docs.google.com/spreadsheets/d/1BJSV3WBYJGRhQ6"&amp;"zExamkszQ5VutGIcaQqmbD9ZTVXMQ/edit#gid=1251630045"",""articles_with_PRISMA_reasons!B2:B2113""))&gt;=2,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$A1513=IMPORTRANGE(""https://docs.google"&amp;".com/spreadsheets/d/1BJSV3WBYJGRhQ6zExamkszQ5VutGIcaQqmbD9ZTVXMQ/edit#gid=1251630045"",""articles_with_PRISMA_reasons!B2:B2113""))&gt;=2),
""Exclude""
)"),"Exclude")</f>
        <v>Exclude</v>
      </c>
      <c r="E1513" s="5" t="str">
        <f>IFERROR(__xludf.DUMMYFUNCTION("IFS(
D1513=""Exclude"",""Exclude"",
AND(
FILTER(IMPORTRANGE(""https://docs.google.com/spreadsheets/d/1qpEmbGH0JjaJbUdp21-y2cPbobDbMjr09BbtdKROZWc/edit#gid=1444865654"",""articles_with_PRISMA_reasons!W2:W2113""), $A1513=IMPORTRANGE(""https://docs.google.co"&amp;"m/spreadsheets/d/1qpEmbGH0JjaJbUdp21-y2cPbobDbMjr09BbtdKROZWc/edit#gid=1444865654"",""articles_with_PRISMA_reasons!B2:B2113""))&gt;=2,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$A1513=I"&amp;"MPORTRANGE(""https://docs.google.com/spreadsheets/d/1qpEmbGH0JjaJbUdp21-y2cPbobDbMjr09BbtdKROZWc/edit#gid=1444865654"",""articles_with_PRISMA_reasons!B2:B2113""))&gt;=2),
""Exclude""
)"),"Exclude")</f>
        <v>Exclude</v>
      </c>
      <c r="F1513" s="5" t="str">
        <f>IFERROR(__xludf.DUMMYFUNCTION("IFS(
E1513=""Exclude"",""Exclude"",
AND(
COUNTIF(
IMPORTRANGE(""https://docs.google.com/spreadsheets/d/1kGrh75X1cNR1D7_FcY9zMnHP8iPO4M5RCRjy6nZY0TY/edit#gid=0"",""Table 1: Study characteristics!B4:B171""),A1513)&gt;0,
COUNTIF(Studies!$A$2:$A$85,FILTER(IMPORT"&amp;"RANGE(""https://docs.google.com/spreadsheets/d/1kGrh75X1cNR1D7_FcY9zMnHP8iPO4M5RCRjy6nZY0TY/edit#gid=0"",""Table 1: Study characteristics!A4:A171""), $A1513=IMPORTRANGE(""https://docs.google.com/spreadsheets/d/1kGrh75X1cNR1D7_FcY9zMnHP8iPO4M5RCRjy6nZY0TY/"&amp;"edit#gid=0"",""Table 1: Study characteristics!B4:B171"")))&gt;0
),
""Include""
)"),"Exclude")</f>
        <v>Exclude</v>
      </c>
      <c r="G1513" s="5" t="str">
        <f>IFERROR(__xludf.DUMMYFUNCTION("IFS(
D1513=""Exclude"",
FILTER(IMPORTRANGE(""https://docs.google.com/spreadsheets/d/1BJSV3WBYJGRhQ6zExamkszQ5VutGIcaQqmbD9ZTVXMQ/edit#gid=1251630045"",""articles_with_PRISMA_reasons!AB2:AB2113""), $A1513=IMPORTRANGE(""https://docs.google.com/spreadsheets/"&amp;"d/1BJSV3WBYJGRhQ6zExamkszQ5VutGIcaQqmbD9ZTVXMQ/edit#gid=1251630045"",""articles_with_PRISMA_reasons!B2:B2113"")),
E1513=""Exclude"",
FILTER(IMPORTRANGE(""https://docs.google.com/spreadsheets/d/1qpEmbGH0JjaJbUdp21-y2cPbobDbMjr09BbtdKROZWc/edit#gid=14448656"&amp;"54"",""articles_with_PRISMA_reasons!Z2:Z2113""), $A1513=IMPORTRANGE(""https://docs.google.com/spreadsheets/d/1qpEmbGH0JjaJbUdp21-y2cPbobDbMjr09BbtdKROZWc/edit#gid=1444865654"",""articles_with_PRISMA_reasons!B2:B2113"")),F1513
=""Include"",FILTER(IMPORTRAN"&amp;"GE(""https://docs.google.com/spreadsheets/d/1kGrh75X1cNR1D7_FcY9zMnHP8iPO4M5RCRjy6nZY0TY/edit#gid=0"",""Table 1: Study characteristics!A4:A171""), $A1513=IMPORTRANGE(""https://docs.google.com/spreadsheets/d/1kGrh75X1cNR1D7_FcY9zMnHP8iPO4M5RCRjy6nZY0TY/edi"&amp;"t#gid=0"",""Table 1: Study characteristics!B4:B171""))
)"),"Duplicate")</f>
        <v>Duplicate</v>
      </c>
    </row>
    <row r="1514">
      <c r="A1514" s="4" t="str">
        <f>IFERROR(__xludf.DUMMYFUNCTION("""COMPUTED_VALUE"""),"Prenatal diagnosis of pentalogy of Cantrell in the third trimester")</f>
        <v>Prenatal diagnosis of pentalogy of Cantrell in the third trimester</v>
      </c>
      <c r="B1514" s="5" t="str">
        <f>IFERROR(__xludf.DUMMYFUNCTION("LEFT(FILTER(IMPORTRANGE(""https://docs.google.com/spreadsheets/d/1BJSV3WBYJGRhQ6zExamkszQ5VutGIcaQqmbD9ZTVXMQ/edit#gid=1251630045"",""articles_with_PRISMA_reasons!K2:K2113""), $A1514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$A1514=IMPORTRANGE(""https://docs.google.com/spreadsheets/d/1BJSV3WBYJGRhQ6zExamkszQ5VutGIcaQqmbD9ZTVXMQ/edit#gid=1251630045"",""articles_with_PRISMA_reasons!B2:B2113"")))-1)"),"Dosedla")</f>
        <v>Dosedla</v>
      </c>
      <c r="C1514" s="6">
        <f>IFERROR(__xludf.DUMMYFUNCTION("FILTER(IMPORTRANGE(""https://docs.google.com/spreadsheets/d/1BJSV3WBYJGRhQ6zExamkszQ5VutGIcaQqmbD9ZTVXMQ/edit#gid=1251630045"",""articles_with_PRISMA_reasons!C2:C2113""), $A1514=IMPORTRANGE(""https://docs.google.com/spreadsheets/d/1BJSV3WBYJGRhQ6zExamkszQ"&amp;"5VutGIcaQqmbD9ZTVXMQ/edit#gid=1251630045"",""articles_with_PRISMA_reasons!B2:B2113""))"),2009.0)</f>
        <v>2009</v>
      </c>
      <c r="D1514" s="5" t="str">
        <f>IFERROR(__xludf.DUMMYFUNCTION("IFS(AND(
FILTER(IMPORTRANGE(""https://docs.google.com/spreadsheets/d/1BJSV3WBYJGRhQ6zExamkszQ5VutGIcaQqmbD9ZTVXMQ/edit#gid=1251630045"",""articles_with_PRISMA_reasons!Y2:Y2113""), $A1514=IMPORTRANGE(""https://docs.google.com/spreadsheets/d/1BJSV3WBYJGRhQ6"&amp;"zExamkszQ5VutGIcaQqmbD9ZTVXMQ/edit#gid=1251630045"",""articles_with_PRISMA_reasons!B2:B2113""))&gt;=2,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$A1514=IMPORTRANGE(""https://docs.google.com/spreadsheets/d/1BJSV3WBYJGRhQ6zExamkszQ5VutGIcaQqmbD9ZTVXMQ/edit#gid=1251630045"",""articles_with_PRISMA_reasons!B2:B2113""))&lt;2),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$A1514=IMPORTRANGE(""https://docs.google.com/spreadsheets/d/1BJSV3WBYJGRhQ6zExamkszQ5VutGIcaQqmbD9ZTVXMQ/edit#gid=1251630045"",""a"&amp;"rticles_with_PRISMA_reasons!B2:B2113""))&lt;2,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$A1514=IMPORTRANGE(""https://docs.google"&amp;".com/spreadsheets/d/1BJSV3WBYJGRhQ6zExamkszQ5VutGIcaQqmbD9ZTVXMQ/edit#gid=1251630045"",""articles_with_PRISMA_reasons!B2:B2113""))&gt;=2),
""Exclude""
)"),"Exclude")</f>
        <v>Exclude</v>
      </c>
      <c r="E1514" s="5" t="str">
        <f>IFERROR(__xludf.DUMMYFUNCTION("IFS(
D1514=""Exclude"",""Exclude"",
AND(
FILTER(IMPORTRANGE(""https://docs.google.com/spreadsheets/d/1qpEmbGH0JjaJbUdp21-y2cPbobDbMjr09BbtdKROZWc/edit#gid=1444865654"",""articles_with_PRISMA_reasons!W2:W2113""), $A1514=IMPORTRANGE(""https://docs.google.co"&amp;"m/spreadsheets/d/1qpEmbGH0JjaJbUdp21-y2cPbobDbMjr09BbtdKROZWc/edit#gid=1444865654"",""articles_with_PRISMA_reasons!B2:B2113""))&gt;=2,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$A1514=IMPORTRANGE(""https://docs.google.com/spreadsheets/d/1qpEmbGH0JjaJbUdp21-y2cPbobDbMjr09BbtdKROZWc/edit#gid=1444865654"",""articles_with_PRISMA_reasons!B2:B2113""))&lt;2),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$A1514=IMPORTRANGE(""https://docs.google.com/spreadsheets/d/1qpEmbGH0JjaJbUdp21-y2cPbobDbMjr09Bbtd"&amp;"KROZWc/edit#gid=1444865654"",""articles_with_PRISMA_reasons!B2:B2113""))&lt;2,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$A1514=I"&amp;"MPORTRANGE(""https://docs.google.com/spreadsheets/d/1qpEmbGH0JjaJbUdp21-y2cPbobDbMjr09BbtdKROZWc/edit#gid=1444865654"",""articles_with_PRISMA_reasons!B2:B2113""))&gt;=2),
""Exclude""
)"),"Exclude")</f>
        <v>Exclude</v>
      </c>
      <c r="F1514" s="5" t="str">
        <f>IFERROR(__xludf.DUMMYFUNCTION("IFS(
E1514=""Exclude"",""Exclude"",
AND(
COUNTIF(
IMPORTRANGE(""https://docs.google.com/spreadsheets/d/1kGrh75X1cNR1D7_FcY9zMnHP8iPO4M5RCRjy6nZY0TY/edit#gid=0"",""Table 1: Study characteristics!B4:B171""),A1514)&gt;0,
COUNTIF(Studies!$A$2:$A$85,FILTER(IMPORT"&amp;"RANGE(""https://docs.google.com/spreadsheets/d/1kGrh75X1cNR1D7_FcY9zMnHP8iPO4M5RCRjy6nZY0TY/edit#gid=0"",""Table 1: Study characteristics!A4:A171""), $A1514=IMPORTRANGE(""https://docs.google.com/spreadsheets/d/1kGrh75X1cNR1D7_FcY9zMnHP8iPO4M5RCRjy6nZY0TY/"&amp;"edit#gid=0"",""Table 1: Study characteristics!B4:B171"")))&gt;0
),
""Include""
)"),"Exclude")</f>
        <v>Exclude</v>
      </c>
      <c r="G1514" s="5" t="str">
        <f>IFERROR(__xludf.DUMMYFUNCTION("IFS(
D1514=""Exclude"",
FILTER(IMPORTRANGE(""https://docs.google.com/spreadsheets/d/1BJSV3WBYJGRhQ6zExamkszQ5VutGIcaQqmbD9ZTVXMQ/edit#gid=1251630045"",""articles_with_PRISMA_reasons!AB2:AB2113""), $A1514=IMPORTRANGE(""https://docs.google.com/spreadsheets/"&amp;"d/1BJSV3WBYJGRhQ6zExamkszQ5VutGIcaQqmbD9ZTVXMQ/edit#gid=1251630045"",""articles_with_PRISMA_reasons!B2:B2113"")),
E1514=""Exclude"",
FILTER(IMPORTRANGE(""https://docs.google.com/spreadsheets/d/1qpEmbGH0JjaJbUdp21-y2cPbobDbMjr09BbtdKROZWc/edit#gid=14448656"&amp;"54"",""articles_with_PRISMA_reasons!Z2:Z2113""), $A1514=IMPORTRANGE(""https://docs.google.com/spreadsheets/d/1qpEmbGH0JjaJbUdp21-y2cPbobDbMjr09BbtdKROZWc/edit#gid=1444865654"",""articles_with_PRISMA_reasons!B2:B2113"")),F1514
=""Include"",FILTER(IMPORTRAN"&amp;"GE(""https://docs.google.com/spreadsheets/d/1kGrh75X1cNR1D7_FcY9zMnHP8iPO4M5RCRjy6nZY0TY/edit#gid=0"",""Table 1: Study characteristics!A4:A171""), $A1514=IMPORTRANGE(""https://docs.google.com/spreadsheets/d/1kGrh75X1cNR1D7_FcY9zMnHP8iPO4M5RCRjy6nZY0TY/edi"&amp;"t#gid=0"",""Table 1: Study characteristics!B4:B171""))
)"),"wrong study design")</f>
        <v>wrong study design</v>
      </c>
    </row>
    <row r="1515">
      <c r="A1515" s="4" t="str">
        <f>IFERROR(__xludf.DUMMYFUNCTION("""COMPUTED_VALUE"""),"Prenatal diagnosis of urinary ascites in a fetus with meningomyelocele")</f>
        <v>Prenatal diagnosis of urinary ascites in a fetus with meningomyelocele</v>
      </c>
      <c r="B1515" s="5" t="str">
        <f>IFERROR(__xludf.DUMMYFUNCTION("LEFT(FILTER(IMPORTRANGE(""https://docs.google.com/spreadsheets/d/1BJSV3WBYJGRhQ6zExamkszQ5VutGIcaQqmbD9ZTVXMQ/edit#gid=1251630045"",""articles_with_PRISMA_reasons!K2:K2113""), $A1515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$A1515=IMPORTRANGE(""https://docs.google.com/spreadsheets/d/1BJSV3WBYJGRhQ6zExamkszQ5VutGIcaQqmbD9ZTVXMQ/edit#gid=1251630045"",""articles_with_PRISMA_reasons!B2:B2113"")))-1)"),"Son")</f>
        <v>Son</v>
      </c>
      <c r="C1515" s="6">
        <f>IFERROR(__xludf.DUMMYFUNCTION("FILTER(IMPORTRANGE(""https://docs.google.com/spreadsheets/d/1BJSV3WBYJGRhQ6zExamkszQ5VutGIcaQqmbD9ZTVXMQ/edit#gid=1251630045"",""articles_with_PRISMA_reasons!C2:C2113""), $A1515=IMPORTRANGE(""https://docs.google.com/spreadsheets/d/1BJSV3WBYJGRhQ6zExamkszQ"&amp;"5VutGIcaQqmbD9ZTVXMQ/edit#gid=1251630045"",""articles_with_PRISMA_reasons!B2:B2113""))"),2010.0)</f>
        <v>2010</v>
      </c>
      <c r="D1515" s="5" t="str">
        <f>IFERROR(__xludf.DUMMYFUNCTION("IFS(AND(
FILTER(IMPORTRANGE(""https://docs.google.com/spreadsheets/d/1BJSV3WBYJGRhQ6zExamkszQ5VutGIcaQqmbD9ZTVXMQ/edit#gid=1251630045"",""articles_with_PRISMA_reasons!Y2:Y2113""), $A1515=IMPORTRANGE(""https://docs.google.com/spreadsheets/d/1BJSV3WBYJGRhQ6"&amp;"zExamkszQ5VutGIcaQqmbD9ZTVXMQ/edit#gid=1251630045"",""articles_with_PRISMA_reasons!B2:B2113""))&gt;=2,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$A1515=IMPORTRANGE(""https://docs.google.com/spreadsheets/d/1BJSV3WBYJGRhQ6zExamkszQ5VutGIcaQqmbD9ZTVXMQ/edit#gid=1251630045"",""articles_with_PRISMA_reasons!B2:B2113""))&lt;2),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$A1515=IMPORTRANGE(""https://docs.google.com/spreadsheets/d/1BJSV3WBYJGRhQ6zExamkszQ5VutGIcaQqmbD9ZTVXMQ/edit#gid=1251630045"",""a"&amp;"rticles_with_PRISMA_reasons!B2:B2113""))&lt;2,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$A1515=IMPORTRANGE(""https://docs.google"&amp;".com/spreadsheets/d/1BJSV3WBYJGRhQ6zExamkszQ5VutGIcaQqmbD9ZTVXMQ/edit#gid=1251630045"",""articles_with_PRISMA_reasons!B2:B2113""))&gt;=2),
""Exclude""
)"),"Exclude")</f>
        <v>Exclude</v>
      </c>
      <c r="E1515" s="5" t="str">
        <f>IFERROR(__xludf.DUMMYFUNCTION("IFS(
D1515=""Exclude"",""Exclude"",
AND(
FILTER(IMPORTRANGE(""https://docs.google.com/spreadsheets/d/1qpEmbGH0JjaJbUdp21-y2cPbobDbMjr09BbtdKROZWc/edit#gid=1444865654"",""articles_with_PRISMA_reasons!W2:W2113""), $A1515=IMPORTRANGE(""https://docs.google.co"&amp;"m/spreadsheets/d/1qpEmbGH0JjaJbUdp21-y2cPbobDbMjr09BbtdKROZWc/edit#gid=1444865654"",""articles_with_PRISMA_reasons!B2:B2113""))&gt;=2,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$A1515=IMPORTRANGE(""https://docs.google.com/spreadsheets/d/1qpEmbGH0JjaJbUdp21-y2cPbobDbMjr09BbtdKROZWc/edit#gid=1444865654"",""articles_with_PRISMA_reasons!B2:B2113""))&lt;2),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$A1515=IMPORTRANGE(""https://docs.google.com/spreadsheets/d/1qpEmbGH0JjaJbUdp21-y2cPbobDbMjr09Bbtd"&amp;"KROZWc/edit#gid=1444865654"",""articles_with_PRISMA_reasons!B2:B2113""))&lt;2,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$A1515=I"&amp;"MPORTRANGE(""https://docs.google.com/spreadsheets/d/1qpEmbGH0JjaJbUdp21-y2cPbobDbMjr09BbtdKROZWc/edit#gid=1444865654"",""articles_with_PRISMA_reasons!B2:B2113""))&gt;=2),
""Exclude""
)"),"Exclude")</f>
        <v>Exclude</v>
      </c>
      <c r="F1515" s="5" t="str">
        <f>IFERROR(__xludf.DUMMYFUNCTION("IFS(
E1515=""Exclude"",""Exclude"",
AND(
COUNTIF(
IMPORTRANGE(""https://docs.google.com/spreadsheets/d/1kGrh75X1cNR1D7_FcY9zMnHP8iPO4M5RCRjy6nZY0TY/edit#gid=0"",""Table 1: Study characteristics!B4:B171""),A1515)&gt;0,
COUNTIF(Studies!$A$2:$A$85,FILTER(IMPORT"&amp;"RANGE(""https://docs.google.com/spreadsheets/d/1kGrh75X1cNR1D7_FcY9zMnHP8iPO4M5RCRjy6nZY0TY/edit#gid=0"",""Table 1: Study characteristics!A4:A171""), $A1515=IMPORTRANGE(""https://docs.google.com/spreadsheets/d/1kGrh75X1cNR1D7_FcY9zMnHP8iPO4M5RCRjy6nZY0TY/"&amp;"edit#gid=0"",""Table 1: Study characteristics!B4:B171"")))&gt;0
),
""Include""
)"),"Exclude")</f>
        <v>Exclude</v>
      </c>
      <c r="G1515" s="5" t="str">
        <f>IFERROR(__xludf.DUMMYFUNCTION("IFS(
D1515=""Exclude"",
FILTER(IMPORTRANGE(""https://docs.google.com/spreadsheets/d/1BJSV3WBYJGRhQ6zExamkszQ5VutGIcaQqmbD9ZTVXMQ/edit#gid=1251630045"",""articles_with_PRISMA_reasons!AB2:AB2113""), $A1515=IMPORTRANGE(""https://docs.google.com/spreadsheets/"&amp;"d/1BJSV3WBYJGRhQ6zExamkszQ5VutGIcaQqmbD9ZTVXMQ/edit#gid=1251630045"",""articles_with_PRISMA_reasons!B2:B2113"")),
E1515=""Exclude"",
FILTER(IMPORTRANGE(""https://docs.google.com/spreadsheets/d/1qpEmbGH0JjaJbUdp21-y2cPbobDbMjr09BbtdKROZWc/edit#gid=14448656"&amp;"54"",""articles_with_PRISMA_reasons!Z2:Z2113""), $A1515=IMPORTRANGE(""https://docs.google.com/spreadsheets/d/1qpEmbGH0JjaJbUdp21-y2cPbobDbMjr09BbtdKROZWc/edit#gid=1444865654"",""articles_with_PRISMA_reasons!B2:B2113"")),F1515
=""Include"",FILTER(IMPORTRAN"&amp;"GE(""https://docs.google.com/spreadsheets/d/1kGrh75X1cNR1D7_FcY9zMnHP8iPO4M5RCRjy6nZY0TY/edit#gid=0"",""Table 1: Study characteristics!A4:A171""), $A1515=IMPORTRANGE(""https://docs.google.com/spreadsheets/d/1kGrh75X1cNR1D7_FcY9zMnHP8iPO4M5RCRjy6nZY0TY/edi"&amp;"t#gid=0"",""Table 1: Study characteristics!B4:B171""))
)"),"wrong study design")</f>
        <v>wrong study design</v>
      </c>
    </row>
    <row r="1516">
      <c r="A1516" s="4" t="str">
        <f>IFERROR(__xludf.DUMMYFUNCTION("""COMPUTED_VALUE"""),"Prenatal evaluation and postnatal early outcomes of fetal ventriculomegaly")</f>
        <v>Prenatal evaluation and postnatal early outcomes of fetal ventriculomegaly</v>
      </c>
      <c r="B1516" s="5" t="str">
        <f>IFERROR(__xludf.DUMMYFUNCTION("LEFT(FILTER(IMPORTRANGE(""https://docs.google.com/spreadsheets/d/1BJSV3WBYJGRhQ6zExamkszQ5VutGIcaQqmbD9ZTVXMQ/edit#gid=1251630045"",""articles_with_PRISMA_reasons!K2:K2113""), $A1516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$A1516=IMPORTRANGE(""https://docs.google.com/spreadsheets/d/1BJSV3WBYJGRhQ6zExamkszQ5VutGIcaQqmbD9ZTVXMQ/edit#gid=1251630045"",""articles_with_PRISMA_reasons!B2:B2113"")))-1)"),"Tugcu")</f>
        <v>Tugcu</v>
      </c>
      <c r="C1516" s="6">
        <f>IFERROR(__xludf.DUMMYFUNCTION("FILTER(IMPORTRANGE(""https://docs.google.com/spreadsheets/d/1BJSV3WBYJGRhQ6zExamkszQ5VutGIcaQqmbD9ZTVXMQ/edit#gid=1251630045"",""articles_with_PRISMA_reasons!C2:C2113""), $A1516=IMPORTRANGE(""https://docs.google.com/spreadsheets/d/1BJSV3WBYJGRhQ6zExamkszQ"&amp;"5VutGIcaQqmbD9ZTVXMQ/edit#gid=1251630045"",""articles_with_PRISMA_reasons!B2:B2113""))"),2014.0)</f>
        <v>2014</v>
      </c>
      <c r="D1516" s="5" t="str">
        <f>IFERROR(__xludf.DUMMYFUNCTION("IFS(AND(
FILTER(IMPORTRANGE(""https://docs.google.com/spreadsheets/d/1BJSV3WBYJGRhQ6zExamkszQ5VutGIcaQqmbD9ZTVXMQ/edit#gid=1251630045"",""articles_with_PRISMA_reasons!Y2:Y2113""), $A1516=IMPORTRANGE(""https://docs.google.com/spreadsheets/d/1BJSV3WBYJGRhQ6"&amp;"zExamkszQ5VutGIcaQqmbD9ZTVXMQ/edit#gid=1251630045"",""articles_with_PRISMA_reasons!B2:B2113""))&gt;=2,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$A1516=IMPORTRANGE(""https://docs.google.com/spreadsheets/d/1BJSV3WBYJGRhQ6zExamkszQ5VutGIcaQqmbD9ZTVXMQ/edit#gid=1251630045"",""articles_with_PRISMA_reasons!B2:B2113""))&lt;2),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$A1516=IMPORTRANGE(""https://docs.google.com/spreadsheets/d/1BJSV3WBYJGRhQ6zExamkszQ5VutGIcaQqmbD9ZTVXMQ/edit#gid=1251630045"",""a"&amp;"rticles_with_PRISMA_reasons!B2:B2113""))&lt;2,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$A1516=IMPORTRANGE(""https://docs.google"&amp;".com/spreadsheets/d/1BJSV3WBYJGRhQ6zExamkszQ5VutGIcaQqmbD9ZTVXMQ/edit#gid=1251630045"",""articles_with_PRISMA_reasons!B2:B2113""))&gt;=2),
""Exclude""
)"),"Exclude")</f>
        <v>Exclude</v>
      </c>
      <c r="E1516" s="5" t="str">
        <f>IFERROR(__xludf.DUMMYFUNCTION("IFS(
D1516=""Exclude"",""Exclude"",
AND(
FILTER(IMPORTRANGE(""https://docs.google.com/spreadsheets/d/1qpEmbGH0JjaJbUdp21-y2cPbobDbMjr09BbtdKROZWc/edit#gid=1444865654"",""articles_with_PRISMA_reasons!W2:W2113""), $A1516=IMPORTRANGE(""https://docs.google.co"&amp;"m/spreadsheets/d/1qpEmbGH0JjaJbUdp21-y2cPbobDbMjr09BbtdKROZWc/edit#gid=1444865654"",""articles_with_PRISMA_reasons!B2:B2113""))&gt;=2,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$A1516=IMPORTRANGE(""https://docs.google.com/spreadsheets/d/1qpEmbGH0JjaJbUdp21-y2cPbobDbMjr09BbtdKROZWc/edit#gid=1444865654"",""articles_with_PRISMA_reasons!B2:B2113""))&lt;2),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$A1516=IMPORTRANGE(""https://docs.google.com/spreadsheets/d/1qpEmbGH0JjaJbUdp21-y2cPbobDbMjr09Bbtd"&amp;"KROZWc/edit#gid=1444865654"",""articles_with_PRISMA_reasons!B2:B2113""))&lt;2,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$A1516=I"&amp;"MPORTRANGE(""https://docs.google.com/spreadsheets/d/1qpEmbGH0JjaJbUdp21-y2cPbobDbMjr09BbtdKROZWc/edit#gid=1444865654"",""articles_with_PRISMA_reasons!B2:B2113""))&gt;=2),
""Exclude""
)"),"Exclude")</f>
        <v>Exclude</v>
      </c>
      <c r="F1516" s="5" t="str">
        <f>IFERROR(__xludf.DUMMYFUNCTION("IFS(
E1516=""Exclude"",""Exclude"",
AND(
COUNTIF(
IMPORTRANGE(""https://docs.google.com/spreadsheets/d/1kGrh75X1cNR1D7_FcY9zMnHP8iPO4M5RCRjy6nZY0TY/edit#gid=0"",""Table 1: Study characteristics!B4:B171""),A1516)&gt;0,
COUNTIF(Studies!$A$2:$A$85,FILTER(IMPORT"&amp;"RANGE(""https://docs.google.com/spreadsheets/d/1kGrh75X1cNR1D7_FcY9zMnHP8iPO4M5RCRjy6nZY0TY/edit#gid=0"",""Table 1: Study characteristics!A4:A171""), $A1516=IMPORTRANGE(""https://docs.google.com/spreadsheets/d/1kGrh75X1cNR1D7_FcY9zMnHP8iPO4M5RCRjy6nZY0TY/"&amp;"edit#gid=0"",""Table 1: Study characteristics!B4:B171"")))&gt;0
),
""Include""
)"),"Exclude")</f>
        <v>Exclude</v>
      </c>
      <c r="G1516" s="5" t="str">
        <f>IFERROR(__xludf.DUMMYFUNCTION("IFS(
D1516=""Exclude"",
FILTER(IMPORTRANGE(""https://docs.google.com/spreadsheets/d/1BJSV3WBYJGRhQ6zExamkszQ5VutGIcaQqmbD9ZTVXMQ/edit#gid=1251630045"",""articles_with_PRISMA_reasons!AB2:AB2113""), $A1516=IMPORTRANGE(""https://docs.google.com/spreadsheets/"&amp;"d/1BJSV3WBYJGRhQ6zExamkszQ5VutGIcaQqmbD9ZTVXMQ/edit#gid=1251630045"",""articles_with_PRISMA_reasons!B2:B2113"")),
E1516=""Exclude"",
FILTER(IMPORTRANGE(""https://docs.google.com/spreadsheets/d/1qpEmbGH0JjaJbUdp21-y2cPbobDbMjr09BbtdKROZWc/edit#gid=14448656"&amp;"54"",""articles_with_PRISMA_reasons!Z2:Z2113""), $A1516=IMPORTRANGE(""https://docs.google.com/spreadsheets/d/1qpEmbGH0JjaJbUdp21-y2cPbobDbMjr09BbtdKROZWc/edit#gid=1444865654"",""articles_with_PRISMA_reasons!B2:B2113"")),F1516
=""Include"",FILTER(IMPORTRAN"&amp;"GE(""https://docs.google.com/spreadsheets/d/1kGrh75X1cNR1D7_FcY9zMnHP8iPO4M5RCRjy6nZY0TY/edit#gid=0"",""Table 1: Study characteristics!A4:A171""), $A1516=IMPORTRANGE(""https://docs.google.com/spreadsheets/d/1kGrh75X1cNR1D7_FcY9zMnHP8iPO4M5RCRjy6nZY0TY/edi"&amp;"t#gid=0"",""Table 1: Study characteristics!B4:B171""))
)"),"wrong population")</f>
        <v>wrong population</v>
      </c>
    </row>
    <row r="1517">
      <c r="A1517" s="4" t="str">
        <f>IFERROR(__xludf.DUMMYFUNCTION("""COMPUTED_VALUE"""),"Prenatal evaluation of fetal malformations")</f>
        <v>Prenatal evaluation of fetal malformations</v>
      </c>
      <c r="B1517" s="5" t="str">
        <f>IFERROR(__xludf.DUMMYFUNCTION("LEFT(FILTER(IMPORTRANGE(""https://docs.google.com/spreadsheets/d/1BJSV3WBYJGRhQ6zExamkszQ5VutGIcaQqmbD9ZTVXMQ/edit#gid=1251630045"",""articles_with_PRISMA_reasons!K2:K2113""), $A1517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$A1517=IMPORTRANGE(""https://docs.google.com/spreadsheets/d/1BJSV3WBYJGRhQ6zExamkszQ5VutGIcaQqmbD9ZTVXMQ/edit#gid=1251630045"",""articles_with_PRISMA_reasons!B2:B2113"")))-1)"),"Krishna")</f>
        <v>Krishna</v>
      </c>
      <c r="C1517" s="6">
        <f>IFERROR(__xludf.DUMMYFUNCTION("FILTER(IMPORTRANGE(""https://docs.google.com/spreadsheets/d/1BJSV3WBYJGRhQ6zExamkszQ5VutGIcaQqmbD9ZTVXMQ/edit#gid=1251630045"",""articles_with_PRISMA_reasons!C2:C2113""), $A1517=IMPORTRANGE(""https://docs.google.com/spreadsheets/d/1BJSV3WBYJGRhQ6zExamkszQ"&amp;"5VutGIcaQqmbD9ZTVXMQ/edit#gid=1251630045"",""articles_with_PRISMA_reasons!B2:B2113""))"),2005.0)</f>
        <v>2005</v>
      </c>
      <c r="D1517" s="5" t="str">
        <f>IFERROR(__xludf.DUMMYFUNCTION("IFS(AND(
FILTER(IMPORTRANGE(""https://docs.google.com/spreadsheets/d/1BJSV3WBYJGRhQ6zExamkszQ5VutGIcaQqmbD9ZTVXMQ/edit#gid=1251630045"",""articles_with_PRISMA_reasons!Y2:Y2113""), $A1517=IMPORTRANGE(""https://docs.google.com/spreadsheets/d/1BJSV3WBYJGRhQ6"&amp;"zExamkszQ5VutGIcaQqmbD9ZTVXMQ/edit#gid=1251630045"",""articles_with_PRISMA_reasons!B2:B2113""))&gt;=2,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$A1517=IMPORTRANGE(""https://docs.google.com/spreadsheets/d/1BJSV3WBYJGRhQ6zExamkszQ5VutGIcaQqmbD9ZTVXMQ/edit#gid=1251630045"",""articles_with_PRISMA_reasons!B2:B2113""))&lt;2),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$A1517=IMPORTRANGE(""https://docs.google.com/spreadsheets/d/1BJSV3WBYJGRhQ6zExamkszQ5VutGIcaQqmbD9ZTVXMQ/edit#gid=1251630045"",""a"&amp;"rticles_with_PRISMA_reasons!B2:B2113""))&lt;2,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$A1517=IMPORTRANGE(""https://docs.google"&amp;".com/spreadsheets/d/1BJSV3WBYJGRhQ6zExamkszQ5VutGIcaQqmbD9ZTVXMQ/edit#gid=1251630045"",""articles_with_PRISMA_reasons!B2:B2113""))&gt;=2),
""Exclude""
)"),"Exclude")</f>
        <v>Exclude</v>
      </c>
      <c r="E1517" s="5" t="str">
        <f>IFERROR(__xludf.DUMMYFUNCTION("IFS(
D1517=""Exclude"",""Exclude"",
AND(
FILTER(IMPORTRANGE(""https://docs.google.com/spreadsheets/d/1qpEmbGH0JjaJbUdp21-y2cPbobDbMjr09BbtdKROZWc/edit#gid=1444865654"",""articles_with_PRISMA_reasons!W2:W2113""), $A1517=IMPORTRANGE(""https://docs.google.co"&amp;"m/spreadsheets/d/1qpEmbGH0JjaJbUdp21-y2cPbobDbMjr09BbtdKROZWc/edit#gid=1444865654"",""articles_with_PRISMA_reasons!B2:B2113""))&gt;=2,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$A1517=IMPORTRANGE(""https://docs.google.com/spreadsheets/d/1qpEmbGH0JjaJbUdp21-y2cPbobDbMjr09BbtdKROZWc/edit#gid=1444865654"",""articles_with_PRISMA_reasons!B2:B2113""))&lt;2),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$A1517=IMPORTRANGE(""https://docs.google.com/spreadsheets/d/1qpEmbGH0JjaJbUdp21-y2cPbobDbMjr09Bbtd"&amp;"KROZWc/edit#gid=1444865654"",""articles_with_PRISMA_reasons!B2:B2113""))&lt;2,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$A1517=I"&amp;"MPORTRANGE(""https://docs.google.com/spreadsheets/d/1qpEmbGH0JjaJbUdp21-y2cPbobDbMjr09BbtdKROZWc/edit#gid=1444865654"",""articles_with_PRISMA_reasons!B2:B2113""))&gt;=2),
""Exclude""
)"),"Exclude")</f>
        <v>Exclude</v>
      </c>
      <c r="F1517" s="5" t="str">
        <f>IFERROR(__xludf.DUMMYFUNCTION("IFS(
E1517=""Exclude"",""Exclude"",
AND(
COUNTIF(
IMPORTRANGE(""https://docs.google.com/spreadsheets/d/1kGrh75X1cNR1D7_FcY9zMnHP8iPO4M5RCRjy6nZY0TY/edit#gid=0"",""Table 1: Study characteristics!B4:B171""),A1517)&gt;0,
COUNTIF(Studies!$A$2:$A$85,FILTER(IMPORT"&amp;"RANGE(""https://docs.google.com/spreadsheets/d/1kGrh75X1cNR1D7_FcY9zMnHP8iPO4M5RCRjy6nZY0TY/edit#gid=0"",""Table 1: Study characteristics!A4:A171""), $A1517=IMPORTRANGE(""https://docs.google.com/spreadsheets/d/1kGrh75X1cNR1D7_FcY9zMnHP8iPO4M5RCRjy6nZY0TY/"&amp;"edit#gid=0"",""Table 1: Study characteristics!B4:B171"")))&gt;0
),
""Include""
)"),"Exclude")</f>
        <v>Exclude</v>
      </c>
      <c r="G1517" s="5" t="str">
        <f>IFERROR(__xludf.DUMMYFUNCTION("IFS(
D1517=""Exclude"",
FILTER(IMPORTRANGE(""https://docs.google.com/spreadsheets/d/1BJSV3WBYJGRhQ6zExamkszQ5VutGIcaQqmbD9ZTVXMQ/edit#gid=1251630045"",""articles_with_PRISMA_reasons!AB2:AB2113""), $A1517=IMPORTRANGE(""https://docs.google.com/spreadsheets/"&amp;"d/1BJSV3WBYJGRhQ6zExamkszQ5VutGIcaQqmbD9ZTVXMQ/edit#gid=1251630045"",""articles_with_PRISMA_reasons!B2:B2113"")),
E1517=""Exclude"",
FILTER(IMPORTRANGE(""https://docs.google.com/spreadsheets/d/1qpEmbGH0JjaJbUdp21-y2cPbobDbMjr09BbtdKROZWc/edit#gid=14448656"&amp;"54"",""articles_with_PRISMA_reasons!Z2:Z2113""), $A1517=IMPORTRANGE(""https://docs.google.com/spreadsheets/d/1qpEmbGH0JjaJbUdp21-y2cPbobDbMjr09BbtdKROZWc/edit#gid=1444865654"",""articles_with_PRISMA_reasons!B2:B2113"")),F1517
=""Include"",FILTER(IMPORTRAN"&amp;"GE(""https://docs.google.com/spreadsheets/d/1kGrh75X1cNR1D7_FcY9zMnHP8iPO4M5RCRjy6nZY0TY/edit#gid=0"",""Table 1: Study characteristics!A4:A171""), $A1517=IMPORTRANGE(""https://docs.google.com/spreadsheets/d/1kGrh75X1cNR1D7_FcY9zMnHP8iPO4M5RCRjy6nZY0TY/edi"&amp;"t#gid=0"",""Table 1: Study characteristics!B4:B171""))
)"),"wrong publication type")</f>
        <v>wrong publication type</v>
      </c>
    </row>
    <row r="1518">
      <c r="A1518" s="4" t="str">
        <f>IFERROR(__xludf.DUMMYFUNCTION("""COMPUTED_VALUE"""),"Prenatal management of urogenital disorders")</f>
        <v>Prenatal management of urogenital disorders</v>
      </c>
      <c r="B1518" s="5" t="str">
        <f>IFERROR(__xludf.DUMMYFUNCTION("LEFT(FILTER(IMPORTRANGE(""https://docs.google.com/spreadsheets/d/1BJSV3WBYJGRhQ6zExamkszQ5VutGIcaQqmbD9ZTVXMQ/edit#gid=1251630045"",""articles_with_PRISMA_reasons!K2:K2113""), $A1518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$A1518=IMPORTRANGE(""https://docs.google.com/spreadsheets/d/1BJSV3WBYJGRhQ6zExamkszQ5VutGIcaQqmbD9ZTVXMQ/edit#gid=1251630045"",""articles_with_PRISMA_reasons!B2:B2113"")))-1)"),"Carr")</f>
        <v>Carr</v>
      </c>
      <c r="C1518" s="6">
        <f>IFERROR(__xludf.DUMMYFUNCTION("FILTER(IMPORTRANGE(""https://docs.google.com/spreadsheets/d/1BJSV3WBYJGRhQ6zExamkszQ5VutGIcaQqmbD9ZTVXMQ/edit#gid=1251630045"",""articles_with_PRISMA_reasons!C2:C2113""), $A1518=IMPORTRANGE(""https://docs.google.com/spreadsheets/d/1BJSV3WBYJGRhQ6zExamkszQ"&amp;"5VutGIcaQqmbD9ZTVXMQ/edit#gid=1251630045"",""articles_with_PRISMA_reasons!B2:B2113""))"),2004.0)</f>
        <v>2004</v>
      </c>
      <c r="D1518" s="5" t="str">
        <f>IFERROR(__xludf.DUMMYFUNCTION("IFS(AND(
FILTER(IMPORTRANGE(""https://docs.google.com/spreadsheets/d/1BJSV3WBYJGRhQ6zExamkszQ5VutGIcaQqmbD9ZTVXMQ/edit#gid=1251630045"",""articles_with_PRISMA_reasons!Y2:Y2113""), $A1518=IMPORTRANGE(""https://docs.google.com/spreadsheets/d/1BJSV3WBYJGRhQ6"&amp;"zExamkszQ5VutGIcaQqmbD9ZTVXMQ/edit#gid=1251630045"",""articles_with_PRISMA_reasons!B2:B2113""))&gt;=2,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$A1518=IMPORTRANGE(""https://docs.google.com/spreadsheets/d/1BJSV3WBYJGRhQ6zExamkszQ5VutGIcaQqmbD9ZTVXMQ/edit#gid=1251630045"",""articles_with_PRISMA_reasons!B2:B2113""))&lt;2),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$A1518=IMPORTRANGE(""https://docs.google.com/spreadsheets/d/1BJSV3WBYJGRhQ6zExamkszQ5VutGIcaQqmbD9ZTVXMQ/edit#gid=1251630045"",""a"&amp;"rticles_with_PRISMA_reasons!B2:B2113""))&lt;2,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$A1518=IMPORTRANGE(""https://docs.google"&amp;".com/spreadsheets/d/1BJSV3WBYJGRhQ6zExamkszQ5VutGIcaQqmbD9ZTVXMQ/edit#gid=1251630045"",""articles_with_PRISMA_reasons!B2:B2113""))&gt;=2),
""Exclude""
)"),"Exclude")</f>
        <v>Exclude</v>
      </c>
      <c r="E1518" s="5" t="str">
        <f>IFERROR(__xludf.DUMMYFUNCTION("IFS(
D1518=""Exclude"",""Exclude"",
AND(
FILTER(IMPORTRANGE(""https://docs.google.com/spreadsheets/d/1qpEmbGH0JjaJbUdp21-y2cPbobDbMjr09BbtdKROZWc/edit#gid=1444865654"",""articles_with_PRISMA_reasons!W2:W2113""), $A1518=IMPORTRANGE(""https://docs.google.co"&amp;"m/spreadsheets/d/1qpEmbGH0JjaJbUdp21-y2cPbobDbMjr09BbtdKROZWc/edit#gid=1444865654"",""articles_with_PRISMA_reasons!B2:B2113""))&gt;=2,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$A1518=IMPORTRANGE(""https://docs.google.com/spreadsheets/d/1qpEmbGH0JjaJbUdp21-y2cPbobDbMjr09BbtdKROZWc/edit#gid=1444865654"",""articles_with_PRISMA_reasons!B2:B2113""))&lt;2),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$A1518=IMPORTRANGE(""https://docs.google.com/spreadsheets/d/1qpEmbGH0JjaJbUdp21-y2cPbobDbMjr09Bbtd"&amp;"KROZWc/edit#gid=1444865654"",""articles_with_PRISMA_reasons!B2:B2113""))&lt;2,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$A1518=I"&amp;"MPORTRANGE(""https://docs.google.com/spreadsheets/d/1qpEmbGH0JjaJbUdp21-y2cPbobDbMjr09BbtdKROZWc/edit#gid=1444865654"",""articles_with_PRISMA_reasons!B2:B2113""))&gt;=2),
""Exclude""
)"),"Exclude")</f>
        <v>Exclude</v>
      </c>
      <c r="F1518" s="5" t="str">
        <f>IFERROR(__xludf.DUMMYFUNCTION("IFS(
E1518=""Exclude"",""Exclude"",
AND(
COUNTIF(
IMPORTRANGE(""https://docs.google.com/spreadsheets/d/1kGrh75X1cNR1D7_FcY9zMnHP8iPO4M5RCRjy6nZY0TY/edit#gid=0"",""Table 1: Study characteristics!B4:B171""),A1518)&gt;0,
COUNTIF(Studies!$A$2:$A$85,FILTER(IMPORT"&amp;"RANGE(""https://docs.google.com/spreadsheets/d/1kGrh75X1cNR1D7_FcY9zMnHP8iPO4M5RCRjy6nZY0TY/edit#gid=0"",""Table 1: Study characteristics!A4:A171""), $A1518=IMPORTRANGE(""https://docs.google.com/spreadsheets/d/1kGrh75X1cNR1D7_FcY9zMnHP8iPO4M5RCRjy6nZY0TY/"&amp;"edit#gid=0"",""Table 1: Study characteristics!B4:B171"")))&gt;0
),
""Include""
)"),"Exclude")</f>
        <v>Exclude</v>
      </c>
      <c r="G1518" s="5" t="str">
        <f>IFERROR(__xludf.DUMMYFUNCTION("IFS(
D1518=""Exclude"",
FILTER(IMPORTRANGE(""https://docs.google.com/spreadsheets/d/1BJSV3WBYJGRhQ6zExamkszQ5VutGIcaQqmbD9ZTVXMQ/edit#gid=1251630045"",""articles_with_PRISMA_reasons!AB2:AB2113""), $A1518=IMPORTRANGE(""https://docs.google.com/spreadsheets/"&amp;"d/1BJSV3WBYJGRhQ6zExamkszQ5VutGIcaQqmbD9ZTVXMQ/edit#gid=1251630045"",""articles_with_PRISMA_reasons!B2:B2113"")),
E1518=""Exclude"",
FILTER(IMPORTRANGE(""https://docs.google.com/spreadsheets/d/1qpEmbGH0JjaJbUdp21-y2cPbobDbMjr09BbtdKROZWc/edit#gid=14448656"&amp;"54"",""articles_with_PRISMA_reasons!Z2:Z2113""), $A1518=IMPORTRANGE(""https://docs.google.com/spreadsheets/d/1qpEmbGH0JjaJbUdp21-y2cPbobDbMjr09BbtdKROZWc/edit#gid=1444865654"",""articles_with_PRISMA_reasons!B2:B2113"")),F1518
=""Include"",FILTER(IMPORTRAN"&amp;"GE(""https://docs.google.com/spreadsheets/d/1kGrh75X1cNR1D7_FcY9zMnHP8iPO4M5RCRjy6nZY0TY/edit#gid=0"",""Table 1: Study characteristics!A4:A171""), $A1518=IMPORTRANGE(""https://docs.google.com/spreadsheets/d/1kGrh75X1cNR1D7_FcY9zMnHP8iPO4M5RCRjy6nZY0TY/edi"&amp;"t#gid=0"",""Table 1: Study characteristics!B4:B171""))
)"),"wrong population")</f>
        <v>wrong population</v>
      </c>
    </row>
    <row r="1519">
      <c r="A1519" s="4" t="str">
        <f>IFERROR(__xludf.DUMMYFUNCTION("""COMPUTED_VALUE"""),"Prenatal myelomeningocele repair - a chance to improve the quality of life")</f>
        <v>Prenatal myelomeningocele repair - a chance to improve the quality of life</v>
      </c>
      <c r="B1519" s="5" t="str">
        <f>IFERROR(__xludf.DUMMYFUNCTION("LEFT(FILTER(IMPORTRANGE(""https://docs.google.com/spreadsheets/d/1BJSV3WBYJGRhQ6zExamkszQ5VutGIcaQqmbD9ZTVXMQ/edit#gid=1251630045"",""articles_with_PRISMA_reasons!K2:K2113""), $A1519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$A1519=IMPORTRANGE(""https://docs.google.com/spreadsheets/d/1BJSV3WBYJGRhQ6zExamkszQ5VutGIcaQqmbD9ZTVXMQ/edit#gid=1251630045"",""articles_with_PRISMA_reasons!B2:B2113"")))-1)"),"Pastuszka")</f>
        <v>Pastuszka</v>
      </c>
      <c r="C1519" s="6">
        <f>IFERROR(__xludf.DUMMYFUNCTION("FILTER(IMPORTRANGE(""https://docs.google.com/spreadsheets/d/1BJSV3WBYJGRhQ6zExamkszQ5VutGIcaQqmbD9ZTVXMQ/edit#gid=1251630045"",""articles_with_PRISMA_reasons!C2:C2113""), $A1519=IMPORTRANGE(""https://docs.google.com/spreadsheets/d/1BJSV3WBYJGRhQ6zExamkszQ"&amp;"5VutGIcaQqmbD9ZTVXMQ/edit#gid=1251630045"",""articles_with_PRISMA_reasons!B2:B2113""))"),2019.0)</f>
        <v>2019</v>
      </c>
      <c r="D1519" s="5" t="str">
        <f>IFERROR(__xludf.DUMMYFUNCTION("IFS(AND(
FILTER(IMPORTRANGE(""https://docs.google.com/spreadsheets/d/1BJSV3WBYJGRhQ6zExamkszQ5VutGIcaQqmbD9ZTVXMQ/edit#gid=1251630045"",""articles_with_PRISMA_reasons!Y2:Y2113""), $A1519=IMPORTRANGE(""https://docs.google.com/spreadsheets/d/1BJSV3WBYJGRhQ6"&amp;"zExamkszQ5VutGIcaQqmbD9ZTVXMQ/edit#gid=1251630045"",""articles_with_PRISMA_reasons!B2:B2113""))&gt;=2,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$A1519=IMPORTRANGE(""https://docs.google.com/spreadsheets/d/1BJSV3WBYJGRhQ6zExamkszQ5VutGIcaQqmbD9ZTVXMQ/edit#gid=1251630045"",""articles_with_PRISMA_reasons!B2:B2113""))&lt;2),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$A1519=IMPORTRANGE(""https://docs.google.com/spreadsheets/d/1BJSV3WBYJGRhQ6zExamkszQ5VutGIcaQqmbD9ZTVXMQ/edit#gid=1251630045"",""a"&amp;"rticles_with_PRISMA_reasons!B2:B2113""))&lt;2,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$A1519=IMPORTRANGE(""https://docs.google"&amp;".com/spreadsheets/d/1BJSV3WBYJGRhQ6zExamkszQ5VutGIcaQqmbD9ZTVXMQ/edit#gid=1251630045"",""articles_with_PRISMA_reasons!B2:B2113""))&gt;=2),
""Exclude""
)"),"Exclude")</f>
        <v>Exclude</v>
      </c>
      <c r="E1519" s="5" t="str">
        <f>IFERROR(__xludf.DUMMYFUNCTION("IFS(
D1519=""Exclude"",""Exclude"",
AND(
FILTER(IMPORTRANGE(""https://docs.google.com/spreadsheets/d/1qpEmbGH0JjaJbUdp21-y2cPbobDbMjr09BbtdKROZWc/edit#gid=1444865654"",""articles_with_PRISMA_reasons!W2:W2113""), $A1519=IMPORTRANGE(""https://docs.google.co"&amp;"m/spreadsheets/d/1qpEmbGH0JjaJbUdp21-y2cPbobDbMjr09BbtdKROZWc/edit#gid=1444865654"",""articles_with_PRISMA_reasons!B2:B2113""))&gt;=2,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$A1519=IMPORTRANGE(""https://docs.google.com/spreadsheets/d/1qpEmbGH0JjaJbUdp21-y2cPbobDbMjr09BbtdKROZWc/edit#gid=1444865654"",""articles_with_PRISMA_reasons!B2:B2113""))&lt;2),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$A1519=IMPORTRANGE(""https://docs.google.com/spreadsheets/d/1qpEmbGH0JjaJbUdp21-y2cPbobDbMjr09Bbtd"&amp;"KROZWc/edit#gid=1444865654"",""articles_with_PRISMA_reasons!B2:B2113""))&lt;2,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$A1519=I"&amp;"MPORTRANGE(""https://docs.google.com/spreadsheets/d/1qpEmbGH0JjaJbUdp21-y2cPbobDbMjr09BbtdKROZWc/edit#gid=1444865654"",""articles_with_PRISMA_reasons!B2:B2113""))&gt;=2),
""Exclude""
)"),"Exclude")</f>
        <v>Exclude</v>
      </c>
      <c r="F1519" s="5" t="str">
        <f>IFERROR(__xludf.DUMMYFUNCTION("IFS(
E1519=""Exclude"",""Exclude"",
AND(
COUNTIF(
IMPORTRANGE(""https://docs.google.com/spreadsheets/d/1kGrh75X1cNR1D7_FcY9zMnHP8iPO4M5RCRjy6nZY0TY/edit#gid=0"",""Table 1: Study characteristics!B4:B171""),A1519)&gt;0,
COUNTIF(Studies!$A$2:$A$85,FILTER(IMPORT"&amp;"RANGE(""https://docs.google.com/spreadsheets/d/1kGrh75X1cNR1D7_FcY9zMnHP8iPO4M5RCRjy6nZY0TY/edit#gid=0"",""Table 1: Study characteristics!A4:A171""), $A1519=IMPORTRANGE(""https://docs.google.com/spreadsheets/d/1kGrh75X1cNR1D7_FcY9zMnHP8iPO4M5RCRjy6nZY0TY/"&amp;"edit#gid=0"",""Table 1: Study characteristics!B4:B171"")))&gt;0
),
""Include""
)"),"Exclude")</f>
        <v>Exclude</v>
      </c>
      <c r="G1519" s="5" t="str">
        <f>IFERROR(__xludf.DUMMYFUNCTION("IFS(
D1519=""Exclude"",
FILTER(IMPORTRANGE(""https://docs.google.com/spreadsheets/d/1BJSV3WBYJGRhQ6zExamkszQ5VutGIcaQqmbD9ZTVXMQ/edit#gid=1251630045"",""articles_with_PRISMA_reasons!AB2:AB2113""), $A1519=IMPORTRANGE(""https://docs.google.com/spreadsheets/"&amp;"d/1BJSV3WBYJGRhQ6zExamkszQ5VutGIcaQqmbD9ZTVXMQ/edit#gid=1251630045"",""articles_with_PRISMA_reasons!B2:B2113"")),
E1519=""Exclude"",
FILTER(IMPORTRANGE(""https://docs.google.com/spreadsheets/d/1qpEmbGH0JjaJbUdp21-y2cPbobDbMjr09BbtdKROZWc/edit#gid=14448656"&amp;"54"",""articles_with_PRISMA_reasons!Z2:Z2113""), $A1519=IMPORTRANGE(""https://docs.google.com/spreadsheets/d/1qpEmbGH0JjaJbUdp21-y2cPbobDbMjr09BbtdKROZWc/edit#gid=1444865654"",""articles_with_PRISMA_reasons!B2:B2113"")),F1519
=""Include"",FILTER(IMPORTRAN"&amp;"GE(""https://docs.google.com/spreadsheets/d/1kGrh75X1cNR1D7_FcY9zMnHP8iPO4M5RCRjy6nZY0TY/edit#gid=0"",""Table 1: Study characteristics!A4:A171""), $A1519=IMPORTRANGE(""https://docs.google.com/spreadsheets/d/1kGrh75X1cNR1D7_FcY9zMnHP8iPO4M5RCRjy6nZY0TY/edi"&amp;"t#gid=0"",""Table 1: Study characteristics!B4:B171""))
)"),"wrong study design")</f>
        <v>wrong study design</v>
      </c>
    </row>
    <row r="1520">
      <c r="A1520" s="4" t="str">
        <f>IFERROR(__xludf.DUMMYFUNCTION("""COMPUTED_VALUE"""),"Prenatal myelomeningocele repair: Do bladders better?")</f>
        <v>Prenatal myelomeningocele repair: Do bladders better?</v>
      </c>
      <c r="B1520" s="5" t="str">
        <f>IFERROR(__xludf.DUMMYFUNCTION("LEFT(FILTER(IMPORTRANGE(""https://docs.google.com/spreadsheets/d/1BJSV3WBYJGRhQ6zExamkszQ5VutGIcaQqmbD9ZTVXMQ/edit#gid=1251630045"",""articles_with_PRISMA_reasons!K2:K2113""), $A1520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$A1520=IMPORTRANGE(""https://docs.google.com/spreadsheets/d/1BJSV3WBYJGRhQ6zExamkszQ5VutGIcaQqmbD9ZTVXMQ/edit#gid=1251630045"",""articles_with_PRISMA_reasons!B2:B2113"")))-1)"),"Horst")</f>
        <v>Horst</v>
      </c>
      <c r="C1520" s="6">
        <f>IFERROR(__xludf.DUMMYFUNCTION("FILTER(IMPORTRANGE(""https://docs.google.com/spreadsheets/d/1BJSV3WBYJGRhQ6zExamkszQ5VutGIcaQqmbD9ZTVXMQ/edit#gid=1251630045"",""articles_with_PRISMA_reasons!C2:C2113""), $A1520=IMPORTRANGE(""https://docs.google.com/spreadsheets/d/1BJSV3WBYJGRhQ6zExamkszQ"&amp;"5VutGIcaQqmbD9ZTVXMQ/edit#gid=1251630045"",""articles_with_PRISMA_reasons!B2:B2113""))"),2017.0)</f>
        <v>2017</v>
      </c>
      <c r="D1520" s="5" t="str">
        <f>IFERROR(__xludf.DUMMYFUNCTION("IFS(AND(
FILTER(IMPORTRANGE(""https://docs.google.com/spreadsheets/d/1BJSV3WBYJGRhQ6zExamkszQ5VutGIcaQqmbD9ZTVXMQ/edit#gid=1251630045"",""articles_with_PRISMA_reasons!Y2:Y2113""), $A1520=IMPORTRANGE(""https://docs.google.com/spreadsheets/d/1BJSV3WBYJGRhQ6"&amp;"zExamkszQ5VutGIcaQqmbD9ZTVXMQ/edit#gid=1251630045"",""articles_with_PRISMA_reasons!B2:B2113""))&gt;=2,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$A1520=IMPORTRANGE(""https://docs.google.com/spreadsheets/d/1BJSV3WBYJGRhQ6zExamkszQ5VutGIcaQqmbD9ZTVXMQ/edit#gid=1251630045"",""articles_with_PRISMA_reasons!B2:B2113""))&lt;2),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$A1520=IMPORTRANGE(""https://docs.google.com/spreadsheets/d/1BJSV3WBYJGRhQ6zExamkszQ5VutGIcaQqmbD9ZTVXMQ/edit#gid=1251630045"",""a"&amp;"rticles_with_PRISMA_reasons!B2:B2113""))&lt;2,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$A1520=IMPORTRANGE(""https://docs.google"&amp;".com/spreadsheets/d/1BJSV3WBYJGRhQ6zExamkszQ5VutGIcaQqmbD9ZTVXMQ/edit#gid=1251630045"",""articles_with_PRISMA_reasons!B2:B2113""))&gt;=2),
""Exclude""
)"),"Exclude")</f>
        <v>Exclude</v>
      </c>
      <c r="E1520" s="5" t="str">
        <f>IFERROR(__xludf.DUMMYFUNCTION("IFS(
D1520=""Exclude"",""Exclude"",
AND(
FILTER(IMPORTRANGE(""https://docs.google.com/spreadsheets/d/1qpEmbGH0JjaJbUdp21-y2cPbobDbMjr09BbtdKROZWc/edit#gid=1444865654"",""articles_with_PRISMA_reasons!W2:W2113""), $A1520=IMPORTRANGE(""https://docs.google.co"&amp;"m/spreadsheets/d/1qpEmbGH0JjaJbUdp21-y2cPbobDbMjr09BbtdKROZWc/edit#gid=1444865654"",""articles_with_PRISMA_reasons!B2:B2113""))&gt;=2,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$A1520=IMPORTRANGE(""https://docs.google.com/spreadsheets/d/1qpEmbGH0JjaJbUdp21-y2cPbobDbMjr09BbtdKROZWc/edit#gid=1444865654"",""articles_with_PRISMA_reasons!B2:B2113""))&lt;2),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$A1520=IMPORTRANGE(""https://docs.google.com/spreadsheets/d/1qpEmbGH0JjaJbUdp21-y2cPbobDbMjr09Bbtd"&amp;"KROZWc/edit#gid=1444865654"",""articles_with_PRISMA_reasons!B2:B2113""))&lt;2,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$A1520=I"&amp;"MPORTRANGE(""https://docs.google.com/spreadsheets/d/1qpEmbGH0JjaJbUdp21-y2cPbobDbMjr09BbtdKROZWc/edit#gid=1444865654"",""articles_with_PRISMA_reasons!B2:B2113""))&gt;=2),
""Exclude""
)"),"Exclude")</f>
        <v>Exclude</v>
      </c>
      <c r="F1520" s="5" t="str">
        <f>IFERROR(__xludf.DUMMYFUNCTION("IFS(
E1520=""Exclude"",""Exclude"",
AND(
COUNTIF(
IMPORTRANGE(""https://docs.google.com/spreadsheets/d/1kGrh75X1cNR1D7_FcY9zMnHP8iPO4M5RCRjy6nZY0TY/edit#gid=0"",""Table 1: Study characteristics!B4:B171""),A1520)&gt;0,
COUNTIF(Studies!$A$2:$A$85,FILTER(IMPORT"&amp;"RANGE(""https://docs.google.com/spreadsheets/d/1kGrh75X1cNR1D7_FcY9zMnHP8iPO4M5RCRjy6nZY0TY/edit#gid=0"",""Table 1: Study characteristics!A4:A171""), $A1520=IMPORTRANGE(""https://docs.google.com/spreadsheets/d/1kGrh75X1cNR1D7_FcY9zMnHP8iPO4M5RCRjy6nZY0TY/"&amp;"edit#gid=0"",""Table 1: Study characteristics!B4:B171"")))&gt;0
),
""Include""
)"),"Exclude")</f>
        <v>Exclude</v>
      </c>
      <c r="G1520" s="5" t="str">
        <f>IFERROR(__xludf.DUMMYFUNCTION("IFS(
D1520=""Exclude"",
FILTER(IMPORTRANGE(""https://docs.google.com/spreadsheets/d/1BJSV3WBYJGRhQ6zExamkszQ5VutGIcaQqmbD9ZTVXMQ/edit#gid=1251630045"",""articles_with_PRISMA_reasons!AB2:AB2113""), $A1520=IMPORTRANGE(""https://docs.google.com/spreadsheets/"&amp;"d/1BJSV3WBYJGRhQ6zExamkszQ5VutGIcaQqmbD9ZTVXMQ/edit#gid=1251630045"",""articles_with_PRISMA_reasons!B2:B2113"")),
E1520=""Exclude"",
FILTER(IMPORTRANGE(""https://docs.google.com/spreadsheets/d/1qpEmbGH0JjaJbUdp21-y2cPbobDbMjr09BbtdKROZWc/edit#gid=14448656"&amp;"54"",""articles_with_PRISMA_reasons!Z2:Z2113""), $A1520=IMPORTRANGE(""https://docs.google.com/spreadsheets/d/1qpEmbGH0JjaJbUdp21-y2cPbobDbMjr09BbtdKROZWc/edit#gid=1444865654"",""articles_with_PRISMA_reasons!B2:B2113"")),F1520
=""Include"",FILTER(IMPORTRAN"&amp;"GE(""https://docs.google.com/spreadsheets/d/1kGrh75X1cNR1D7_FcY9zMnHP8iPO4M5RCRjy6nZY0TY/edit#gid=0"",""Table 1: Study characteristics!A4:A171""), $A1520=IMPORTRANGE(""https://docs.google.com/spreadsheets/d/1kGrh75X1cNR1D7_FcY9zMnHP8iPO4M5RCRjy6nZY0TY/edi"&amp;"t#gid=0"",""Table 1: Study characteristics!B4:B171""))
)"),"wrong population")</f>
        <v>wrong population</v>
      </c>
    </row>
    <row r="1521">
      <c r="A1521" s="4" t="str">
        <f>IFERROR(__xludf.DUMMYFUNCTION("""COMPUTED_VALUE"""),"Prenatal Repair and Physical Functioning among Children with Myelomeningocele: A Secondary Analysis of a Randomized Clinical Trial")</f>
        <v>Prenatal Repair and Physical Functioning among Children with Myelomeningocele: A Secondary Analysis of a Randomized Clinical Trial</v>
      </c>
      <c r="B1521" s="5" t="str">
        <f>IFERROR(__xludf.DUMMYFUNCTION("LEFT(FILTER(IMPORTRANGE(""https://docs.google.com/spreadsheets/d/1BJSV3WBYJGRhQ6zExamkszQ5VutGIcaQqmbD9ZTVXMQ/edit#gid=1251630045"",""articles_with_PRISMA_reasons!K2:K2113""), $A1521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$A1521=IMPORTRANGE(""https://docs.google.com/spreadsheets/d/1BJSV3WBYJGRhQ6zExamkszQ5VutGIcaQqmbD9ZTVXMQ/edit#gid=1251630045"",""articles_with_PRISMA_reasons!B2:B2113"")))-1)"),"Houtrow")</f>
        <v>Houtrow</v>
      </c>
      <c r="C1521" s="6">
        <f>IFERROR(__xludf.DUMMYFUNCTION("FILTER(IMPORTRANGE(""https://docs.google.com/spreadsheets/d/1BJSV3WBYJGRhQ6zExamkszQ5VutGIcaQqmbD9ZTVXMQ/edit#gid=1251630045"",""articles_with_PRISMA_reasons!C2:C2113""), $A1521=IMPORTRANGE(""https://docs.google.com/spreadsheets/d/1BJSV3WBYJGRhQ6zExamkszQ"&amp;"5VutGIcaQqmbD9ZTVXMQ/edit#gid=1251630045"",""articles_with_PRISMA_reasons!B2:B2113""))"),2021.0)</f>
        <v>2021</v>
      </c>
      <c r="D1521" s="5" t="str">
        <f>IFERROR(__xludf.DUMMYFUNCTION("IFS(AND(
FILTER(IMPORTRANGE(""https://docs.google.com/spreadsheets/d/1BJSV3WBYJGRhQ6zExamkszQ5VutGIcaQqmbD9ZTVXMQ/edit#gid=1251630045"",""articles_with_PRISMA_reasons!Y2:Y2113""), $A1521=IMPORTRANGE(""https://docs.google.com/spreadsheets/d/1BJSV3WBYJGRhQ6"&amp;"zExamkszQ5VutGIcaQqmbD9ZTVXMQ/edit#gid=1251630045"",""articles_with_PRISMA_reasons!B2:B2113""))&gt;=2,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$A1521=IMPORTRANGE(""https://docs.google.com/spreadsheets/d/1BJSV3WBYJGRhQ6zExamkszQ5VutGIcaQqmbD9ZTVXMQ/edit#gid=1251630045"",""articles_with_PRISMA_reasons!B2:B2113""))&lt;2),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$A1521=IMPORTRANGE(""https://docs.google.com/spreadsheets/d/1BJSV3WBYJGRhQ6zExamkszQ5VutGIcaQqmbD9ZTVXMQ/edit#gid=1251630045"",""a"&amp;"rticles_with_PRISMA_reasons!B2:B2113""))&lt;2,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$A1521=IMPORTRANGE(""https://docs.google"&amp;".com/spreadsheets/d/1BJSV3WBYJGRhQ6zExamkszQ5VutGIcaQqmbD9ZTVXMQ/edit#gid=1251630045"",""articles_with_PRISMA_reasons!B2:B2113""))&gt;=2),
""Exclude""
)"),"Exclude")</f>
        <v>Exclude</v>
      </c>
      <c r="E1521" s="5" t="str">
        <f>IFERROR(__xludf.DUMMYFUNCTION("IFS(
D1521=""Exclude"",""Exclude"",
AND(
FILTER(IMPORTRANGE(""https://docs.google.com/spreadsheets/d/1qpEmbGH0JjaJbUdp21-y2cPbobDbMjr09BbtdKROZWc/edit#gid=1444865654"",""articles_with_PRISMA_reasons!W2:W2113""), $A1521=IMPORTRANGE(""https://docs.google.co"&amp;"m/spreadsheets/d/1qpEmbGH0JjaJbUdp21-y2cPbobDbMjr09BbtdKROZWc/edit#gid=1444865654"",""articles_with_PRISMA_reasons!B2:B2113""))&gt;=2,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$A1521=IMPORTRANGE(""https://docs.google.com/spreadsheets/d/1qpEmbGH0JjaJbUdp21-y2cPbobDbMjr09BbtdKROZWc/edit#gid=1444865654"",""articles_with_PRISMA_reasons!B2:B2113""))&lt;2),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$A1521=IMPORTRANGE(""https://docs.google.com/spreadsheets/d/1qpEmbGH0JjaJbUdp21-y2cPbobDbMjr09Bbtd"&amp;"KROZWc/edit#gid=1444865654"",""articles_with_PRISMA_reasons!B2:B2113""))&lt;2,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$A1521=I"&amp;"MPORTRANGE(""https://docs.google.com/spreadsheets/d/1qpEmbGH0JjaJbUdp21-y2cPbobDbMjr09BbtdKROZWc/edit#gid=1444865654"",""articles_with_PRISMA_reasons!B2:B2113""))&gt;=2),
""Exclude""
)"),"Exclude")</f>
        <v>Exclude</v>
      </c>
      <c r="F1521" s="5" t="str">
        <f>IFERROR(__xludf.DUMMYFUNCTION("IFS(
E1521=""Exclude"",""Exclude"",
AND(
COUNTIF(
IMPORTRANGE(""https://docs.google.com/spreadsheets/d/1kGrh75X1cNR1D7_FcY9zMnHP8iPO4M5RCRjy6nZY0TY/edit#gid=0"",""Table 1: Study characteristics!B4:B171""),A1521)&gt;0,
COUNTIF(Studies!$A$2:$A$85,FILTER(IMPORT"&amp;"RANGE(""https://docs.google.com/spreadsheets/d/1kGrh75X1cNR1D7_FcY9zMnHP8iPO4M5RCRjy6nZY0TY/edit#gid=0"",""Table 1: Study characteristics!A4:A171""), $A1521=IMPORTRANGE(""https://docs.google.com/spreadsheets/d/1kGrh75X1cNR1D7_FcY9zMnHP8iPO4M5RCRjy6nZY0TY/"&amp;"edit#gid=0"",""Table 1: Study characteristics!B4:B171"")))&gt;0
),
""Include""
)"),"Exclude")</f>
        <v>Exclude</v>
      </c>
      <c r="G1521" s="5" t="str">
        <f>IFERROR(__xludf.DUMMYFUNCTION("IFS(
D1521=""Exclude"",
FILTER(IMPORTRANGE(""https://docs.google.com/spreadsheets/d/1BJSV3WBYJGRhQ6zExamkszQ5VutGIcaQqmbD9ZTVXMQ/edit#gid=1251630045"",""articles_with_PRISMA_reasons!AB2:AB2113""), $A1521=IMPORTRANGE(""https://docs.google.com/spreadsheets/"&amp;"d/1BJSV3WBYJGRhQ6zExamkszQ5VutGIcaQqmbD9ZTVXMQ/edit#gid=1251630045"",""articles_with_PRISMA_reasons!B2:B2113"")),
E1521=""Exclude"",
FILTER(IMPORTRANGE(""https://docs.google.com/spreadsheets/d/1qpEmbGH0JjaJbUdp21-y2cPbobDbMjr09BbtdKROZWc/edit#gid=14448656"&amp;"54"",""articles_with_PRISMA_reasons!Z2:Z2113""), $A1521=IMPORTRANGE(""https://docs.google.com/spreadsheets/d/1qpEmbGH0JjaJbUdp21-y2cPbobDbMjr09BbtdKROZWc/edit#gid=1444865654"",""articles_with_PRISMA_reasons!B2:B2113"")),F1521
=""Include"",FILTER(IMPORTRAN"&amp;"GE(""https://docs.google.com/spreadsheets/d/1kGrh75X1cNR1D7_FcY9zMnHP8iPO4M5RCRjy6nZY0TY/edit#gid=0"",""Table 1: Study characteristics!A4:A171""), $A1521=IMPORTRANGE(""https://docs.google.com/spreadsheets/d/1kGrh75X1cNR1D7_FcY9zMnHP8iPO4M5RCRjy6nZY0TY/edi"&amp;"t#gid=0"",""Table 1: Study characteristics!B4:B171""))
)"),"wrong population")</f>
        <v>wrong population</v>
      </c>
    </row>
    <row r="1522">
      <c r="A1522" s="4" t="str">
        <f>IFERROR(__xludf.DUMMYFUNCTION("""COMPUTED_VALUE"""),"Prenatal Repair of Myelomeningocele and School-age Functional Outcomes")</f>
        <v>Prenatal Repair of Myelomeningocele and School-age Functional Outcomes</v>
      </c>
      <c r="B1522" s="5" t="str">
        <f>IFERROR(__xludf.DUMMYFUNCTION("LEFT(FILTER(IMPORTRANGE(""https://docs.google.com/spreadsheets/d/1BJSV3WBYJGRhQ6zExamkszQ5VutGIcaQqmbD9ZTVXMQ/edit#gid=1251630045"",""articles_with_PRISMA_reasons!K2:K2113""), $A1522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$A1522=IMPORTRANGE(""https://docs.google.com/spreadsheets/d/1BJSV3WBYJGRhQ6zExamkszQ5VutGIcaQqmbD9ZTVXMQ/edit#gid=1251630045"",""articles_with_PRISMA_reasons!B2:B2113"")))-1)"),"Houtrow")</f>
        <v>Houtrow</v>
      </c>
      <c r="C1522" s="6">
        <f>IFERROR(__xludf.DUMMYFUNCTION("FILTER(IMPORTRANGE(""https://docs.google.com/spreadsheets/d/1BJSV3WBYJGRhQ6zExamkszQ5VutGIcaQqmbD9ZTVXMQ/edit#gid=1251630045"",""articles_with_PRISMA_reasons!C2:C2113""), $A1522=IMPORTRANGE(""https://docs.google.com/spreadsheets/d/1BJSV3WBYJGRhQ6zExamkszQ"&amp;"5VutGIcaQqmbD9ZTVXMQ/edit#gid=1251630045"",""articles_with_PRISMA_reasons!B2:B2113""))"),2020.0)</f>
        <v>2020</v>
      </c>
      <c r="D1522" s="5" t="str">
        <f>IFERROR(__xludf.DUMMYFUNCTION("IFS(AND(
FILTER(IMPORTRANGE(""https://docs.google.com/spreadsheets/d/1BJSV3WBYJGRhQ6zExamkszQ5VutGIcaQqmbD9ZTVXMQ/edit#gid=1251630045"",""articles_with_PRISMA_reasons!Y2:Y2113""), $A1522=IMPORTRANGE(""https://docs.google.com/spreadsheets/d/1BJSV3WBYJGRhQ6"&amp;"zExamkszQ5VutGIcaQqmbD9ZTVXMQ/edit#gid=1251630045"",""articles_with_PRISMA_reasons!B2:B2113""))&gt;=2,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$A1522=IMPORTRANGE(""https://docs.google.com/spreadsheets/d/1BJSV3WBYJGRhQ6zExamkszQ5VutGIcaQqmbD9ZTVXMQ/edit#gid=1251630045"",""articles_with_PRISMA_reasons!B2:B2113""))&lt;2),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$A1522=IMPORTRANGE(""https://docs.google.com/spreadsheets/d/1BJSV3WBYJGRhQ6zExamkszQ5VutGIcaQqmbD9ZTVXMQ/edit#gid=1251630045"",""a"&amp;"rticles_with_PRISMA_reasons!B2:B2113""))&lt;2,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$A1522=IMPORTRANGE(""https://docs.google"&amp;".com/spreadsheets/d/1BJSV3WBYJGRhQ6zExamkszQ5VutGIcaQqmbD9ZTVXMQ/edit#gid=1251630045"",""articles_with_PRISMA_reasons!B2:B2113""))&gt;=2),
""Exclude""
)"),"Include")</f>
        <v>Include</v>
      </c>
      <c r="E1522" s="5" t="str">
        <f>IFERROR(__xludf.DUMMYFUNCTION("IFS(
D1522=""Exclude"",""Exclude"",
AND(
FILTER(IMPORTRANGE(""https://docs.google.com/spreadsheets/d/1qpEmbGH0JjaJbUdp21-y2cPbobDbMjr09BbtdKROZWc/edit#gid=1444865654"",""articles_with_PRISMA_reasons!W2:W2113""), $A1522=IMPORTRANGE(""https://docs.google.co"&amp;"m/spreadsheets/d/1qpEmbGH0JjaJbUdp21-y2cPbobDbMjr09BbtdKROZWc/edit#gid=1444865654"",""articles_with_PRISMA_reasons!B2:B2113""))&gt;=2,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$A1522=IMPORTRANGE(""https://docs.google.com/spreadsheets/d/1qpEmbGH0JjaJbUdp21-y2cPbobDbMjr09BbtdKROZWc/edit#gid=1444865654"",""articles_with_PRISMA_reasons!B2:B2113""))&lt;2),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$A1522=IMPORTRANGE(""https://docs.google.com/spreadsheets/d/1qpEmbGH0JjaJbUdp21-y2cPbobDbMjr09Bbtd"&amp;"KROZWc/edit#gid=1444865654"",""articles_with_PRISMA_reasons!B2:B2113""))&lt;2,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$A1522=I"&amp;"MPORTRANGE(""https://docs.google.com/spreadsheets/d/1qpEmbGH0JjaJbUdp21-y2cPbobDbMjr09BbtdKROZWc/edit#gid=1444865654"",""articles_with_PRISMA_reasons!B2:B2113""))&gt;=2),
""Exclude""
)"),"Include")</f>
        <v>Include</v>
      </c>
      <c r="F1522" s="2" t="s">
        <v>8</v>
      </c>
      <c r="G1522" s="2" t="s">
        <v>9</v>
      </c>
    </row>
    <row r="1523">
      <c r="A1523" s="4" t="str">
        <f>IFERROR(__xludf.DUMMYFUNCTION("""COMPUTED_VALUE"""),"Prenatal repair of myelomeningocele: State of the art")</f>
        <v>Prenatal repair of myelomeningocele: State of the art</v>
      </c>
      <c r="B1523" s="5" t="str">
        <f>IFERROR(__xludf.DUMMYFUNCTION("LEFT(FILTER(IMPORTRANGE(""https://docs.google.com/spreadsheets/d/1BJSV3WBYJGRhQ6zExamkszQ5VutGIcaQqmbD9ZTVXMQ/edit#gid=1251630045"",""articles_with_PRISMA_reasons!K2:K2113""), $A1523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$A1523=IMPORTRANGE(""https://docs.google.com/spreadsheets/d/1BJSV3WBYJGRhQ6zExamkszQ5VutGIcaQqmbD9ZTVXMQ/edit#gid=1251630045"",""articles_with_PRISMA_reasons!B2:B2113"")))-1)"),"Garabedian")</f>
        <v>Garabedian</v>
      </c>
      <c r="C1523" s="6">
        <f>IFERROR(__xludf.DUMMYFUNCTION("FILTER(IMPORTRANGE(""https://docs.google.com/spreadsheets/d/1BJSV3WBYJGRhQ6zExamkszQ5VutGIcaQqmbD9ZTVXMQ/edit#gid=1251630045"",""articles_with_PRISMA_reasons!C2:C2113""), $A1523=IMPORTRANGE(""https://docs.google.com/spreadsheets/d/1BJSV3WBYJGRhQ6zExamkszQ"&amp;"5VutGIcaQqmbD9ZTVXMQ/edit#gid=1251630045"",""articles_with_PRISMA_reasons!B2:B2113""))"),2013.0)</f>
        <v>2013</v>
      </c>
      <c r="D1523" s="5" t="str">
        <f>IFERROR(__xludf.DUMMYFUNCTION("IFS(AND(
FILTER(IMPORTRANGE(""https://docs.google.com/spreadsheets/d/1BJSV3WBYJGRhQ6zExamkszQ5VutGIcaQqmbD9ZTVXMQ/edit#gid=1251630045"",""articles_with_PRISMA_reasons!Y2:Y2113""), $A1523=IMPORTRANGE(""https://docs.google.com/spreadsheets/d/1BJSV3WBYJGRhQ6"&amp;"zExamkszQ5VutGIcaQqmbD9ZTVXMQ/edit#gid=1251630045"",""articles_with_PRISMA_reasons!B2:B2113""))&gt;=2,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$A1523=IMPORTRANGE(""https://docs.google.com/spreadsheets/d/1BJSV3WBYJGRhQ6zExamkszQ5VutGIcaQqmbD9ZTVXMQ/edit#gid=1251630045"",""articles_with_PRISMA_reasons!B2:B2113""))&lt;2),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$A1523=IMPORTRANGE(""https://docs.google.com/spreadsheets/d/1BJSV3WBYJGRhQ6zExamkszQ5VutGIcaQqmbD9ZTVXMQ/edit#gid=1251630045"",""a"&amp;"rticles_with_PRISMA_reasons!B2:B2113""))&lt;2,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$A1523=IMPORTRANGE(""https://docs.google"&amp;".com/spreadsheets/d/1BJSV3WBYJGRhQ6zExamkszQ5VutGIcaQqmbD9ZTVXMQ/edit#gid=1251630045"",""articles_with_PRISMA_reasons!B2:B2113""))&gt;=2),
""Exclude""
)"),"Exclude")</f>
        <v>Exclude</v>
      </c>
      <c r="E1523" s="5" t="str">
        <f>IFERROR(__xludf.DUMMYFUNCTION("IFS(
D1523=""Exclude"",""Exclude"",
AND(
FILTER(IMPORTRANGE(""https://docs.google.com/spreadsheets/d/1qpEmbGH0JjaJbUdp21-y2cPbobDbMjr09BbtdKROZWc/edit#gid=1444865654"",""articles_with_PRISMA_reasons!W2:W2113""), $A1523=IMPORTRANGE(""https://docs.google.co"&amp;"m/spreadsheets/d/1qpEmbGH0JjaJbUdp21-y2cPbobDbMjr09BbtdKROZWc/edit#gid=1444865654"",""articles_with_PRISMA_reasons!B2:B2113""))&gt;=2,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$A1523=IMPORTRANGE(""https://docs.google.com/spreadsheets/d/1qpEmbGH0JjaJbUdp21-y2cPbobDbMjr09BbtdKROZWc/edit#gid=1444865654"",""articles_with_PRISMA_reasons!B2:B2113""))&lt;2),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$A1523=IMPORTRANGE(""https://docs.google.com/spreadsheets/d/1qpEmbGH0JjaJbUdp21-y2cPbobDbMjr09Bbtd"&amp;"KROZWc/edit#gid=1444865654"",""articles_with_PRISMA_reasons!B2:B2113""))&lt;2,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$A1523=I"&amp;"MPORTRANGE(""https://docs.google.com/spreadsheets/d/1qpEmbGH0JjaJbUdp21-y2cPbobDbMjr09BbtdKROZWc/edit#gid=1444865654"",""articles_with_PRISMA_reasons!B2:B2113""))&gt;=2),
""Exclude""
)"),"Exclude")</f>
        <v>Exclude</v>
      </c>
      <c r="F1523" s="5" t="str">
        <f>IFERROR(__xludf.DUMMYFUNCTION("IFS(
E1523=""Exclude"",""Exclude"",
AND(
COUNTIF(
IMPORTRANGE(""https://docs.google.com/spreadsheets/d/1kGrh75X1cNR1D7_FcY9zMnHP8iPO4M5RCRjy6nZY0TY/edit#gid=0"",""Table 1: Study characteristics!B4:B171""),A1523)&gt;0,
COUNTIF(Studies!$A$2:$A$85,FILTER(IMPORT"&amp;"RANGE(""https://docs.google.com/spreadsheets/d/1kGrh75X1cNR1D7_FcY9zMnHP8iPO4M5RCRjy6nZY0TY/edit#gid=0"",""Table 1: Study characteristics!A4:A171""), $A1523=IMPORTRANGE(""https://docs.google.com/spreadsheets/d/1kGrh75X1cNR1D7_FcY9zMnHP8iPO4M5RCRjy6nZY0TY/"&amp;"edit#gid=0"",""Table 1: Study characteristics!B4:B171"")))&gt;0
),
""Include""
)"),"Exclude")</f>
        <v>Exclude</v>
      </c>
      <c r="G1523" s="5" t="str">
        <f>IFERROR(__xludf.DUMMYFUNCTION("IFS(
D1523=""Exclude"",
FILTER(IMPORTRANGE(""https://docs.google.com/spreadsheets/d/1BJSV3WBYJGRhQ6zExamkszQ5VutGIcaQqmbD9ZTVXMQ/edit#gid=1251630045"",""articles_with_PRISMA_reasons!AB2:AB2113""), $A1523=IMPORTRANGE(""https://docs.google.com/spreadsheets/"&amp;"d/1BJSV3WBYJGRhQ6zExamkszQ5VutGIcaQqmbD9ZTVXMQ/edit#gid=1251630045"",""articles_with_PRISMA_reasons!B2:B2113"")),
E1523=""Exclude"",
FILTER(IMPORTRANGE(""https://docs.google.com/spreadsheets/d/1qpEmbGH0JjaJbUdp21-y2cPbobDbMjr09BbtdKROZWc/edit#gid=14448656"&amp;"54"",""articles_with_PRISMA_reasons!Z2:Z2113""), $A1523=IMPORTRANGE(""https://docs.google.com/spreadsheets/d/1qpEmbGH0JjaJbUdp21-y2cPbobDbMjr09BbtdKROZWc/edit#gid=1444865654"",""articles_with_PRISMA_reasons!B2:B2113"")),F1523
=""Include"",FILTER(IMPORTRAN"&amp;"GE(""https://docs.google.com/spreadsheets/d/1kGrh75X1cNR1D7_FcY9zMnHP8iPO4M5RCRjy6nZY0TY/edit#gid=0"",""Table 1: Study characteristics!A4:A171""), $A1523=IMPORTRANGE(""https://docs.google.com/spreadsheets/d/1kGrh75X1cNR1D7_FcY9zMnHP8iPO4M5RCRjy6nZY0TY/edi"&amp;"t#gid=0"",""Table 1: Study characteristics!B4:B171""))
)"),"wrong study design")</f>
        <v>wrong study design</v>
      </c>
    </row>
    <row r="1524">
      <c r="A1524" s="4" t="str">
        <f>IFERROR(__xludf.DUMMYFUNCTION("""COMPUTED_VALUE"""),"Prenatal sonographic findings of trisomy 18: Review of 47 cases")</f>
        <v>Prenatal sonographic findings of trisomy 18: Review of 47 cases</v>
      </c>
      <c r="B1524" s="5" t="str">
        <f>IFERROR(__xludf.DUMMYFUNCTION("LEFT(FILTER(IMPORTRANGE(""https://docs.google.com/spreadsheets/d/1BJSV3WBYJGRhQ6zExamkszQ5VutGIcaQqmbD9ZTVXMQ/edit#gid=1251630045"",""articles_with_PRISMA_reasons!K2:K2113""), $A1524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$A1524=IMPORTRANGE(""https://docs.google.com/spreadsheets/d/1BJSV3WBYJGRhQ6zExamkszQ5VutGIcaQqmbD9ZTVXMQ/edit#gid=1251630045"",""articles_with_PRISMA_reasons!B2:B2113"")))-1)"),"Nyberg")</f>
        <v>Nyberg</v>
      </c>
      <c r="C1524" s="6">
        <f>IFERROR(__xludf.DUMMYFUNCTION("FILTER(IMPORTRANGE(""https://docs.google.com/spreadsheets/d/1BJSV3WBYJGRhQ6zExamkszQ5VutGIcaQqmbD9ZTVXMQ/edit#gid=1251630045"",""articles_with_PRISMA_reasons!C2:C2113""), $A1524=IMPORTRANGE(""https://docs.google.com/spreadsheets/d/1BJSV3WBYJGRhQ6zExamkszQ"&amp;"5VutGIcaQqmbD9ZTVXMQ/edit#gid=1251630045"",""articles_with_PRISMA_reasons!B2:B2113""))"),1993.0)</f>
        <v>1993</v>
      </c>
      <c r="D1524" s="5" t="str">
        <f>IFERROR(__xludf.DUMMYFUNCTION("IFS(AND(
FILTER(IMPORTRANGE(""https://docs.google.com/spreadsheets/d/1BJSV3WBYJGRhQ6zExamkszQ5VutGIcaQqmbD9ZTVXMQ/edit#gid=1251630045"",""articles_with_PRISMA_reasons!Y2:Y2113""), $A1524=IMPORTRANGE(""https://docs.google.com/spreadsheets/d/1BJSV3WBYJGRhQ6"&amp;"zExamkszQ5VutGIcaQqmbD9ZTVXMQ/edit#gid=1251630045"",""articles_with_PRISMA_reasons!B2:B2113""))&gt;=2,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$A1524=IMPORTRANGE(""https://docs.google.com/spreadsheets/d/1BJSV3WBYJGRhQ6zExamkszQ5VutGIcaQqmbD9ZTVXMQ/edit#gid=1251630045"",""articles_with_PRISMA_reasons!B2:B2113""))&lt;2),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$A1524=IMPORTRANGE(""https://docs.google.com/spreadsheets/d/1BJSV3WBYJGRhQ6zExamkszQ5VutGIcaQqmbD9ZTVXMQ/edit#gid=1251630045"",""a"&amp;"rticles_with_PRISMA_reasons!B2:B2113""))&lt;2,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$A1524=IMPORTRANGE(""https://docs.google"&amp;".com/spreadsheets/d/1BJSV3WBYJGRhQ6zExamkszQ5VutGIcaQqmbD9ZTVXMQ/edit#gid=1251630045"",""articles_with_PRISMA_reasons!B2:B2113""))&gt;=2),
""Exclude""
)"),"Exclude")</f>
        <v>Exclude</v>
      </c>
      <c r="E1524" s="5" t="str">
        <f>IFERROR(__xludf.DUMMYFUNCTION("IFS(
D1524=""Exclude"",""Exclude"",
AND(
FILTER(IMPORTRANGE(""https://docs.google.com/spreadsheets/d/1qpEmbGH0JjaJbUdp21-y2cPbobDbMjr09BbtdKROZWc/edit#gid=1444865654"",""articles_with_PRISMA_reasons!W2:W2113""), $A1524=IMPORTRANGE(""https://docs.google.co"&amp;"m/spreadsheets/d/1qpEmbGH0JjaJbUdp21-y2cPbobDbMjr09BbtdKROZWc/edit#gid=1444865654"",""articles_with_PRISMA_reasons!B2:B2113""))&gt;=2,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$A1524=IMPORTRANGE(""https://docs.google.com/spreadsheets/d/1qpEmbGH0JjaJbUdp21-y2cPbobDbMjr09BbtdKROZWc/edit#gid=1444865654"",""articles_with_PRISMA_reasons!B2:B2113""))&lt;2),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$A1524=IMPORTRANGE(""https://docs.google.com/spreadsheets/d/1qpEmbGH0JjaJbUdp21-y2cPbobDbMjr09Bbtd"&amp;"KROZWc/edit#gid=1444865654"",""articles_with_PRISMA_reasons!B2:B2113""))&lt;2,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$A1524=I"&amp;"MPORTRANGE(""https://docs.google.com/spreadsheets/d/1qpEmbGH0JjaJbUdp21-y2cPbobDbMjr09BbtdKROZWc/edit#gid=1444865654"",""articles_with_PRISMA_reasons!B2:B2113""))&gt;=2),
""Exclude""
)"),"Exclude")</f>
        <v>Exclude</v>
      </c>
      <c r="F1524" s="5" t="str">
        <f>IFERROR(__xludf.DUMMYFUNCTION("IFS(
E1524=""Exclude"",""Exclude"",
AND(
COUNTIF(
IMPORTRANGE(""https://docs.google.com/spreadsheets/d/1kGrh75X1cNR1D7_FcY9zMnHP8iPO4M5RCRjy6nZY0TY/edit#gid=0"",""Table 1: Study characteristics!B4:B171""),A1524)&gt;0,
COUNTIF(Studies!$A$2:$A$85,FILTER(IMPORT"&amp;"RANGE(""https://docs.google.com/spreadsheets/d/1kGrh75X1cNR1D7_FcY9zMnHP8iPO4M5RCRjy6nZY0TY/edit#gid=0"",""Table 1: Study characteristics!A4:A171""), $A1524=IMPORTRANGE(""https://docs.google.com/spreadsheets/d/1kGrh75X1cNR1D7_FcY9zMnHP8iPO4M5RCRjy6nZY0TY/"&amp;"edit#gid=0"",""Table 1: Study characteristics!B4:B171"")))&gt;0
),
""Include""
)"),"Exclude")</f>
        <v>Exclude</v>
      </c>
      <c r="G1524" s="5" t="str">
        <f>IFERROR(__xludf.DUMMYFUNCTION("IFS(
D1524=""Exclude"",
FILTER(IMPORTRANGE(""https://docs.google.com/spreadsheets/d/1BJSV3WBYJGRhQ6zExamkszQ5VutGIcaQqmbD9ZTVXMQ/edit#gid=1251630045"",""articles_with_PRISMA_reasons!AB2:AB2113""), $A1524=IMPORTRANGE(""https://docs.google.com/spreadsheets/"&amp;"d/1BJSV3WBYJGRhQ6zExamkszQ5VutGIcaQqmbD9ZTVXMQ/edit#gid=1251630045"",""articles_with_PRISMA_reasons!B2:B2113"")),
E1524=""Exclude"",
FILTER(IMPORTRANGE(""https://docs.google.com/spreadsheets/d/1qpEmbGH0JjaJbUdp21-y2cPbobDbMjr09BbtdKROZWc/edit#gid=14448656"&amp;"54"",""articles_with_PRISMA_reasons!Z2:Z2113""), $A1524=IMPORTRANGE(""https://docs.google.com/spreadsheets/d/1qpEmbGH0JjaJbUdp21-y2cPbobDbMjr09BbtdKROZWc/edit#gid=1444865654"",""articles_with_PRISMA_reasons!B2:B2113"")),F1524
=""Include"",FILTER(IMPORTRAN"&amp;"GE(""https://docs.google.com/spreadsheets/d/1kGrh75X1cNR1D7_FcY9zMnHP8iPO4M5RCRjy6nZY0TY/edit#gid=0"",""Table 1: Study characteristics!A4:A171""), $A1524=IMPORTRANGE(""https://docs.google.com/spreadsheets/d/1kGrh75X1cNR1D7_FcY9zMnHP8iPO4M5RCRjy6nZY0TY/edi"&amp;"t#gid=0"",""Table 1: Study characteristics!B4:B171""))
)"),"wrong study design")</f>
        <v>wrong study design</v>
      </c>
    </row>
    <row r="1525">
      <c r="A1525" s="4" t="str">
        <f>IFERROR(__xludf.DUMMYFUNCTION("""COMPUTED_VALUE"""),"Prenatal Sonographic Head Circumference and Cerebral Ventricle Width Measurements Before and After Open Fetal Myelomeningocele Repair - Prediction of Shunting During the First Year of Life")</f>
        <v>Prenatal Sonographic Head Circumference and Cerebral Ventricle Width Measurements Before and After Open Fetal Myelomeningocele Repair - Prediction of Shunting During the First Year of Life</v>
      </c>
      <c r="B1525" s="5" t="str">
        <f>IFERROR(__xludf.DUMMYFUNCTION("LEFT(FILTER(IMPORTRANGE(""https://docs.google.com/spreadsheets/d/1BJSV3WBYJGRhQ6zExamkszQ5VutGIcaQqmbD9ZTVXMQ/edit#gid=1251630045"",""articles_with_PRISMA_reasons!K2:K2113""), $A1525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$A1525=IMPORTRANGE(""https://docs.google.com/spreadsheets/d/1BJSV3WBYJGRhQ6zExamkszQ5VutGIcaQqmbD9ZTVXMQ/edit#gid=1251630045"",""articles_with_PRISMA_reasons!B2:B2113"")))-1)"),"Vonzun")</f>
        <v>Vonzun</v>
      </c>
      <c r="C1525" s="6">
        <f>IFERROR(__xludf.DUMMYFUNCTION("FILTER(IMPORTRANGE(""https://docs.google.com/spreadsheets/d/1BJSV3WBYJGRhQ6zExamkszQ5VutGIcaQqmbD9ZTVXMQ/edit#gid=1251630045"",""articles_with_PRISMA_reasons!C2:C2113""), $A1525=IMPORTRANGE(""https://docs.google.com/spreadsheets/d/1BJSV3WBYJGRhQ6zExamkszQ"&amp;"5VutGIcaQqmbD9ZTVXMQ/edit#gid=1251630045"",""articles_with_PRISMA_reasons!B2:B2113""))"),2020.0)</f>
        <v>2020</v>
      </c>
      <c r="D1525" s="5" t="str">
        <f>IFERROR(__xludf.DUMMYFUNCTION("IFS(AND(
FILTER(IMPORTRANGE(""https://docs.google.com/spreadsheets/d/1BJSV3WBYJGRhQ6zExamkszQ5VutGIcaQqmbD9ZTVXMQ/edit#gid=1251630045"",""articles_with_PRISMA_reasons!Y2:Y2113""), $A1525=IMPORTRANGE(""https://docs.google.com/spreadsheets/d/1BJSV3WBYJGRhQ6"&amp;"zExamkszQ5VutGIcaQqmbD9ZTVXMQ/edit#gid=1251630045"",""articles_with_PRISMA_reasons!B2:B2113""))&gt;=2,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$A1525=IMPORTRANGE(""https://docs.google.com/spreadsheets/d/1BJSV3WBYJGRhQ6zExamkszQ5VutGIcaQqmbD9ZTVXMQ/edit#gid=1251630045"",""articles_with_PRISMA_reasons!B2:B2113""))&lt;2),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$A1525=IMPORTRANGE(""https://docs.google.com/spreadsheets/d/1BJSV3WBYJGRhQ6zExamkszQ5VutGIcaQqmbD9ZTVXMQ/edit#gid=1251630045"",""a"&amp;"rticles_with_PRISMA_reasons!B2:B2113""))&lt;2,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$A1525=IMPORTRANGE(""https://docs.google"&amp;".com/spreadsheets/d/1BJSV3WBYJGRhQ6zExamkszQ5VutGIcaQqmbD9ZTVXMQ/edit#gid=1251630045"",""articles_with_PRISMA_reasons!B2:B2113""))&gt;=2),
""Exclude""
)"),"Exclude")</f>
        <v>Exclude</v>
      </c>
      <c r="E1525" s="5" t="str">
        <f>IFERROR(__xludf.DUMMYFUNCTION("IFS(
D1525=""Exclude"",""Exclude"",
AND(
FILTER(IMPORTRANGE(""https://docs.google.com/spreadsheets/d/1qpEmbGH0JjaJbUdp21-y2cPbobDbMjr09BbtdKROZWc/edit#gid=1444865654"",""articles_with_PRISMA_reasons!W2:W2113""), $A1525=IMPORTRANGE(""https://docs.google.co"&amp;"m/spreadsheets/d/1qpEmbGH0JjaJbUdp21-y2cPbobDbMjr09BbtdKROZWc/edit#gid=1444865654"",""articles_with_PRISMA_reasons!B2:B2113""))&gt;=2,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$A1525=IMPORTRANGE(""https://docs.google.com/spreadsheets/d/1qpEmbGH0JjaJbUdp21-y2cPbobDbMjr09BbtdKROZWc/edit#gid=1444865654"",""articles_with_PRISMA_reasons!B2:B2113""))&lt;2),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$A1525=IMPORTRANGE(""https://docs.google.com/spreadsheets/d/1qpEmbGH0JjaJbUdp21-y2cPbobDbMjr09Bbtd"&amp;"KROZWc/edit#gid=1444865654"",""articles_with_PRISMA_reasons!B2:B2113""))&lt;2,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$A1525=I"&amp;"MPORTRANGE(""https://docs.google.com/spreadsheets/d/1qpEmbGH0JjaJbUdp21-y2cPbobDbMjr09BbtdKROZWc/edit#gid=1444865654"",""articles_with_PRISMA_reasons!B2:B2113""))&gt;=2),
""Exclude""
)"),"Exclude")</f>
        <v>Exclude</v>
      </c>
      <c r="F1525" s="5" t="str">
        <f>IFERROR(__xludf.DUMMYFUNCTION("IFS(
E1525=""Exclude"",""Exclude"",
AND(
COUNTIF(
IMPORTRANGE(""https://docs.google.com/spreadsheets/d/1kGrh75X1cNR1D7_FcY9zMnHP8iPO4M5RCRjy6nZY0TY/edit#gid=0"",""Table 1: Study characteristics!B4:B171""),A1525)&gt;0,
COUNTIF(Studies!$A$2:$A$85,FILTER(IMPORT"&amp;"RANGE(""https://docs.google.com/spreadsheets/d/1kGrh75X1cNR1D7_FcY9zMnHP8iPO4M5RCRjy6nZY0TY/edit#gid=0"",""Table 1: Study characteristics!A4:A171""), $A1525=IMPORTRANGE(""https://docs.google.com/spreadsheets/d/1kGrh75X1cNR1D7_FcY9zMnHP8iPO4M5RCRjy6nZY0TY/"&amp;"edit#gid=0"",""Table 1: Study characteristics!B4:B171"")))&gt;0
),
""Include""
)"),"Exclude")</f>
        <v>Exclude</v>
      </c>
      <c r="G1525" s="5" t="str">
        <f>IFERROR(__xludf.DUMMYFUNCTION("IFS(
D1525=""Exclude"",
FILTER(IMPORTRANGE(""https://docs.google.com/spreadsheets/d/1BJSV3WBYJGRhQ6zExamkszQ5VutGIcaQqmbD9ZTVXMQ/edit#gid=1251630045"",""articles_with_PRISMA_reasons!AB2:AB2113""), $A1525=IMPORTRANGE(""https://docs.google.com/spreadsheets/"&amp;"d/1BJSV3WBYJGRhQ6zExamkszQ5VutGIcaQqmbD9ZTVXMQ/edit#gid=1251630045"",""articles_with_PRISMA_reasons!B2:B2113"")),
E1525=""Exclude"",
FILTER(IMPORTRANGE(""https://docs.google.com/spreadsheets/d/1qpEmbGH0JjaJbUdp21-y2cPbobDbMjr09BbtdKROZWc/edit#gid=14448656"&amp;"54"",""articles_with_PRISMA_reasons!Z2:Z2113""), $A1525=IMPORTRANGE(""https://docs.google.com/spreadsheets/d/1qpEmbGH0JjaJbUdp21-y2cPbobDbMjr09BbtdKROZWc/edit#gid=1444865654"",""articles_with_PRISMA_reasons!B2:B2113"")),F1525
=""Include"",FILTER(IMPORTRAN"&amp;"GE(""https://docs.google.com/spreadsheets/d/1kGrh75X1cNR1D7_FcY9zMnHP8iPO4M5RCRjy6nZY0TY/edit#gid=0"",""Table 1: Study characteristics!A4:A171""), $A1525=IMPORTRANGE(""https://docs.google.com/spreadsheets/d/1kGrh75X1cNR1D7_FcY9zMnHP8iPO4M5RCRjy6nZY0TY/edi"&amp;"t#gid=0"",""Table 1: Study characteristics!B4:B171""))
)"),"wrong population")</f>
        <v>wrong population</v>
      </c>
    </row>
    <row r="1526">
      <c r="A1526" s="4" t="str">
        <f>IFERROR(__xludf.DUMMYFUNCTION("""COMPUTED_VALUE"""),"Prenatal spina bifida: what has changed in diagnosis and management")</f>
        <v>Prenatal spina bifida: what has changed in diagnosis and management</v>
      </c>
      <c r="B1526" s="5" t="str">
        <f>IFERROR(__xludf.DUMMYFUNCTION("LEFT(FILTER(IMPORTRANGE(""https://docs.google.com/spreadsheets/d/1BJSV3WBYJGRhQ6zExamkszQ5VutGIcaQqmbD9ZTVXMQ/edit#gid=1251630045"",""articles_with_PRISMA_reasons!K2:K2113""), $A1526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$A1526=IMPORTRANGE(""https://docs.google.com/spreadsheets/d/1BJSV3WBYJGRhQ6zExamkszQ5VutGIcaQqmbD9ZTVXMQ/edit#gid=1251630045"",""articles_with_PRISMA_reasons!B2:B2113"")))-1)"),"Savvidou")</f>
        <v>Savvidou</v>
      </c>
      <c r="C1526" s="6">
        <f>IFERROR(__xludf.DUMMYFUNCTION("FILTER(IMPORTRANGE(""https://docs.google.com/spreadsheets/d/1BJSV3WBYJGRhQ6zExamkszQ5VutGIcaQqmbD9ZTVXMQ/edit#gid=1251630045"",""articles_with_PRISMA_reasons!C2:C2113""), $A1526=IMPORTRANGE(""https://docs.google.com/spreadsheets/d/1BJSV3WBYJGRhQ6zExamkszQ"&amp;"5VutGIcaQqmbD9ZTVXMQ/edit#gid=1251630045"",""articles_with_PRISMA_reasons!B2:B2113""))"),2019.0)</f>
        <v>2019</v>
      </c>
      <c r="D1526" s="5" t="str">
        <f>IFERROR(__xludf.DUMMYFUNCTION("IFS(AND(
FILTER(IMPORTRANGE(""https://docs.google.com/spreadsheets/d/1BJSV3WBYJGRhQ6zExamkszQ5VutGIcaQqmbD9ZTVXMQ/edit#gid=1251630045"",""articles_with_PRISMA_reasons!Y2:Y2113""), $A1526=IMPORTRANGE(""https://docs.google.com/spreadsheets/d/1BJSV3WBYJGRhQ6"&amp;"zExamkszQ5VutGIcaQqmbD9ZTVXMQ/edit#gid=1251630045"",""articles_with_PRISMA_reasons!B2:B2113""))&gt;=2,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$A1526=IMPORTRANGE(""https://docs.google.com/spreadsheets/d/1BJSV3WBYJGRhQ6zExamkszQ5VutGIcaQqmbD9ZTVXMQ/edit#gid=1251630045"",""articles_with_PRISMA_reasons!B2:B2113""))&lt;2),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$A1526=IMPORTRANGE(""https://docs.google.com/spreadsheets/d/1BJSV3WBYJGRhQ6zExamkszQ5VutGIcaQqmbD9ZTVXMQ/edit#gid=1251630045"",""a"&amp;"rticles_with_PRISMA_reasons!B2:B2113""))&lt;2,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$A1526=IMPORTRANGE(""https://docs.google"&amp;".com/spreadsheets/d/1BJSV3WBYJGRhQ6zExamkszQ5VutGIcaQqmbD9ZTVXMQ/edit#gid=1251630045"",""articles_with_PRISMA_reasons!B2:B2113""))&gt;=2),
""Exclude""
)"),"Exclude")</f>
        <v>Exclude</v>
      </c>
      <c r="E1526" s="5" t="str">
        <f>IFERROR(__xludf.DUMMYFUNCTION("IFS(
D1526=""Exclude"",""Exclude"",
AND(
FILTER(IMPORTRANGE(""https://docs.google.com/spreadsheets/d/1qpEmbGH0JjaJbUdp21-y2cPbobDbMjr09BbtdKROZWc/edit#gid=1444865654"",""articles_with_PRISMA_reasons!W2:W2113""), $A1526=IMPORTRANGE(""https://docs.google.co"&amp;"m/spreadsheets/d/1qpEmbGH0JjaJbUdp21-y2cPbobDbMjr09BbtdKROZWc/edit#gid=1444865654"",""articles_with_PRISMA_reasons!B2:B2113""))&gt;=2,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$A1526=IMPORTRANGE(""https://docs.google.com/spreadsheets/d/1qpEmbGH0JjaJbUdp21-y2cPbobDbMjr09BbtdKROZWc/edit#gid=1444865654"",""articles_with_PRISMA_reasons!B2:B2113""))&lt;2),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$A1526=IMPORTRANGE(""https://docs.google.com/spreadsheets/d/1qpEmbGH0JjaJbUdp21-y2cPbobDbMjr09Bbtd"&amp;"KROZWc/edit#gid=1444865654"",""articles_with_PRISMA_reasons!B2:B2113""))&lt;2,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$A1526=I"&amp;"MPORTRANGE(""https://docs.google.com/spreadsheets/d/1qpEmbGH0JjaJbUdp21-y2cPbobDbMjr09BbtdKROZWc/edit#gid=1444865654"",""articles_with_PRISMA_reasons!B2:B2113""))&gt;=2),
""Exclude""
)"),"Exclude")</f>
        <v>Exclude</v>
      </c>
      <c r="F1526" s="5" t="str">
        <f>IFERROR(__xludf.DUMMYFUNCTION("IFS(
E1526=""Exclude"",""Exclude"",
AND(
COUNTIF(
IMPORTRANGE(""https://docs.google.com/spreadsheets/d/1kGrh75X1cNR1D7_FcY9zMnHP8iPO4M5RCRjy6nZY0TY/edit#gid=0"",""Table 1: Study characteristics!B4:B171""),A1526)&gt;0,
COUNTIF(Studies!$A$2:$A$85,FILTER(IMPORT"&amp;"RANGE(""https://docs.google.com/spreadsheets/d/1kGrh75X1cNR1D7_FcY9zMnHP8iPO4M5RCRjy6nZY0TY/edit#gid=0"",""Table 1: Study characteristics!A4:A171""), $A1526=IMPORTRANGE(""https://docs.google.com/spreadsheets/d/1kGrh75X1cNR1D7_FcY9zMnHP8iPO4M5RCRjy6nZY0TY/"&amp;"edit#gid=0"",""Table 1: Study characteristics!B4:B171"")))&gt;0
),
""Include""
)"),"Exclude")</f>
        <v>Exclude</v>
      </c>
      <c r="G1526" s="5" t="str">
        <f>IFERROR(__xludf.DUMMYFUNCTION("IFS(
D1526=""Exclude"",
FILTER(IMPORTRANGE(""https://docs.google.com/spreadsheets/d/1BJSV3WBYJGRhQ6zExamkszQ5VutGIcaQqmbD9ZTVXMQ/edit#gid=1251630045"",""articles_with_PRISMA_reasons!AB2:AB2113""), $A1526=IMPORTRANGE(""https://docs.google.com/spreadsheets/"&amp;"d/1BJSV3WBYJGRhQ6zExamkszQ5VutGIcaQqmbD9ZTVXMQ/edit#gid=1251630045"",""articles_with_PRISMA_reasons!B2:B2113"")),
E1526=""Exclude"",
FILTER(IMPORTRANGE(""https://docs.google.com/spreadsheets/d/1qpEmbGH0JjaJbUdp21-y2cPbobDbMjr09BbtdKROZWc/edit#gid=14448656"&amp;"54"",""articles_with_PRISMA_reasons!Z2:Z2113""), $A1526=IMPORTRANGE(""https://docs.google.com/spreadsheets/d/1qpEmbGH0JjaJbUdp21-y2cPbobDbMjr09BbtdKROZWc/edit#gid=1444865654"",""articles_with_PRISMA_reasons!B2:B2113"")),F1526
=""Include"",FILTER(IMPORTRAN"&amp;"GE(""https://docs.google.com/spreadsheets/d/1kGrh75X1cNR1D7_FcY9zMnHP8iPO4M5RCRjy6nZY0TY/edit#gid=0"",""Table 1: Study characteristics!A4:A171""), $A1526=IMPORTRANGE(""https://docs.google.com/spreadsheets/d/1kGrh75X1cNR1D7_FcY9zMnHP8iPO4M5RCRjy6nZY0TY/edi"&amp;"t#gid=0"",""Table 1: Study characteristics!B4:B171""))
)"),"background article")</f>
        <v>background article</v>
      </c>
    </row>
    <row r="1527">
      <c r="A1527" s="4" t="str">
        <f>IFERROR(__xludf.DUMMYFUNCTION("""COMPUTED_VALUE"""),"Prenatal spinal evaluation and functional outcome of patients born with myelomeningocele: Information for improved prenatal counselling and outcome prediction")</f>
        <v>Prenatal spinal evaluation and functional outcome of patients born with myelomeningocele: Information for improved prenatal counselling and outcome prediction</v>
      </c>
      <c r="B1527" s="5" t="str">
        <f>IFERROR(__xludf.DUMMYFUNCTION("LEFT(FILTER(IMPORTRANGE(""https://docs.google.com/spreadsheets/d/1BJSV3WBYJGRhQ6zExamkszQ5VutGIcaQqmbD9ZTVXMQ/edit#gid=1251630045"",""articles_with_PRISMA_reasons!K2:K2113""), $A1527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$A1527=IMPORTRANGE(""https://docs.google.com/spreadsheets/d/1BJSV3WBYJGRhQ6zExamkszQ5VutGIcaQqmbD9ZTVXMQ/edit#gid=1251630045"",""articles_with_PRISMA_reasons!B2:B2113"")))-1)"),"Cochrane")</f>
        <v>Cochrane</v>
      </c>
      <c r="C1527" s="6">
        <f>IFERROR(__xludf.DUMMYFUNCTION("FILTER(IMPORTRANGE(""https://docs.google.com/spreadsheets/d/1BJSV3WBYJGRhQ6zExamkszQ5VutGIcaQqmbD9ZTVXMQ/edit#gid=1251630045"",""articles_with_PRISMA_reasons!C2:C2113""), $A1527=IMPORTRANGE(""https://docs.google.com/spreadsheets/d/1BJSV3WBYJGRhQ6zExamkszQ"&amp;"5VutGIcaQqmbD9ZTVXMQ/edit#gid=1251630045"",""articles_with_PRISMA_reasons!B2:B2113""))"),1996.0)</f>
        <v>1996</v>
      </c>
      <c r="D1527" s="5" t="str">
        <f>IFERROR(__xludf.DUMMYFUNCTION("IFS(AND(
FILTER(IMPORTRANGE(""https://docs.google.com/spreadsheets/d/1BJSV3WBYJGRhQ6zExamkszQ5VutGIcaQqmbD9ZTVXMQ/edit#gid=1251630045"",""articles_with_PRISMA_reasons!Y2:Y2113""), $A1527=IMPORTRANGE(""https://docs.google.com/spreadsheets/d/1BJSV3WBYJGRhQ6"&amp;"zExamkszQ5VutGIcaQqmbD9ZTVXMQ/edit#gid=1251630045"",""articles_with_PRISMA_reasons!B2:B2113""))&gt;=2,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$A1527=IMPORTRANGE(""https://docs.google.com/spreadsheets/d/1BJSV3WBYJGRhQ6zExamkszQ5VutGIcaQqmbD9ZTVXMQ/edit#gid=1251630045"",""articles_with_PRISMA_reasons!B2:B2113""))&lt;2),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$A1527=IMPORTRANGE(""https://docs.google.com/spreadsheets/d/1BJSV3WBYJGRhQ6zExamkszQ5VutGIcaQqmbD9ZTVXMQ/edit#gid=1251630045"",""a"&amp;"rticles_with_PRISMA_reasons!B2:B2113""))&lt;2,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$A1527=IMPORTRANGE(""https://docs.google"&amp;".com/spreadsheets/d/1BJSV3WBYJGRhQ6zExamkszQ5VutGIcaQqmbD9ZTVXMQ/edit#gid=1251630045"",""articles_with_PRISMA_reasons!B2:B2113""))&gt;=2),
""Exclude""
)"),"Exclude")</f>
        <v>Exclude</v>
      </c>
      <c r="E1527" s="5" t="str">
        <f>IFERROR(__xludf.DUMMYFUNCTION("IFS(
D1527=""Exclude"",""Exclude"",
AND(
FILTER(IMPORTRANGE(""https://docs.google.com/spreadsheets/d/1qpEmbGH0JjaJbUdp21-y2cPbobDbMjr09BbtdKROZWc/edit#gid=1444865654"",""articles_with_PRISMA_reasons!W2:W2113""), $A1527=IMPORTRANGE(""https://docs.google.co"&amp;"m/spreadsheets/d/1qpEmbGH0JjaJbUdp21-y2cPbobDbMjr09BbtdKROZWc/edit#gid=1444865654"",""articles_with_PRISMA_reasons!B2:B2113""))&gt;=2,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$A1527=IMPORTRANGE(""https://docs.google.com/spreadsheets/d/1qpEmbGH0JjaJbUdp21-y2cPbobDbMjr09BbtdKROZWc/edit#gid=1444865654"",""articles_with_PRISMA_reasons!B2:B2113""))&lt;2),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$A1527=IMPORTRANGE(""https://docs.google.com/spreadsheets/d/1qpEmbGH0JjaJbUdp21-y2cPbobDbMjr09Bbtd"&amp;"KROZWc/edit#gid=1444865654"",""articles_with_PRISMA_reasons!B2:B2113""))&lt;2,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$A1527=I"&amp;"MPORTRANGE(""https://docs.google.com/spreadsheets/d/1qpEmbGH0JjaJbUdp21-y2cPbobDbMjr09BbtdKROZWc/edit#gid=1444865654"",""articles_with_PRISMA_reasons!B2:B2113""))&gt;=2),
""Exclude""
)"),"Exclude")</f>
        <v>Exclude</v>
      </c>
      <c r="F1527" s="5" t="str">
        <f>IFERROR(__xludf.DUMMYFUNCTION("IFS(
E1527=""Exclude"",""Exclude"",
AND(
COUNTIF(
IMPORTRANGE(""https://docs.google.com/spreadsheets/d/1kGrh75X1cNR1D7_FcY9zMnHP8iPO4M5RCRjy6nZY0TY/edit#gid=0"",""Table 1: Study characteristics!B4:B171""),A1527)&gt;0,
COUNTIF(Studies!$A$2:$A$85,FILTER(IMPORT"&amp;"RANGE(""https://docs.google.com/spreadsheets/d/1kGrh75X1cNR1D7_FcY9zMnHP8iPO4M5RCRjy6nZY0TY/edit#gid=0"",""Table 1: Study characteristics!A4:A171""), $A1527=IMPORTRANGE(""https://docs.google.com/spreadsheets/d/1kGrh75X1cNR1D7_FcY9zMnHP8iPO4M5RCRjy6nZY0TY/"&amp;"edit#gid=0"",""Table 1: Study characteristics!B4:B171"")))&gt;0
),
""Include""
)"),"Exclude")</f>
        <v>Exclude</v>
      </c>
      <c r="G1527" s="5" t="str">
        <f>IFERROR(__xludf.DUMMYFUNCTION("IFS(
D1527=""Exclude"",
FILTER(IMPORTRANGE(""https://docs.google.com/spreadsheets/d/1BJSV3WBYJGRhQ6zExamkszQ5VutGIcaQqmbD9ZTVXMQ/edit#gid=1251630045"",""articles_with_PRISMA_reasons!AB2:AB2113""), $A1527=IMPORTRANGE(""https://docs.google.com/spreadsheets/"&amp;"d/1BJSV3WBYJGRhQ6zExamkszQ5VutGIcaQqmbD9ZTVXMQ/edit#gid=1251630045"",""articles_with_PRISMA_reasons!B2:B2113"")),
E1527=""Exclude"",
FILTER(IMPORTRANGE(""https://docs.google.com/spreadsheets/d/1qpEmbGH0JjaJbUdp21-y2cPbobDbMjr09BbtdKROZWc/edit#gid=14448656"&amp;"54"",""articles_with_PRISMA_reasons!Z2:Z2113""), $A1527=IMPORTRANGE(""https://docs.google.com/spreadsheets/d/1qpEmbGH0JjaJbUdp21-y2cPbobDbMjr09BbtdKROZWc/edit#gid=1444865654"",""articles_with_PRISMA_reasons!B2:B2113"")),F1527
=""Include"",FILTER(IMPORTRAN"&amp;"GE(""https://docs.google.com/spreadsheets/d/1kGrh75X1cNR1D7_FcY9zMnHP8iPO4M5RCRjy6nZY0TY/edit#gid=0"",""Table 1: Study characteristics!A4:A171""), $A1527=IMPORTRANGE(""https://docs.google.com/spreadsheets/d/1kGrh75X1cNR1D7_FcY9zMnHP8iPO4M5RCRjy6nZY0TY/edi"&amp;"t#gid=0"",""Table 1: Study characteristics!B4:B171""))
)"),"wrong study design")</f>
        <v>wrong study design</v>
      </c>
    </row>
    <row r="1528">
      <c r="A1528" s="4" t="str">
        <f>IFERROR(__xludf.DUMMYFUNCTION("""COMPUTED_VALUE"""),"Prenatal surgery for myelomeningocele and the need for cerebrospinal fluid shunt placement")</f>
        <v>Prenatal surgery for myelomeningocele and the need for cerebrospinal fluid shunt placement</v>
      </c>
      <c r="B1528" s="5" t="str">
        <f>IFERROR(__xludf.DUMMYFUNCTION("LEFT(FILTER(IMPORTRANGE(""https://docs.google.com/spreadsheets/d/1BJSV3WBYJGRhQ6zExamkszQ5VutGIcaQqmbD9ZTVXMQ/edit#gid=1251630045"",""articles_with_PRISMA_reasons!K2:K2113""), $A1528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$A1528=IMPORTRANGE(""https://docs.google.com/spreadsheets/d/1BJSV3WBYJGRhQ6zExamkszQ5VutGIcaQqmbD9ZTVXMQ/edit#gid=1251630045"",""articles_with_PRISMA_reasons!B2:B2113"")))-1)"),"Tulipan")</f>
        <v>Tulipan</v>
      </c>
      <c r="C1528" s="6">
        <f>IFERROR(__xludf.DUMMYFUNCTION("FILTER(IMPORTRANGE(""https://docs.google.com/spreadsheets/d/1BJSV3WBYJGRhQ6zExamkszQ5VutGIcaQqmbD9ZTVXMQ/edit#gid=1251630045"",""articles_with_PRISMA_reasons!C2:C2113""), $A1528=IMPORTRANGE(""https://docs.google.com/spreadsheets/d/1BJSV3WBYJGRhQ6zExamkszQ"&amp;"5VutGIcaQqmbD9ZTVXMQ/edit#gid=1251630045"",""articles_with_PRISMA_reasons!B2:B2113""))"),2015.0)</f>
        <v>2015</v>
      </c>
      <c r="D1528" s="5" t="str">
        <f>IFERROR(__xludf.DUMMYFUNCTION("IFS(AND(
FILTER(IMPORTRANGE(""https://docs.google.com/spreadsheets/d/1BJSV3WBYJGRhQ6zExamkszQ5VutGIcaQqmbD9ZTVXMQ/edit#gid=1251630045"",""articles_with_PRISMA_reasons!Y2:Y2113""), $A1528=IMPORTRANGE(""https://docs.google.com/spreadsheets/d/1BJSV3WBYJGRhQ6"&amp;"zExamkszQ5VutGIcaQqmbD9ZTVXMQ/edit#gid=1251630045"",""articles_with_PRISMA_reasons!B2:B2113""))&gt;=2,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$A1528=IMPORTRANGE(""https://docs.google.com/spreadsheets/d/1BJSV3WBYJGRhQ6zExamkszQ5VutGIcaQqmbD9ZTVXMQ/edit#gid=1251630045"",""articles_with_PRISMA_reasons!B2:B2113""))&lt;2),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$A1528=IMPORTRANGE(""https://docs.google.com/spreadsheets/d/1BJSV3WBYJGRhQ6zExamkszQ5VutGIcaQqmbD9ZTVXMQ/edit#gid=1251630045"",""a"&amp;"rticles_with_PRISMA_reasons!B2:B2113""))&lt;2,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$A1528=IMPORTRANGE(""https://docs.google"&amp;".com/spreadsheets/d/1BJSV3WBYJGRhQ6zExamkszQ5VutGIcaQqmbD9ZTVXMQ/edit#gid=1251630045"",""articles_with_PRISMA_reasons!B2:B2113""))&gt;=2),
""Exclude""
)"),"Exclude")</f>
        <v>Exclude</v>
      </c>
      <c r="E1528" s="5" t="str">
        <f>IFERROR(__xludf.DUMMYFUNCTION("IFS(
D1528=""Exclude"",""Exclude"",
AND(
FILTER(IMPORTRANGE(""https://docs.google.com/spreadsheets/d/1qpEmbGH0JjaJbUdp21-y2cPbobDbMjr09BbtdKROZWc/edit#gid=1444865654"",""articles_with_PRISMA_reasons!W2:W2113""), $A1528=IMPORTRANGE(""https://docs.google.co"&amp;"m/spreadsheets/d/1qpEmbGH0JjaJbUdp21-y2cPbobDbMjr09BbtdKROZWc/edit#gid=1444865654"",""articles_with_PRISMA_reasons!B2:B2113""))&gt;=2,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$A1528=IMPORTRANGE(""https://docs.google.com/spreadsheets/d/1qpEmbGH0JjaJbUdp21-y2cPbobDbMjr09BbtdKROZWc/edit#gid=1444865654"",""articles_with_PRISMA_reasons!B2:B2113""))&lt;2),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$A1528=IMPORTRANGE(""https://docs.google.com/spreadsheets/d/1qpEmbGH0JjaJbUdp21-y2cPbobDbMjr09Bbtd"&amp;"KROZWc/edit#gid=1444865654"",""articles_with_PRISMA_reasons!B2:B2113""))&lt;2,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$A1528=I"&amp;"MPORTRANGE(""https://docs.google.com/spreadsheets/d/1qpEmbGH0JjaJbUdp21-y2cPbobDbMjr09BbtdKROZWc/edit#gid=1444865654"",""articles_with_PRISMA_reasons!B2:B2113""))&gt;=2),
""Exclude""
)"),"Exclude")</f>
        <v>Exclude</v>
      </c>
      <c r="F1528" s="5" t="str">
        <f>IFERROR(__xludf.DUMMYFUNCTION("IFS(
E1528=""Exclude"",""Exclude"",
AND(
COUNTIF(
IMPORTRANGE(""https://docs.google.com/spreadsheets/d/1kGrh75X1cNR1D7_FcY9zMnHP8iPO4M5RCRjy6nZY0TY/edit#gid=0"",""Table 1: Study characteristics!B4:B171""),A1528)&gt;0,
COUNTIF(Studies!$A$2:$A$85,FILTER(IMPORT"&amp;"RANGE(""https://docs.google.com/spreadsheets/d/1kGrh75X1cNR1D7_FcY9zMnHP8iPO4M5RCRjy6nZY0TY/edit#gid=0"",""Table 1: Study characteristics!A4:A171""), $A1528=IMPORTRANGE(""https://docs.google.com/spreadsheets/d/1kGrh75X1cNR1D7_FcY9zMnHP8iPO4M5RCRjy6nZY0TY/"&amp;"edit#gid=0"",""Table 1: Study characteristics!B4:B171"")))&gt;0
),
""Include""
)"),"Exclude")</f>
        <v>Exclude</v>
      </c>
      <c r="G1528" s="5" t="str">
        <f>IFERROR(__xludf.DUMMYFUNCTION("IFS(
D1528=""Exclude"",
FILTER(IMPORTRANGE(""https://docs.google.com/spreadsheets/d/1BJSV3WBYJGRhQ6zExamkszQ5VutGIcaQqmbD9ZTVXMQ/edit#gid=1251630045"",""articles_with_PRISMA_reasons!AB2:AB2113""), $A1528=IMPORTRANGE(""https://docs.google.com/spreadsheets/"&amp;"d/1BJSV3WBYJGRhQ6zExamkszQ5VutGIcaQqmbD9ZTVXMQ/edit#gid=1251630045"",""articles_with_PRISMA_reasons!B2:B2113"")),
E1528=""Exclude"",
FILTER(IMPORTRANGE(""https://docs.google.com/spreadsheets/d/1qpEmbGH0JjaJbUdp21-y2cPbobDbMjr09BbtdKROZWc/edit#gid=14448656"&amp;"54"",""articles_with_PRISMA_reasons!Z2:Z2113""), $A1528=IMPORTRANGE(""https://docs.google.com/spreadsheets/d/1qpEmbGH0JjaJbUdp21-y2cPbobDbMjr09BbtdKROZWc/edit#gid=1444865654"",""articles_with_PRISMA_reasons!B2:B2113"")),F1528
=""Include"",FILTER(IMPORTRAN"&amp;"GE(""https://docs.google.com/spreadsheets/d/1kGrh75X1cNR1D7_FcY9zMnHP8iPO4M5RCRjy6nZY0TY/edit#gid=0"",""Table 1: Study characteristics!A4:A171""), $A1528=IMPORTRANGE(""https://docs.google.com/spreadsheets/d/1kGrh75X1cNR1D7_FcY9zMnHP8iPO4M5RCRjy6nZY0TY/edi"&amp;"t#gid=0"",""Table 1: Study characteristics!B4:B171""))
)"),"wrong population")</f>
        <v>wrong population</v>
      </c>
    </row>
    <row r="1529">
      <c r="A1529" s="4" t="str">
        <f>IFERROR(__xludf.DUMMYFUNCTION("""COMPUTED_VALUE"""),"Prenatal surgery for myelomeningocele: review of the literature and future directions")</f>
        <v>Prenatal surgery for myelomeningocele: review of the literature and future directions</v>
      </c>
      <c r="B1529" s="5" t="str">
        <f>IFERROR(__xludf.DUMMYFUNCTION("LEFT(FILTER(IMPORTRANGE(""https://docs.google.com/spreadsheets/d/1BJSV3WBYJGRhQ6zExamkszQ5VutGIcaQqmbD9ZTVXMQ/edit#gid=1251630045"",""articles_with_PRISMA_reasons!K2:K2113""), $A1529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$A1529=IMPORTRANGE(""https://docs.google.com/spreadsheets/d/1BJSV3WBYJGRhQ6zExamkszQ5VutGIcaQqmbD9ZTVXMQ/edit#gid=1251630045"",""articles_with_PRISMA_reasons!B2:B2113"")))-1)"),"Heuer")</f>
        <v>Heuer</v>
      </c>
      <c r="C1529" s="6">
        <f>IFERROR(__xludf.DUMMYFUNCTION("FILTER(IMPORTRANGE(""https://docs.google.com/spreadsheets/d/1BJSV3WBYJGRhQ6zExamkszQ5VutGIcaQqmbD9ZTVXMQ/edit#gid=1251630045"",""articles_with_PRISMA_reasons!C2:C2113""), $A1529=IMPORTRANGE(""https://docs.google.com/spreadsheets/d/1BJSV3WBYJGRhQ6zExamkszQ"&amp;"5VutGIcaQqmbD9ZTVXMQ/edit#gid=1251630045"",""articles_with_PRISMA_reasons!B2:B2113""))"),2017.0)</f>
        <v>2017</v>
      </c>
      <c r="D1529" s="5" t="str">
        <f>IFERROR(__xludf.DUMMYFUNCTION("IFS(AND(
FILTER(IMPORTRANGE(""https://docs.google.com/spreadsheets/d/1BJSV3WBYJGRhQ6zExamkszQ5VutGIcaQqmbD9ZTVXMQ/edit#gid=1251630045"",""articles_with_PRISMA_reasons!Y2:Y2113""), $A1529=IMPORTRANGE(""https://docs.google.com/spreadsheets/d/1BJSV3WBYJGRhQ6"&amp;"zExamkszQ5VutGIcaQqmbD9ZTVXMQ/edit#gid=1251630045"",""articles_with_PRISMA_reasons!B2:B2113""))&gt;=2,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$A1529=IMPORTRANGE(""https://docs.google.com/spreadsheets/d/1BJSV3WBYJGRhQ6zExamkszQ5VutGIcaQqmbD9ZTVXMQ/edit#gid=1251630045"",""articles_with_PRISMA_reasons!B2:B2113""))&lt;2),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$A1529=IMPORTRANGE(""https://docs.google.com/spreadsheets/d/1BJSV3WBYJGRhQ6zExamkszQ5VutGIcaQqmbD9ZTVXMQ/edit#gid=1251630045"",""a"&amp;"rticles_with_PRISMA_reasons!B2:B2113""))&lt;2,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$A1529=IMPORTRANGE(""https://docs.google"&amp;".com/spreadsheets/d/1BJSV3WBYJGRhQ6zExamkszQ5VutGIcaQqmbD9ZTVXMQ/edit#gid=1251630045"",""articles_with_PRISMA_reasons!B2:B2113""))&gt;=2),
""Exclude""
)"),"Exclude")</f>
        <v>Exclude</v>
      </c>
      <c r="E1529" s="5" t="str">
        <f>IFERROR(__xludf.DUMMYFUNCTION("IFS(
D1529=""Exclude"",""Exclude"",
AND(
FILTER(IMPORTRANGE(""https://docs.google.com/spreadsheets/d/1qpEmbGH0JjaJbUdp21-y2cPbobDbMjr09BbtdKROZWc/edit#gid=1444865654"",""articles_with_PRISMA_reasons!W2:W2113""), $A1529=IMPORTRANGE(""https://docs.google.co"&amp;"m/spreadsheets/d/1qpEmbGH0JjaJbUdp21-y2cPbobDbMjr09BbtdKROZWc/edit#gid=1444865654"",""articles_with_PRISMA_reasons!B2:B2113""))&gt;=2,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$A1529=IMPORTRANGE(""https://docs.google.com/spreadsheets/d/1qpEmbGH0JjaJbUdp21-y2cPbobDbMjr09BbtdKROZWc/edit#gid=1444865654"",""articles_with_PRISMA_reasons!B2:B2113""))&lt;2),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$A1529=IMPORTRANGE(""https://docs.google.com/spreadsheets/d/1qpEmbGH0JjaJbUdp21-y2cPbobDbMjr09Bbtd"&amp;"KROZWc/edit#gid=1444865654"",""articles_with_PRISMA_reasons!B2:B2113""))&lt;2,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$A1529=I"&amp;"MPORTRANGE(""https://docs.google.com/spreadsheets/d/1qpEmbGH0JjaJbUdp21-y2cPbobDbMjr09BbtdKROZWc/edit#gid=1444865654"",""articles_with_PRISMA_reasons!B2:B2113""))&gt;=2),
""Exclude""
)"),"Exclude")</f>
        <v>Exclude</v>
      </c>
      <c r="F1529" s="5" t="str">
        <f>IFERROR(__xludf.DUMMYFUNCTION("IFS(
E1529=""Exclude"",""Exclude"",
AND(
COUNTIF(
IMPORTRANGE(""https://docs.google.com/spreadsheets/d/1kGrh75X1cNR1D7_FcY9zMnHP8iPO4M5RCRjy6nZY0TY/edit#gid=0"",""Table 1: Study characteristics!B4:B171""),A1529)&gt;0,
COUNTIF(Studies!$A$2:$A$85,FILTER(IMPORT"&amp;"RANGE(""https://docs.google.com/spreadsheets/d/1kGrh75X1cNR1D7_FcY9zMnHP8iPO4M5RCRjy6nZY0TY/edit#gid=0"",""Table 1: Study characteristics!A4:A171""), $A1529=IMPORTRANGE(""https://docs.google.com/spreadsheets/d/1kGrh75X1cNR1D7_FcY9zMnHP8iPO4M5RCRjy6nZY0TY/"&amp;"edit#gid=0"",""Table 1: Study characteristics!B4:B171"")))&gt;0
),
""Include""
)"),"Exclude")</f>
        <v>Exclude</v>
      </c>
      <c r="G1529" s="5" t="str">
        <f>IFERROR(__xludf.DUMMYFUNCTION("IFS(
D1529=""Exclude"",
FILTER(IMPORTRANGE(""https://docs.google.com/spreadsheets/d/1BJSV3WBYJGRhQ6zExamkszQ5VutGIcaQqmbD9ZTVXMQ/edit#gid=1251630045"",""articles_with_PRISMA_reasons!AB2:AB2113""), $A1529=IMPORTRANGE(""https://docs.google.com/spreadsheets/"&amp;"d/1BJSV3WBYJGRhQ6zExamkszQ5VutGIcaQqmbD9ZTVXMQ/edit#gid=1251630045"",""articles_with_PRISMA_reasons!B2:B2113"")),
E1529=""Exclude"",
FILTER(IMPORTRANGE(""https://docs.google.com/spreadsheets/d/1qpEmbGH0JjaJbUdp21-y2cPbobDbMjr09BbtdKROZWc/edit#gid=14448656"&amp;"54"",""articles_with_PRISMA_reasons!Z2:Z2113""), $A1529=IMPORTRANGE(""https://docs.google.com/spreadsheets/d/1qpEmbGH0JjaJbUdp21-y2cPbobDbMjr09BbtdKROZWc/edit#gid=1444865654"",""articles_with_PRISMA_reasons!B2:B2113"")),F1529
=""Include"",FILTER(IMPORTRAN"&amp;"GE(""https://docs.google.com/spreadsheets/d/1kGrh75X1cNR1D7_FcY9zMnHP8iPO4M5RCRjy6nZY0TY/edit#gid=0"",""Table 1: Study characteristics!A4:A171""), $A1529=IMPORTRANGE(""https://docs.google.com/spreadsheets/d/1kGrh75X1cNR1D7_FcY9zMnHP8iPO4M5RCRjy6nZY0TY/edi"&amp;"t#gid=0"",""Table 1: Study characteristics!B4:B171""))
)"),"wrong study design")</f>
        <v>wrong study design</v>
      </c>
    </row>
    <row r="1530">
      <c r="A1530" s="4" t="str">
        <f>IFERROR(__xludf.DUMMYFUNCTION("""COMPUTED_VALUE"""),"Prenatal ultrasound diagnosis of congenital diaphragmatic hernia and meningomyelocele: A case report with literature review")</f>
        <v>Prenatal ultrasound diagnosis of congenital diaphragmatic hernia and meningomyelocele: A case report with literature review</v>
      </c>
      <c r="B1530" s="5" t="str">
        <f>IFERROR(__xludf.DUMMYFUNCTION("LEFT(FILTER(IMPORTRANGE(""https://docs.google.com/spreadsheets/d/1BJSV3WBYJGRhQ6zExamkszQ5VutGIcaQqmbD9ZTVXMQ/edit#gid=1251630045"",""articles_with_PRISMA_reasons!K2:K2113""), $A1530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$A1530=IMPORTRANGE(""https://docs.google.com/spreadsheets/d/1BJSV3WBYJGRhQ6zExamkszQ5VutGIcaQqmbD9ZTVXMQ/edit#gid=1251630045"",""articles_with_PRISMA_reasons!B2:B2113"")))-1)"),"Skari")</f>
        <v>Skari</v>
      </c>
      <c r="C1530" s="6">
        <f>IFERROR(__xludf.DUMMYFUNCTION("FILTER(IMPORTRANGE(""https://docs.google.com/spreadsheets/d/1BJSV3WBYJGRhQ6zExamkszQ5VutGIcaQqmbD9ZTVXMQ/edit#gid=1251630045"",""articles_with_PRISMA_reasons!C2:C2113""), $A1530=IMPORTRANGE(""https://docs.google.com/spreadsheets/d/1BJSV3WBYJGRhQ6zExamkszQ"&amp;"5VutGIcaQqmbD9ZTVXMQ/edit#gid=1251630045"",""articles_with_PRISMA_reasons!B2:B2113""))"),2000.0)</f>
        <v>2000</v>
      </c>
      <c r="D1530" s="5" t="str">
        <f>IFERROR(__xludf.DUMMYFUNCTION("IFS(AND(
FILTER(IMPORTRANGE(""https://docs.google.com/spreadsheets/d/1BJSV3WBYJGRhQ6zExamkszQ5VutGIcaQqmbD9ZTVXMQ/edit#gid=1251630045"",""articles_with_PRISMA_reasons!Y2:Y2113""), $A1530=IMPORTRANGE(""https://docs.google.com/spreadsheets/d/1BJSV3WBYJGRhQ6"&amp;"zExamkszQ5VutGIcaQqmbD9ZTVXMQ/edit#gid=1251630045"",""articles_with_PRISMA_reasons!B2:B2113""))&gt;=2,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$A1530=IMPORTRANGE(""https://docs.google.com/spreadsheets/d/1BJSV3WBYJGRhQ6zExamkszQ5VutGIcaQqmbD9ZTVXMQ/edit#gid=1251630045"",""articles_with_PRISMA_reasons!B2:B2113""))&lt;2),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$A1530=IMPORTRANGE(""https://docs.google.com/spreadsheets/d/1BJSV3WBYJGRhQ6zExamkszQ5VutGIcaQqmbD9ZTVXMQ/edit#gid=1251630045"",""a"&amp;"rticles_with_PRISMA_reasons!B2:B2113""))&lt;2,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$A1530=IMPORTRANGE(""https://docs.google"&amp;".com/spreadsheets/d/1BJSV3WBYJGRhQ6zExamkszQ5VutGIcaQqmbD9ZTVXMQ/edit#gid=1251630045"",""articles_with_PRISMA_reasons!B2:B2113""))&gt;=2),
""Exclude""
)"),"Exclude")</f>
        <v>Exclude</v>
      </c>
      <c r="E1530" s="5" t="str">
        <f>IFERROR(__xludf.DUMMYFUNCTION("IFS(
D1530=""Exclude"",""Exclude"",
AND(
FILTER(IMPORTRANGE(""https://docs.google.com/spreadsheets/d/1qpEmbGH0JjaJbUdp21-y2cPbobDbMjr09BbtdKROZWc/edit#gid=1444865654"",""articles_with_PRISMA_reasons!W2:W2113""), $A1530=IMPORTRANGE(""https://docs.google.co"&amp;"m/spreadsheets/d/1qpEmbGH0JjaJbUdp21-y2cPbobDbMjr09BbtdKROZWc/edit#gid=1444865654"",""articles_with_PRISMA_reasons!B2:B2113""))&gt;=2,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$A1530=IMPORTRANGE(""https://docs.google.com/spreadsheets/d/1qpEmbGH0JjaJbUdp21-y2cPbobDbMjr09BbtdKROZWc/edit#gid=1444865654"",""articles_with_PRISMA_reasons!B2:B2113""))&lt;2),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$A1530=IMPORTRANGE(""https://docs.google.com/spreadsheets/d/1qpEmbGH0JjaJbUdp21-y2cPbobDbMjr09Bbtd"&amp;"KROZWc/edit#gid=1444865654"",""articles_with_PRISMA_reasons!B2:B2113""))&lt;2,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$A1530=I"&amp;"MPORTRANGE(""https://docs.google.com/spreadsheets/d/1qpEmbGH0JjaJbUdp21-y2cPbobDbMjr09BbtdKROZWc/edit#gid=1444865654"",""articles_with_PRISMA_reasons!B2:B2113""))&gt;=2),
""Exclude""
)"),"Exclude")</f>
        <v>Exclude</v>
      </c>
      <c r="F1530" s="5" t="str">
        <f>IFERROR(__xludf.DUMMYFUNCTION("IFS(
E1530=""Exclude"",""Exclude"",
AND(
COUNTIF(
IMPORTRANGE(""https://docs.google.com/spreadsheets/d/1kGrh75X1cNR1D7_FcY9zMnHP8iPO4M5RCRjy6nZY0TY/edit#gid=0"",""Table 1: Study characteristics!B4:B171""),A1530)&gt;0,
COUNTIF(Studies!$A$2:$A$85,FILTER(IMPORT"&amp;"RANGE(""https://docs.google.com/spreadsheets/d/1kGrh75X1cNR1D7_FcY9zMnHP8iPO4M5RCRjy6nZY0TY/edit#gid=0"",""Table 1: Study characteristics!A4:A171""), $A1530=IMPORTRANGE(""https://docs.google.com/spreadsheets/d/1kGrh75X1cNR1D7_FcY9zMnHP8iPO4M5RCRjy6nZY0TY/"&amp;"edit#gid=0"",""Table 1: Study characteristics!B4:B171"")))&gt;0
),
""Include""
)"),"Exclude")</f>
        <v>Exclude</v>
      </c>
      <c r="G1530" s="5" t="str">
        <f>IFERROR(__xludf.DUMMYFUNCTION("IFS(
D1530=""Exclude"",
FILTER(IMPORTRANGE(""https://docs.google.com/spreadsheets/d/1BJSV3WBYJGRhQ6zExamkszQ5VutGIcaQqmbD9ZTVXMQ/edit#gid=1251630045"",""articles_with_PRISMA_reasons!AB2:AB2113""), $A1530=IMPORTRANGE(""https://docs.google.com/spreadsheets/"&amp;"d/1BJSV3WBYJGRhQ6zExamkszQ5VutGIcaQqmbD9ZTVXMQ/edit#gid=1251630045"",""articles_with_PRISMA_reasons!B2:B2113"")),
E1530=""Exclude"",
FILTER(IMPORTRANGE(""https://docs.google.com/spreadsheets/d/1qpEmbGH0JjaJbUdp21-y2cPbobDbMjr09BbtdKROZWc/edit#gid=14448656"&amp;"54"",""articles_with_PRISMA_reasons!Z2:Z2113""), $A1530=IMPORTRANGE(""https://docs.google.com/spreadsheets/d/1qpEmbGH0JjaJbUdp21-y2cPbobDbMjr09BbtdKROZWc/edit#gid=1444865654"",""articles_with_PRISMA_reasons!B2:B2113"")),F1530
=""Include"",FILTER(IMPORTRAN"&amp;"GE(""https://docs.google.com/spreadsheets/d/1kGrh75X1cNR1D7_FcY9zMnHP8iPO4M5RCRjy6nZY0TY/edit#gid=0"",""Table 1: Study characteristics!A4:A171""), $A1530=IMPORTRANGE(""https://docs.google.com/spreadsheets/d/1kGrh75X1cNR1D7_FcY9zMnHP8iPO4M5RCRjy6nZY0TY/edi"&amp;"t#gid=0"",""Table 1: Study characteristics!B4:B171""))
)"),"wrong study design")</f>
        <v>wrong study design</v>
      </c>
    </row>
    <row r="1531">
      <c r="A1531" s="4" t="str">
        <f>IFERROR(__xludf.DUMMYFUNCTION("""COMPUTED_VALUE"""),"Prenatal ventriculomegaly: natural course, survival, and neurodevelopmental status")</f>
        <v>Prenatal ventriculomegaly: natural course, survival, and neurodevelopmental status</v>
      </c>
      <c r="B1531" s="5" t="str">
        <f>IFERROR(__xludf.DUMMYFUNCTION("LEFT(FILTER(IMPORTRANGE(""https://docs.google.com/spreadsheets/d/1BJSV3WBYJGRhQ6zExamkszQ5VutGIcaQqmbD9ZTVXMQ/edit#gid=1251630045"",""articles_with_PRISMA_reasons!K2:K2113""), $A1531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$A1531=IMPORTRANGE(""https://docs.google.com/spreadsheets/d/1BJSV3WBYJGRhQ6zExamkszQ5VutGIcaQqmbD9ZTVXMQ/edit#gid=1251630045"",""articles_with_PRISMA_reasons!B2:B2113"")))-1)"),"Kheiri")</f>
        <v>Kheiri</v>
      </c>
      <c r="C1531" s="6">
        <f>IFERROR(__xludf.DUMMYFUNCTION("FILTER(IMPORTRANGE(""https://docs.google.com/spreadsheets/d/1BJSV3WBYJGRhQ6zExamkszQ5VutGIcaQqmbD9ZTVXMQ/edit#gid=1251630045"",""articles_with_PRISMA_reasons!C2:C2113""), $A1531=IMPORTRANGE(""https://docs.google.com/spreadsheets/d/1BJSV3WBYJGRhQ6zExamkszQ"&amp;"5VutGIcaQqmbD9ZTVXMQ/edit#gid=1251630045"",""articles_with_PRISMA_reasons!B2:B2113""))"),2021.0)</f>
        <v>2021</v>
      </c>
      <c r="D1531" s="5" t="str">
        <f>IFERROR(__xludf.DUMMYFUNCTION("IFS(AND(
FILTER(IMPORTRANGE(""https://docs.google.com/spreadsheets/d/1BJSV3WBYJGRhQ6zExamkszQ5VutGIcaQqmbD9ZTVXMQ/edit#gid=1251630045"",""articles_with_PRISMA_reasons!Y2:Y2113""), $A1531=IMPORTRANGE(""https://docs.google.com/spreadsheets/d/1BJSV3WBYJGRhQ6"&amp;"zExamkszQ5VutGIcaQqmbD9ZTVXMQ/edit#gid=1251630045"",""articles_with_PRISMA_reasons!B2:B2113""))&gt;=2,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$A1531=IMPORTRANGE(""https://docs.google.com/spreadsheets/d/1BJSV3WBYJGRhQ6zExamkszQ5VutGIcaQqmbD9ZTVXMQ/edit#gid=1251630045"",""articles_with_PRISMA_reasons!B2:B2113""))&lt;2),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$A1531=IMPORTRANGE(""https://docs.google.com/spreadsheets/d/1BJSV3WBYJGRhQ6zExamkszQ5VutGIcaQqmbD9ZTVXMQ/edit#gid=1251630045"",""a"&amp;"rticles_with_PRISMA_reasons!B2:B2113""))&lt;2,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$A1531=IMPORTRANGE(""https://docs.google"&amp;".com/spreadsheets/d/1BJSV3WBYJGRhQ6zExamkszQ5VutGIcaQqmbD9ZTVXMQ/edit#gid=1251630045"",""articles_with_PRISMA_reasons!B2:B2113""))&gt;=2),
""Exclude""
)"),"Exclude")</f>
        <v>Exclude</v>
      </c>
      <c r="E1531" s="5" t="str">
        <f>IFERROR(__xludf.DUMMYFUNCTION("IFS(
D1531=""Exclude"",""Exclude"",
AND(
FILTER(IMPORTRANGE(""https://docs.google.com/spreadsheets/d/1qpEmbGH0JjaJbUdp21-y2cPbobDbMjr09BbtdKROZWc/edit#gid=1444865654"",""articles_with_PRISMA_reasons!W2:W2113""), $A1531=IMPORTRANGE(""https://docs.google.co"&amp;"m/spreadsheets/d/1qpEmbGH0JjaJbUdp21-y2cPbobDbMjr09BbtdKROZWc/edit#gid=1444865654"",""articles_with_PRISMA_reasons!B2:B2113""))&gt;=2,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$A1531=IMPORTRANGE(""https://docs.google.com/spreadsheets/d/1qpEmbGH0JjaJbUdp21-y2cPbobDbMjr09BbtdKROZWc/edit#gid=1444865654"",""articles_with_PRISMA_reasons!B2:B2113""))&lt;2),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$A1531=IMPORTRANGE(""https://docs.google.com/spreadsheets/d/1qpEmbGH0JjaJbUdp21-y2cPbobDbMjr09Bbtd"&amp;"KROZWc/edit#gid=1444865654"",""articles_with_PRISMA_reasons!B2:B2113""))&lt;2,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$A1531=I"&amp;"MPORTRANGE(""https://docs.google.com/spreadsheets/d/1qpEmbGH0JjaJbUdp21-y2cPbobDbMjr09BbtdKROZWc/edit#gid=1444865654"",""articles_with_PRISMA_reasons!B2:B2113""))&gt;=2),
""Exclude""
)"),"Exclude")</f>
        <v>Exclude</v>
      </c>
      <c r="F1531" s="5" t="str">
        <f>IFERROR(__xludf.DUMMYFUNCTION("IFS(
E1531=""Exclude"",""Exclude"",
AND(
COUNTIF(
IMPORTRANGE(""https://docs.google.com/spreadsheets/d/1kGrh75X1cNR1D7_FcY9zMnHP8iPO4M5RCRjy6nZY0TY/edit#gid=0"",""Table 1: Study characteristics!B4:B171""),A1531)&gt;0,
COUNTIF(Studies!$A$2:$A$85,FILTER(IMPORT"&amp;"RANGE(""https://docs.google.com/spreadsheets/d/1kGrh75X1cNR1D7_FcY9zMnHP8iPO4M5RCRjy6nZY0TY/edit#gid=0"",""Table 1: Study characteristics!A4:A171""), $A1531=IMPORTRANGE(""https://docs.google.com/spreadsheets/d/1kGrh75X1cNR1D7_FcY9zMnHP8iPO4M5RCRjy6nZY0TY/"&amp;"edit#gid=0"",""Table 1: Study characteristics!B4:B171"")))&gt;0
),
""Include""
)"),"Exclude")</f>
        <v>Exclude</v>
      </c>
      <c r="G1531" s="5" t="str">
        <f>IFERROR(__xludf.DUMMYFUNCTION("IFS(
D1531=""Exclude"",
FILTER(IMPORTRANGE(""https://docs.google.com/spreadsheets/d/1BJSV3WBYJGRhQ6zExamkszQ5VutGIcaQqmbD9ZTVXMQ/edit#gid=1251630045"",""articles_with_PRISMA_reasons!AB2:AB2113""), $A1531=IMPORTRANGE(""https://docs.google.com/spreadsheets/"&amp;"d/1BJSV3WBYJGRhQ6zExamkszQ5VutGIcaQqmbD9ZTVXMQ/edit#gid=1251630045"",""articles_with_PRISMA_reasons!B2:B2113"")),
E1531=""Exclude"",
FILTER(IMPORTRANGE(""https://docs.google.com/spreadsheets/d/1qpEmbGH0JjaJbUdp21-y2cPbobDbMjr09BbtdKROZWc/edit#gid=14448656"&amp;"54"",""articles_with_PRISMA_reasons!Z2:Z2113""), $A1531=IMPORTRANGE(""https://docs.google.com/spreadsheets/d/1qpEmbGH0JjaJbUdp21-y2cPbobDbMjr09BbtdKROZWc/edit#gid=1444865654"",""articles_with_PRISMA_reasons!B2:B2113"")),F1531
=""Include"",FILTER(IMPORTRAN"&amp;"GE(""https://docs.google.com/spreadsheets/d/1kGrh75X1cNR1D7_FcY9zMnHP8iPO4M5RCRjy6nZY0TY/edit#gid=0"",""Table 1: Study characteristics!A4:A171""), $A1531=IMPORTRANGE(""https://docs.google.com/spreadsheets/d/1kGrh75X1cNR1D7_FcY9zMnHP8iPO4M5RCRjy6nZY0TY/edi"&amp;"t#gid=0"",""Table 1: Study characteristics!B4:B171""))
)"),"wrong population")</f>
        <v>wrong population</v>
      </c>
    </row>
    <row r="1532">
      <c r="A1532" s="4" t="str">
        <f>IFERROR(__xludf.DUMMYFUNCTION("""COMPUTED_VALUE"""),"Prenatal versus postnatal repair procedures for spina bifida for improving infant and maternal outcomes")</f>
        <v>Prenatal versus postnatal repair procedures for spina bifida for improving infant and maternal outcomes</v>
      </c>
      <c r="B1532" s="5" t="str">
        <f>IFERROR(__xludf.DUMMYFUNCTION("LEFT(FILTER(IMPORTRANGE(""https://docs.google.com/spreadsheets/d/1BJSV3WBYJGRhQ6zExamkszQ5VutGIcaQqmbD9ZTVXMQ/edit#gid=1251630045"",""articles_with_PRISMA_reasons!K2:K2113""), $A1532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$A1532=IMPORTRANGE(""https://docs.google.com/spreadsheets/d/1BJSV3WBYJGRhQ6zExamkszQ5VutGIcaQqmbD9ZTVXMQ/edit#gid=1251630045"",""articles_with_PRISMA_reasons!B2:B2113"")))-1)"),"Grivell")</f>
        <v>Grivell</v>
      </c>
      <c r="C1532" s="6">
        <f>IFERROR(__xludf.DUMMYFUNCTION("FILTER(IMPORTRANGE(""https://docs.google.com/spreadsheets/d/1BJSV3WBYJGRhQ6zExamkszQ5VutGIcaQqmbD9ZTVXMQ/edit#gid=1251630045"",""articles_with_PRISMA_reasons!C2:C2113""), $A1532=IMPORTRANGE(""https://docs.google.com/spreadsheets/d/1BJSV3WBYJGRhQ6zExamkszQ"&amp;"5VutGIcaQqmbD9ZTVXMQ/edit#gid=1251630045"",""articles_with_PRISMA_reasons!B2:B2113""))"),2014.0)</f>
        <v>2014</v>
      </c>
      <c r="D1532" s="5" t="str">
        <f>IFERROR(__xludf.DUMMYFUNCTION("IFS(AND(
FILTER(IMPORTRANGE(""https://docs.google.com/spreadsheets/d/1BJSV3WBYJGRhQ6zExamkszQ5VutGIcaQqmbD9ZTVXMQ/edit#gid=1251630045"",""articles_with_PRISMA_reasons!Y2:Y2113""), $A1532=IMPORTRANGE(""https://docs.google.com/spreadsheets/d/1BJSV3WBYJGRhQ6"&amp;"zExamkszQ5VutGIcaQqmbD9ZTVXMQ/edit#gid=1251630045"",""articles_with_PRISMA_reasons!B2:B2113""))&gt;=2,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$A1532=IMPORTRANGE(""https://docs.google.com/spreadsheets/d/1BJSV3WBYJGRhQ6zExamkszQ5VutGIcaQqmbD9ZTVXMQ/edit#gid=1251630045"",""articles_with_PRISMA_reasons!B2:B2113""))&lt;2),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$A1532=IMPORTRANGE(""https://docs.google.com/spreadsheets/d/1BJSV3WBYJGRhQ6zExamkszQ5VutGIcaQqmbD9ZTVXMQ/edit#gid=1251630045"",""a"&amp;"rticles_with_PRISMA_reasons!B2:B2113""))&lt;2,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$A1532=IMPORTRANGE(""https://docs.google"&amp;".com/spreadsheets/d/1BJSV3WBYJGRhQ6zExamkszQ5VutGIcaQqmbD9ZTVXMQ/edit#gid=1251630045"",""articles_with_PRISMA_reasons!B2:B2113""))&gt;=2),
""Exclude""
)"),"Exclude")</f>
        <v>Exclude</v>
      </c>
      <c r="E1532" s="5" t="str">
        <f>IFERROR(__xludf.DUMMYFUNCTION("IFS(
D1532=""Exclude"",""Exclude"",
AND(
FILTER(IMPORTRANGE(""https://docs.google.com/spreadsheets/d/1qpEmbGH0JjaJbUdp21-y2cPbobDbMjr09BbtdKROZWc/edit#gid=1444865654"",""articles_with_PRISMA_reasons!W2:W2113""), $A1532=IMPORTRANGE(""https://docs.google.co"&amp;"m/spreadsheets/d/1qpEmbGH0JjaJbUdp21-y2cPbobDbMjr09BbtdKROZWc/edit#gid=1444865654"",""articles_with_PRISMA_reasons!B2:B2113""))&gt;=2,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$A1532=IMPORTRANGE(""https://docs.google.com/spreadsheets/d/1qpEmbGH0JjaJbUdp21-y2cPbobDbMjr09BbtdKROZWc/edit#gid=1444865654"",""articles_with_PRISMA_reasons!B2:B2113""))&lt;2),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$A1532=IMPORTRANGE(""https://docs.google.com/spreadsheets/d/1qpEmbGH0JjaJbUdp21-y2cPbobDbMjr09Bbtd"&amp;"KROZWc/edit#gid=1444865654"",""articles_with_PRISMA_reasons!B2:B2113""))&lt;2,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$A1532=I"&amp;"MPORTRANGE(""https://docs.google.com/spreadsheets/d/1qpEmbGH0JjaJbUdp21-y2cPbobDbMjr09BbtdKROZWc/edit#gid=1444865654"",""articles_with_PRISMA_reasons!B2:B2113""))&gt;=2),
""Exclude""
)"),"Exclude")</f>
        <v>Exclude</v>
      </c>
      <c r="F1532" s="5" t="str">
        <f>IFERROR(__xludf.DUMMYFUNCTION("IFS(
E1532=""Exclude"",""Exclude"",
AND(
COUNTIF(
IMPORTRANGE(""https://docs.google.com/spreadsheets/d/1kGrh75X1cNR1D7_FcY9zMnHP8iPO4M5RCRjy6nZY0TY/edit#gid=0"",""Table 1: Study characteristics!B4:B171""),A1532)&gt;0,
COUNTIF(Studies!$A$2:$A$85,FILTER(IMPORT"&amp;"RANGE(""https://docs.google.com/spreadsheets/d/1kGrh75X1cNR1D7_FcY9zMnHP8iPO4M5RCRjy6nZY0TY/edit#gid=0"",""Table 1: Study characteristics!A4:A171""), $A1532=IMPORTRANGE(""https://docs.google.com/spreadsheets/d/1kGrh75X1cNR1D7_FcY9zMnHP8iPO4M5RCRjy6nZY0TY/"&amp;"edit#gid=0"",""Table 1: Study characteristics!B4:B171"")))&gt;0
),
""Include""
)"),"Exclude")</f>
        <v>Exclude</v>
      </c>
      <c r="G1532" s="5" t="str">
        <f>IFERROR(__xludf.DUMMYFUNCTION("IFS(
D1532=""Exclude"",
FILTER(IMPORTRANGE(""https://docs.google.com/spreadsheets/d/1BJSV3WBYJGRhQ6zExamkszQ5VutGIcaQqmbD9ZTVXMQ/edit#gid=1251630045"",""articles_with_PRISMA_reasons!AB2:AB2113""), $A1532=IMPORTRANGE(""https://docs.google.com/spreadsheets/"&amp;"d/1BJSV3WBYJGRhQ6zExamkszQ5VutGIcaQqmbD9ZTVXMQ/edit#gid=1251630045"",""articles_with_PRISMA_reasons!B2:B2113"")),
E1532=""Exclude"",
FILTER(IMPORTRANGE(""https://docs.google.com/spreadsheets/d/1qpEmbGH0JjaJbUdp21-y2cPbobDbMjr09BbtdKROZWc/edit#gid=14448656"&amp;"54"",""articles_with_PRISMA_reasons!Z2:Z2113""), $A1532=IMPORTRANGE(""https://docs.google.com/spreadsheets/d/1qpEmbGH0JjaJbUdp21-y2cPbobDbMjr09BbtdKROZWc/edit#gid=1444865654"",""articles_with_PRISMA_reasons!B2:B2113"")),F1532
=""Include"",FILTER(IMPORTRAN"&amp;"GE(""https://docs.google.com/spreadsheets/d/1kGrh75X1cNR1D7_FcY9zMnHP8iPO4M5RCRjy6nZY0TY/edit#gid=0"",""Table 1: Study characteristics!A4:A171""), $A1532=IMPORTRANGE(""https://docs.google.com/spreadsheets/d/1kGrh75X1cNR1D7_FcY9zMnHP8iPO4M5RCRjy6nZY0TY/edi"&amp;"t#gid=0"",""Table 1: Study characteristics!B4:B171""))
)"),"wrong study design")</f>
        <v>wrong study design</v>
      </c>
    </row>
    <row r="1533">
      <c r="A1533" s="4" t="str">
        <f>IFERROR(__xludf.DUMMYFUNCTION("""COMPUTED_VALUE"""),"Preoperative Variables Associated With Respiratory Complications After Pediatric Neuromuscular Spine Deformity Surgery")</f>
        <v>Preoperative Variables Associated With Respiratory Complications After Pediatric Neuromuscular Spine Deformity Surgery</v>
      </c>
      <c r="B1533" s="5" t="str">
        <f>IFERROR(__xludf.DUMMYFUNCTION("LEFT(FILTER(IMPORTRANGE(""https://docs.google.com/spreadsheets/d/1BJSV3WBYJGRhQ6zExamkszQ5VutGIcaQqmbD9ZTVXMQ/edit#gid=1251630045"",""articles_with_PRISMA_reasons!K2:K2113""), $A1533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$A1533=IMPORTRANGE(""https://docs.google.com/spreadsheets/d/1BJSV3WBYJGRhQ6zExamkszQ5VutGIcaQqmbD9ZTVXMQ/edit#gid=1251630045"",""articles_with_PRISMA_reasons!B2:B2113"")))-1)"),"Luhmann")</f>
        <v>Luhmann</v>
      </c>
      <c r="C1533" s="6">
        <f>IFERROR(__xludf.DUMMYFUNCTION("FILTER(IMPORTRANGE(""https://docs.google.com/spreadsheets/d/1BJSV3WBYJGRhQ6zExamkszQ5VutGIcaQqmbD9ZTVXMQ/edit#gid=1251630045"",""articles_with_PRISMA_reasons!C2:C2113""), $A1533=IMPORTRANGE(""https://docs.google.com/spreadsheets/d/1BJSV3WBYJGRhQ6zExamkszQ"&amp;"5VutGIcaQqmbD9ZTVXMQ/edit#gid=1251630045"",""articles_with_PRISMA_reasons!B2:B2113""))"),2019.0)</f>
        <v>2019</v>
      </c>
      <c r="D1533" s="5" t="str">
        <f>IFERROR(__xludf.DUMMYFUNCTION("IFS(AND(
FILTER(IMPORTRANGE(""https://docs.google.com/spreadsheets/d/1BJSV3WBYJGRhQ6zExamkszQ5VutGIcaQqmbD9ZTVXMQ/edit#gid=1251630045"",""articles_with_PRISMA_reasons!Y2:Y2113""), $A1533=IMPORTRANGE(""https://docs.google.com/spreadsheets/d/1BJSV3WBYJGRhQ6"&amp;"zExamkszQ5VutGIcaQqmbD9ZTVXMQ/edit#gid=1251630045"",""articles_with_PRISMA_reasons!B2:B2113""))&gt;=2,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$A1533=IMPORTRANGE(""https://docs.google.com/spreadsheets/d/1BJSV3WBYJGRhQ6zExamkszQ5VutGIcaQqmbD9ZTVXMQ/edit#gid=1251630045"",""articles_with_PRISMA_reasons!B2:B2113""))&lt;2),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$A1533=IMPORTRANGE(""https://docs.google.com/spreadsheets/d/1BJSV3WBYJGRhQ6zExamkszQ5VutGIcaQqmbD9ZTVXMQ/edit#gid=1251630045"",""a"&amp;"rticles_with_PRISMA_reasons!B2:B2113""))&lt;2,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$A1533=IMPORTRANGE(""https://docs.google"&amp;".com/spreadsheets/d/1BJSV3WBYJGRhQ6zExamkszQ5VutGIcaQqmbD9ZTVXMQ/edit#gid=1251630045"",""articles_with_PRISMA_reasons!B2:B2113""))&gt;=2),
""Exclude""
)"),"Exclude")</f>
        <v>Exclude</v>
      </c>
      <c r="E1533" s="5" t="str">
        <f>IFERROR(__xludf.DUMMYFUNCTION("IFS(
D1533=""Exclude"",""Exclude"",
AND(
FILTER(IMPORTRANGE(""https://docs.google.com/spreadsheets/d/1qpEmbGH0JjaJbUdp21-y2cPbobDbMjr09BbtdKROZWc/edit#gid=1444865654"",""articles_with_PRISMA_reasons!W2:W2113""), $A1533=IMPORTRANGE(""https://docs.google.co"&amp;"m/spreadsheets/d/1qpEmbGH0JjaJbUdp21-y2cPbobDbMjr09BbtdKROZWc/edit#gid=1444865654"",""articles_with_PRISMA_reasons!B2:B2113""))&gt;=2,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$A1533=IMPORTRANGE(""https://docs.google.com/spreadsheets/d/1qpEmbGH0JjaJbUdp21-y2cPbobDbMjr09BbtdKROZWc/edit#gid=1444865654"",""articles_with_PRISMA_reasons!B2:B2113""))&lt;2),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$A1533=IMPORTRANGE(""https://docs.google.com/spreadsheets/d/1qpEmbGH0JjaJbUdp21-y2cPbobDbMjr09Bbtd"&amp;"KROZWc/edit#gid=1444865654"",""articles_with_PRISMA_reasons!B2:B2113""))&lt;2,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$A1533=I"&amp;"MPORTRANGE(""https://docs.google.com/spreadsheets/d/1qpEmbGH0JjaJbUdp21-y2cPbobDbMjr09BbtdKROZWc/edit#gid=1444865654"",""articles_with_PRISMA_reasons!B2:B2113""))&gt;=2),
""Exclude""
)"),"Exclude")</f>
        <v>Exclude</v>
      </c>
      <c r="F1533" s="5" t="str">
        <f>IFERROR(__xludf.DUMMYFUNCTION("IFS(
E1533=""Exclude"",""Exclude"",
AND(
COUNTIF(
IMPORTRANGE(""https://docs.google.com/spreadsheets/d/1kGrh75X1cNR1D7_FcY9zMnHP8iPO4M5RCRjy6nZY0TY/edit#gid=0"",""Table 1: Study characteristics!B4:B171""),A1533)&gt;0,
COUNTIF(Studies!$A$2:$A$85,FILTER(IMPORT"&amp;"RANGE(""https://docs.google.com/spreadsheets/d/1kGrh75X1cNR1D7_FcY9zMnHP8iPO4M5RCRjy6nZY0TY/edit#gid=0"",""Table 1: Study characteristics!A4:A171""), $A1533=IMPORTRANGE(""https://docs.google.com/spreadsheets/d/1kGrh75X1cNR1D7_FcY9zMnHP8iPO4M5RCRjy6nZY0TY/"&amp;"edit#gid=0"",""Table 1: Study characteristics!B4:B171"")))&gt;0
),
""Include""
)"),"Exclude")</f>
        <v>Exclude</v>
      </c>
      <c r="G1533" s="5" t="str">
        <f>IFERROR(__xludf.DUMMYFUNCTION("IFS(
D1533=""Exclude"",
FILTER(IMPORTRANGE(""https://docs.google.com/spreadsheets/d/1BJSV3WBYJGRhQ6zExamkszQ5VutGIcaQqmbD9ZTVXMQ/edit#gid=1251630045"",""articles_with_PRISMA_reasons!AB2:AB2113""), $A1533=IMPORTRANGE(""https://docs.google.com/spreadsheets/"&amp;"d/1BJSV3WBYJGRhQ6zExamkszQ5VutGIcaQqmbD9ZTVXMQ/edit#gid=1251630045"",""articles_with_PRISMA_reasons!B2:B2113"")),
E1533=""Exclude"",
FILTER(IMPORTRANGE(""https://docs.google.com/spreadsheets/d/1qpEmbGH0JjaJbUdp21-y2cPbobDbMjr09BbtdKROZWc/edit#gid=14448656"&amp;"54"",""articles_with_PRISMA_reasons!Z2:Z2113""), $A1533=IMPORTRANGE(""https://docs.google.com/spreadsheets/d/1qpEmbGH0JjaJbUdp21-y2cPbobDbMjr09BbtdKROZWc/edit#gid=1444865654"",""articles_with_PRISMA_reasons!B2:B2113"")),F1533
=""Include"",FILTER(IMPORTRAN"&amp;"GE(""https://docs.google.com/spreadsheets/d/1kGrh75X1cNR1D7_FcY9zMnHP8iPO4M5RCRjy6nZY0TY/edit#gid=0"",""Table 1: Study characteristics!A4:A171""), $A1533=IMPORTRANGE(""https://docs.google.com/spreadsheets/d/1kGrh75X1cNR1D7_FcY9zMnHP8iPO4M5RCRjy6nZY0TY/edi"&amp;"t#gid=0"",""Table 1: Study characteristics!B4:B171""))
)"),"wrong population")</f>
        <v>wrong population</v>
      </c>
    </row>
    <row r="1534">
      <c r="A1534" s="4" t="str">
        <f>IFERROR(__xludf.DUMMYFUNCTION("""COMPUTED_VALUE"""),"Presentation and evolution of organic central precocious puberty according to the type of CNS lesion")</f>
        <v>Presentation and evolution of organic central precocious puberty according to the type of CNS lesion</v>
      </c>
      <c r="B1534" s="5" t="str">
        <f>IFERROR(__xludf.DUMMYFUNCTION("LEFT(FILTER(IMPORTRANGE(""https://docs.google.com/spreadsheets/d/1BJSV3WBYJGRhQ6zExamkszQ5VutGIcaQqmbD9ZTVXMQ/edit#gid=1251630045"",""articles_with_PRISMA_reasons!K2:K2113""), $A1534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$A1534=IMPORTRANGE(""https://docs.google.com/spreadsheets/d/1BJSV3WBYJGRhQ6zExamkszQ5VutGIcaQqmbD9ZTVXMQ/edit#gid=1251630045"",""articles_with_PRISMA_reasons!B2:B2113"")))-1)"),"Trivin")</f>
        <v>Trivin</v>
      </c>
      <c r="C1534" s="6" t="str">
        <f>IFERROR(__xludf.DUMMYFUNCTION("FILTER(IMPORTRANGE(""https://docs.google.com/spreadsheets/d/1BJSV3WBYJGRhQ6zExamkszQ5VutGIcaQqmbD9ZTVXMQ/edit#gid=1251630045"",""articles_with_PRISMA_reasons!C2:C2113""), $A1534=IMPORTRANGE(""https://docs.google.com/spreadsheets/d/1BJSV3WBYJGRhQ6zExamkszQ"&amp;"5VutGIcaQqmbD9ZTVXMQ/edit#gid=1251630045"",""articles_with_PRISMA_reasons!B2:B2113""))"),"Aug")</f>
        <v>Aug</v>
      </c>
      <c r="D1534" s="5" t="str">
        <f>IFERROR(__xludf.DUMMYFUNCTION("IFS(AND(
FILTER(IMPORTRANGE(""https://docs.google.com/spreadsheets/d/1BJSV3WBYJGRhQ6zExamkszQ5VutGIcaQqmbD9ZTVXMQ/edit#gid=1251630045"",""articles_with_PRISMA_reasons!Y2:Y2113""), $A1534=IMPORTRANGE(""https://docs.google.com/spreadsheets/d/1BJSV3WBYJGRhQ6"&amp;"zExamkszQ5VutGIcaQqmbD9ZTVXMQ/edit#gid=1251630045"",""articles_with_PRISMA_reasons!B2:B2113""))&gt;=2,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$A1534=IMPORTRANGE(""https://docs.google.com/spreadsheets/d/1BJSV3WBYJGRhQ6zExamkszQ5VutGIcaQqmbD9ZTVXMQ/edit#gid=1251630045"",""articles_with_PRISMA_reasons!B2:B2113""))&lt;2),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$A1534=IMPORTRANGE(""https://docs.google.com/spreadsheets/d/1BJSV3WBYJGRhQ6zExamkszQ5VutGIcaQqmbD9ZTVXMQ/edit#gid=1251630045"",""a"&amp;"rticles_with_PRISMA_reasons!B2:B2113""))&lt;2,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$A1534=IMPORTRANGE(""https://docs.google"&amp;".com/spreadsheets/d/1BJSV3WBYJGRhQ6zExamkszQ5VutGIcaQqmbD9ZTVXMQ/edit#gid=1251630045"",""articles_with_PRISMA_reasons!B2:B2113""))&gt;=2),
""Exclude""
)"),"Exclude")</f>
        <v>Exclude</v>
      </c>
      <c r="E1534" s="5" t="str">
        <f>IFERROR(__xludf.DUMMYFUNCTION("IFS(
D1534=""Exclude"",""Exclude"",
AND(
FILTER(IMPORTRANGE(""https://docs.google.com/spreadsheets/d/1qpEmbGH0JjaJbUdp21-y2cPbobDbMjr09BbtdKROZWc/edit#gid=1444865654"",""articles_with_PRISMA_reasons!W2:W2113""), $A1534=IMPORTRANGE(""https://docs.google.co"&amp;"m/spreadsheets/d/1qpEmbGH0JjaJbUdp21-y2cPbobDbMjr09BbtdKROZWc/edit#gid=1444865654"",""articles_with_PRISMA_reasons!B2:B2113""))&gt;=2,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$A1534=IMPORTRANGE(""https://docs.google.com/spreadsheets/d/1qpEmbGH0JjaJbUdp21-y2cPbobDbMjr09BbtdKROZWc/edit#gid=1444865654"",""articles_with_PRISMA_reasons!B2:B2113""))&lt;2),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$A1534=IMPORTRANGE(""https://docs.google.com/spreadsheets/d/1qpEmbGH0JjaJbUdp21-y2cPbobDbMjr09Bbtd"&amp;"KROZWc/edit#gid=1444865654"",""articles_with_PRISMA_reasons!B2:B2113""))&lt;2,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$A1534=I"&amp;"MPORTRANGE(""https://docs.google.com/spreadsheets/d/1qpEmbGH0JjaJbUdp21-y2cPbobDbMjr09BbtdKROZWc/edit#gid=1444865654"",""articles_with_PRISMA_reasons!B2:B2113""))&gt;=2),
""Exclude""
)"),"Exclude")</f>
        <v>Exclude</v>
      </c>
      <c r="F1534" s="5" t="str">
        <f>IFERROR(__xludf.DUMMYFUNCTION("IFS(
E1534=""Exclude"",""Exclude"",
AND(
COUNTIF(
IMPORTRANGE(""https://docs.google.com/spreadsheets/d/1kGrh75X1cNR1D7_FcY9zMnHP8iPO4M5RCRjy6nZY0TY/edit#gid=0"",""Table 1: Study characteristics!B4:B171""),A1534)&gt;0,
COUNTIF(Studies!$A$2:$A$85,FILTER(IMPORT"&amp;"RANGE(""https://docs.google.com/spreadsheets/d/1kGrh75X1cNR1D7_FcY9zMnHP8iPO4M5RCRjy6nZY0TY/edit#gid=0"",""Table 1: Study characteristics!A4:A171""), $A1534=IMPORTRANGE(""https://docs.google.com/spreadsheets/d/1kGrh75X1cNR1D7_FcY9zMnHP8iPO4M5RCRjy6nZY0TY/"&amp;"edit#gid=0"",""Table 1: Study characteristics!B4:B171"")))&gt;0
),
""Include""
)"),"Exclude")</f>
        <v>Exclude</v>
      </c>
      <c r="G1534" s="5" t="str">
        <f>IFERROR(__xludf.DUMMYFUNCTION("IFS(
D1534=""Exclude"",
FILTER(IMPORTRANGE(""https://docs.google.com/spreadsheets/d/1BJSV3WBYJGRhQ6zExamkszQ5VutGIcaQqmbD9ZTVXMQ/edit#gid=1251630045"",""articles_with_PRISMA_reasons!AB2:AB2113""), $A1534=IMPORTRANGE(""https://docs.google.com/spreadsheets/"&amp;"d/1BJSV3WBYJGRhQ6zExamkszQ5VutGIcaQqmbD9ZTVXMQ/edit#gid=1251630045"",""articles_with_PRISMA_reasons!B2:B2113"")),
E1534=""Exclude"",
FILTER(IMPORTRANGE(""https://docs.google.com/spreadsheets/d/1qpEmbGH0JjaJbUdp21-y2cPbobDbMjr09BbtdKROZWc/edit#gid=14448656"&amp;"54"",""articles_with_PRISMA_reasons!Z2:Z2113""), $A1534=IMPORTRANGE(""https://docs.google.com/spreadsheets/d/1qpEmbGH0JjaJbUdp21-y2cPbobDbMjr09BbtdKROZWc/edit#gid=1444865654"",""articles_with_PRISMA_reasons!B2:B2113"")),F1534
=""Include"",FILTER(IMPORTRAN"&amp;"GE(""https://docs.google.com/spreadsheets/d/1kGrh75X1cNR1D7_FcY9zMnHP8iPO4M5RCRjy6nZY0TY/edit#gid=0"",""Table 1: Study characteristics!A4:A171""), $A1534=IMPORTRANGE(""https://docs.google.com/spreadsheets/d/1kGrh75X1cNR1D7_FcY9zMnHP8iPO4M5RCRjy6nZY0TY/edi"&amp;"t#gid=0"",""Table 1: Study characteristics!B4:B171""))
)"),"Duplicate")</f>
        <v>Duplicate</v>
      </c>
    </row>
    <row r="1535">
      <c r="A1535" s="4" t="str">
        <f>IFERROR(__xludf.DUMMYFUNCTION("""COMPUTED_VALUE"""),"Presentation of a double myelomeningocele in the upper thoracic and thoracolumbar spine: A case report")</f>
        <v>Presentation of a double myelomeningocele in the upper thoracic and thoracolumbar spine: A case report</v>
      </c>
      <c r="B1535" s="5" t="str">
        <f>IFERROR(__xludf.DUMMYFUNCTION("LEFT(FILTER(IMPORTRANGE(""https://docs.google.com/spreadsheets/d/1BJSV3WBYJGRhQ6zExamkszQ5VutGIcaQqmbD9ZTVXMQ/edit#gid=1251630045"",""articles_with_PRISMA_reasons!K2:K2113""), $A1535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$A1535=IMPORTRANGE(""https://docs.google.com/spreadsheets/d/1BJSV3WBYJGRhQ6zExamkszQ5VutGIcaQqmbD9ZTVXMQ/edit#gid=1251630045"",""articles_with_PRISMA_reasons!B2:B2113"")))-1)"),"Elarjani")</f>
        <v>Elarjani</v>
      </c>
      <c r="C1535" s="6">
        <f>IFERROR(__xludf.DUMMYFUNCTION("FILTER(IMPORTRANGE(""https://docs.google.com/spreadsheets/d/1BJSV3WBYJGRhQ6zExamkszQ5VutGIcaQqmbD9ZTVXMQ/edit#gid=1251630045"",""articles_with_PRISMA_reasons!C2:C2113""), $A1535=IMPORTRANGE(""https://docs.google.com/spreadsheets/d/1BJSV3WBYJGRhQ6zExamkszQ"&amp;"5VutGIcaQqmbD9ZTVXMQ/edit#gid=1251630045"",""articles_with_PRISMA_reasons!B2:B2113""))"),2020.0)</f>
        <v>2020</v>
      </c>
      <c r="D1535" s="5" t="str">
        <f>IFERROR(__xludf.DUMMYFUNCTION("IFS(AND(
FILTER(IMPORTRANGE(""https://docs.google.com/spreadsheets/d/1BJSV3WBYJGRhQ6zExamkszQ5VutGIcaQqmbD9ZTVXMQ/edit#gid=1251630045"",""articles_with_PRISMA_reasons!Y2:Y2113""), $A1535=IMPORTRANGE(""https://docs.google.com/spreadsheets/d/1BJSV3WBYJGRhQ6"&amp;"zExamkszQ5VutGIcaQqmbD9ZTVXMQ/edit#gid=1251630045"",""articles_with_PRISMA_reasons!B2:B2113""))&gt;=2,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$A1535=IMPORTRANGE(""https://docs.google.com/spreadsheets/d/1BJSV3WBYJGRhQ6zExamkszQ5VutGIcaQqmbD9ZTVXMQ/edit#gid=1251630045"",""articles_with_PRISMA_reasons!B2:B2113""))&lt;2),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$A1535=IMPORTRANGE(""https://docs.google.com/spreadsheets/d/1BJSV3WBYJGRhQ6zExamkszQ5VutGIcaQqmbD9ZTVXMQ/edit#gid=1251630045"",""a"&amp;"rticles_with_PRISMA_reasons!B2:B2113""))&lt;2,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$A1535=IMPORTRANGE(""https://docs.google"&amp;".com/spreadsheets/d/1BJSV3WBYJGRhQ6zExamkszQ5VutGIcaQqmbD9ZTVXMQ/edit#gid=1251630045"",""articles_with_PRISMA_reasons!B2:B2113""))&gt;=2),
""Exclude""
)"),"Exclude")</f>
        <v>Exclude</v>
      </c>
      <c r="E1535" s="5" t="str">
        <f>IFERROR(__xludf.DUMMYFUNCTION("IFS(
D1535=""Exclude"",""Exclude"",
AND(
FILTER(IMPORTRANGE(""https://docs.google.com/spreadsheets/d/1qpEmbGH0JjaJbUdp21-y2cPbobDbMjr09BbtdKROZWc/edit#gid=1444865654"",""articles_with_PRISMA_reasons!W2:W2113""), $A1535=IMPORTRANGE(""https://docs.google.co"&amp;"m/spreadsheets/d/1qpEmbGH0JjaJbUdp21-y2cPbobDbMjr09BbtdKROZWc/edit#gid=1444865654"",""articles_with_PRISMA_reasons!B2:B2113""))&gt;=2,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$A1535=IMPORTRANGE(""https://docs.google.com/spreadsheets/d/1qpEmbGH0JjaJbUdp21-y2cPbobDbMjr09BbtdKROZWc/edit#gid=1444865654"",""articles_with_PRISMA_reasons!B2:B2113""))&lt;2),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$A1535=IMPORTRANGE(""https://docs.google.com/spreadsheets/d/1qpEmbGH0JjaJbUdp21-y2cPbobDbMjr09Bbtd"&amp;"KROZWc/edit#gid=1444865654"",""articles_with_PRISMA_reasons!B2:B2113""))&lt;2,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$A1535=I"&amp;"MPORTRANGE(""https://docs.google.com/spreadsheets/d/1qpEmbGH0JjaJbUdp21-y2cPbobDbMjr09BbtdKROZWc/edit#gid=1444865654"",""articles_with_PRISMA_reasons!B2:B2113""))&gt;=2),
""Exclude""
)"),"Exclude")</f>
        <v>Exclude</v>
      </c>
      <c r="F1535" s="5" t="str">
        <f>IFERROR(__xludf.DUMMYFUNCTION("IFS(
E1535=""Exclude"",""Exclude"",
AND(
COUNTIF(
IMPORTRANGE(""https://docs.google.com/spreadsheets/d/1kGrh75X1cNR1D7_FcY9zMnHP8iPO4M5RCRjy6nZY0TY/edit#gid=0"",""Table 1: Study characteristics!B4:B171""),A1535)&gt;0,
COUNTIF(Studies!$A$2:$A$85,FILTER(IMPORT"&amp;"RANGE(""https://docs.google.com/spreadsheets/d/1kGrh75X1cNR1D7_FcY9zMnHP8iPO4M5RCRjy6nZY0TY/edit#gid=0"",""Table 1: Study characteristics!A4:A171""), $A1535=IMPORTRANGE(""https://docs.google.com/spreadsheets/d/1kGrh75X1cNR1D7_FcY9zMnHP8iPO4M5RCRjy6nZY0TY/"&amp;"edit#gid=0"",""Table 1: Study characteristics!B4:B171"")))&gt;0
),
""Include""
)"),"Exclude")</f>
        <v>Exclude</v>
      </c>
      <c r="G1535" s="5" t="str">
        <f>IFERROR(__xludf.DUMMYFUNCTION("IFS(
D1535=""Exclude"",
FILTER(IMPORTRANGE(""https://docs.google.com/spreadsheets/d/1BJSV3WBYJGRhQ6zExamkszQ5VutGIcaQqmbD9ZTVXMQ/edit#gid=1251630045"",""articles_with_PRISMA_reasons!AB2:AB2113""), $A1535=IMPORTRANGE(""https://docs.google.com/spreadsheets/"&amp;"d/1BJSV3WBYJGRhQ6zExamkszQ5VutGIcaQqmbD9ZTVXMQ/edit#gid=1251630045"",""articles_with_PRISMA_reasons!B2:B2113"")),
E1535=""Exclude"",
FILTER(IMPORTRANGE(""https://docs.google.com/spreadsheets/d/1qpEmbGH0JjaJbUdp21-y2cPbobDbMjr09BbtdKROZWc/edit#gid=14448656"&amp;"54"",""articles_with_PRISMA_reasons!Z2:Z2113""), $A1535=IMPORTRANGE(""https://docs.google.com/spreadsheets/d/1qpEmbGH0JjaJbUdp21-y2cPbobDbMjr09BbtdKROZWc/edit#gid=1444865654"",""articles_with_PRISMA_reasons!B2:B2113"")),F1535
=""Include"",FILTER(IMPORTRAN"&amp;"GE(""https://docs.google.com/spreadsheets/d/1kGrh75X1cNR1D7_FcY9zMnHP8iPO4M5RCRjy6nZY0TY/edit#gid=0"",""Table 1: Study characteristics!A4:A171""), $A1535=IMPORTRANGE(""https://docs.google.com/spreadsheets/d/1kGrh75X1cNR1D7_FcY9zMnHP8iPO4M5RCRjy6nZY0TY/edi"&amp;"t#gid=0"",""Table 1: Study characteristics!B4:B171""))
)"),"wrong publication type")</f>
        <v>wrong publication type</v>
      </c>
    </row>
    <row r="1536">
      <c r="A1536" s="4" t="str">
        <f>IFERROR(__xludf.DUMMYFUNCTION("""COMPUTED_VALUE"""),"Prevalence and associated risk factors of congenital anomalies at a tertiary care hospital")</f>
        <v>Prevalence and associated risk factors of congenital anomalies at a tertiary care hospital</v>
      </c>
      <c r="B1536" s="5" t="str">
        <f>IFERROR(__xludf.DUMMYFUNCTION("LEFT(FILTER(IMPORTRANGE(""https://docs.google.com/spreadsheets/d/1BJSV3WBYJGRhQ6zExamkszQ5VutGIcaQqmbD9ZTVXMQ/edit#gid=1251630045"",""articles_with_PRISMA_reasons!K2:K2113""), $A1536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$A1536=IMPORTRANGE(""https://docs.google.com/spreadsheets/d/1BJSV3WBYJGRhQ6zExamkszQ5VutGIcaQqmbD9ZTVXMQ/edit#gid=1251630045"",""articles_with_PRISMA_reasons!B2:B2113"")))-1)"),"Qadir")</f>
        <v>Qadir</v>
      </c>
      <c r="C1536" s="6">
        <f>IFERROR(__xludf.DUMMYFUNCTION("FILTER(IMPORTRANGE(""https://docs.google.com/spreadsheets/d/1BJSV3WBYJGRhQ6zExamkszQ5VutGIcaQqmbD9ZTVXMQ/edit#gid=1251630045"",""articles_with_PRISMA_reasons!C2:C2113""), $A1536=IMPORTRANGE(""https://docs.google.com/spreadsheets/d/1BJSV3WBYJGRhQ6zExamkszQ"&amp;"5VutGIcaQqmbD9ZTVXMQ/edit#gid=1251630045"",""articles_with_PRISMA_reasons!B2:B2113""))"),2017.0)</f>
        <v>2017</v>
      </c>
      <c r="D1536" s="5" t="str">
        <f>IFERROR(__xludf.DUMMYFUNCTION("IFS(AND(
FILTER(IMPORTRANGE(""https://docs.google.com/spreadsheets/d/1BJSV3WBYJGRhQ6zExamkszQ5VutGIcaQqmbD9ZTVXMQ/edit#gid=1251630045"",""articles_with_PRISMA_reasons!Y2:Y2113""), $A1536=IMPORTRANGE(""https://docs.google.com/spreadsheets/d/1BJSV3WBYJGRhQ6"&amp;"zExamkszQ5VutGIcaQqmbD9ZTVXMQ/edit#gid=1251630045"",""articles_with_PRISMA_reasons!B2:B2113""))&gt;=2,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$A1536=IMPORTRANGE(""https://docs.google.com/spreadsheets/d/1BJSV3WBYJGRhQ6zExamkszQ5VutGIcaQqmbD9ZTVXMQ/edit#gid=1251630045"",""articles_with_PRISMA_reasons!B2:B2113""))&lt;2),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$A1536=IMPORTRANGE(""https://docs.google.com/spreadsheets/d/1BJSV3WBYJGRhQ6zExamkszQ5VutGIcaQqmbD9ZTVXMQ/edit#gid=1251630045"",""a"&amp;"rticles_with_PRISMA_reasons!B2:B2113""))&lt;2,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$A1536=IMPORTRANGE(""https://docs.google"&amp;".com/spreadsheets/d/1BJSV3WBYJGRhQ6zExamkszQ5VutGIcaQqmbD9ZTVXMQ/edit#gid=1251630045"",""articles_with_PRISMA_reasons!B2:B2113""))&gt;=2),
""Exclude""
)"),"Exclude")</f>
        <v>Exclude</v>
      </c>
      <c r="E1536" s="5" t="str">
        <f>IFERROR(__xludf.DUMMYFUNCTION("IFS(
D1536=""Exclude"",""Exclude"",
AND(
FILTER(IMPORTRANGE(""https://docs.google.com/spreadsheets/d/1qpEmbGH0JjaJbUdp21-y2cPbobDbMjr09BbtdKROZWc/edit#gid=1444865654"",""articles_with_PRISMA_reasons!W2:W2113""), $A1536=IMPORTRANGE(""https://docs.google.co"&amp;"m/spreadsheets/d/1qpEmbGH0JjaJbUdp21-y2cPbobDbMjr09BbtdKROZWc/edit#gid=1444865654"",""articles_with_PRISMA_reasons!B2:B2113""))&gt;=2,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$A1536=IMPORTRANGE(""https://docs.google.com/spreadsheets/d/1qpEmbGH0JjaJbUdp21-y2cPbobDbMjr09BbtdKROZWc/edit#gid=1444865654"",""articles_with_PRISMA_reasons!B2:B2113""))&lt;2),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$A1536=IMPORTRANGE(""https://docs.google.com/spreadsheets/d/1qpEmbGH0JjaJbUdp21-y2cPbobDbMjr09Bbtd"&amp;"KROZWc/edit#gid=1444865654"",""articles_with_PRISMA_reasons!B2:B2113""))&lt;2,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$A1536=I"&amp;"MPORTRANGE(""https://docs.google.com/spreadsheets/d/1qpEmbGH0JjaJbUdp21-y2cPbobDbMjr09BbtdKROZWc/edit#gid=1444865654"",""articles_with_PRISMA_reasons!B2:B2113""))&gt;=2),
""Exclude""
)"),"Exclude")</f>
        <v>Exclude</v>
      </c>
      <c r="F1536" s="5" t="str">
        <f>IFERROR(__xludf.DUMMYFUNCTION("IFS(
E1536=""Exclude"",""Exclude"",
AND(
COUNTIF(
IMPORTRANGE(""https://docs.google.com/spreadsheets/d/1kGrh75X1cNR1D7_FcY9zMnHP8iPO4M5RCRjy6nZY0TY/edit#gid=0"",""Table 1: Study characteristics!B4:B171""),A1536)&gt;0,
COUNTIF(Studies!$A$2:$A$85,FILTER(IMPORT"&amp;"RANGE(""https://docs.google.com/spreadsheets/d/1kGrh75X1cNR1D7_FcY9zMnHP8iPO4M5RCRjy6nZY0TY/edit#gid=0"",""Table 1: Study characteristics!A4:A171""), $A1536=IMPORTRANGE(""https://docs.google.com/spreadsheets/d/1kGrh75X1cNR1D7_FcY9zMnHP8iPO4M5RCRjy6nZY0TY/"&amp;"edit#gid=0"",""Table 1: Study characteristics!B4:B171"")))&gt;0
),
""Include""
)"),"Exclude")</f>
        <v>Exclude</v>
      </c>
      <c r="G1536" s="5" t="str">
        <f>IFERROR(__xludf.DUMMYFUNCTION("IFS(
D1536=""Exclude"",
FILTER(IMPORTRANGE(""https://docs.google.com/spreadsheets/d/1BJSV3WBYJGRhQ6zExamkszQ5VutGIcaQqmbD9ZTVXMQ/edit#gid=1251630045"",""articles_with_PRISMA_reasons!AB2:AB2113""), $A1536=IMPORTRANGE(""https://docs.google.com/spreadsheets/"&amp;"d/1BJSV3WBYJGRhQ6zExamkszQ5VutGIcaQqmbD9ZTVXMQ/edit#gid=1251630045"",""articles_with_PRISMA_reasons!B2:B2113"")),
E1536=""Exclude"",
FILTER(IMPORTRANGE(""https://docs.google.com/spreadsheets/d/1qpEmbGH0JjaJbUdp21-y2cPbobDbMjr09BbtdKROZWc/edit#gid=14448656"&amp;"54"",""articles_with_PRISMA_reasons!Z2:Z2113""), $A1536=IMPORTRANGE(""https://docs.google.com/spreadsheets/d/1qpEmbGH0JjaJbUdp21-y2cPbobDbMjr09BbtdKROZWc/edit#gid=1444865654"",""articles_with_PRISMA_reasons!B2:B2113"")),F1536
=""Include"",FILTER(IMPORTRAN"&amp;"GE(""https://docs.google.com/spreadsheets/d/1kGrh75X1cNR1D7_FcY9zMnHP8iPO4M5RCRjy6nZY0TY/edit#gid=0"",""Table 1: Study characteristics!A4:A171""), $A1536=IMPORTRANGE(""https://docs.google.com/spreadsheets/d/1kGrh75X1cNR1D7_FcY9zMnHP8iPO4M5RCRjy6nZY0TY/edi"&amp;"t#gid=0"",""Table 1: Study characteristics!B4:B171""))
)"),"wrong population")</f>
        <v>wrong population</v>
      </c>
    </row>
    <row r="1537">
      <c r="A1537" s="4" t="str">
        <f>IFERROR(__xludf.DUMMYFUNCTION("""COMPUTED_VALUE"""),"Prevalence of congenital anomalies in a secondary care hospital in South India: A cross-sectional study")</f>
        <v>Prevalence of congenital anomalies in a secondary care hospital in South India: A cross-sectional study</v>
      </c>
      <c r="B1537" s="5" t="str">
        <f>IFERROR(__xludf.DUMMYFUNCTION("LEFT(FILTER(IMPORTRANGE(""https://docs.google.com/spreadsheets/d/1BJSV3WBYJGRhQ6zExamkszQ5VutGIcaQqmbD9ZTVXMQ/edit#gid=1251630045"",""articles_with_PRISMA_reasons!K2:K2113""), $A1537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$A1537=IMPORTRANGE(""https://docs.google.com/spreadsheets/d/1BJSV3WBYJGRhQ6zExamkszQ5VutGIcaQqmbD9ZTVXMQ/edit#gid=1251630045"",""articles_with_PRISMA_reasons!B2:B2113"")))-1)"),"Cherian")</f>
        <v>Cherian</v>
      </c>
      <c r="C1537" s="6">
        <f>IFERROR(__xludf.DUMMYFUNCTION("FILTER(IMPORTRANGE(""https://docs.google.com/spreadsheets/d/1BJSV3WBYJGRhQ6zExamkszQ5VutGIcaQqmbD9ZTVXMQ/edit#gid=1251630045"",""articles_with_PRISMA_reasons!C2:C2113""), $A1537=IMPORTRANGE(""https://docs.google.com/spreadsheets/d/1BJSV3WBYJGRhQ6zExamkszQ"&amp;"5VutGIcaQqmbD9ZTVXMQ/edit#gid=1251630045"",""articles_with_PRISMA_reasons!B2:B2113""))"),2016.0)</f>
        <v>2016</v>
      </c>
      <c r="D1537" s="5" t="str">
        <f>IFERROR(__xludf.DUMMYFUNCTION("IFS(AND(
FILTER(IMPORTRANGE(""https://docs.google.com/spreadsheets/d/1BJSV3WBYJGRhQ6zExamkszQ5VutGIcaQqmbD9ZTVXMQ/edit#gid=1251630045"",""articles_with_PRISMA_reasons!Y2:Y2113""), $A1537=IMPORTRANGE(""https://docs.google.com/spreadsheets/d/1BJSV3WBYJGRhQ6"&amp;"zExamkszQ5VutGIcaQqmbD9ZTVXMQ/edit#gid=1251630045"",""articles_with_PRISMA_reasons!B2:B2113""))&gt;=2,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$A1537=IMPORTRANGE(""https://docs.google.com/spreadsheets/d/1BJSV3WBYJGRhQ6zExamkszQ5VutGIcaQqmbD9ZTVXMQ/edit#gid=1251630045"",""articles_with_PRISMA_reasons!B2:B2113""))&lt;2),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$A1537=IMPORTRANGE(""https://docs.google.com/spreadsheets/d/1BJSV3WBYJGRhQ6zExamkszQ5VutGIcaQqmbD9ZTVXMQ/edit#gid=1251630045"",""a"&amp;"rticles_with_PRISMA_reasons!B2:B2113""))&lt;2,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$A1537=IMPORTRANGE(""https://docs.google"&amp;".com/spreadsheets/d/1BJSV3WBYJGRhQ6zExamkszQ5VutGIcaQqmbD9ZTVXMQ/edit#gid=1251630045"",""articles_with_PRISMA_reasons!B2:B2113""))&gt;=2),
""Exclude""
)"),"Exclude")</f>
        <v>Exclude</v>
      </c>
      <c r="E1537" s="5" t="str">
        <f>IFERROR(__xludf.DUMMYFUNCTION("IFS(
D1537=""Exclude"",""Exclude"",
AND(
FILTER(IMPORTRANGE(""https://docs.google.com/spreadsheets/d/1qpEmbGH0JjaJbUdp21-y2cPbobDbMjr09BbtdKROZWc/edit#gid=1444865654"",""articles_with_PRISMA_reasons!W2:W2113""), $A1537=IMPORTRANGE(""https://docs.google.co"&amp;"m/spreadsheets/d/1qpEmbGH0JjaJbUdp21-y2cPbobDbMjr09BbtdKROZWc/edit#gid=1444865654"",""articles_with_PRISMA_reasons!B2:B2113""))&gt;=2,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$A1537=IMPORTRANGE(""https://docs.google.com/spreadsheets/d/1qpEmbGH0JjaJbUdp21-y2cPbobDbMjr09BbtdKROZWc/edit#gid=1444865654"",""articles_with_PRISMA_reasons!B2:B2113""))&lt;2),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$A1537=IMPORTRANGE(""https://docs.google.com/spreadsheets/d/1qpEmbGH0JjaJbUdp21-y2cPbobDbMjr09Bbtd"&amp;"KROZWc/edit#gid=1444865654"",""articles_with_PRISMA_reasons!B2:B2113""))&lt;2,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$A1537=I"&amp;"MPORTRANGE(""https://docs.google.com/spreadsheets/d/1qpEmbGH0JjaJbUdp21-y2cPbobDbMjr09BbtdKROZWc/edit#gid=1444865654"",""articles_with_PRISMA_reasons!B2:B2113""))&gt;=2),
""Exclude""
)"),"Exclude")</f>
        <v>Exclude</v>
      </c>
      <c r="F1537" s="5" t="str">
        <f>IFERROR(__xludf.DUMMYFUNCTION("IFS(
E1537=""Exclude"",""Exclude"",
AND(
COUNTIF(
IMPORTRANGE(""https://docs.google.com/spreadsheets/d/1kGrh75X1cNR1D7_FcY9zMnHP8iPO4M5RCRjy6nZY0TY/edit#gid=0"",""Table 1: Study characteristics!B4:B171""),A1537)&gt;0,
COUNTIF(Studies!$A$2:$A$85,FILTER(IMPORT"&amp;"RANGE(""https://docs.google.com/spreadsheets/d/1kGrh75X1cNR1D7_FcY9zMnHP8iPO4M5RCRjy6nZY0TY/edit#gid=0"",""Table 1: Study characteristics!A4:A171""), $A1537=IMPORTRANGE(""https://docs.google.com/spreadsheets/d/1kGrh75X1cNR1D7_FcY9zMnHP8iPO4M5RCRjy6nZY0TY/"&amp;"edit#gid=0"",""Table 1: Study characteristics!B4:B171"")))&gt;0
),
""Include""
)"),"Exclude")</f>
        <v>Exclude</v>
      </c>
      <c r="G1537" s="5" t="str">
        <f>IFERROR(__xludf.DUMMYFUNCTION("IFS(
D1537=""Exclude"",
FILTER(IMPORTRANGE(""https://docs.google.com/spreadsheets/d/1BJSV3WBYJGRhQ6zExamkszQ5VutGIcaQqmbD9ZTVXMQ/edit#gid=1251630045"",""articles_with_PRISMA_reasons!AB2:AB2113""), $A1537=IMPORTRANGE(""https://docs.google.com/spreadsheets/"&amp;"d/1BJSV3WBYJGRhQ6zExamkszQ5VutGIcaQqmbD9ZTVXMQ/edit#gid=1251630045"",""articles_with_PRISMA_reasons!B2:B2113"")),
E1537=""Exclude"",
FILTER(IMPORTRANGE(""https://docs.google.com/spreadsheets/d/1qpEmbGH0JjaJbUdp21-y2cPbobDbMjr09BbtdKROZWc/edit#gid=14448656"&amp;"54"",""articles_with_PRISMA_reasons!Z2:Z2113""), $A1537=IMPORTRANGE(""https://docs.google.com/spreadsheets/d/1qpEmbGH0JjaJbUdp21-y2cPbobDbMjr09BbtdKROZWc/edit#gid=1444865654"",""articles_with_PRISMA_reasons!B2:B2113"")),F1537
=""Include"",FILTER(IMPORTRAN"&amp;"GE(""https://docs.google.com/spreadsheets/d/1kGrh75X1cNR1D7_FcY9zMnHP8iPO4M5RCRjy6nZY0TY/edit#gid=0"",""Table 1: Study characteristics!A4:A171""), $A1537=IMPORTRANGE(""https://docs.google.com/spreadsheets/d/1kGrh75X1cNR1D7_FcY9zMnHP8iPO4M5RCRjy6nZY0TY/edi"&amp;"t#gid=0"",""Table 1: Study characteristics!B4:B171""))
)"),"wrong study design")</f>
        <v>wrong study design</v>
      </c>
    </row>
    <row r="1538">
      <c r="A1538" s="4" t="str">
        <f>IFERROR(__xludf.DUMMYFUNCTION("""COMPUTED_VALUE"""),"Prevalence of congenital central nervous system malformations in 2nd trimester of pregnancy in bahawal victoria hospital bahawalpur on gary scale ultrasound")</f>
        <v>Prevalence of congenital central nervous system malformations in 2nd trimester of pregnancy in bahawal victoria hospital bahawalpur on gary scale ultrasound</v>
      </c>
      <c r="B1538" s="5" t="str">
        <f>IFERROR(__xludf.DUMMYFUNCTION("LEFT(FILTER(IMPORTRANGE(""https://docs.google.com/spreadsheets/d/1BJSV3WBYJGRhQ6zExamkszQ5VutGIcaQqmbD9ZTVXMQ/edit#gid=1251630045"",""articles_with_PRISMA_reasons!K2:K2113""), $A1538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$A1538=IMPORTRANGE(""https://docs.google.com/spreadsheets/d/1BJSV3WBYJGRhQ6zExamkszQ5VutGIcaQqmbD9ZTVXMQ/edit#gid=1251630045"",""articles_with_PRISMA_reasons!B2:B2113"")))-1)"),"Riaz")</f>
        <v>Riaz</v>
      </c>
      <c r="C1538" s="6">
        <f>IFERROR(__xludf.DUMMYFUNCTION("FILTER(IMPORTRANGE(""https://docs.google.com/spreadsheets/d/1BJSV3WBYJGRhQ6zExamkszQ5VutGIcaQqmbD9ZTVXMQ/edit#gid=1251630045"",""articles_with_PRISMA_reasons!C2:C2113""), $A1538=IMPORTRANGE(""https://docs.google.com/spreadsheets/d/1BJSV3WBYJGRhQ6zExamkszQ"&amp;"5VutGIcaQqmbD9ZTVXMQ/edit#gid=1251630045"",""articles_with_PRISMA_reasons!B2:B2113""))"),2020.0)</f>
        <v>2020</v>
      </c>
      <c r="D1538" s="5" t="str">
        <f>IFERROR(__xludf.DUMMYFUNCTION("IFS(AND(
FILTER(IMPORTRANGE(""https://docs.google.com/spreadsheets/d/1BJSV3WBYJGRhQ6zExamkszQ5VutGIcaQqmbD9ZTVXMQ/edit#gid=1251630045"",""articles_with_PRISMA_reasons!Y2:Y2113""), $A1538=IMPORTRANGE(""https://docs.google.com/spreadsheets/d/1BJSV3WBYJGRhQ6"&amp;"zExamkszQ5VutGIcaQqmbD9ZTVXMQ/edit#gid=1251630045"",""articles_with_PRISMA_reasons!B2:B2113""))&gt;=2,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$A1538=IMPORTRANGE(""https://docs.google.com/spreadsheets/d/1BJSV3WBYJGRhQ6zExamkszQ5VutGIcaQqmbD9ZTVXMQ/edit#gid=1251630045"",""articles_with_PRISMA_reasons!B2:B2113""))&lt;2),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$A1538=IMPORTRANGE(""https://docs.google.com/spreadsheets/d/1BJSV3WBYJGRhQ6zExamkszQ5VutGIcaQqmbD9ZTVXMQ/edit#gid=1251630045"",""a"&amp;"rticles_with_PRISMA_reasons!B2:B2113""))&lt;2,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$A1538=IMPORTRANGE(""https://docs.google"&amp;".com/spreadsheets/d/1BJSV3WBYJGRhQ6zExamkszQ5VutGIcaQqmbD9ZTVXMQ/edit#gid=1251630045"",""articles_with_PRISMA_reasons!B2:B2113""))&gt;=2),
""Exclude""
)"),"Exclude")</f>
        <v>Exclude</v>
      </c>
      <c r="E1538" s="5" t="str">
        <f>IFERROR(__xludf.DUMMYFUNCTION("IFS(
D1538=""Exclude"",""Exclude"",
AND(
FILTER(IMPORTRANGE(""https://docs.google.com/spreadsheets/d/1qpEmbGH0JjaJbUdp21-y2cPbobDbMjr09BbtdKROZWc/edit#gid=1444865654"",""articles_with_PRISMA_reasons!W2:W2113""), $A1538=IMPORTRANGE(""https://docs.google.co"&amp;"m/spreadsheets/d/1qpEmbGH0JjaJbUdp21-y2cPbobDbMjr09BbtdKROZWc/edit#gid=1444865654"",""articles_with_PRISMA_reasons!B2:B2113""))&gt;=2,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$A1538=IMPORTRANGE(""https://docs.google.com/spreadsheets/d/1qpEmbGH0JjaJbUdp21-y2cPbobDbMjr09BbtdKROZWc/edit#gid=1444865654"",""articles_with_PRISMA_reasons!B2:B2113""))&lt;2),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$A1538=IMPORTRANGE(""https://docs.google.com/spreadsheets/d/1qpEmbGH0JjaJbUdp21-y2cPbobDbMjr09Bbtd"&amp;"KROZWc/edit#gid=1444865654"",""articles_with_PRISMA_reasons!B2:B2113""))&lt;2,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$A1538=I"&amp;"MPORTRANGE(""https://docs.google.com/spreadsheets/d/1qpEmbGH0JjaJbUdp21-y2cPbobDbMjr09BbtdKROZWc/edit#gid=1444865654"",""articles_with_PRISMA_reasons!B2:B2113""))&gt;=2),
""Exclude""
)"),"Exclude")</f>
        <v>Exclude</v>
      </c>
      <c r="F1538" s="5" t="str">
        <f>IFERROR(__xludf.DUMMYFUNCTION("IFS(
E1538=""Exclude"",""Exclude"",
AND(
COUNTIF(
IMPORTRANGE(""https://docs.google.com/spreadsheets/d/1kGrh75X1cNR1D7_FcY9zMnHP8iPO4M5RCRjy6nZY0TY/edit#gid=0"",""Table 1: Study characteristics!B4:B171""),A1538)&gt;0,
COUNTIF(Studies!$A$2:$A$85,FILTER(IMPORT"&amp;"RANGE(""https://docs.google.com/spreadsheets/d/1kGrh75X1cNR1D7_FcY9zMnHP8iPO4M5RCRjy6nZY0TY/edit#gid=0"",""Table 1: Study characteristics!A4:A171""), $A1538=IMPORTRANGE(""https://docs.google.com/spreadsheets/d/1kGrh75X1cNR1D7_FcY9zMnHP8iPO4M5RCRjy6nZY0TY/"&amp;"edit#gid=0"",""Table 1: Study characteristics!B4:B171"")))&gt;0
),
""Include""
)"),"Exclude")</f>
        <v>Exclude</v>
      </c>
      <c r="G1538" s="5" t="str">
        <f>IFERROR(__xludf.DUMMYFUNCTION("IFS(
D1538=""Exclude"",
FILTER(IMPORTRANGE(""https://docs.google.com/spreadsheets/d/1BJSV3WBYJGRhQ6zExamkszQ5VutGIcaQqmbD9ZTVXMQ/edit#gid=1251630045"",""articles_with_PRISMA_reasons!AB2:AB2113""), $A1538=IMPORTRANGE(""https://docs.google.com/spreadsheets/"&amp;"d/1BJSV3WBYJGRhQ6zExamkszQ5VutGIcaQqmbD9ZTVXMQ/edit#gid=1251630045"",""articles_with_PRISMA_reasons!B2:B2113"")),
E1538=""Exclude"",
FILTER(IMPORTRANGE(""https://docs.google.com/spreadsheets/d/1qpEmbGH0JjaJbUdp21-y2cPbobDbMjr09BbtdKROZWc/edit#gid=14448656"&amp;"54"",""articles_with_PRISMA_reasons!Z2:Z2113""), $A1538=IMPORTRANGE(""https://docs.google.com/spreadsheets/d/1qpEmbGH0JjaJbUdp21-y2cPbobDbMjr09BbtdKROZWc/edit#gid=1444865654"",""articles_with_PRISMA_reasons!B2:B2113"")),F1538
=""Include"",FILTER(IMPORTRAN"&amp;"GE(""https://docs.google.com/spreadsheets/d/1kGrh75X1cNR1D7_FcY9zMnHP8iPO4M5RCRjy6nZY0TY/edit#gid=0"",""Table 1: Study characteristics!A4:A171""), $A1538=IMPORTRANGE(""https://docs.google.com/spreadsheets/d/1kGrh75X1cNR1D7_FcY9zMnHP8iPO4M5RCRjy6nZY0TY/edi"&amp;"t#gid=0"",""Table 1: Study characteristics!B4:B171""))
)"),"wrong population")</f>
        <v>wrong population</v>
      </c>
    </row>
    <row r="1539">
      <c r="A1539" s="4" t="str">
        <f>IFERROR(__xludf.DUMMYFUNCTION("""COMPUTED_VALUE"""),"Prevalence of different congenital anomalies in KPK: An ultrasonographic study")</f>
        <v>Prevalence of different congenital anomalies in KPK: An ultrasonographic study</v>
      </c>
      <c r="B1539" s="5" t="str">
        <f>IFERROR(__xludf.DUMMYFUNCTION("LEFT(FILTER(IMPORTRANGE(""https://docs.google.com/spreadsheets/d/1BJSV3WBYJGRhQ6zExamkszQ5VutGIcaQqmbD9ZTVXMQ/edit#gid=1251630045"",""articles_with_PRISMA_reasons!K2:K2113""), $A1539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$A1539=IMPORTRANGE(""https://docs.google.com/spreadsheets/d/1BJSV3WBYJGRhQ6zExamkszQ5VutGIcaQqmbD9ZTVXMQ/edit#gid=1251630045"",""articles_with_PRISMA_reasons!B2:B2113"")))-1)"),"Khattak")</f>
        <v>Khattak</v>
      </c>
      <c r="C1539" s="6">
        <f>IFERROR(__xludf.DUMMYFUNCTION("FILTER(IMPORTRANGE(""https://docs.google.com/spreadsheets/d/1BJSV3WBYJGRhQ6zExamkszQ5VutGIcaQqmbD9ZTVXMQ/edit#gid=1251630045"",""articles_with_PRISMA_reasons!C2:C2113""), $A1539=IMPORTRANGE(""https://docs.google.com/spreadsheets/d/1BJSV3WBYJGRhQ6zExamkszQ"&amp;"5VutGIcaQqmbD9ZTVXMQ/edit#gid=1251630045"",""articles_with_PRISMA_reasons!B2:B2113""))"),2017.0)</f>
        <v>2017</v>
      </c>
      <c r="D1539" s="5" t="str">
        <f>IFERROR(__xludf.DUMMYFUNCTION("IFS(AND(
FILTER(IMPORTRANGE(""https://docs.google.com/spreadsheets/d/1BJSV3WBYJGRhQ6zExamkszQ5VutGIcaQqmbD9ZTVXMQ/edit#gid=1251630045"",""articles_with_PRISMA_reasons!Y2:Y2113""), $A1539=IMPORTRANGE(""https://docs.google.com/spreadsheets/d/1BJSV3WBYJGRhQ6"&amp;"zExamkszQ5VutGIcaQqmbD9ZTVXMQ/edit#gid=1251630045"",""articles_with_PRISMA_reasons!B2:B2113""))&gt;=2,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$A1539=IMPORTRANGE(""https://docs.google.com/spreadsheets/d/1BJSV3WBYJGRhQ6zExamkszQ5VutGIcaQqmbD9ZTVXMQ/edit#gid=1251630045"",""articles_with_PRISMA_reasons!B2:B2113""))&lt;2),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$A1539=IMPORTRANGE(""https://docs.google.com/spreadsheets/d/1BJSV3WBYJGRhQ6zExamkszQ5VutGIcaQqmbD9ZTVXMQ/edit#gid=1251630045"",""a"&amp;"rticles_with_PRISMA_reasons!B2:B2113""))&lt;2,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$A1539=IMPORTRANGE(""https://docs.google"&amp;".com/spreadsheets/d/1BJSV3WBYJGRhQ6zExamkszQ5VutGIcaQqmbD9ZTVXMQ/edit#gid=1251630045"",""articles_with_PRISMA_reasons!B2:B2113""))&gt;=2),
""Exclude""
)"),"Exclude")</f>
        <v>Exclude</v>
      </c>
      <c r="E1539" s="5" t="str">
        <f>IFERROR(__xludf.DUMMYFUNCTION("IFS(
D1539=""Exclude"",""Exclude"",
AND(
FILTER(IMPORTRANGE(""https://docs.google.com/spreadsheets/d/1qpEmbGH0JjaJbUdp21-y2cPbobDbMjr09BbtdKROZWc/edit#gid=1444865654"",""articles_with_PRISMA_reasons!W2:W2113""), $A1539=IMPORTRANGE(""https://docs.google.co"&amp;"m/spreadsheets/d/1qpEmbGH0JjaJbUdp21-y2cPbobDbMjr09BbtdKROZWc/edit#gid=1444865654"",""articles_with_PRISMA_reasons!B2:B2113""))&gt;=2,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$A1539=IMPORTRANGE(""https://docs.google.com/spreadsheets/d/1qpEmbGH0JjaJbUdp21-y2cPbobDbMjr09BbtdKROZWc/edit#gid=1444865654"",""articles_with_PRISMA_reasons!B2:B2113""))&lt;2),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$A1539=IMPORTRANGE(""https://docs.google.com/spreadsheets/d/1qpEmbGH0JjaJbUdp21-y2cPbobDbMjr09Bbtd"&amp;"KROZWc/edit#gid=1444865654"",""articles_with_PRISMA_reasons!B2:B2113""))&lt;2,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$A1539=I"&amp;"MPORTRANGE(""https://docs.google.com/spreadsheets/d/1qpEmbGH0JjaJbUdp21-y2cPbobDbMjr09BbtdKROZWc/edit#gid=1444865654"",""articles_with_PRISMA_reasons!B2:B2113""))&gt;=2),
""Exclude""
)"),"Exclude")</f>
        <v>Exclude</v>
      </c>
      <c r="F1539" s="5" t="str">
        <f>IFERROR(__xludf.DUMMYFUNCTION("IFS(
E1539=""Exclude"",""Exclude"",
AND(
COUNTIF(
IMPORTRANGE(""https://docs.google.com/spreadsheets/d/1kGrh75X1cNR1D7_FcY9zMnHP8iPO4M5RCRjy6nZY0TY/edit#gid=0"",""Table 1: Study characteristics!B4:B171""),A1539)&gt;0,
COUNTIF(Studies!$A$2:$A$85,FILTER(IMPORT"&amp;"RANGE(""https://docs.google.com/spreadsheets/d/1kGrh75X1cNR1D7_FcY9zMnHP8iPO4M5RCRjy6nZY0TY/edit#gid=0"",""Table 1: Study characteristics!A4:A171""), $A1539=IMPORTRANGE(""https://docs.google.com/spreadsheets/d/1kGrh75X1cNR1D7_FcY9zMnHP8iPO4M5RCRjy6nZY0TY/"&amp;"edit#gid=0"",""Table 1: Study characteristics!B4:B171"")))&gt;0
),
""Include""
)"),"Exclude")</f>
        <v>Exclude</v>
      </c>
      <c r="G1539" s="5" t="str">
        <f>IFERROR(__xludf.DUMMYFUNCTION("IFS(
D1539=""Exclude"",
FILTER(IMPORTRANGE(""https://docs.google.com/spreadsheets/d/1BJSV3WBYJGRhQ6zExamkszQ5VutGIcaQqmbD9ZTVXMQ/edit#gid=1251630045"",""articles_with_PRISMA_reasons!AB2:AB2113""), $A1539=IMPORTRANGE(""https://docs.google.com/spreadsheets/"&amp;"d/1BJSV3WBYJGRhQ6zExamkszQ5VutGIcaQqmbD9ZTVXMQ/edit#gid=1251630045"",""articles_with_PRISMA_reasons!B2:B2113"")),
E1539=""Exclude"",
FILTER(IMPORTRANGE(""https://docs.google.com/spreadsheets/d/1qpEmbGH0JjaJbUdp21-y2cPbobDbMjr09BbtdKROZWc/edit#gid=14448656"&amp;"54"",""articles_with_PRISMA_reasons!Z2:Z2113""), $A1539=IMPORTRANGE(""https://docs.google.com/spreadsheets/d/1qpEmbGH0JjaJbUdp21-y2cPbobDbMjr09BbtdKROZWc/edit#gid=1444865654"",""articles_with_PRISMA_reasons!B2:B2113"")),F1539
=""Include"",FILTER(IMPORTRAN"&amp;"GE(""https://docs.google.com/spreadsheets/d/1kGrh75X1cNR1D7_FcY9zMnHP8iPO4M5RCRjy6nZY0TY/edit#gid=0"",""Table 1: Study characteristics!A4:A171""), $A1539=IMPORTRANGE(""https://docs.google.com/spreadsheets/d/1kGrh75X1cNR1D7_FcY9zMnHP8iPO4M5RCRjy6nZY0TY/edi"&amp;"t#gid=0"",""Table 1: Study characteristics!B4:B171""))
)"),"wrong population")</f>
        <v>wrong population</v>
      </c>
    </row>
    <row r="1540">
      <c r="A1540" s="4" t="str">
        <f>IFERROR(__xludf.DUMMYFUNCTION("""COMPUTED_VALUE"""),"Prevalence of neural tube defect and hydrocephalus in northern Ghana")</f>
        <v>Prevalence of neural tube defect and hydrocephalus in northern Ghana</v>
      </c>
      <c r="B1540" s="5" t="str">
        <f>IFERROR(__xludf.DUMMYFUNCTION("LEFT(FILTER(IMPORTRANGE(""https://docs.google.com/spreadsheets/d/1BJSV3WBYJGRhQ6zExamkszQ5VutGIcaQqmbD9ZTVXMQ/edit#gid=1251630045"",""articles_with_PRISMA_reasons!K2:K2113""), $A1540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$A1540=IMPORTRANGE(""https://docs.google.com/spreadsheets/d/1BJSV3WBYJGRhQ6zExamkszQ5VutGIcaQqmbD9ZTVXMQ/edit#gid=1251630045"",""articles_with_PRISMA_reasons!B2:B2113"")))-1)"),"Abass")</f>
        <v>Abass</v>
      </c>
      <c r="C1540" s="6">
        <f>IFERROR(__xludf.DUMMYFUNCTION("FILTER(IMPORTRANGE(""https://docs.google.com/spreadsheets/d/1BJSV3WBYJGRhQ6zExamkszQ5VutGIcaQqmbD9ZTVXMQ/edit#gid=1251630045"",""articles_with_PRISMA_reasons!C2:C2113""), $A1540=IMPORTRANGE(""https://docs.google.com/spreadsheets/d/1BJSV3WBYJGRhQ6zExamkszQ"&amp;"5VutGIcaQqmbD9ZTVXMQ/edit#gid=1251630045"",""articles_with_PRISMA_reasons!B2:B2113""))"),2017.0)</f>
        <v>2017</v>
      </c>
      <c r="D1540" s="5" t="str">
        <f>IFERROR(__xludf.DUMMYFUNCTION("IFS(AND(
FILTER(IMPORTRANGE(""https://docs.google.com/spreadsheets/d/1BJSV3WBYJGRhQ6zExamkszQ5VutGIcaQqmbD9ZTVXMQ/edit#gid=1251630045"",""articles_with_PRISMA_reasons!Y2:Y2113""), $A1540=IMPORTRANGE(""https://docs.google.com/spreadsheets/d/1BJSV3WBYJGRhQ6"&amp;"zExamkszQ5VutGIcaQqmbD9ZTVXMQ/edit#gid=1251630045"",""articles_with_PRISMA_reasons!B2:B2113""))&gt;=2,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$A1540=IMPORTRANGE(""https://docs.google.com/spreadsheets/d/1BJSV3WBYJGRhQ6zExamkszQ5VutGIcaQqmbD9ZTVXMQ/edit#gid=1251630045"",""articles_with_PRISMA_reasons!B2:B2113""))&lt;2),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$A1540=IMPORTRANGE(""https://docs.google.com/spreadsheets/d/1BJSV3WBYJGRhQ6zExamkszQ5VutGIcaQqmbD9ZTVXMQ/edit#gid=1251630045"",""a"&amp;"rticles_with_PRISMA_reasons!B2:B2113""))&lt;2,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$A1540=IMPORTRANGE(""https://docs.google"&amp;".com/spreadsheets/d/1BJSV3WBYJGRhQ6zExamkszQ5VutGIcaQqmbD9ZTVXMQ/edit#gid=1251630045"",""articles_with_PRISMA_reasons!B2:B2113""))&gt;=2),
""Exclude""
)"),"Include")</f>
        <v>Include</v>
      </c>
      <c r="E1540" s="5" t="str">
        <f>IFERROR(__xludf.DUMMYFUNCTION("IFS(
D1540=""Exclude"",""Exclude"",
AND(
FILTER(IMPORTRANGE(""https://docs.google.com/spreadsheets/d/1qpEmbGH0JjaJbUdp21-y2cPbobDbMjr09BbtdKROZWc/edit#gid=1444865654"",""articles_with_PRISMA_reasons!W2:W2113""), $A1540=IMPORTRANGE(""https://docs.google.co"&amp;"m/spreadsheets/d/1qpEmbGH0JjaJbUdp21-y2cPbobDbMjr09BbtdKROZWc/edit#gid=1444865654"",""articles_with_PRISMA_reasons!B2:B2113""))&gt;=2,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$A1540=IMPORTRANGE(""https://docs.google.com/spreadsheets/d/1qpEmbGH0JjaJbUdp21-y2cPbobDbMjr09BbtdKROZWc/edit#gid=1444865654"",""articles_with_PRISMA_reasons!B2:B2113""))&lt;2),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$A1540=IMPORTRANGE(""https://docs.google.com/spreadsheets/d/1qpEmbGH0JjaJbUdp21-y2cPbobDbMjr09Bbtd"&amp;"KROZWc/edit#gid=1444865654"",""articles_with_PRISMA_reasons!B2:B2113""))&lt;2,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$A1540=I"&amp;"MPORTRANGE(""https://docs.google.com/spreadsheets/d/1qpEmbGH0JjaJbUdp21-y2cPbobDbMjr09BbtdKROZWc/edit#gid=1444865654"",""articles_with_PRISMA_reasons!B2:B2113""))&gt;=2),
""Exclude""
)"),"Exclude")</f>
        <v>Exclude</v>
      </c>
      <c r="F1540" s="5" t="str">
        <f>IFERROR(__xludf.DUMMYFUNCTION("IFS(
E1540=""Exclude"",""Exclude"",
AND(
COUNTIF(
IMPORTRANGE(""https://docs.google.com/spreadsheets/d/1kGrh75X1cNR1D7_FcY9zMnHP8iPO4M5RCRjy6nZY0TY/edit#gid=0"",""Table 1: Study characteristics!B4:B171""),A1540)&gt;0,
COUNTIF(Studies!$A$2:$A$85,FILTER(IMPORT"&amp;"RANGE(""https://docs.google.com/spreadsheets/d/1kGrh75X1cNR1D7_FcY9zMnHP8iPO4M5RCRjy6nZY0TY/edit#gid=0"",""Table 1: Study characteristics!A4:A171""), $A1540=IMPORTRANGE(""https://docs.google.com/spreadsheets/d/1kGrh75X1cNR1D7_FcY9zMnHP8iPO4M5RCRjy6nZY0TY/"&amp;"edit#gid=0"",""Table 1: Study characteristics!B4:B171"")))&gt;0
),
""Include""
)"),"Exclude")</f>
        <v>Exclude</v>
      </c>
      <c r="G1540" s="5" t="str">
        <f>IFERROR(__xludf.DUMMYFUNCTION("IFS(
D1540=""Exclude"",
FILTER(IMPORTRANGE(""https://docs.google.com/spreadsheets/d/1BJSV3WBYJGRhQ6zExamkszQ5VutGIcaQqmbD9ZTVXMQ/edit#gid=1251630045"",""articles_with_PRISMA_reasons!AB2:AB2113""), $A1540=IMPORTRANGE(""https://docs.google.com/spreadsheets/"&amp;"d/1BJSV3WBYJGRhQ6zExamkszQ5VutGIcaQqmbD9ZTVXMQ/edit#gid=1251630045"",""articles_with_PRISMA_reasons!B2:B2113"")),
E1540=""Exclude"",
FILTER(IMPORTRANGE(""https://docs.google.com/spreadsheets/d/1qpEmbGH0JjaJbUdp21-y2cPbobDbMjr09BbtdKROZWc/edit#gid=14448656"&amp;"54"",""articles_with_PRISMA_reasons!Z2:Z2113""), $A1540=IMPORTRANGE(""https://docs.google.com/spreadsheets/d/1qpEmbGH0JjaJbUdp21-y2cPbobDbMjr09BbtdKROZWc/edit#gid=1444865654"",""articles_with_PRISMA_reasons!B2:B2113"")),F1540
=""Include"",FILTER(IMPORTRAN"&amp;"GE(""https://docs.google.com/spreadsheets/d/1kGrh75X1cNR1D7_FcY9zMnHP8iPO4M5RCRjy6nZY0TY/edit#gid=0"",""Table 1: Study characteristics!A4:A171""), $A1540=IMPORTRANGE(""https://docs.google.com/spreadsheets/d/1kGrh75X1cNR1D7_FcY9zMnHP8iPO4M5RCRjy6nZY0TY/edi"&amp;"t#gid=0"",""Table 1: Study characteristics!B4:B171""))
)"),"wrong outcome")</f>
        <v>wrong outcome</v>
      </c>
    </row>
    <row r="1541">
      <c r="A1541" s="4" t="str">
        <f>IFERROR(__xludf.DUMMYFUNCTION("""COMPUTED_VALUE"""),"Prevalence of neurological involvement and malformative/systemic syndromes in a- and V-pattern strabismus")</f>
        <v>Prevalence of neurological involvement and malformative/systemic syndromes in a- and V-pattern strabismus</v>
      </c>
      <c r="B1541" s="5" t="str">
        <f>IFERROR(__xludf.DUMMYFUNCTION("LEFT(FILTER(IMPORTRANGE(""https://docs.google.com/spreadsheets/d/1BJSV3WBYJGRhQ6zExamkszQ5VutGIcaQqmbD9ZTVXMQ/edit#gid=1251630045"",""articles_with_PRISMA_reasons!K2:K2113""), $A1541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$A1541=IMPORTRANGE(""https://docs.google.com/spreadsheets/d/1BJSV3WBYJGRhQ6zExamkszQ5VutGIcaQqmbD9ZTVXMQ/edit#gid=1251630045"",""articles_with_PRISMA_reasons!B2:B2113"")))-1)"),"Dickmann")</f>
        <v>Dickmann</v>
      </c>
      <c r="C1541" s="3">
        <v>2012.0</v>
      </c>
      <c r="D1541" s="5" t="str">
        <f>IFERROR(__xludf.DUMMYFUNCTION("IFS(AND(
FILTER(IMPORTRANGE(""https://docs.google.com/spreadsheets/d/1BJSV3WBYJGRhQ6zExamkszQ5VutGIcaQqmbD9ZTVXMQ/edit#gid=1251630045"",""articles_with_PRISMA_reasons!Y2:Y2113""), $A1541=IMPORTRANGE(""https://docs.google.com/spreadsheets/d/1BJSV3WBYJGRhQ6"&amp;"zExamkszQ5VutGIcaQqmbD9ZTVXMQ/edit#gid=1251630045"",""articles_with_PRISMA_reasons!B2:B2113""))&gt;=2,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$A1541=IMPORTRANGE(""https://docs.google.com/spreadsheets/d/1BJSV3WBYJGRhQ6zExamkszQ5VutGIcaQqmbD9ZTVXMQ/edit#gid=1251630045"",""articles_with_PRISMA_reasons!B2:B2113""))&lt;2),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$A1541=IMPORTRANGE(""https://docs.google.com/spreadsheets/d/1BJSV3WBYJGRhQ6zExamkszQ5VutGIcaQqmbD9ZTVXMQ/edit#gid=1251630045"",""a"&amp;"rticles_with_PRISMA_reasons!B2:B2113""))&lt;2,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$A1541=IMPORTRANGE(""https://docs.google"&amp;".com/spreadsheets/d/1BJSV3WBYJGRhQ6zExamkszQ5VutGIcaQqmbD9ZTVXMQ/edit#gid=1251630045"",""articles_with_PRISMA_reasons!B2:B2113""))&gt;=2),
""Exclude""
)"),"Exclude")</f>
        <v>Exclude</v>
      </c>
      <c r="E1541" s="5" t="str">
        <f>IFERROR(__xludf.DUMMYFUNCTION("IFS(
D1541=""Exclude"",""Exclude"",
AND(
FILTER(IMPORTRANGE(""https://docs.google.com/spreadsheets/d/1qpEmbGH0JjaJbUdp21-y2cPbobDbMjr09BbtdKROZWc/edit#gid=1444865654"",""articles_with_PRISMA_reasons!W2:W2113""), $A1541=IMPORTRANGE(""https://docs.google.co"&amp;"m/spreadsheets/d/1qpEmbGH0JjaJbUdp21-y2cPbobDbMjr09BbtdKROZWc/edit#gid=1444865654"",""articles_with_PRISMA_reasons!B2:B2113""))&gt;=2,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$A1541=IMPORTRANGE(""https://docs.google.com/spreadsheets/d/1qpEmbGH0JjaJbUdp21-y2cPbobDbMjr09BbtdKROZWc/edit#gid=1444865654"",""articles_with_PRISMA_reasons!B2:B2113""))&lt;2),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$A1541=IMPORTRANGE(""https://docs.google.com/spreadsheets/d/1qpEmbGH0JjaJbUdp21-y2cPbobDbMjr09Bbtd"&amp;"KROZWc/edit#gid=1444865654"",""articles_with_PRISMA_reasons!B2:B2113""))&lt;2,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$A1541=I"&amp;"MPORTRANGE(""https://docs.google.com/spreadsheets/d/1qpEmbGH0JjaJbUdp21-y2cPbobDbMjr09BbtdKROZWc/edit#gid=1444865654"",""articles_with_PRISMA_reasons!B2:B2113""))&gt;=2),
""Exclude""
)"),"Exclude")</f>
        <v>Exclude</v>
      </c>
      <c r="F1541" s="5" t="str">
        <f>IFERROR(__xludf.DUMMYFUNCTION("IFS(
E1541=""Exclude"",""Exclude"",
AND(
COUNTIF(
IMPORTRANGE(""https://docs.google.com/spreadsheets/d/1kGrh75X1cNR1D7_FcY9zMnHP8iPO4M5RCRjy6nZY0TY/edit#gid=0"",""Table 1: Study characteristics!B4:B171""),A1541)&gt;0,
COUNTIF(Studies!$A$2:$A$85,FILTER(IMPORT"&amp;"RANGE(""https://docs.google.com/spreadsheets/d/1kGrh75X1cNR1D7_FcY9zMnHP8iPO4M5RCRjy6nZY0TY/edit#gid=0"",""Table 1: Study characteristics!A4:A171""), $A1541=IMPORTRANGE(""https://docs.google.com/spreadsheets/d/1kGrh75X1cNR1D7_FcY9zMnHP8iPO4M5RCRjy6nZY0TY/"&amp;"edit#gid=0"",""Table 1: Study characteristics!B4:B171"")))&gt;0
),
""Include""
)"),"Exclude")</f>
        <v>Exclude</v>
      </c>
      <c r="G1541" s="5" t="s">
        <v>15</v>
      </c>
    </row>
    <row r="1542">
      <c r="A1542" s="4" t="str">
        <f>IFERROR(__xludf.DUMMYFUNCTION("""COMPUTED_VALUE"""),"Prevalence of neurological involvement and malformative/systemic syndromes in A- and V-pattern strabismus")</f>
        <v>Prevalence of neurological involvement and malformative/systemic syndromes in A- and V-pattern strabismus</v>
      </c>
      <c r="B1542" s="5" t="str">
        <f>IFERROR(__xludf.DUMMYFUNCTION("LEFT(FILTER(IMPORTRANGE(""https://docs.google.com/spreadsheets/d/1BJSV3WBYJGRhQ6zExamkszQ5VutGIcaQqmbD9ZTVXMQ/edit#gid=1251630045"",""articles_with_PRISMA_reasons!K2:K2113""), $A1542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$A1542=IMPORTRANGE(""https://docs.google.com/spreadsheets/d/1BJSV3WBYJGRhQ6zExamkszQ5VutGIcaQqmbD9ZTVXMQ/edit#gid=1251630045"",""articles_with_PRISMA_reasons!B2:B2113"")))-1)"),"Dickmann")</f>
        <v>Dickmann</v>
      </c>
      <c r="C1542" s="3">
        <v>2012.0</v>
      </c>
      <c r="D1542" s="5" t="str">
        <f>IFERROR(__xludf.DUMMYFUNCTION("IFS(AND(
FILTER(IMPORTRANGE(""https://docs.google.com/spreadsheets/d/1BJSV3WBYJGRhQ6zExamkszQ5VutGIcaQqmbD9ZTVXMQ/edit#gid=1251630045"",""articles_with_PRISMA_reasons!Y2:Y2113""), $A1542=IMPORTRANGE(""https://docs.google.com/spreadsheets/d/1BJSV3WBYJGRhQ6"&amp;"zExamkszQ5VutGIcaQqmbD9ZTVXMQ/edit#gid=1251630045"",""articles_with_PRISMA_reasons!B2:B2113""))&gt;=2,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$A1542=IMPORTRANGE(""https://docs.google.com/spreadsheets/d/1BJSV3WBYJGRhQ6zExamkszQ5VutGIcaQqmbD9ZTVXMQ/edit#gid=1251630045"",""articles_with_PRISMA_reasons!B2:B2113""))&lt;2),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$A1542=IMPORTRANGE(""https://docs.google.com/spreadsheets/d/1BJSV3WBYJGRhQ6zExamkszQ5VutGIcaQqmbD9ZTVXMQ/edit#gid=1251630045"",""a"&amp;"rticles_with_PRISMA_reasons!B2:B2113""))&lt;2,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$A1542=IMPORTRANGE(""https://docs.google"&amp;".com/spreadsheets/d/1BJSV3WBYJGRhQ6zExamkszQ5VutGIcaQqmbD9ZTVXMQ/edit#gid=1251630045"",""articles_with_PRISMA_reasons!B2:B2113""))&gt;=2),
""Exclude""
)"),"Exclude")</f>
        <v>Exclude</v>
      </c>
      <c r="E1542" s="5" t="str">
        <f>IFERROR(__xludf.DUMMYFUNCTION("IFS(
D1542=""Exclude"",""Exclude"",
AND(
FILTER(IMPORTRANGE(""https://docs.google.com/spreadsheets/d/1qpEmbGH0JjaJbUdp21-y2cPbobDbMjr09BbtdKROZWc/edit#gid=1444865654"",""articles_with_PRISMA_reasons!W2:W2113""), $A1542=IMPORTRANGE(""https://docs.google.co"&amp;"m/spreadsheets/d/1qpEmbGH0JjaJbUdp21-y2cPbobDbMjr09BbtdKROZWc/edit#gid=1444865654"",""articles_with_PRISMA_reasons!B2:B2113""))&gt;=2,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$A1542=IMPORTRANGE(""https://docs.google.com/spreadsheets/d/1qpEmbGH0JjaJbUdp21-y2cPbobDbMjr09BbtdKROZWc/edit#gid=1444865654"",""articles_with_PRISMA_reasons!B2:B2113""))&lt;2),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$A1542=IMPORTRANGE(""https://docs.google.com/spreadsheets/d/1qpEmbGH0JjaJbUdp21-y2cPbobDbMjr09Bbtd"&amp;"KROZWc/edit#gid=1444865654"",""articles_with_PRISMA_reasons!B2:B2113""))&lt;2,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$A1542=I"&amp;"MPORTRANGE(""https://docs.google.com/spreadsheets/d/1qpEmbGH0JjaJbUdp21-y2cPbobDbMjr09BbtdKROZWc/edit#gid=1444865654"",""articles_with_PRISMA_reasons!B2:B2113""))&gt;=2),
""Exclude""
)"),"Exclude")</f>
        <v>Exclude</v>
      </c>
      <c r="F1542" s="5" t="str">
        <f>IFERROR(__xludf.DUMMYFUNCTION("IFS(
E1542=""Exclude"",""Exclude"",
AND(
COUNTIF(
IMPORTRANGE(""https://docs.google.com/spreadsheets/d/1kGrh75X1cNR1D7_FcY9zMnHP8iPO4M5RCRjy6nZY0TY/edit#gid=0"",""Table 1: Study characteristics!B4:B171""),A1542)&gt;0,
COUNTIF(Studies!$A$2:$A$85,FILTER(IMPORT"&amp;"RANGE(""https://docs.google.com/spreadsheets/d/1kGrh75X1cNR1D7_FcY9zMnHP8iPO4M5RCRjy6nZY0TY/edit#gid=0"",""Table 1: Study characteristics!A4:A171""), $A1542=IMPORTRANGE(""https://docs.google.com/spreadsheets/d/1kGrh75X1cNR1D7_FcY9zMnHP8iPO4M5RCRjy6nZY0TY/"&amp;"edit#gid=0"",""Table 1: Study characteristics!B4:B171"")))&gt;0
),
""Include""
)"),"Exclude")</f>
        <v>Exclude</v>
      </c>
      <c r="G1542" s="5" t="s">
        <v>15</v>
      </c>
    </row>
    <row r="1543">
      <c r="A1543" s="4" t="str">
        <f>IFERROR(__xludf.DUMMYFUNCTION("""COMPUTED_VALUE"""),"Prevalence of Sleep Disordered Breathing in Children with Myelomeningocele")</f>
        <v>Prevalence of Sleep Disordered Breathing in Children with Myelomeningocele</v>
      </c>
      <c r="B1543" s="5" t="str">
        <f>IFERROR(__xludf.DUMMYFUNCTION("LEFT(FILTER(IMPORTRANGE(""https://docs.google.com/spreadsheets/d/1BJSV3WBYJGRhQ6zExamkszQ5VutGIcaQqmbD9ZTVXMQ/edit#gid=1251630045"",""articles_with_PRISMA_reasons!K2:K2113""), $A1543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$A1543=IMPORTRANGE(""https://docs.google.com/spreadsheets/d/1BJSV3WBYJGRhQ6zExamkszQ5VutGIcaQqmbD9ZTVXMQ/edit#gid=1251630045"",""articles_with_PRISMA_reasons!B2:B2113"")))-1)"),"Rocque")</f>
        <v>Rocque</v>
      </c>
      <c r="C1543" s="6">
        <f>IFERROR(__xludf.DUMMYFUNCTION("FILTER(IMPORTRANGE(""https://docs.google.com/spreadsheets/d/1BJSV3WBYJGRhQ6zExamkszQ5VutGIcaQqmbD9ZTVXMQ/edit#gid=1251630045"",""articles_with_PRISMA_reasons!C2:C2113""), $A1543=IMPORTRANGE(""https://docs.google.com/spreadsheets/d/1BJSV3WBYJGRhQ6zExamkszQ"&amp;"5VutGIcaQqmbD9ZTVXMQ/edit#gid=1251630045"",""articles_with_PRISMA_reasons!B2:B2113""))"),2021.0)</f>
        <v>2021</v>
      </c>
      <c r="D1543" s="5" t="str">
        <f>IFERROR(__xludf.DUMMYFUNCTION("IFS(AND(
FILTER(IMPORTRANGE(""https://docs.google.com/spreadsheets/d/1BJSV3WBYJGRhQ6zExamkszQ5VutGIcaQqmbD9ZTVXMQ/edit#gid=1251630045"",""articles_with_PRISMA_reasons!Y2:Y2113""), $A1543=IMPORTRANGE(""https://docs.google.com/spreadsheets/d/1BJSV3WBYJGRhQ6"&amp;"zExamkszQ5VutGIcaQqmbD9ZTVXMQ/edit#gid=1251630045"",""articles_with_PRISMA_reasons!B2:B2113""))&gt;=2,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$A1543=IMPORTRANGE(""https://docs.google.com/spreadsheets/d/1BJSV3WBYJGRhQ6zExamkszQ5VutGIcaQqmbD9ZTVXMQ/edit#gid=1251630045"",""articles_with_PRISMA_reasons!B2:B2113""))&lt;2),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$A1543=IMPORTRANGE(""https://docs.google.com/spreadsheets/d/1BJSV3WBYJGRhQ6zExamkszQ5VutGIcaQqmbD9ZTVXMQ/edit#gid=1251630045"",""a"&amp;"rticles_with_PRISMA_reasons!B2:B2113""))&lt;2,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$A1543=IMPORTRANGE(""https://docs.google"&amp;".com/spreadsheets/d/1BJSV3WBYJGRhQ6zExamkszQ5VutGIcaQqmbD9ZTVXMQ/edit#gid=1251630045"",""articles_with_PRISMA_reasons!B2:B2113""))&gt;=2),
""Exclude""
)"),"Exclude")</f>
        <v>Exclude</v>
      </c>
      <c r="E1543" s="5" t="str">
        <f>IFERROR(__xludf.DUMMYFUNCTION("IFS(
D1543=""Exclude"",""Exclude"",
AND(
FILTER(IMPORTRANGE(""https://docs.google.com/spreadsheets/d/1qpEmbGH0JjaJbUdp21-y2cPbobDbMjr09BbtdKROZWc/edit#gid=1444865654"",""articles_with_PRISMA_reasons!W2:W2113""), $A1543=IMPORTRANGE(""https://docs.google.co"&amp;"m/spreadsheets/d/1qpEmbGH0JjaJbUdp21-y2cPbobDbMjr09BbtdKROZWc/edit#gid=1444865654"",""articles_with_PRISMA_reasons!B2:B2113""))&gt;=2,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$A1543=IMPORTRANGE(""https://docs.google.com/spreadsheets/d/1qpEmbGH0JjaJbUdp21-y2cPbobDbMjr09BbtdKROZWc/edit#gid=1444865654"",""articles_with_PRISMA_reasons!B2:B2113""))&lt;2),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$A1543=IMPORTRANGE(""https://docs.google.com/spreadsheets/d/1qpEmbGH0JjaJbUdp21-y2cPbobDbMjr09Bbtd"&amp;"KROZWc/edit#gid=1444865654"",""articles_with_PRISMA_reasons!B2:B2113""))&lt;2,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$A1543=I"&amp;"MPORTRANGE(""https://docs.google.com/spreadsheets/d/1qpEmbGH0JjaJbUdp21-y2cPbobDbMjr09BbtdKROZWc/edit#gid=1444865654"",""articles_with_PRISMA_reasons!B2:B2113""))&gt;=2),
""Exclude""
)"),"Exclude")</f>
        <v>Exclude</v>
      </c>
      <c r="F1543" s="5" t="str">
        <f>IFERROR(__xludf.DUMMYFUNCTION("IFS(
E1543=""Exclude"",""Exclude"",
AND(
COUNTIF(
IMPORTRANGE(""https://docs.google.com/spreadsheets/d/1kGrh75X1cNR1D7_FcY9zMnHP8iPO4M5RCRjy6nZY0TY/edit#gid=0"",""Table 1: Study characteristics!B4:B171""),A1543)&gt;0,
COUNTIF(Studies!$A$2:$A$85,FILTER(IMPORT"&amp;"RANGE(""https://docs.google.com/spreadsheets/d/1kGrh75X1cNR1D7_FcY9zMnHP8iPO4M5RCRjy6nZY0TY/edit#gid=0"",""Table 1: Study characteristics!A4:A171""), $A1543=IMPORTRANGE(""https://docs.google.com/spreadsheets/d/1kGrh75X1cNR1D7_FcY9zMnHP8iPO4M5RCRjy6nZY0TY/"&amp;"edit#gid=0"",""Table 1: Study characteristics!B4:B171"")))&gt;0
),
""Include""
)"),"Exclude")</f>
        <v>Exclude</v>
      </c>
      <c r="G1543" s="5" t="str">
        <f>IFERROR(__xludf.DUMMYFUNCTION("IFS(
D1543=""Exclude"",
FILTER(IMPORTRANGE(""https://docs.google.com/spreadsheets/d/1BJSV3WBYJGRhQ6zExamkszQ5VutGIcaQqmbD9ZTVXMQ/edit#gid=1251630045"",""articles_with_PRISMA_reasons!AB2:AB2113""), $A1543=IMPORTRANGE(""https://docs.google.com/spreadsheets/"&amp;"d/1BJSV3WBYJGRhQ6zExamkszQ5VutGIcaQqmbD9ZTVXMQ/edit#gid=1251630045"",""articles_with_PRISMA_reasons!B2:B2113"")),
E1543=""Exclude"",
FILTER(IMPORTRANGE(""https://docs.google.com/spreadsheets/d/1qpEmbGH0JjaJbUdp21-y2cPbobDbMjr09BbtdKROZWc/edit#gid=14448656"&amp;"54"",""articles_with_PRISMA_reasons!Z2:Z2113""), $A1543=IMPORTRANGE(""https://docs.google.com/spreadsheets/d/1qpEmbGH0JjaJbUdp21-y2cPbobDbMjr09BbtdKROZWc/edit#gid=1444865654"",""articles_with_PRISMA_reasons!B2:B2113"")),F1543
=""Include"",FILTER(IMPORTRAN"&amp;"GE(""https://docs.google.com/spreadsheets/d/1kGrh75X1cNR1D7_FcY9zMnHP8iPO4M5RCRjy6nZY0TY/edit#gid=0"",""Table 1: Study characteristics!A4:A171""), $A1543=IMPORTRANGE(""https://docs.google.com/spreadsheets/d/1kGrh75X1cNR1D7_FcY9zMnHP8iPO4M5RCRjy6nZY0TY/edi"&amp;"t#gid=0"",""Table 1: Study characteristics!B4:B171""))
)"),"wrong population")</f>
        <v>wrong population</v>
      </c>
    </row>
    <row r="1544">
      <c r="A1544" s="4" t="str">
        <f>IFERROR(__xludf.DUMMYFUNCTION("""COMPUTED_VALUE"""),"Prevalence of ventriculomegaly in association with myelomeningocele: Correlation with gestational age and severity of posterior fossa deformity")</f>
        <v>Prevalence of ventriculomegaly in association with myelomeningocele: Correlation with gestational age and severity of posterior fossa deformity</v>
      </c>
      <c r="B1544" s="5" t="str">
        <f>IFERROR(__xludf.DUMMYFUNCTION("LEFT(FILTER(IMPORTRANGE(""https://docs.google.com/spreadsheets/d/1BJSV3WBYJGRhQ6zExamkszQ5VutGIcaQqmbD9ZTVXMQ/edit#gid=1251630045"",""articles_with_PRISMA_reasons!K2:K2113""), $A1544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$A1544=IMPORTRANGE(""https://docs.google.com/spreadsheets/d/1BJSV3WBYJGRhQ6zExamkszQ5VutGIcaQqmbD9ZTVXMQ/edit#gid=1251630045"",""articles_with_PRISMA_reasons!B2:B2113"")))-1)"),"Goldstein")</f>
        <v>Goldstein</v>
      </c>
      <c r="C1544" s="6">
        <f>IFERROR(__xludf.DUMMYFUNCTION("FILTER(IMPORTRANGE(""https://docs.google.com/spreadsheets/d/1BJSV3WBYJGRhQ6zExamkszQ5VutGIcaQqmbD9ZTVXMQ/edit#gid=1251630045"",""articles_with_PRISMA_reasons!C2:C2113""), $A1544=IMPORTRANGE(""https://docs.google.com/spreadsheets/d/1BJSV3WBYJGRhQ6zExamkszQ"&amp;"5VutGIcaQqmbD9ZTVXMQ/edit#gid=1251630045"",""articles_with_PRISMA_reasons!B2:B2113""))"),1994.0)</f>
        <v>1994</v>
      </c>
      <c r="D1544" s="5" t="str">
        <f>IFERROR(__xludf.DUMMYFUNCTION("IFS(AND(
FILTER(IMPORTRANGE(""https://docs.google.com/spreadsheets/d/1BJSV3WBYJGRhQ6zExamkszQ5VutGIcaQqmbD9ZTVXMQ/edit#gid=1251630045"",""articles_with_PRISMA_reasons!Y2:Y2113""), $A1544=IMPORTRANGE(""https://docs.google.com/spreadsheets/d/1BJSV3WBYJGRhQ6"&amp;"zExamkszQ5VutGIcaQqmbD9ZTVXMQ/edit#gid=1251630045"",""articles_with_PRISMA_reasons!B2:B2113""))&gt;=2,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$A1544=IMPORTRANGE(""https://docs.google.com/spreadsheets/d/1BJSV3WBYJGRhQ6zExamkszQ5VutGIcaQqmbD9ZTVXMQ/edit#gid=1251630045"",""articles_with_PRISMA_reasons!B2:B2113""))&lt;2),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$A1544=IMPORTRANGE(""https://docs.google.com/spreadsheets/d/1BJSV3WBYJGRhQ6zExamkszQ5VutGIcaQqmbD9ZTVXMQ/edit#gid=1251630045"",""a"&amp;"rticles_with_PRISMA_reasons!B2:B2113""))&lt;2,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$A1544=IMPORTRANGE(""https://docs.google"&amp;".com/spreadsheets/d/1BJSV3WBYJGRhQ6zExamkszQ5VutGIcaQqmbD9ZTVXMQ/edit#gid=1251630045"",""articles_with_PRISMA_reasons!B2:B2113""))&gt;=2),
""Exclude""
)"),"Exclude")</f>
        <v>Exclude</v>
      </c>
      <c r="E1544" s="5" t="str">
        <f>IFERROR(__xludf.DUMMYFUNCTION("IFS(
D1544=""Exclude"",""Exclude"",
AND(
FILTER(IMPORTRANGE(""https://docs.google.com/spreadsheets/d/1qpEmbGH0JjaJbUdp21-y2cPbobDbMjr09BbtdKROZWc/edit#gid=1444865654"",""articles_with_PRISMA_reasons!W2:W2113""), $A1544=IMPORTRANGE(""https://docs.google.co"&amp;"m/spreadsheets/d/1qpEmbGH0JjaJbUdp21-y2cPbobDbMjr09BbtdKROZWc/edit#gid=1444865654"",""articles_with_PRISMA_reasons!B2:B2113""))&gt;=2,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$A1544=IMPORTRANGE(""https://docs.google.com/spreadsheets/d/1qpEmbGH0JjaJbUdp21-y2cPbobDbMjr09BbtdKROZWc/edit#gid=1444865654"",""articles_with_PRISMA_reasons!B2:B2113""))&lt;2),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$A1544=IMPORTRANGE(""https://docs.google.com/spreadsheets/d/1qpEmbGH0JjaJbUdp21-y2cPbobDbMjr09Bbtd"&amp;"KROZWc/edit#gid=1444865654"",""articles_with_PRISMA_reasons!B2:B2113""))&lt;2,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$A1544=I"&amp;"MPORTRANGE(""https://docs.google.com/spreadsheets/d/1qpEmbGH0JjaJbUdp21-y2cPbobDbMjr09BbtdKROZWc/edit#gid=1444865654"",""articles_with_PRISMA_reasons!B2:B2113""))&gt;=2),
""Exclude""
)"),"Exclude")</f>
        <v>Exclude</v>
      </c>
      <c r="F1544" s="5" t="str">
        <f>IFERROR(__xludf.DUMMYFUNCTION("IFS(
E1544=""Exclude"",""Exclude"",
AND(
COUNTIF(
IMPORTRANGE(""https://docs.google.com/spreadsheets/d/1kGrh75X1cNR1D7_FcY9zMnHP8iPO4M5RCRjy6nZY0TY/edit#gid=0"",""Table 1: Study characteristics!B4:B171""),A1544)&gt;0,
COUNTIF(Studies!$A$2:$A$85,FILTER(IMPORT"&amp;"RANGE(""https://docs.google.com/spreadsheets/d/1kGrh75X1cNR1D7_FcY9zMnHP8iPO4M5RCRjy6nZY0TY/edit#gid=0"",""Table 1: Study characteristics!A4:A171""), $A1544=IMPORTRANGE(""https://docs.google.com/spreadsheets/d/1kGrh75X1cNR1D7_FcY9zMnHP8iPO4M5RCRjy6nZY0TY/"&amp;"edit#gid=0"",""Table 1: Study characteristics!B4:B171"")))&gt;0
),
""Include""
)"),"Exclude")</f>
        <v>Exclude</v>
      </c>
      <c r="G1544" s="5" t="str">
        <f>IFERROR(__xludf.DUMMYFUNCTION("IFS(
D1544=""Exclude"",
FILTER(IMPORTRANGE(""https://docs.google.com/spreadsheets/d/1BJSV3WBYJGRhQ6zExamkszQ5VutGIcaQqmbD9ZTVXMQ/edit#gid=1251630045"",""articles_with_PRISMA_reasons!AB2:AB2113""), $A1544=IMPORTRANGE(""https://docs.google.com/spreadsheets/"&amp;"d/1BJSV3WBYJGRhQ6zExamkszQ5VutGIcaQqmbD9ZTVXMQ/edit#gid=1251630045"",""articles_with_PRISMA_reasons!B2:B2113"")),
E1544=""Exclude"",
FILTER(IMPORTRANGE(""https://docs.google.com/spreadsheets/d/1qpEmbGH0JjaJbUdp21-y2cPbobDbMjr09BbtdKROZWc/edit#gid=14448656"&amp;"54"",""articles_with_PRISMA_reasons!Z2:Z2113""), $A1544=IMPORTRANGE(""https://docs.google.com/spreadsheets/d/1qpEmbGH0JjaJbUdp21-y2cPbobDbMjr09BbtdKROZWc/edit#gid=1444865654"",""articles_with_PRISMA_reasons!B2:B2113"")),F1544
=""Include"",FILTER(IMPORTRAN"&amp;"GE(""https://docs.google.com/spreadsheets/d/1kGrh75X1cNR1D7_FcY9zMnHP8iPO4M5RCRjy6nZY0TY/edit#gid=0"",""Table 1: Study characteristics!A4:A171""), $A1544=IMPORTRANGE(""https://docs.google.com/spreadsheets/d/1kGrh75X1cNR1D7_FcY9zMnHP8iPO4M5RCRjy6nZY0TY/edi"&amp;"t#gid=0"",""Table 1: Study characteristics!B4:B171""))
)"),"wrong population")</f>
        <v>wrong population</v>
      </c>
    </row>
    <row r="1545">
      <c r="A1545" s="4" t="str">
        <f>IFERROR(__xludf.DUMMYFUNCTION("""COMPUTED_VALUE"""),"Prevalence, presentation and prognosis of neural tube defects in the Netherlands")</f>
        <v>Prevalence, presentation and prognosis of neural tube defects in the Netherlands</v>
      </c>
      <c r="B1545" s="5" t="str">
        <f>IFERROR(__xludf.DUMMYFUNCTION("LEFT(FILTER(IMPORTRANGE(""https://docs.google.com/spreadsheets/d/1BJSV3WBYJGRhQ6zExamkszQ5VutGIcaQqmbD9ZTVXMQ/edit#gid=1251630045"",""articles_with_PRISMA_reasons!K2:K2113""), $A1545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$A1545=IMPORTRANGE(""https://docs.google.com/spreadsheets/d/1BJSV3WBYJGRhQ6zExamkszQ5VutGIcaQqmbD9ZTVXMQ/edit#gid=1251630045"",""articles_with_PRISMA_reasons!B2:B2113"")))-1)"),"Den Ouden")</f>
        <v>Den Ouden</v>
      </c>
      <c r="C1545" s="6">
        <f>IFERROR(__xludf.DUMMYFUNCTION("FILTER(IMPORTRANGE(""https://docs.google.com/spreadsheets/d/1BJSV3WBYJGRhQ6zExamkszQ5VutGIcaQqmbD9ZTVXMQ/edit#gid=1251630045"",""articles_with_PRISMA_reasons!C2:C2113""), $A1545=IMPORTRANGE(""https://docs.google.com/spreadsheets/d/1BJSV3WBYJGRhQ6zExamkszQ"&amp;"5VutGIcaQqmbD9ZTVXMQ/edit#gid=1251630045"",""articles_with_PRISMA_reasons!B2:B2113""))"),1996.0)</f>
        <v>1996</v>
      </c>
      <c r="D1545" s="5" t="str">
        <f>IFERROR(__xludf.DUMMYFUNCTION("IFS(AND(
FILTER(IMPORTRANGE(""https://docs.google.com/spreadsheets/d/1BJSV3WBYJGRhQ6zExamkszQ5VutGIcaQqmbD9ZTVXMQ/edit#gid=1251630045"",""articles_with_PRISMA_reasons!Y2:Y2113""), $A1545=IMPORTRANGE(""https://docs.google.com/spreadsheets/d/1BJSV3WBYJGRhQ6"&amp;"zExamkszQ5VutGIcaQqmbD9ZTVXMQ/edit#gid=1251630045"",""articles_with_PRISMA_reasons!B2:B2113""))&gt;=2,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$A1545=IMPORTRANGE(""https://docs.google.com/spreadsheets/d/1BJSV3WBYJGRhQ6zExamkszQ5VutGIcaQqmbD9ZTVXMQ/edit#gid=1251630045"",""articles_with_PRISMA_reasons!B2:B2113""))&lt;2),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$A1545=IMPORTRANGE(""https://docs.google.com/spreadsheets/d/1BJSV3WBYJGRhQ6zExamkszQ5VutGIcaQqmbD9ZTVXMQ/edit#gid=1251630045"",""a"&amp;"rticles_with_PRISMA_reasons!B2:B2113""))&lt;2,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$A1545=IMPORTRANGE(""https://docs.google"&amp;".com/spreadsheets/d/1BJSV3WBYJGRhQ6zExamkszQ5VutGIcaQqmbD9ZTVXMQ/edit#gid=1251630045"",""articles_with_PRISMA_reasons!B2:B2113""))&gt;=2),
""Exclude""
)"),"Include")</f>
        <v>Include</v>
      </c>
      <c r="E1545" s="5" t="str">
        <f>IFERROR(__xludf.DUMMYFUNCTION("IFS(
D1545=""Exclude"",""Exclude"",
AND(
FILTER(IMPORTRANGE(""https://docs.google.com/spreadsheets/d/1qpEmbGH0JjaJbUdp21-y2cPbobDbMjr09BbtdKROZWc/edit#gid=1444865654"",""articles_with_PRISMA_reasons!W2:W2113""), $A1545=IMPORTRANGE(""https://docs.google.co"&amp;"m/spreadsheets/d/1qpEmbGH0JjaJbUdp21-y2cPbobDbMjr09BbtdKROZWc/edit#gid=1444865654"",""articles_with_PRISMA_reasons!B2:B2113""))&gt;=2,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$A1545=IMPORTRANGE(""https://docs.google.com/spreadsheets/d/1qpEmbGH0JjaJbUdp21-y2cPbobDbMjr09BbtdKROZWc/edit#gid=1444865654"",""articles_with_PRISMA_reasons!B2:B2113""))&lt;2),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$A1545=IMPORTRANGE(""https://docs.google.com/spreadsheets/d/1qpEmbGH0JjaJbUdp21-y2cPbobDbMjr09Bbtd"&amp;"KROZWc/edit#gid=1444865654"",""articles_with_PRISMA_reasons!B2:B2113""))&lt;2,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$A1545=I"&amp;"MPORTRANGE(""https://docs.google.com/spreadsheets/d/1qpEmbGH0JjaJbUdp21-y2cPbobDbMjr09BbtdKROZWc/edit#gid=1444865654"",""articles_with_PRISMA_reasons!B2:B2113""))&gt;=2),
""Exclude""
)"),"Exclude")</f>
        <v>Exclude</v>
      </c>
      <c r="F1545" s="5" t="str">
        <f>IFERROR(__xludf.DUMMYFUNCTION("IFS(
E1545=""Exclude"",""Exclude"",
AND(
COUNTIF(
IMPORTRANGE(""https://docs.google.com/spreadsheets/d/1kGrh75X1cNR1D7_FcY9zMnHP8iPO4M5RCRjy6nZY0TY/edit#gid=0"",""Table 1: Study characteristics!B4:B171""),A1545)&gt;0,
COUNTIF(Studies!$A$2:$A$85,FILTER(IMPORT"&amp;"RANGE(""https://docs.google.com/spreadsheets/d/1kGrh75X1cNR1D7_FcY9zMnHP8iPO4M5RCRjy6nZY0TY/edit#gid=0"",""Table 1: Study characteristics!A4:A171""), $A1545=IMPORTRANGE(""https://docs.google.com/spreadsheets/d/1kGrh75X1cNR1D7_FcY9zMnHP8iPO4M5RCRjy6nZY0TY/"&amp;"edit#gid=0"",""Table 1: Study characteristics!B4:B171"")))&gt;0
),
""Include""
)"),"Exclude")</f>
        <v>Exclude</v>
      </c>
      <c r="G1545" s="5" t="str">
        <f>IFERROR(__xludf.DUMMYFUNCTION("IFS(
D1545=""Exclude"",
FILTER(IMPORTRANGE(""https://docs.google.com/spreadsheets/d/1BJSV3WBYJGRhQ6zExamkszQ5VutGIcaQqmbD9ZTVXMQ/edit#gid=1251630045"",""articles_with_PRISMA_reasons!AB2:AB2113""), $A1545=IMPORTRANGE(""https://docs.google.com/spreadsheets/"&amp;"d/1BJSV3WBYJGRhQ6zExamkszQ5VutGIcaQqmbD9ZTVXMQ/edit#gid=1251630045"",""articles_with_PRISMA_reasons!B2:B2113"")),
E1545=""Exclude"",
FILTER(IMPORTRANGE(""https://docs.google.com/spreadsheets/d/1qpEmbGH0JjaJbUdp21-y2cPbobDbMjr09BbtdKROZWc/edit#gid=14448656"&amp;"54"",""articles_with_PRISMA_reasons!Z2:Z2113""), $A1545=IMPORTRANGE(""https://docs.google.com/spreadsheets/d/1qpEmbGH0JjaJbUdp21-y2cPbobDbMjr09BbtdKROZWc/edit#gid=1444865654"",""articles_with_PRISMA_reasons!B2:B2113"")),F1545
=""Include"",FILTER(IMPORTRAN"&amp;"GE(""https://docs.google.com/spreadsheets/d/1kGrh75X1cNR1D7_FcY9zMnHP8iPO4M5RCRjy6nZY0TY/edit#gid=0"",""Table 1: Study characteristics!A4:A171""), $A1545=IMPORTRANGE(""https://docs.google.com/spreadsheets/d/1kGrh75X1cNR1D7_FcY9zMnHP8iPO4M5RCRjy6nZY0TY/edi"&amp;"t#gid=0"",""Table 1: Study characteristics!B4:B171""))
)"),"Full text unavailable")</f>
        <v>Full text unavailable</v>
      </c>
    </row>
    <row r="1546">
      <c r="A1546" s="4" t="str">
        <f>IFERROR(__xludf.DUMMYFUNCTION("""COMPUTED_VALUE"""),"Prevalência e caracterização dos casos de mielomeningocele no Rio Grande do Norte")</f>
        <v>Prevalência e caracterização dos casos de mielomeningocele no Rio Grande do Norte</v>
      </c>
      <c r="B1546" s="5" t="str">
        <f>IFERROR(__xludf.DUMMYFUNCTION("LEFT(FILTER(IMPORTRANGE(""https://docs.google.com/spreadsheets/d/1BJSV3WBYJGRhQ6zExamkszQ5VutGIcaQqmbD9ZTVXMQ/edit#gid=1251630045"",""articles_with_PRISMA_reasons!K2:K2113""), $A1546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$A1546=IMPORTRANGE(""https://docs.google.com/spreadsheets/d/1BJSV3WBYJGRhQ6zExamkszQ5VutGIcaQqmbD9ZTVXMQ/edit#gid=1251630045"",""articles_with_PRISMA_reasons!B2:B2113"")))-1)"),"Araujo")</f>
        <v>Araujo</v>
      </c>
      <c r="C1546" s="6">
        <f>IFERROR(__xludf.DUMMYFUNCTION("FILTER(IMPORTRANGE(""https://docs.google.com/spreadsheets/d/1BJSV3WBYJGRhQ6zExamkszQ5VutGIcaQqmbD9ZTVXMQ/edit#gid=1251630045"",""articles_with_PRISMA_reasons!C2:C2113""), $A1546=IMPORTRANGE(""https://docs.google.com/spreadsheets/d/1BJSV3WBYJGRhQ6zExamkszQ"&amp;"5VutGIcaQqmbD9ZTVXMQ/edit#gid=1251630045"",""articles_with_PRISMA_reasons!B2:B2113""))"),2012.0)</f>
        <v>2012</v>
      </c>
      <c r="D1546" s="5" t="str">
        <f>IFERROR(__xludf.DUMMYFUNCTION("IFS(AND(
FILTER(IMPORTRANGE(""https://docs.google.com/spreadsheets/d/1BJSV3WBYJGRhQ6zExamkszQ5VutGIcaQqmbD9ZTVXMQ/edit#gid=1251630045"",""articles_with_PRISMA_reasons!Y2:Y2113""), $A1546=IMPORTRANGE(""https://docs.google.com/spreadsheets/d/1BJSV3WBYJGRhQ6"&amp;"zExamkszQ5VutGIcaQqmbD9ZTVXMQ/edit#gid=1251630045"",""articles_with_PRISMA_reasons!B2:B2113""))&gt;=2,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$A1546=IMPORTRANGE(""https://docs.google.com/spreadsheets/d/1BJSV3WBYJGRhQ6zExamkszQ5VutGIcaQqmbD9ZTVXMQ/edit#gid=1251630045"",""articles_with_PRISMA_reasons!B2:B2113""))&lt;2),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$A1546=IMPORTRANGE(""https://docs.google.com/spreadsheets/d/1BJSV3WBYJGRhQ6zExamkszQ5VutGIcaQqmbD9ZTVXMQ/edit#gid=1251630045"",""a"&amp;"rticles_with_PRISMA_reasons!B2:B2113""))&lt;2,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$A1546=IMPORTRANGE(""https://docs.google"&amp;".com/spreadsheets/d/1BJSV3WBYJGRhQ6zExamkszQ5VutGIcaQqmbD9ZTVXMQ/edit#gid=1251630045"",""articles_with_PRISMA_reasons!B2:B2113""))&gt;=2),
""Exclude""
)"),"Exclude")</f>
        <v>Exclude</v>
      </c>
      <c r="E1546" s="5" t="str">
        <f>IFERROR(__xludf.DUMMYFUNCTION("IFS(
D1546=""Exclude"",""Exclude"",
AND(
FILTER(IMPORTRANGE(""https://docs.google.com/spreadsheets/d/1qpEmbGH0JjaJbUdp21-y2cPbobDbMjr09BbtdKROZWc/edit#gid=1444865654"",""articles_with_PRISMA_reasons!W2:W2113""), $A1546=IMPORTRANGE(""https://docs.google.co"&amp;"m/spreadsheets/d/1qpEmbGH0JjaJbUdp21-y2cPbobDbMjr09BbtdKROZWc/edit#gid=1444865654"",""articles_with_PRISMA_reasons!B2:B2113""))&gt;=2,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$A1546=IMPORTRANGE(""https://docs.google.com/spreadsheets/d/1qpEmbGH0JjaJbUdp21-y2cPbobDbMjr09BbtdKROZWc/edit#gid=1444865654"",""articles_with_PRISMA_reasons!B2:B2113""))&lt;2),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$A1546=IMPORTRANGE(""https://docs.google.com/spreadsheets/d/1qpEmbGH0JjaJbUdp21-y2cPbobDbMjr09Bbtd"&amp;"KROZWc/edit#gid=1444865654"",""articles_with_PRISMA_reasons!B2:B2113""))&lt;2,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$A1546=I"&amp;"MPORTRANGE(""https://docs.google.com/spreadsheets/d/1qpEmbGH0JjaJbUdp21-y2cPbobDbMjr09BbtdKROZWc/edit#gid=1444865654"",""articles_with_PRISMA_reasons!B2:B2113""))&gt;=2),
""Exclude""
)"),"Exclude")</f>
        <v>Exclude</v>
      </c>
      <c r="F1546" s="5" t="str">
        <f>IFERROR(__xludf.DUMMYFUNCTION("IFS(
E1546=""Exclude"",""Exclude"",
AND(
COUNTIF(
IMPORTRANGE(""https://docs.google.com/spreadsheets/d/1kGrh75X1cNR1D7_FcY9zMnHP8iPO4M5RCRjy6nZY0TY/edit#gid=0"",""Table 1: Study characteristics!B4:B171""),A1546)&gt;0,
COUNTIF(Studies!$A$2:$A$85,FILTER(IMPORT"&amp;"RANGE(""https://docs.google.com/spreadsheets/d/1kGrh75X1cNR1D7_FcY9zMnHP8iPO4M5RCRjy6nZY0TY/edit#gid=0"",""Table 1: Study characteristics!A4:A171""), $A1546=IMPORTRANGE(""https://docs.google.com/spreadsheets/d/1kGrh75X1cNR1D7_FcY9zMnHP8iPO4M5RCRjy6nZY0TY/"&amp;"edit#gid=0"",""Table 1: Study characteristics!B4:B171"")))&gt;0
),
""Include""
)"),"Exclude")</f>
        <v>Exclude</v>
      </c>
      <c r="G1546" s="5" t="str">
        <f>IFERROR(__xludf.DUMMYFUNCTION("IFS(
D1546=""Exclude"",
FILTER(IMPORTRANGE(""https://docs.google.com/spreadsheets/d/1BJSV3WBYJGRhQ6zExamkszQ5VutGIcaQqmbD9ZTVXMQ/edit#gid=1251630045"",""articles_with_PRISMA_reasons!AB2:AB2113""), $A1546=IMPORTRANGE(""https://docs.google.com/spreadsheets/"&amp;"d/1BJSV3WBYJGRhQ6zExamkszQ5VutGIcaQqmbD9ZTVXMQ/edit#gid=1251630045"",""articles_with_PRISMA_reasons!B2:B2113"")),
E1546=""Exclude"",
FILTER(IMPORTRANGE(""https://docs.google.com/spreadsheets/d/1qpEmbGH0JjaJbUdp21-y2cPbobDbMjr09BbtdKROZWc/edit#gid=14448656"&amp;"54"",""articles_with_PRISMA_reasons!Z2:Z2113""), $A1546=IMPORTRANGE(""https://docs.google.com/spreadsheets/d/1qpEmbGH0JjaJbUdp21-y2cPbobDbMjr09BbtdKROZWc/edit#gid=1444865654"",""articles_with_PRISMA_reasons!B2:B2113"")),F1546
=""Include"",FILTER(IMPORTRAN"&amp;"GE(""https://docs.google.com/spreadsheets/d/1kGrh75X1cNR1D7_FcY9zMnHP8iPO4M5RCRjy6nZY0TY/edit#gid=0"",""Table 1: Study characteristics!A4:A171""), $A1546=IMPORTRANGE(""https://docs.google.com/spreadsheets/d/1kGrh75X1cNR1D7_FcY9zMnHP8iPO4M5RCRjy6nZY0TY/edi"&amp;"t#gid=0"",""Table 1: Study characteristics!B4:B171""))
)"),"wrong population")</f>
        <v>wrong population</v>
      </c>
    </row>
    <row r="1547">
      <c r="A1547" s="4" t="str">
        <f>IFERROR(__xludf.DUMMYFUNCTION("""COMPUTED_VALUE"""),"Primary and secondary management of the Chiari II malformation in children with myelomeningocele")</f>
        <v>Primary and secondary management of the Chiari II malformation in children with myelomeningocele</v>
      </c>
      <c r="B1547" s="5" t="str">
        <f>IFERROR(__xludf.DUMMYFUNCTION("LEFT(FILTER(IMPORTRANGE(""https://docs.google.com/spreadsheets/d/1BJSV3WBYJGRhQ6zExamkszQ5VutGIcaQqmbD9ZTVXMQ/edit#gid=1251630045"",""articles_with_PRISMA_reasons!K2:K2113""), $A1547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$A1547=IMPORTRANGE(""https://docs.google.com/spreadsheets/d/1BJSV3WBYJGRhQ6zExamkszQ5VutGIcaQqmbD9ZTVXMQ/edit#gid=1251630045"",""articles_with_PRISMA_reasons!B2:B2113"")))-1)"),"Messing-Junger")</f>
        <v>Messing-Junger</v>
      </c>
      <c r="C1547" s="6">
        <f>IFERROR(__xludf.DUMMYFUNCTION("FILTER(IMPORTRANGE(""https://docs.google.com/spreadsheets/d/1BJSV3WBYJGRhQ6zExamkszQ5VutGIcaQqmbD9ZTVXMQ/edit#gid=1251630045"",""articles_with_PRISMA_reasons!C2:C2113""), $A1547=IMPORTRANGE(""https://docs.google.com/spreadsheets/d/1BJSV3WBYJGRhQ6zExamkszQ"&amp;"5VutGIcaQqmbD9ZTVXMQ/edit#gid=1251630045"",""articles_with_PRISMA_reasons!B2:B2113""))"),2013.0)</f>
        <v>2013</v>
      </c>
      <c r="D1547" s="5" t="str">
        <f>IFERROR(__xludf.DUMMYFUNCTION("IFS(AND(
FILTER(IMPORTRANGE(""https://docs.google.com/spreadsheets/d/1BJSV3WBYJGRhQ6zExamkszQ5VutGIcaQqmbD9ZTVXMQ/edit#gid=1251630045"",""articles_with_PRISMA_reasons!Y2:Y2113""), $A1547=IMPORTRANGE(""https://docs.google.com/spreadsheets/d/1BJSV3WBYJGRhQ6"&amp;"zExamkszQ5VutGIcaQqmbD9ZTVXMQ/edit#gid=1251630045"",""articles_with_PRISMA_reasons!B2:B2113""))&gt;=2,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$A1547=IMPORTRANGE(""https://docs.google.com/spreadsheets/d/1BJSV3WBYJGRhQ6zExamkszQ5VutGIcaQqmbD9ZTVXMQ/edit#gid=1251630045"",""articles_with_PRISMA_reasons!B2:B2113""))&lt;2),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$A1547=IMPORTRANGE(""https://docs.google.com/spreadsheets/d/1BJSV3WBYJGRhQ6zExamkszQ5VutGIcaQqmbD9ZTVXMQ/edit#gid=1251630045"",""a"&amp;"rticles_with_PRISMA_reasons!B2:B2113""))&lt;2,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$A1547=IMPORTRANGE(""https://docs.google"&amp;".com/spreadsheets/d/1BJSV3WBYJGRhQ6zExamkszQ5VutGIcaQqmbD9ZTVXMQ/edit#gid=1251630045"",""articles_with_PRISMA_reasons!B2:B2113""))&gt;=2),
""Exclude""
)"),"Include")</f>
        <v>Include</v>
      </c>
      <c r="E1547" s="5" t="str">
        <f>IFERROR(__xludf.DUMMYFUNCTION("IFS(
D1547=""Exclude"",""Exclude"",
AND(
FILTER(IMPORTRANGE(""https://docs.google.com/spreadsheets/d/1qpEmbGH0JjaJbUdp21-y2cPbobDbMjr09BbtdKROZWc/edit#gid=1444865654"",""articles_with_PRISMA_reasons!W2:W2113""), $A1547=IMPORTRANGE(""https://docs.google.co"&amp;"m/spreadsheets/d/1qpEmbGH0JjaJbUdp21-y2cPbobDbMjr09BbtdKROZWc/edit#gid=1444865654"",""articles_with_PRISMA_reasons!B2:B2113""))&gt;=2,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$A1547=IMPORTRANGE(""https://docs.google.com/spreadsheets/d/1qpEmbGH0JjaJbUdp21-y2cPbobDbMjr09BbtdKROZWc/edit#gid=1444865654"",""articles_with_PRISMA_reasons!B2:B2113""))&lt;2),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$A1547=IMPORTRANGE(""https://docs.google.com/spreadsheets/d/1qpEmbGH0JjaJbUdp21-y2cPbobDbMjr09Bbtd"&amp;"KROZWc/edit#gid=1444865654"",""articles_with_PRISMA_reasons!B2:B2113""))&lt;2,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$A1547=I"&amp;"MPORTRANGE(""https://docs.google.com/spreadsheets/d/1qpEmbGH0JjaJbUdp21-y2cPbobDbMjr09BbtdKROZWc/edit#gid=1444865654"",""articles_with_PRISMA_reasons!B2:B2113""))&gt;=2),
""Exclude""
)"),"Include")</f>
        <v>Include</v>
      </c>
      <c r="F1547" s="2" t="s">
        <v>8</v>
      </c>
      <c r="G1547" s="2" t="s">
        <v>16</v>
      </c>
    </row>
    <row r="1548">
      <c r="A1548" s="4" t="str">
        <f>IFERROR(__xludf.DUMMYFUNCTION("""COMPUTED_VALUE"""),"Primary myelomeningocele closure and consequences")</f>
        <v>Primary myelomeningocele closure and consequences</v>
      </c>
      <c r="B1548" s="5" t="str">
        <f>IFERROR(__xludf.DUMMYFUNCTION("LEFT(FILTER(IMPORTRANGE(""https://docs.google.com/spreadsheets/d/1BJSV3WBYJGRhQ6zExamkszQ5VutGIcaQqmbD9ZTVXMQ/edit#gid=1251630045"",""articles_with_PRISMA_reasons!K2:K2113""), $A1548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$A1548=IMPORTRANGE(""https://docs.google.com/spreadsheets/d/1BJSV3WBYJGRhQ6zExamkszQ5VutGIcaQqmbD9ZTVXMQ/edit#gid=1251630045"",""articles_with_PRISMA_reasons!B2:B2113"")))-1)"),"Schwarz")</f>
        <v>Schwarz</v>
      </c>
      <c r="C1548" s="3">
        <v>2002.0</v>
      </c>
      <c r="D1548" s="5" t="str">
        <f>IFERROR(__xludf.DUMMYFUNCTION("IFS(AND(
FILTER(IMPORTRANGE(""https://docs.google.com/spreadsheets/d/1BJSV3WBYJGRhQ6zExamkszQ5VutGIcaQqmbD9ZTVXMQ/edit#gid=1251630045"",""articles_with_PRISMA_reasons!Y2:Y2113""), $A1548=IMPORTRANGE(""https://docs.google.com/spreadsheets/d/1BJSV3WBYJGRhQ6"&amp;"zExamkszQ5VutGIcaQqmbD9ZTVXMQ/edit#gid=1251630045"",""articles_with_PRISMA_reasons!B2:B2113""))&gt;=2,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$A1548=IMPORTRANGE(""https://docs.google.com/spreadsheets/d/1BJSV3WBYJGRhQ6zExamkszQ5VutGIcaQqmbD9ZTVXMQ/edit#gid=1251630045"",""articles_with_PRISMA_reasons!B2:B2113""))&lt;2),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$A1548=IMPORTRANGE(""https://docs.google.com/spreadsheets/d/1BJSV3WBYJGRhQ6zExamkszQ5VutGIcaQqmbD9ZTVXMQ/edit#gid=1251630045"",""a"&amp;"rticles_with_PRISMA_reasons!B2:B2113""))&lt;2,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$A1548=IMPORTRANGE(""https://docs.google"&amp;".com/spreadsheets/d/1BJSV3WBYJGRhQ6zExamkszQ5VutGIcaQqmbD9ZTVXMQ/edit#gid=1251630045"",""articles_with_PRISMA_reasons!B2:B2113""))&gt;=2),
""Exclude""
)"),"Exclude")</f>
        <v>Exclude</v>
      </c>
      <c r="E1548" s="5" t="str">
        <f>IFERROR(__xludf.DUMMYFUNCTION("IFS(
D1548=""Exclude"",""Exclude"",
AND(
FILTER(IMPORTRANGE(""https://docs.google.com/spreadsheets/d/1qpEmbGH0JjaJbUdp21-y2cPbobDbMjr09BbtdKROZWc/edit#gid=1444865654"",""articles_with_PRISMA_reasons!W2:W2113""), $A1548=IMPORTRANGE(""https://docs.google.co"&amp;"m/spreadsheets/d/1qpEmbGH0JjaJbUdp21-y2cPbobDbMjr09BbtdKROZWc/edit#gid=1444865654"",""articles_with_PRISMA_reasons!B2:B2113""))&gt;=2,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$A1548=IMPORTRANGE(""https://docs.google.com/spreadsheets/d/1qpEmbGH0JjaJbUdp21-y2cPbobDbMjr09BbtdKROZWc/edit#gid=1444865654"",""articles_with_PRISMA_reasons!B2:B2113""))&lt;2),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$A1548=IMPORTRANGE(""https://docs.google.com/spreadsheets/d/1qpEmbGH0JjaJbUdp21-y2cPbobDbMjr09Bbtd"&amp;"KROZWc/edit#gid=1444865654"",""articles_with_PRISMA_reasons!B2:B2113""))&lt;2,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$A1548=I"&amp;"MPORTRANGE(""https://docs.google.com/spreadsheets/d/1qpEmbGH0JjaJbUdp21-y2cPbobDbMjr09BbtdKROZWc/edit#gid=1444865654"",""articles_with_PRISMA_reasons!B2:B2113""))&gt;=2),
""Exclude""
)"),"Exclude")</f>
        <v>Exclude</v>
      </c>
      <c r="F1548" s="5" t="str">
        <f>IFERROR(__xludf.DUMMYFUNCTION("IFS(
E1548=""Exclude"",""Exclude"",
AND(
COUNTIF(
IMPORTRANGE(""https://docs.google.com/spreadsheets/d/1kGrh75X1cNR1D7_FcY9zMnHP8iPO4M5RCRjy6nZY0TY/edit#gid=0"",""Table 1: Study characteristics!B4:B171""),A1548)&gt;0,
COUNTIF(Studies!$A$2:$A$85,FILTER(IMPORT"&amp;"RANGE(""https://docs.google.com/spreadsheets/d/1kGrh75X1cNR1D7_FcY9zMnHP8iPO4M5RCRjy6nZY0TY/edit#gid=0"",""Table 1: Study characteristics!A4:A171""), $A1548=IMPORTRANGE(""https://docs.google.com/spreadsheets/d/1kGrh75X1cNR1D7_FcY9zMnHP8iPO4M5RCRjy6nZY0TY/"&amp;"edit#gid=0"",""Table 1: Study characteristics!B4:B171"")))&gt;0
),
""Include""
)"),"Exclude")</f>
        <v>Exclude</v>
      </c>
      <c r="G1548" s="5" t="s">
        <v>7</v>
      </c>
    </row>
    <row r="1549">
      <c r="A1549" s="4" t="str">
        <f>IFERROR(__xludf.DUMMYFUNCTION("""COMPUTED_VALUE"""),"Primary myelomeningocele closure and consequences")</f>
        <v>Primary myelomeningocele closure and consequences</v>
      </c>
      <c r="B1549" s="5" t="str">
        <f>IFERROR(__xludf.DUMMYFUNCTION("LEFT(FILTER(IMPORTRANGE(""https://docs.google.com/spreadsheets/d/1BJSV3WBYJGRhQ6zExamkszQ5VutGIcaQqmbD9ZTVXMQ/edit#gid=1251630045"",""articles_with_PRISMA_reasons!K2:K2113""), $A1549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$A1549=IMPORTRANGE(""https://docs.google.com/spreadsheets/d/1BJSV3WBYJGRhQ6zExamkszQ5VutGIcaQqmbD9ZTVXMQ/edit#gid=1251630045"",""articles_with_PRISMA_reasons!B2:B2113"")))-1)"),"Schwarz")</f>
        <v>Schwarz</v>
      </c>
      <c r="C1549" s="3">
        <v>2002.0</v>
      </c>
      <c r="D1549" s="5" t="str">
        <f>IFERROR(__xludf.DUMMYFUNCTION("IFS(AND(
FILTER(IMPORTRANGE(""https://docs.google.com/spreadsheets/d/1BJSV3WBYJGRhQ6zExamkszQ5VutGIcaQqmbD9ZTVXMQ/edit#gid=1251630045"",""articles_with_PRISMA_reasons!Y2:Y2113""), $A1549=IMPORTRANGE(""https://docs.google.com/spreadsheets/d/1BJSV3WBYJGRhQ6"&amp;"zExamkszQ5VutGIcaQqmbD9ZTVXMQ/edit#gid=1251630045"",""articles_with_PRISMA_reasons!B2:B2113""))&gt;=2,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$A1549=IMPORTRANGE(""https://docs.google.com/spreadsheets/d/1BJSV3WBYJGRhQ6zExamkszQ5VutGIcaQqmbD9ZTVXMQ/edit#gid=1251630045"",""articles_with_PRISMA_reasons!B2:B2113""))&lt;2),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$A1549=IMPORTRANGE(""https://docs.google.com/spreadsheets/d/1BJSV3WBYJGRhQ6zExamkszQ5VutGIcaQqmbD9ZTVXMQ/edit#gid=1251630045"",""a"&amp;"rticles_with_PRISMA_reasons!B2:B2113""))&lt;2,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$A1549=IMPORTRANGE(""https://docs.google"&amp;".com/spreadsheets/d/1BJSV3WBYJGRhQ6zExamkszQ5VutGIcaQqmbD9ZTVXMQ/edit#gid=1251630045"",""articles_with_PRISMA_reasons!B2:B2113""))&gt;=2),
""Exclude""
)"),"Exclude")</f>
        <v>Exclude</v>
      </c>
      <c r="E1549" s="5" t="str">
        <f>IFERROR(__xludf.DUMMYFUNCTION("IFS(
D1549=""Exclude"",""Exclude"",
AND(
FILTER(IMPORTRANGE(""https://docs.google.com/spreadsheets/d/1qpEmbGH0JjaJbUdp21-y2cPbobDbMjr09BbtdKROZWc/edit#gid=1444865654"",""articles_with_PRISMA_reasons!W2:W2113""), $A1549=IMPORTRANGE(""https://docs.google.co"&amp;"m/spreadsheets/d/1qpEmbGH0JjaJbUdp21-y2cPbobDbMjr09BbtdKROZWc/edit#gid=1444865654"",""articles_with_PRISMA_reasons!B2:B2113""))&gt;=2,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$A1549=IMPORTRANGE(""https://docs.google.com/spreadsheets/d/1qpEmbGH0JjaJbUdp21-y2cPbobDbMjr09BbtdKROZWc/edit#gid=1444865654"",""articles_with_PRISMA_reasons!B2:B2113""))&lt;2),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$A1549=IMPORTRANGE(""https://docs.google.com/spreadsheets/d/1qpEmbGH0JjaJbUdp21-y2cPbobDbMjr09Bbtd"&amp;"KROZWc/edit#gid=1444865654"",""articles_with_PRISMA_reasons!B2:B2113""))&lt;2,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$A1549=I"&amp;"MPORTRANGE(""https://docs.google.com/spreadsheets/d/1qpEmbGH0JjaJbUdp21-y2cPbobDbMjr09BbtdKROZWc/edit#gid=1444865654"",""articles_with_PRISMA_reasons!B2:B2113""))&gt;=2),
""Exclude""
)"),"Exclude")</f>
        <v>Exclude</v>
      </c>
      <c r="F1549" s="5" t="str">
        <f>IFERROR(__xludf.DUMMYFUNCTION("IFS(
E1549=""Exclude"",""Exclude"",
AND(
COUNTIF(
IMPORTRANGE(""https://docs.google.com/spreadsheets/d/1kGrh75X1cNR1D7_FcY9zMnHP8iPO4M5RCRjy6nZY0TY/edit#gid=0"",""Table 1: Study characteristics!B4:B171""),A1549)&gt;0,
COUNTIF(Studies!$A$2:$A$85,FILTER(IMPORT"&amp;"RANGE(""https://docs.google.com/spreadsheets/d/1kGrh75X1cNR1D7_FcY9zMnHP8iPO4M5RCRjy6nZY0TY/edit#gid=0"",""Table 1: Study characteristics!A4:A171""), $A1549=IMPORTRANGE(""https://docs.google.com/spreadsheets/d/1kGrh75X1cNR1D7_FcY9zMnHP8iPO4M5RCRjy6nZY0TY/"&amp;"edit#gid=0"",""Table 1: Study characteristics!B4:B171"")))&gt;0
),
""Include""
)"),"Exclude")</f>
        <v>Exclude</v>
      </c>
      <c r="G1549" s="5" t="s">
        <v>7</v>
      </c>
    </row>
    <row r="1550">
      <c r="A1550" s="4" t="str">
        <f>IFERROR(__xludf.DUMMYFUNCTION("""COMPUTED_VALUE"""),"Primary repair of open neural tube defect in adulthood: Case example and review of management strategies")</f>
        <v>Primary repair of open neural tube defect in adulthood: Case example and review of management strategies</v>
      </c>
      <c r="B1550" s="5" t="str">
        <f>IFERROR(__xludf.DUMMYFUNCTION("LEFT(FILTER(IMPORTRANGE(""https://docs.google.com/spreadsheets/d/1BJSV3WBYJGRhQ6zExamkszQ5VutGIcaQqmbD9ZTVXMQ/edit#gid=1251630045"",""articles_with_PRISMA_reasons!K2:K2113""), $A1550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$A1550=IMPORTRANGE(""https://docs.google.com/spreadsheets/d/1BJSV3WBYJGRhQ6zExamkszQ5VutGIcaQqmbD9ZTVXMQ/edit#gid=1251630045"",""articles_with_PRISMA_reasons!B2:B2113"")))-1)"),"Godzik")</f>
        <v>Godzik</v>
      </c>
      <c r="C1550" s="6">
        <f>IFERROR(__xludf.DUMMYFUNCTION("FILTER(IMPORTRANGE(""https://docs.google.com/spreadsheets/d/1BJSV3WBYJGRhQ6zExamkszQ5VutGIcaQqmbD9ZTVXMQ/edit#gid=1251630045"",""articles_with_PRISMA_reasons!C2:C2113""), $A1550=IMPORTRANGE(""https://docs.google.com/spreadsheets/d/1BJSV3WBYJGRhQ6zExamkszQ"&amp;"5VutGIcaQqmbD9ZTVXMQ/edit#gid=1251630045"",""articles_with_PRISMA_reasons!B2:B2113""))"),2015.0)</f>
        <v>2015</v>
      </c>
      <c r="D1550" s="5" t="str">
        <f>IFERROR(__xludf.DUMMYFUNCTION("IFS(AND(
FILTER(IMPORTRANGE(""https://docs.google.com/spreadsheets/d/1BJSV3WBYJGRhQ6zExamkszQ5VutGIcaQqmbD9ZTVXMQ/edit#gid=1251630045"",""articles_with_PRISMA_reasons!Y2:Y2113""), $A1550=IMPORTRANGE(""https://docs.google.com/spreadsheets/d/1BJSV3WBYJGRhQ6"&amp;"zExamkszQ5VutGIcaQqmbD9ZTVXMQ/edit#gid=1251630045"",""articles_with_PRISMA_reasons!B2:B2113""))&gt;=2,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$A1550=IMPORTRANGE(""https://docs.google.com/spreadsheets/d/1BJSV3WBYJGRhQ6zExamkszQ5VutGIcaQqmbD9ZTVXMQ/edit#gid=1251630045"",""articles_with_PRISMA_reasons!B2:B2113""))&lt;2),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$A1550=IMPORTRANGE(""https://docs.google.com/spreadsheets/d/1BJSV3WBYJGRhQ6zExamkszQ5VutGIcaQqmbD9ZTVXMQ/edit#gid=1251630045"",""a"&amp;"rticles_with_PRISMA_reasons!B2:B2113""))&lt;2,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$A1550=IMPORTRANGE(""https://docs.google"&amp;".com/spreadsheets/d/1BJSV3WBYJGRhQ6zExamkszQ5VutGIcaQqmbD9ZTVXMQ/edit#gid=1251630045"",""articles_with_PRISMA_reasons!B2:B2113""))&gt;=2),
""Exclude""
)"),"Exclude")</f>
        <v>Exclude</v>
      </c>
      <c r="E1550" s="5" t="str">
        <f>IFERROR(__xludf.DUMMYFUNCTION("IFS(
D1550=""Exclude"",""Exclude"",
AND(
FILTER(IMPORTRANGE(""https://docs.google.com/spreadsheets/d/1qpEmbGH0JjaJbUdp21-y2cPbobDbMjr09BbtdKROZWc/edit#gid=1444865654"",""articles_with_PRISMA_reasons!W2:W2113""), $A1550=IMPORTRANGE(""https://docs.google.co"&amp;"m/spreadsheets/d/1qpEmbGH0JjaJbUdp21-y2cPbobDbMjr09BbtdKROZWc/edit#gid=1444865654"",""articles_with_PRISMA_reasons!B2:B2113""))&gt;=2,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$A1550=IMPORTRANGE(""https://docs.google.com/spreadsheets/d/1qpEmbGH0JjaJbUdp21-y2cPbobDbMjr09BbtdKROZWc/edit#gid=1444865654"",""articles_with_PRISMA_reasons!B2:B2113""))&lt;2),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$A1550=IMPORTRANGE(""https://docs.google.com/spreadsheets/d/1qpEmbGH0JjaJbUdp21-y2cPbobDbMjr09Bbtd"&amp;"KROZWc/edit#gid=1444865654"",""articles_with_PRISMA_reasons!B2:B2113""))&lt;2,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$A1550=I"&amp;"MPORTRANGE(""https://docs.google.com/spreadsheets/d/1qpEmbGH0JjaJbUdp21-y2cPbobDbMjr09BbtdKROZWc/edit#gid=1444865654"",""articles_with_PRISMA_reasons!B2:B2113""))&gt;=2),
""Exclude""
)"),"Exclude")</f>
        <v>Exclude</v>
      </c>
      <c r="F1550" s="5" t="str">
        <f>IFERROR(__xludf.DUMMYFUNCTION("IFS(
E1550=""Exclude"",""Exclude"",
AND(
COUNTIF(
IMPORTRANGE(""https://docs.google.com/spreadsheets/d/1kGrh75X1cNR1D7_FcY9zMnHP8iPO4M5RCRjy6nZY0TY/edit#gid=0"",""Table 1: Study characteristics!B4:B171""),A1550)&gt;0,
COUNTIF(Studies!$A$2:$A$85,FILTER(IMPORT"&amp;"RANGE(""https://docs.google.com/spreadsheets/d/1kGrh75X1cNR1D7_FcY9zMnHP8iPO4M5RCRjy6nZY0TY/edit#gid=0"",""Table 1: Study characteristics!A4:A171""), $A1550=IMPORTRANGE(""https://docs.google.com/spreadsheets/d/1kGrh75X1cNR1D7_FcY9zMnHP8iPO4M5RCRjy6nZY0TY/"&amp;"edit#gid=0"",""Table 1: Study characteristics!B4:B171"")))&gt;0
),
""Include""
)"),"Exclude")</f>
        <v>Exclude</v>
      </c>
      <c r="G1550" s="5" t="str">
        <f>IFERROR(__xludf.DUMMYFUNCTION("IFS(
D1550=""Exclude"",
FILTER(IMPORTRANGE(""https://docs.google.com/spreadsheets/d/1BJSV3WBYJGRhQ6zExamkszQ5VutGIcaQqmbD9ZTVXMQ/edit#gid=1251630045"",""articles_with_PRISMA_reasons!AB2:AB2113""), $A1550=IMPORTRANGE(""https://docs.google.com/spreadsheets/"&amp;"d/1BJSV3WBYJGRhQ6zExamkszQ5VutGIcaQqmbD9ZTVXMQ/edit#gid=1251630045"",""articles_with_PRISMA_reasons!B2:B2113"")),
E1550=""Exclude"",
FILTER(IMPORTRANGE(""https://docs.google.com/spreadsheets/d/1qpEmbGH0JjaJbUdp21-y2cPbobDbMjr09BbtdKROZWc/edit#gid=14448656"&amp;"54"",""articles_with_PRISMA_reasons!Z2:Z2113""), $A1550=IMPORTRANGE(""https://docs.google.com/spreadsheets/d/1qpEmbGH0JjaJbUdp21-y2cPbobDbMjr09BbtdKROZWc/edit#gid=1444865654"",""articles_with_PRISMA_reasons!B2:B2113"")),F1550
=""Include"",FILTER(IMPORTRAN"&amp;"GE(""https://docs.google.com/spreadsheets/d/1kGrh75X1cNR1D7_FcY9zMnHP8iPO4M5RCRjy6nZY0TY/edit#gid=0"",""Table 1: Study characteristics!A4:A171""), $A1550=IMPORTRANGE(""https://docs.google.com/spreadsheets/d/1kGrh75X1cNR1D7_FcY9zMnHP8iPO4M5RCRjy6nZY0TY/edi"&amp;"t#gid=0"",""Table 1: Study characteristics!B4:B171""))
)"),"wrong study design")</f>
        <v>wrong study design</v>
      </c>
    </row>
    <row r="1551">
      <c r="A1551" s="4" t="str">
        <f>IFERROR(__xludf.DUMMYFUNCTION("""COMPUTED_VALUE"""),"Primary ventriculo-peritoneal shunts in treatment of hydrocephalus associated with myelomeningocele")</f>
        <v>Primary ventriculo-peritoneal shunts in treatment of hydrocephalus associated with myelomeningocele</v>
      </c>
      <c r="B1551" s="5" t="str">
        <f>IFERROR(__xludf.DUMMYFUNCTION("LEFT(FILTER(IMPORTRANGE(""https://docs.google.com/spreadsheets/d/1BJSV3WBYJGRhQ6zExamkszQ5VutGIcaQqmbD9ZTVXMQ/edit#gid=1251630045"",""articles_with_PRISMA_reasons!K2:K2113""), $A1551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$A1551=IMPORTRANGE(""https://docs.google.com/spreadsheets/d/1BJSV3WBYJGRhQ6zExamkszQ5VutGIcaQqmbD9ZTVXMQ/edit#gid=1251630045"",""articles_with_PRISMA_reasons!B2:B2113"")))-1)"),"Stark")</f>
        <v>Stark</v>
      </c>
      <c r="C1551" s="6">
        <f>IFERROR(__xludf.DUMMYFUNCTION("FILTER(IMPORTRANGE(""https://docs.google.com/spreadsheets/d/1BJSV3WBYJGRhQ6zExamkszQ5VutGIcaQqmbD9ZTVXMQ/edit#gid=1251630045"",""articles_with_PRISMA_reasons!C2:C2113""), $A1551=IMPORTRANGE(""https://docs.google.com/spreadsheets/d/1BJSV3WBYJGRhQ6zExamkszQ"&amp;"5VutGIcaQqmbD9ZTVXMQ/edit#gid=1251630045"",""articles_with_PRISMA_reasons!B2:B2113""))"),1974.0)</f>
        <v>1974</v>
      </c>
      <c r="D1551" s="5" t="str">
        <f>IFERROR(__xludf.DUMMYFUNCTION("IFS(AND(
FILTER(IMPORTRANGE(""https://docs.google.com/spreadsheets/d/1BJSV3WBYJGRhQ6zExamkszQ5VutGIcaQqmbD9ZTVXMQ/edit#gid=1251630045"",""articles_with_PRISMA_reasons!Y2:Y2113""), $A1551=IMPORTRANGE(""https://docs.google.com/spreadsheets/d/1BJSV3WBYJGRhQ6"&amp;"zExamkszQ5VutGIcaQqmbD9ZTVXMQ/edit#gid=1251630045"",""articles_with_PRISMA_reasons!B2:B2113""))&gt;=2,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$A1551=IMPORTRANGE(""https://docs.google.com/spreadsheets/d/1BJSV3WBYJGRhQ6zExamkszQ5VutGIcaQqmbD9ZTVXMQ/edit#gid=1251630045"",""articles_with_PRISMA_reasons!B2:B2113""))&lt;2),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$A1551=IMPORTRANGE(""https://docs.google.com/spreadsheets/d/1BJSV3WBYJGRhQ6zExamkszQ5VutGIcaQqmbD9ZTVXMQ/edit#gid=1251630045"",""a"&amp;"rticles_with_PRISMA_reasons!B2:B2113""))&lt;2,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$A1551=IMPORTRANGE(""https://docs.google"&amp;".com/spreadsheets/d/1BJSV3WBYJGRhQ6zExamkszQ5VutGIcaQqmbD9ZTVXMQ/edit#gid=1251630045"",""articles_with_PRISMA_reasons!B2:B2113""))&gt;=2),
""Exclude""
)"),"Include")</f>
        <v>Include</v>
      </c>
      <c r="E1551" s="5" t="str">
        <f>IFERROR(__xludf.DUMMYFUNCTION("IFS(
D1551=""Exclude"",""Exclude"",
AND(
FILTER(IMPORTRANGE(""https://docs.google.com/spreadsheets/d/1qpEmbGH0JjaJbUdp21-y2cPbobDbMjr09BbtdKROZWc/edit#gid=1444865654"",""articles_with_PRISMA_reasons!W2:W2113""), $A1551=IMPORTRANGE(""https://docs.google.co"&amp;"m/spreadsheets/d/1qpEmbGH0JjaJbUdp21-y2cPbobDbMjr09BbtdKROZWc/edit#gid=1444865654"",""articles_with_PRISMA_reasons!B2:B2113""))&gt;=2,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$A1551=IMPORTRANGE(""https://docs.google.com/spreadsheets/d/1qpEmbGH0JjaJbUdp21-y2cPbobDbMjr09BbtdKROZWc/edit#gid=1444865654"",""articles_with_PRISMA_reasons!B2:B2113""))&lt;2),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$A1551=IMPORTRANGE(""https://docs.google.com/spreadsheets/d/1qpEmbGH0JjaJbUdp21-y2cPbobDbMjr09Bbtd"&amp;"KROZWc/edit#gid=1444865654"",""articles_with_PRISMA_reasons!B2:B2113""))&lt;2,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$A1551=I"&amp;"MPORTRANGE(""https://docs.google.com/spreadsheets/d/1qpEmbGH0JjaJbUdp21-y2cPbobDbMjr09BbtdKROZWc/edit#gid=1444865654"",""articles_with_PRISMA_reasons!B2:B2113""))&gt;=2),
""Exclude""
)"),"Include")</f>
        <v>Include</v>
      </c>
      <c r="F1551" s="5" t="str">
        <f>IFERROR(__xludf.DUMMYFUNCTION("IFS(
E1551=""Exclude"",""Exclude"",
AND(
COUNTIF(
IMPORTRANGE(""https://docs.google.com/spreadsheets/d/1kGrh75X1cNR1D7_FcY9zMnHP8iPO4M5RCRjy6nZY0TY/edit#gid=0"",""Table 1: Study characteristics!B4:B171""),A1551)&gt;0,
COUNTIF(Studies!$A$2:$A$85,FILTER(IMPORT"&amp;"RANGE(""https://docs.google.com/spreadsheets/d/1kGrh75X1cNR1D7_FcY9zMnHP8iPO4M5RCRjy6nZY0TY/edit#gid=0"",""Table 1: Study characteristics!A4:A171""), $A1551=IMPORTRANGE(""https://docs.google.com/spreadsheets/d/1kGrh75X1cNR1D7_FcY9zMnHP8iPO4M5RCRjy6nZY0TY/"&amp;"edit#gid=0"",""Table 1: Study characteristics!B4:B171"")))&gt;0
),
""Include""
)"),"Include")</f>
        <v>Include</v>
      </c>
      <c r="G1551" s="5" t="str">
        <f>IFERROR(__xludf.DUMMYFUNCTION("IFS(
D1551=""Exclude"",
FILTER(IMPORTRANGE(""https://docs.google.com/spreadsheets/d/1BJSV3WBYJGRhQ6zExamkszQ5VutGIcaQqmbD9ZTVXMQ/edit#gid=1251630045"",""articles_with_PRISMA_reasons!AB2:AB2113""), $A1551=IMPORTRANGE(""https://docs.google.com/spreadsheets/"&amp;"d/1BJSV3WBYJGRhQ6zExamkszQ5VutGIcaQqmbD9ZTVXMQ/edit#gid=1251630045"",""articles_with_PRISMA_reasons!B2:B2113"")),
E1551=""Exclude"",
FILTER(IMPORTRANGE(""https://docs.google.com/spreadsheets/d/1qpEmbGH0JjaJbUdp21-y2cPbobDbMjr09BbtdKROZWc/edit#gid=14448656"&amp;"54"",""articles_with_PRISMA_reasons!Z2:Z2113""), $A1551=IMPORTRANGE(""https://docs.google.com/spreadsheets/d/1qpEmbGH0JjaJbUdp21-y2cPbobDbMjr09BbtdKROZWc/edit#gid=1444865654"",""articles_with_PRISMA_reasons!B2:B2113"")),F1551
=""Include"",FILTER(IMPORTRAN"&amp;"GE(""https://docs.google.com/spreadsheets/d/1kGrh75X1cNR1D7_FcY9zMnHP8iPO4M5RCRjy6nZY0TY/edit#gid=0"",""Table 1: Study characteristics!A4:A171""), $A1551=IMPORTRANGE(""https://docs.google.com/spreadsheets/d/1kGrh75X1cNR1D7_FcY9zMnHP8iPO4M5RCRjy6nZY0TY/edi"&amp;"t#gid=0"",""Table 1: Study characteristics!B4:B171""))
)"),"ID 101")</f>
        <v>ID 101</v>
      </c>
    </row>
    <row r="1552">
      <c r="A1552" s="4" t="str">
        <f>IFERROR(__xludf.DUMMYFUNCTION("""COMPUTED_VALUE"""),"Prior endoscopic third ventriculostomy does not increase ventriculoperitoneal shunt failure rate")</f>
        <v>Prior endoscopic third ventriculostomy does not increase ventriculoperitoneal shunt failure rate</v>
      </c>
      <c r="B1552" s="5" t="str">
        <f>IFERROR(__xludf.DUMMYFUNCTION("LEFT(FILTER(IMPORTRANGE(""https://docs.google.com/spreadsheets/d/1BJSV3WBYJGRhQ6zExamkszQ5VutGIcaQqmbD9ZTVXMQ/edit#gid=1251630045"",""articles_with_PRISMA_reasons!K2:K2113""), $A1552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$A1552=IMPORTRANGE(""https://docs.google.com/spreadsheets/d/1BJSV3WBYJGRhQ6zExamkszQ5VutGIcaQqmbD9ZTVXMQ/edit#gid=1251630045"",""articles_with_PRISMA_reasons!B2:B2113"")))-1)"),"Kommer")</f>
        <v>Kommer</v>
      </c>
      <c r="C1552" s="6">
        <f>IFERROR(__xludf.DUMMYFUNCTION("FILTER(IMPORTRANGE(""https://docs.google.com/spreadsheets/d/1BJSV3WBYJGRhQ6zExamkszQ5VutGIcaQqmbD9ZTVXMQ/edit#gid=1251630045"",""articles_with_PRISMA_reasons!C2:C2113""), $A1552=IMPORTRANGE(""https://docs.google.com/spreadsheets/d/1BJSV3WBYJGRhQ6zExamkszQ"&amp;"5VutGIcaQqmbD9ZTVXMQ/edit#gid=1251630045"",""articles_with_PRISMA_reasons!B2:B2113""))"),2019.0)</f>
        <v>2019</v>
      </c>
      <c r="D1552" s="5" t="str">
        <f>IFERROR(__xludf.DUMMYFUNCTION("IFS(AND(
FILTER(IMPORTRANGE(""https://docs.google.com/spreadsheets/d/1BJSV3WBYJGRhQ6zExamkszQ5VutGIcaQqmbD9ZTVXMQ/edit#gid=1251630045"",""articles_with_PRISMA_reasons!Y2:Y2113""), $A1552=IMPORTRANGE(""https://docs.google.com/spreadsheets/d/1BJSV3WBYJGRhQ6"&amp;"zExamkszQ5VutGIcaQqmbD9ZTVXMQ/edit#gid=1251630045"",""articles_with_PRISMA_reasons!B2:B2113""))&gt;=2,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$A1552=IMPORTRANGE(""https://docs.google.com/spreadsheets/d/1BJSV3WBYJGRhQ6zExamkszQ5VutGIcaQqmbD9ZTVXMQ/edit#gid=1251630045"",""articles_with_PRISMA_reasons!B2:B2113""))&lt;2),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$A1552=IMPORTRANGE(""https://docs.google.com/spreadsheets/d/1BJSV3WBYJGRhQ6zExamkszQ5VutGIcaQqmbD9ZTVXMQ/edit#gid=1251630045"",""a"&amp;"rticles_with_PRISMA_reasons!B2:B2113""))&lt;2,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$A1552=IMPORTRANGE(""https://docs.google"&amp;".com/spreadsheets/d/1BJSV3WBYJGRhQ6zExamkszQ5VutGIcaQqmbD9ZTVXMQ/edit#gid=1251630045"",""articles_with_PRISMA_reasons!B2:B2113""))&gt;=2),
""Exclude""
)"),"Exclude")</f>
        <v>Exclude</v>
      </c>
      <c r="E1552" s="5" t="str">
        <f>IFERROR(__xludf.DUMMYFUNCTION("IFS(
D1552=""Exclude"",""Exclude"",
AND(
FILTER(IMPORTRANGE(""https://docs.google.com/spreadsheets/d/1qpEmbGH0JjaJbUdp21-y2cPbobDbMjr09BbtdKROZWc/edit#gid=1444865654"",""articles_with_PRISMA_reasons!W2:W2113""), $A1552=IMPORTRANGE(""https://docs.google.co"&amp;"m/spreadsheets/d/1qpEmbGH0JjaJbUdp21-y2cPbobDbMjr09BbtdKROZWc/edit#gid=1444865654"",""articles_with_PRISMA_reasons!B2:B2113""))&gt;=2,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$A1552=IMPORTRANGE(""https://docs.google.com/spreadsheets/d/1qpEmbGH0JjaJbUdp21-y2cPbobDbMjr09BbtdKROZWc/edit#gid=1444865654"",""articles_with_PRISMA_reasons!B2:B2113""))&lt;2),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$A1552=IMPORTRANGE(""https://docs.google.com/spreadsheets/d/1qpEmbGH0JjaJbUdp21-y2cPbobDbMjr09Bbtd"&amp;"KROZWc/edit#gid=1444865654"",""articles_with_PRISMA_reasons!B2:B2113""))&lt;2,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$A1552=I"&amp;"MPORTRANGE(""https://docs.google.com/spreadsheets/d/1qpEmbGH0JjaJbUdp21-y2cPbobDbMjr09BbtdKROZWc/edit#gid=1444865654"",""articles_with_PRISMA_reasons!B2:B2113""))&gt;=2),
""Exclude""
)"),"Exclude")</f>
        <v>Exclude</v>
      </c>
      <c r="F1552" s="5" t="str">
        <f>IFERROR(__xludf.DUMMYFUNCTION("IFS(
E1552=""Exclude"",""Exclude"",
AND(
COUNTIF(
IMPORTRANGE(""https://docs.google.com/spreadsheets/d/1kGrh75X1cNR1D7_FcY9zMnHP8iPO4M5RCRjy6nZY0TY/edit#gid=0"",""Table 1: Study characteristics!B4:B171""),A1552)&gt;0,
COUNTIF(Studies!$A$2:$A$85,FILTER(IMPORT"&amp;"RANGE(""https://docs.google.com/spreadsheets/d/1kGrh75X1cNR1D7_FcY9zMnHP8iPO4M5RCRjy6nZY0TY/edit#gid=0"",""Table 1: Study characteristics!A4:A171""), $A1552=IMPORTRANGE(""https://docs.google.com/spreadsheets/d/1kGrh75X1cNR1D7_FcY9zMnHP8iPO4M5RCRjy6nZY0TY/"&amp;"edit#gid=0"",""Table 1: Study characteristics!B4:B171"")))&gt;0
),
""Include""
)"),"Exclude")</f>
        <v>Exclude</v>
      </c>
      <c r="G1552" s="5" t="str">
        <f>IFERROR(__xludf.DUMMYFUNCTION("IFS(
D1552=""Exclude"",
FILTER(IMPORTRANGE(""https://docs.google.com/spreadsheets/d/1BJSV3WBYJGRhQ6zExamkszQ5VutGIcaQqmbD9ZTVXMQ/edit#gid=1251630045"",""articles_with_PRISMA_reasons!AB2:AB2113""), $A1552=IMPORTRANGE(""https://docs.google.com/spreadsheets/"&amp;"d/1BJSV3WBYJGRhQ6zExamkszQ5VutGIcaQqmbD9ZTVXMQ/edit#gid=1251630045"",""articles_with_PRISMA_reasons!B2:B2113"")),
E1552=""Exclude"",
FILTER(IMPORTRANGE(""https://docs.google.com/spreadsheets/d/1qpEmbGH0JjaJbUdp21-y2cPbobDbMjr09BbtdKROZWc/edit#gid=14448656"&amp;"54"",""articles_with_PRISMA_reasons!Z2:Z2113""), $A1552=IMPORTRANGE(""https://docs.google.com/spreadsheets/d/1qpEmbGH0JjaJbUdp21-y2cPbobDbMjr09BbtdKROZWc/edit#gid=1444865654"",""articles_with_PRISMA_reasons!B2:B2113"")),F1552
=""Include"",FILTER(IMPORTRAN"&amp;"GE(""https://docs.google.com/spreadsheets/d/1kGrh75X1cNR1D7_FcY9zMnHP8iPO4M5RCRjy6nZY0TY/edit#gid=0"",""Table 1: Study characteristics!A4:A171""), $A1552=IMPORTRANGE(""https://docs.google.com/spreadsheets/d/1kGrh75X1cNR1D7_FcY9zMnHP8iPO4M5RCRjy6nZY0TY/edi"&amp;"t#gid=0"",""Table 1: Study characteristics!B4:B171""))
)"),"wrong population")</f>
        <v>wrong population</v>
      </c>
    </row>
    <row r="1553">
      <c r="A1553" s="4" t="str">
        <f>IFERROR(__xludf.DUMMYFUNCTION("""COMPUTED_VALUE"""),"Problematic psychosocial adaptation and executive dysfunction in women and men with myelomeningocele")</f>
        <v>Problematic psychosocial adaptation and executive dysfunction in women and men with myelomeningocele</v>
      </c>
      <c r="B1553" s="5" t="str">
        <f>IFERROR(__xludf.DUMMYFUNCTION("LEFT(FILTER(IMPORTRANGE(""https://docs.google.com/spreadsheets/d/1BJSV3WBYJGRhQ6zExamkszQ5VutGIcaQqmbD9ZTVXMQ/edit#gid=1251630045"",""articles_with_PRISMA_reasons!K2:K2113""), $A1553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$A1553=IMPORTRANGE(""https://docs.google.com/spreadsheets/d/1BJSV3WBYJGRhQ6zExamkszQ5VutGIcaQqmbD9ZTVXMQ/edit#gid=1251630045"",""articles_with_PRISMA_reasons!B2:B2113"")))-1)"),"Stubberud")</f>
        <v>Stubberud</v>
      </c>
      <c r="C1553" s="6">
        <f>IFERROR(__xludf.DUMMYFUNCTION("FILTER(IMPORTRANGE(""https://docs.google.com/spreadsheets/d/1BJSV3WBYJGRhQ6zExamkszQ5VutGIcaQqmbD9ZTVXMQ/edit#gid=1251630045"",""articles_with_PRISMA_reasons!C2:C2113""), $A1553=IMPORTRANGE(""https://docs.google.com/spreadsheets/d/1BJSV3WBYJGRhQ6zExamkszQ"&amp;"5VutGIcaQqmbD9ZTVXMQ/edit#gid=1251630045"",""articles_with_PRISMA_reasons!B2:B2113""))"),2012.0)</f>
        <v>2012</v>
      </c>
      <c r="D1553" s="5" t="str">
        <f>IFERROR(__xludf.DUMMYFUNCTION("IFS(AND(
FILTER(IMPORTRANGE(""https://docs.google.com/spreadsheets/d/1BJSV3WBYJGRhQ6zExamkszQ5VutGIcaQqmbD9ZTVXMQ/edit#gid=1251630045"",""articles_with_PRISMA_reasons!Y2:Y2113""), $A1553=IMPORTRANGE(""https://docs.google.com/spreadsheets/d/1BJSV3WBYJGRhQ6"&amp;"zExamkszQ5VutGIcaQqmbD9ZTVXMQ/edit#gid=1251630045"",""articles_with_PRISMA_reasons!B2:B2113""))&gt;=2,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$A1553=IMPORTRANGE(""https://docs.google.com/spreadsheets/d/1BJSV3WBYJGRhQ6zExamkszQ5VutGIcaQqmbD9ZTVXMQ/edit#gid=1251630045"",""articles_with_PRISMA_reasons!B2:B2113""))&lt;2),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$A1553=IMPORTRANGE(""https://docs.google.com/spreadsheets/d/1BJSV3WBYJGRhQ6zExamkszQ5VutGIcaQqmbD9ZTVXMQ/edit#gid=1251630045"",""a"&amp;"rticles_with_PRISMA_reasons!B2:B2113""))&lt;2,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$A1553=IMPORTRANGE(""https://docs.google"&amp;".com/spreadsheets/d/1BJSV3WBYJGRhQ6zExamkszQ5VutGIcaQqmbD9ZTVXMQ/edit#gid=1251630045"",""articles_with_PRISMA_reasons!B2:B2113""))&gt;=2),
""Exclude""
)"),"Exclude")</f>
        <v>Exclude</v>
      </c>
      <c r="E1553" s="5" t="str">
        <f>IFERROR(__xludf.DUMMYFUNCTION("IFS(
D1553=""Exclude"",""Exclude"",
AND(
FILTER(IMPORTRANGE(""https://docs.google.com/spreadsheets/d/1qpEmbGH0JjaJbUdp21-y2cPbobDbMjr09BbtdKROZWc/edit#gid=1444865654"",""articles_with_PRISMA_reasons!W2:W2113""), $A1553=IMPORTRANGE(""https://docs.google.co"&amp;"m/spreadsheets/d/1qpEmbGH0JjaJbUdp21-y2cPbobDbMjr09BbtdKROZWc/edit#gid=1444865654"",""articles_with_PRISMA_reasons!B2:B2113""))&gt;=2,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$A1553=IMPORTRANGE(""https://docs.google.com/spreadsheets/d/1qpEmbGH0JjaJbUdp21-y2cPbobDbMjr09BbtdKROZWc/edit#gid=1444865654"",""articles_with_PRISMA_reasons!B2:B2113""))&lt;2),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$A1553=IMPORTRANGE(""https://docs.google.com/spreadsheets/d/1qpEmbGH0JjaJbUdp21-y2cPbobDbMjr09Bbtd"&amp;"KROZWc/edit#gid=1444865654"",""articles_with_PRISMA_reasons!B2:B2113""))&lt;2,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$A1553=I"&amp;"MPORTRANGE(""https://docs.google.com/spreadsheets/d/1qpEmbGH0JjaJbUdp21-y2cPbobDbMjr09BbtdKROZWc/edit#gid=1444865654"",""articles_with_PRISMA_reasons!B2:B2113""))&gt;=2),
""Exclude""
)"),"Exclude")</f>
        <v>Exclude</v>
      </c>
      <c r="F1553" s="5" t="str">
        <f>IFERROR(__xludf.DUMMYFUNCTION("IFS(
E1553=""Exclude"",""Exclude"",
AND(
COUNTIF(
IMPORTRANGE(""https://docs.google.com/spreadsheets/d/1kGrh75X1cNR1D7_FcY9zMnHP8iPO4M5RCRjy6nZY0TY/edit#gid=0"",""Table 1: Study characteristics!B4:B171""),A1553)&gt;0,
COUNTIF(Studies!$A$2:$A$85,FILTER(IMPORT"&amp;"RANGE(""https://docs.google.com/spreadsheets/d/1kGrh75X1cNR1D7_FcY9zMnHP8iPO4M5RCRjy6nZY0TY/edit#gid=0"",""Table 1: Study characteristics!A4:A171""), $A1553=IMPORTRANGE(""https://docs.google.com/spreadsheets/d/1kGrh75X1cNR1D7_FcY9zMnHP8iPO4M5RCRjy6nZY0TY/"&amp;"edit#gid=0"",""Table 1: Study characteristics!B4:B171"")))&gt;0
),
""Include""
)"),"Exclude")</f>
        <v>Exclude</v>
      </c>
      <c r="G1553" s="5" t="str">
        <f>IFERROR(__xludf.DUMMYFUNCTION("IFS(
D1553=""Exclude"",
FILTER(IMPORTRANGE(""https://docs.google.com/spreadsheets/d/1BJSV3WBYJGRhQ6zExamkszQ5VutGIcaQqmbD9ZTVXMQ/edit#gid=1251630045"",""articles_with_PRISMA_reasons!AB2:AB2113""), $A1553=IMPORTRANGE(""https://docs.google.com/spreadsheets/"&amp;"d/1BJSV3WBYJGRhQ6zExamkszQ5VutGIcaQqmbD9ZTVXMQ/edit#gid=1251630045"",""articles_with_PRISMA_reasons!B2:B2113"")),
E1553=""Exclude"",
FILTER(IMPORTRANGE(""https://docs.google.com/spreadsheets/d/1qpEmbGH0JjaJbUdp21-y2cPbobDbMjr09BbtdKROZWc/edit#gid=14448656"&amp;"54"",""articles_with_PRISMA_reasons!Z2:Z2113""), $A1553=IMPORTRANGE(""https://docs.google.com/spreadsheets/d/1qpEmbGH0JjaJbUdp21-y2cPbobDbMjr09BbtdKROZWc/edit#gid=1444865654"",""articles_with_PRISMA_reasons!B2:B2113"")),F1553
=""Include"",FILTER(IMPORTRAN"&amp;"GE(""https://docs.google.com/spreadsheets/d/1kGrh75X1cNR1D7_FcY9zMnHP8iPO4M5RCRjy6nZY0TY/edit#gid=0"",""Table 1: Study characteristics!A4:A171""), $A1553=IMPORTRANGE(""https://docs.google.com/spreadsheets/d/1kGrh75X1cNR1D7_FcY9zMnHP8iPO4M5RCRjy6nZY0TY/edi"&amp;"t#gid=0"",""Table 1: Study characteristics!B4:B171""))
)"),"wrong population")</f>
        <v>wrong population</v>
      </c>
    </row>
    <row r="1554">
      <c r="A1554" s="4" t="str">
        <f>IFERROR(__xludf.DUMMYFUNCTION("""COMPUTED_VALUE"""),"Problems Facing the Visiting Anesthesia Team in an Underdeveloped Nation and Possible Solutions")</f>
        <v>Problems Facing the Visiting Anesthesia Team in an Underdeveloped Nation and Possible Solutions</v>
      </c>
      <c r="B1554" s="5" t="str">
        <f>IFERROR(__xludf.DUMMYFUNCTION("LEFT(FILTER(IMPORTRANGE(""https://docs.google.com/spreadsheets/d/1BJSV3WBYJGRhQ6zExamkszQ5VutGIcaQqmbD9ZTVXMQ/edit#gid=1251630045"",""articles_with_PRISMA_reasons!K2:K2113""), $A1554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$A1554=IMPORTRANGE(""https://docs.google.com/spreadsheets/d/1BJSV3WBYJGRhQ6zExamkszQ5VutGIcaQqmbD9ZTVXMQ/edit#gid=1251630045"",""articles_with_PRISMA_reasons!B2:B2113"")))-1)"),"Halliday")</f>
        <v>Halliday</v>
      </c>
      <c r="C1554" s="6">
        <f>IFERROR(__xludf.DUMMYFUNCTION("FILTER(IMPORTRANGE(""https://docs.google.com/spreadsheets/d/1BJSV3WBYJGRhQ6zExamkszQ5VutGIcaQqmbD9ZTVXMQ/edit#gid=1251630045"",""articles_with_PRISMA_reasons!C2:C2113""), $A1554=IMPORTRANGE(""https://docs.google.com/spreadsheets/d/1BJSV3WBYJGRhQ6zExamkszQ"&amp;"5VutGIcaQqmbD9ZTVXMQ/edit#gid=1251630045"",""articles_with_PRISMA_reasons!B2:B2113""))"),2015.0)</f>
        <v>2015</v>
      </c>
      <c r="D1554" s="5" t="str">
        <f>IFERROR(__xludf.DUMMYFUNCTION("IFS(AND(
FILTER(IMPORTRANGE(""https://docs.google.com/spreadsheets/d/1BJSV3WBYJGRhQ6zExamkszQ5VutGIcaQqmbD9ZTVXMQ/edit#gid=1251630045"",""articles_with_PRISMA_reasons!Y2:Y2113""), $A1554=IMPORTRANGE(""https://docs.google.com/spreadsheets/d/1BJSV3WBYJGRhQ6"&amp;"zExamkszQ5VutGIcaQqmbD9ZTVXMQ/edit#gid=1251630045"",""articles_with_PRISMA_reasons!B2:B2113""))&gt;=2,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$A1554=IMPORTRANGE(""https://docs.google.com/spreadsheets/d/1BJSV3WBYJGRhQ6zExamkszQ5VutGIcaQqmbD9ZTVXMQ/edit#gid=1251630045"",""articles_with_PRISMA_reasons!B2:B2113""))&lt;2),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$A1554=IMPORTRANGE(""https://docs.google.com/spreadsheets/d/1BJSV3WBYJGRhQ6zExamkszQ5VutGIcaQqmbD9ZTVXMQ/edit#gid=1251630045"",""a"&amp;"rticles_with_PRISMA_reasons!B2:B2113""))&lt;2,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$A1554=IMPORTRANGE(""https://docs.google"&amp;".com/spreadsheets/d/1BJSV3WBYJGRhQ6zExamkszQ5VutGIcaQqmbD9ZTVXMQ/edit#gid=1251630045"",""articles_with_PRISMA_reasons!B2:B2113""))&gt;=2),
""Exclude""
)"),"Exclude")</f>
        <v>Exclude</v>
      </c>
      <c r="E1554" s="5" t="str">
        <f>IFERROR(__xludf.DUMMYFUNCTION("IFS(
D1554=""Exclude"",""Exclude"",
AND(
FILTER(IMPORTRANGE(""https://docs.google.com/spreadsheets/d/1qpEmbGH0JjaJbUdp21-y2cPbobDbMjr09BbtdKROZWc/edit#gid=1444865654"",""articles_with_PRISMA_reasons!W2:W2113""), $A1554=IMPORTRANGE(""https://docs.google.co"&amp;"m/spreadsheets/d/1qpEmbGH0JjaJbUdp21-y2cPbobDbMjr09BbtdKROZWc/edit#gid=1444865654"",""articles_with_PRISMA_reasons!B2:B2113""))&gt;=2,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$A1554=IMPORTRANGE(""https://docs.google.com/spreadsheets/d/1qpEmbGH0JjaJbUdp21-y2cPbobDbMjr09BbtdKROZWc/edit#gid=1444865654"",""articles_with_PRISMA_reasons!B2:B2113""))&lt;2),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$A1554=IMPORTRANGE(""https://docs.google.com/spreadsheets/d/1qpEmbGH0JjaJbUdp21-y2cPbobDbMjr09Bbtd"&amp;"KROZWc/edit#gid=1444865654"",""articles_with_PRISMA_reasons!B2:B2113""))&lt;2,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$A1554=I"&amp;"MPORTRANGE(""https://docs.google.com/spreadsheets/d/1qpEmbGH0JjaJbUdp21-y2cPbobDbMjr09BbtdKROZWc/edit#gid=1444865654"",""articles_with_PRISMA_reasons!B2:B2113""))&gt;=2),
""Exclude""
)"),"Exclude")</f>
        <v>Exclude</v>
      </c>
      <c r="F1554" s="5" t="str">
        <f>IFERROR(__xludf.DUMMYFUNCTION("IFS(
E1554=""Exclude"",""Exclude"",
AND(
COUNTIF(
IMPORTRANGE(""https://docs.google.com/spreadsheets/d/1kGrh75X1cNR1D7_FcY9zMnHP8iPO4M5RCRjy6nZY0TY/edit#gid=0"",""Table 1: Study characteristics!B4:B171""),A1554)&gt;0,
COUNTIF(Studies!$A$2:$A$85,FILTER(IMPORT"&amp;"RANGE(""https://docs.google.com/spreadsheets/d/1kGrh75X1cNR1D7_FcY9zMnHP8iPO4M5RCRjy6nZY0TY/edit#gid=0"",""Table 1: Study characteristics!A4:A171""), $A1554=IMPORTRANGE(""https://docs.google.com/spreadsheets/d/1kGrh75X1cNR1D7_FcY9zMnHP8iPO4M5RCRjy6nZY0TY/"&amp;"edit#gid=0"",""Table 1: Study characteristics!B4:B171"")))&gt;0
),
""Include""
)"),"Exclude")</f>
        <v>Exclude</v>
      </c>
      <c r="G1554" s="5" t="str">
        <f>IFERROR(__xludf.DUMMYFUNCTION("IFS(
D1554=""Exclude"",
FILTER(IMPORTRANGE(""https://docs.google.com/spreadsheets/d/1BJSV3WBYJGRhQ6zExamkszQ5VutGIcaQqmbD9ZTVXMQ/edit#gid=1251630045"",""articles_with_PRISMA_reasons!AB2:AB2113""), $A1554=IMPORTRANGE(""https://docs.google.com/spreadsheets/"&amp;"d/1BJSV3WBYJGRhQ6zExamkszQ5VutGIcaQqmbD9ZTVXMQ/edit#gid=1251630045"",""articles_with_PRISMA_reasons!B2:B2113"")),
E1554=""Exclude"",
FILTER(IMPORTRANGE(""https://docs.google.com/spreadsheets/d/1qpEmbGH0JjaJbUdp21-y2cPbobDbMjr09BbtdKROZWc/edit#gid=14448656"&amp;"54"",""articles_with_PRISMA_reasons!Z2:Z2113""), $A1554=IMPORTRANGE(""https://docs.google.com/spreadsheets/d/1qpEmbGH0JjaJbUdp21-y2cPbobDbMjr09BbtdKROZWc/edit#gid=1444865654"",""articles_with_PRISMA_reasons!B2:B2113"")),F1554
=""Include"",FILTER(IMPORTRAN"&amp;"GE(""https://docs.google.com/spreadsheets/d/1kGrh75X1cNR1D7_FcY9zMnHP8iPO4M5RCRjy6nZY0TY/edit#gid=0"",""Table 1: Study characteristics!A4:A171""), $A1554=IMPORTRANGE(""https://docs.google.com/spreadsheets/d/1kGrh75X1cNR1D7_FcY9zMnHP8iPO4M5RCRjy6nZY0TY/edi"&amp;"t#gid=0"",""Table 1: Study characteristics!B4:B171""))
)"),"Duplicate")</f>
        <v>Duplicate</v>
      </c>
    </row>
    <row r="1555">
      <c r="A1555" s="4" t="str">
        <f>IFERROR(__xludf.DUMMYFUNCTION("""COMPUTED_VALUE"""),"Proceedings and abstracts of the Congress of Iranian Neurosurgeons, 14-16 Nov 2012, Kermanshah, Iran")</f>
        <v>Proceedings and abstracts of the Congress of Iranian Neurosurgeons, 14-16 Nov 2012, Kermanshah, Iran</v>
      </c>
      <c r="B1555" s="5" t="str">
        <f>IFERROR(__xludf.DUMMYFUNCTION("LEFT(FILTER(IMPORTRANGE(""https://docs.google.com/spreadsheets/d/1BJSV3WBYJGRhQ6zExamkszQ5VutGIcaQqmbD9ZTVXMQ/edit#gid=1251630045"",""articles_with_PRISMA_reasons!K2:K2113""), $A1555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$A1555=IMPORTRANGE(""https://docs.google.com/spreadsheets/d/1BJSV3WBYJGRhQ6zExamkszQ5VutGIcaQqmbD9ZTVXMQ/edit#gid=1251630045"",""articles_with_PRISMA_reasons!B2:B2113"")))-1)"),"Mashhadinezhad")</f>
        <v>Mashhadinezhad</v>
      </c>
      <c r="C1555" s="6" t="str">
        <f>IFERROR(__xludf.DUMMYFUNCTION("FILTER(IMPORTRANGE(""https://docs.google.com/spreadsheets/d/1BJSV3WBYJGRhQ6zExamkszQ5VutGIcaQqmbD9ZTVXMQ/edit#gid=1251630045"",""articles_with_PRISMA_reasons!C2:C2113""), $A1555=IMPORTRANGE(""https://docs.google.com/spreadsheets/d/1BJSV3WBYJGRhQ6zExamkszQ"&amp;"5VutGIcaQqmbD9ZTVXMQ/edit#gid=1251630045"",""articles_with_PRISMA_reasons!B2:B2113""))"),"Nov")</f>
        <v>Nov</v>
      </c>
      <c r="D1555" s="5" t="str">
        <f>IFERROR(__xludf.DUMMYFUNCTION("IFS(AND(
FILTER(IMPORTRANGE(""https://docs.google.com/spreadsheets/d/1BJSV3WBYJGRhQ6zExamkszQ5VutGIcaQqmbD9ZTVXMQ/edit#gid=1251630045"",""articles_with_PRISMA_reasons!Y2:Y2113""), $A1555=IMPORTRANGE(""https://docs.google.com/spreadsheets/d/1BJSV3WBYJGRhQ6"&amp;"zExamkszQ5VutGIcaQqmbD9ZTVXMQ/edit#gid=1251630045"",""articles_with_PRISMA_reasons!B2:B2113""))&gt;=2,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$A1555=IMPORTRANGE(""https://docs.google.com/spreadsheets/d/1BJSV3WBYJGRhQ6zExamkszQ5VutGIcaQqmbD9ZTVXMQ/edit#gid=1251630045"",""articles_with_PRISMA_reasons!B2:B2113""))&lt;2),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$A1555=IMPORTRANGE(""https://docs.google.com/spreadsheets/d/1BJSV3WBYJGRhQ6zExamkszQ5VutGIcaQqmbD9ZTVXMQ/edit#gid=1251630045"",""a"&amp;"rticles_with_PRISMA_reasons!B2:B2113""))&lt;2,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$A1555=IMPORTRANGE(""https://docs.google"&amp;".com/spreadsheets/d/1BJSV3WBYJGRhQ6zExamkszQ5VutGIcaQqmbD9ZTVXMQ/edit#gid=1251630045"",""articles_with_PRISMA_reasons!B2:B2113""))&gt;=2),
""Exclude""
)"),"Exclude")</f>
        <v>Exclude</v>
      </c>
      <c r="E1555" s="5" t="str">
        <f>IFERROR(__xludf.DUMMYFUNCTION("IFS(
D1555=""Exclude"",""Exclude"",
AND(
FILTER(IMPORTRANGE(""https://docs.google.com/spreadsheets/d/1qpEmbGH0JjaJbUdp21-y2cPbobDbMjr09BbtdKROZWc/edit#gid=1444865654"",""articles_with_PRISMA_reasons!W2:W2113""), $A1555=IMPORTRANGE(""https://docs.google.co"&amp;"m/spreadsheets/d/1qpEmbGH0JjaJbUdp21-y2cPbobDbMjr09BbtdKROZWc/edit#gid=1444865654"",""articles_with_PRISMA_reasons!B2:B2113""))&gt;=2,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$A1555=IMPORTRANGE(""https://docs.google.com/spreadsheets/d/1qpEmbGH0JjaJbUdp21-y2cPbobDbMjr09BbtdKROZWc/edit#gid=1444865654"",""articles_with_PRISMA_reasons!B2:B2113""))&lt;2),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$A1555=IMPORTRANGE(""https://docs.google.com/spreadsheets/d/1qpEmbGH0JjaJbUdp21-y2cPbobDbMjr09Bbtd"&amp;"KROZWc/edit#gid=1444865654"",""articles_with_PRISMA_reasons!B2:B2113""))&lt;2,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$A1555=I"&amp;"MPORTRANGE(""https://docs.google.com/spreadsheets/d/1qpEmbGH0JjaJbUdp21-y2cPbobDbMjr09BbtdKROZWc/edit#gid=1444865654"",""articles_with_PRISMA_reasons!B2:B2113""))&gt;=2),
""Exclude""
)"),"Exclude")</f>
        <v>Exclude</v>
      </c>
      <c r="F1555" s="5" t="str">
        <f>IFERROR(__xludf.DUMMYFUNCTION("IFS(
E1555=""Exclude"",""Exclude"",
AND(
COUNTIF(
IMPORTRANGE(""https://docs.google.com/spreadsheets/d/1kGrh75X1cNR1D7_FcY9zMnHP8iPO4M5RCRjy6nZY0TY/edit#gid=0"",""Table 1: Study characteristics!B4:B171""),A1555)&gt;0,
COUNTIF(Studies!$A$2:$A$85,FILTER(IMPORT"&amp;"RANGE(""https://docs.google.com/spreadsheets/d/1kGrh75X1cNR1D7_FcY9zMnHP8iPO4M5RCRjy6nZY0TY/edit#gid=0"",""Table 1: Study characteristics!A4:A171""), $A1555=IMPORTRANGE(""https://docs.google.com/spreadsheets/d/1kGrh75X1cNR1D7_FcY9zMnHP8iPO4M5RCRjy6nZY0TY/"&amp;"edit#gid=0"",""Table 1: Study characteristics!B4:B171"")))&gt;0
),
""Include""
)"),"Exclude")</f>
        <v>Exclude</v>
      </c>
      <c r="G1555" s="5" t="str">
        <f>IFERROR(__xludf.DUMMYFUNCTION("IFS(
D1555=""Exclude"",
FILTER(IMPORTRANGE(""https://docs.google.com/spreadsheets/d/1BJSV3WBYJGRhQ6zExamkszQ5VutGIcaQqmbD9ZTVXMQ/edit#gid=1251630045"",""articles_with_PRISMA_reasons!AB2:AB2113""), $A1555=IMPORTRANGE(""https://docs.google.com/spreadsheets/"&amp;"d/1BJSV3WBYJGRhQ6zExamkszQ5VutGIcaQqmbD9ZTVXMQ/edit#gid=1251630045"",""articles_with_PRISMA_reasons!B2:B2113"")),
E1555=""Exclude"",
FILTER(IMPORTRANGE(""https://docs.google.com/spreadsheets/d/1qpEmbGH0JjaJbUdp21-y2cPbobDbMjr09BbtdKROZWc/edit#gid=14448656"&amp;"54"",""articles_with_PRISMA_reasons!Z2:Z2113""), $A1555=IMPORTRANGE(""https://docs.google.com/spreadsheets/d/1qpEmbGH0JjaJbUdp21-y2cPbobDbMjr09BbtdKROZWc/edit#gid=1444865654"",""articles_with_PRISMA_reasons!B2:B2113"")),F1555
=""Include"",FILTER(IMPORTRAN"&amp;"GE(""https://docs.google.com/spreadsheets/d/1kGrh75X1cNR1D7_FcY9zMnHP8iPO4M5RCRjy6nZY0TY/edit#gid=0"",""Table 1: Study characteristics!A4:A171""), $A1555=IMPORTRANGE(""https://docs.google.com/spreadsheets/d/1kGrh75X1cNR1D7_FcY9zMnHP8iPO4M5RCRjy6nZY0TY/edi"&amp;"t#gid=0"",""Table 1: Study characteristics!B4:B171""))
)"),"background article")</f>
        <v>background article</v>
      </c>
    </row>
    <row r="1556">
      <c r="A1556" s="4" t="str">
        <f>IFERROR(__xludf.DUMMYFUNCTION("""COMPUTED_VALUE"""),"Profile of neonatal epilepsies")</f>
        <v>Profile of neonatal epilepsies</v>
      </c>
      <c r="B1556" s="5" t="str">
        <f>IFERROR(__xludf.DUMMYFUNCTION("LEFT(FILTER(IMPORTRANGE(""https://docs.google.com/spreadsheets/d/1BJSV3WBYJGRhQ6zExamkszQ5VutGIcaQqmbD9ZTVXMQ/edit#gid=1251630045"",""articles_with_PRISMA_reasons!K2:K2113""), $A1556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$A1556=IMPORTRANGE(""https://docs.google.com/spreadsheets/d/1BJSV3WBYJGRhQ6zExamkszQ5VutGIcaQqmbD9ZTVXMQ/edit#gid=1251630045"",""articles_with_PRISMA_reasons!B2:B2113"")))-1)"),"Shellhaas")</f>
        <v>Shellhaas</v>
      </c>
      <c r="C1556" s="6">
        <f>IFERROR(__xludf.DUMMYFUNCTION("FILTER(IMPORTRANGE(""https://docs.google.com/spreadsheets/d/1BJSV3WBYJGRhQ6zExamkszQ5VutGIcaQqmbD9ZTVXMQ/edit#gid=1251630045"",""articles_with_PRISMA_reasons!C2:C2113""), $A1556=IMPORTRANGE(""https://docs.google.com/spreadsheets/d/1BJSV3WBYJGRhQ6zExamkszQ"&amp;"5VutGIcaQqmbD9ZTVXMQ/edit#gid=1251630045"",""articles_with_PRISMA_reasons!B2:B2113""))"),2017.0)</f>
        <v>2017</v>
      </c>
      <c r="D1556" s="5" t="str">
        <f>IFERROR(__xludf.DUMMYFUNCTION("IFS(AND(
FILTER(IMPORTRANGE(""https://docs.google.com/spreadsheets/d/1BJSV3WBYJGRhQ6zExamkszQ5VutGIcaQqmbD9ZTVXMQ/edit#gid=1251630045"",""articles_with_PRISMA_reasons!Y2:Y2113""), $A1556=IMPORTRANGE(""https://docs.google.com/spreadsheets/d/1BJSV3WBYJGRhQ6"&amp;"zExamkszQ5VutGIcaQqmbD9ZTVXMQ/edit#gid=1251630045"",""articles_with_PRISMA_reasons!B2:B2113""))&gt;=2,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$A1556=IMPORTRANGE(""https://docs.google.com/spreadsheets/d/1BJSV3WBYJGRhQ6zExamkszQ5VutGIcaQqmbD9ZTVXMQ/edit#gid=1251630045"",""articles_with_PRISMA_reasons!B2:B2113""))&lt;2),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$A1556=IMPORTRANGE(""https://docs.google.com/spreadsheets/d/1BJSV3WBYJGRhQ6zExamkszQ5VutGIcaQqmbD9ZTVXMQ/edit#gid=1251630045"",""a"&amp;"rticles_with_PRISMA_reasons!B2:B2113""))&lt;2,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$A1556=IMPORTRANGE(""https://docs.google"&amp;".com/spreadsheets/d/1BJSV3WBYJGRhQ6zExamkszQ5VutGIcaQqmbD9ZTVXMQ/edit#gid=1251630045"",""articles_with_PRISMA_reasons!B2:B2113""))&gt;=2),
""Exclude""
)"),"Exclude")</f>
        <v>Exclude</v>
      </c>
      <c r="E1556" s="5" t="str">
        <f>IFERROR(__xludf.DUMMYFUNCTION("IFS(
D1556=""Exclude"",""Exclude"",
AND(
FILTER(IMPORTRANGE(""https://docs.google.com/spreadsheets/d/1qpEmbGH0JjaJbUdp21-y2cPbobDbMjr09BbtdKROZWc/edit#gid=1444865654"",""articles_with_PRISMA_reasons!W2:W2113""), $A1556=IMPORTRANGE(""https://docs.google.co"&amp;"m/spreadsheets/d/1qpEmbGH0JjaJbUdp21-y2cPbobDbMjr09BbtdKROZWc/edit#gid=1444865654"",""articles_with_PRISMA_reasons!B2:B2113""))&gt;=2,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$A1556=IMPORTRANGE(""https://docs.google.com/spreadsheets/d/1qpEmbGH0JjaJbUdp21-y2cPbobDbMjr09BbtdKROZWc/edit#gid=1444865654"",""articles_with_PRISMA_reasons!B2:B2113""))&lt;2),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$A1556=IMPORTRANGE(""https://docs.google.com/spreadsheets/d/1qpEmbGH0JjaJbUdp21-y2cPbobDbMjr09Bbtd"&amp;"KROZWc/edit#gid=1444865654"",""articles_with_PRISMA_reasons!B2:B2113""))&lt;2,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$A1556=I"&amp;"MPORTRANGE(""https://docs.google.com/spreadsheets/d/1qpEmbGH0JjaJbUdp21-y2cPbobDbMjr09BbtdKROZWc/edit#gid=1444865654"",""articles_with_PRISMA_reasons!B2:B2113""))&gt;=2),
""Exclude""
)"),"Exclude")</f>
        <v>Exclude</v>
      </c>
      <c r="F1556" s="5" t="str">
        <f>IFERROR(__xludf.DUMMYFUNCTION("IFS(
E1556=""Exclude"",""Exclude"",
AND(
COUNTIF(
IMPORTRANGE(""https://docs.google.com/spreadsheets/d/1kGrh75X1cNR1D7_FcY9zMnHP8iPO4M5RCRjy6nZY0TY/edit#gid=0"",""Table 1: Study characteristics!B4:B171""),A1556)&gt;0,
COUNTIF(Studies!$A$2:$A$85,FILTER(IMPORT"&amp;"RANGE(""https://docs.google.com/spreadsheets/d/1kGrh75X1cNR1D7_FcY9zMnHP8iPO4M5RCRjy6nZY0TY/edit#gid=0"",""Table 1: Study characteristics!A4:A171""), $A1556=IMPORTRANGE(""https://docs.google.com/spreadsheets/d/1kGrh75X1cNR1D7_FcY9zMnHP8iPO4M5RCRjy6nZY0TY/"&amp;"edit#gid=0"",""Table 1: Study characteristics!B4:B171"")))&gt;0
),
""Include""
)"),"Exclude")</f>
        <v>Exclude</v>
      </c>
      <c r="G1556" s="5" t="str">
        <f>IFERROR(__xludf.DUMMYFUNCTION("IFS(
D1556=""Exclude"",
FILTER(IMPORTRANGE(""https://docs.google.com/spreadsheets/d/1BJSV3WBYJGRhQ6zExamkszQ5VutGIcaQqmbD9ZTVXMQ/edit#gid=1251630045"",""articles_with_PRISMA_reasons!AB2:AB2113""), $A1556=IMPORTRANGE(""https://docs.google.com/spreadsheets/"&amp;"d/1BJSV3WBYJGRhQ6zExamkszQ5VutGIcaQqmbD9ZTVXMQ/edit#gid=1251630045"",""articles_with_PRISMA_reasons!B2:B2113"")),
E1556=""Exclude"",
FILTER(IMPORTRANGE(""https://docs.google.com/spreadsheets/d/1qpEmbGH0JjaJbUdp21-y2cPbobDbMjr09BbtdKROZWc/edit#gid=14448656"&amp;"54"",""articles_with_PRISMA_reasons!Z2:Z2113""), $A1556=IMPORTRANGE(""https://docs.google.com/spreadsheets/d/1qpEmbGH0JjaJbUdp21-y2cPbobDbMjr09BbtdKROZWc/edit#gid=1444865654"",""articles_with_PRISMA_reasons!B2:B2113"")),F1556
=""Include"",FILTER(IMPORTRAN"&amp;"GE(""https://docs.google.com/spreadsheets/d/1kGrh75X1cNR1D7_FcY9zMnHP8iPO4M5RCRjy6nZY0TY/edit#gid=0"",""Table 1: Study characteristics!A4:A171""), $A1556=IMPORTRANGE(""https://docs.google.com/spreadsheets/d/1kGrh75X1cNR1D7_FcY9zMnHP8iPO4M5RCRjy6nZY0TY/edi"&amp;"t#gid=0"",""Table 1: Study characteristics!B4:B171""))
)"),"wrong population")</f>
        <v>wrong population</v>
      </c>
    </row>
    <row r="1557">
      <c r="A1557" s="4" t="str">
        <f>IFERROR(__xludf.DUMMYFUNCTION("""COMPUTED_VALUE"""),"Profile of patients with myelomeningocele of mogi das cruzes city")</f>
        <v>Profile of patients with myelomeningocele of mogi das cruzes city</v>
      </c>
      <c r="B1557" s="5" t="str">
        <f>IFERROR(__xludf.DUMMYFUNCTION("LEFT(FILTER(IMPORTRANGE(""https://docs.google.com/spreadsheets/d/1BJSV3WBYJGRhQ6zExamkszQ5VutGIcaQqmbD9ZTVXMQ/edit#gid=1251630045"",""articles_with_PRISMA_reasons!K2:K2113""), $A1557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$A1557=IMPORTRANGE(""https://docs.google.com/spreadsheets/d/1BJSV3WBYJGRhQ6zExamkszQ5VutGIcaQqmbD9ZTVXMQ/edit#gid=1251630045"",""articles_with_PRISMA_reasons!B2:B2113"")))-1)"),"Bergamaschi")</f>
        <v>Bergamaschi</v>
      </c>
      <c r="C1557" s="6">
        <f>IFERROR(__xludf.DUMMYFUNCTION("FILTER(IMPORTRANGE(""https://docs.google.com/spreadsheets/d/1BJSV3WBYJGRhQ6zExamkszQ5VutGIcaQqmbD9ZTVXMQ/edit#gid=1251630045"",""articles_with_PRISMA_reasons!C2:C2113""), $A1557=IMPORTRANGE(""https://docs.google.com/spreadsheets/d/1BJSV3WBYJGRhQ6zExamkszQ"&amp;"5VutGIcaQqmbD9ZTVXMQ/edit#gid=1251630045"",""articles_with_PRISMA_reasons!B2:B2113""))"),2012.0)</f>
        <v>2012</v>
      </c>
      <c r="D1557" s="5" t="str">
        <f>IFERROR(__xludf.DUMMYFUNCTION("IFS(AND(
FILTER(IMPORTRANGE(""https://docs.google.com/spreadsheets/d/1BJSV3WBYJGRhQ6zExamkszQ5VutGIcaQqmbD9ZTVXMQ/edit#gid=1251630045"",""articles_with_PRISMA_reasons!Y2:Y2113""), $A1557=IMPORTRANGE(""https://docs.google.com/spreadsheets/d/1BJSV3WBYJGRhQ6"&amp;"zExamkszQ5VutGIcaQqmbD9ZTVXMQ/edit#gid=1251630045"",""articles_with_PRISMA_reasons!B2:B2113""))&gt;=2,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$A1557=IMPORTRANGE(""https://docs.google.com/spreadsheets/d/1BJSV3WBYJGRhQ6zExamkszQ5VutGIcaQqmbD9ZTVXMQ/edit#gid=1251630045"",""articles_with_PRISMA_reasons!B2:B2113""))&lt;2),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$A1557=IMPORTRANGE(""https://docs.google.com/spreadsheets/d/1BJSV3WBYJGRhQ6zExamkszQ5VutGIcaQqmbD9ZTVXMQ/edit#gid=1251630045"",""a"&amp;"rticles_with_PRISMA_reasons!B2:B2113""))&lt;2,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$A1557=IMPORTRANGE(""https://docs.google"&amp;".com/spreadsheets/d/1BJSV3WBYJGRhQ6zExamkszQ5VutGIcaQqmbD9ZTVXMQ/edit#gid=1251630045"",""articles_with_PRISMA_reasons!B2:B2113""))&gt;=2),
""Exclude""
)"),"Exclude")</f>
        <v>Exclude</v>
      </c>
      <c r="E1557" s="5" t="str">
        <f>IFERROR(__xludf.DUMMYFUNCTION("IFS(
D1557=""Exclude"",""Exclude"",
AND(
FILTER(IMPORTRANGE(""https://docs.google.com/spreadsheets/d/1qpEmbGH0JjaJbUdp21-y2cPbobDbMjr09BbtdKROZWc/edit#gid=1444865654"",""articles_with_PRISMA_reasons!W2:W2113""), $A1557=IMPORTRANGE(""https://docs.google.co"&amp;"m/spreadsheets/d/1qpEmbGH0JjaJbUdp21-y2cPbobDbMjr09BbtdKROZWc/edit#gid=1444865654"",""articles_with_PRISMA_reasons!B2:B2113""))&gt;=2,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$A1557=IMPORTRANGE(""https://docs.google.com/spreadsheets/d/1qpEmbGH0JjaJbUdp21-y2cPbobDbMjr09BbtdKROZWc/edit#gid=1444865654"",""articles_with_PRISMA_reasons!B2:B2113""))&lt;2),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$A1557=IMPORTRANGE(""https://docs.google.com/spreadsheets/d/1qpEmbGH0JjaJbUdp21-y2cPbobDbMjr09Bbtd"&amp;"KROZWc/edit#gid=1444865654"",""articles_with_PRISMA_reasons!B2:B2113""))&lt;2,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$A1557=I"&amp;"MPORTRANGE(""https://docs.google.com/spreadsheets/d/1qpEmbGH0JjaJbUdp21-y2cPbobDbMjr09BbtdKROZWc/edit#gid=1444865654"",""articles_with_PRISMA_reasons!B2:B2113""))&gt;=2),
""Exclude""
)"),"Exclude")</f>
        <v>Exclude</v>
      </c>
      <c r="F1557" s="5" t="str">
        <f>IFERROR(__xludf.DUMMYFUNCTION("IFS(
E1557=""Exclude"",""Exclude"",
AND(
COUNTIF(
IMPORTRANGE(""https://docs.google.com/spreadsheets/d/1kGrh75X1cNR1D7_FcY9zMnHP8iPO4M5RCRjy6nZY0TY/edit#gid=0"",""Table 1: Study characteristics!B4:B171""),A1557)&gt;0,
COUNTIF(Studies!$A$2:$A$85,FILTER(IMPORT"&amp;"RANGE(""https://docs.google.com/spreadsheets/d/1kGrh75X1cNR1D7_FcY9zMnHP8iPO4M5RCRjy6nZY0TY/edit#gid=0"",""Table 1: Study characteristics!A4:A171""), $A1557=IMPORTRANGE(""https://docs.google.com/spreadsheets/d/1kGrh75X1cNR1D7_FcY9zMnHP8iPO4M5RCRjy6nZY0TY/"&amp;"edit#gid=0"",""Table 1: Study characteristics!B4:B171"")))&gt;0
),
""Include""
)"),"Exclude")</f>
        <v>Exclude</v>
      </c>
      <c r="G1557" s="5" t="str">
        <f>IFERROR(__xludf.DUMMYFUNCTION("IFS(
D1557=""Exclude"",
FILTER(IMPORTRANGE(""https://docs.google.com/spreadsheets/d/1BJSV3WBYJGRhQ6zExamkszQ5VutGIcaQqmbD9ZTVXMQ/edit#gid=1251630045"",""articles_with_PRISMA_reasons!AB2:AB2113""), $A1557=IMPORTRANGE(""https://docs.google.com/spreadsheets/"&amp;"d/1BJSV3WBYJGRhQ6zExamkszQ5VutGIcaQqmbD9ZTVXMQ/edit#gid=1251630045"",""articles_with_PRISMA_reasons!B2:B2113"")),
E1557=""Exclude"",
FILTER(IMPORTRANGE(""https://docs.google.com/spreadsheets/d/1qpEmbGH0JjaJbUdp21-y2cPbobDbMjr09BbtdKROZWc/edit#gid=14448656"&amp;"54"",""articles_with_PRISMA_reasons!Z2:Z2113""), $A1557=IMPORTRANGE(""https://docs.google.com/spreadsheets/d/1qpEmbGH0JjaJbUdp21-y2cPbobDbMjr09BbtdKROZWc/edit#gid=1444865654"",""articles_with_PRISMA_reasons!B2:B2113"")),F1557
=""Include"",FILTER(IMPORTRAN"&amp;"GE(""https://docs.google.com/spreadsheets/d/1kGrh75X1cNR1D7_FcY9zMnHP8iPO4M5RCRjy6nZY0TY/edit#gid=0"",""Table 1: Study characteristics!A4:A171""), $A1557=IMPORTRANGE(""https://docs.google.com/spreadsheets/d/1kGrh75X1cNR1D7_FcY9zMnHP8iPO4M5RCRjy6nZY0TY/edi"&amp;"t#gid=0"",""Table 1: Study characteristics!B4:B171""))
)"),"wrong study design")</f>
        <v>wrong study design</v>
      </c>
    </row>
    <row r="1558">
      <c r="A1558" s="4" t="str">
        <f>IFERROR(__xludf.DUMMYFUNCTION("""COMPUTED_VALUE"""),"Prognosis for seizure control and remission in children with myelomeningocele")</f>
        <v>Prognosis for seizure control and remission in children with myelomeningocele</v>
      </c>
      <c r="B1558" s="5" t="str">
        <f>IFERROR(__xludf.DUMMYFUNCTION("LEFT(FILTER(IMPORTRANGE(""https://docs.google.com/spreadsheets/d/1BJSV3WBYJGRhQ6zExamkszQ5VutGIcaQqmbD9ZTVXMQ/edit#gid=1251630045"",""articles_with_PRISMA_reasons!K2:K2113""), $A1558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$A1558=IMPORTRANGE(""https://docs.google.com/spreadsheets/d/1BJSV3WBYJGRhQ6zExamkszQ5VutGIcaQqmbD9ZTVXMQ/edit#gid=1251630045"",""articles_with_PRISMA_reasons!B2:B2113"")))-1)"),"Noetzel")</f>
        <v>Noetzel</v>
      </c>
      <c r="C1558" s="6">
        <f>IFERROR(__xludf.DUMMYFUNCTION("FILTER(IMPORTRANGE(""https://docs.google.com/spreadsheets/d/1BJSV3WBYJGRhQ6zExamkszQ5VutGIcaQqmbD9ZTVXMQ/edit#gid=1251630045"",""articles_with_PRISMA_reasons!C2:C2113""), $A1558=IMPORTRANGE(""https://docs.google.com/spreadsheets/d/1BJSV3WBYJGRhQ6zExamkszQ"&amp;"5VutGIcaQqmbD9ZTVXMQ/edit#gid=1251630045"",""articles_with_PRISMA_reasons!B2:B2113""))"),1991.0)</f>
        <v>1991</v>
      </c>
      <c r="D1558" s="5" t="str">
        <f>IFERROR(__xludf.DUMMYFUNCTION("IFS(AND(
FILTER(IMPORTRANGE(""https://docs.google.com/spreadsheets/d/1BJSV3WBYJGRhQ6zExamkszQ5VutGIcaQqmbD9ZTVXMQ/edit#gid=1251630045"",""articles_with_PRISMA_reasons!Y2:Y2113""), $A1558=IMPORTRANGE(""https://docs.google.com/spreadsheets/d/1BJSV3WBYJGRhQ6"&amp;"zExamkszQ5VutGIcaQqmbD9ZTVXMQ/edit#gid=1251630045"",""articles_with_PRISMA_reasons!B2:B2113""))&gt;=2,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$A1558=IMPORTRANGE(""https://docs.google.com/spreadsheets/d/1BJSV3WBYJGRhQ6zExamkszQ5VutGIcaQqmbD9ZTVXMQ/edit#gid=1251630045"",""articles_with_PRISMA_reasons!B2:B2113""))&lt;2),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$A1558=IMPORTRANGE(""https://docs.google.com/spreadsheets/d/1BJSV3WBYJGRhQ6zExamkszQ5VutGIcaQqmbD9ZTVXMQ/edit#gid=1251630045"",""a"&amp;"rticles_with_PRISMA_reasons!B2:B2113""))&lt;2,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$A1558=IMPORTRANGE(""https://docs.google"&amp;".com/spreadsheets/d/1BJSV3WBYJGRhQ6zExamkszQ5VutGIcaQqmbD9ZTVXMQ/edit#gid=1251630045"",""articles_with_PRISMA_reasons!B2:B2113""))&gt;=2),
""Exclude""
)"),"Include")</f>
        <v>Include</v>
      </c>
      <c r="E1558" s="5" t="str">
        <f>IFERROR(__xludf.DUMMYFUNCTION("IFS(
D1558=""Exclude"",""Exclude"",
AND(
FILTER(IMPORTRANGE(""https://docs.google.com/spreadsheets/d/1qpEmbGH0JjaJbUdp21-y2cPbobDbMjr09BbtdKROZWc/edit#gid=1444865654"",""articles_with_PRISMA_reasons!W2:W2113""), $A1558=IMPORTRANGE(""https://docs.google.co"&amp;"m/spreadsheets/d/1qpEmbGH0JjaJbUdp21-y2cPbobDbMjr09BbtdKROZWc/edit#gid=1444865654"",""articles_with_PRISMA_reasons!B2:B2113""))&gt;=2,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$A1558=IMPORTRANGE(""https://docs.google.com/spreadsheets/d/1qpEmbGH0JjaJbUdp21-y2cPbobDbMjr09BbtdKROZWc/edit#gid=1444865654"",""articles_with_PRISMA_reasons!B2:B2113""))&lt;2),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$A1558=IMPORTRANGE(""https://docs.google.com/spreadsheets/d/1qpEmbGH0JjaJbUdp21-y2cPbobDbMjr09Bbtd"&amp;"KROZWc/edit#gid=1444865654"",""articles_with_PRISMA_reasons!B2:B2113""))&lt;2,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$A1558=I"&amp;"MPORTRANGE(""https://docs.google.com/spreadsheets/d/1qpEmbGH0JjaJbUdp21-y2cPbobDbMjr09BbtdKROZWc/edit#gid=1444865654"",""articles_with_PRISMA_reasons!B2:B2113""))&gt;=2),
""Exclude""
)"),"Include")</f>
        <v>Include</v>
      </c>
      <c r="F1558" s="5" t="str">
        <f>IFERROR(__xludf.DUMMYFUNCTION("IFS(
E1558=""Exclude"",""Exclude"",
AND(
COUNTIF(
IMPORTRANGE(""https://docs.google.com/spreadsheets/d/1kGrh75X1cNR1D7_FcY9zMnHP8iPO4M5RCRjy6nZY0TY/edit#gid=0"",""Table 1: Study characteristics!B4:B171""),A1558)&gt;0,
COUNTIF(Studies!$A$2:$A$85,FILTER(IMPORT"&amp;"RANGE(""https://docs.google.com/spreadsheets/d/1kGrh75X1cNR1D7_FcY9zMnHP8iPO4M5RCRjy6nZY0TY/edit#gid=0"",""Table 1: Study characteristics!A4:A171""), $A1558=IMPORTRANGE(""https://docs.google.com/spreadsheets/d/1kGrh75X1cNR1D7_FcY9zMnHP8iPO4M5RCRjy6nZY0TY/"&amp;"edit#gid=0"",""Table 1: Study characteristics!B4:B171"")))&gt;0
),
""Include""
)"),"Include")</f>
        <v>Include</v>
      </c>
      <c r="G1558" s="5" t="str">
        <f>IFERROR(__xludf.DUMMYFUNCTION("IFS(
D1558=""Exclude"",
FILTER(IMPORTRANGE(""https://docs.google.com/spreadsheets/d/1BJSV3WBYJGRhQ6zExamkszQ5VutGIcaQqmbD9ZTVXMQ/edit#gid=1251630045"",""articles_with_PRISMA_reasons!AB2:AB2113""), $A1558=IMPORTRANGE(""https://docs.google.com/spreadsheets/"&amp;"d/1BJSV3WBYJGRhQ6zExamkszQ5VutGIcaQqmbD9ZTVXMQ/edit#gid=1251630045"",""articles_with_PRISMA_reasons!B2:B2113"")),
E1558=""Exclude"",
FILTER(IMPORTRANGE(""https://docs.google.com/spreadsheets/d/1qpEmbGH0JjaJbUdp21-y2cPbobDbMjr09BbtdKROZWc/edit#gid=14448656"&amp;"54"",""articles_with_PRISMA_reasons!Z2:Z2113""), $A1558=IMPORTRANGE(""https://docs.google.com/spreadsheets/d/1qpEmbGH0JjaJbUdp21-y2cPbobDbMjr09BbtdKROZWc/edit#gid=1444865654"",""articles_with_PRISMA_reasons!B2:B2113"")),F1558
=""Include"",FILTER(IMPORTRAN"&amp;"GE(""https://docs.google.com/spreadsheets/d/1kGrh75X1cNR1D7_FcY9zMnHP8iPO4M5RCRjy6nZY0TY/edit#gid=0"",""Table 1: Study characteristics!A4:A171""), $A1558=IMPORTRANGE(""https://docs.google.com/spreadsheets/d/1kGrh75X1cNR1D7_FcY9zMnHP8iPO4M5RCRjy6nZY0TY/edi"&amp;"t#gid=0"",""Table 1: Study characteristics!B4:B171""))
)"),"ID 102")</f>
        <v>ID 102</v>
      </c>
    </row>
    <row r="1559">
      <c r="A1559" s="4" t="str">
        <f>IFERROR(__xludf.DUMMYFUNCTION("""COMPUTED_VALUE"""),"Prognosis in children with prenatally recognised CNS malformations")</f>
        <v>Prognosis in children with prenatally recognised CNS malformations</v>
      </c>
      <c r="B1559" s="5" t="str">
        <f>IFERROR(__xludf.DUMMYFUNCTION("LEFT(FILTER(IMPORTRANGE(""https://docs.google.com/spreadsheets/d/1BJSV3WBYJGRhQ6zExamkszQ5VutGIcaQqmbD9ZTVXMQ/edit#gid=1251630045"",""articles_with_PRISMA_reasons!K2:K2113""), $A1559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$A1559=IMPORTRANGE(""https://docs.google.com/spreadsheets/d/1BJSV3WBYJGRhQ6zExamkszQ5VutGIcaQqmbD9ZTVXMQ/edit#gid=1251630045"",""articles_with_PRISMA_reasons!B2:B2113"")))-1)"),"Dembowski")</f>
        <v>Dembowski</v>
      </c>
      <c r="C1559" s="6">
        <f>IFERROR(__xludf.DUMMYFUNCTION("FILTER(IMPORTRANGE(""https://docs.google.com/spreadsheets/d/1BJSV3WBYJGRhQ6zExamkszQ5VutGIcaQqmbD9ZTVXMQ/edit#gid=1251630045"",""articles_with_PRISMA_reasons!C2:C2113""), $A1559=IMPORTRANGE(""https://docs.google.com/spreadsheets/d/1BJSV3WBYJGRhQ6zExamkszQ"&amp;"5VutGIcaQqmbD9ZTVXMQ/edit#gid=1251630045"",""articles_with_PRISMA_reasons!B2:B2113""))"),1998.0)</f>
        <v>1998</v>
      </c>
      <c r="D1559" s="5" t="str">
        <f>IFERROR(__xludf.DUMMYFUNCTION("IFS(AND(
FILTER(IMPORTRANGE(""https://docs.google.com/spreadsheets/d/1BJSV3WBYJGRhQ6zExamkszQ5VutGIcaQqmbD9ZTVXMQ/edit#gid=1251630045"",""articles_with_PRISMA_reasons!Y2:Y2113""), $A1559=IMPORTRANGE(""https://docs.google.com/spreadsheets/d/1BJSV3WBYJGRhQ6"&amp;"zExamkszQ5VutGIcaQqmbD9ZTVXMQ/edit#gid=1251630045"",""articles_with_PRISMA_reasons!B2:B2113""))&gt;=2,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$A1559=IMPORTRANGE(""https://docs.google.com/spreadsheets/d/1BJSV3WBYJGRhQ6zExamkszQ5VutGIcaQqmbD9ZTVXMQ/edit#gid=1251630045"",""articles_with_PRISMA_reasons!B2:B2113""))&lt;2),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$A1559=IMPORTRANGE(""https://docs.google.com/spreadsheets/d/1BJSV3WBYJGRhQ6zExamkszQ5VutGIcaQqmbD9ZTVXMQ/edit#gid=1251630045"",""a"&amp;"rticles_with_PRISMA_reasons!B2:B2113""))&lt;2,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$A1559=IMPORTRANGE(""https://docs.google"&amp;".com/spreadsheets/d/1BJSV3WBYJGRhQ6zExamkszQ5VutGIcaQqmbD9ZTVXMQ/edit#gid=1251630045"",""articles_with_PRISMA_reasons!B2:B2113""))&gt;=2),
""Exclude""
)"),"Exclude")</f>
        <v>Exclude</v>
      </c>
      <c r="E1559" s="5" t="str">
        <f>IFERROR(__xludf.DUMMYFUNCTION("IFS(
D1559=""Exclude"",""Exclude"",
AND(
FILTER(IMPORTRANGE(""https://docs.google.com/spreadsheets/d/1qpEmbGH0JjaJbUdp21-y2cPbobDbMjr09BbtdKROZWc/edit#gid=1444865654"",""articles_with_PRISMA_reasons!W2:W2113""), $A1559=IMPORTRANGE(""https://docs.google.co"&amp;"m/spreadsheets/d/1qpEmbGH0JjaJbUdp21-y2cPbobDbMjr09BbtdKROZWc/edit#gid=1444865654"",""articles_with_PRISMA_reasons!B2:B2113""))&gt;=2,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$A1559=IMPORTRANGE(""https://docs.google.com/spreadsheets/d/1qpEmbGH0JjaJbUdp21-y2cPbobDbMjr09BbtdKROZWc/edit#gid=1444865654"",""articles_with_PRISMA_reasons!B2:B2113""))&lt;2),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$A1559=IMPORTRANGE(""https://docs.google.com/spreadsheets/d/1qpEmbGH0JjaJbUdp21-y2cPbobDbMjr09Bbtd"&amp;"KROZWc/edit#gid=1444865654"",""articles_with_PRISMA_reasons!B2:B2113""))&lt;2,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$A1559=I"&amp;"MPORTRANGE(""https://docs.google.com/spreadsheets/d/1qpEmbGH0JjaJbUdp21-y2cPbobDbMjr09BbtdKROZWc/edit#gid=1444865654"",""articles_with_PRISMA_reasons!B2:B2113""))&gt;=2),
""Exclude""
)"),"Exclude")</f>
        <v>Exclude</v>
      </c>
      <c r="F1559" s="5" t="str">
        <f>IFERROR(__xludf.DUMMYFUNCTION("IFS(
E1559=""Exclude"",""Exclude"",
AND(
COUNTIF(
IMPORTRANGE(""https://docs.google.com/spreadsheets/d/1kGrh75X1cNR1D7_FcY9zMnHP8iPO4M5RCRjy6nZY0TY/edit#gid=0"",""Table 1: Study characteristics!B4:B171""),A1559)&gt;0,
COUNTIF(Studies!$A$2:$A$85,FILTER(IMPORT"&amp;"RANGE(""https://docs.google.com/spreadsheets/d/1kGrh75X1cNR1D7_FcY9zMnHP8iPO4M5RCRjy6nZY0TY/edit#gid=0"",""Table 1: Study characteristics!A4:A171""), $A1559=IMPORTRANGE(""https://docs.google.com/spreadsheets/d/1kGrh75X1cNR1D7_FcY9zMnHP8iPO4M5RCRjy6nZY0TY/"&amp;"edit#gid=0"",""Table 1: Study characteristics!B4:B171"")))&gt;0
),
""Include""
)"),"Exclude")</f>
        <v>Exclude</v>
      </c>
      <c r="G1559" s="5" t="str">
        <f>IFERROR(__xludf.DUMMYFUNCTION("IFS(
D1559=""Exclude"",
FILTER(IMPORTRANGE(""https://docs.google.com/spreadsheets/d/1BJSV3WBYJGRhQ6zExamkszQ5VutGIcaQqmbD9ZTVXMQ/edit#gid=1251630045"",""articles_with_PRISMA_reasons!AB2:AB2113""), $A1559=IMPORTRANGE(""https://docs.google.com/spreadsheets/"&amp;"d/1BJSV3WBYJGRhQ6zExamkszQ5VutGIcaQqmbD9ZTVXMQ/edit#gid=1251630045"",""articles_with_PRISMA_reasons!B2:B2113"")),
E1559=""Exclude"",
FILTER(IMPORTRANGE(""https://docs.google.com/spreadsheets/d/1qpEmbGH0JjaJbUdp21-y2cPbobDbMjr09BbtdKROZWc/edit#gid=14448656"&amp;"54"",""articles_with_PRISMA_reasons!Z2:Z2113""), $A1559=IMPORTRANGE(""https://docs.google.com/spreadsheets/d/1qpEmbGH0JjaJbUdp21-y2cPbobDbMjr09BbtdKROZWc/edit#gid=1444865654"",""articles_with_PRISMA_reasons!B2:B2113"")),F1559
=""Include"",FILTER(IMPORTRAN"&amp;"GE(""https://docs.google.com/spreadsheets/d/1kGrh75X1cNR1D7_FcY9zMnHP8iPO4M5RCRjy6nZY0TY/edit#gid=0"",""Table 1: Study characteristics!A4:A171""), $A1559=IMPORTRANGE(""https://docs.google.com/spreadsheets/d/1kGrh75X1cNR1D7_FcY9zMnHP8iPO4M5RCRjy6nZY0TY/edi"&amp;"t#gid=0"",""Table 1: Study characteristics!B4:B171""))
)"),"wrong population")</f>
        <v>wrong population</v>
      </c>
    </row>
    <row r="1560">
      <c r="A1560" s="4" t="str">
        <f>IFERROR(__xludf.DUMMYFUNCTION("""COMPUTED_VALUE"""),"Prognosis of Immediate Operative Closure in Myelomeningocele and Meningoencephalocele: Report of Three Operative Cases")</f>
        <v>Prognosis of Immediate Operative Closure in Myelomeningocele and Meningoencephalocele: Report of Three Operative Cases</v>
      </c>
      <c r="B1560" s="5" t="str">
        <f>IFERROR(__xludf.DUMMYFUNCTION("LEFT(FILTER(IMPORTRANGE(""https://docs.google.com/spreadsheets/d/1BJSV3WBYJGRhQ6zExamkszQ5VutGIcaQqmbD9ZTVXMQ/edit#gid=1251630045"",""articles_with_PRISMA_reasons!K2:K2113""), $A1560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$A1560=IMPORTRANGE(""https://docs.google.com/spreadsheets/d/1BJSV3WBYJGRhQ6zExamkszQ5VutGIcaQqmbD9ZTVXMQ/edit#gid=1251630045"",""articles_with_PRISMA_reasons!B2:B2113"")))-1)"),"Joon-Ki")</f>
        <v>Joon-Ki</v>
      </c>
      <c r="C1560" s="6">
        <f>IFERROR(__xludf.DUMMYFUNCTION("FILTER(IMPORTRANGE(""https://docs.google.com/spreadsheets/d/1BJSV3WBYJGRhQ6zExamkszQ5VutGIcaQqmbD9ZTVXMQ/edit#gid=1251630045"",""articles_with_PRISMA_reasons!C2:C2113""), $A1560=IMPORTRANGE(""https://docs.google.com/spreadsheets/d/1BJSV3WBYJGRhQ6zExamkszQ"&amp;"5VutGIcaQqmbD9ZTVXMQ/edit#gid=1251630045"",""articles_with_PRISMA_reasons!B2:B2113""))"),1983.0)</f>
        <v>1983</v>
      </c>
      <c r="D1560" s="5" t="str">
        <f>IFERROR(__xludf.DUMMYFUNCTION("IFS(AND(
FILTER(IMPORTRANGE(""https://docs.google.com/spreadsheets/d/1BJSV3WBYJGRhQ6zExamkszQ5VutGIcaQqmbD9ZTVXMQ/edit#gid=1251630045"",""articles_with_PRISMA_reasons!Y2:Y2113""), $A1560=IMPORTRANGE(""https://docs.google.com/spreadsheets/d/1BJSV3WBYJGRhQ6"&amp;"zExamkszQ5VutGIcaQqmbD9ZTVXMQ/edit#gid=1251630045"",""articles_with_PRISMA_reasons!B2:B2113""))&gt;=2,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$A1560=IMPORTRANGE(""https://docs.google.com/spreadsheets/d/1BJSV3WBYJGRhQ6zExamkszQ5VutGIcaQqmbD9ZTVXMQ/edit#gid=1251630045"",""articles_with_PRISMA_reasons!B2:B2113""))&lt;2),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$A1560=IMPORTRANGE(""https://docs.google.com/spreadsheets/d/1BJSV3WBYJGRhQ6zExamkszQ5VutGIcaQqmbD9ZTVXMQ/edit#gid=1251630045"",""a"&amp;"rticles_with_PRISMA_reasons!B2:B2113""))&lt;2,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$A1560=IMPORTRANGE(""https://docs.google"&amp;".com/spreadsheets/d/1BJSV3WBYJGRhQ6zExamkszQ5VutGIcaQqmbD9ZTVXMQ/edit#gid=1251630045"",""articles_with_PRISMA_reasons!B2:B2113""))&gt;=2),
""Exclude""
)"),"Exclude")</f>
        <v>Exclude</v>
      </c>
      <c r="E1560" s="5" t="str">
        <f>IFERROR(__xludf.DUMMYFUNCTION("IFS(
D1560=""Exclude"",""Exclude"",
AND(
FILTER(IMPORTRANGE(""https://docs.google.com/spreadsheets/d/1qpEmbGH0JjaJbUdp21-y2cPbobDbMjr09BbtdKROZWc/edit#gid=1444865654"",""articles_with_PRISMA_reasons!W2:W2113""), $A1560=IMPORTRANGE(""https://docs.google.co"&amp;"m/spreadsheets/d/1qpEmbGH0JjaJbUdp21-y2cPbobDbMjr09BbtdKROZWc/edit#gid=1444865654"",""articles_with_PRISMA_reasons!B2:B2113""))&gt;=2,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$A1560=IMPORTRANGE(""https://docs.google.com/spreadsheets/d/1qpEmbGH0JjaJbUdp21-y2cPbobDbMjr09BbtdKROZWc/edit#gid=1444865654"",""articles_with_PRISMA_reasons!B2:B2113""))&lt;2),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$A1560=IMPORTRANGE(""https://docs.google.com/spreadsheets/d/1qpEmbGH0JjaJbUdp21-y2cPbobDbMjr09Bbtd"&amp;"KROZWc/edit#gid=1444865654"",""articles_with_PRISMA_reasons!B2:B2113""))&lt;2,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$A1560=I"&amp;"MPORTRANGE(""https://docs.google.com/spreadsheets/d/1qpEmbGH0JjaJbUdp21-y2cPbobDbMjr09BbtdKROZWc/edit#gid=1444865654"",""articles_with_PRISMA_reasons!B2:B2113""))&gt;=2),
""Exclude""
)"),"Exclude")</f>
        <v>Exclude</v>
      </c>
      <c r="F1560" s="5" t="str">
        <f>IFERROR(__xludf.DUMMYFUNCTION("IFS(
E1560=""Exclude"",""Exclude"",
AND(
COUNTIF(
IMPORTRANGE(""https://docs.google.com/spreadsheets/d/1kGrh75X1cNR1D7_FcY9zMnHP8iPO4M5RCRjy6nZY0TY/edit#gid=0"",""Table 1: Study characteristics!B4:B171""),A1560)&gt;0,
COUNTIF(Studies!$A$2:$A$85,FILTER(IMPORT"&amp;"RANGE(""https://docs.google.com/spreadsheets/d/1kGrh75X1cNR1D7_FcY9zMnHP8iPO4M5RCRjy6nZY0TY/edit#gid=0"",""Table 1: Study characteristics!A4:A171""), $A1560=IMPORTRANGE(""https://docs.google.com/spreadsheets/d/1kGrh75X1cNR1D7_FcY9zMnHP8iPO4M5RCRjy6nZY0TY/"&amp;"edit#gid=0"",""Table 1: Study characteristics!B4:B171"")))&gt;0
),
""Include""
)"),"Exclude")</f>
        <v>Exclude</v>
      </c>
      <c r="G1560" s="5" t="str">
        <f>IFERROR(__xludf.DUMMYFUNCTION("IFS(
D1560=""Exclude"",
FILTER(IMPORTRANGE(""https://docs.google.com/spreadsheets/d/1BJSV3WBYJGRhQ6zExamkszQ5VutGIcaQqmbD9ZTVXMQ/edit#gid=1251630045"",""articles_with_PRISMA_reasons!AB2:AB2113""), $A1560=IMPORTRANGE(""https://docs.google.com/spreadsheets/"&amp;"d/1BJSV3WBYJGRhQ6zExamkszQ5VutGIcaQqmbD9ZTVXMQ/edit#gid=1251630045"",""articles_with_PRISMA_reasons!B2:B2113"")),
E1560=""Exclude"",
FILTER(IMPORTRANGE(""https://docs.google.com/spreadsheets/d/1qpEmbGH0JjaJbUdp21-y2cPbobDbMjr09BbtdKROZWc/edit#gid=14448656"&amp;"54"",""articles_with_PRISMA_reasons!Z2:Z2113""), $A1560=IMPORTRANGE(""https://docs.google.com/spreadsheets/d/1qpEmbGH0JjaJbUdp21-y2cPbobDbMjr09BbtdKROZWc/edit#gid=1444865654"",""articles_with_PRISMA_reasons!B2:B2113"")),F1560
=""Include"",FILTER(IMPORTRAN"&amp;"GE(""https://docs.google.com/spreadsheets/d/1kGrh75X1cNR1D7_FcY9zMnHP8iPO4M5RCRjy6nZY0TY/edit#gid=0"",""Table 1: Study characteristics!A4:A171""), $A1560=IMPORTRANGE(""https://docs.google.com/spreadsheets/d/1kGrh75X1cNR1D7_FcY9zMnHP8iPO4M5RCRjy6nZY0TY/edi"&amp;"t#gid=0"",""Table 1: Study characteristics!B4:B171""))
)"),"wrong study design")</f>
        <v>wrong study design</v>
      </c>
    </row>
    <row r="1561">
      <c r="A1561" s="4" t="str">
        <f>IFERROR(__xludf.DUMMYFUNCTION("""COMPUTED_VALUE"""),"Prognosis regarding shunt revision and mortality among hydrocephalus patients below the age of 2 years and the association to patient-related risk factors")</f>
        <v>Prognosis regarding shunt revision and mortality among hydrocephalus patients below the age of 2 years and the association to patient-related risk factors</v>
      </c>
      <c r="B1561" s="5" t="str">
        <f>IFERROR(__xludf.DUMMYFUNCTION("LEFT(FILTER(IMPORTRANGE(""https://docs.google.com/spreadsheets/d/1BJSV3WBYJGRhQ6zExamkszQ5VutGIcaQqmbD9ZTVXMQ/edit#gid=1251630045"",""articles_with_PRISMA_reasons!K2:K2113""), $A1561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$A1561=IMPORTRANGE(""https://docs.google.com/spreadsheets/d/1BJSV3WBYJGRhQ6zExamkszQ5VutGIcaQqmbD9ZTVXMQ/edit#gid=1251630045"",""articles_with_PRISMA_reasons!B2:B2113"")))-1)"),"Gortz")</f>
        <v>Gortz</v>
      </c>
      <c r="C1561" s="6">
        <f>IFERROR(__xludf.DUMMYFUNCTION("FILTER(IMPORTRANGE(""https://docs.google.com/spreadsheets/d/1BJSV3WBYJGRhQ6zExamkszQ5VutGIcaQqmbD9ZTVXMQ/edit#gid=1251630045"",""articles_with_PRISMA_reasons!C2:C2113""), $A1561=IMPORTRANGE(""https://docs.google.com/spreadsheets/d/1BJSV3WBYJGRhQ6zExamkszQ"&amp;"5VutGIcaQqmbD9ZTVXMQ/edit#gid=1251630045"",""articles_with_PRISMA_reasons!B2:B2113""))"),2020.0)</f>
        <v>2020</v>
      </c>
      <c r="D1561" s="5" t="str">
        <f>IFERROR(__xludf.DUMMYFUNCTION("IFS(AND(
FILTER(IMPORTRANGE(""https://docs.google.com/spreadsheets/d/1BJSV3WBYJGRhQ6zExamkszQ5VutGIcaQqmbD9ZTVXMQ/edit#gid=1251630045"",""articles_with_PRISMA_reasons!Y2:Y2113""), $A1561=IMPORTRANGE(""https://docs.google.com/spreadsheets/d/1BJSV3WBYJGRhQ6"&amp;"zExamkszQ5VutGIcaQqmbD9ZTVXMQ/edit#gid=1251630045"",""articles_with_PRISMA_reasons!B2:B2113""))&gt;=2,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$A1561=IMPORTRANGE(""https://docs.google.com/spreadsheets/d/1BJSV3WBYJGRhQ6zExamkszQ5VutGIcaQqmbD9ZTVXMQ/edit#gid=1251630045"",""articles_with_PRISMA_reasons!B2:B2113""))&lt;2),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$A1561=IMPORTRANGE(""https://docs.google.com/spreadsheets/d/1BJSV3WBYJGRhQ6zExamkszQ5VutGIcaQqmbD9ZTVXMQ/edit#gid=1251630045"",""a"&amp;"rticles_with_PRISMA_reasons!B2:B2113""))&lt;2,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$A1561=IMPORTRANGE(""https://docs.google"&amp;".com/spreadsheets/d/1BJSV3WBYJGRhQ6zExamkszQ5VutGIcaQqmbD9ZTVXMQ/edit#gid=1251630045"",""articles_with_PRISMA_reasons!B2:B2113""))&gt;=2),
""Exclude""
)"),"Include")</f>
        <v>Include</v>
      </c>
      <c r="E1561" s="5" t="str">
        <f>IFERROR(__xludf.DUMMYFUNCTION("IFS(
D1561=""Exclude"",""Exclude"",
AND(
FILTER(IMPORTRANGE(""https://docs.google.com/spreadsheets/d/1qpEmbGH0JjaJbUdp21-y2cPbobDbMjr09BbtdKROZWc/edit#gid=1444865654"",""articles_with_PRISMA_reasons!W2:W2113""), $A1561=IMPORTRANGE(""https://docs.google.co"&amp;"m/spreadsheets/d/1qpEmbGH0JjaJbUdp21-y2cPbobDbMjr09BbtdKROZWc/edit#gid=1444865654"",""articles_with_PRISMA_reasons!B2:B2113""))&gt;=2,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$A1561=IMPORTRANGE(""https://docs.google.com/spreadsheets/d/1qpEmbGH0JjaJbUdp21-y2cPbobDbMjr09BbtdKROZWc/edit#gid=1444865654"",""articles_with_PRISMA_reasons!B2:B2113""))&lt;2),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$A1561=IMPORTRANGE(""https://docs.google.com/spreadsheets/d/1qpEmbGH0JjaJbUdp21-y2cPbobDbMjr09Bbtd"&amp;"KROZWc/edit#gid=1444865654"",""articles_with_PRISMA_reasons!B2:B2113""))&lt;2,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$A1561=I"&amp;"MPORTRANGE(""https://docs.google.com/spreadsheets/d/1qpEmbGH0JjaJbUdp21-y2cPbobDbMjr09BbtdKROZWc/edit#gid=1444865654"",""articles_with_PRISMA_reasons!B2:B2113""))&gt;=2),
""Exclude""
)"),"Include")</f>
        <v>Include</v>
      </c>
      <c r="F1561" s="2" t="s">
        <v>8</v>
      </c>
      <c r="G1561" s="2" t="s">
        <v>17</v>
      </c>
    </row>
    <row r="1562">
      <c r="A1562" s="4" t="str">
        <f>IFERROR(__xludf.DUMMYFUNCTION("""COMPUTED_VALUE"""),"Progressive hydrocephalus despite early complete reversal of hindbrain herniation after prenatal open myelomeningocele repair")</f>
        <v>Progressive hydrocephalus despite early complete reversal of hindbrain herniation after prenatal open myelomeningocele repair</v>
      </c>
      <c r="B1562" s="5" t="str">
        <f>IFERROR(__xludf.DUMMYFUNCTION("LEFT(FILTER(IMPORTRANGE(""https://docs.google.com/spreadsheets/d/1BJSV3WBYJGRhQ6zExamkszQ5VutGIcaQqmbD9ZTVXMQ/edit#gid=1251630045"",""articles_with_PRISMA_reasons!K2:K2113""), $A1562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$A1562=IMPORTRANGE(""https://docs.google.com/spreadsheets/d/1BJSV3WBYJGRhQ6zExamkszQ5VutGIcaQqmbD9ZTVXMQ/edit#gid=1251630045"",""articles_with_PRISMA_reasons!B2:B2113"")))-1)"),"Lu")</f>
        <v>Lu</v>
      </c>
      <c r="C1562" s="6">
        <f>IFERROR(__xludf.DUMMYFUNCTION("FILTER(IMPORTRANGE(""https://docs.google.com/spreadsheets/d/1BJSV3WBYJGRhQ6zExamkszQ5VutGIcaQqmbD9ZTVXMQ/edit#gid=1251630045"",""articles_with_PRISMA_reasons!C2:C2113""), $A1562=IMPORTRANGE(""https://docs.google.com/spreadsheets/d/1BJSV3WBYJGRhQ6zExamkszQ"&amp;"5VutGIcaQqmbD9ZTVXMQ/edit#gid=1251630045"",""articles_with_PRISMA_reasons!B2:B2113""))"),2019.0)</f>
        <v>2019</v>
      </c>
      <c r="D1562" s="5" t="str">
        <f>IFERROR(__xludf.DUMMYFUNCTION("IFS(AND(
FILTER(IMPORTRANGE(""https://docs.google.com/spreadsheets/d/1BJSV3WBYJGRhQ6zExamkszQ5VutGIcaQqmbD9ZTVXMQ/edit#gid=1251630045"",""articles_with_PRISMA_reasons!Y2:Y2113""), $A1562=IMPORTRANGE(""https://docs.google.com/spreadsheets/d/1BJSV3WBYJGRhQ6"&amp;"zExamkszQ5VutGIcaQqmbD9ZTVXMQ/edit#gid=1251630045"",""articles_with_PRISMA_reasons!B2:B2113""))&gt;=2,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$A1562=IMPORTRANGE(""https://docs.google.com/spreadsheets/d/1BJSV3WBYJGRhQ6zExamkszQ5VutGIcaQqmbD9ZTVXMQ/edit#gid=1251630045"",""articles_with_PRISMA_reasons!B2:B2113""))&lt;2),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$A1562=IMPORTRANGE(""https://docs.google.com/spreadsheets/d/1BJSV3WBYJGRhQ6zExamkszQ5VutGIcaQqmbD9ZTVXMQ/edit#gid=1251630045"",""a"&amp;"rticles_with_PRISMA_reasons!B2:B2113""))&lt;2,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$A1562=IMPORTRANGE(""https://docs.google"&amp;".com/spreadsheets/d/1BJSV3WBYJGRhQ6zExamkszQ5VutGIcaQqmbD9ZTVXMQ/edit#gid=1251630045"",""articles_with_PRISMA_reasons!B2:B2113""))&gt;=2),
""Exclude""
)"),"Include")</f>
        <v>Include</v>
      </c>
      <c r="E1562" s="5" t="str">
        <f>IFERROR(__xludf.DUMMYFUNCTION("IFS(
D1562=""Exclude"",""Exclude"",
AND(
FILTER(IMPORTRANGE(""https://docs.google.com/spreadsheets/d/1qpEmbGH0JjaJbUdp21-y2cPbobDbMjr09BbtdKROZWc/edit#gid=1444865654"",""articles_with_PRISMA_reasons!W2:W2113""), $A1562=IMPORTRANGE(""https://docs.google.co"&amp;"m/spreadsheets/d/1qpEmbGH0JjaJbUdp21-y2cPbobDbMjr09BbtdKROZWc/edit#gid=1444865654"",""articles_with_PRISMA_reasons!B2:B2113""))&gt;=2,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$A1562=IMPORTRANGE(""https://docs.google.com/spreadsheets/d/1qpEmbGH0JjaJbUdp21-y2cPbobDbMjr09BbtdKROZWc/edit#gid=1444865654"",""articles_with_PRISMA_reasons!B2:B2113""))&lt;2),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$A1562=IMPORTRANGE(""https://docs.google.com/spreadsheets/d/1qpEmbGH0JjaJbUdp21-y2cPbobDbMjr09Bbtd"&amp;"KROZWc/edit#gid=1444865654"",""articles_with_PRISMA_reasons!B2:B2113""))&lt;2,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$A1562=I"&amp;"MPORTRANGE(""https://docs.google.com/spreadsheets/d/1qpEmbGH0JjaJbUdp21-y2cPbobDbMjr09BbtdKROZWc/edit#gid=1444865654"",""articles_with_PRISMA_reasons!B2:B2113""))&gt;=2),
""Exclude""
)"),"Include")</f>
        <v>Include</v>
      </c>
      <c r="F1562" s="5" t="str">
        <f>IFERROR(__xludf.DUMMYFUNCTION("IFS(
E1562=""Exclude"",""Exclude"",
AND(
COUNTIF(
IMPORTRANGE(""https://docs.google.com/spreadsheets/d/1kGrh75X1cNR1D7_FcY9zMnHP8iPO4M5RCRjy6nZY0TY/edit#gid=0"",""Table 1: Study characteristics!B4:B171""),A1562)&gt;0,
COUNTIF(Studies!$A$2:$A$85,FILTER(IMPORT"&amp;"RANGE(""https://docs.google.com/spreadsheets/d/1kGrh75X1cNR1D7_FcY9zMnHP8iPO4M5RCRjy6nZY0TY/edit#gid=0"",""Table 1: Study characteristics!A4:A171""), $A1562=IMPORTRANGE(""https://docs.google.com/spreadsheets/d/1kGrh75X1cNR1D7_FcY9zMnHP8iPO4M5RCRjy6nZY0TY/"&amp;"edit#gid=0"",""Table 1: Study characteristics!B4:B171"")))&gt;0
),
""Include""
)"),"Include")</f>
        <v>Include</v>
      </c>
      <c r="G1562" s="5" t="str">
        <f>IFERROR(__xludf.DUMMYFUNCTION("IFS(
D1562=""Exclude"",
FILTER(IMPORTRANGE(""https://docs.google.com/spreadsheets/d/1BJSV3WBYJGRhQ6zExamkszQ5VutGIcaQqmbD9ZTVXMQ/edit#gid=1251630045"",""articles_with_PRISMA_reasons!AB2:AB2113""), $A1562=IMPORTRANGE(""https://docs.google.com/spreadsheets/"&amp;"d/1BJSV3WBYJGRhQ6zExamkszQ5VutGIcaQqmbD9ZTVXMQ/edit#gid=1251630045"",""articles_with_PRISMA_reasons!B2:B2113"")),
E1562=""Exclude"",
FILTER(IMPORTRANGE(""https://docs.google.com/spreadsheets/d/1qpEmbGH0JjaJbUdp21-y2cPbobDbMjr09BbtdKROZWc/edit#gid=14448656"&amp;"54"",""articles_with_PRISMA_reasons!Z2:Z2113""), $A1562=IMPORTRANGE(""https://docs.google.com/spreadsheets/d/1qpEmbGH0JjaJbUdp21-y2cPbobDbMjr09BbtdKROZWc/edit#gid=1444865654"",""articles_with_PRISMA_reasons!B2:B2113"")),F1562
=""Include"",FILTER(IMPORTRAN"&amp;"GE(""https://docs.google.com/spreadsheets/d/1kGrh75X1cNR1D7_FcY9zMnHP8iPO4M5RCRjy6nZY0TY/edit#gid=0"",""Table 1: Study characteristics!A4:A171""), $A1562=IMPORTRANGE(""https://docs.google.com/spreadsheets/d/1kGrh75X1cNR1D7_FcY9zMnHP8iPO4M5RCRjy6nZY0TY/edi"&amp;"t#gid=0"",""Table 1: Study characteristics!B4:B171""))
)"),"ID 104")</f>
        <v>ID 104</v>
      </c>
    </row>
    <row r="1563">
      <c r="A1563" s="4" t="str">
        <f>IFERROR(__xludf.DUMMYFUNCTION("""COMPUTED_VALUE"""),"Progressive myelopathy due to meningeal thickening in shunted patients: Description of a novel entity and the role of surgery")</f>
        <v>Progressive myelopathy due to meningeal thickening in shunted patients: Description of a novel entity and the role of surgery</v>
      </c>
      <c r="B1563" s="5" t="str">
        <f>IFERROR(__xludf.DUMMYFUNCTION("LEFT(FILTER(IMPORTRANGE(""https://docs.google.com/spreadsheets/d/1BJSV3WBYJGRhQ6zExamkszQ5VutGIcaQqmbD9ZTVXMQ/edit#gid=1251630045"",""articles_with_PRISMA_reasons!K2:K2113""), $A1563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$A1563=IMPORTRANGE(""https://docs.google.com/spreadsheets/d/1BJSV3WBYJGRhQ6zExamkszQ5VutGIcaQqmbD9ZTVXMQ/edit#gid=1251630045"",""articles_with_PRISMA_reasons!B2:B2113"")))-1)"),"Steinbok")</f>
        <v>Steinbok</v>
      </c>
      <c r="C1563" s="6">
        <f>IFERROR(__xludf.DUMMYFUNCTION("FILTER(IMPORTRANGE(""https://docs.google.com/spreadsheets/d/1BJSV3WBYJGRhQ6zExamkszQ5VutGIcaQqmbD9ZTVXMQ/edit#gid=1251630045"",""articles_with_PRISMA_reasons!C2:C2113""), $A1563=IMPORTRANGE(""https://docs.google.com/spreadsheets/d/1BJSV3WBYJGRhQ6zExamkszQ"&amp;"5VutGIcaQqmbD9ZTVXMQ/edit#gid=1251630045"",""articles_with_PRISMA_reasons!B2:B2113""))"),2007.0)</f>
        <v>2007</v>
      </c>
      <c r="D1563" s="5" t="str">
        <f>IFERROR(__xludf.DUMMYFUNCTION("IFS(AND(
FILTER(IMPORTRANGE(""https://docs.google.com/spreadsheets/d/1BJSV3WBYJGRhQ6zExamkszQ5VutGIcaQqmbD9ZTVXMQ/edit#gid=1251630045"",""articles_with_PRISMA_reasons!Y2:Y2113""), $A1563=IMPORTRANGE(""https://docs.google.com/spreadsheets/d/1BJSV3WBYJGRhQ6"&amp;"zExamkszQ5VutGIcaQqmbD9ZTVXMQ/edit#gid=1251630045"",""articles_with_PRISMA_reasons!B2:B2113""))&gt;=2,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$A1563=IMPORTRANGE(""https://docs.google.com/spreadsheets/d/1BJSV3WBYJGRhQ6zExamkszQ5VutGIcaQqmbD9ZTVXMQ/edit#gid=1251630045"",""articles_with_PRISMA_reasons!B2:B2113""))&lt;2),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$A1563=IMPORTRANGE(""https://docs.google.com/spreadsheets/d/1BJSV3WBYJGRhQ6zExamkszQ5VutGIcaQqmbD9ZTVXMQ/edit#gid=1251630045"",""a"&amp;"rticles_with_PRISMA_reasons!B2:B2113""))&lt;2,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$A1563=IMPORTRANGE(""https://docs.google"&amp;".com/spreadsheets/d/1BJSV3WBYJGRhQ6zExamkszQ5VutGIcaQqmbD9ZTVXMQ/edit#gid=1251630045"",""articles_with_PRISMA_reasons!B2:B2113""))&gt;=2),
""Exclude""
)"),"Exclude")</f>
        <v>Exclude</v>
      </c>
      <c r="E1563" s="5" t="str">
        <f>IFERROR(__xludf.DUMMYFUNCTION("IFS(
D1563=""Exclude"",""Exclude"",
AND(
FILTER(IMPORTRANGE(""https://docs.google.com/spreadsheets/d/1qpEmbGH0JjaJbUdp21-y2cPbobDbMjr09BbtdKROZWc/edit#gid=1444865654"",""articles_with_PRISMA_reasons!W2:W2113""), $A1563=IMPORTRANGE(""https://docs.google.co"&amp;"m/spreadsheets/d/1qpEmbGH0JjaJbUdp21-y2cPbobDbMjr09BbtdKROZWc/edit#gid=1444865654"",""articles_with_PRISMA_reasons!B2:B2113""))&gt;=2,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$A1563=IMPORTRANGE(""https://docs.google.com/spreadsheets/d/1qpEmbGH0JjaJbUdp21-y2cPbobDbMjr09BbtdKROZWc/edit#gid=1444865654"",""articles_with_PRISMA_reasons!B2:B2113""))&lt;2),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$A1563=IMPORTRANGE(""https://docs.google.com/spreadsheets/d/1qpEmbGH0JjaJbUdp21-y2cPbobDbMjr09Bbtd"&amp;"KROZWc/edit#gid=1444865654"",""articles_with_PRISMA_reasons!B2:B2113""))&lt;2,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$A1563=I"&amp;"MPORTRANGE(""https://docs.google.com/spreadsheets/d/1qpEmbGH0JjaJbUdp21-y2cPbobDbMjr09BbtdKROZWc/edit#gid=1444865654"",""articles_with_PRISMA_reasons!B2:B2113""))&gt;=2),
""Exclude""
)"),"Exclude")</f>
        <v>Exclude</v>
      </c>
      <c r="F1563" s="5" t="str">
        <f>IFERROR(__xludf.DUMMYFUNCTION("IFS(
E1563=""Exclude"",""Exclude"",
AND(
COUNTIF(
IMPORTRANGE(""https://docs.google.com/spreadsheets/d/1kGrh75X1cNR1D7_FcY9zMnHP8iPO4M5RCRjy6nZY0TY/edit#gid=0"",""Table 1: Study characteristics!B4:B171""),A1563)&gt;0,
COUNTIF(Studies!$A$2:$A$85,FILTER(IMPORT"&amp;"RANGE(""https://docs.google.com/spreadsheets/d/1kGrh75X1cNR1D7_FcY9zMnHP8iPO4M5RCRjy6nZY0TY/edit#gid=0"",""Table 1: Study characteristics!A4:A171""), $A1563=IMPORTRANGE(""https://docs.google.com/spreadsheets/d/1kGrh75X1cNR1D7_FcY9zMnHP8iPO4M5RCRjy6nZY0TY/"&amp;"edit#gid=0"",""Table 1: Study characteristics!B4:B171"")))&gt;0
),
""Include""
)"),"Exclude")</f>
        <v>Exclude</v>
      </c>
      <c r="G1563" s="5" t="str">
        <f>IFERROR(__xludf.DUMMYFUNCTION("IFS(
D1563=""Exclude"",
FILTER(IMPORTRANGE(""https://docs.google.com/spreadsheets/d/1BJSV3WBYJGRhQ6zExamkszQ5VutGIcaQqmbD9ZTVXMQ/edit#gid=1251630045"",""articles_with_PRISMA_reasons!AB2:AB2113""), $A1563=IMPORTRANGE(""https://docs.google.com/spreadsheets/"&amp;"d/1BJSV3WBYJGRhQ6zExamkszQ5VutGIcaQqmbD9ZTVXMQ/edit#gid=1251630045"",""articles_with_PRISMA_reasons!B2:B2113"")),
E1563=""Exclude"",
FILTER(IMPORTRANGE(""https://docs.google.com/spreadsheets/d/1qpEmbGH0JjaJbUdp21-y2cPbobDbMjr09BbtdKROZWc/edit#gid=14448656"&amp;"54"",""articles_with_PRISMA_reasons!Z2:Z2113""), $A1563=IMPORTRANGE(""https://docs.google.com/spreadsheets/d/1qpEmbGH0JjaJbUdp21-y2cPbobDbMjr09BbtdKROZWc/edit#gid=1444865654"",""articles_with_PRISMA_reasons!B2:B2113"")),F1563
=""Include"",FILTER(IMPORTRAN"&amp;"GE(""https://docs.google.com/spreadsheets/d/1kGrh75X1cNR1D7_FcY9zMnHP8iPO4M5RCRjy6nZY0TY/edit#gid=0"",""Table 1: Study characteristics!A4:A171""), $A1563=IMPORTRANGE(""https://docs.google.com/spreadsheets/d/1kGrh75X1cNR1D7_FcY9zMnHP8iPO4M5RCRjy6nZY0TY/edi"&amp;"t#gid=0"",""Table 1: Study characteristics!B4:B171""))
)"),"wrong population")</f>
        <v>wrong population</v>
      </c>
    </row>
    <row r="1564">
      <c r="A1564" s="4" t="str">
        <f>IFERROR(__xludf.DUMMYFUNCTION("""COMPUTED_VALUE"""),"Progressive neurological deficit in children with spina bifida aperta")</f>
        <v>Progressive neurological deficit in children with spina bifida aperta</v>
      </c>
      <c r="B1564" s="5" t="str">
        <f>IFERROR(__xludf.DUMMYFUNCTION("LEFT(FILTER(IMPORTRANGE(""https://docs.google.com/spreadsheets/d/1BJSV3WBYJGRhQ6zExamkszQ5VutGIcaQqmbD9ZTVXMQ/edit#gid=1251630045"",""articles_with_PRISMA_reasons!K2:K2113""), $A1564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$A1564=IMPORTRANGE(""https://docs.google.com/spreadsheets/d/1BJSV3WBYJGRhQ6zExamkszQ5VutGIcaQqmbD9ZTVXMQ/edit#gid=1251630045"",""articles_with_PRISMA_reasons!B2:B2113"")))-1)"),"Begeer")</f>
        <v>Begeer</v>
      </c>
      <c r="C1564" s="6">
        <f>IFERROR(__xludf.DUMMYFUNCTION("FILTER(IMPORTRANGE(""https://docs.google.com/spreadsheets/d/1BJSV3WBYJGRhQ6zExamkszQ5VutGIcaQqmbD9ZTVXMQ/edit#gid=1251630045"",""articles_with_PRISMA_reasons!C2:C2113""), $A1564=IMPORTRANGE(""https://docs.google.com/spreadsheets/d/1BJSV3WBYJGRhQ6zExamkszQ"&amp;"5VutGIcaQqmbD9ZTVXMQ/edit#gid=1251630045"",""articles_with_PRISMA_reasons!B2:B2113""))"),1986.0)</f>
        <v>1986</v>
      </c>
      <c r="D1564" s="5" t="str">
        <f>IFERROR(__xludf.DUMMYFUNCTION("IFS(AND(
FILTER(IMPORTRANGE(""https://docs.google.com/spreadsheets/d/1BJSV3WBYJGRhQ6zExamkszQ5VutGIcaQqmbD9ZTVXMQ/edit#gid=1251630045"",""articles_with_PRISMA_reasons!Y2:Y2113""), $A1564=IMPORTRANGE(""https://docs.google.com/spreadsheets/d/1BJSV3WBYJGRhQ6"&amp;"zExamkszQ5VutGIcaQqmbD9ZTVXMQ/edit#gid=1251630045"",""articles_with_PRISMA_reasons!B2:B2113""))&gt;=2,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$A1564=IMPORTRANGE(""https://docs.google.com/spreadsheets/d/1BJSV3WBYJGRhQ6zExamkszQ5VutGIcaQqmbD9ZTVXMQ/edit#gid=1251630045"",""articles_with_PRISMA_reasons!B2:B2113""))&lt;2),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$A1564=IMPORTRANGE(""https://docs.google.com/spreadsheets/d/1BJSV3WBYJGRhQ6zExamkszQ5VutGIcaQqmbD9ZTVXMQ/edit#gid=1251630045"",""a"&amp;"rticles_with_PRISMA_reasons!B2:B2113""))&lt;2,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$A1564=IMPORTRANGE(""https://docs.google"&amp;".com/spreadsheets/d/1BJSV3WBYJGRhQ6zExamkszQ5VutGIcaQqmbD9ZTVXMQ/edit#gid=1251630045"",""articles_with_PRISMA_reasons!B2:B2113""))&gt;=2),
""Exclude""
)"),"Exclude")</f>
        <v>Exclude</v>
      </c>
      <c r="E1564" s="5" t="str">
        <f>IFERROR(__xludf.DUMMYFUNCTION("IFS(
D1564=""Exclude"",""Exclude"",
AND(
FILTER(IMPORTRANGE(""https://docs.google.com/spreadsheets/d/1qpEmbGH0JjaJbUdp21-y2cPbobDbMjr09BbtdKROZWc/edit#gid=1444865654"",""articles_with_PRISMA_reasons!W2:W2113""), $A1564=IMPORTRANGE(""https://docs.google.co"&amp;"m/spreadsheets/d/1qpEmbGH0JjaJbUdp21-y2cPbobDbMjr09BbtdKROZWc/edit#gid=1444865654"",""articles_with_PRISMA_reasons!B2:B2113""))&gt;=2,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$A1564=IMPORTRANGE(""https://docs.google.com/spreadsheets/d/1qpEmbGH0JjaJbUdp21-y2cPbobDbMjr09BbtdKROZWc/edit#gid=1444865654"",""articles_with_PRISMA_reasons!B2:B2113""))&lt;2),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$A1564=IMPORTRANGE(""https://docs.google.com/spreadsheets/d/1qpEmbGH0JjaJbUdp21-y2cPbobDbMjr09Bbtd"&amp;"KROZWc/edit#gid=1444865654"",""articles_with_PRISMA_reasons!B2:B2113""))&lt;2,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$A1564=I"&amp;"MPORTRANGE(""https://docs.google.com/spreadsheets/d/1qpEmbGH0JjaJbUdp21-y2cPbobDbMjr09BbtdKROZWc/edit#gid=1444865654"",""articles_with_PRISMA_reasons!B2:B2113""))&gt;=2),
""Exclude""
)"),"Exclude")</f>
        <v>Exclude</v>
      </c>
      <c r="F1564" s="5" t="str">
        <f>IFERROR(__xludf.DUMMYFUNCTION("IFS(
E1564=""Exclude"",""Exclude"",
AND(
COUNTIF(
IMPORTRANGE(""https://docs.google.com/spreadsheets/d/1kGrh75X1cNR1D7_FcY9zMnHP8iPO4M5RCRjy6nZY0TY/edit#gid=0"",""Table 1: Study characteristics!B4:B171""),A1564)&gt;0,
COUNTIF(Studies!$A$2:$A$85,FILTER(IMPORT"&amp;"RANGE(""https://docs.google.com/spreadsheets/d/1kGrh75X1cNR1D7_FcY9zMnHP8iPO4M5RCRjy6nZY0TY/edit#gid=0"",""Table 1: Study characteristics!A4:A171""), $A1564=IMPORTRANGE(""https://docs.google.com/spreadsheets/d/1kGrh75X1cNR1D7_FcY9zMnHP8iPO4M5RCRjy6nZY0TY/"&amp;"edit#gid=0"",""Table 1: Study characteristics!B4:B171"")))&gt;0
),
""Include""
)"),"Exclude")</f>
        <v>Exclude</v>
      </c>
      <c r="G1564" s="5" t="str">
        <f>IFERROR(__xludf.DUMMYFUNCTION("IFS(
D1564=""Exclude"",
FILTER(IMPORTRANGE(""https://docs.google.com/spreadsheets/d/1BJSV3WBYJGRhQ6zExamkszQ5VutGIcaQqmbD9ZTVXMQ/edit#gid=1251630045"",""articles_with_PRISMA_reasons!AB2:AB2113""), $A1564=IMPORTRANGE(""https://docs.google.com/spreadsheets/"&amp;"d/1BJSV3WBYJGRhQ6zExamkszQ5VutGIcaQqmbD9ZTVXMQ/edit#gid=1251630045"",""articles_with_PRISMA_reasons!B2:B2113"")),
E1564=""Exclude"",
FILTER(IMPORTRANGE(""https://docs.google.com/spreadsheets/d/1qpEmbGH0JjaJbUdp21-y2cPbobDbMjr09BbtdKROZWc/edit#gid=14448656"&amp;"54"",""articles_with_PRISMA_reasons!Z2:Z2113""), $A1564=IMPORTRANGE(""https://docs.google.com/spreadsheets/d/1qpEmbGH0JjaJbUdp21-y2cPbobDbMjr09BbtdKROZWc/edit#gid=1444865654"",""articles_with_PRISMA_reasons!B2:B2113"")),F1564
=""Include"",FILTER(IMPORTRAN"&amp;"GE(""https://docs.google.com/spreadsheets/d/1kGrh75X1cNR1D7_FcY9zMnHP8iPO4M5RCRjy6nZY0TY/edit#gid=0"",""Table 1: Study characteristics!A4:A171""), $A1564=IMPORTRANGE(""https://docs.google.com/spreadsheets/d/1kGrh75X1cNR1D7_FcY9zMnHP8iPO4M5RCRjy6nZY0TY/edi"&amp;"t#gid=0"",""Table 1: Study characteristics!B4:B171""))
)"),"wrong intervention")</f>
        <v>wrong intervention</v>
      </c>
    </row>
    <row r="1565">
      <c r="A1565" s="4" t="str">
        <f>IFERROR(__xludf.DUMMYFUNCTION("""COMPUTED_VALUE"""),"Projected impact of mandatory food fortification with folic acid on neurosurgical capacity needed for treating spina bifida in Ethiopia")</f>
        <v>Projected impact of mandatory food fortification with folic acid on neurosurgical capacity needed for treating spina bifida in Ethiopia</v>
      </c>
      <c r="B1565" s="5" t="str">
        <f>IFERROR(__xludf.DUMMYFUNCTION("LEFT(FILTER(IMPORTRANGE(""https://docs.google.com/spreadsheets/d/1BJSV3WBYJGRhQ6zExamkszQ5VutGIcaQqmbD9ZTVXMQ/edit#gid=1251630045"",""articles_with_PRISMA_reasons!K2:K2113""), $A1565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$A1565=IMPORTRANGE(""https://docs.google.com/spreadsheets/d/1BJSV3WBYJGRhQ6zExamkszQ5VutGIcaQqmbD9ZTVXMQ/edit#gid=1251630045"",""articles_with_PRISMA_reasons!B2:B2113"")))-1)"),"Kancherla")</f>
        <v>Kancherla</v>
      </c>
      <c r="C1565" s="6">
        <f>IFERROR(__xludf.DUMMYFUNCTION("FILTER(IMPORTRANGE(""https://docs.google.com/spreadsheets/d/1BJSV3WBYJGRhQ6zExamkszQ5VutGIcaQqmbD9ZTVXMQ/edit#gid=1251630045"",""articles_with_PRISMA_reasons!C2:C2113""), $A1565=IMPORTRANGE(""https://docs.google.com/spreadsheets/d/1BJSV3WBYJGRhQ6zExamkszQ"&amp;"5VutGIcaQqmbD9ZTVXMQ/edit#gid=1251630045"",""articles_with_PRISMA_reasons!B2:B2113""))"),2021.0)</f>
        <v>2021</v>
      </c>
      <c r="D1565" s="5" t="str">
        <f>IFERROR(__xludf.DUMMYFUNCTION("IFS(AND(
FILTER(IMPORTRANGE(""https://docs.google.com/spreadsheets/d/1BJSV3WBYJGRhQ6zExamkszQ5VutGIcaQqmbD9ZTVXMQ/edit#gid=1251630045"",""articles_with_PRISMA_reasons!Y2:Y2113""), $A1565=IMPORTRANGE(""https://docs.google.com/spreadsheets/d/1BJSV3WBYJGRhQ6"&amp;"zExamkszQ5VutGIcaQqmbD9ZTVXMQ/edit#gid=1251630045"",""articles_with_PRISMA_reasons!B2:B2113""))&gt;=2,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$A1565=IMPORTRANGE(""https://docs.google.com/spreadsheets/d/1BJSV3WBYJGRhQ6zExamkszQ5VutGIcaQqmbD9ZTVXMQ/edit#gid=1251630045"",""articles_with_PRISMA_reasons!B2:B2113""))&lt;2),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$A1565=IMPORTRANGE(""https://docs.google.com/spreadsheets/d/1BJSV3WBYJGRhQ6zExamkszQ5VutGIcaQqmbD9ZTVXMQ/edit#gid=1251630045"",""a"&amp;"rticles_with_PRISMA_reasons!B2:B2113""))&lt;2,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$A1565=IMPORTRANGE(""https://docs.google"&amp;".com/spreadsheets/d/1BJSV3WBYJGRhQ6zExamkszQ5VutGIcaQqmbD9ZTVXMQ/edit#gid=1251630045"",""articles_with_PRISMA_reasons!B2:B2113""))&gt;=2),
""Exclude""
)"),"Exclude")</f>
        <v>Exclude</v>
      </c>
      <c r="E1565" s="5" t="str">
        <f>IFERROR(__xludf.DUMMYFUNCTION("IFS(
D1565=""Exclude"",""Exclude"",
AND(
FILTER(IMPORTRANGE(""https://docs.google.com/spreadsheets/d/1qpEmbGH0JjaJbUdp21-y2cPbobDbMjr09BbtdKROZWc/edit#gid=1444865654"",""articles_with_PRISMA_reasons!W2:W2113""), $A1565=IMPORTRANGE(""https://docs.google.co"&amp;"m/spreadsheets/d/1qpEmbGH0JjaJbUdp21-y2cPbobDbMjr09BbtdKROZWc/edit#gid=1444865654"",""articles_with_PRISMA_reasons!B2:B2113""))&gt;=2,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$A1565=IMPORTRANGE(""https://docs.google.com/spreadsheets/d/1qpEmbGH0JjaJbUdp21-y2cPbobDbMjr09BbtdKROZWc/edit#gid=1444865654"",""articles_with_PRISMA_reasons!B2:B2113""))&lt;2),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$A1565=IMPORTRANGE(""https://docs.google.com/spreadsheets/d/1qpEmbGH0JjaJbUdp21-y2cPbobDbMjr09Bbtd"&amp;"KROZWc/edit#gid=1444865654"",""articles_with_PRISMA_reasons!B2:B2113""))&lt;2,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$A1565=I"&amp;"MPORTRANGE(""https://docs.google.com/spreadsheets/d/1qpEmbGH0JjaJbUdp21-y2cPbobDbMjr09BbtdKROZWc/edit#gid=1444865654"",""articles_with_PRISMA_reasons!B2:B2113""))&gt;=2),
""Exclude""
)"),"Exclude")</f>
        <v>Exclude</v>
      </c>
      <c r="F1565" s="5" t="str">
        <f>IFERROR(__xludf.DUMMYFUNCTION("IFS(
E1565=""Exclude"",""Exclude"",
AND(
COUNTIF(
IMPORTRANGE(""https://docs.google.com/spreadsheets/d/1kGrh75X1cNR1D7_FcY9zMnHP8iPO4M5RCRjy6nZY0TY/edit#gid=0"",""Table 1: Study characteristics!B4:B171""),A1565)&gt;0,
COUNTIF(Studies!$A$2:$A$85,FILTER(IMPORT"&amp;"RANGE(""https://docs.google.com/spreadsheets/d/1kGrh75X1cNR1D7_FcY9zMnHP8iPO4M5RCRjy6nZY0TY/edit#gid=0"",""Table 1: Study characteristics!A4:A171""), $A1565=IMPORTRANGE(""https://docs.google.com/spreadsheets/d/1kGrh75X1cNR1D7_FcY9zMnHP8iPO4M5RCRjy6nZY0TY/"&amp;"edit#gid=0"",""Table 1: Study characteristics!B4:B171"")))&gt;0
),
""Include""
)"),"Exclude")</f>
        <v>Exclude</v>
      </c>
      <c r="G1565" s="5" t="str">
        <f>IFERROR(__xludf.DUMMYFUNCTION("IFS(
D1565=""Exclude"",
FILTER(IMPORTRANGE(""https://docs.google.com/spreadsheets/d/1BJSV3WBYJGRhQ6zExamkszQ5VutGIcaQqmbD9ZTVXMQ/edit#gid=1251630045"",""articles_with_PRISMA_reasons!AB2:AB2113""), $A1565=IMPORTRANGE(""https://docs.google.com/spreadsheets/"&amp;"d/1BJSV3WBYJGRhQ6zExamkszQ5VutGIcaQqmbD9ZTVXMQ/edit#gid=1251630045"",""articles_with_PRISMA_reasons!B2:B2113"")),
E1565=""Exclude"",
FILTER(IMPORTRANGE(""https://docs.google.com/spreadsheets/d/1qpEmbGH0JjaJbUdp21-y2cPbobDbMjr09BbtdKROZWc/edit#gid=14448656"&amp;"54"",""articles_with_PRISMA_reasons!Z2:Z2113""), $A1565=IMPORTRANGE(""https://docs.google.com/spreadsheets/d/1qpEmbGH0JjaJbUdp21-y2cPbobDbMjr09BbtdKROZWc/edit#gid=1444865654"",""articles_with_PRISMA_reasons!B2:B2113"")),F1565
=""Include"",FILTER(IMPORTRAN"&amp;"GE(""https://docs.google.com/spreadsheets/d/1kGrh75X1cNR1D7_FcY9zMnHP8iPO4M5RCRjy6nZY0TY/edit#gid=0"",""Table 1: Study characteristics!A4:A171""), $A1565=IMPORTRANGE(""https://docs.google.com/spreadsheets/d/1kGrh75X1cNR1D7_FcY9zMnHP8iPO4M5RCRjy6nZY0TY/edi"&amp;"t#gid=0"",""Table 1: Study characteristics!B4:B171""))
)"),"wrong population")</f>
        <v>wrong population</v>
      </c>
    </row>
    <row r="1566">
      <c r="A1566" s="4" t="str">
        <f>IFERROR(__xludf.DUMMYFUNCTION("""COMPUTED_VALUE"""),"Promoting physical activity in an adolescent and a young adult with physical disabilities")</f>
        <v>Promoting physical activity in an adolescent and a young adult with physical disabilities</v>
      </c>
      <c r="B1566" s="5" t="str">
        <f>IFERROR(__xludf.DUMMYFUNCTION("LEFT(FILTER(IMPORTRANGE(""https://docs.google.com/spreadsheets/d/1BJSV3WBYJGRhQ6zExamkszQ5VutGIcaQqmbD9ZTVXMQ/edit#gid=1251630045"",""articles_with_PRISMA_reasons!K2:K2113""), $A1566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$A1566=IMPORTRANGE(""https://docs.google.com/spreadsheets/d/1BJSV3WBYJGRhQ6zExamkszQ5VutGIcaQqmbD9ZTVXMQ/edit#gid=1251630045"",""articles_with_PRISMA_reasons!B2:B2113"")))-1)"),"Buffart")</f>
        <v>Buffart</v>
      </c>
      <c r="C1566" s="6" t="str">
        <f>IFERROR(__xludf.DUMMYFUNCTION("FILTER(IMPORTRANGE(""https://docs.google.com/spreadsheets/d/1BJSV3WBYJGRhQ6zExamkszQ5VutGIcaQqmbD9ZTVXMQ/edit#gid=1251630045"",""articles_with_PRISMA_reasons!C2:C2113""), $A1566=IMPORTRANGE(""https://docs.google.com/spreadsheets/d/1BJSV3WBYJGRhQ6zExamkszQ"&amp;"5VutGIcaQqmbD9ZTVXMQ/edit#gid=1251630045"",""articles_with_PRISMA_reasons!B2:B2113""))"),"Apr")</f>
        <v>Apr</v>
      </c>
      <c r="D1566" s="5" t="str">
        <f>IFERROR(__xludf.DUMMYFUNCTION("IFS(AND(
FILTER(IMPORTRANGE(""https://docs.google.com/spreadsheets/d/1BJSV3WBYJGRhQ6zExamkszQ5VutGIcaQqmbD9ZTVXMQ/edit#gid=1251630045"",""articles_with_PRISMA_reasons!Y2:Y2113""), $A1566=IMPORTRANGE(""https://docs.google.com/spreadsheets/d/1BJSV3WBYJGRhQ6"&amp;"zExamkszQ5VutGIcaQqmbD9ZTVXMQ/edit#gid=1251630045"",""articles_with_PRISMA_reasons!B2:B2113""))&gt;=2,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$A1566=IMPORTRANGE(""https://docs.google.com/spreadsheets/d/1BJSV3WBYJGRhQ6zExamkszQ5VutGIcaQqmbD9ZTVXMQ/edit#gid=1251630045"",""articles_with_PRISMA_reasons!B2:B2113""))&lt;2),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$A1566=IMPORTRANGE(""https://docs.google.com/spreadsheets/d/1BJSV3WBYJGRhQ6zExamkszQ5VutGIcaQqmbD9ZTVXMQ/edit#gid=1251630045"",""a"&amp;"rticles_with_PRISMA_reasons!B2:B2113""))&lt;2,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$A1566=IMPORTRANGE(""https://docs.google"&amp;".com/spreadsheets/d/1BJSV3WBYJGRhQ6zExamkszQ5VutGIcaQqmbD9ZTVXMQ/edit#gid=1251630045"",""articles_with_PRISMA_reasons!B2:B2113""))&gt;=2),
""Exclude""
)"),"Exclude")</f>
        <v>Exclude</v>
      </c>
      <c r="E1566" s="5" t="str">
        <f>IFERROR(__xludf.DUMMYFUNCTION("IFS(
D1566=""Exclude"",""Exclude"",
AND(
FILTER(IMPORTRANGE(""https://docs.google.com/spreadsheets/d/1qpEmbGH0JjaJbUdp21-y2cPbobDbMjr09BbtdKROZWc/edit#gid=1444865654"",""articles_with_PRISMA_reasons!W2:W2113""), $A1566=IMPORTRANGE(""https://docs.google.co"&amp;"m/spreadsheets/d/1qpEmbGH0JjaJbUdp21-y2cPbobDbMjr09BbtdKROZWc/edit#gid=1444865654"",""articles_with_PRISMA_reasons!B2:B2113""))&gt;=2,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$A1566=IMPORTRANGE(""https://docs.google.com/spreadsheets/d/1qpEmbGH0JjaJbUdp21-y2cPbobDbMjr09BbtdKROZWc/edit#gid=1444865654"",""articles_with_PRISMA_reasons!B2:B2113""))&lt;2),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$A1566=IMPORTRANGE(""https://docs.google.com/spreadsheets/d/1qpEmbGH0JjaJbUdp21-y2cPbobDbMjr09Bbtd"&amp;"KROZWc/edit#gid=1444865654"",""articles_with_PRISMA_reasons!B2:B2113""))&lt;2,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$A1566=I"&amp;"MPORTRANGE(""https://docs.google.com/spreadsheets/d/1qpEmbGH0JjaJbUdp21-y2cPbobDbMjr09BbtdKROZWc/edit#gid=1444865654"",""articles_with_PRISMA_reasons!B2:B2113""))&gt;=2),
""Exclude""
)"),"Exclude")</f>
        <v>Exclude</v>
      </c>
      <c r="F1566" s="5" t="str">
        <f>IFERROR(__xludf.DUMMYFUNCTION("IFS(
E1566=""Exclude"",""Exclude"",
AND(
COUNTIF(
IMPORTRANGE(""https://docs.google.com/spreadsheets/d/1kGrh75X1cNR1D7_FcY9zMnHP8iPO4M5RCRjy6nZY0TY/edit#gid=0"",""Table 1: Study characteristics!B4:B171""),A1566)&gt;0,
COUNTIF(Studies!$A$2:$A$85,FILTER(IMPORT"&amp;"RANGE(""https://docs.google.com/spreadsheets/d/1kGrh75X1cNR1D7_FcY9zMnHP8iPO4M5RCRjy6nZY0TY/edit#gid=0"",""Table 1: Study characteristics!A4:A171""), $A1566=IMPORTRANGE(""https://docs.google.com/spreadsheets/d/1kGrh75X1cNR1D7_FcY9zMnHP8iPO4M5RCRjy6nZY0TY/"&amp;"edit#gid=0"",""Table 1: Study characteristics!B4:B171"")))&gt;0
),
""Include""
)"),"Exclude")</f>
        <v>Exclude</v>
      </c>
      <c r="G1566" s="5" t="str">
        <f>IFERROR(__xludf.DUMMYFUNCTION("IFS(
D1566=""Exclude"",
FILTER(IMPORTRANGE(""https://docs.google.com/spreadsheets/d/1BJSV3WBYJGRhQ6zExamkszQ5VutGIcaQqmbD9ZTVXMQ/edit#gid=1251630045"",""articles_with_PRISMA_reasons!AB2:AB2113""), $A1566=IMPORTRANGE(""https://docs.google.com/spreadsheets/"&amp;"d/1BJSV3WBYJGRhQ6zExamkszQ5VutGIcaQqmbD9ZTVXMQ/edit#gid=1251630045"",""articles_with_PRISMA_reasons!B2:B2113"")),
E1566=""Exclude"",
FILTER(IMPORTRANGE(""https://docs.google.com/spreadsheets/d/1qpEmbGH0JjaJbUdp21-y2cPbobDbMjr09BbtdKROZWc/edit#gid=14448656"&amp;"54"",""articles_with_PRISMA_reasons!Z2:Z2113""), $A1566=IMPORTRANGE(""https://docs.google.com/spreadsheets/d/1qpEmbGH0JjaJbUdp21-y2cPbobDbMjr09BbtdKROZWc/edit#gid=1444865654"",""articles_with_PRISMA_reasons!B2:B2113"")),F1566
=""Include"",FILTER(IMPORTRAN"&amp;"GE(""https://docs.google.com/spreadsheets/d/1kGrh75X1cNR1D7_FcY9zMnHP8iPO4M5RCRjy6nZY0TY/edit#gid=0"",""Table 1: Study characteristics!A4:A171""), $A1566=IMPORTRANGE(""https://docs.google.com/spreadsheets/d/1kGrh75X1cNR1D7_FcY9zMnHP8iPO4M5RCRjy6nZY0TY/edi"&amp;"t#gid=0"",""Table 1: Study characteristics!B4:B171""))
)"),"wrong population")</f>
        <v>wrong population</v>
      </c>
    </row>
    <row r="1567">
      <c r="A1567" s="4" t="str">
        <f>IFERROR(__xludf.DUMMYFUNCTION("""COMPUTED_VALUE"""),"Prospective memory in adults with spina bifida")</f>
        <v>Prospective memory in adults with spina bifida</v>
      </c>
      <c r="B1567" s="5" t="str">
        <f>IFERROR(__xludf.DUMMYFUNCTION("LEFT(FILTER(IMPORTRANGE(""https://docs.google.com/spreadsheets/d/1BJSV3WBYJGRhQ6zExamkszQ5VutGIcaQqmbD9ZTVXMQ/edit#gid=1251630045"",""articles_with_PRISMA_reasons!K2:K2113""), $A1567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$A1567=IMPORTRANGE(""https://docs.google.com/spreadsheets/d/1BJSV3WBYJGRhQ6zExamkszQ5VutGIcaQqmbD9ZTVXMQ/edit#gid=1251630045"",""articles_with_PRISMA_reasons!B2:B2113"")))-1)"),"Dennis")</f>
        <v>Dennis</v>
      </c>
      <c r="C1567" s="6">
        <f>IFERROR(__xludf.DUMMYFUNCTION("FILTER(IMPORTRANGE(""https://docs.google.com/spreadsheets/d/1BJSV3WBYJGRhQ6zExamkszQ5VutGIcaQqmbD9ZTVXMQ/edit#gid=1251630045"",""articles_with_PRISMA_reasons!C2:C2113""), $A1567=IMPORTRANGE(""https://docs.google.com/spreadsheets/d/1BJSV3WBYJGRhQ6zExamkszQ"&amp;"5VutGIcaQqmbD9ZTVXMQ/edit#gid=1251630045"",""articles_with_PRISMA_reasons!B2:B2113""))"),2010.0)</f>
        <v>2010</v>
      </c>
      <c r="D1567" s="5" t="str">
        <f>IFERROR(__xludf.DUMMYFUNCTION("IFS(AND(
FILTER(IMPORTRANGE(""https://docs.google.com/spreadsheets/d/1BJSV3WBYJGRhQ6zExamkszQ5VutGIcaQqmbD9ZTVXMQ/edit#gid=1251630045"",""articles_with_PRISMA_reasons!Y2:Y2113""), $A1567=IMPORTRANGE(""https://docs.google.com/spreadsheets/d/1BJSV3WBYJGRhQ6"&amp;"zExamkszQ5VutGIcaQqmbD9ZTVXMQ/edit#gid=1251630045"",""articles_with_PRISMA_reasons!B2:B2113""))&gt;=2,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$A1567=IMPORTRANGE(""https://docs.google.com/spreadsheets/d/1BJSV3WBYJGRhQ6zExamkszQ5VutGIcaQqmbD9ZTVXMQ/edit#gid=1251630045"",""articles_with_PRISMA_reasons!B2:B2113""))&lt;2),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$A1567=IMPORTRANGE(""https://docs.google.com/spreadsheets/d/1BJSV3WBYJGRhQ6zExamkszQ5VutGIcaQqmbD9ZTVXMQ/edit#gid=1251630045"",""a"&amp;"rticles_with_PRISMA_reasons!B2:B2113""))&lt;2,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$A1567=IMPORTRANGE(""https://docs.google"&amp;".com/spreadsheets/d/1BJSV3WBYJGRhQ6zExamkszQ5VutGIcaQqmbD9ZTVXMQ/edit#gid=1251630045"",""articles_with_PRISMA_reasons!B2:B2113""))&gt;=2),
""Exclude""
)"),"Exclude")</f>
        <v>Exclude</v>
      </c>
      <c r="E1567" s="5" t="str">
        <f>IFERROR(__xludf.DUMMYFUNCTION("IFS(
D1567=""Exclude"",""Exclude"",
AND(
FILTER(IMPORTRANGE(""https://docs.google.com/spreadsheets/d/1qpEmbGH0JjaJbUdp21-y2cPbobDbMjr09BbtdKROZWc/edit#gid=1444865654"",""articles_with_PRISMA_reasons!W2:W2113""), $A1567=IMPORTRANGE(""https://docs.google.co"&amp;"m/spreadsheets/d/1qpEmbGH0JjaJbUdp21-y2cPbobDbMjr09BbtdKROZWc/edit#gid=1444865654"",""articles_with_PRISMA_reasons!B2:B2113""))&gt;=2,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$A1567=IMPORTRANGE(""https://docs.google.com/spreadsheets/d/1qpEmbGH0JjaJbUdp21-y2cPbobDbMjr09BbtdKROZWc/edit#gid=1444865654"",""articles_with_PRISMA_reasons!B2:B2113""))&lt;2),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$A1567=IMPORTRANGE(""https://docs.google.com/spreadsheets/d/1qpEmbGH0JjaJbUdp21-y2cPbobDbMjr09Bbtd"&amp;"KROZWc/edit#gid=1444865654"",""articles_with_PRISMA_reasons!B2:B2113""))&lt;2,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$A1567=I"&amp;"MPORTRANGE(""https://docs.google.com/spreadsheets/d/1qpEmbGH0JjaJbUdp21-y2cPbobDbMjr09BbtdKROZWc/edit#gid=1444865654"",""articles_with_PRISMA_reasons!B2:B2113""))&gt;=2),
""Exclude""
)"),"Exclude")</f>
        <v>Exclude</v>
      </c>
      <c r="F1567" s="5" t="str">
        <f>IFERROR(__xludf.DUMMYFUNCTION("IFS(
E1567=""Exclude"",""Exclude"",
AND(
COUNTIF(
IMPORTRANGE(""https://docs.google.com/spreadsheets/d/1kGrh75X1cNR1D7_FcY9zMnHP8iPO4M5RCRjy6nZY0TY/edit#gid=0"",""Table 1: Study characteristics!B4:B171""),A1567)&gt;0,
COUNTIF(Studies!$A$2:$A$85,FILTER(IMPORT"&amp;"RANGE(""https://docs.google.com/spreadsheets/d/1kGrh75X1cNR1D7_FcY9zMnHP8iPO4M5RCRjy6nZY0TY/edit#gid=0"",""Table 1: Study characteristics!A4:A171""), $A1567=IMPORTRANGE(""https://docs.google.com/spreadsheets/d/1kGrh75X1cNR1D7_FcY9zMnHP8iPO4M5RCRjy6nZY0TY/"&amp;"edit#gid=0"",""Table 1: Study characteristics!B4:B171"")))&gt;0
),
""Include""
)"),"Exclude")</f>
        <v>Exclude</v>
      </c>
      <c r="G1567" s="5" t="str">
        <f>IFERROR(__xludf.DUMMYFUNCTION("IFS(
D1567=""Exclude"",
FILTER(IMPORTRANGE(""https://docs.google.com/spreadsheets/d/1BJSV3WBYJGRhQ6zExamkszQ5VutGIcaQqmbD9ZTVXMQ/edit#gid=1251630045"",""articles_with_PRISMA_reasons!AB2:AB2113""), $A1567=IMPORTRANGE(""https://docs.google.com/spreadsheets/"&amp;"d/1BJSV3WBYJGRhQ6zExamkszQ5VutGIcaQqmbD9ZTVXMQ/edit#gid=1251630045"",""articles_with_PRISMA_reasons!B2:B2113"")),
E1567=""Exclude"",
FILTER(IMPORTRANGE(""https://docs.google.com/spreadsheets/d/1qpEmbGH0JjaJbUdp21-y2cPbobDbMjr09BbtdKROZWc/edit#gid=14448656"&amp;"54"",""articles_with_PRISMA_reasons!Z2:Z2113""), $A1567=IMPORTRANGE(""https://docs.google.com/spreadsheets/d/1qpEmbGH0JjaJbUdp21-y2cPbobDbMjr09BbtdKROZWc/edit#gid=1444865654"",""articles_with_PRISMA_reasons!B2:B2113"")),F1567
=""Include"",FILTER(IMPORTRAN"&amp;"GE(""https://docs.google.com/spreadsheets/d/1kGrh75X1cNR1D7_FcY9zMnHP8iPO4M5RCRjy6nZY0TY/edit#gid=0"",""Table 1: Study characteristics!A4:A171""), $A1567=IMPORTRANGE(""https://docs.google.com/spreadsheets/d/1kGrh75X1cNR1D7_FcY9zMnHP8iPO4M5RCRjy6nZY0TY/edi"&amp;"t#gid=0"",""Table 1: Study characteristics!B4:B171""))
)"),"wrong population")</f>
        <v>wrong population</v>
      </c>
    </row>
    <row r="1568">
      <c r="A1568" s="4" t="str">
        <f>IFERROR(__xludf.DUMMYFUNCTION("""COMPUTED_VALUE"""),"Prospective multicenter studies in pediatric hydrocephalus")</f>
        <v>Prospective multicenter studies in pediatric hydrocephalus</v>
      </c>
      <c r="B1568" s="5" t="str">
        <f>IFERROR(__xludf.DUMMYFUNCTION("LEFT(FILTER(IMPORTRANGE(""https://docs.google.com/spreadsheets/d/1BJSV3WBYJGRhQ6zExamkszQ5VutGIcaQqmbD9ZTVXMQ/edit#gid=1251630045"",""articles_with_PRISMA_reasons!K2:K2113""), $A1568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$A1568=IMPORTRANGE(""https://docs.google.com/spreadsheets/d/1BJSV3WBYJGRhQ6zExamkszQ5VutGIcaQqmbD9ZTVXMQ/edit#gid=1251630045"",""articles_with_PRISMA_reasons!B2:B2113"")))-1)"),"Kestle")</f>
        <v>Kestle</v>
      </c>
      <c r="C1568" s="6">
        <f>IFERROR(__xludf.DUMMYFUNCTION("FILTER(IMPORTRANGE(""https://docs.google.com/spreadsheets/d/1BJSV3WBYJGRhQ6zExamkszQ5VutGIcaQqmbD9ZTVXMQ/edit#gid=1251630045"",""articles_with_PRISMA_reasons!C2:C2113""), $A1568=IMPORTRANGE(""https://docs.google.com/spreadsheets/d/1BJSV3WBYJGRhQ6zExamkszQ"&amp;"5VutGIcaQqmbD9ZTVXMQ/edit#gid=1251630045"",""articles_with_PRISMA_reasons!B2:B2113""))"),2019.0)</f>
        <v>2019</v>
      </c>
      <c r="D1568" s="5" t="str">
        <f>IFERROR(__xludf.DUMMYFUNCTION("IFS(AND(
FILTER(IMPORTRANGE(""https://docs.google.com/spreadsheets/d/1BJSV3WBYJGRhQ6zExamkszQ5VutGIcaQqmbD9ZTVXMQ/edit#gid=1251630045"",""articles_with_PRISMA_reasons!Y2:Y2113""), $A1568=IMPORTRANGE(""https://docs.google.com/spreadsheets/d/1BJSV3WBYJGRhQ6"&amp;"zExamkszQ5VutGIcaQqmbD9ZTVXMQ/edit#gid=1251630045"",""articles_with_PRISMA_reasons!B2:B2113""))&gt;=2,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$A1568=IMPORTRANGE(""https://docs.google.com/spreadsheets/d/1BJSV3WBYJGRhQ6zExamkszQ5VutGIcaQqmbD9ZTVXMQ/edit#gid=1251630045"",""articles_with_PRISMA_reasons!B2:B2113""))&lt;2),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$A1568=IMPORTRANGE(""https://docs.google.com/spreadsheets/d/1BJSV3WBYJGRhQ6zExamkszQ5VutGIcaQqmbD9ZTVXMQ/edit#gid=1251630045"",""a"&amp;"rticles_with_PRISMA_reasons!B2:B2113""))&lt;2,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$A1568=IMPORTRANGE(""https://docs.google"&amp;".com/spreadsheets/d/1BJSV3WBYJGRhQ6zExamkszQ5VutGIcaQqmbD9ZTVXMQ/edit#gid=1251630045"",""articles_with_PRISMA_reasons!B2:B2113""))&gt;=2),
""Exclude""
)"),"Exclude")</f>
        <v>Exclude</v>
      </c>
      <c r="E1568" s="5" t="str">
        <f>IFERROR(__xludf.DUMMYFUNCTION("IFS(
D1568=""Exclude"",""Exclude"",
AND(
FILTER(IMPORTRANGE(""https://docs.google.com/spreadsheets/d/1qpEmbGH0JjaJbUdp21-y2cPbobDbMjr09BbtdKROZWc/edit#gid=1444865654"",""articles_with_PRISMA_reasons!W2:W2113""), $A1568=IMPORTRANGE(""https://docs.google.co"&amp;"m/spreadsheets/d/1qpEmbGH0JjaJbUdp21-y2cPbobDbMjr09BbtdKROZWc/edit#gid=1444865654"",""articles_with_PRISMA_reasons!B2:B2113""))&gt;=2,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$A1568=IMPORTRANGE(""https://docs.google.com/spreadsheets/d/1qpEmbGH0JjaJbUdp21-y2cPbobDbMjr09BbtdKROZWc/edit#gid=1444865654"",""articles_with_PRISMA_reasons!B2:B2113""))&lt;2),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$A1568=IMPORTRANGE(""https://docs.google.com/spreadsheets/d/1qpEmbGH0JjaJbUdp21-y2cPbobDbMjr09Bbtd"&amp;"KROZWc/edit#gid=1444865654"",""articles_with_PRISMA_reasons!B2:B2113""))&lt;2,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$A1568=I"&amp;"MPORTRANGE(""https://docs.google.com/spreadsheets/d/1qpEmbGH0JjaJbUdp21-y2cPbobDbMjr09BbtdKROZWc/edit#gid=1444865654"",""articles_with_PRISMA_reasons!B2:B2113""))&gt;=2),
""Exclude""
)"),"Exclude")</f>
        <v>Exclude</v>
      </c>
      <c r="F1568" s="5" t="str">
        <f>IFERROR(__xludf.DUMMYFUNCTION("IFS(
E1568=""Exclude"",""Exclude"",
AND(
COUNTIF(
IMPORTRANGE(""https://docs.google.com/spreadsheets/d/1kGrh75X1cNR1D7_FcY9zMnHP8iPO4M5RCRjy6nZY0TY/edit#gid=0"",""Table 1: Study characteristics!B4:B171""),A1568)&gt;0,
COUNTIF(Studies!$A$2:$A$85,FILTER(IMPORT"&amp;"RANGE(""https://docs.google.com/spreadsheets/d/1kGrh75X1cNR1D7_FcY9zMnHP8iPO4M5RCRjy6nZY0TY/edit#gid=0"",""Table 1: Study characteristics!A4:A171""), $A1568=IMPORTRANGE(""https://docs.google.com/spreadsheets/d/1kGrh75X1cNR1D7_FcY9zMnHP8iPO4M5RCRjy6nZY0TY/"&amp;"edit#gid=0"",""Table 1: Study characteristics!B4:B171"")))&gt;0
),
""Include""
)"),"Exclude")</f>
        <v>Exclude</v>
      </c>
      <c r="G1568" s="5" t="str">
        <f>IFERROR(__xludf.DUMMYFUNCTION("IFS(
D1568=""Exclude"",
FILTER(IMPORTRANGE(""https://docs.google.com/spreadsheets/d/1BJSV3WBYJGRhQ6zExamkszQ5VutGIcaQqmbD9ZTVXMQ/edit#gid=1251630045"",""articles_with_PRISMA_reasons!AB2:AB2113""), $A1568=IMPORTRANGE(""https://docs.google.com/spreadsheets/"&amp;"d/1BJSV3WBYJGRhQ6zExamkszQ5VutGIcaQqmbD9ZTVXMQ/edit#gid=1251630045"",""articles_with_PRISMA_reasons!B2:B2113"")),
E1568=""Exclude"",
FILTER(IMPORTRANGE(""https://docs.google.com/spreadsheets/d/1qpEmbGH0JjaJbUdp21-y2cPbobDbMjr09BbtdKROZWc/edit#gid=14448656"&amp;"54"",""articles_with_PRISMA_reasons!Z2:Z2113""), $A1568=IMPORTRANGE(""https://docs.google.com/spreadsheets/d/1qpEmbGH0JjaJbUdp21-y2cPbobDbMjr09BbtdKROZWc/edit#gid=1444865654"",""articles_with_PRISMA_reasons!B2:B2113"")),F1568
=""Include"",FILTER(IMPORTRAN"&amp;"GE(""https://docs.google.com/spreadsheets/d/1kGrh75X1cNR1D7_FcY9zMnHP8iPO4M5RCRjy6nZY0TY/edit#gid=0"",""Table 1: Study characteristics!A4:A171""), $A1568=IMPORTRANGE(""https://docs.google.com/spreadsheets/d/1kGrh75X1cNR1D7_FcY9zMnHP8iPO4M5RCRjy6nZY0TY/edi"&amp;"t#gid=0"",""Table 1: Study characteristics!B4:B171""))
)"),"wrong study design")</f>
        <v>wrong study design</v>
      </c>
    </row>
    <row r="1569">
      <c r="A1569" s="4" t="str">
        <f>IFERROR(__xludf.DUMMYFUNCTION("""COMPUTED_VALUE"""),"Prospective, declarative, and nondeclarative memory in young adults with spina bifida")</f>
        <v>Prospective, declarative, and nondeclarative memory in young adults with spina bifida</v>
      </c>
      <c r="B1569" s="5" t="str">
        <f>IFERROR(__xludf.DUMMYFUNCTION("LEFT(FILTER(IMPORTRANGE(""https://docs.google.com/spreadsheets/d/1BJSV3WBYJGRhQ6zExamkszQ5VutGIcaQqmbD9ZTVXMQ/edit#gid=1251630045"",""articles_with_PRISMA_reasons!K2:K2113""), $A1569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$A1569=IMPORTRANGE(""https://docs.google.com/spreadsheets/d/1BJSV3WBYJGRhQ6zExamkszQ5VutGIcaQqmbD9ZTVXMQ/edit#gid=1251630045"",""articles_with_PRISMA_reasons!B2:B2113"")))-1)"),"Dennis")</f>
        <v>Dennis</v>
      </c>
      <c r="C1569" s="6">
        <f>IFERROR(__xludf.DUMMYFUNCTION("FILTER(IMPORTRANGE(""https://docs.google.com/spreadsheets/d/1BJSV3WBYJGRhQ6zExamkszQ5VutGIcaQqmbD9ZTVXMQ/edit#gid=1251630045"",""articles_with_PRISMA_reasons!C2:C2113""), $A1569=IMPORTRANGE(""https://docs.google.com/spreadsheets/d/1BJSV3WBYJGRhQ6zExamkszQ"&amp;"5VutGIcaQqmbD9ZTVXMQ/edit#gid=1251630045"",""articles_with_PRISMA_reasons!B2:B2113""))"),2007.0)</f>
        <v>2007</v>
      </c>
      <c r="D1569" s="5" t="str">
        <f>IFERROR(__xludf.DUMMYFUNCTION("IFS(AND(
FILTER(IMPORTRANGE(""https://docs.google.com/spreadsheets/d/1BJSV3WBYJGRhQ6zExamkszQ5VutGIcaQqmbD9ZTVXMQ/edit#gid=1251630045"",""articles_with_PRISMA_reasons!Y2:Y2113""), $A1569=IMPORTRANGE(""https://docs.google.com/spreadsheets/d/1BJSV3WBYJGRhQ6"&amp;"zExamkszQ5VutGIcaQqmbD9ZTVXMQ/edit#gid=1251630045"",""articles_with_PRISMA_reasons!B2:B2113""))&gt;=2,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$A1569=IMPORTRANGE(""https://docs.google.com/spreadsheets/d/1BJSV3WBYJGRhQ6zExamkszQ5VutGIcaQqmbD9ZTVXMQ/edit#gid=1251630045"",""articles_with_PRISMA_reasons!B2:B2113""))&lt;2),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$A1569=IMPORTRANGE(""https://docs.google.com/spreadsheets/d/1BJSV3WBYJGRhQ6zExamkszQ5VutGIcaQqmbD9ZTVXMQ/edit#gid=1251630045"",""a"&amp;"rticles_with_PRISMA_reasons!B2:B2113""))&lt;2,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$A1569=IMPORTRANGE(""https://docs.google"&amp;".com/spreadsheets/d/1BJSV3WBYJGRhQ6zExamkszQ5VutGIcaQqmbD9ZTVXMQ/edit#gid=1251630045"",""articles_with_PRISMA_reasons!B2:B2113""))&gt;=2),
""Exclude""
)"),"Exclude")</f>
        <v>Exclude</v>
      </c>
      <c r="E1569" s="5" t="str">
        <f>IFERROR(__xludf.DUMMYFUNCTION("IFS(
D1569=""Exclude"",""Exclude"",
AND(
FILTER(IMPORTRANGE(""https://docs.google.com/spreadsheets/d/1qpEmbGH0JjaJbUdp21-y2cPbobDbMjr09BbtdKROZWc/edit#gid=1444865654"",""articles_with_PRISMA_reasons!W2:W2113""), $A1569=IMPORTRANGE(""https://docs.google.co"&amp;"m/spreadsheets/d/1qpEmbGH0JjaJbUdp21-y2cPbobDbMjr09BbtdKROZWc/edit#gid=1444865654"",""articles_with_PRISMA_reasons!B2:B2113""))&gt;=2,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$A1569=IMPORTRANGE(""https://docs.google.com/spreadsheets/d/1qpEmbGH0JjaJbUdp21-y2cPbobDbMjr09BbtdKROZWc/edit#gid=1444865654"",""articles_with_PRISMA_reasons!B2:B2113""))&lt;2),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$A1569=IMPORTRANGE(""https://docs.google.com/spreadsheets/d/1qpEmbGH0JjaJbUdp21-y2cPbobDbMjr09Bbtd"&amp;"KROZWc/edit#gid=1444865654"",""articles_with_PRISMA_reasons!B2:B2113""))&lt;2,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$A1569=I"&amp;"MPORTRANGE(""https://docs.google.com/spreadsheets/d/1qpEmbGH0JjaJbUdp21-y2cPbobDbMjr09BbtdKROZWc/edit#gid=1444865654"",""articles_with_PRISMA_reasons!B2:B2113""))&gt;=2),
""Exclude""
)"),"Exclude")</f>
        <v>Exclude</v>
      </c>
      <c r="F1569" s="5" t="str">
        <f>IFERROR(__xludf.DUMMYFUNCTION("IFS(
E1569=""Exclude"",""Exclude"",
AND(
COUNTIF(
IMPORTRANGE(""https://docs.google.com/spreadsheets/d/1kGrh75X1cNR1D7_FcY9zMnHP8iPO4M5RCRjy6nZY0TY/edit#gid=0"",""Table 1: Study characteristics!B4:B171""),A1569)&gt;0,
COUNTIF(Studies!$A$2:$A$85,FILTER(IMPORT"&amp;"RANGE(""https://docs.google.com/spreadsheets/d/1kGrh75X1cNR1D7_FcY9zMnHP8iPO4M5RCRjy6nZY0TY/edit#gid=0"",""Table 1: Study characteristics!A4:A171""), $A1569=IMPORTRANGE(""https://docs.google.com/spreadsheets/d/1kGrh75X1cNR1D7_FcY9zMnHP8iPO4M5RCRjy6nZY0TY/"&amp;"edit#gid=0"",""Table 1: Study characteristics!B4:B171"")))&gt;0
),
""Include""
)"),"Exclude")</f>
        <v>Exclude</v>
      </c>
      <c r="G1569" s="5" t="str">
        <f>IFERROR(__xludf.DUMMYFUNCTION("IFS(
D1569=""Exclude"",
FILTER(IMPORTRANGE(""https://docs.google.com/spreadsheets/d/1BJSV3WBYJGRhQ6zExamkszQ5VutGIcaQqmbD9ZTVXMQ/edit#gid=1251630045"",""articles_with_PRISMA_reasons!AB2:AB2113""), $A1569=IMPORTRANGE(""https://docs.google.com/spreadsheets/"&amp;"d/1BJSV3WBYJGRhQ6zExamkszQ5VutGIcaQqmbD9ZTVXMQ/edit#gid=1251630045"",""articles_with_PRISMA_reasons!B2:B2113"")),
E1569=""Exclude"",
FILTER(IMPORTRANGE(""https://docs.google.com/spreadsheets/d/1qpEmbGH0JjaJbUdp21-y2cPbobDbMjr09BbtdKROZWc/edit#gid=14448656"&amp;"54"",""articles_with_PRISMA_reasons!Z2:Z2113""), $A1569=IMPORTRANGE(""https://docs.google.com/spreadsheets/d/1qpEmbGH0JjaJbUdp21-y2cPbobDbMjr09BbtdKROZWc/edit#gid=1444865654"",""articles_with_PRISMA_reasons!B2:B2113"")),F1569
=""Include"",FILTER(IMPORTRAN"&amp;"GE(""https://docs.google.com/spreadsheets/d/1kGrh75X1cNR1D7_FcY9zMnHP8iPO4M5RCRjy6nZY0TY/edit#gid=0"",""Table 1: Study characteristics!A4:A171""), $A1569=IMPORTRANGE(""https://docs.google.com/spreadsheets/d/1kGrh75X1cNR1D7_FcY9zMnHP8iPO4M5RCRjy6nZY0TY/edi"&amp;"t#gid=0"",""Table 1: Study characteristics!B4:B171""))
)"),"wrong population")</f>
        <v>wrong population</v>
      </c>
    </row>
    <row r="1570">
      <c r="A1570" s="4" t="str">
        <f>IFERROR(__xludf.DUMMYFUNCTION("""COMPUTED_VALUE"""),"Protrusion of a peritoneal catheter via abdominal wall and operated myelomeningocele area: a rare complication of ventriculoperitoneal shunt")</f>
        <v>Protrusion of a peritoneal catheter via abdominal wall and operated myelomeningocele area: a rare complication of ventriculoperitoneal shunt</v>
      </c>
      <c r="B1570" s="5" t="str">
        <f>IFERROR(__xludf.DUMMYFUNCTION("LEFT(FILTER(IMPORTRANGE(""https://docs.google.com/spreadsheets/d/1BJSV3WBYJGRhQ6zExamkszQ5VutGIcaQqmbD9ZTVXMQ/edit#gid=1251630045"",""articles_with_PRISMA_reasons!K2:K2113""), $A1570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$A1570=IMPORTRANGE(""https://docs.google.com/spreadsheets/d/1BJSV3WBYJGRhQ6zExamkszQ5VutGIcaQqmbD9ZTVXMQ/edit#gid=1251630045"",""articles_with_PRISMA_reasons!B2:B2113"")))-1)"),"Aras")</f>
        <v>Aras</v>
      </c>
      <c r="C1570" s="6">
        <f>IFERROR(__xludf.DUMMYFUNCTION("FILTER(IMPORTRANGE(""https://docs.google.com/spreadsheets/d/1BJSV3WBYJGRhQ6zExamkszQ5VutGIcaQqmbD9ZTVXMQ/edit#gid=1251630045"",""articles_with_PRISMA_reasons!C2:C2113""), $A1570=IMPORTRANGE(""https://docs.google.com/spreadsheets/d/1BJSV3WBYJGRhQ6zExamkszQ"&amp;"5VutGIcaQqmbD9ZTVXMQ/edit#gid=1251630045"",""articles_with_PRISMA_reasons!B2:B2113""))"),2013.0)</f>
        <v>2013</v>
      </c>
      <c r="D1570" s="5" t="str">
        <f>IFERROR(__xludf.DUMMYFUNCTION("IFS(AND(
FILTER(IMPORTRANGE(""https://docs.google.com/spreadsheets/d/1BJSV3WBYJGRhQ6zExamkszQ5VutGIcaQqmbD9ZTVXMQ/edit#gid=1251630045"",""articles_with_PRISMA_reasons!Y2:Y2113""), $A1570=IMPORTRANGE(""https://docs.google.com/spreadsheets/d/1BJSV3WBYJGRhQ6"&amp;"zExamkszQ5VutGIcaQqmbD9ZTVXMQ/edit#gid=1251630045"",""articles_with_PRISMA_reasons!B2:B2113""))&gt;=2,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$A1570=IMPORTRANGE(""https://docs.google.com/spreadsheets/d/1BJSV3WBYJGRhQ6zExamkszQ5VutGIcaQqmbD9ZTVXMQ/edit#gid=1251630045"",""articles_with_PRISMA_reasons!B2:B2113""))&lt;2),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$A1570=IMPORTRANGE(""https://docs.google.com/spreadsheets/d/1BJSV3WBYJGRhQ6zExamkszQ5VutGIcaQqmbD9ZTVXMQ/edit#gid=1251630045"",""a"&amp;"rticles_with_PRISMA_reasons!B2:B2113""))&lt;2,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$A1570=IMPORTRANGE(""https://docs.google"&amp;".com/spreadsheets/d/1BJSV3WBYJGRhQ6zExamkszQ5VutGIcaQqmbD9ZTVXMQ/edit#gid=1251630045"",""articles_with_PRISMA_reasons!B2:B2113""))&gt;=2),
""Exclude""
)"),"Exclude")</f>
        <v>Exclude</v>
      </c>
      <c r="E1570" s="5" t="str">
        <f>IFERROR(__xludf.DUMMYFUNCTION("IFS(
D1570=""Exclude"",""Exclude"",
AND(
FILTER(IMPORTRANGE(""https://docs.google.com/spreadsheets/d/1qpEmbGH0JjaJbUdp21-y2cPbobDbMjr09BbtdKROZWc/edit#gid=1444865654"",""articles_with_PRISMA_reasons!W2:W2113""), $A1570=IMPORTRANGE(""https://docs.google.co"&amp;"m/spreadsheets/d/1qpEmbGH0JjaJbUdp21-y2cPbobDbMjr09BbtdKROZWc/edit#gid=1444865654"",""articles_with_PRISMA_reasons!B2:B2113""))&gt;=2,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$A1570=IMPORTRANGE(""https://docs.google.com/spreadsheets/d/1qpEmbGH0JjaJbUdp21-y2cPbobDbMjr09BbtdKROZWc/edit#gid=1444865654"",""articles_with_PRISMA_reasons!B2:B2113""))&lt;2),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$A1570=IMPORTRANGE(""https://docs.google.com/spreadsheets/d/1qpEmbGH0JjaJbUdp21-y2cPbobDbMjr09Bbtd"&amp;"KROZWc/edit#gid=1444865654"",""articles_with_PRISMA_reasons!B2:B2113""))&lt;2,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$A1570=I"&amp;"MPORTRANGE(""https://docs.google.com/spreadsheets/d/1qpEmbGH0JjaJbUdp21-y2cPbobDbMjr09BbtdKROZWc/edit#gid=1444865654"",""articles_with_PRISMA_reasons!B2:B2113""))&gt;=2),
""Exclude""
)"),"Exclude")</f>
        <v>Exclude</v>
      </c>
      <c r="F1570" s="5" t="str">
        <f>IFERROR(__xludf.DUMMYFUNCTION("IFS(
E1570=""Exclude"",""Exclude"",
AND(
COUNTIF(
IMPORTRANGE(""https://docs.google.com/spreadsheets/d/1kGrh75X1cNR1D7_FcY9zMnHP8iPO4M5RCRjy6nZY0TY/edit#gid=0"",""Table 1: Study characteristics!B4:B171""),A1570)&gt;0,
COUNTIF(Studies!$A$2:$A$85,FILTER(IMPORT"&amp;"RANGE(""https://docs.google.com/spreadsheets/d/1kGrh75X1cNR1D7_FcY9zMnHP8iPO4M5RCRjy6nZY0TY/edit#gid=0"",""Table 1: Study characteristics!A4:A171""), $A1570=IMPORTRANGE(""https://docs.google.com/spreadsheets/d/1kGrh75X1cNR1D7_FcY9zMnHP8iPO4M5RCRjy6nZY0TY/"&amp;"edit#gid=0"",""Table 1: Study characteristics!B4:B171"")))&gt;0
),
""Include""
)"),"Exclude")</f>
        <v>Exclude</v>
      </c>
      <c r="G1570" s="5" t="str">
        <f>IFERROR(__xludf.DUMMYFUNCTION("IFS(
D1570=""Exclude"",
FILTER(IMPORTRANGE(""https://docs.google.com/spreadsheets/d/1BJSV3WBYJGRhQ6zExamkszQ5VutGIcaQqmbD9ZTVXMQ/edit#gid=1251630045"",""articles_with_PRISMA_reasons!AB2:AB2113""), $A1570=IMPORTRANGE(""https://docs.google.com/spreadsheets/"&amp;"d/1BJSV3WBYJGRhQ6zExamkszQ5VutGIcaQqmbD9ZTVXMQ/edit#gid=1251630045"",""articles_with_PRISMA_reasons!B2:B2113"")),
E1570=""Exclude"",
FILTER(IMPORTRANGE(""https://docs.google.com/spreadsheets/d/1qpEmbGH0JjaJbUdp21-y2cPbobDbMjr09BbtdKROZWc/edit#gid=14448656"&amp;"54"",""articles_with_PRISMA_reasons!Z2:Z2113""), $A1570=IMPORTRANGE(""https://docs.google.com/spreadsheets/d/1qpEmbGH0JjaJbUdp21-y2cPbobDbMjr09BbtdKROZWc/edit#gid=1444865654"",""articles_with_PRISMA_reasons!B2:B2113"")),F1570
=""Include"",FILTER(IMPORTRAN"&amp;"GE(""https://docs.google.com/spreadsheets/d/1kGrh75X1cNR1D7_FcY9zMnHP8iPO4M5RCRjy6nZY0TY/edit#gid=0"",""Table 1: Study characteristics!A4:A171""), $A1570=IMPORTRANGE(""https://docs.google.com/spreadsheets/d/1kGrh75X1cNR1D7_FcY9zMnHP8iPO4M5RCRjy6nZY0TY/edi"&amp;"t#gid=0"",""Table 1: Study characteristics!B4:B171""))
)"),"wrong publication type")</f>
        <v>wrong publication type</v>
      </c>
    </row>
    <row r="1571">
      <c r="A1571" s="4" t="str">
        <f>IFERROR(__xludf.DUMMYFUNCTION("""COMPUTED_VALUE"""),"Protrusion of ventriculo peritoneal shunt through the anus: Report of two cases")</f>
        <v>Protrusion of ventriculo peritoneal shunt through the anus: Report of two cases</v>
      </c>
      <c r="B1571" s="5" t="str">
        <f>IFERROR(__xludf.DUMMYFUNCTION("LEFT(FILTER(IMPORTRANGE(""https://docs.google.com/spreadsheets/d/1BJSV3WBYJGRhQ6zExamkszQ5VutGIcaQqmbD9ZTVXMQ/edit#gid=1251630045"",""articles_with_PRISMA_reasons!K2:K2113""), $A1571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$A1571=IMPORTRANGE(""https://docs.google.com/spreadsheets/d/1BJSV3WBYJGRhQ6zExamkszQ5VutGIcaQqmbD9ZTVXMQ/edit#gid=1251630045"",""articles_with_PRISMA_reasons!B2:B2113"")))-1)"),"Adeloye")</f>
        <v>Adeloye</v>
      </c>
      <c r="C1571" s="6">
        <f>IFERROR(__xludf.DUMMYFUNCTION("FILTER(IMPORTRANGE(""https://docs.google.com/spreadsheets/d/1BJSV3WBYJGRhQ6zExamkszQ5VutGIcaQqmbD9ZTVXMQ/edit#gid=1251630045"",""articles_with_PRISMA_reasons!C2:C2113""), $A1571=IMPORTRANGE(""https://docs.google.com/spreadsheets/d/1BJSV3WBYJGRhQ6zExamkszQ"&amp;"5VutGIcaQqmbD9ZTVXMQ/edit#gid=1251630045"",""articles_with_PRISMA_reasons!B2:B2113""))"),1997.0)</f>
        <v>1997</v>
      </c>
      <c r="D1571" s="5" t="str">
        <f>IFERROR(__xludf.DUMMYFUNCTION("IFS(AND(
FILTER(IMPORTRANGE(""https://docs.google.com/spreadsheets/d/1BJSV3WBYJGRhQ6zExamkszQ5VutGIcaQqmbD9ZTVXMQ/edit#gid=1251630045"",""articles_with_PRISMA_reasons!Y2:Y2113""), $A1571=IMPORTRANGE(""https://docs.google.com/spreadsheets/d/1BJSV3WBYJGRhQ6"&amp;"zExamkszQ5VutGIcaQqmbD9ZTVXMQ/edit#gid=1251630045"",""articles_with_PRISMA_reasons!B2:B2113""))&gt;=2,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$A1571=IMPORTRANGE(""https://docs.google.com/spreadsheets/d/1BJSV3WBYJGRhQ6zExamkszQ5VutGIcaQqmbD9ZTVXMQ/edit#gid=1251630045"",""articles_with_PRISMA_reasons!B2:B2113""))&lt;2),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$A1571=IMPORTRANGE(""https://docs.google.com/spreadsheets/d/1BJSV3WBYJGRhQ6zExamkszQ5VutGIcaQqmbD9ZTVXMQ/edit#gid=1251630045"",""a"&amp;"rticles_with_PRISMA_reasons!B2:B2113""))&lt;2,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$A1571=IMPORTRANGE(""https://docs.google"&amp;".com/spreadsheets/d/1BJSV3WBYJGRhQ6zExamkszQ5VutGIcaQqmbD9ZTVXMQ/edit#gid=1251630045"",""articles_with_PRISMA_reasons!B2:B2113""))&gt;=2),
""Exclude""
)"),"Exclude")</f>
        <v>Exclude</v>
      </c>
      <c r="E1571" s="5" t="str">
        <f>IFERROR(__xludf.DUMMYFUNCTION("IFS(
D1571=""Exclude"",""Exclude"",
AND(
FILTER(IMPORTRANGE(""https://docs.google.com/spreadsheets/d/1qpEmbGH0JjaJbUdp21-y2cPbobDbMjr09BbtdKROZWc/edit#gid=1444865654"",""articles_with_PRISMA_reasons!W2:W2113""), $A1571=IMPORTRANGE(""https://docs.google.co"&amp;"m/spreadsheets/d/1qpEmbGH0JjaJbUdp21-y2cPbobDbMjr09BbtdKROZWc/edit#gid=1444865654"",""articles_with_PRISMA_reasons!B2:B2113""))&gt;=2,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$A1571=IMPORTRANGE(""https://docs.google.com/spreadsheets/d/1qpEmbGH0JjaJbUdp21-y2cPbobDbMjr09BbtdKROZWc/edit#gid=1444865654"",""articles_with_PRISMA_reasons!B2:B2113""))&lt;2),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$A1571=IMPORTRANGE(""https://docs.google.com/spreadsheets/d/1qpEmbGH0JjaJbUdp21-y2cPbobDbMjr09Bbtd"&amp;"KROZWc/edit#gid=1444865654"",""articles_with_PRISMA_reasons!B2:B2113""))&lt;2,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$A1571=I"&amp;"MPORTRANGE(""https://docs.google.com/spreadsheets/d/1qpEmbGH0JjaJbUdp21-y2cPbobDbMjr09BbtdKROZWc/edit#gid=1444865654"",""articles_with_PRISMA_reasons!B2:B2113""))&gt;=2),
""Exclude""
)"),"Exclude")</f>
        <v>Exclude</v>
      </c>
      <c r="F1571" s="5" t="str">
        <f>IFERROR(__xludf.DUMMYFUNCTION("IFS(
E1571=""Exclude"",""Exclude"",
AND(
COUNTIF(
IMPORTRANGE(""https://docs.google.com/spreadsheets/d/1kGrh75X1cNR1D7_FcY9zMnHP8iPO4M5RCRjy6nZY0TY/edit#gid=0"",""Table 1: Study characteristics!B4:B171""),A1571)&gt;0,
COUNTIF(Studies!$A$2:$A$85,FILTER(IMPORT"&amp;"RANGE(""https://docs.google.com/spreadsheets/d/1kGrh75X1cNR1D7_FcY9zMnHP8iPO4M5RCRjy6nZY0TY/edit#gid=0"",""Table 1: Study characteristics!A4:A171""), $A1571=IMPORTRANGE(""https://docs.google.com/spreadsheets/d/1kGrh75X1cNR1D7_FcY9zMnHP8iPO4M5RCRjy6nZY0TY/"&amp;"edit#gid=0"",""Table 1: Study characteristics!B4:B171"")))&gt;0
),
""Include""
)"),"Exclude")</f>
        <v>Exclude</v>
      </c>
      <c r="G1571" s="5" t="str">
        <f>IFERROR(__xludf.DUMMYFUNCTION("IFS(
D1571=""Exclude"",
FILTER(IMPORTRANGE(""https://docs.google.com/spreadsheets/d/1BJSV3WBYJGRhQ6zExamkszQ5VutGIcaQqmbD9ZTVXMQ/edit#gid=1251630045"",""articles_with_PRISMA_reasons!AB2:AB2113""), $A1571=IMPORTRANGE(""https://docs.google.com/spreadsheets/"&amp;"d/1BJSV3WBYJGRhQ6zExamkszQ5VutGIcaQqmbD9ZTVXMQ/edit#gid=1251630045"",""articles_with_PRISMA_reasons!B2:B2113"")),
E1571=""Exclude"",
FILTER(IMPORTRANGE(""https://docs.google.com/spreadsheets/d/1qpEmbGH0JjaJbUdp21-y2cPbobDbMjr09BbtdKROZWc/edit#gid=14448656"&amp;"54"",""articles_with_PRISMA_reasons!Z2:Z2113""), $A1571=IMPORTRANGE(""https://docs.google.com/spreadsheets/d/1qpEmbGH0JjaJbUdp21-y2cPbobDbMjr09BbtdKROZWc/edit#gid=1444865654"",""articles_with_PRISMA_reasons!B2:B2113"")),F1571
=""Include"",FILTER(IMPORTRAN"&amp;"GE(""https://docs.google.com/spreadsheets/d/1kGrh75X1cNR1D7_FcY9zMnHP8iPO4M5RCRjy6nZY0TY/edit#gid=0"",""Table 1: Study characteristics!A4:A171""), $A1571=IMPORTRANGE(""https://docs.google.com/spreadsheets/d/1kGrh75X1cNR1D7_FcY9zMnHP8iPO4M5RCRjy6nZY0TY/edi"&amp;"t#gid=0"",""Table 1: Study characteristics!B4:B171""))
)"),"wrong publication type")</f>
        <v>wrong publication type</v>
      </c>
    </row>
    <row r="1572">
      <c r="A1572" s="4" t="str">
        <f>IFERROR(__xludf.DUMMYFUNCTION("""COMPUTED_VALUE"""),"Providing a primary care medical home for children and youth with spina bifida")</f>
        <v>Providing a primary care medical home for children and youth with spina bifida</v>
      </c>
      <c r="B1572" s="5" t="str">
        <f>IFERROR(__xludf.DUMMYFUNCTION("LEFT(FILTER(IMPORTRANGE(""https://docs.google.com/spreadsheets/d/1BJSV3WBYJGRhQ6zExamkszQ5VutGIcaQqmbD9ZTVXMQ/edit#gid=1251630045"",""articles_with_PRISMA_reasons!K2:K2113""), $A1572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$A1572=IMPORTRANGE(""https://docs.google.com/spreadsheets/d/1BJSV3WBYJGRhQ6zExamkszQ5VutGIcaQqmbD9ZTVXMQ/edit#gid=1251630045"",""articles_with_PRISMA_reasons!B2:B2113"")))-1)"),"Bridgemohan")</f>
        <v>Bridgemohan</v>
      </c>
      <c r="C1572" s="6">
        <f>IFERROR(__xludf.DUMMYFUNCTION("FILTER(IMPORTRANGE(""https://docs.google.com/spreadsheets/d/1BJSV3WBYJGRhQ6zExamkszQ5VutGIcaQqmbD9ZTVXMQ/edit#gid=1251630045"",""articles_with_PRISMA_reasons!C2:C2113""), $A1572=IMPORTRANGE(""https://docs.google.com/spreadsheets/d/1BJSV3WBYJGRhQ6zExamkszQ"&amp;"5VutGIcaQqmbD9ZTVXMQ/edit#gid=1251630045"",""articles_with_PRISMA_reasons!B2:B2113""))"),2011.0)</f>
        <v>2011</v>
      </c>
      <c r="D1572" s="5" t="str">
        <f>IFERROR(__xludf.DUMMYFUNCTION("IFS(AND(
FILTER(IMPORTRANGE(""https://docs.google.com/spreadsheets/d/1BJSV3WBYJGRhQ6zExamkszQ5VutGIcaQqmbD9ZTVXMQ/edit#gid=1251630045"",""articles_with_PRISMA_reasons!Y2:Y2113""), $A1572=IMPORTRANGE(""https://docs.google.com/spreadsheets/d/1BJSV3WBYJGRhQ6"&amp;"zExamkszQ5VutGIcaQqmbD9ZTVXMQ/edit#gid=1251630045"",""articles_with_PRISMA_reasons!B2:B2113""))&gt;=2,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$A1572=IMPORTRANGE(""https://docs.google.com/spreadsheets/d/1BJSV3WBYJGRhQ6zExamkszQ5VutGIcaQqmbD9ZTVXMQ/edit#gid=1251630045"",""articles_with_PRISMA_reasons!B2:B2113""))&lt;2),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$A1572=IMPORTRANGE(""https://docs.google.com/spreadsheets/d/1BJSV3WBYJGRhQ6zExamkszQ5VutGIcaQqmbD9ZTVXMQ/edit#gid=1251630045"",""a"&amp;"rticles_with_PRISMA_reasons!B2:B2113""))&lt;2,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$A1572=IMPORTRANGE(""https://docs.google"&amp;".com/spreadsheets/d/1BJSV3WBYJGRhQ6zExamkszQ5VutGIcaQqmbD9ZTVXMQ/edit#gid=1251630045"",""articles_with_PRISMA_reasons!B2:B2113""))&gt;=2),
""Exclude""
)"),"Exclude")</f>
        <v>Exclude</v>
      </c>
      <c r="E1572" s="5" t="str">
        <f>IFERROR(__xludf.DUMMYFUNCTION("IFS(
D1572=""Exclude"",""Exclude"",
AND(
FILTER(IMPORTRANGE(""https://docs.google.com/spreadsheets/d/1qpEmbGH0JjaJbUdp21-y2cPbobDbMjr09BbtdKROZWc/edit#gid=1444865654"",""articles_with_PRISMA_reasons!W2:W2113""), $A1572=IMPORTRANGE(""https://docs.google.co"&amp;"m/spreadsheets/d/1qpEmbGH0JjaJbUdp21-y2cPbobDbMjr09BbtdKROZWc/edit#gid=1444865654"",""articles_with_PRISMA_reasons!B2:B2113""))&gt;=2,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$A1572=IMPORTRANGE(""https://docs.google.com/spreadsheets/d/1qpEmbGH0JjaJbUdp21-y2cPbobDbMjr09BbtdKROZWc/edit#gid=1444865654"",""articles_with_PRISMA_reasons!B2:B2113""))&lt;2),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$A1572=IMPORTRANGE(""https://docs.google.com/spreadsheets/d/1qpEmbGH0JjaJbUdp21-y2cPbobDbMjr09Bbtd"&amp;"KROZWc/edit#gid=1444865654"",""articles_with_PRISMA_reasons!B2:B2113""))&lt;2,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$A1572=I"&amp;"MPORTRANGE(""https://docs.google.com/spreadsheets/d/1qpEmbGH0JjaJbUdp21-y2cPbobDbMjr09BbtdKROZWc/edit#gid=1444865654"",""articles_with_PRISMA_reasons!B2:B2113""))&gt;=2),
""Exclude""
)"),"Exclude")</f>
        <v>Exclude</v>
      </c>
      <c r="F1572" s="5" t="str">
        <f>IFERROR(__xludf.DUMMYFUNCTION("IFS(
E1572=""Exclude"",""Exclude"",
AND(
COUNTIF(
IMPORTRANGE(""https://docs.google.com/spreadsheets/d/1kGrh75X1cNR1D7_FcY9zMnHP8iPO4M5RCRjy6nZY0TY/edit#gid=0"",""Table 1: Study characteristics!B4:B171""),A1572)&gt;0,
COUNTIF(Studies!$A$2:$A$85,FILTER(IMPORT"&amp;"RANGE(""https://docs.google.com/spreadsheets/d/1kGrh75X1cNR1D7_FcY9zMnHP8iPO4M5RCRjy6nZY0TY/edit#gid=0"",""Table 1: Study characteristics!A4:A171""), $A1572=IMPORTRANGE(""https://docs.google.com/spreadsheets/d/1kGrh75X1cNR1D7_FcY9zMnHP8iPO4M5RCRjy6nZY0TY/"&amp;"edit#gid=0"",""Table 1: Study characteristics!B4:B171"")))&gt;0
),
""Include""
)"),"Exclude")</f>
        <v>Exclude</v>
      </c>
      <c r="G1572" s="5" t="str">
        <f>IFERROR(__xludf.DUMMYFUNCTION("IFS(
D1572=""Exclude"",
FILTER(IMPORTRANGE(""https://docs.google.com/spreadsheets/d/1BJSV3WBYJGRhQ6zExamkszQ5VutGIcaQqmbD9ZTVXMQ/edit#gid=1251630045"",""articles_with_PRISMA_reasons!AB2:AB2113""), $A1572=IMPORTRANGE(""https://docs.google.com/spreadsheets/"&amp;"d/1BJSV3WBYJGRhQ6zExamkszQ5VutGIcaQqmbD9ZTVXMQ/edit#gid=1251630045"",""articles_with_PRISMA_reasons!B2:B2113"")),
E1572=""Exclude"",
FILTER(IMPORTRANGE(""https://docs.google.com/spreadsheets/d/1qpEmbGH0JjaJbUdp21-y2cPbobDbMjr09BbtdKROZWc/edit#gid=14448656"&amp;"54"",""articles_with_PRISMA_reasons!Z2:Z2113""), $A1572=IMPORTRANGE(""https://docs.google.com/spreadsheets/d/1qpEmbGH0JjaJbUdp21-y2cPbobDbMjr09BbtdKROZWc/edit#gid=1444865654"",""articles_with_PRISMA_reasons!B2:B2113"")),F1572
=""Include"",FILTER(IMPORTRAN"&amp;"GE(""https://docs.google.com/spreadsheets/d/1kGrh75X1cNR1D7_FcY9zMnHP8iPO4M5RCRjy6nZY0TY/edit#gid=0"",""Table 1: Study characteristics!A4:A171""), $A1572=IMPORTRANGE(""https://docs.google.com/spreadsheets/d/1kGrh75X1cNR1D7_FcY9zMnHP8iPO4M5RCRjy6nZY0TY/edi"&amp;"t#gid=0"",""Table 1: Study characteristics!B4:B171""))
)"),"wrong study design")</f>
        <v>wrong study design</v>
      </c>
    </row>
    <row r="1573">
      <c r="A1573" s="4" t="str">
        <f>IFERROR(__xludf.DUMMYFUNCTION("""COMPUTED_VALUE"""),"Pseudocholinesterase activity in cerebrospinal fluid as a biomarker of solid central nervous system tumors in children")</f>
        <v>Pseudocholinesterase activity in cerebrospinal fluid as a biomarker of solid central nervous system tumors in children</v>
      </c>
      <c r="B1573" s="5" t="str">
        <f>IFERROR(__xludf.DUMMYFUNCTION("LEFT(FILTER(IMPORTRANGE(""https://docs.google.com/spreadsheets/d/1BJSV3WBYJGRhQ6zExamkszQ5VutGIcaQqmbD9ZTVXMQ/edit#gid=1251630045"",""articles_with_PRISMA_reasons!K2:K2113""), $A1573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$A1573=IMPORTRANGE(""https://docs.google.com/spreadsheets/d/1BJSV3WBYJGRhQ6zExamkszQ5VutGIcaQqmbD9ZTVXMQ/edit#gid=1251630045"",""articles_with_PRISMA_reasons!B2:B2113"")))-1)"),"Mikecin")</f>
        <v>Mikecin</v>
      </c>
      <c r="C1573" s="6">
        <f>IFERROR(__xludf.DUMMYFUNCTION("FILTER(IMPORTRANGE(""https://docs.google.com/spreadsheets/d/1BJSV3WBYJGRhQ6zExamkszQ5VutGIcaQqmbD9ZTVXMQ/edit#gid=1251630045"",""articles_with_PRISMA_reasons!C2:C2113""), $A1573=IMPORTRANGE(""https://docs.google.com/spreadsheets/d/1BJSV3WBYJGRhQ6zExamkszQ"&amp;"5VutGIcaQqmbD9ZTVXMQ/edit#gid=1251630045"",""articles_with_PRISMA_reasons!B2:B2113""))"),2013.0)</f>
        <v>2013</v>
      </c>
      <c r="D1573" s="5" t="str">
        <f>IFERROR(__xludf.DUMMYFUNCTION("IFS(AND(
FILTER(IMPORTRANGE(""https://docs.google.com/spreadsheets/d/1BJSV3WBYJGRhQ6zExamkszQ5VutGIcaQqmbD9ZTVXMQ/edit#gid=1251630045"",""articles_with_PRISMA_reasons!Y2:Y2113""), $A1573=IMPORTRANGE(""https://docs.google.com/spreadsheets/d/1BJSV3WBYJGRhQ6"&amp;"zExamkszQ5VutGIcaQqmbD9ZTVXMQ/edit#gid=1251630045"",""articles_with_PRISMA_reasons!B2:B2113""))&gt;=2,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$A1573=IMPORTRANGE(""https://docs.google.com/spreadsheets/d/1BJSV3WBYJGRhQ6zExamkszQ5VutGIcaQqmbD9ZTVXMQ/edit#gid=1251630045"",""articles_with_PRISMA_reasons!B2:B2113""))&lt;2),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$A1573=IMPORTRANGE(""https://docs.google.com/spreadsheets/d/1BJSV3WBYJGRhQ6zExamkszQ5VutGIcaQqmbD9ZTVXMQ/edit#gid=1251630045"",""a"&amp;"rticles_with_PRISMA_reasons!B2:B2113""))&lt;2,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$A1573=IMPORTRANGE(""https://docs.google"&amp;".com/spreadsheets/d/1BJSV3WBYJGRhQ6zExamkszQ5VutGIcaQqmbD9ZTVXMQ/edit#gid=1251630045"",""articles_with_PRISMA_reasons!B2:B2113""))&gt;=2),
""Exclude""
)"),"Exclude")</f>
        <v>Exclude</v>
      </c>
      <c r="E1573" s="5" t="str">
        <f>IFERROR(__xludf.DUMMYFUNCTION("IFS(
D1573=""Exclude"",""Exclude"",
AND(
FILTER(IMPORTRANGE(""https://docs.google.com/spreadsheets/d/1qpEmbGH0JjaJbUdp21-y2cPbobDbMjr09BbtdKROZWc/edit#gid=1444865654"",""articles_with_PRISMA_reasons!W2:W2113""), $A1573=IMPORTRANGE(""https://docs.google.co"&amp;"m/spreadsheets/d/1qpEmbGH0JjaJbUdp21-y2cPbobDbMjr09BbtdKROZWc/edit#gid=1444865654"",""articles_with_PRISMA_reasons!B2:B2113""))&gt;=2,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$A1573=IMPORTRANGE(""https://docs.google.com/spreadsheets/d/1qpEmbGH0JjaJbUdp21-y2cPbobDbMjr09BbtdKROZWc/edit#gid=1444865654"",""articles_with_PRISMA_reasons!B2:B2113""))&lt;2),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$A1573=IMPORTRANGE(""https://docs.google.com/spreadsheets/d/1qpEmbGH0JjaJbUdp21-y2cPbobDbMjr09Bbtd"&amp;"KROZWc/edit#gid=1444865654"",""articles_with_PRISMA_reasons!B2:B2113""))&lt;2,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$A1573=I"&amp;"MPORTRANGE(""https://docs.google.com/spreadsheets/d/1qpEmbGH0JjaJbUdp21-y2cPbobDbMjr09BbtdKROZWc/edit#gid=1444865654"",""articles_with_PRISMA_reasons!B2:B2113""))&gt;=2),
""Exclude""
)"),"Exclude")</f>
        <v>Exclude</v>
      </c>
      <c r="F1573" s="5" t="str">
        <f>IFERROR(__xludf.DUMMYFUNCTION("IFS(
E1573=""Exclude"",""Exclude"",
AND(
COUNTIF(
IMPORTRANGE(""https://docs.google.com/spreadsheets/d/1kGrh75X1cNR1D7_FcY9zMnHP8iPO4M5RCRjy6nZY0TY/edit#gid=0"",""Table 1: Study characteristics!B4:B171""),A1573)&gt;0,
COUNTIF(Studies!$A$2:$A$85,FILTER(IMPORT"&amp;"RANGE(""https://docs.google.com/spreadsheets/d/1kGrh75X1cNR1D7_FcY9zMnHP8iPO4M5RCRjy6nZY0TY/edit#gid=0"",""Table 1: Study characteristics!A4:A171""), $A1573=IMPORTRANGE(""https://docs.google.com/spreadsheets/d/1kGrh75X1cNR1D7_FcY9zMnHP8iPO4M5RCRjy6nZY0TY/"&amp;"edit#gid=0"",""Table 1: Study characteristics!B4:B171"")))&gt;0
),
""Include""
)"),"Exclude")</f>
        <v>Exclude</v>
      </c>
      <c r="G1573" s="5" t="str">
        <f>IFERROR(__xludf.DUMMYFUNCTION("IFS(
D1573=""Exclude"",
FILTER(IMPORTRANGE(""https://docs.google.com/spreadsheets/d/1BJSV3WBYJGRhQ6zExamkszQ5VutGIcaQqmbD9ZTVXMQ/edit#gid=1251630045"",""articles_with_PRISMA_reasons!AB2:AB2113""), $A1573=IMPORTRANGE(""https://docs.google.com/spreadsheets/"&amp;"d/1BJSV3WBYJGRhQ6zExamkszQ5VutGIcaQqmbD9ZTVXMQ/edit#gid=1251630045"",""articles_with_PRISMA_reasons!B2:B2113"")),
E1573=""Exclude"",
FILTER(IMPORTRANGE(""https://docs.google.com/spreadsheets/d/1qpEmbGH0JjaJbUdp21-y2cPbobDbMjr09BbtdKROZWc/edit#gid=14448656"&amp;"54"",""articles_with_PRISMA_reasons!Z2:Z2113""), $A1573=IMPORTRANGE(""https://docs.google.com/spreadsheets/d/1qpEmbGH0JjaJbUdp21-y2cPbobDbMjr09BbtdKROZWc/edit#gid=1444865654"",""articles_with_PRISMA_reasons!B2:B2113"")),F1573
=""Include"",FILTER(IMPORTRAN"&amp;"GE(""https://docs.google.com/spreadsheets/d/1kGrh75X1cNR1D7_FcY9zMnHP8iPO4M5RCRjy6nZY0TY/edit#gid=0"",""Table 1: Study characteristics!A4:A171""), $A1573=IMPORTRANGE(""https://docs.google.com/spreadsheets/d/1kGrh75X1cNR1D7_FcY9zMnHP8iPO4M5RCRjy6nZY0TY/edi"&amp;"t#gid=0"",""Table 1: Study characteristics!B4:B171""))
)"),"wrong population")</f>
        <v>wrong population</v>
      </c>
    </row>
    <row r="1574">
      <c r="A1574" s="4" t="str">
        <f>IFERROR(__xludf.DUMMYFUNCTION("""COMPUTED_VALUE"""),"Psychological aspects of chronic health conditions")</f>
        <v>Psychological aspects of chronic health conditions</v>
      </c>
      <c r="B1574" s="5" t="str">
        <f>IFERROR(__xludf.DUMMYFUNCTION("LEFT(FILTER(IMPORTRANGE(""https://docs.google.com/spreadsheets/d/1BJSV3WBYJGRhQ6zExamkszQ5VutGIcaQqmbD9ZTVXMQ/edit#gid=1251630045"",""articles_with_PRISMA_reasons!K2:K2113""), $A1574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$A1574=IMPORTRANGE(""https://docs.google.com/spreadsheets/d/1BJSV3WBYJGRhQ6zExamkszQ5VutGIcaQqmbD9ZTVXMQ/edit#gid=1251630045"",""articles_with_PRISMA_reasons!B2:B2113"")))-1)"),"Perrin")</f>
        <v>Perrin</v>
      </c>
      <c r="C1574" s="6">
        <f>IFERROR(__xludf.DUMMYFUNCTION("FILTER(IMPORTRANGE(""https://docs.google.com/spreadsheets/d/1BJSV3WBYJGRhQ6zExamkszQ5VutGIcaQqmbD9ZTVXMQ/edit#gid=1251630045"",""articles_with_PRISMA_reasons!C2:C2113""), $A1574=IMPORTRANGE(""https://docs.google.com/spreadsheets/d/1BJSV3WBYJGRhQ6zExamkszQ"&amp;"5VutGIcaQqmbD9ZTVXMQ/edit#gid=1251630045"",""articles_with_PRISMA_reasons!B2:B2113""))"),2012.0)</f>
        <v>2012</v>
      </c>
      <c r="D1574" s="5" t="str">
        <f>IFERROR(__xludf.DUMMYFUNCTION("IFS(AND(
FILTER(IMPORTRANGE(""https://docs.google.com/spreadsheets/d/1BJSV3WBYJGRhQ6zExamkszQ5VutGIcaQqmbD9ZTVXMQ/edit#gid=1251630045"",""articles_with_PRISMA_reasons!Y2:Y2113""), $A1574=IMPORTRANGE(""https://docs.google.com/spreadsheets/d/1BJSV3WBYJGRhQ6"&amp;"zExamkszQ5VutGIcaQqmbD9ZTVXMQ/edit#gid=1251630045"",""articles_with_PRISMA_reasons!B2:B2113""))&gt;=2,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$A1574=IMPORTRANGE(""https://docs.google.com/spreadsheets/d/1BJSV3WBYJGRhQ6zExamkszQ5VutGIcaQqmbD9ZTVXMQ/edit#gid=1251630045"",""articles_with_PRISMA_reasons!B2:B2113""))&lt;2),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$A1574=IMPORTRANGE(""https://docs.google.com/spreadsheets/d/1BJSV3WBYJGRhQ6zExamkszQ5VutGIcaQqmbD9ZTVXMQ/edit#gid=1251630045"",""a"&amp;"rticles_with_PRISMA_reasons!B2:B2113""))&lt;2,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$A1574=IMPORTRANGE(""https://docs.google"&amp;".com/spreadsheets/d/1BJSV3WBYJGRhQ6zExamkszQ5VutGIcaQqmbD9ZTVXMQ/edit#gid=1251630045"",""articles_with_PRISMA_reasons!B2:B2113""))&gt;=2),
""Exclude""
)"),"Exclude")</f>
        <v>Exclude</v>
      </c>
      <c r="E1574" s="5" t="str">
        <f>IFERROR(__xludf.DUMMYFUNCTION("IFS(
D1574=""Exclude"",""Exclude"",
AND(
FILTER(IMPORTRANGE(""https://docs.google.com/spreadsheets/d/1qpEmbGH0JjaJbUdp21-y2cPbobDbMjr09BbtdKROZWc/edit#gid=1444865654"",""articles_with_PRISMA_reasons!W2:W2113""), $A1574=IMPORTRANGE(""https://docs.google.co"&amp;"m/spreadsheets/d/1qpEmbGH0JjaJbUdp21-y2cPbobDbMjr09BbtdKROZWc/edit#gid=1444865654"",""articles_with_PRISMA_reasons!B2:B2113""))&gt;=2,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$A1574=IMPORTRANGE(""https://docs.google.com/spreadsheets/d/1qpEmbGH0JjaJbUdp21-y2cPbobDbMjr09BbtdKROZWc/edit#gid=1444865654"",""articles_with_PRISMA_reasons!B2:B2113""))&lt;2),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$A1574=IMPORTRANGE(""https://docs.google.com/spreadsheets/d/1qpEmbGH0JjaJbUdp21-y2cPbobDbMjr09Bbtd"&amp;"KROZWc/edit#gid=1444865654"",""articles_with_PRISMA_reasons!B2:B2113""))&lt;2,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$A1574=I"&amp;"MPORTRANGE(""https://docs.google.com/spreadsheets/d/1qpEmbGH0JjaJbUdp21-y2cPbobDbMjr09BbtdKROZWc/edit#gid=1444865654"",""articles_with_PRISMA_reasons!B2:B2113""))&gt;=2),
""Exclude""
)"),"Exclude")</f>
        <v>Exclude</v>
      </c>
      <c r="F1574" s="5" t="str">
        <f>IFERROR(__xludf.DUMMYFUNCTION("IFS(
E1574=""Exclude"",""Exclude"",
AND(
COUNTIF(
IMPORTRANGE(""https://docs.google.com/spreadsheets/d/1kGrh75X1cNR1D7_FcY9zMnHP8iPO4M5RCRjy6nZY0TY/edit#gid=0"",""Table 1: Study characteristics!B4:B171""),A1574)&gt;0,
COUNTIF(Studies!$A$2:$A$85,FILTER(IMPORT"&amp;"RANGE(""https://docs.google.com/spreadsheets/d/1kGrh75X1cNR1D7_FcY9zMnHP8iPO4M5RCRjy6nZY0TY/edit#gid=0"",""Table 1: Study characteristics!A4:A171""), $A1574=IMPORTRANGE(""https://docs.google.com/spreadsheets/d/1kGrh75X1cNR1D7_FcY9zMnHP8iPO4M5RCRjy6nZY0TY/"&amp;"edit#gid=0"",""Table 1: Study characteristics!B4:B171"")))&gt;0
),
""Include""
)"),"Exclude")</f>
        <v>Exclude</v>
      </c>
      <c r="G1574" s="5" t="str">
        <f>IFERROR(__xludf.DUMMYFUNCTION("IFS(
D1574=""Exclude"",
FILTER(IMPORTRANGE(""https://docs.google.com/spreadsheets/d/1BJSV3WBYJGRhQ6zExamkszQ5VutGIcaQqmbD9ZTVXMQ/edit#gid=1251630045"",""articles_with_PRISMA_reasons!AB2:AB2113""), $A1574=IMPORTRANGE(""https://docs.google.com/spreadsheets/"&amp;"d/1BJSV3WBYJGRhQ6zExamkszQ5VutGIcaQqmbD9ZTVXMQ/edit#gid=1251630045"",""articles_with_PRISMA_reasons!B2:B2113"")),
E1574=""Exclude"",
FILTER(IMPORTRANGE(""https://docs.google.com/spreadsheets/d/1qpEmbGH0JjaJbUdp21-y2cPbobDbMjr09BbtdKROZWc/edit#gid=14448656"&amp;"54"",""articles_with_PRISMA_reasons!Z2:Z2113""), $A1574=IMPORTRANGE(""https://docs.google.com/spreadsheets/d/1qpEmbGH0JjaJbUdp21-y2cPbobDbMjr09BbtdKROZWc/edit#gid=1444865654"",""articles_with_PRISMA_reasons!B2:B2113"")),F1574
=""Include"",FILTER(IMPORTRAN"&amp;"GE(""https://docs.google.com/spreadsheets/d/1kGrh75X1cNR1D7_FcY9zMnHP8iPO4M5RCRjy6nZY0TY/edit#gid=0"",""Table 1: Study characteristics!A4:A171""), $A1574=IMPORTRANGE(""https://docs.google.com/spreadsheets/d/1kGrh75X1cNR1D7_FcY9zMnHP8iPO4M5RCRjy6nZY0TY/edi"&amp;"t#gid=0"",""Table 1: Study characteristics!B4:B171""))
)"),"wrong study design")</f>
        <v>wrong study design</v>
      </c>
    </row>
    <row r="1575">
      <c r="A1575" s="4" t="str">
        <f>IFERROR(__xludf.DUMMYFUNCTION("""COMPUTED_VALUE"""),"Psychological factors associated with development in children with myelomeningocele")</f>
        <v>Psychological factors associated with development in children with myelomeningocele</v>
      </c>
      <c r="B1575" s="5" t="str">
        <f>IFERROR(__xludf.DUMMYFUNCTION("LEFT(FILTER(IMPORTRANGE(""https://docs.google.com/spreadsheets/d/1BJSV3WBYJGRhQ6zExamkszQ5VutGIcaQqmbD9ZTVXMQ/edit#gid=1251630045"",""articles_with_PRISMA_reasons!K2:K2113""), $A1575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$A1575=IMPORTRANGE(""https://docs.google.com/spreadsheets/d/1BJSV3WBYJGRhQ6zExamkszQ5VutGIcaQqmbD9ZTVXMQ/edit#gid=1251630045"",""articles_with_PRISMA_reasons!B2:B2113"")))-1)"),"Torres Gonzalez")</f>
        <v>Torres Gonzalez</v>
      </c>
      <c r="C1575" s="6">
        <f>IFERROR(__xludf.DUMMYFUNCTION("FILTER(IMPORTRANGE(""https://docs.google.com/spreadsheets/d/1BJSV3WBYJGRhQ6zExamkszQ5VutGIcaQqmbD9ZTVXMQ/edit#gid=1251630045"",""articles_with_PRISMA_reasons!C2:C2113""), $A1575=IMPORTRANGE(""https://docs.google.com/spreadsheets/d/1BJSV3WBYJGRhQ6zExamkszQ"&amp;"5VutGIcaQqmbD9ZTVXMQ/edit#gid=1251630045"",""articles_with_PRISMA_reasons!B2:B2113""))"),2002.0)</f>
        <v>2002</v>
      </c>
      <c r="D1575" s="5" t="str">
        <f>IFERROR(__xludf.DUMMYFUNCTION("IFS(AND(
FILTER(IMPORTRANGE(""https://docs.google.com/spreadsheets/d/1BJSV3WBYJGRhQ6zExamkszQ5VutGIcaQqmbD9ZTVXMQ/edit#gid=1251630045"",""articles_with_PRISMA_reasons!Y2:Y2113""), $A1575=IMPORTRANGE(""https://docs.google.com/spreadsheets/d/1BJSV3WBYJGRhQ6"&amp;"zExamkszQ5VutGIcaQqmbD9ZTVXMQ/edit#gid=1251630045"",""articles_with_PRISMA_reasons!B2:B2113""))&gt;=2,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$A1575=IMPORTRANGE(""https://docs.google.com/spreadsheets/d/1BJSV3WBYJGRhQ6zExamkszQ5VutGIcaQqmbD9ZTVXMQ/edit#gid=1251630045"",""articles_with_PRISMA_reasons!B2:B2113""))&lt;2),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$A1575=IMPORTRANGE(""https://docs.google.com/spreadsheets/d/1BJSV3WBYJGRhQ6zExamkszQ5VutGIcaQqmbD9ZTVXMQ/edit#gid=1251630045"",""a"&amp;"rticles_with_PRISMA_reasons!B2:B2113""))&lt;2,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$A1575=IMPORTRANGE(""https://docs.google"&amp;".com/spreadsheets/d/1BJSV3WBYJGRhQ6zExamkszQ5VutGIcaQqmbD9ZTVXMQ/edit#gid=1251630045"",""articles_with_PRISMA_reasons!B2:B2113""))&gt;=2),
""Exclude""
)"),"Exclude")</f>
        <v>Exclude</v>
      </c>
      <c r="E1575" s="5" t="str">
        <f>IFERROR(__xludf.DUMMYFUNCTION("IFS(
D1575=""Exclude"",""Exclude"",
AND(
FILTER(IMPORTRANGE(""https://docs.google.com/spreadsheets/d/1qpEmbGH0JjaJbUdp21-y2cPbobDbMjr09BbtdKROZWc/edit#gid=1444865654"",""articles_with_PRISMA_reasons!W2:W2113""), $A1575=IMPORTRANGE(""https://docs.google.co"&amp;"m/spreadsheets/d/1qpEmbGH0JjaJbUdp21-y2cPbobDbMjr09BbtdKROZWc/edit#gid=1444865654"",""articles_with_PRISMA_reasons!B2:B2113""))&gt;=2,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$A1575=IMPORTRANGE(""https://docs.google.com/spreadsheets/d/1qpEmbGH0JjaJbUdp21-y2cPbobDbMjr09BbtdKROZWc/edit#gid=1444865654"",""articles_with_PRISMA_reasons!B2:B2113""))&lt;2),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$A1575=IMPORTRANGE(""https://docs.google.com/spreadsheets/d/1qpEmbGH0JjaJbUdp21-y2cPbobDbMjr09Bbtd"&amp;"KROZWc/edit#gid=1444865654"",""articles_with_PRISMA_reasons!B2:B2113""))&lt;2,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$A1575=I"&amp;"MPORTRANGE(""https://docs.google.com/spreadsheets/d/1qpEmbGH0JjaJbUdp21-y2cPbobDbMjr09BbtdKROZWc/edit#gid=1444865654"",""articles_with_PRISMA_reasons!B2:B2113""))&gt;=2),
""Exclude""
)"),"Exclude")</f>
        <v>Exclude</v>
      </c>
      <c r="F1575" s="5" t="str">
        <f>IFERROR(__xludf.DUMMYFUNCTION("IFS(
E1575=""Exclude"",""Exclude"",
AND(
COUNTIF(
IMPORTRANGE(""https://docs.google.com/spreadsheets/d/1kGrh75X1cNR1D7_FcY9zMnHP8iPO4M5RCRjy6nZY0TY/edit#gid=0"",""Table 1: Study characteristics!B4:B171""),A1575)&gt;0,
COUNTIF(Studies!$A$2:$A$85,FILTER(IMPORT"&amp;"RANGE(""https://docs.google.com/spreadsheets/d/1kGrh75X1cNR1D7_FcY9zMnHP8iPO4M5RCRjy6nZY0TY/edit#gid=0"",""Table 1: Study characteristics!A4:A171""), $A1575=IMPORTRANGE(""https://docs.google.com/spreadsheets/d/1kGrh75X1cNR1D7_FcY9zMnHP8iPO4M5RCRjy6nZY0TY/"&amp;"edit#gid=0"",""Table 1: Study characteristics!B4:B171"")))&gt;0
),
""Include""
)"),"Exclude")</f>
        <v>Exclude</v>
      </c>
      <c r="G1575" s="5" t="str">
        <f>IFERROR(__xludf.DUMMYFUNCTION("IFS(
D1575=""Exclude"",
FILTER(IMPORTRANGE(""https://docs.google.com/spreadsheets/d/1BJSV3WBYJGRhQ6zExamkszQ5VutGIcaQqmbD9ZTVXMQ/edit#gid=1251630045"",""articles_with_PRISMA_reasons!AB2:AB2113""), $A1575=IMPORTRANGE(""https://docs.google.com/spreadsheets/"&amp;"d/1BJSV3WBYJGRhQ6zExamkszQ5VutGIcaQqmbD9ZTVXMQ/edit#gid=1251630045"",""articles_with_PRISMA_reasons!B2:B2113"")),
E1575=""Exclude"",
FILTER(IMPORTRANGE(""https://docs.google.com/spreadsheets/d/1qpEmbGH0JjaJbUdp21-y2cPbobDbMjr09BbtdKROZWc/edit#gid=14448656"&amp;"54"",""articles_with_PRISMA_reasons!Z2:Z2113""), $A1575=IMPORTRANGE(""https://docs.google.com/spreadsheets/d/1qpEmbGH0JjaJbUdp21-y2cPbobDbMjr09BbtdKROZWc/edit#gid=1444865654"",""articles_with_PRISMA_reasons!B2:B2113"")),F1575
=""Include"",FILTER(IMPORTRAN"&amp;"GE(""https://docs.google.com/spreadsheets/d/1kGrh75X1cNR1D7_FcY9zMnHP8iPO4M5RCRjy6nZY0TY/edit#gid=0"",""Table 1: Study characteristics!A4:A171""), $A1575=IMPORTRANGE(""https://docs.google.com/spreadsheets/d/1kGrh75X1cNR1D7_FcY9zMnHP8iPO4M5RCRjy6nZY0TY/edi"&amp;"t#gid=0"",""Table 1: Study characteristics!B4:B171""))
)"),"wrong population")</f>
        <v>wrong population</v>
      </c>
    </row>
    <row r="1576">
      <c r="A1576" s="4" t="str">
        <f>IFERROR(__xludf.DUMMYFUNCTION("""COMPUTED_VALUE"""),"Psychosocial and cultural factors associated with the management of spina bifida cystica in Nigeria")</f>
        <v>Psychosocial and cultural factors associated with the management of spina bifida cystica in Nigeria</v>
      </c>
      <c r="B1576" s="5" t="str">
        <f>IFERROR(__xludf.DUMMYFUNCTION("LEFT(FILTER(IMPORTRANGE(""https://docs.google.com/spreadsheets/d/1BJSV3WBYJGRhQ6zExamkszQ5VutGIcaQqmbD9ZTVXMQ/edit#gid=1251630045"",""articles_with_PRISMA_reasons!K2:K2113""), $A1576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$A1576=IMPORTRANGE(""https://docs.google.com/spreadsheets/d/1BJSV3WBYJGRhQ6zExamkszQ5VutGIcaQqmbD9ZTVXMQ/edit#gid=1251630045"",""articles_with_PRISMA_reasons!B2:B2113"")))-1)"),"Oyewole")</f>
        <v>Oyewole</v>
      </c>
      <c r="C1576" s="6">
        <f>IFERROR(__xludf.DUMMYFUNCTION("FILTER(IMPORTRANGE(""https://docs.google.com/spreadsheets/d/1BJSV3WBYJGRhQ6zExamkszQ5VutGIcaQqmbD9ZTVXMQ/edit#gid=1251630045"",""articles_with_PRISMA_reasons!C2:C2113""), $A1576=IMPORTRANGE(""https://docs.google.com/spreadsheets/d/1BJSV3WBYJGRhQ6zExamkszQ"&amp;"5VutGIcaQqmbD9ZTVXMQ/edit#gid=1251630045"",""articles_with_PRISMA_reasons!B2:B2113""))"),1985.0)</f>
        <v>1985</v>
      </c>
      <c r="D1576" s="5" t="str">
        <f>IFERROR(__xludf.DUMMYFUNCTION("IFS(AND(
FILTER(IMPORTRANGE(""https://docs.google.com/spreadsheets/d/1BJSV3WBYJGRhQ6zExamkszQ5VutGIcaQqmbD9ZTVXMQ/edit#gid=1251630045"",""articles_with_PRISMA_reasons!Y2:Y2113""), $A1576=IMPORTRANGE(""https://docs.google.com/spreadsheets/d/1BJSV3WBYJGRhQ6"&amp;"zExamkszQ5VutGIcaQqmbD9ZTVXMQ/edit#gid=1251630045"",""articles_with_PRISMA_reasons!B2:B2113""))&gt;=2,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$A1576=IMPORTRANGE(""https://docs.google.com/spreadsheets/d/1BJSV3WBYJGRhQ6zExamkszQ5VutGIcaQqmbD9ZTVXMQ/edit#gid=1251630045"",""articles_with_PRISMA_reasons!B2:B2113""))&lt;2),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$A1576=IMPORTRANGE(""https://docs.google.com/spreadsheets/d/1BJSV3WBYJGRhQ6zExamkszQ5VutGIcaQqmbD9ZTVXMQ/edit#gid=1251630045"",""a"&amp;"rticles_with_PRISMA_reasons!B2:B2113""))&lt;2,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$A1576=IMPORTRANGE(""https://docs.google"&amp;".com/spreadsheets/d/1BJSV3WBYJGRhQ6zExamkszQ5VutGIcaQqmbD9ZTVXMQ/edit#gid=1251630045"",""articles_with_PRISMA_reasons!B2:B2113""))&gt;=2),
""Exclude""
)"),"Exclude")</f>
        <v>Exclude</v>
      </c>
      <c r="E1576" s="5" t="str">
        <f>IFERROR(__xludf.DUMMYFUNCTION("IFS(
D1576=""Exclude"",""Exclude"",
AND(
FILTER(IMPORTRANGE(""https://docs.google.com/spreadsheets/d/1qpEmbGH0JjaJbUdp21-y2cPbobDbMjr09BbtdKROZWc/edit#gid=1444865654"",""articles_with_PRISMA_reasons!W2:W2113""), $A1576=IMPORTRANGE(""https://docs.google.co"&amp;"m/spreadsheets/d/1qpEmbGH0JjaJbUdp21-y2cPbobDbMjr09BbtdKROZWc/edit#gid=1444865654"",""articles_with_PRISMA_reasons!B2:B2113""))&gt;=2,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$A1576=IMPORTRANGE(""https://docs.google.com/spreadsheets/d/1qpEmbGH0JjaJbUdp21-y2cPbobDbMjr09BbtdKROZWc/edit#gid=1444865654"",""articles_with_PRISMA_reasons!B2:B2113""))&lt;2),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$A1576=IMPORTRANGE(""https://docs.google.com/spreadsheets/d/1qpEmbGH0JjaJbUdp21-y2cPbobDbMjr09Bbtd"&amp;"KROZWc/edit#gid=1444865654"",""articles_with_PRISMA_reasons!B2:B2113""))&lt;2,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$A1576=I"&amp;"MPORTRANGE(""https://docs.google.com/spreadsheets/d/1qpEmbGH0JjaJbUdp21-y2cPbobDbMjr09BbtdKROZWc/edit#gid=1444865654"",""articles_with_PRISMA_reasons!B2:B2113""))&gt;=2),
""Exclude""
)"),"Exclude")</f>
        <v>Exclude</v>
      </c>
      <c r="F1576" s="5" t="str">
        <f>IFERROR(__xludf.DUMMYFUNCTION("IFS(
E1576=""Exclude"",""Exclude"",
AND(
COUNTIF(
IMPORTRANGE(""https://docs.google.com/spreadsheets/d/1kGrh75X1cNR1D7_FcY9zMnHP8iPO4M5RCRjy6nZY0TY/edit#gid=0"",""Table 1: Study characteristics!B4:B171""),A1576)&gt;0,
COUNTIF(Studies!$A$2:$A$85,FILTER(IMPORT"&amp;"RANGE(""https://docs.google.com/spreadsheets/d/1kGrh75X1cNR1D7_FcY9zMnHP8iPO4M5RCRjy6nZY0TY/edit#gid=0"",""Table 1: Study characteristics!A4:A171""), $A1576=IMPORTRANGE(""https://docs.google.com/spreadsheets/d/1kGrh75X1cNR1D7_FcY9zMnHP8iPO4M5RCRjy6nZY0TY/"&amp;"edit#gid=0"",""Table 1: Study characteristics!B4:B171"")))&gt;0
),
""Include""
)"),"Exclude")</f>
        <v>Exclude</v>
      </c>
      <c r="G1576" s="5" t="str">
        <f>IFERROR(__xludf.DUMMYFUNCTION("IFS(
D1576=""Exclude"",
FILTER(IMPORTRANGE(""https://docs.google.com/spreadsheets/d/1BJSV3WBYJGRhQ6zExamkszQ5VutGIcaQqmbD9ZTVXMQ/edit#gid=1251630045"",""articles_with_PRISMA_reasons!AB2:AB2113""), $A1576=IMPORTRANGE(""https://docs.google.com/spreadsheets/"&amp;"d/1BJSV3WBYJGRhQ6zExamkszQ5VutGIcaQqmbD9ZTVXMQ/edit#gid=1251630045"",""articles_with_PRISMA_reasons!B2:B2113"")),
E1576=""Exclude"",
FILTER(IMPORTRANGE(""https://docs.google.com/spreadsheets/d/1qpEmbGH0JjaJbUdp21-y2cPbobDbMjr09BbtdKROZWc/edit#gid=14448656"&amp;"54"",""articles_with_PRISMA_reasons!Z2:Z2113""), $A1576=IMPORTRANGE(""https://docs.google.com/spreadsheets/d/1qpEmbGH0JjaJbUdp21-y2cPbobDbMjr09BbtdKROZWc/edit#gid=1444865654"",""articles_with_PRISMA_reasons!B2:B2113"")),F1576
=""Include"",FILTER(IMPORTRAN"&amp;"GE(""https://docs.google.com/spreadsheets/d/1kGrh75X1cNR1D7_FcY9zMnHP8iPO4M5RCRjy6nZY0TY/edit#gid=0"",""Table 1: Study characteristics!A4:A171""), $A1576=IMPORTRANGE(""https://docs.google.com/spreadsheets/d/1kGrh75X1cNR1D7_FcY9zMnHP8iPO4M5RCRjy6nZY0TY/edi"&amp;"t#gid=0"",""Table 1: Study characteristics!B4:B171""))
)"),"wrong study design")</f>
        <v>wrong study design</v>
      </c>
    </row>
    <row r="1577">
      <c r="A1577" s="4" t="str">
        <f>IFERROR(__xludf.DUMMYFUNCTION("""COMPUTED_VALUE"""),"Pulmonary hypertension due to multiple emboli")</f>
        <v>Pulmonary hypertension due to multiple emboli</v>
      </c>
      <c r="B1577" s="5" t="str">
        <f>IFERROR(__xludf.DUMMYFUNCTION("LEFT(FILTER(IMPORTRANGE(""https://docs.google.com/spreadsheets/d/1BJSV3WBYJGRhQ6zExamkszQ5VutGIcaQqmbD9ZTVXMQ/edit#gid=1251630045"",""articles_with_PRISMA_reasons!K2:K2113""), $A1577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$A1577=IMPORTRANGE(""https://docs.google.com/spreadsheets/d/1BJSV3WBYJGRhQ6zExamkszQ5VutGIcaQqmbD9ZTVXMQ/edit#gid=1251630045"",""articles_with_PRISMA_reasons!B2:B2113"")))-1)"),"McMahon")</f>
        <v>McMahon</v>
      </c>
      <c r="C1577" s="6">
        <f>IFERROR(__xludf.DUMMYFUNCTION("FILTER(IMPORTRANGE(""https://docs.google.com/spreadsheets/d/1BJSV3WBYJGRhQ6zExamkszQ5VutGIcaQqmbD9ZTVXMQ/edit#gid=1251630045"",""articles_with_PRISMA_reasons!C2:C2113""), $A1577=IMPORTRANGE(""https://docs.google.com/spreadsheets/d/1BJSV3WBYJGRhQ6zExamkszQ"&amp;"5VutGIcaQqmbD9ZTVXMQ/edit#gid=1251630045"",""articles_with_PRISMA_reasons!B2:B2113""))"),1978.0)</f>
        <v>1978</v>
      </c>
      <c r="D1577" s="5" t="str">
        <f>IFERROR(__xludf.DUMMYFUNCTION("IFS(AND(
FILTER(IMPORTRANGE(""https://docs.google.com/spreadsheets/d/1BJSV3WBYJGRhQ6zExamkszQ5VutGIcaQqmbD9ZTVXMQ/edit#gid=1251630045"",""articles_with_PRISMA_reasons!Y2:Y2113""), $A1577=IMPORTRANGE(""https://docs.google.com/spreadsheets/d/1BJSV3WBYJGRhQ6"&amp;"zExamkszQ5VutGIcaQqmbD9ZTVXMQ/edit#gid=1251630045"",""articles_with_PRISMA_reasons!B2:B2113""))&gt;=2,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$A1577=IMPORTRANGE(""https://docs.google.com/spreadsheets/d/1BJSV3WBYJGRhQ6zExamkszQ5VutGIcaQqmbD9ZTVXMQ/edit#gid=1251630045"",""articles_with_PRISMA_reasons!B2:B2113""))&lt;2),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$A1577=IMPORTRANGE(""https://docs.google.com/spreadsheets/d/1BJSV3WBYJGRhQ6zExamkszQ5VutGIcaQqmbD9ZTVXMQ/edit#gid=1251630045"",""a"&amp;"rticles_with_PRISMA_reasons!B2:B2113""))&lt;2,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$A1577=IMPORTRANGE(""https://docs.google"&amp;".com/spreadsheets/d/1BJSV3WBYJGRhQ6zExamkszQ5VutGIcaQqmbD9ZTVXMQ/edit#gid=1251630045"",""articles_with_PRISMA_reasons!B2:B2113""))&gt;=2),
""Exclude""
)"),"Exclude")</f>
        <v>Exclude</v>
      </c>
      <c r="E1577" s="5" t="str">
        <f>IFERROR(__xludf.DUMMYFUNCTION("IFS(
D1577=""Exclude"",""Exclude"",
AND(
FILTER(IMPORTRANGE(""https://docs.google.com/spreadsheets/d/1qpEmbGH0JjaJbUdp21-y2cPbobDbMjr09BbtdKROZWc/edit#gid=1444865654"",""articles_with_PRISMA_reasons!W2:W2113""), $A1577=IMPORTRANGE(""https://docs.google.co"&amp;"m/spreadsheets/d/1qpEmbGH0JjaJbUdp21-y2cPbobDbMjr09BbtdKROZWc/edit#gid=1444865654"",""articles_with_PRISMA_reasons!B2:B2113""))&gt;=2,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$A1577=IMPORTRANGE(""https://docs.google.com/spreadsheets/d/1qpEmbGH0JjaJbUdp21-y2cPbobDbMjr09BbtdKROZWc/edit#gid=1444865654"",""articles_with_PRISMA_reasons!B2:B2113""))&lt;2),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$A1577=IMPORTRANGE(""https://docs.google.com/spreadsheets/d/1qpEmbGH0JjaJbUdp21-y2cPbobDbMjr09Bbtd"&amp;"KROZWc/edit#gid=1444865654"",""articles_with_PRISMA_reasons!B2:B2113""))&lt;2,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$A1577=I"&amp;"MPORTRANGE(""https://docs.google.com/spreadsheets/d/1qpEmbGH0JjaJbUdp21-y2cPbobDbMjr09BbtdKROZWc/edit#gid=1444865654"",""articles_with_PRISMA_reasons!B2:B2113""))&gt;=2),
""Exclude""
)"),"Exclude")</f>
        <v>Exclude</v>
      </c>
      <c r="F1577" s="5" t="str">
        <f>IFERROR(__xludf.DUMMYFUNCTION("IFS(
E1577=""Exclude"",""Exclude"",
AND(
COUNTIF(
IMPORTRANGE(""https://docs.google.com/spreadsheets/d/1kGrh75X1cNR1D7_FcY9zMnHP8iPO4M5RCRjy6nZY0TY/edit#gid=0"",""Table 1: Study characteristics!B4:B171""),A1577)&gt;0,
COUNTIF(Studies!$A$2:$A$85,FILTER(IMPORT"&amp;"RANGE(""https://docs.google.com/spreadsheets/d/1kGrh75X1cNR1D7_FcY9zMnHP8iPO4M5RCRjy6nZY0TY/edit#gid=0"",""Table 1: Study characteristics!A4:A171""), $A1577=IMPORTRANGE(""https://docs.google.com/spreadsheets/d/1kGrh75X1cNR1D7_FcY9zMnHP8iPO4M5RCRjy6nZY0TY/"&amp;"edit#gid=0"",""Table 1: Study characteristics!B4:B171"")))&gt;0
),
""Include""
)"),"Exclude")</f>
        <v>Exclude</v>
      </c>
      <c r="G1577" s="5" t="str">
        <f>IFERROR(__xludf.DUMMYFUNCTION("IFS(
D1577=""Exclude"",
FILTER(IMPORTRANGE(""https://docs.google.com/spreadsheets/d/1BJSV3WBYJGRhQ6zExamkszQ5VutGIcaQqmbD9ZTVXMQ/edit#gid=1251630045"",""articles_with_PRISMA_reasons!AB2:AB2113""), $A1577=IMPORTRANGE(""https://docs.google.com/spreadsheets/"&amp;"d/1BJSV3WBYJGRhQ6zExamkszQ5VutGIcaQqmbD9ZTVXMQ/edit#gid=1251630045"",""articles_with_PRISMA_reasons!B2:B2113"")),
E1577=""Exclude"",
FILTER(IMPORTRANGE(""https://docs.google.com/spreadsheets/d/1qpEmbGH0JjaJbUdp21-y2cPbobDbMjr09BbtdKROZWc/edit#gid=14448656"&amp;"54"",""articles_with_PRISMA_reasons!Z2:Z2113""), $A1577=IMPORTRANGE(""https://docs.google.com/spreadsheets/d/1qpEmbGH0JjaJbUdp21-y2cPbobDbMjr09BbtdKROZWc/edit#gid=1444865654"",""articles_with_PRISMA_reasons!B2:B2113"")),F1577
=""Include"",FILTER(IMPORTRAN"&amp;"GE(""https://docs.google.com/spreadsheets/d/1kGrh75X1cNR1D7_FcY9zMnHP8iPO4M5RCRjy6nZY0TY/edit#gid=0"",""Table 1: Study characteristics!A4:A171""), $A1577=IMPORTRANGE(""https://docs.google.com/spreadsheets/d/1kGrh75X1cNR1D7_FcY9zMnHP8iPO4M5RCRjy6nZY0TY/edi"&amp;"t#gid=0"",""Table 1: Study characteristics!B4:B171""))
)"),"wrong population")</f>
        <v>wrong population</v>
      </c>
    </row>
    <row r="1578">
      <c r="A1578" s="4" t="str">
        <f>IFERROR(__xludf.DUMMYFUNCTION("""COMPUTED_VALUE"""),"Puncture porencephaly. Pathogenesis and prevention")</f>
        <v>Puncture porencephaly. Pathogenesis and prevention</v>
      </c>
      <c r="B1578" s="5" t="str">
        <f>IFERROR(__xludf.DUMMYFUNCTION("LEFT(FILTER(IMPORTRANGE(""https://docs.google.com/spreadsheets/d/1BJSV3WBYJGRhQ6zExamkszQ5VutGIcaQqmbD9ZTVXMQ/edit#gid=1251630045"",""articles_with_PRISMA_reasons!K2:K2113""), $A1578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$A1578=IMPORTRANGE(""https://docs.google.com/spreadsheets/d/1BJSV3WBYJGRhQ6zExamkszQ5VutGIcaQqmbD9ZTVXMQ/edit#gid=1251630045"",""articles_with_PRISMA_reasons!B2:B2113"")))-1)"),"Salmon")</f>
        <v>Salmon</v>
      </c>
      <c r="C1578" s="6">
        <f>IFERROR(__xludf.DUMMYFUNCTION("FILTER(IMPORTRANGE(""https://docs.google.com/spreadsheets/d/1BJSV3WBYJGRhQ6zExamkszQ5VutGIcaQqmbD9ZTVXMQ/edit#gid=1251630045"",""articles_with_PRISMA_reasons!C2:C2113""), $A1578=IMPORTRANGE(""https://docs.google.com/spreadsheets/d/1BJSV3WBYJGRhQ6zExamkszQ"&amp;"5VutGIcaQqmbD9ZTVXMQ/edit#gid=1251630045"",""articles_with_PRISMA_reasons!B2:B2113""))"),1967.0)</f>
        <v>1967</v>
      </c>
      <c r="D1578" s="5" t="str">
        <f>IFERROR(__xludf.DUMMYFUNCTION("IFS(AND(
FILTER(IMPORTRANGE(""https://docs.google.com/spreadsheets/d/1BJSV3WBYJGRhQ6zExamkszQ5VutGIcaQqmbD9ZTVXMQ/edit#gid=1251630045"",""articles_with_PRISMA_reasons!Y2:Y2113""), $A1578=IMPORTRANGE(""https://docs.google.com/spreadsheets/d/1BJSV3WBYJGRhQ6"&amp;"zExamkszQ5VutGIcaQqmbD9ZTVXMQ/edit#gid=1251630045"",""articles_with_PRISMA_reasons!B2:B2113""))&gt;=2,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$A1578=IMPORTRANGE(""https://docs.google.com/spreadsheets/d/1BJSV3WBYJGRhQ6zExamkszQ5VutGIcaQqmbD9ZTVXMQ/edit#gid=1251630045"",""articles_with_PRISMA_reasons!B2:B2113""))&lt;2),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$A1578=IMPORTRANGE(""https://docs.google.com/spreadsheets/d/1BJSV3WBYJGRhQ6zExamkszQ5VutGIcaQqmbD9ZTVXMQ/edit#gid=1251630045"",""a"&amp;"rticles_with_PRISMA_reasons!B2:B2113""))&lt;2,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$A1578=IMPORTRANGE(""https://docs.google"&amp;".com/spreadsheets/d/1BJSV3WBYJGRhQ6zExamkszQ5VutGIcaQqmbD9ZTVXMQ/edit#gid=1251630045"",""articles_with_PRISMA_reasons!B2:B2113""))&gt;=2),
""Exclude""
)"),"Exclude")</f>
        <v>Exclude</v>
      </c>
      <c r="E1578" s="5" t="str">
        <f>IFERROR(__xludf.DUMMYFUNCTION("IFS(
D1578=""Exclude"",""Exclude"",
AND(
FILTER(IMPORTRANGE(""https://docs.google.com/spreadsheets/d/1qpEmbGH0JjaJbUdp21-y2cPbobDbMjr09BbtdKROZWc/edit#gid=1444865654"",""articles_with_PRISMA_reasons!W2:W2113""), $A1578=IMPORTRANGE(""https://docs.google.co"&amp;"m/spreadsheets/d/1qpEmbGH0JjaJbUdp21-y2cPbobDbMjr09BbtdKROZWc/edit#gid=1444865654"",""articles_with_PRISMA_reasons!B2:B2113""))&gt;=2,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$A1578=IMPORTRANGE(""https://docs.google.com/spreadsheets/d/1qpEmbGH0JjaJbUdp21-y2cPbobDbMjr09BbtdKROZWc/edit#gid=1444865654"",""articles_with_PRISMA_reasons!B2:B2113""))&lt;2),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$A1578=IMPORTRANGE(""https://docs.google.com/spreadsheets/d/1qpEmbGH0JjaJbUdp21-y2cPbobDbMjr09Bbtd"&amp;"KROZWc/edit#gid=1444865654"",""articles_with_PRISMA_reasons!B2:B2113""))&lt;2,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$A1578=I"&amp;"MPORTRANGE(""https://docs.google.com/spreadsheets/d/1qpEmbGH0JjaJbUdp21-y2cPbobDbMjr09BbtdKROZWc/edit#gid=1444865654"",""articles_with_PRISMA_reasons!B2:B2113""))&gt;=2),
""Exclude""
)"),"Exclude")</f>
        <v>Exclude</v>
      </c>
      <c r="F1578" s="5" t="str">
        <f>IFERROR(__xludf.DUMMYFUNCTION("IFS(
E1578=""Exclude"",""Exclude"",
AND(
COUNTIF(
IMPORTRANGE(""https://docs.google.com/spreadsheets/d/1kGrh75X1cNR1D7_FcY9zMnHP8iPO4M5RCRjy6nZY0TY/edit#gid=0"",""Table 1: Study characteristics!B4:B171""),A1578)&gt;0,
COUNTIF(Studies!$A$2:$A$85,FILTER(IMPORT"&amp;"RANGE(""https://docs.google.com/spreadsheets/d/1kGrh75X1cNR1D7_FcY9zMnHP8iPO4M5RCRjy6nZY0TY/edit#gid=0"",""Table 1: Study characteristics!A4:A171""), $A1578=IMPORTRANGE(""https://docs.google.com/spreadsheets/d/1kGrh75X1cNR1D7_FcY9zMnHP8iPO4M5RCRjy6nZY0TY/"&amp;"edit#gid=0"",""Table 1: Study characteristics!B4:B171"")))&gt;0
),
""Include""
)"),"Exclude")</f>
        <v>Exclude</v>
      </c>
      <c r="G1578" s="5" t="str">
        <f>IFERROR(__xludf.DUMMYFUNCTION("IFS(
D1578=""Exclude"",
FILTER(IMPORTRANGE(""https://docs.google.com/spreadsheets/d/1BJSV3WBYJGRhQ6zExamkszQ5VutGIcaQqmbD9ZTVXMQ/edit#gid=1251630045"",""articles_with_PRISMA_reasons!AB2:AB2113""), $A1578=IMPORTRANGE(""https://docs.google.com/spreadsheets/"&amp;"d/1BJSV3WBYJGRhQ6zExamkszQ5VutGIcaQqmbD9ZTVXMQ/edit#gid=1251630045"",""articles_with_PRISMA_reasons!B2:B2113"")),
E1578=""Exclude"",
FILTER(IMPORTRANGE(""https://docs.google.com/spreadsheets/d/1qpEmbGH0JjaJbUdp21-y2cPbobDbMjr09BbtdKROZWc/edit#gid=14448656"&amp;"54"",""articles_with_PRISMA_reasons!Z2:Z2113""), $A1578=IMPORTRANGE(""https://docs.google.com/spreadsheets/d/1qpEmbGH0JjaJbUdp21-y2cPbobDbMjr09BbtdKROZWc/edit#gid=1444865654"",""articles_with_PRISMA_reasons!B2:B2113"")),F1578
=""Include"",FILTER(IMPORTRAN"&amp;"GE(""https://docs.google.com/spreadsheets/d/1kGrh75X1cNR1D7_FcY9zMnHP8iPO4M5RCRjy6nZY0TY/edit#gid=0"",""Table 1: Study characteristics!A4:A171""), $A1578=IMPORTRANGE(""https://docs.google.com/spreadsheets/d/1kGrh75X1cNR1D7_FcY9zMnHP8iPO4M5RCRjy6nZY0TY/edi"&amp;"t#gid=0"",""Table 1: Study characteristics!B4:B171""))
)"),"wrong population")</f>
        <v>wrong population</v>
      </c>
    </row>
    <row r="1579">
      <c r="A1579" s="4" t="str">
        <f>IFERROR(__xludf.DUMMYFUNCTION("""COMPUTED_VALUE"""),"QI em pacientes com hidrocefalia e mielomeningocele: implicações do tratamento cirúrgico")</f>
        <v>QI em pacientes com hidrocefalia e mielomeningocele: implicações do tratamento cirúrgico</v>
      </c>
      <c r="B1579" s="5" t="str">
        <f>IFERROR(__xludf.DUMMYFUNCTION("LEFT(FILTER(IMPORTRANGE(""https://docs.google.com/spreadsheets/d/1BJSV3WBYJGRhQ6zExamkszQ5VutGIcaQqmbD9ZTVXMQ/edit#gid=1251630045"",""articles_with_PRISMA_reasons!K2:K2113""), $A1579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$A1579=IMPORTRANGE(""https://docs.google.com/spreadsheets/d/1BJSV3WBYJGRhQ6zExamkszQ5VutGIcaQqmbD9ZTVXMQ/edit#gid=1251630045"",""articles_with_PRISMA_reasons!B2:B2113"")))-1)"),"Fobe")</f>
        <v>Fobe</v>
      </c>
      <c r="C1579" s="6">
        <f>IFERROR(__xludf.DUMMYFUNCTION("FILTER(IMPORTRANGE(""https://docs.google.com/spreadsheets/d/1BJSV3WBYJGRhQ6zExamkszQ5VutGIcaQqmbD9ZTVXMQ/edit#gid=1251630045"",""articles_with_PRISMA_reasons!C2:C2113""), $A1579=IMPORTRANGE(""https://docs.google.com/spreadsheets/d/1BJSV3WBYJGRhQ6zExamkszQ"&amp;"5VutGIcaQqmbD9ZTVXMQ/edit#gid=1251630045"",""articles_with_PRISMA_reasons!B2:B2113""))"),1999.0)</f>
        <v>1999</v>
      </c>
      <c r="D1579" s="5" t="str">
        <f>IFERROR(__xludf.DUMMYFUNCTION("IFS(AND(
FILTER(IMPORTRANGE(""https://docs.google.com/spreadsheets/d/1BJSV3WBYJGRhQ6zExamkszQ5VutGIcaQqmbD9ZTVXMQ/edit#gid=1251630045"",""articles_with_PRISMA_reasons!Y2:Y2113""), $A1579=IMPORTRANGE(""https://docs.google.com/spreadsheets/d/1BJSV3WBYJGRhQ6"&amp;"zExamkszQ5VutGIcaQqmbD9ZTVXMQ/edit#gid=1251630045"",""articles_with_PRISMA_reasons!B2:B2113""))&gt;=2,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$A1579=IMPORTRANGE(""https://docs.google.com/spreadsheets/d/1BJSV3WBYJGRhQ6zExamkszQ5VutGIcaQqmbD9ZTVXMQ/edit#gid=1251630045"",""articles_with_PRISMA_reasons!B2:B2113""))&lt;2),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$A1579=IMPORTRANGE(""https://docs.google.com/spreadsheets/d/1BJSV3WBYJGRhQ6zExamkszQ5VutGIcaQqmbD9ZTVXMQ/edit#gid=1251630045"",""a"&amp;"rticles_with_PRISMA_reasons!B2:B2113""))&lt;2,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$A1579=IMPORTRANGE(""https://docs.google"&amp;".com/spreadsheets/d/1BJSV3WBYJGRhQ6zExamkszQ5VutGIcaQqmbD9ZTVXMQ/edit#gid=1251630045"",""articles_with_PRISMA_reasons!B2:B2113""))&gt;=2),
""Exclude""
)"),"Exclude")</f>
        <v>Exclude</v>
      </c>
      <c r="E1579" s="5" t="str">
        <f>IFERROR(__xludf.DUMMYFUNCTION("IFS(
D1579=""Exclude"",""Exclude"",
AND(
FILTER(IMPORTRANGE(""https://docs.google.com/spreadsheets/d/1qpEmbGH0JjaJbUdp21-y2cPbobDbMjr09BbtdKROZWc/edit#gid=1444865654"",""articles_with_PRISMA_reasons!W2:W2113""), $A1579=IMPORTRANGE(""https://docs.google.co"&amp;"m/spreadsheets/d/1qpEmbGH0JjaJbUdp21-y2cPbobDbMjr09BbtdKROZWc/edit#gid=1444865654"",""articles_with_PRISMA_reasons!B2:B2113""))&gt;=2,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$A1579=IMPORTRANGE(""https://docs.google.com/spreadsheets/d/1qpEmbGH0JjaJbUdp21-y2cPbobDbMjr09BbtdKROZWc/edit#gid=1444865654"",""articles_with_PRISMA_reasons!B2:B2113""))&lt;2),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$A1579=IMPORTRANGE(""https://docs.google.com/spreadsheets/d/1qpEmbGH0JjaJbUdp21-y2cPbobDbMjr09Bbtd"&amp;"KROZWc/edit#gid=1444865654"",""articles_with_PRISMA_reasons!B2:B2113""))&lt;2,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$A1579=I"&amp;"MPORTRANGE(""https://docs.google.com/spreadsheets/d/1qpEmbGH0JjaJbUdp21-y2cPbobDbMjr09BbtdKROZWc/edit#gid=1444865654"",""articles_with_PRISMA_reasons!B2:B2113""))&gt;=2),
""Exclude""
)"),"Exclude")</f>
        <v>Exclude</v>
      </c>
      <c r="F1579" s="5" t="str">
        <f>IFERROR(__xludf.DUMMYFUNCTION("IFS(
E1579=""Exclude"",""Exclude"",
AND(
COUNTIF(
IMPORTRANGE(""https://docs.google.com/spreadsheets/d/1kGrh75X1cNR1D7_FcY9zMnHP8iPO4M5RCRjy6nZY0TY/edit#gid=0"",""Table 1: Study characteristics!B4:B171""),A1579)&gt;0,
COUNTIF(Studies!$A$2:$A$85,FILTER(IMPORT"&amp;"RANGE(""https://docs.google.com/spreadsheets/d/1kGrh75X1cNR1D7_FcY9zMnHP8iPO4M5RCRjy6nZY0TY/edit#gid=0"",""Table 1: Study characteristics!A4:A171""), $A1579=IMPORTRANGE(""https://docs.google.com/spreadsheets/d/1kGrh75X1cNR1D7_FcY9zMnHP8iPO4M5RCRjy6nZY0TY/"&amp;"edit#gid=0"",""Table 1: Study characteristics!B4:B171"")))&gt;0
),
""Include""
)"),"Exclude")</f>
        <v>Exclude</v>
      </c>
      <c r="G1579" s="5" t="str">
        <f>IFERROR(__xludf.DUMMYFUNCTION("IFS(
D1579=""Exclude"",
FILTER(IMPORTRANGE(""https://docs.google.com/spreadsheets/d/1BJSV3WBYJGRhQ6zExamkszQ5VutGIcaQqmbD9ZTVXMQ/edit#gid=1251630045"",""articles_with_PRISMA_reasons!AB2:AB2113""), $A1579=IMPORTRANGE(""https://docs.google.com/spreadsheets/"&amp;"d/1BJSV3WBYJGRhQ6zExamkszQ5VutGIcaQqmbD9ZTVXMQ/edit#gid=1251630045"",""articles_with_PRISMA_reasons!B2:B2113"")),
E1579=""Exclude"",
FILTER(IMPORTRANGE(""https://docs.google.com/spreadsheets/d/1qpEmbGH0JjaJbUdp21-y2cPbobDbMjr09BbtdKROZWc/edit#gid=14448656"&amp;"54"",""articles_with_PRISMA_reasons!Z2:Z2113""), $A1579=IMPORTRANGE(""https://docs.google.com/spreadsheets/d/1qpEmbGH0JjaJbUdp21-y2cPbobDbMjr09BbtdKROZWc/edit#gid=1444865654"",""articles_with_PRISMA_reasons!B2:B2113"")),F1579
=""Include"",FILTER(IMPORTRAN"&amp;"GE(""https://docs.google.com/spreadsheets/d/1kGrh75X1cNR1D7_FcY9zMnHP8iPO4M5RCRjy6nZY0TY/edit#gid=0"",""Table 1: Study characteristics!A4:A171""), $A1579=IMPORTRANGE(""https://docs.google.com/spreadsheets/d/1kGrh75X1cNR1D7_FcY9zMnHP8iPO4M5RCRjy6nZY0TY/edi"&amp;"t#gid=0"",""Table 1: Study characteristics!B4:B171""))
)"),"wrong population")</f>
        <v>wrong population</v>
      </c>
    </row>
    <row r="1580">
      <c r="A1580" s="4" t="str">
        <f>IFERROR(__xludf.DUMMYFUNCTION("""COMPUTED_VALUE"""),"Quality measurement in the shunt treatment of hydrocephalus: Analysis and risk adjustment of the Revision Quotient: Clinical article")</f>
        <v>Quality measurement in the shunt treatment of hydrocephalus: Analysis and risk adjustment of the Revision Quotient: Clinical article</v>
      </c>
      <c r="B1580" s="5" t="str">
        <f>IFERROR(__xludf.DUMMYFUNCTION("LEFT(FILTER(IMPORTRANGE(""https://docs.google.com/spreadsheets/d/1BJSV3WBYJGRhQ6zExamkszQ5VutGIcaQqmbD9ZTVXMQ/edit#gid=1251630045"",""articles_with_PRISMA_reasons!K2:K2113""), $A1580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$A1580=IMPORTRANGE(""https://docs.google.com/spreadsheets/d/1BJSV3WBYJGRhQ6zExamkszQ5VutGIcaQqmbD9ZTVXMQ/edit#gid=1251630045"",""articles_with_PRISMA_reasons!B2:B2113"")))-1)"),"Piatt Jr")</f>
        <v>Piatt Jr</v>
      </c>
      <c r="C1580" s="6">
        <f>IFERROR(__xludf.DUMMYFUNCTION("FILTER(IMPORTRANGE(""https://docs.google.com/spreadsheets/d/1BJSV3WBYJGRhQ6zExamkszQ5VutGIcaQqmbD9ZTVXMQ/edit#gid=1251630045"",""articles_with_PRISMA_reasons!C2:C2113""), $A1580=IMPORTRANGE(""https://docs.google.com/spreadsheets/d/1BJSV3WBYJGRhQ6zExamkszQ"&amp;"5VutGIcaQqmbD9ZTVXMQ/edit#gid=1251630045"",""articles_with_PRISMA_reasons!B2:B2113""))"),2014.0)</f>
        <v>2014</v>
      </c>
      <c r="D1580" s="5" t="str">
        <f>IFERROR(__xludf.DUMMYFUNCTION("IFS(AND(
FILTER(IMPORTRANGE(""https://docs.google.com/spreadsheets/d/1BJSV3WBYJGRhQ6zExamkszQ5VutGIcaQqmbD9ZTVXMQ/edit#gid=1251630045"",""articles_with_PRISMA_reasons!Y2:Y2113""), $A1580=IMPORTRANGE(""https://docs.google.com/spreadsheets/d/1BJSV3WBYJGRhQ6"&amp;"zExamkszQ5VutGIcaQqmbD9ZTVXMQ/edit#gid=1251630045"",""articles_with_PRISMA_reasons!B2:B2113""))&gt;=2,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$A1580=IMPORTRANGE(""https://docs.google.com/spreadsheets/d/1BJSV3WBYJGRhQ6zExamkszQ5VutGIcaQqmbD9ZTVXMQ/edit#gid=1251630045"",""articles_with_PRISMA_reasons!B2:B2113""))&lt;2),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$A1580=IMPORTRANGE(""https://docs.google.com/spreadsheets/d/1BJSV3WBYJGRhQ6zExamkszQ5VutGIcaQqmbD9ZTVXMQ/edit#gid=1251630045"",""a"&amp;"rticles_with_PRISMA_reasons!B2:B2113""))&lt;2,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$A1580=IMPORTRANGE(""https://docs.google"&amp;".com/spreadsheets/d/1BJSV3WBYJGRhQ6zExamkszQ5VutGIcaQqmbD9ZTVXMQ/edit#gid=1251630045"",""articles_with_PRISMA_reasons!B2:B2113""))&gt;=2),
""Exclude""
)"),"Exclude")</f>
        <v>Exclude</v>
      </c>
      <c r="E1580" s="5" t="str">
        <f>IFERROR(__xludf.DUMMYFUNCTION("IFS(
D1580=""Exclude"",""Exclude"",
AND(
FILTER(IMPORTRANGE(""https://docs.google.com/spreadsheets/d/1qpEmbGH0JjaJbUdp21-y2cPbobDbMjr09BbtdKROZWc/edit#gid=1444865654"",""articles_with_PRISMA_reasons!W2:W2113""), $A1580=IMPORTRANGE(""https://docs.google.co"&amp;"m/spreadsheets/d/1qpEmbGH0JjaJbUdp21-y2cPbobDbMjr09BbtdKROZWc/edit#gid=1444865654"",""articles_with_PRISMA_reasons!B2:B2113""))&gt;=2,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$A1580=IMPORTRANGE(""https://docs.google.com/spreadsheets/d/1qpEmbGH0JjaJbUdp21-y2cPbobDbMjr09BbtdKROZWc/edit#gid=1444865654"",""articles_with_PRISMA_reasons!B2:B2113""))&lt;2),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$A1580=IMPORTRANGE(""https://docs.google.com/spreadsheets/d/1qpEmbGH0JjaJbUdp21-y2cPbobDbMjr09Bbtd"&amp;"KROZWc/edit#gid=1444865654"",""articles_with_PRISMA_reasons!B2:B2113""))&lt;2,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$A1580=I"&amp;"MPORTRANGE(""https://docs.google.com/spreadsheets/d/1qpEmbGH0JjaJbUdp21-y2cPbobDbMjr09BbtdKROZWc/edit#gid=1444865654"",""articles_with_PRISMA_reasons!B2:B2113""))&gt;=2),
""Exclude""
)"),"Exclude")</f>
        <v>Exclude</v>
      </c>
      <c r="F1580" s="5" t="str">
        <f>IFERROR(__xludf.DUMMYFUNCTION("IFS(
E1580=""Exclude"",""Exclude"",
AND(
COUNTIF(
IMPORTRANGE(""https://docs.google.com/spreadsheets/d/1kGrh75X1cNR1D7_FcY9zMnHP8iPO4M5RCRjy6nZY0TY/edit#gid=0"",""Table 1: Study characteristics!B4:B171""),A1580)&gt;0,
COUNTIF(Studies!$A$2:$A$85,FILTER(IMPORT"&amp;"RANGE(""https://docs.google.com/spreadsheets/d/1kGrh75X1cNR1D7_FcY9zMnHP8iPO4M5RCRjy6nZY0TY/edit#gid=0"",""Table 1: Study characteristics!A4:A171""), $A1580=IMPORTRANGE(""https://docs.google.com/spreadsheets/d/1kGrh75X1cNR1D7_FcY9zMnHP8iPO4M5RCRjy6nZY0TY/"&amp;"edit#gid=0"",""Table 1: Study characteristics!B4:B171"")))&gt;0
),
""Include""
)"),"Exclude")</f>
        <v>Exclude</v>
      </c>
      <c r="G1580" s="5" t="str">
        <f>IFERROR(__xludf.DUMMYFUNCTION("IFS(
D1580=""Exclude"",
FILTER(IMPORTRANGE(""https://docs.google.com/spreadsheets/d/1BJSV3WBYJGRhQ6zExamkszQ5VutGIcaQqmbD9ZTVXMQ/edit#gid=1251630045"",""articles_with_PRISMA_reasons!AB2:AB2113""), $A1580=IMPORTRANGE(""https://docs.google.com/spreadsheets/"&amp;"d/1BJSV3WBYJGRhQ6zExamkszQ5VutGIcaQqmbD9ZTVXMQ/edit#gid=1251630045"",""articles_with_PRISMA_reasons!B2:B2113"")),
E1580=""Exclude"",
FILTER(IMPORTRANGE(""https://docs.google.com/spreadsheets/d/1qpEmbGH0JjaJbUdp21-y2cPbobDbMjr09BbtdKROZWc/edit#gid=14448656"&amp;"54"",""articles_with_PRISMA_reasons!Z2:Z2113""), $A1580=IMPORTRANGE(""https://docs.google.com/spreadsheets/d/1qpEmbGH0JjaJbUdp21-y2cPbobDbMjr09BbtdKROZWc/edit#gid=1444865654"",""articles_with_PRISMA_reasons!B2:B2113"")),F1580
=""Include"",FILTER(IMPORTRAN"&amp;"GE(""https://docs.google.com/spreadsheets/d/1kGrh75X1cNR1D7_FcY9zMnHP8iPO4M5RCRjy6nZY0TY/edit#gid=0"",""Table 1: Study characteristics!A4:A171""), $A1580=IMPORTRANGE(""https://docs.google.com/spreadsheets/d/1kGrh75X1cNR1D7_FcY9zMnHP8iPO4M5RCRjy6nZY0TY/edi"&amp;"t#gid=0"",""Table 1: Study characteristics!B4:B171""))
)"),"wrong population")</f>
        <v>wrong population</v>
      </c>
    </row>
    <row r="1581">
      <c r="A1581" s="4" t="str">
        <f>IFERROR(__xludf.DUMMYFUNCTION("""COMPUTED_VALUE"""),"Quality of life in children and adolescents with cerebral palsy and myelomeningocele")</f>
        <v>Quality of life in children and adolescents with cerebral palsy and myelomeningocele</v>
      </c>
      <c r="B1581" s="5" t="str">
        <f>IFERROR(__xludf.DUMMYFUNCTION("LEFT(FILTER(IMPORTRANGE(""https://docs.google.com/spreadsheets/d/1BJSV3WBYJGRhQ6zExamkszQ5VutGIcaQqmbD9ZTVXMQ/edit#gid=1251630045"",""articles_with_PRISMA_reasons!K2:K2113""), $A1581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$A1581=IMPORTRANGE(""https://docs.google.com/spreadsheets/d/1BJSV3WBYJGRhQ6zExamkszQ5VutGIcaQqmbD9ZTVXMQ/edit#gid=1251630045"",""articles_with_PRISMA_reasons!B2:B2113"")))-1)"),"Okurowska-Zawada")</f>
        <v>Okurowska-Zawada</v>
      </c>
      <c r="C1581" s="6">
        <f>IFERROR(__xludf.DUMMYFUNCTION("FILTER(IMPORTRANGE(""https://docs.google.com/spreadsheets/d/1BJSV3WBYJGRhQ6zExamkszQ5VutGIcaQqmbD9ZTVXMQ/edit#gid=1251630045"",""articles_with_PRISMA_reasons!C2:C2113""), $A1581=IMPORTRANGE(""https://docs.google.com/spreadsheets/d/1BJSV3WBYJGRhQ6zExamkszQ"&amp;"5VutGIcaQqmbD9ZTVXMQ/edit#gid=1251630045"",""articles_with_PRISMA_reasons!B2:B2113""))"),2011.0)</f>
        <v>2011</v>
      </c>
      <c r="D1581" s="5" t="str">
        <f>IFERROR(__xludf.DUMMYFUNCTION("IFS(AND(
FILTER(IMPORTRANGE(""https://docs.google.com/spreadsheets/d/1BJSV3WBYJGRhQ6zExamkszQ5VutGIcaQqmbD9ZTVXMQ/edit#gid=1251630045"",""articles_with_PRISMA_reasons!Y2:Y2113""), $A1581=IMPORTRANGE(""https://docs.google.com/spreadsheets/d/1BJSV3WBYJGRhQ6"&amp;"zExamkszQ5VutGIcaQqmbD9ZTVXMQ/edit#gid=1251630045"",""articles_with_PRISMA_reasons!B2:B2113""))&gt;=2,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$A1581=IMPORTRANGE(""https://docs.google.com/spreadsheets/d/1BJSV3WBYJGRhQ6zExamkszQ5VutGIcaQqmbD9ZTVXMQ/edit#gid=1251630045"",""articles_with_PRISMA_reasons!B2:B2113""))&lt;2),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$A1581=IMPORTRANGE(""https://docs.google.com/spreadsheets/d/1BJSV3WBYJGRhQ6zExamkszQ5VutGIcaQqmbD9ZTVXMQ/edit#gid=1251630045"",""a"&amp;"rticles_with_PRISMA_reasons!B2:B2113""))&lt;2,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$A1581=IMPORTRANGE(""https://docs.google"&amp;".com/spreadsheets/d/1BJSV3WBYJGRhQ6zExamkszQ5VutGIcaQqmbD9ZTVXMQ/edit#gid=1251630045"",""articles_with_PRISMA_reasons!B2:B2113""))&gt;=2),
""Exclude""
)"),"Exclude")</f>
        <v>Exclude</v>
      </c>
      <c r="E1581" s="5" t="str">
        <f>IFERROR(__xludf.DUMMYFUNCTION("IFS(
D1581=""Exclude"",""Exclude"",
AND(
FILTER(IMPORTRANGE(""https://docs.google.com/spreadsheets/d/1qpEmbGH0JjaJbUdp21-y2cPbobDbMjr09BbtdKROZWc/edit#gid=1444865654"",""articles_with_PRISMA_reasons!W2:W2113""), $A1581=IMPORTRANGE(""https://docs.google.co"&amp;"m/spreadsheets/d/1qpEmbGH0JjaJbUdp21-y2cPbobDbMjr09BbtdKROZWc/edit#gid=1444865654"",""articles_with_PRISMA_reasons!B2:B2113""))&gt;=2,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$A1581=IMPORTRANGE(""https://docs.google.com/spreadsheets/d/1qpEmbGH0JjaJbUdp21-y2cPbobDbMjr09BbtdKROZWc/edit#gid=1444865654"",""articles_with_PRISMA_reasons!B2:B2113""))&lt;2),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$A1581=IMPORTRANGE(""https://docs.google.com/spreadsheets/d/1qpEmbGH0JjaJbUdp21-y2cPbobDbMjr09Bbtd"&amp;"KROZWc/edit#gid=1444865654"",""articles_with_PRISMA_reasons!B2:B2113""))&lt;2,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$A1581=I"&amp;"MPORTRANGE(""https://docs.google.com/spreadsheets/d/1qpEmbGH0JjaJbUdp21-y2cPbobDbMjr09BbtdKROZWc/edit#gid=1444865654"",""articles_with_PRISMA_reasons!B2:B2113""))&gt;=2),
""Exclude""
)"),"Exclude")</f>
        <v>Exclude</v>
      </c>
      <c r="F1581" s="5" t="str">
        <f>IFERROR(__xludf.DUMMYFUNCTION("IFS(
E1581=""Exclude"",""Exclude"",
AND(
COUNTIF(
IMPORTRANGE(""https://docs.google.com/spreadsheets/d/1kGrh75X1cNR1D7_FcY9zMnHP8iPO4M5RCRjy6nZY0TY/edit#gid=0"",""Table 1: Study characteristics!B4:B171""),A1581)&gt;0,
COUNTIF(Studies!$A$2:$A$85,FILTER(IMPORT"&amp;"RANGE(""https://docs.google.com/spreadsheets/d/1kGrh75X1cNR1D7_FcY9zMnHP8iPO4M5RCRjy6nZY0TY/edit#gid=0"",""Table 1: Study characteristics!A4:A171""), $A1581=IMPORTRANGE(""https://docs.google.com/spreadsheets/d/1kGrh75X1cNR1D7_FcY9zMnHP8iPO4M5RCRjy6nZY0TY/"&amp;"edit#gid=0"",""Table 1: Study characteristics!B4:B171"")))&gt;0
),
""Include""
)"),"Exclude")</f>
        <v>Exclude</v>
      </c>
      <c r="G1581" s="5" t="str">
        <f>IFERROR(__xludf.DUMMYFUNCTION("IFS(
D1581=""Exclude"",
FILTER(IMPORTRANGE(""https://docs.google.com/spreadsheets/d/1BJSV3WBYJGRhQ6zExamkszQ5VutGIcaQqmbD9ZTVXMQ/edit#gid=1251630045"",""articles_with_PRISMA_reasons!AB2:AB2113""), $A1581=IMPORTRANGE(""https://docs.google.com/spreadsheets/"&amp;"d/1BJSV3WBYJGRhQ6zExamkszQ5VutGIcaQqmbD9ZTVXMQ/edit#gid=1251630045"",""articles_with_PRISMA_reasons!B2:B2113"")),
E1581=""Exclude"",
FILTER(IMPORTRANGE(""https://docs.google.com/spreadsheets/d/1qpEmbGH0JjaJbUdp21-y2cPbobDbMjr09BbtdKROZWc/edit#gid=14448656"&amp;"54"",""articles_with_PRISMA_reasons!Z2:Z2113""), $A1581=IMPORTRANGE(""https://docs.google.com/spreadsheets/d/1qpEmbGH0JjaJbUdp21-y2cPbobDbMjr09BbtdKROZWc/edit#gid=1444865654"",""articles_with_PRISMA_reasons!B2:B2113"")),F1581
=""Include"",FILTER(IMPORTRAN"&amp;"GE(""https://docs.google.com/spreadsheets/d/1kGrh75X1cNR1D7_FcY9zMnHP8iPO4M5RCRjy6nZY0TY/edit#gid=0"",""Table 1: Study characteristics!A4:A171""), $A1581=IMPORTRANGE(""https://docs.google.com/spreadsheets/d/1kGrh75X1cNR1D7_FcY9zMnHP8iPO4M5RCRjy6nZY0TY/edi"&amp;"t#gid=0"",""Table 1: Study characteristics!B4:B171""))
)"),"wrong population")</f>
        <v>wrong population</v>
      </c>
    </row>
    <row r="1582">
      <c r="A1582" s="4" t="str">
        <f>IFERROR(__xludf.DUMMYFUNCTION("""COMPUTED_VALUE"""),"Quality of life of children with spina bifida in Kenya is not related to the degree of the spinal defects")</f>
        <v>Quality of life of children with spina bifida in Kenya is not related to the degree of the spinal defects</v>
      </c>
      <c r="B1582" s="5" t="str">
        <f>IFERROR(__xludf.DUMMYFUNCTION("LEFT(FILTER(IMPORTRANGE(""https://docs.google.com/spreadsheets/d/1BJSV3WBYJGRhQ6zExamkszQ5VutGIcaQqmbD9ZTVXMQ/edit#gid=1251630045"",""articles_with_PRISMA_reasons!K2:K2113""), $A1582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$A1582=IMPORTRANGE(""https://docs.google.com/spreadsheets/d/1BJSV3WBYJGRhQ6zExamkszQ5VutGIcaQqmbD9ZTVXMQ/edit#gid=1251630045"",""articles_with_PRISMA_reasons!B2:B2113"")))-1)"),"Cornegé-Blokl and ")</f>
        <v>Cornegé-Blokl and </v>
      </c>
      <c r="C1582" s="6" t="str">
        <f>IFERROR(__xludf.DUMMYFUNCTION("FILTER(IMPORTRANGE(""https://docs.google.com/spreadsheets/d/1BJSV3WBYJGRhQ6zExamkszQ5VutGIcaQqmbD9ZTVXMQ/edit#gid=1251630045"",""articles_with_PRISMA_reasons!C2:C2113""), $A1582=IMPORTRANGE(""https://docs.google.com/spreadsheets/d/1BJSV3WBYJGRhQ6zExamkszQ"&amp;"5VutGIcaQqmbD9ZTVXMQ/edit#gid=1251630045"",""articles_with_PRISMA_reasons!B2:B2113""))"),"Jan")</f>
        <v>Jan</v>
      </c>
      <c r="D1582" s="5" t="str">
        <f>IFERROR(__xludf.DUMMYFUNCTION("IFS(AND(
FILTER(IMPORTRANGE(""https://docs.google.com/spreadsheets/d/1BJSV3WBYJGRhQ6zExamkszQ5VutGIcaQqmbD9ZTVXMQ/edit#gid=1251630045"",""articles_with_PRISMA_reasons!Y2:Y2113""), $A1582=IMPORTRANGE(""https://docs.google.com/spreadsheets/d/1BJSV3WBYJGRhQ6"&amp;"zExamkszQ5VutGIcaQqmbD9ZTVXMQ/edit#gid=1251630045"",""articles_with_PRISMA_reasons!B2:B2113""))&gt;=2,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$A1582=IMPORTRANGE(""https://docs.google.com/spreadsheets/d/1BJSV3WBYJGRhQ6zExamkszQ5VutGIcaQqmbD9ZTVXMQ/edit#gid=1251630045"",""articles_with_PRISMA_reasons!B2:B2113""))&lt;2),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$A1582=IMPORTRANGE(""https://docs.google.com/spreadsheets/d/1BJSV3WBYJGRhQ6zExamkszQ5VutGIcaQqmbD9ZTVXMQ/edit#gid=1251630045"",""a"&amp;"rticles_with_PRISMA_reasons!B2:B2113""))&lt;2,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$A1582=IMPORTRANGE(""https://docs.google"&amp;".com/spreadsheets/d/1BJSV3WBYJGRhQ6zExamkszQ5VutGIcaQqmbD9ZTVXMQ/edit#gid=1251630045"",""articles_with_PRISMA_reasons!B2:B2113""))&gt;=2),
""Exclude""
)"),"Exclude")</f>
        <v>Exclude</v>
      </c>
      <c r="E1582" s="5" t="str">
        <f>IFERROR(__xludf.DUMMYFUNCTION("IFS(
D1582=""Exclude"",""Exclude"",
AND(
FILTER(IMPORTRANGE(""https://docs.google.com/spreadsheets/d/1qpEmbGH0JjaJbUdp21-y2cPbobDbMjr09BbtdKROZWc/edit#gid=1444865654"",""articles_with_PRISMA_reasons!W2:W2113""), $A1582=IMPORTRANGE(""https://docs.google.co"&amp;"m/spreadsheets/d/1qpEmbGH0JjaJbUdp21-y2cPbobDbMjr09BbtdKROZWc/edit#gid=1444865654"",""articles_with_PRISMA_reasons!B2:B2113""))&gt;=2,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$A1582=IMPORTRANGE(""https://docs.google.com/spreadsheets/d/1qpEmbGH0JjaJbUdp21-y2cPbobDbMjr09BbtdKROZWc/edit#gid=1444865654"",""articles_with_PRISMA_reasons!B2:B2113""))&lt;2),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$A1582=IMPORTRANGE(""https://docs.google.com/spreadsheets/d/1qpEmbGH0JjaJbUdp21-y2cPbobDbMjr09Bbtd"&amp;"KROZWc/edit#gid=1444865654"",""articles_with_PRISMA_reasons!B2:B2113""))&lt;2,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$A1582=I"&amp;"MPORTRANGE(""https://docs.google.com/spreadsheets/d/1qpEmbGH0JjaJbUdp21-y2cPbobDbMjr09BbtdKROZWc/edit#gid=1444865654"",""articles_with_PRISMA_reasons!B2:B2113""))&gt;=2),
""Exclude""
)"),"Exclude")</f>
        <v>Exclude</v>
      </c>
      <c r="F1582" s="5" t="str">
        <f>IFERROR(__xludf.DUMMYFUNCTION("IFS(
E1582=""Exclude"",""Exclude"",
AND(
COUNTIF(
IMPORTRANGE(""https://docs.google.com/spreadsheets/d/1kGrh75X1cNR1D7_FcY9zMnHP8iPO4M5RCRjy6nZY0TY/edit#gid=0"",""Table 1: Study characteristics!B4:B171""),A1582)&gt;0,
COUNTIF(Studies!$A$2:$A$85,FILTER(IMPORT"&amp;"RANGE(""https://docs.google.com/spreadsheets/d/1kGrh75X1cNR1D7_FcY9zMnHP8iPO4M5RCRjy6nZY0TY/edit#gid=0"",""Table 1: Study characteristics!A4:A171""), $A1582=IMPORTRANGE(""https://docs.google.com/spreadsheets/d/1kGrh75X1cNR1D7_FcY9zMnHP8iPO4M5RCRjy6nZY0TY/"&amp;"edit#gid=0"",""Table 1: Study characteristics!B4:B171"")))&gt;0
),
""Include""
)"),"Exclude")</f>
        <v>Exclude</v>
      </c>
      <c r="G1582" s="5" t="str">
        <f>IFERROR(__xludf.DUMMYFUNCTION("IFS(
D1582=""Exclude"",
FILTER(IMPORTRANGE(""https://docs.google.com/spreadsheets/d/1BJSV3WBYJGRhQ6zExamkszQ5VutGIcaQqmbD9ZTVXMQ/edit#gid=1251630045"",""articles_with_PRISMA_reasons!AB2:AB2113""), $A1582=IMPORTRANGE(""https://docs.google.com/spreadsheets/"&amp;"d/1BJSV3WBYJGRhQ6zExamkszQ5VutGIcaQqmbD9ZTVXMQ/edit#gid=1251630045"",""articles_with_PRISMA_reasons!B2:B2113"")),
E1582=""Exclude"",
FILTER(IMPORTRANGE(""https://docs.google.com/spreadsheets/d/1qpEmbGH0JjaJbUdp21-y2cPbobDbMjr09BbtdKROZWc/edit#gid=14448656"&amp;"54"",""articles_with_PRISMA_reasons!Z2:Z2113""), $A1582=IMPORTRANGE(""https://docs.google.com/spreadsheets/d/1qpEmbGH0JjaJbUdp21-y2cPbobDbMjr09BbtdKROZWc/edit#gid=1444865654"",""articles_with_PRISMA_reasons!B2:B2113"")),F1582
=""Include"",FILTER(IMPORTRAN"&amp;"GE(""https://docs.google.com/spreadsheets/d/1kGrh75X1cNR1D7_FcY9zMnHP8iPO4M5RCRjy6nZY0TY/edit#gid=0"",""Table 1: Study characteristics!A4:A171""), $A1582=IMPORTRANGE(""https://docs.google.com/spreadsheets/d/1kGrh75X1cNR1D7_FcY9zMnHP8iPO4M5RCRjy6nZY0TY/edi"&amp;"t#gid=0"",""Table 1: Study characteristics!B4:B171""))
)"),"wrong population")</f>
        <v>wrong population</v>
      </c>
    </row>
    <row r="1583">
      <c r="A1583" s="4" t="str">
        <f>IFERROR(__xludf.DUMMYFUNCTION("""COMPUTED_VALUE"""),"Quantitative Computed Tomography Assessment of Bone Deficits in Ambulatory Children and Adolescents with Spina Bifida: Importance of Puberty")</f>
        <v>Quantitative Computed Tomography Assessment of Bone Deficits in Ambulatory Children and Adolescents with Spina Bifida: Importance of Puberty</v>
      </c>
      <c r="B1583" s="5" t="str">
        <f>IFERROR(__xludf.DUMMYFUNCTION("LEFT(FILTER(IMPORTRANGE(""https://docs.google.com/spreadsheets/d/1BJSV3WBYJGRhQ6zExamkszQ5VutGIcaQqmbD9ZTVXMQ/edit#gid=1251630045"",""articles_with_PRISMA_reasons!K2:K2113""), $A1583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$A1583=IMPORTRANGE(""https://docs.google.com/spreadsheets/d/1BJSV3WBYJGRhQ6zExamkszQ5VutGIcaQqmbD9ZTVXMQ/edit#gid=1251630045"",""articles_with_PRISMA_reasons!B2:B2113"")))-1)"),"Mueske")</f>
        <v>Mueske</v>
      </c>
      <c r="C1583" s="6">
        <f>IFERROR(__xludf.DUMMYFUNCTION("FILTER(IMPORTRANGE(""https://docs.google.com/spreadsheets/d/1BJSV3WBYJGRhQ6zExamkszQ5VutGIcaQqmbD9ZTVXMQ/edit#gid=1251630045"",""articles_with_PRISMA_reasons!C2:C2113""), $A1583=IMPORTRANGE(""https://docs.google.com/spreadsheets/d/1BJSV3WBYJGRhQ6zExamkszQ"&amp;"5VutGIcaQqmbD9ZTVXMQ/edit#gid=1251630045"",""articles_with_PRISMA_reasons!B2:B2113""))"),2020.0)</f>
        <v>2020</v>
      </c>
      <c r="D1583" s="5" t="str">
        <f>IFERROR(__xludf.DUMMYFUNCTION("IFS(AND(
FILTER(IMPORTRANGE(""https://docs.google.com/spreadsheets/d/1BJSV3WBYJGRhQ6zExamkszQ5VutGIcaQqmbD9ZTVXMQ/edit#gid=1251630045"",""articles_with_PRISMA_reasons!Y2:Y2113""), $A1583=IMPORTRANGE(""https://docs.google.com/spreadsheets/d/1BJSV3WBYJGRhQ6"&amp;"zExamkszQ5VutGIcaQqmbD9ZTVXMQ/edit#gid=1251630045"",""articles_with_PRISMA_reasons!B2:B2113""))&gt;=2,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$A1583=IMPORTRANGE(""https://docs.google.com/spreadsheets/d/1BJSV3WBYJGRhQ6zExamkszQ5VutGIcaQqmbD9ZTVXMQ/edit#gid=1251630045"",""articles_with_PRISMA_reasons!B2:B2113""))&lt;2),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$A1583=IMPORTRANGE(""https://docs.google.com/spreadsheets/d/1BJSV3WBYJGRhQ6zExamkszQ5VutGIcaQqmbD9ZTVXMQ/edit#gid=1251630045"",""a"&amp;"rticles_with_PRISMA_reasons!B2:B2113""))&lt;2,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$A1583=IMPORTRANGE(""https://docs.google"&amp;".com/spreadsheets/d/1BJSV3WBYJGRhQ6zExamkszQ5VutGIcaQqmbD9ZTVXMQ/edit#gid=1251630045"",""articles_with_PRISMA_reasons!B2:B2113""))&gt;=2),
""Exclude""
)"),"Exclude")</f>
        <v>Exclude</v>
      </c>
      <c r="E1583" s="5" t="str">
        <f>IFERROR(__xludf.DUMMYFUNCTION("IFS(
D1583=""Exclude"",""Exclude"",
AND(
FILTER(IMPORTRANGE(""https://docs.google.com/spreadsheets/d/1qpEmbGH0JjaJbUdp21-y2cPbobDbMjr09BbtdKROZWc/edit#gid=1444865654"",""articles_with_PRISMA_reasons!W2:W2113""), $A1583=IMPORTRANGE(""https://docs.google.co"&amp;"m/spreadsheets/d/1qpEmbGH0JjaJbUdp21-y2cPbobDbMjr09BbtdKROZWc/edit#gid=1444865654"",""articles_with_PRISMA_reasons!B2:B2113""))&gt;=2,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$A1583=IMPORTRANGE(""https://docs.google.com/spreadsheets/d/1qpEmbGH0JjaJbUdp21-y2cPbobDbMjr09BbtdKROZWc/edit#gid=1444865654"",""articles_with_PRISMA_reasons!B2:B2113""))&lt;2),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$A1583=IMPORTRANGE(""https://docs.google.com/spreadsheets/d/1qpEmbGH0JjaJbUdp21-y2cPbobDbMjr09Bbtd"&amp;"KROZWc/edit#gid=1444865654"",""articles_with_PRISMA_reasons!B2:B2113""))&lt;2,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$A1583=I"&amp;"MPORTRANGE(""https://docs.google.com/spreadsheets/d/1qpEmbGH0JjaJbUdp21-y2cPbobDbMjr09BbtdKROZWc/edit#gid=1444865654"",""articles_with_PRISMA_reasons!B2:B2113""))&gt;=2),
""Exclude""
)"),"Exclude")</f>
        <v>Exclude</v>
      </c>
      <c r="F1583" s="5" t="str">
        <f>IFERROR(__xludf.DUMMYFUNCTION("IFS(
E1583=""Exclude"",""Exclude"",
AND(
COUNTIF(
IMPORTRANGE(""https://docs.google.com/spreadsheets/d/1kGrh75X1cNR1D7_FcY9zMnHP8iPO4M5RCRjy6nZY0TY/edit#gid=0"",""Table 1: Study characteristics!B4:B171""),A1583)&gt;0,
COUNTIF(Studies!$A$2:$A$85,FILTER(IMPORT"&amp;"RANGE(""https://docs.google.com/spreadsheets/d/1kGrh75X1cNR1D7_FcY9zMnHP8iPO4M5RCRjy6nZY0TY/edit#gid=0"",""Table 1: Study characteristics!A4:A171""), $A1583=IMPORTRANGE(""https://docs.google.com/spreadsheets/d/1kGrh75X1cNR1D7_FcY9zMnHP8iPO4M5RCRjy6nZY0TY/"&amp;"edit#gid=0"",""Table 1: Study characteristics!B4:B171"")))&gt;0
),
""Include""
)"),"Exclude")</f>
        <v>Exclude</v>
      </c>
      <c r="G1583" s="5" t="str">
        <f>IFERROR(__xludf.DUMMYFUNCTION("IFS(
D1583=""Exclude"",
FILTER(IMPORTRANGE(""https://docs.google.com/spreadsheets/d/1BJSV3WBYJGRhQ6zExamkszQ5VutGIcaQqmbD9ZTVXMQ/edit#gid=1251630045"",""articles_with_PRISMA_reasons!AB2:AB2113""), $A1583=IMPORTRANGE(""https://docs.google.com/spreadsheets/"&amp;"d/1BJSV3WBYJGRhQ6zExamkszQ5VutGIcaQqmbD9ZTVXMQ/edit#gid=1251630045"",""articles_with_PRISMA_reasons!B2:B2113"")),
E1583=""Exclude"",
FILTER(IMPORTRANGE(""https://docs.google.com/spreadsheets/d/1qpEmbGH0JjaJbUdp21-y2cPbobDbMjr09BbtdKROZWc/edit#gid=14448656"&amp;"54"",""articles_with_PRISMA_reasons!Z2:Z2113""), $A1583=IMPORTRANGE(""https://docs.google.com/spreadsheets/d/1qpEmbGH0JjaJbUdp21-y2cPbobDbMjr09BbtdKROZWc/edit#gid=1444865654"",""articles_with_PRISMA_reasons!B2:B2113"")),F1583
=""Include"",FILTER(IMPORTRAN"&amp;"GE(""https://docs.google.com/spreadsheets/d/1kGrh75X1cNR1D7_FcY9zMnHP8iPO4M5RCRjy6nZY0TY/edit#gid=0"",""Table 1: Study characteristics!A4:A171""), $A1583=IMPORTRANGE(""https://docs.google.com/spreadsheets/d/1kGrh75X1cNR1D7_FcY9zMnHP8iPO4M5RCRjy6nZY0TY/edi"&amp;"t#gid=0"",""Table 1: Study characteristics!B4:B171""))
)"),"wrong population")</f>
        <v>wrong population</v>
      </c>
    </row>
    <row r="1584">
      <c r="A1584" s="4" t="str">
        <f>IFERROR(__xludf.DUMMYFUNCTION("""COMPUTED_VALUE"""),"Quantitative diffusion tensor imaging and intellectual outcomes in spina bifida: Laboratory investigation")</f>
        <v>Quantitative diffusion tensor imaging and intellectual outcomes in spina bifida: Laboratory investigation</v>
      </c>
      <c r="B1584" s="5" t="str">
        <f>IFERROR(__xludf.DUMMYFUNCTION("LEFT(FILTER(IMPORTRANGE(""https://docs.google.com/spreadsheets/d/1BJSV3WBYJGRhQ6zExamkszQ5VutGIcaQqmbD9ZTVXMQ/edit#gid=1251630045"",""articles_with_PRISMA_reasons!K2:K2113""), $A1584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$A1584=IMPORTRANGE(""https://docs.google.com/spreadsheets/d/1BJSV3WBYJGRhQ6zExamkszQ5VutGIcaQqmbD9ZTVXMQ/edit#gid=1251630045"",""articles_with_PRISMA_reasons!B2:B2113"")))-1)"),"Hasan")</f>
        <v>Hasan</v>
      </c>
      <c r="C1584" s="6">
        <f>IFERROR(__xludf.DUMMYFUNCTION("FILTER(IMPORTRANGE(""https://docs.google.com/spreadsheets/d/1BJSV3WBYJGRhQ6zExamkszQ5VutGIcaQqmbD9ZTVXMQ/edit#gid=1251630045"",""articles_with_PRISMA_reasons!C2:C2113""), $A1584=IMPORTRANGE(""https://docs.google.com/spreadsheets/d/1BJSV3WBYJGRhQ6zExamkszQ"&amp;"5VutGIcaQqmbD9ZTVXMQ/edit#gid=1251630045"",""articles_with_PRISMA_reasons!B2:B2113""))"),2008.0)</f>
        <v>2008</v>
      </c>
      <c r="D1584" s="5" t="str">
        <f>IFERROR(__xludf.DUMMYFUNCTION("IFS(AND(
FILTER(IMPORTRANGE(""https://docs.google.com/spreadsheets/d/1BJSV3WBYJGRhQ6zExamkszQ5VutGIcaQqmbD9ZTVXMQ/edit#gid=1251630045"",""articles_with_PRISMA_reasons!Y2:Y2113""), $A1584=IMPORTRANGE(""https://docs.google.com/spreadsheets/d/1BJSV3WBYJGRhQ6"&amp;"zExamkszQ5VutGIcaQqmbD9ZTVXMQ/edit#gid=1251630045"",""articles_with_PRISMA_reasons!B2:B2113""))&gt;=2,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$A1584=IMPORTRANGE(""https://docs.google.com/spreadsheets/d/1BJSV3WBYJGRhQ6zExamkszQ5VutGIcaQqmbD9ZTVXMQ/edit#gid=1251630045"",""articles_with_PRISMA_reasons!B2:B2113""))&lt;2),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$A1584=IMPORTRANGE(""https://docs.google.com/spreadsheets/d/1BJSV3WBYJGRhQ6zExamkszQ5VutGIcaQqmbD9ZTVXMQ/edit#gid=1251630045"",""a"&amp;"rticles_with_PRISMA_reasons!B2:B2113""))&lt;2,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$A1584=IMPORTRANGE(""https://docs.google"&amp;".com/spreadsheets/d/1BJSV3WBYJGRhQ6zExamkszQ5VutGIcaQqmbD9ZTVXMQ/edit#gid=1251630045"",""articles_with_PRISMA_reasons!B2:B2113""))&gt;=2),
""Exclude""
)"),"Exclude")</f>
        <v>Exclude</v>
      </c>
      <c r="E1584" s="5" t="str">
        <f>IFERROR(__xludf.DUMMYFUNCTION("IFS(
D1584=""Exclude"",""Exclude"",
AND(
FILTER(IMPORTRANGE(""https://docs.google.com/spreadsheets/d/1qpEmbGH0JjaJbUdp21-y2cPbobDbMjr09BbtdKROZWc/edit#gid=1444865654"",""articles_with_PRISMA_reasons!W2:W2113""), $A1584=IMPORTRANGE(""https://docs.google.co"&amp;"m/spreadsheets/d/1qpEmbGH0JjaJbUdp21-y2cPbobDbMjr09BbtdKROZWc/edit#gid=1444865654"",""articles_with_PRISMA_reasons!B2:B2113""))&gt;=2,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$A1584=IMPORTRANGE(""https://docs.google.com/spreadsheets/d/1qpEmbGH0JjaJbUdp21-y2cPbobDbMjr09BbtdKROZWc/edit#gid=1444865654"",""articles_with_PRISMA_reasons!B2:B2113""))&lt;2),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$A1584=IMPORTRANGE(""https://docs.google.com/spreadsheets/d/1qpEmbGH0JjaJbUdp21-y2cPbobDbMjr09Bbtd"&amp;"KROZWc/edit#gid=1444865654"",""articles_with_PRISMA_reasons!B2:B2113""))&lt;2,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$A1584=I"&amp;"MPORTRANGE(""https://docs.google.com/spreadsheets/d/1qpEmbGH0JjaJbUdp21-y2cPbobDbMjr09BbtdKROZWc/edit#gid=1444865654"",""articles_with_PRISMA_reasons!B2:B2113""))&gt;=2),
""Exclude""
)"),"Exclude")</f>
        <v>Exclude</v>
      </c>
      <c r="F1584" s="5" t="str">
        <f>IFERROR(__xludf.DUMMYFUNCTION("IFS(
E1584=""Exclude"",""Exclude"",
AND(
COUNTIF(
IMPORTRANGE(""https://docs.google.com/spreadsheets/d/1kGrh75X1cNR1D7_FcY9zMnHP8iPO4M5RCRjy6nZY0TY/edit#gid=0"",""Table 1: Study characteristics!B4:B171""),A1584)&gt;0,
COUNTIF(Studies!$A$2:$A$85,FILTER(IMPORT"&amp;"RANGE(""https://docs.google.com/spreadsheets/d/1kGrh75X1cNR1D7_FcY9zMnHP8iPO4M5RCRjy6nZY0TY/edit#gid=0"",""Table 1: Study characteristics!A4:A171""), $A1584=IMPORTRANGE(""https://docs.google.com/spreadsheets/d/1kGrh75X1cNR1D7_FcY9zMnHP8iPO4M5RCRjy6nZY0TY/"&amp;"edit#gid=0"",""Table 1: Study characteristics!B4:B171"")))&gt;0
),
""Include""
)"),"Exclude")</f>
        <v>Exclude</v>
      </c>
      <c r="G1584" s="5" t="str">
        <f>IFERROR(__xludf.DUMMYFUNCTION("IFS(
D1584=""Exclude"",
FILTER(IMPORTRANGE(""https://docs.google.com/spreadsheets/d/1BJSV3WBYJGRhQ6zExamkszQ5VutGIcaQqmbD9ZTVXMQ/edit#gid=1251630045"",""articles_with_PRISMA_reasons!AB2:AB2113""), $A1584=IMPORTRANGE(""https://docs.google.com/spreadsheets/"&amp;"d/1BJSV3WBYJGRhQ6zExamkszQ5VutGIcaQqmbD9ZTVXMQ/edit#gid=1251630045"",""articles_with_PRISMA_reasons!B2:B2113"")),
E1584=""Exclude"",
FILTER(IMPORTRANGE(""https://docs.google.com/spreadsheets/d/1qpEmbGH0JjaJbUdp21-y2cPbobDbMjr09BbtdKROZWc/edit#gid=14448656"&amp;"54"",""articles_with_PRISMA_reasons!Z2:Z2113""), $A1584=IMPORTRANGE(""https://docs.google.com/spreadsheets/d/1qpEmbGH0JjaJbUdp21-y2cPbobDbMjr09BbtdKROZWc/edit#gid=1444865654"",""articles_with_PRISMA_reasons!B2:B2113"")),F1584
=""Include"",FILTER(IMPORTRAN"&amp;"GE(""https://docs.google.com/spreadsheets/d/1kGrh75X1cNR1D7_FcY9zMnHP8iPO4M5RCRjy6nZY0TY/edit#gid=0"",""Table 1: Study characteristics!A4:A171""), $A1584=IMPORTRANGE(""https://docs.google.com/spreadsheets/d/1kGrh75X1cNR1D7_FcY9zMnHP8iPO4M5RCRjy6nZY0TY/edi"&amp;"t#gid=0"",""Table 1: Study characteristics!B4:B171""))
)"),"wrong population")</f>
        <v>wrong population</v>
      </c>
    </row>
    <row r="1585">
      <c r="A1585" s="4" t="str">
        <f>IFERROR(__xludf.DUMMYFUNCTION("""COMPUTED_VALUE"""),"Questioning the rationale and conduct of the management of myelomeningocele study")</f>
        <v>Questioning the rationale and conduct of the management of myelomeningocele study</v>
      </c>
      <c r="B1585" s="5" t="str">
        <f>IFERROR(__xludf.DUMMYFUNCTION("LEFT(FILTER(IMPORTRANGE(""https://docs.google.com/spreadsheets/d/1BJSV3WBYJGRhQ6zExamkszQ5VutGIcaQqmbD9ZTVXMQ/edit#gid=1251630045"",""articles_with_PRISMA_reasons!K2:K2113""), $A1585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$A1585=IMPORTRANGE(""https://docs.google.com/spreadsheets/d/1BJSV3WBYJGRhQ6zExamkszQ5VutGIcaQqmbD9ZTVXMQ/edit#gid=1251630045"",""articles_with_PRISMA_reasons!B2:B2113"")))-1)"),"Williams")</f>
        <v>Williams</v>
      </c>
      <c r="C1585" s="6" t="str">
        <f>IFERROR(__xludf.DUMMYFUNCTION("FILTER(IMPORTRANGE(""https://docs.google.com/spreadsheets/d/1BJSV3WBYJGRhQ6zExamkszQ5VutGIcaQqmbD9ZTVXMQ/edit#gid=1251630045"",""articles_with_PRISMA_reasons!C2:C2113""), $A1585=IMPORTRANGE(""https://docs.google.com/spreadsheets/d/1BJSV3WBYJGRhQ6zExamkszQ"&amp;"5VutGIcaQqmbD9ZTVXMQ/edit#gid=1251630045"",""articles_with_PRISMA_reasons!B2:B2113""))"),"Jul")</f>
        <v>Jul</v>
      </c>
      <c r="D1585" s="5" t="str">
        <f>IFERROR(__xludf.DUMMYFUNCTION("IFS(AND(
FILTER(IMPORTRANGE(""https://docs.google.com/spreadsheets/d/1BJSV3WBYJGRhQ6zExamkszQ5VutGIcaQqmbD9ZTVXMQ/edit#gid=1251630045"",""articles_with_PRISMA_reasons!Y2:Y2113""), $A1585=IMPORTRANGE(""https://docs.google.com/spreadsheets/d/1BJSV3WBYJGRhQ6"&amp;"zExamkszQ5VutGIcaQqmbD9ZTVXMQ/edit#gid=1251630045"",""articles_with_PRISMA_reasons!B2:B2113""))&gt;=2,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$A1585=IMPORTRANGE(""https://docs.google.com/spreadsheets/d/1BJSV3WBYJGRhQ6zExamkszQ5VutGIcaQqmbD9ZTVXMQ/edit#gid=1251630045"",""articles_with_PRISMA_reasons!B2:B2113""))&lt;2),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$A1585=IMPORTRANGE(""https://docs.google.com/spreadsheets/d/1BJSV3WBYJGRhQ6zExamkszQ5VutGIcaQqmbD9ZTVXMQ/edit#gid=1251630045"",""a"&amp;"rticles_with_PRISMA_reasons!B2:B2113""))&lt;2,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$A1585=IMPORTRANGE(""https://docs.google"&amp;".com/spreadsheets/d/1BJSV3WBYJGRhQ6zExamkszQ5VutGIcaQqmbD9ZTVXMQ/edit#gid=1251630045"",""articles_with_PRISMA_reasons!B2:B2113""))&gt;=2),
""Exclude""
)"),"Exclude")</f>
        <v>Exclude</v>
      </c>
      <c r="E1585" s="5" t="str">
        <f>IFERROR(__xludf.DUMMYFUNCTION("IFS(
D1585=""Exclude"",""Exclude"",
AND(
FILTER(IMPORTRANGE(""https://docs.google.com/spreadsheets/d/1qpEmbGH0JjaJbUdp21-y2cPbobDbMjr09BbtdKROZWc/edit#gid=1444865654"",""articles_with_PRISMA_reasons!W2:W2113""), $A1585=IMPORTRANGE(""https://docs.google.co"&amp;"m/spreadsheets/d/1qpEmbGH0JjaJbUdp21-y2cPbobDbMjr09BbtdKROZWc/edit#gid=1444865654"",""articles_with_PRISMA_reasons!B2:B2113""))&gt;=2,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$A1585=IMPORTRANGE(""https://docs.google.com/spreadsheets/d/1qpEmbGH0JjaJbUdp21-y2cPbobDbMjr09BbtdKROZWc/edit#gid=1444865654"",""articles_with_PRISMA_reasons!B2:B2113""))&lt;2),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$A1585=IMPORTRANGE(""https://docs.google.com/spreadsheets/d/1qpEmbGH0JjaJbUdp21-y2cPbobDbMjr09Bbtd"&amp;"KROZWc/edit#gid=1444865654"",""articles_with_PRISMA_reasons!B2:B2113""))&lt;2,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$A1585=I"&amp;"MPORTRANGE(""https://docs.google.com/spreadsheets/d/1qpEmbGH0JjaJbUdp21-y2cPbobDbMjr09BbtdKROZWc/edit#gid=1444865654"",""articles_with_PRISMA_reasons!B2:B2113""))&gt;=2),
""Exclude""
)"),"Exclude")</f>
        <v>Exclude</v>
      </c>
      <c r="F1585" s="5" t="str">
        <f>IFERROR(__xludf.DUMMYFUNCTION("IFS(
E1585=""Exclude"",""Exclude"",
AND(
COUNTIF(
IMPORTRANGE(""https://docs.google.com/spreadsheets/d/1kGrh75X1cNR1D7_FcY9zMnHP8iPO4M5RCRjy6nZY0TY/edit#gid=0"",""Table 1: Study characteristics!B4:B171""),A1585)&gt;0,
COUNTIF(Studies!$A$2:$A$85,FILTER(IMPORT"&amp;"RANGE(""https://docs.google.com/spreadsheets/d/1kGrh75X1cNR1D7_FcY9zMnHP8iPO4M5RCRjy6nZY0TY/edit#gid=0"",""Table 1: Study characteristics!A4:A171""), $A1585=IMPORTRANGE(""https://docs.google.com/spreadsheets/d/1kGrh75X1cNR1D7_FcY9zMnHP8iPO4M5RCRjy6nZY0TY/"&amp;"edit#gid=0"",""Table 1: Study characteristics!B4:B171"")))&gt;0
),
""Include""
)"),"Exclude")</f>
        <v>Exclude</v>
      </c>
      <c r="G1585" s="5" t="str">
        <f>IFERROR(__xludf.DUMMYFUNCTION("IFS(
D1585=""Exclude"",
FILTER(IMPORTRANGE(""https://docs.google.com/spreadsheets/d/1BJSV3WBYJGRhQ6zExamkszQ5VutGIcaQqmbD9ZTVXMQ/edit#gid=1251630045"",""articles_with_PRISMA_reasons!AB2:AB2113""), $A1585=IMPORTRANGE(""https://docs.google.com/spreadsheets/"&amp;"d/1BJSV3WBYJGRhQ6zExamkszQ5VutGIcaQqmbD9ZTVXMQ/edit#gid=1251630045"",""articles_with_PRISMA_reasons!B2:B2113"")),
E1585=""Exclude"",
FILTER(IMPORTRANGE(""https://docs.google.com/spreadsheets/d/1qpEmbGH0JjaJbUdp21-y2cPbobDbMjr09BbtdKROZWc/edit#gid=14448656"&amp;"54"",""articles_with_PRISMA_reasons!Z2:Z2113""), $A1585=IMPORTRANGE(""https://docs.google.com/spreadsheets/d/1qpEmbGH0JjaJbUdp21-y2cPbobDbMjr09BbtdKROZWc/edit#gid=1444865654"",""articles_with_PRISMA_reasons!B2:B2113"")),F1585
=""Include"",FILTER(IMPORTRAN"&amp;"GE(""https://docs.google.com/spreadsheets/d/1kGrh75X1cNR1D7_FcY9zMnHP8iPO4M5RCRjy6nZY0TY/edit#gid=0"",""Table 1: Study characteristics!A4:A171""), $A1585=IMPORTRANGE(""https://docs.google.com/spreadsheets/d/1kGrh75X1cNR1D7_FcY9zMnHP8iPO4M5RCRjy6nZY0TY/edi"&amp;"t#gid=0"",""Table 1: Study characteristics!B4:B171""))
)"),"wrong population")</f>
        <v>wrong population</v>
      </c>
    </row>
    <row r="1586">
      <c r="A1586" s="4" t="str">
        <f>IFERROR(__xludf.DUMMYFUNCTION("""COMPUTED_VALUE"""),"Radial ray aplasia in utero: A prenatal finding associated with valproic acid exposure")</f>
        <v>Radial ray aplasia in utero: A prenatal finding associated with valproic acid exposure</v>
      </c>
      <c r="B1586" s="5" t="str">
        <f>IFERROR(__xludf.DUMMYFUNCTION("LEFT(FILTER(IMPORTRANGE(""https://docs.google.com/spreadsheets/d/1BJSV3WBYJGRhQ6zExamkszQ5VutGIcaQqmbD9ZTVXMQ/edit#gid=1251630045"",""articles_with_PRISMA_reasons!K2:K2113""), $A1586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$A1586=IMPORTRANGE(""https://docs.google.com/spreadsheets/d/1BJSV3WBYJGRhQ6zExamkszQ5VutGIcaQqmbD9ZTVXMQ/edit#gid=1251630045"",""articles_with_PRISMA_reasons!B2:B2113"")))-1)"),"Ylagan")</f>
        <v>Ylagan</v>
      </c>
      <c r="C1586" s="6">
        <f>IFERROR(__xludf.DUMMYFUNCTION("FILTER(IMPORTRANGE(""https://docs.google.com/spreadsheets/d/1BJSV3WBYJGRhQ6zExamkszQ5VutGIcaQqmbD9ZTVXMQ/edit#gid=1251630045"",""articles_with_PRISMA_reasons!C2:C2113""), $A1586=IMPORTRANGE(""https://docs.google.com/spreadsheets/d/1BJSV3WBYJGRhQ6zExamkszQ"&amp;"5VutGIcaQqmbD9ZTVXMQ/edit#gid=1251630045"",""articles_with_PRISMA_reasons!B2:B2113""))"),1994.0)</f>
        <v>1994</v>
      </c>
      <c r="D1586" s="5" t="str">
        <f>IFERROR(__xludf.DUMMYFUNCTION("IFS(AND(
FILTER(IMPORTRANGE(""https://docs.google.com/spreadsheets/d/1BJSV3WBYJGRhQ6zExamkszQ5VutGIcaQqmbD9ZTVXMQ/edit#gid=1251630045"",""articles_with_PRISMA_reasons!Y2:Y2113""), $A1586=IMPORTRANGE(""https://docs.google.com/spreadsheets/d/1BJSV3WBYJGRhQ6"&amp;"zExamkszQ5VutGIcaQqmbD9ZTVXMQ/edit#gid=1251630045"",""articles_with_PRISMA_reasons!B2:B2113""))&gt;=2,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$A1586=IMPORTRANGE(""https://docs.google.com/spreadsheets/d/1BJSV3WBYJGRhQ6zExamkszQ5VutGIcaQqmbD9ZTVXMQ/edit#gid=1251630045"",""articles_with_PRISMA_reasons!B2:B2113""))&lt;2),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$A1586=IMPORTRANGE(""https://docs.google.com/spreadsheets/d/1BJSV3WBYJGRhQ6zExamkszQ5VutGIcaQqmbD9ZTVXMQ/edit#gid=1251630045"",""a"&amp;"rticles_with_PRISMA_reasons!B2:B2113""))&lt;2,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$A1586=IMPORTRANGE(""https://docs.google"&amp;".com/spreadsheets/d/1BJSV3WBYJGRhQ6zExamkszQ5VutGIcaQqmbD9ZTVXMQ/edit#gid=1251630045"",""articles_with_PRISMA_reasons!B2:B2113""))&gt;=2),
""Exclude""
)"),"Exclude")</f>
        <v>Exclude</v>
      </c>
      <c r="E1586" s="5" t="str">
        <f>IFERROR(__xludf.DUMMYFUNCTION("IFS(
D1586=""Exclude"",""Exclude"",
AND(
FILTER(IMPORTRANGE(""https://docs.google.com/spreadsheets/d/1qpEmbGH0JjaJbUdp21-y2cPbobDbMjr09BbtdKROZWc/edit#gid=1444865654"",""articles_with_PRISMA_reasons!W2:W2113""), $A1586=IMPORTRANGE(""https://docs.google.co"&amp;"m/spreadsheets/d/1qpEmbGH0JjaJbUdp21-y2cPbobDbMjr09BbtdKROZWc/edit#gid=1444865654"",""articles_with_PRISMA_reasons!B2:B2113""))&gt;=2,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$A1586=IMPORTRANGE(""https://docs.google.com/spreadsheets/d/1qpEmbGH0JjaJbUdp21-y2cPbobDbMjr09BbtdKROZWc/edit#gid=1444865654"",""articles_with_PRISMA_reasons!B2:B2113""))&lt;2),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$A1586=IMPORTRANGE(""https://docs.google.com/spreadsheets/d/1qpEmbGH0JjaJbUdp21-y2cPbobDbMjr09Bbtd"&amp;"KROZWc/edit#gid=1444865654"",""articles_with_PRISMA_reasons!B2:B2113""))&lt;2,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$A1586=I"&amp;"MPORTRANGE(""https://docs.google.com/spreadsheets/d/1qpEmbGH0JjaJbUdp21-y2cPbobDbMjr09BbtdKROZWc/edit#gid=1444865654"",""articles_with_PRISMA_reasons!B2:B2113""))&gt;=2),
""Exclude""
)"),"Exclude")</f>
        <v>Exclude</v>
      </c>
      <c r="F1586" s="5" t="str">
        <f>IFERROR(__xludf.DUMMYFUNCTION("IFS(
E1586=""Exclude"",""Exclude"",
AND(
COUNTIF(
IMPORTRANGE(""https://docs.google.com/spreadsheets/d/1kGrh75X1cNR1D7_FcY9zMnHP8iPO4M5RCRjy6nZY0TY/edit#gid=0"",""Table 1: Study characteristics!B4:B171""),A1586)&gt;0,
COUNTIF(Studies!$A$2:$A$85,FILTER(IMPORT"&amp;"RANGE(""https://docs.google.com/spreadsheets/d/1kGrh75X1cNR1D7_FcY9zMnHP8iPO4M5RCRjy6nZY0TY/edit#gid=0"",""Table 1: Study characteristics!A4:A171""), $A1586=IMPORTRANGE(""https://docs.google.com/spreadsheets/d/1kGrh75X1cNR1D7_FcY9zMnHP8iPO4M5RCRjy6nZY0TY/"&amp;"edit#gid=0"",""Table 1: Study characteristics!B4:B171"")))&gt;0
),
""Include""
)"),"Exclude")</f>
        <v>Exclude</v>
      </c>
      <c r="G1586" s="5" t="str">
        <f>IFERROR(__xludf.DUMMYFUNCTION("IFS(
D1586=""Exclude"",
FILTER(IMPORTRANGE(""https://docs.google.com/spreadsheets/d/1BJSV3WBYJGRhQ6zExamkszQ5VutGIcaQqmbD9ZTVXMQ/edit#gid=1251630045"",""articles_with_PRISMA_reasons!AB2:AB2113""), $A1586=IMPORTRANGE(""https://docs.google.com/spreadsheets/"&amp;"d/1BJSV3WBYJGRhQ6zExamkszQ5VutGIcaQqmbD9ZTVXMQ/edit#gid=1251630045"",""articles_with_PRISMA_reasons!B2:B2113"")),
E1586=""Exclude"",
FILTER(IMPORTRANGE(""https://docs.google.com/spreadsheets/d/1qpEmbGH0JjaJbUdp21-y2cPbobDbMjr09BbtdKROZWc/edit#gid=14448656"&amp;"54"",""articles_with_PRISMA_reasons!Z2:Z2113""), $A1586=IMPORTRANGE(""https://docs.google.com/spreadsheets/d/1qpEmbGH0JjaJbUdp21-y2cPbobDbMjr09BbtdKROZWc/edit#gid=1444865654"",""articles_with_PRISMA_reasons!B2:B2113"")),F1586
=""Include"",FILTER(IMPORTRAN"&amp;"GE(""https://docs.google.com/spreadsheets/d/1kGrh75X1cNR1D7_FcY9zMnHP8iPO4M5RCRjy6nZY0TY/edit#gid=0"",""Table 1: Study characteristics!A4:A171""), $A1586=IMPORTRANGE(""https://docs.google.com/spreadsheets/d/1kGrh75X1cNR1D7_FcY9zMnHP8iPO4M5RCRjy6nZY0TY/edi"&amp;"t#gid=0"",""Table 1: Study characteristics!B4:B171""))
)"),"wrong population")</f>
        <v>wrong population</v>
      </c>
    </row>
    <row r="1587">
      <c r="A1587" s="4" t="str">
        <f>IFERROR(__xludf.DUMMYFUNCTION("""COMPUTED_VALUE"""),"Radiographic markers of clinical outcomes after endoscopic third ventriculostomy with choroid plexus cauterization: cerebrospinal fluid turbulence and choroid plexus visualization")</f>
        <v>Radiographic markers of clinical outcomes after endoscopic third ventriculostomy with choroid plexus cauterization: cerebrospinal fluid turbulence and choroid plexus visualization</v>
      </c>
      <c r="B1587" s="5" t="str">
        <f>IFERROR(__xludf.DUMMYFUNCTION("LEFT(FILTER(IMPORTRANGE(""https://docs.google.com/spreadsheets/d/1BJSV3WBYJGRhQ6zExamkszQ5VutGIcaQqmbD9ZTVXMQ/edit#gid=1251630045"",""articles_with_PRISMA_reasons!K2:K2113""), $A1587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$A1587=IMPORTRANGE(""https://docs.google.com/spreadsheets/d/1BJSV3WBYJGRhQ6zExamkszQ5VutGIcaQqmbD9ZTVXMQ/edit#gid=1251630045"",""articles_with_PRISMA_reasons!B2:B2113"")))-1)"),"Pindrik")</f>
        <v>Pindrik</v>
      </c>
      <c r="C1587" s="6">
        <f>IFERROR(__xludf.DUMMYFUNCTION("FILTER(IMPORTRANGE(""https://docs.google.com/spreadsheets/d/1BJSV3WBYJGRhQ6zExamkszQ5VutGIcaQqmbD9ZTVXMQ/edit#gid=1251630045"",""articles_with_PRISMA_reasons!C2:C2113""), $A1587=IMPORTRANGE(""https://docs.google.com/spreadsheets/d/1BJSV3WBYJGRhQ6zExamkszQ"&amp;"5VutGIcaQqmbD9ZTVXMQ/edit#gid=1251630045"",""articles_with_PRISMA_reasons!B2:B2113""))"),2016.0)</f>
        <v>2016</v>
      </c>
      <c r="D1587" s="5" t="str">
        <f>IFERROR(__xludf.DUMMYFUNCTION("IFS(AND(
FILTER(IMPORTRANGE(""https://docs.google.com/spreadsheets/d/1BJSV3WBYJGRhQ6zExamkszQ5VutGIcaQqmbD9ZTVXMQ/edit#gid=1251630045"",""articles_with_PRISMA_reasons!Y2:Y2113""), $A1587=IMPORTRANGE(""https://docs.google.com/spreadsheets/d/1BJSV3WBYJGRhQ6"&amp;"zExamkszQ5VutGIcaQqmbD9ZTVXMQ/edit#gid=1251630045"",""articles_with_PRISMA_reasons!B2:B2113""))&gt;=2,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$A1587=IMPORTRANGE(""https://docs.google.com/spreadsheets/d/1BJSV3WBYJGRhQ6zExamkszQ5VutGIcaQqmbD9ZTVXMQ/edit#gid=1251630045"",""articles_with_PRISMA_reasons!B2:B2113""))&lt;2),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$A1587=IMPORTRANGE(""https://docs.google.com/spreadsheets/d/1BJSV3WBYJGRhQ6zExamkszQ5VutGIcaQqmbD9ZTVXMQ/edit#gid=1251630045"",""a"&amp;"rticles_with_PRISMA_reasons!B2:B2113""))&lt;2,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$A1587=IMPORTRANGE(""https://docs.google"&amp;".com/spreadsheets/d/1BJSV3WBYJGRhQ6zExamkszQ5VutGIcaQqmbD9ZTVXMQ/edit#gid=1251630045"",""articles_with_PRISMA_reasons!B2:B2113""))&gt;=2),
""Exclude""
)"),"Exclude")</f>
        <v>Exclude</v>
      </c>
      <c r="E1587" s="5" t="str">
        <f>IFERROR(__xludf.DUMMYFUNCTION("IFS(
D1587=""Exclude"",""Exclude"",
AND(
FILTER(IMPORTRANGE(""https://docs.google.com/spreadsheets/d/1qpEmbGH0JjaJbUdp21-y2cPbobDbMjr09BbtdKROZWc/edit#gid=1444865654"",""articles_with_PRISMA_reasons!W2:W2113""), $A1587=IMPORTRANGE(""https://docs.google.co"&amp;"m/spreadsheets/d/1qpEmbGH0JjaJbUdp21-y2cPbobDbMjr09BbtdKROZWc/edit#gid=1444865654"",""articles_with_PRISMA_reasons!B2:B2113""))&gt;=2,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$A1587=IMPORTRANGE(""https://docs.google.com/spreadsheets/d/1qpEmbGH0JjaJbUdp21-y2cPbobDbMjr09BbtdKROZWc/edit#gid=1444865654"",""articles_with_PRISMA_reasons!B2:B2113""))&lt;2),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$A1587=IMPORTRANGE(""https://docs.google.com/spreadsheets/d/1qpEmbGH0JjaJbUdp21-y2cPbobDbMjr09Bbtd"&amp;"KROZWc/edit#gid=1444865654"",""articles_with_PRISMA_reasons!B2:B2113""))&lt;2,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$A1587=I"&amp;"MPORTRANGE(""https://docs.google.com/spreadsheets/d/1qpEmbGH0JjaJbUdp21-y2cPbobDbMjr09BbtdKROZWc/edit#gid=1444865654"",""articles_with_PRISMA_reasons!B2:B2113""))&gt;=2),
""Exclude""
)"),"Exclude")</f>
        <v>Exclude</v>
      </c>
      <c r="F1587" s="5" t="str">
        <f>IFERROR(__xludf.DUMMYFUNCTION("IFS(
E1587=""Exclude"",""Exclude"",
AND(
COUNTIF(
IMPORTRANGE(""https://docs.google.com/spreadsheets/d/1kGrh75X1cNR1D7_FcY9zMnHP8iPO4M5RCRjy6nZY0TY/edit#gid=0"",""Table 1: Study characteristics!B4:B171""),A1587)&gt;0,
COUNTIF(Studies!$A$2:$A$85,FILTER(IMPORT"&amp;"RANGE(""https://docs.google.com/spreadsheets/d/1kGrh75X1cNR1D7_FcY9zMnHP8iPO4M5RCRjy6nZY0TY/edit#gid=0"",""Table 1: Study characteristics!A4:A171""), $A1587=IMPORTRANGE(""https://docs.google.com/spreadsheets/d/1kGrh75X1cNR1D7_FcY9zMnHP8iPO4M5RCRjy6nZY0TY/"&amp;"edit#gid=0"",""Table 1: Study characteristics!B4:B171"")))&gt;0
),
""Include""
)"),"Exclude")</f>
        <v>Exclude</v>
      </c>
      <c r="G1587" s="5" t="str">
        <f>IFERROR(__xludf.DUMMYFUNCTION("IFS(
D1587=""Exclude"",
FILTER(IMPORTRANGE(""https://docs.google.com/spreadsheets/d/1BJSV3WBYJGRhQ6zExamkszQ5VutGIcaQqmbD9ZTVXMQ/edit#gid=1251630045"",""articles_with_PRISMA_reasons!AB2:AB2113""), $A1587=IMPORTRANGE(""https://docs.google.com/spreadsheets/"&amp;"d/1BJSV3WBYJGRhQ6zExamkszQ5VutGIcaQqmbD9ZTVXMQ/edit#gid=1251630045"",""articles_with_PRISMA_reasons!B2:B2113"")),
E1587=""Exclude"",
FILTER(IMPORTRANGE(""https://docs.google.com/spreadsheets/d/1qpEmbGH0JjaJbUdp21-y2cPbobDbMjr09BbtdKROZWc/edit#gid=14448656"&amp;"54"",""articles_with_PRISMA_reasons!Z2:Z2113""), $A1587=IMPORTRANGE(""https://docs.google.com/spreadsheets/d/1qpEmbGH0JjaJbUdp21-y2cPbobDbMjr09BbtdKROZWc/edit#gid=1444865654"",""articles_with_PRISMA_reasons!B2:B2113"")),F1587
=""Include"",FILTER(IMPORTRAN"&amp;"GE(""https://docs.google.com/spreadsheets/d/1kGrh75X1cNR1D7_FcY9zMnHP8iPO4M5RCRjy6nZY0TY/edit#gid=0"",""Table 1: Study characteristics!A4:A171""), $A1587=IMPORTRANGE(""https://docs.google.com/spreadsheets/d/1kGrh75X1cNR1D7_FcY9zMnHP8iPO4M5RCRjy6nZY0TY/edi"&amp;"t#gid=0"",""Table 1: Study characteristics!B4:B171""))
)"),"wrong population")</f>
        <v>wrong population</v>
      </c>
    </row>
    <row r="1588">
      <c r="A1588" s="4" t="str">
        <f>IFERROR(__xludf.DUMMYFUNCTION("""COMPUTED_VALUE"""),"Radiological case of the month")</f>
        <v>Radiological case of the month</v>
      </c>
      <c r="B1588" s="5" t="str">
        <f>IFERROR(__xludf.DUMMYFUNCTION("LEFT(FILTER(IMPORTRANGE(""https://docs.google.com/spreadsheets/d/1BJSV3WBYJGRhQ6zExamkszQ5VutGIcaQqmbD9ZTVXMQ/edit#gid=1251630045"",""articles_with_PRISMA_reasons!K2:K2113""), $A1588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$A1588=IMPORTRANGE(""https://docs.google.com/spreadsheets/d/1BJSV3WBYJGRhQ6zExamkszQ5VutGIcaQqmbD9ZTVXMQ/edit#gid=1251630045"",""articles_with_PRISMA_reasons!B2:B2113"")))-1)"),"Constantini")</f>
        <v>Constantini</v>
      </c>
      <c r="C1588" s="6">
        <f>IFERROR(__xludf.DUMMYFUNCTION("FILTER(IMPORTRANGE(""https://docs.google.com/spreadsheets/d/1BJSV3WBYJGRhQ6zExamkszQ5VutGIcaQqmbD9ZTVXMQ/edit#gid=1251630045"",""articles_with_PRISMA_reasons!C2:C2113""), $A1588=IMPORTRANGE(""https://docs.google.com/spreadsheets/d/1BJSV3WBYJGRhQ6zExamkszQ"&amp;"5VutGIcaQqmbD9ZTVXMQ/edit#gid=1251630045"",""articles_with_PRISMA_reasons!B2:B2113""))"),1996.0)</f>
        <v>1996</v>
      </c>
      <c r="D1588" s="5" t="str">
        <f>IFERROR(__xludf.DUMMYFUNCTION("IFS(AND(
FILTER(IMPORTRANGE(""https://docs.google.com/spreadsheets/d/1BJSV3WBYJGRhQ6zExamkszQ5VutGIcaQqmbD9ZTVXMQ/edit#gid=1251630045"",""articles_with_PRISMA_reasons!Y2:Y2113""), $A1588=IMPORTRANGE(""https://docs.google.com/spreadsheets/d/1BJSV3WBYJGRhQ6"&amp;"zExamkszQ5VutGIcaQqmbD9ZTVXMQ/edit#gid=1251630045"",""articles_with_PRISMA_reasons!B2:B2113""))&gt;=2,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$A1588=IMPORTRANGE(""https://docs.google.com/spreadsheets/d/1BJSV3WBYJGRhQ6zExamkszQ5VutGIcaQqmbD9ZTVXMQ/edit#gid=1251630045"",""articles_with_PRISMA_reasons!B2:B2113""))&lt;2),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$A1588=IMPORTRANGE(""https://docs.google.com/spreadsheets/d/1BJSV3WBYJGRhQ6zExamkszQ5VutGIcaQqmbD9ZTVXMQ/edit#gid=1251630045"",""a"&amp;"rticles_with_PRISMA_reasons!B2:B2113""))&lt;2,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$A1588=IMPORTRANGE(""https://docs.google"&amp;".com/spreadsheets/d/1BJSV3WBYJGRhQ6zExamkszQ5VutGIcaQqmbD9ZTVXMQ/edit#gid=1251630045"",""articles_with_PRISMA_reasons!B2:B2113""))&gt;=2),
""Exclude""
)"),"Exclude")</f>
        <v>Exclude</v>
      </c>
      <c r="E1588" s="5" t="str">
        <f>IFERROR(__xludf.DUMMYFUNCTION("IFS(
D1588=""Exclude"",""Exclude"",
AND(
FILTER(IMPORTRANGE(""https://docs.google.com/spreadsheets/d/1qpEmbGH0JjaJbUdp21-y2cPbobDbMjr09BbtdKROZWc/edit#gid=1444865654"",""articles_with_PRISMA_reasons!W2:W2113""), $A1588=IMPORTRANGE(""https://docs.google.co"&amp;"m/spreadsheets/d/1qpEmbGH0JjaJbUdp21-y2cPbobDbMjr09BbtdKROZWc/edit#gid=1444865654"",""articles_with_PRISMA_reasons!B2:B2113""))&gt;=2,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$A1588=IMPORTRANGE(""https://docs.google.com/spreadsheets/d/1qpEmbGH0JjaJbUdp21-y2cPbobDbMjr09BbtdKROZWc/edit#gid=1444865654"",""articles_with_PRISMA_reasons!B2:B2113""))&lt;2),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$A1588=IMPORTRANGE(""https://docs.google.com/spreadsheets/d/1qpEmbGH0JjaJbUdp21-y2cPbobDbMjr09Bbtd"&amp;"KROZWc/edit#gid=1444865654"",""articles_with_PRISMA_reasons!B2:B2113""))&lt;2,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$A1588=I"&amp;"MPORTRANGE(""https://docs.google.com/spreadsheets/d/1qpEmbGH0JjaJbUdp21-y2cPbobDbMjr09BbtdKROZWc/edit#gid=1444865654"",""articles_with_PRISMA_reasons!B2:B2113""))&gt;=2),
""Exclude""
)"),"Exclude")</f>
        <v>Exclude</v>
      </c>
      <c r="F1588" s="5" t="str">
        <f>IFERROR(__xludf.DUMMYFUNCTION("IFS(
E1588=""Exclude"",""Exclude"",
AND(
COUNTIF(
IMPORTRANGE(""https://docs.google.com/spreadsheets/d/1kGrh75X1cNR1D7_FcY9zMnHP8iPO4M5RCRjy6nZY0TY/edit#gid=0"",""Table 1: Study characteristics!B4:B171""),A1588)&gt;0,
COUNTIF(Studies!$A$2:$A$85,FILTER(IMPORT"&amp;"RANGE(""https://docs.google.com/spreadsheets/d/1kGrh75X1cNR1D7_FcY9zMnHP8iPO4M5RCRjy6nZY0TY/edit#gid=0"",""Table 1: Study characteristics!A4:A171""), $A1588=IMPORTRANGE(""https://docs.google.com/spreadsheets/d/1kGrh75X1cNR1D7_FcY9zMnHP8iPO4M5RCRjy6nZY0TY/"&amp;"edit#gid=0"",""Table 1: Study characteristics!B4:B171"")))&gt;0
),
""Include""
)"),"Exclude")</f>
        <v>Exclude</v>
      </c>
      <c r="G1588" s="5" t="str">
        <f>IFERROR(__xludf.DUMMYFUNCTION("IFS(
D1588=""Exclude"",
FILTER(IMPORTRANGE(""https://docs.google.com/spreadsheets/d/1BJSV3WBYJGRhQ6zExamkszQ5VutGIcaQqmbD9ZTVXMQ/edit#gid=1251630045"",""articles_with_PRISMA_reasons!AB2:AB2113""), $A1588=IMPORTRANGE(""https://docs.google.com/spreadsheets/"&amp;"d/1BJSV3WBYJGRhQ6zExamkszQ5VutGIcaQqmbD9ZTVXMQ/edit#gid=1251630045"",""articles_with_PRISMA_reasons!B2:B2113"")),
E1588=""Exclude"",
FILTER(IMPORTRANGE(""https://docs.google.com/spreadsheets/d/1qpEmbGH0JjaJbUdp21-y2cPbobDbMjr09BbtdKROZWc/edit#gid=14448656"&amp;"54"",""articles_with_PRISMA_reasons!Z2:Z2113""), $A1588=IMPORTRANGE(""https://docs.google.com/spreadsheets/d/1qpEmbGH0JjaJbUdp21-y2cPbobDbMjr09BbtdKROZWc/edit#gid=1444865654"",""articles_with_PRISMA_reasons!B2:B2113"")),F1588
=""Include"",FILTER(IMPORTRAN"&amp;"GE(""https://docs.google.com/spreadsheets/d/1kGrh75X1cNR1D7_FcY9zMnHP8iPO4M5RCRjy6nZY0TY/edit#gid=0"",""Table 1: Study characteristics!A4:A171""), $A1588=IMPORTRANGE(""https://docs.google.com/spreadsheets/d/1kGrh75X1cNR1D7_FcY9zMnHP8iPO4M5RCRjy6nZY0TY/edi"&amp;"t#gid=0"",""Table 1: Study characteristics!B4:B171""))
)"),"wrong study design")</f>
        <v>wrong study design</v>
      </c>
    </row>
    <row r="1589">
      <c r="A1589" s="4" t="str">
        <f>IFERROR(__xludf.DUMMYFUNCTION("""COMPUTED_VALUE"""),"Raised intracranial pressure in a neonate presenting as stridor")</f>
        <v>Raised intracranial pressure in a neonate presenting as stridor</v>
      </c>
      <c r="B1589" s="5" t="str">
        <f>IFERROR(__xludf.DUMMYFUNCTION("LEFT(FILTER(IMPORTRANGE(""https://docs.google.com/spreadsheets/d/1BJSV3WBYJGRhQ6zExamkszQ5VutGIcaQqmbD9ZTVXMQ/edit#gid=1251630045"",""articles_with_PRISMA_reasons!K2:K2113""), $A1589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$A1589=IMPORTRANGE(""https://docs.google.com/spreadsheets/d/1BJSV3WBYJGRhQ6zExamkszQ5VutGIcaQqmbD9ZTVXMQ/edit#gid=1251630045"",""articles_with_PRISMA_reasons!B2:B2113"")))-1)"),"Solan")</f>
        <v>Solan</v>
      </c>
      <c r="C1589" s="6">
        <f>IFERROR(__xludf.DUMMYFUNCTION("FILTER(IMPORTRANGE(""https://docs.google.com/spreadsheets/d/1BJSV3WBYJGRhQ6zExamkszQ5VutGIcaQqmbD9ZTVXMQ/edit#gid=1251630045"",""articles_with_PRISMA_reasons!C2:C2113""), $A1589=IMPORTRANGE(""https://docs.google.com/spreadsheets/d/1BJSV3WBYJGRhQ6zExamkszQ"&amp;"5VutGIcaQqmbD9ZTVXMQ/edit#gid=1251630045"",""articles_with_PRISMA_reasons!B2:B2113""))"),2006.0)</f>
        <v>2006</v>
      </c>
      <c r="D1589" s="5" t="str">
        <f>IFERROR(__xludf.DUMMYFUNCTION("IFS(AND(
FILTER(IMPORTRANGE(""https://docs.google.com/spreadsheets/d/1BJSV3WBYJGRhQ6zExamkszQ5VutGIcaQqmbD9ZTVXMQ/edit#gid=1251630045"",""articles_with_PRISMA_reasons!Y2:Y2113""), $A1589=IMPORTRANGE(""https://docs.google.com/spreadsheets/d/1BJSV3WBYJGRhQ6"&amp;"zExamkszQ5VutGIcaQqmbD9ZTVXMQ/edit#gid=1251630045"",""articles_with_PRISMA_reasons!B2:B2113""))&gt;=2,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$A1589=IMPORTRANGE(""https://docs.google.com/spreadsheets/d/1BJSV3WBYJGRhQ6zExamkszQ5VutGIcaQqmbD9ZTVXMQ/edit#gid=1251630045"",""articles_with_PRISMA_reasons!B2:B2113""))&lt;2),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$A1589=IMPORTRANGE(""https://docs.google.com/spreadsheets/d/1BJSV3WBYJGRhQ6zExamkszQ5VutGIcaQqmbD9ZTVXMQ/edit#gid=1251630045"",""a"&amp;"rticles_with_PRISMA_reasons!B2:B2113""))&lt;2,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$A1589=IMPORTRANGE(""https://docs.google"&amp;".com/spreadsheets/d/1BJSV3WBYJGRhQ6zExamkszQ5VutGIcaQqmbD9ZTVXMQ/edit#gid=1251630045"",""articles_with_PRISMA_reasons!B2:B2113""))&gt;=2),
""Exclude""
)"),"Exclude")</f>
        <v>Exclude</v>
      </c>
      <c r="E1589" s="5" t="str">
        <f>IFERROR(__xludf.DUMMYFUNCTION("IFS(
D1589=""Exclude"",""Exclude"",
AND(
FILTER(IMPORTRANGE(""https://docs.google.com/spreadsheets/d/1qpEmbGH0JjaJbUdp21-y2cPbobDbMjr09BbtdKROZWc/edit#gid=1444865654"",""articles_with_PRISMA_reasons!W2:W2113""), $A1589=IMPORTRANGE(""https://docs.google.co"&amp;"m/spreadsheets/d/1qpEmbGH0JjaJbUdp21-y2cPbobDbMjr09BbtdKROZWc/edit#gid=1444865654"",""articles_with_PRISMA_reasons!B2:B2113""))&gt;=2,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$A1589=IMPORTRANGE(""https://docs.google.com/spreadsheets/d/1qpEmbGH0JjaJbUdp21-y2cPbobDbMjr09BbtdKROZWc/edit#gid=1444865654"",""articles_with_PRISMA_reasons!B2:B2113""))&lt;2),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$A1589=IMPORTRANGE(""https://docs.google.com/spreadsheets/d/1qpEmbGH0JjaJbUdp21-y2cPbobDbMjr09Bbtd"&amp;"KROZWc/edit#gid=1444865654"",""articles_with_PRISMA_reasons!B2:B2113""))&lt;2,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$A1589=I"&amp;"MPORTRANGE(""https://docs.google.com/spreadsheets/d/1qpEmbGH0JjaJbUdp21-y2cPbobDbMjr09BbtdKROZWc/edit#gid=1444865654"",""articles_with_PRISMA_reasons!B2:B2113""))&gt;=2),
""Exclude""
)"),"Exclude")</f>
        <v>Exclude</v>
      </c>
      <c r="F1589" s="5" t="str">
        <f>IFERROR(__xludf.DUMMYFUNCTION("IFS(
E1589=""Exclude"",""Exclude"",
AND(
COUNTIF(
IMPORTRANGE(""https://docs.google.com/spreadsheets/d/1kGrh75X1cNR1D7_FcY9zMnHP8iPO4M5RCRjy6nZY0TY/edit#gid=0"",""Table 1: Study characteristics!B4:B171""),A1589)&gt;0,
COUNTIF(Studies!$A$2:$A$85,FILTER(IMPORT"&amp;"RANGE(""https://docs.google.com/spreadsheets/d/1kGrh75X1cNR1D7_FcY9zMnHP8iPO4M5RCRjy6nZY0TY/edit#gid=0"",""Table 1: Study characteristics!A4:A171""), $A1589=IMPORTRANGE(""https://docs.google.com/spreadsheets/d/1kGrh75X1cNR1D7_FcY9zMnHP8iPO4M5RCRjy6nZY0TY/"&amp;"edit#gid=0"",""Table 1: Study characteristics!B4:B171"")))&gt;0
),
""Include""
)"),"Exclude")</f>
        <v>Exclude</v>
      </c>
      <c r="G1589" s="5" t="str">
        <f>IFERROR(__xludf.DUMMYFUNCTION("IFS(
D1589=""Exclude"",
FILTER(IMPORTRANGE(""https://docs.google.com/spreadsheets/d/1BJSV3WBYJGRhQ6zExamkszQ5VutGIcaQqmbD9ZTVXMQ/edit#gid=1251630045"",""articles_with_PRISMA_reasons!AB2:AB2113""), $A1589=IMPORTRANGE(""https://docs.google.com/spreadsheets/"&amp;"d/1BJSV3WBYJGRhQ6zExamkszQ5VutGIcaQqmbD9ZTVXMQ/edit#gid=1251630045"",""articles_with_PRISMA_reasons!B2:B2113"")),
E1589=""Exclude"",
FILTER(IMPORTRANGE(""https://docs.google.com/spreadsheets/d/1qpEmbGH0JjaJbUdp21-y2cPbobDbMjr09BbtdKROZWc/edit#gid=14448656"&amp;"54"",""articles_with_PRISMA_reasons!Z2:Z2113""), $A1589=IMPORTRANGE(""https://docs.google.com/spreadsheets/d/1qpEmbGH0JjaJbUdp21-y2cPbobDbMjr09BbtdKROZWc/edit#gid=1444865654"",""articles_with_PRISMA_reasons!B2:B2113"")),F1589
=""Include"",FILTER(IMPORTRAN"&amp;"GE(""https://docs.google.com/spreadsheets/d/1kGrh75X1cNR1D7_FcY9zMnHP8iPO4M5RCRjy6nZY0TY/edit#gid=0"",""Table 1: Study characteristics!A4:A171""), $A1589=IMPORTRANGE(""https://docs.google.com/spreadsheets/d/1kGrh75X1cNR1D7_FcY9zMnHP8iPO4M5RCRjy6nZY0TY/edi"&amp;"t#gid=0"",""Table 1: Study characteristics!B4:B171""))
)"),"wrong study design")</f>
        <v>wrong study design</v>
      </c>
    </row>
    <row r="1590">
      <c r="A1590" s="4" t="str">
        <f>IFERROR(__xludf.DUMMYFUNCTION("""COMPUTED_VALUE"""),"Rapid evolution of a growing skull fracture after vacuum extraction in case of fetal hydrocephalus")</f>
        <v>Rapid evolution of a growing skull fracture after vacuum extraction in case of fetal hydrocephalus</v>
      </c>
      <c r="B1590" s="5" t="str">
        <f>IFERROR(__xludf.DUMMYFUNCTION("LEFT(FILTER(IMPORTRANGE(""https://docs.google.com/spreadsheets/d/1BJSV3WBYJGRhQ6zExamkszQ5VutGIcaQqmbD9ZTVXMQ/edit#gid=1251630045"",""articles_with_PRISMA_reasons!K2:K2113""), $A1590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$A1590=IMPORTRANGE(""https://docs.google.com/spreadsheets/d/1BJSV3WBYJGRhQ6zExamkszQ5VutGIcaQqmbD9ZTVXMQ/edit#gid=1251630045"",""articles_with_PRISMA_reasons!B2:B2113"")))-1)"),"De Jong")</f>
        <v>De Jong</v>
      </c>
      <c r="C1590" s="6">
        <f>IFERROR(__xludf.DUMMYFUNCTION("FILTER(IMPORTRANGE(""https://docs.google.com/spreadsheets/d/1BJSV3WBYJGRhQ6zExamkszQ5VutGIcaQqmbD9ZTVXMQ/edit#gid=1251630045"",""articles_with_PRISMA_reasons!C2:C2113""), $A1590=IMPORTRANGE(""https://docs.google.com/spreadsheets/d/1BJSV3WBYJGRhQ6zExamkszQ"&amp;"5VutGIcaQqmbD9ZTVXMQ/edit#gid=1251630045"",""articles_with_PRISMA_reasons!B2:B2113""))"),1997.0)</f>
        <v>1997</v>
      </c>
      <c r="D1590" s="5" t="str">
        <f>IFERROR(__xludf.DUMMYFUNCTION("IFS(AND(
FILTER(IMPORTRANGE(""https://docs.google.com/spreadsheets/d/1BJSV3WBYJGRhQ6zExamkszQ5VutGIcaQqmbD9ZTVXMQ/edit#gid=1251630045"",""articles_with_PRISMA_reasons!Y2:Y2113""), $A1590=IMPORTRANGE(""https://docs.google.com/spreadsheets/d/1BJSV3WBYJGRhQ6"&amp;"zExamkszQ5VutGIcaQqmbD9ZTVXMQ/edit#gid=1251630045"",""articles_with_PRISMA_reasons!B2:B2113""))&gt;=2,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$A1590=IMPORTRANGE(""https://docs.google.com/spreadsheets/d/1BJSV3WBYJGRhQ6zExamkszQ5VutGIcaQqmbD9ZTVXMQ/edit#gid=1251630045"",""articles_with_PRISMA_reasons!B2:B2113""))&lt;2),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$A1590=IMPORTRANGE(""https://docs.google.com/spreadsheets/d/1BJSV3WBYJGRhQ6zExamkszQ5VutGIcaQqmbD9ZTVXMQ/edit#gid=1251630045"",""a"&amp;"rticles_with_PRISMA_reasons!B2:B2113""))&lt;2,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$A1590=IMPORTRANGE(""https://docs.google"&amp;".com/spreadsheets/d/1BJSV3WBYJGRhQ6zExamkszQ5VutGIcaQqmbD9ZTVXMQ/edit#gid=1251630045"",""articles_with_PRISMA_reasons!B2:B2113""))&gt;=2),
""Exclude""
)"),"Exclude")</f>
        <v>Exclude</v>
      </c>
      <c r="E1590" s="5" t="str">
        <f>IFERROR(__xludf.DUMMYFUNCTION("IFS(
D1590=""Exclude"",""Exclude"",
AND(
FILTER(IMPORTRANGE(""https://docs.google.com/spreadsheets/d/1qpEmbGH0JjaJbUdp21-y2cPbobDbMjr09BbtdKROZWc/edit#gid=1444865654"",""articles_with_PRISMA_reasons!W2:W2113""), $A1590=IMPORTRANGE(""https://docs.google.co"&amp;"m/spreadsheets/d/1qpEmbGH0JjaJbUdp21-y2cPbobDbMjr09BbtdKROZWc/edit#gid=1444865654"",""articles_with_PRISMA_reasons!B2:B2113""))&gt;=2,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$A1590=IMPORTRANGE(""https://docs.google.com/spreadsheets/d/1qpEmbGH0JjaJbUdp21-y2cPbobDbMjr09BbtdKROZWc/edit#gid=1444865654"",""articles_with_PRISMA_reasons!B2:B2113""))&lt;2),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$A1590=IMPORTRANGE(""https://docs.google.com/spreadsheets/d/1qpEmbGH0JjaJbUdp21-y2cPbobDbMjr09Bbtd"&amp;"KROZWc/edit#gid=1444865654"",""articles_with_PRISMA_reasons!B2:B2113""))&lt;2,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$A1590=I"&amp;"MPORTRANGE(""https://docs.google.com/spreadsheets/d/1qpEmbGH0JjaJbUdp21-y2cPbobDbMjr09BbtdKROZWc/edit#gid=1444865654"",""articles_with_PRISMA_reasons!B2:B2113""))&gt;=2),
""Exclude""
)"),"Exclude")</f>
        <v>Exclude</v>
      </c>
      <c r="F1590" s="5" t="str">
        <f>IFERROR(__xludf.DUMMYFUNCTION("IFS(
E1590=""Exclude"",""Exclude"",
AND(
COUNTIF(
IMPORTRANGE(""https://docs.google.com/spreadsheets/d/1kGrh75X1cNR1D7_FcY9zMnHP8iPO4M5RCRjy6nZY0TY/edit#gid=0"",""Table 1: Study characteristics!B4:B171""),A1590)&gt;0,
COUNTIF(Studies!$A$2:$A$85,FILTER(IMPORT"&amp;"RANGE(""https://docs.google.com/spreadsheets/d/1kGrh75X1cNR1D7_FcY9zMnHP8iPO4M5RCRjy6nZY0TY/edit#gid=0"",""Table 1: Study characteristics!A4:A171""), $A1590=IMPORTRANGE(""https://docs.google.com/spreadsheets/d/1kGrh75X1cNR1D7_FcY9zMnHP8iPO4M5RCRjy6nZY0TY/"&amp;"edit#gid=0"",""Table 1: Study characteristics!B4:B171"")))&gt;0
),
""Include""
)"),"Exclude")</f>
        <v>Exclude</v>
      </c>
      <c r="G1590" s="5" t="str">
        <f>IFERROR(__xludf.DUMMYFUNCTION("IFS(
D1590=""Exclude"",
FILTER(IMPORTRANGE(""https://docs.google.com/spreadsheets/d/1BJSV3WBYJGRhQ6zExamkszQ5VutGIcaQqmbD9ZTVXMQ/edit#gid=1251630045"",""articles_with_PRISMA_reasons!AB2:AB2113""), $A1590=IMPORTRANGE(""https://docs.google.com/spreadsheets/"&amp;"d/1BJSV3WBYJGRhQ6zExamkszQ5VutGIcaQqmbD9ZTVXMQ/edit#gid=1251630045"",""articles_with_PRISMA_reasons!B2:B2113"")),
E1590=""Exclude"",
FILTER(IMPORTRANGE(""https://docs.google.com/spreadsheets/d/1qpEmbGH0JjaJbUdp21-y2cPbobDbMjr09BbtdKROZWc/edit#gid=14448656"&amp;"54"",""articles_with_PRISMA_reasons!Z2:Z2113""), $A1590=IMPORTRANGE(""https://docs.google.com/spreadsheets/d/1qpEmbGH0JjaJbUdp21-y2cPbobDbMjr09BbtdKROZWc/edit#gid=1444865654"",""articles_with_PRISMA_reasons!B2:B2113"")),F1590
=""Include"",FILTER(IMPORTRAN"&amp;"GE(""https://docs.google.com/spreadsheets/d/1kGrh75X1cNR1D7_FcY9zMnHP8iPO4M5RCRjy6nZY0TY/edit#gid=0"",""Table 1: Study characteristics!A4:A171""), $A1590=IMPORTRANGE(""https://docs.google.com/spreadsheets/d/1kGrh75X1cNR1D7_FcY9zMnHP8iPO4M5RCRjy6nZY0TY/edi"&amp;"t#gid=0"",""Table 1: Study characteristics!B4:B171""))
)"),"wrong study design")</f>
        <v>wrong study design</v>
      </c>
    </row>
    <row r="1591">
      <c r="A1591" s="4" t="str">
        <f>IFERROR(__xludf.DUMMYFUNCTION("""COMPUTED_VALUE"""),"Rate of shunt revision as a function of age in patients with shunted hydrocephalus due to myelomeningocele")</f>
        <v>Rate of shunt revision as a function of age in patients with shunted hydrocephalus due to myelomeningocele</v>
      </c>
      <c r="B1591" s="5" t="str">
        <f>IFERROR(__xludf.DUMMYFUNCTION("LEFT(FILTER(IMPORTRANGE(""https://docs.google.com/spreadsheets/d/1BJSV3WBYJGRhQ6zExamkszQ5VutGIcaQqmbD9ZTVXMQ/edit#gid=1251630045"",""articles_with_PRISMA_reasons!K2:K2113""), $A1591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$A1591=IMPORTRANGE(""https://docs.google.com/spreadsheets/d/1BJSV3WBYJGRhQ6zExamkszQ5VutGIcaQqmbD9ZTVXMQ/edit#gid=1251630045"",""articles_with_PRISMA_reasons!B2:B2113"")))-1)"),"Dupepe")</f>
        <v>Dupepe</v>
      </c>
      <c r="C1591" s="6">
        <f>IFERROR(__xludf.DUMMYFUNCTION("FILTER(IMPORTRANGE(""https://docs.google.com/spreadsheets/d/1BJSV3WBYJGRhQ6zExamkszQ5VutGIcaQqmbD9ZTVXMQ/edit#gid=1251630045"",""articles_with_PRISMA_reasons!C2:C2113""), $A1591=IMPORTRANGE(""https://docs.google.com/spreadsheets/d/1BJSV3WBYJGRhQ6zExamkszQ"&amp;"5VutGIcaQqmbD9ZTVXMQ/edit#gid=1251630045"",""articles_with_PRISMA_reasons!B2:B2113""))"),2016.0)</f>
        <v>2016</v>
      </c>
      <c r="D1591" s="5" t="str">
        <f>IFERROR(__xludf.DUMMYFUNCTION("IFS(AND(
FILTER(IMPORTRANGE(""https://docs.google.com/spreadsheets/d/1BJSV3WBYJGRhQ6zExamkszQ5VutGIcaQqmbD9ZTVXMQ/edit#gid=1251630045"",""articles_with_PRISMA_reasons!Y2:Y2113""), $A1591=IMPORTRANGE(""https://docs.google.com/spreadsheets/d/1BJSV3WBYJGRhQ6"&amp;"zExamkszQ5VutGIcaQqmbD9ZTVXMQ/edit#gid=1251630045"",""articles_with_PRISMA_reasons!B2:B2113""))&gt;=2,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$A1591=IMPORTRANGE(""https://docs.google.com/spreadsheets/d/1BJSV3WBYJGRhQ6zExamkszQ5VutGIcaQqmbD9ZTVXMQ/edit#gid=1251630045"",""articles_with_PRISMA_reasons!B2:B2113""))&lt;2),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$A1591=IMPORTRANGE(""https://docs.google.com/spreadsheets/d/1BJSV3WBYJGRhQ6zExamkszQ5VutGIcaQqmbD9ZTVXMQ/edit#gid=1251630045"",""a"&amp;"rticles_with_PRISMA_reasons!B2:B2113""))&lt;2,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$A1591=IMPORTRANGE(""https://docs.google"&amp;".com/spreadsheets/d/1BJSV3WBYJGRhQ6zExamkszQ5VutGIcaQqmbD9ZTVXMQ/edit#gid=1251630045"",""articles_with_PRISMA_reasons!B2:B2113""))&gt;=2),
""Exclude""
)"),"Include")</f>
        <v>Include</v>
      </c>
      <c r="E1591" s="5" t="str">
        <f>IFERROR(__xludf.DUMMYFUNCTION("IFS(
D1591=""Exclude"",""Exclude"",
AND(
FILTER(IMPORTRANGE(""https://docs.google.com/spreadsheets/d/1qpEmbGH0JjaJbUdp21-y2cPbobDbMjr09BbtdKROZWc/edit#gid=1444865654"",""articles_with_PRISMA_reasons!W2:W2113""), $A1591=IMPORTRANGE(""https://docs.google.co"&amp;"m/spreadsheets/d/1qpEmbGH0JjaJbUdp21-y2cPbobDbMjr09BbtdKROZWc/edit#gid=1444865654"",""articles_with_PRISMA_reasons!B2:B2113""))&gt;=2,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$A1591=IMPORTRANGE(""https://docs.google.com/spreadsheets/d/1qpEmbGH0JjaJbUdp21-y2cPbobDbMjr09BbtdKROZWc/edit#gid=1444865654"",""articles_with_PRISMA_reasons!B2:B2113""))&lt;2),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$A1591=IMPORTRANGE(""https://docs.google.com/spreadsheets/d/1qpEmbGH0JjaJbUdp21-y2cPbobDbMjr09Bbtd"&amp;"KROZWc/edit#gid=1444865654"",""articles_with_PRISMA_reasons!B2:B2113""))&lt;2,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$A1591=I"&amp;"MPORTRANGE(""https://docs.google.com/spreadsheets/d/1qpEmbGH0JjaJbUdp21-y2cPbobDbMjr09BbtdKROZWc/edit#gid=1444865654"",""articles_with_PRISMA_reasons!B2:B2113""))&gt;=2),
""Exclude""
)"),"Include")</f>
        <v>Include</v>
      </c>
      <c r="F1591" s="2" t="s">
        <v>8</v>
      </c>
      <c r="G1591" s="2" t="s">
        <v>16</v>
      </c>
    </row>
    <row r="1592">
      <c r="A1592" s="4" t="str">
        <f>IFERROR(__xludf.DUMMYFUNCTION("""COMPUTED_VALUE"""),"Real-time ultrasonography of the posterior fossa")</f>
        <v>Real-time ultrasonography of the posterior fossa</v>
      </c>
      <c r="B1592" s="5" t="str">
        <f>IFERROR(__xludf.DUMMYFUNCTION("LEFT(FILTER(IMPORTRANGE(""https://docs.google.com/spreadsheets/d/1BJSV3WBYJGRhQ6zExamkszQ5VutGIcaQqmbD9ZTVXMQ/edit#gid=1251630045"",""articles_with_PRISMA_reasons!K2:K2113""), $A1592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$A1592=IMPORTRANGE(""https://docs.google.com/spreadsheets/d/1BJSV3WBYJGRhQ6zExamkszQ5VutGIcaQqmbD9ZTVXMQ/edit#gid=1251630045"",""articles_with_PRISMA_reasons!B2:B2113"")))-1)"),"Grant")</f>
        <v>Grant</v>
      </c>
      <c r="C1592" s="6">
        <f>IFERROR(__xludf.DUMMYFUNCTION("FILTER(IMPORTRANGE(""https://docs.google.com/spreadsheets/d/1BJSV3WBYJGRhQ6zExamkszQ5VutGIcaQqmbD9ZTVXMQ/edit#gid=1251630045"",""articles_with_PRISMA_reasons!C2:C2113""), $A1592=IMPORTRANGE(""https://docs.google.com/spreadsheets/d/1BJSV3WBYJGRhQ6zExamkszQ"&amp;"5VutGIcaQqmbD9ZTVXMQ/edit#gid=1251630045"",""articles_with_PRISMA_reasons!B2:B2113""))"),1983.0)</f>
        <v>1983</v>
      </c>
      <c r="D1592" s="5" t="str">
        <f>IFERROR(__xludf.DUMMYFUNCTION("IFS(AND(
FILTER(IMPORTRANGE(""https://docs.google.com/spreadsheets/d/1BJSV3WBYJGRhQ6zExamkszQ5VutGIcaQqmbD9ZTVXMQ/edit#gid=1251630045"",""articles_with_PRISMA_reasons!Y2:Y2113""), $A1592=IMPORTRANGE(""https://docs.google.com/spreadsheets/d/1BJSV3WBYJGRhQ6"&amp;"zExamkszQ5VutGIcaQqmbD9ZTVXMQ/edit#gid=1251630045"",""articles_with_PRISMA_reasons!B2:B2113""))&gt;=2,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$A1592=IMPORTRANGE(""https://docs.google.com/spreadsheets/d/1BJSV3WBYJGRhQ6zExamkszQ5VutGIcaQqmbD9ZTVXMQ/edit#gid=1251630045"",""articles_with_PRISMA_reasons!B2:B2113""))&lt;2),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$A1592=IMPORTRANGE(""https://docs.google.com/spreadsheets/d/1BJSV3WBYJGRhQ6zExamkszQ5VutGIcaQqmbD9ZTVXMQ/edit#gid=1251630045"",""a"&amp;"rticles_with_PRISMA_reasons!B2:B2113""))&lt;2,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$A1592=IMPORTRANGE(""https://docs.google"&amp;".com/spreadsheets/d/1BJSV3WBYJGRhQ6zExamkszQ5VutGIcaQqmbD9ZTVXMQ/edit#gid=1251630045"",""articles_with_PRISMA_reasons!B2:B2113""))&gt;=2),
""Exclude""
)"),"Exclude")</f>
        <v>Exclude</v>
      </c>
      <c r="E1592" s="5" t="str">
        <f>IFERROR(__xludf.DUMMYFUNCTION("IFS(
D1592=""Exclude"",""Exclude"",
AND(
FILTER(IMPORTRANGE(""https://docs.google.com/spreadsheets/d/1qpEmbGH0JjaJbUdp21-y2cPbobDbMjr09BbtdKROZWc/edit#gid=1444865654"",""articles_with_PRISMA_reasons!W2:W2113""), $A1592=IMPORTRANGE(""https://docs.google.co"&amp;"m/spreadsheets/d/1qpEmbGH0JjaJbUdp21-y2cPbobDbMjr09BbtdKROZWc/edit#gid=1444865654"",""articles_with_PRISMA_reasons!B2:B2113""))&gt;=2,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$A1592=IMPORTRANGE(""https://docs.google.com/spreadsheets/d/1qpEmbGH0JjaJbUdp21-y2cPbobDbMjr09BbtdKROZWc/edit#gid=1444865654"",""articles_with_PRISMA_reasons!B2:B2113""))&lt;2),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$A1592=IMPORTRANGE(""https://docs.google.com/spreadsheets/d/1qpEmbGH0JjaJbUdp21-y2cPbobDbMjr09Bbtd"&amp;"KROZWc/edit#gid=1444865654"",""articles_with_PRISMA_reasons!B2:B2113""))&lt;2,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$A1592=I"&amp;"MPORTRANGE(""https://docs.google.com/spreadsheets/d/1qpEmbGH0JjaJbUdp21-y2cPbobDbMjr09BbtdKROZWc/edit#gid=1444865654"",""articles_with_PRISMA_reasons!B2:B2113""))&gt;=2),
""Exclude""
)"),"Exclude")</f>
        <v>Exclude</v>
      </c>
      <c r="F1592" s="5" t="str">
        <f>IFERROR(__xludf.DUMMYFUNCTION("IFS(
E1592=""Exclude"",""Exclude"",
AND(
COUNTIF(
IMPORTRANGE(""https://docs.google.com/spreadsheets/d/1kGrh75X1cNR1D7_FcY9zMnHP8iPO4M5RCRjy6nZY0TY/edit#gid=0"",""Table 1: Study characteristics!B4:B171""),A1592)&gt;0,
COUNTIF(Studies!$A$2:$A$85,FILTER(IMPORT"&amp;"RANGE(""https://docs.google.com/spreadsheets/d/1kGrh75X1cNR1D7_FcY9zMnHP8iPO4M5RCRjy6nZY0TY/edit#gid=0"",""Table 1: Study characteristics!A4:A171""), $A1592=IMPORTRANGE(""https://docs.google.com/spreadsheets/d/1kGrh75X1cNR1D7_FcY9zMnHP8iPO4M5RCRjy6nZY0TY/"&amp;"edit#gid=0"",""Table 1: Study characteristics!B4:B171"")))&gt;0
),
""Include""
)"),"Exclude")</f>
        <v>Exclude</v>
      </c>
      <c r="G1592" s="5" t="str">
        <f>IFERROR(__xludf.DUMMYFUNCTION("IFS(
D1592=""Exclude"",
FILTER(IMPORTRANGE(""https://docs.google.com/spreadsheets/d/1BJSV3WBYJGRhQ6zExamkszQ5VutGIcaQqmbD9ZTVXMQ/edit#gid=1251630045"",""articles_with_PRISMA_reasons!AB2:AB2113""), $A1592=IMPORTRANGE(""https://docs.google.com/spreadsheets/"&amp;"d/1BJSV3WBYJGRhQ6zExamkszQ5VutGIcaQqmbD9ZTVXMQ/edit#gid=1251630045"",""articles_with_PRISMA_reasons!B2:B2113"")),
E1592=""Exclude"",
FILTER(IMPORTRANGE(""https://docs.google.com/spreadsheets/d/1qpEmbGH0JjaJbUdp21-y2cPbobDbMjr09BbtdKROZWc/edit#gid=14448656"&amp;"54"",""articles_with_PRISMA_reasons!Z2:Z2113""), $A1592=IMPORTRANGE(""https://docs.google.com/spreadsheets/d/1qpEmbGH0JjaJbUdp21-y2cPbobDbMjr09BbtdKROZWc/edit#gid=1444865654"",""articles_with_PRISMA_reasons!B2:B2113"")),F1592
=""Include"",FILTER(IMPORTRAN"&amp;"GE(""https://docs.google.com/spreadsheets/d/1kGrh75X1cNR1D7_FcY9zMnHP8iPO4M5RCRjy6nZY0TY/edit#gid=0"",""Table 1: Study characteristics!A4:A171""), $A1592=IMPORTRANGE(""https://docs.google.com/spreadsheets/d/1kGrh75X1cNR1D7_FcY9zMnHP8iPO4M5RCRjy6nZY0TY/edi"&amp;"t#gid=0"",""Table 1: Study characteristics!B4:B171""))
)"),"wrong population")</f>
        <v>wrong population</v>
      </c>
    </row>
    <row r="1593">
      <c r="A1593" s="4" t="str">
        <f>IFERROR(__xludf.DUMMYFUNCTION("""COMPUTED_VALUE"""),"Real-time ultrasonography: its use in diagnosis and management of neonatal hydrocephalus")</f>
        <v>Real-time ultrasonography: its use in diagnosis and management of neonatal hydrocephalus</v>
      </c>
      <c r="B1593" s="5" t="str">
        <f>IFERROR(__xludf.DUMMYFUNCTION("LEFT(FILTER(IMPORTRANGE(""https://docs.google.com/spreadsheets/d/1BJSV3WBYJGRhQ6zExamkszQ5VutGIcaQqmbD9ZTVXMQ/edit#gid=1251630045"",""articles_with_PRISMA_reasons!K2:K2113""), $A1593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$A1593=IMPORTRANGE(""https://docs.google.com/spreadsheets/d/1BJSV3WBYJGRhQ6zExamkszQ5VutGIcaQqmbD9ZTVXMQ/edit#gid=1251630045"",""articles_with_PRISMA_reasons!B2:B2113"")))-1)"),"Horbar")</f>
        <v>Horbar</v>
      </c>
      <c r="C1593" s="6">
        <f>IFERROR(__xludf.DUMMYFUNCTION("FILTER(IMPORTRANGE(""https://docs.google.com/spreadsheets/d/1BJSV3WBYJGRhQ6zExamkszQ5VutGIcaQqmbD9ZTVXMQ/edit#gid=1251630045"",""articles_with_PRISMA_reasons!C2:C2113""), $A1593=IMPORTRANGE(""https://docs.google.com/spreadsheets/d/1BJSV3WBYJGRhQ6zExamkszQ"&amp;"5VutGIcaQqmbD9ZTVXMQ/edit#gid=1251630045"",""articles_with_PRISMA_reasons!B2:B2113""))"),1982.0)</f>
        <v>1982</v>
      </c>
      <c r="D1593" s="5" t="str">
        <f>IFERROR(__xludf.DUMMYFUNCTION("IFS(AND(
FILTER(IMPORTRANGE(""https://docs.google.com/spreadsheets/d/1BJSV3WBYJGRhQ6zExamkszQ5VutGIcaQqmbD9ZTVXMQ/edit#gid=1251630045"",""articles_with_PRISMA_reasons!Y2:Y2113""), $A1593=IMPORTRANGE(""https://docs.google.com/spreadsheets/d/1BJSV3WBYJGRhQ6"&amp;"zExamkszQ5VutGIcaQqmbD9ZTVXMQ/edit#gid=1251630045"",""articles_with_PRISMA_reasons!B2:B2113""))&gt;=2,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$A1593=IMPORTRANGE(""https://docs.google.com/spreadsheets/d/1BJSV3WBYJGRhQ6zExamkszQ5VutGIcaQqmbD9ZTVXMQ/edit#gid=1251630045"",""articles_with_PRISMA_reasons!B2:B2113""))&lt;2),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$A1593=IMPORTRANGE(""https://docs.google.com/spreadsheets/d/1BJSV3WBYJGRhQ6zExamkszQ5VutGIcaQqmbD9ZTVXMQ/edit#gid=1251630045"",""a"&amp;"rticles_with_PRISMA_reasons!B2:B2113""))&lt;2,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$A1593=IMPORTRANGE(""https://docs.google"&amp;".com/spreadsheets/d/1BJSV3WBYJGRhQ6zExamkszQ5VutGIcaQqmbD9ZTVXMQ/edit#gid=1251630045"",""articles_with_PRISMA_reasons!B2:B2113""))&gt;=2),
""Exclude""
)"),"Include")</f>
        <v>Include</v>
      </c>
      <c r="E1593" s="5" t="str">
        <f>IFERROR(__xludf.DUMMYFUNCTION("IFS(
D1593=""Exclude"",""Exclude"",
AND(
FILTER(IMPORTRANGE(""https://docs.google.com/spreadsheets/d/1qpEmbGH0JjaJbUdp21-y2cPbobDbMjr09BbtdKROZWc/edit#gid=1444865654"",""articles_with_PRISMA_reasons!W2:W2113""), $A1593=IMPORTRANGE(""https://docs.google.co"&amp;"m/spreadsheets/d/1qpEmbGH0JjaJbUdp21-y2cPbobDbMjr09BbtdKROZWc/edit#gid=1444865654"",""articles_with_PRISMA_reasons!B2:B2113""))&gt;=2,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$A1593=IMPORTRANGE(""https://docs.google.com/spreadsheets/d/1qpEmbGH0JjaJbUdp21-y2cPbobDbMjr09BbtdKROZWc/edit#gid=1444865654"",""articles_with_PRISMA_reasons!B2:B2113""))&lt;2),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$A1593=IMPORTRANGE(""https://docs.google.com/spreadsheets/d/1qpEmbGH0JjaJbUdp21-y2cPbobDbMjr09Bbtd"&amp;"KROZWc/edit#gid=1444865654"",""articles_with_PRISMA_reasons!B2:B2113""))&lt;2,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$A1593=I"&amp;"MPORTRANGE(""https://docs.google.com/spreadsheets/d/1qpEmbGH0JjaJbUdp21-y2cPbobDbMjr09BbtdKROZWc/edit#gid=1444865654"",""articles_with_PRISMA_reasons!B2:B2113""))&gt;=2),
""Exclude""
)"),"Exclude")</f>
        <v>Exclude</v>
      </c>
      <c r="F1593" s="5" t="str">
        <f>IFERROR(__xludf.DUMMYFUNCTION("IFS(
E1593=""Exclude"",""Exclude"",
AND(
COUNTIF(
IMPORTRANGE(""https://docs.google.com/spreadsheets/d/1kGrh75X1cNR1D7_FcY9zMnHP8iPO4M5RCRjy6nZY0TY/edit#gid=0"",""Table 1: Study characteristics!B4:B171""),A1593)&gt;0,
COUNTIF(Studies!$A$2:$A$85,FILTER(IMPORT"&amp;"RANGE(""https://docs.google.com/spreadsheets/d/1kGrh75X1cNR1D7_FcY9zMnHP8iPO4M5RCRjy6nZY0TY/edit#gid=0"",""Table 1: Study characteristics!A4:A171""), $A1593=IMPORTRANGE(""https://docs.google.com/spreadsheets/d/1kGrh75X1cNR1D7_FcY9zMnHP8iPO4M5RCRjy6nZY0TY/"&amp;"edit#gid=0"",""Table 1: Study characteristics!B4:B171"")))&gt;0
),
""Include""
)"),"Exclude")</f>
        <v>Exclude</v>
      </c>
      <c r="G1593" s="5" t="str">
        <f>IFERROR(__xludf.DUMMYFUNCTION("IFS(
D1593=""Exclude"",
FILTER(IMPORTRANGE(""https://docs.google.com/spreadsheets/d/1BJSV3WBYJGRhQ6zExamkszQ5VutGIcaQqmbD9ZTVXMQ/edit#gid=1251630045"",""articles_with_PRISMA_reasons!AB2:AB2113""), $A1593=IMPORTRANGE(""https://docs.google.com/spreadsheets/"&amp;"d/1BJSV3WBYJGRhQ6zExamkszQ5VutGIcaQqmbD9ZTVXMQ/edit#gid=1251630045"",""articles_with_PRISMA_reasons!B2:B2113"")),
E1593=""Exclude"",
FILTER(IMPORTRANGE(""https://docs.google.com/spreadsheets/d/1qpEmbGH0JjaJbUdp21-y2cPbobDbMjr09BbtdKROZWc/edit#gid=14448656"&amp;"54"",""articles_with_PRISMA_reasons!Z2:Z2113""), $A1593=IMPORTRANGE(""https://docs.google.com/spreadsheets/d/1qpEmbGH0JjaJbUdp21-y2cPbobDbMjr09BbtdKROZWc/edit#gid=1444865654"",""articles_with_PRISMA_reasons!B2:B2113"")),F1593
=""Include"",FILTER(IMPORTRAN"&amp;"GE(""https://docs.google.com/spreadsheets/d/1kGrh75X1cNR1D7_FcY9zMnHP8iPO4M5RCRjy6nZY0TY/edit#gid=0"",""Table 1: Study characteristics!A4:A171""), $A1593=IMPORTRANGE(""https://docs.google.com/spreadsheets/d/1kGrh75X1cNR1D7_FcY9zMnHP8iPO4M5RCRjy6nZY0TY/edi"&amp;"t#gid=0"",""Table 1: Study characteristics!B4:B171""))
)"),"wrong study design")</f>
        <v>wrong study design</v>
      </c>
    </row>
    <row r="1594">
      <c r="A1594" s="4" t="str">
        <f>IFERROR(__xludf.DUMMYFUNCTION("""COMPUTED_VALUE"""),"Reconstructions With Different and New Techniques of Large and Extensive Myelomeningocele Defects")</f>
        <v>Reconstructions With Different and New Techniques of Large and Extensive Myelomeningocele Defects</v>
      </c>
      <c r="B1594" s="5" t="str">
        <f>IFERROR(__xludf.DUMMYFUNCTION("LEFT(FILTER(IMPORTRANGE(""https://docs.google.com/spreadsheets/d/1BJSV3WBYJGRhQ6zExamkszQ5VutGIcaQqmbD9ZTVXMQ/edit#gid=1251630045"",""articles_with_PRISMA_reasons!K2:K2113""), $A1594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$A1594=IMPORTRANGE(""https://docs.google.com/spreadsheets/d/1BJSV3WBYJGRhQ6zExamkszQ5VutGIcaQqmbD9ZTVXMQ/edit#gid=1251630045"",""articles_with_PRISMA_reasons!B2:B2113"")))-1)"),"Emsen")</f>
        <v>Emsen</v>
      </c>
      <c r="C1594" s="6">
        <f>IFERROR(__xludf.DUMMYFUNCTION("FILTER(IMPORTRANGE(""https://docs.google.com/spreadsheets/d/1BJSV3WBYJGRhQ6zExamkszQ5VutGIcaQqmbD9ZTVXMQ/edit#gid=1251630045"",""articles_with_PRISMA_reasons!C2:C2113""), $A1594=IMPORTRANGE(""https://docs.google.com/spreadsheets/d/1BJSV3WBYJGRhQ6zExamkszQ"&amp;"5VutGIcaQqmbD9ZTVXMQ/edit#gid=1251630045"",""articles_with_PRISMA_reasons!B2:B2113""))"),2019.0)</f>
        <v>2019</v>
      </c>
      <c r="D1594" s="5" t="str">
        <f>IFERROR(__xludf.DUMMYFUNCTION("IFS(AND(
FILTER(IMPORTRANGE(""https://docs.google.com/spreadsheets/d/1BJSV3WBYJGRhQ6zExamkszQ5VutGIcaQqmbD9ZTVXMQ/edit#gid=1251630045"",""articles_with_PRISMA_reasons!Y2:Y2113""), $A1594=IMPORTRANGE(""https://docs.google.com/spreadsheets/d/1BJSV3WBYJGRhQ6"&amp;"zExamkszQ5VutGIcaQqmbD9ZTVXMQ/edit#gid=1251630045"",""articles_with_PRISMA_reasons!B2:B2113""))&gt;=2,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$A1594=IMPORTRANGE(""https://docs.google.com/spreadsheets/d/1BJSV3WBYJGRhQ6zExamkszQ5VutGIcaQqmbD9ZTVXMQ/edit#gid=1251630045"",""articles_with_PRISMA_reasons!B2:B2113""))&lt;2),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$A1594=IMPORTRANGE(""https://docs.google.com/spreadsheets/d/1BJSV3WBYJGRhQ6zExamkszQ5VutGIcaQqmbD9ZTVXMQ/edit#gid=1251630045"",""a"&amp;"rticles_with_PRISMA_reasons!B2:B2113""))&lt;2,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$A1594=IMPORTRANGE(""https://docs.google"&amp;".com/spreadsheets/d/1BJSV3WBYJGRhQ6zExamkszQ5VutGIcaQqmbD9ZTVXMQ/edit#gid=1251630045"",""articles_with_PRISMA_reasons!B2:B2113""))&gt;=2),
""Exclude""
)"),"Include")</f>
        <v>Include</v>
      </c>
      <c r="E1594" s="5" t="str">
        <f>IFERROR(__xludf.DUMMYFUNCTION("IFS(
D1594=""Exclude"",""Exclude"",
AND(
FILTER(IMPORTRANGE(""https://docs.google.com/spreadsheets/d/1qpEmbGH0JjaJbUdp21-y2cPbobDbMjr09BbtdKROZWc/edit#gid=1444865654"",""articles_with_PRISMA_reasons!W2:W2113""), $A1594=IMPORTRANGE(""https://docs.google.co"&amp;"m/spreadsheets/d/1qpEmbGH0JjaJbUdp21-y2cPbobDbMjr09BbtdKROZWc/edit#gid=1444865654"",""articles_with_PRISMA_reasons!B2:B2113""))&gt;=2,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$A1594=IMPORTRANGE(""https://docs.google.com/spreadsheets/d/1qpEmbGH0JjaJbUdp21-y2cPbobDbMjr09BbtdKROZWc/edit#gid=1444865654"",""articles_with_PRISMA_reasons!B2:B2113""))&lt;2),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$A1594=IMPORTRANGE(""https://docs.google.com/spreadsheets/d/1qpEmbGH0JjaJbUdp21-y2cPbobDbMjr09Bbtd"&amp;"KROZWc/edit#gid=1444865654"",""articles_with_PRISMA_reasons!B2:B2113""))&lt;2,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$A1594=I"&amp;"MPORTRANGE(""https://docs.google.com/spreadsheets/d/1qpEmbGH0JjaJbUdp21-y2cPbobDbMjr09BbtdKROZWc/edit#gid=1444865654"",""articles_with_PRISMA_reasons!B2:B2113""))&gt;=2),
""Exclude""
)"),"Include")</f>
        <v>Include</v>
      </c>
      <c r="F1594" s="2" t="s">
        <v>8</v>
      </c>
      <c r="G1594" s="2" t="s">
        <v>9</v>
      </c>
    </row>
    <row r="1595">
      <c r="A1595" s="4" t="str">
        <f>IFERROR(__xludf.DUMMYFUNCTION("""COMPUTED_VALUE"""),"Recurrence risks for different pregnancy outcomes and meiotic segregation analysis of spermatozoa in carriers of t(1;11)(p36.22;q12.2)")</f>
        <v>Recurrence risks for different pregnancy outcomes and meiotic segregation analysis of spermatozoa in carriers of t(1;11)(p36.22;q12.2)</v>
      </c>
      <c r="B1595" s="5" t="str">
        <f>IFERROR(__xludf.DUMMYFUNCTION("LEFT(FILTER(IMPORTRANGE(""https://docs.google.com/spreadsheets/d/1BJSV3WBYJGRhQ6zExamkszQ5VutGIcaQqmbD9ZTVXMQ/edit#gid=1251630045"",""articles_with_PRISMA_reasons!K2:K2113""), $A1595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$A1595=IMPORTRANGE(""https://docs.google.com/spreadsheets/d/1BJSV3WBYJGRhQ6zExamkszQ5VutGIcaQqmbD9ZTVXMQ/edit#gid=1251630045"",""articles_with_PRISMA_reasons!B2:B2113"")))-1)"),"Midro")</f>
        <v>Midro</v>
      </c>
      <c r="C1595" s="6">
        <f>IFERROR(__xludf.DUMMYFUNCTION("FILTER(IMPORTRANGE(""https://docs.google.com/spreadsheets/d/1BJSV3WBYJGRhQ6zExamkszQ5VutGIcaQqmbD9ZTVXMQ/edit#gid=1251630045"",""articles_with_PRISMA_reasons!C2:C2113""), $A1595=IMPORTRANGE(""https://docs.google.com/spreadsheets/d/1BJSV3WBYJGRhQ6zExamkszQ"&amp;"5VutGIcaQqmbD9ZTVXMQ/edit#gid=1251630045"",""articles_with_PRISMA_reasons!B2:B2113""))"),2014.0)</f>
        <v>2014</v>
      </c>
      <c r="D1595" s="5" t="str">
        <f>IFERROR(__xludf.DUMMYFUNCTION("IFS(AND(
FILTER(IMPORTRANGE(""https://docs.google.com/spreadsheets/d/1BJSV3WBYJGRhQ6zExamkszQ5VutGIcaQqmbD9ZTVXMQ/edit#gid=1251630045"",""articles_with_PRISMA_reasons!Y2:Y2113""), $A1595=IMPORTRANGE(""https://docs.google.com/spreadsheets/d/1BJSV3WBYJGRhQ6"&amp;"zExamkszQ5VutGIcaQqmbD9ZTVXMQ/edit#gid=1251630045"",""articles_with_PRISMA_reasons!B2:B2113""))&gt;=2,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$A1595=IMPORTRANGE(""https://docs.google.com/spreadsheets/d/1BJSV3WBYJGRhQ6zExamkszQ5VutGIcaQqmbD9ZTVXMQ/edit#gid=1251630045"",""articles_with_PRISMA_reasons!B2:B2113""))&lt;2),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$A1595=IMPORTRANGE(""https://docs.google.com/spreadsheets/d/1BJSV3WBYJGRhQ6zExamkszQ5VutGIcaQqmbD9ZTVXMQ/edit#gid=1251630045"",""a"&amp;"rticles_with_PRISMA_reasons!B2:B2113""))&lt;2,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$A1595=IMPORTRANGE(""https://docs.google"&amp;".com/spreadsheets/d/1BJSV3WBYJGRhQ6zExamkszQ5VutGIcaQqmbD9ZTVXMQ/edit#gid=1251630045"",""articles_with_PRISMA_reasons!B2:B2113""))&gt;=2),
""Exclude""
)"),"Exclude")</f>
        <v>Exclude</v>
      </c>
      <c r="E1595" s="5" t="str">
        <f>IFERROR(__xludf.DUMMYFUNCTION("IFS(
D1595=""Exclude"",""Exclude"",
AND(
FILTER(IMPORTRANGE(""https://docs.google.com/spreadsheets/d/1qpEmbGH0JjaJbUdp21-y2cPbobDbMjr09BbtdKROZWc/edit#gid=1444865654"",""articles_with_PRISMA_reasons!W2:W2113""), $A1595=IMPORTRANGE(""https://docs.google.co"&amp;"m/spreadsheets/d/1qpEmbGH0JjaJbUdp21-y2cPbobDbMjr09BbtdKROZWc/edit#gid=1444865654"",""articles_with_PRISMA_reasons!B2:B2113""))&gt;=2,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$A1595=IMPORTRANGE(""https://docs.google.com/spreadsheets/d/1qpEmbGH0JjaJbUdp21-y2cPbobDbMjr09BbtdKROZWc/edit#gid=1444865654"",""articles_with_PRISMA_reasons!B2:B2113""))&lt;2),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$A1595=IMPORTRANGE(""https://docs.google.com/spreadsheets/d/1qpEmbGH0JjaJbUdp21-y2cPbobDbMjr09Bbtd"&amp;"KROZWc/edit#gid=1444865654"",""articles_with_PRISMA_reasons!B2:B2113""))&lt;2,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$A1595=I"&amp;"MPORTRANGE(""https://docs.google.com/spreadsheets/d/1qpEmbGH0JjaJbUdp21-y2cPbobDbMjr09BbtdKROZWc/edit#gid=1444865654"",""articles_with_PRISMA_reasons!B2:B2113""))&gt;=2),
""Exclude""
)"),"Exclude")</f>
        <v>Exclude</v>
      </c>
      <c r="F1595" s="5" t="str">
        <f>IFERROR(__xludf.DUMMYFUNCTION("IFS(
E1595=""Exclude"",""Exclude"",
AND(
COUNTIF(
IMPORTRANGE(""https://docs.google.com/spreadsheets/d/1kGrh75X1cNR1D7_FcY9zMnHP8iPO4M5RCRjy6nZY0TY/edit#gid=0"",""Table 1: Study characteristics!B4:B171""),A1595)&gt;0,
COUNTIF(Studies!$A$2:$A$85,FILTER(IMPORT"&amp;"RANGE(""https://docs.google.com/spreadsheets/d/1kGrh75X1cNR1D7_FcY9zMnHP8iPO4M5RCRjy6nZY0TY/edit#gid=0"",""Table 1: Study characteristics!A4:A171""), $A1595=IMPORTRANGE(""https://docs.google.com/spreadsheets/d/1kGrh75X1cNR1D7_FcY9zMnHP8iPO4M5RCRjy6nZY0TY/"&amp;"edit#gid=0"",""Table 1: Study characteristics!B4:B171"")))&gt;0
),
""Include""
)"),"Exclude")</f>
        <v>Exclude</v>
      </c>
      <c r="G1595" s="5" t="str">
        <f>IFERROR(__xludf.DUMMYFUNCTION("IFS(
D1595=""Exclude"",
FILTER(IMPORTRANGE(""https://docs.google.com/spreadsheets/d/1BJSV3WBYJGRhQ6zExamkszQ5VutGIcaQqmbD9ZTVXMQ/edit#gid=1251630045"",""articles_with_PRISMA_reasons!AB2:AB2113""), $A1595=IMPORTRANGE(""https://docs.google.com/spreadsheets/"&amp;"d/1BJSV3WBYJGRhQ6zExamkszQ5VutGIcaQqmbD9ZTVXMQ/edit#gid=1251630045"",""articles_with_PRISMA_reasons!B2:B2113"")),
E1595=""Exclude"",
FILTER(IMPORTRANGE(""https://docs.google.com/spreadsheets/d/1qpEmbGH0JjaJbUdp21-y2cPbobDbMjr09BbtdKROZWc/edit#gid=14448656"&amp;"54"",""articles_with_PRISMA_reasons!Z2:Z2113""), $A1595=IMPORTRANGE(""https://docs.google.com/spreadsheets/d/1qpEmbGH0JjaJbUdp21-y2cPbobDbMjr09BbtdKROZWc/edit#gid=1444865654"",""articles_with_PRISMA_reasons!B2:B2113"")),F1595
=""Include"",FILTER(IMPORTRAN"&amp;"GE(""https://docs.google.com/spreadsheets/d/1kGrh75X1cNR1D7_FcY9zMnHP8iPO4M5RCRjy6nZY0TY/edit#gid=0"",""Table 1: Study characteristics!A4:A171""), $A1595=IMPORTRANGE(""https://docs.google.com/spreadsheets/d/1kGrh75X1cNR1D7_FcY9zMnHP8iPO4M5RCRjy6nZY0TY/edi"&amp;"t#gid=0"",""Table 1: Study characteristics!B4:B171""))
)"),"wrong publication type")</f>
        <v>wrong publication type</v>
      </c>
    </row>
    <row r="1596">
      <c r="A1596" s="4" t="str">
        <f>IFERROR(__xludf.DUMMYFUNCTION("""COMPUTED_VALUE"""),"Recurrent subgaleal migration of the peritoneal catheter of ventriculoperitoneal shunt: A case report and literature review")</f>
        <v>Recurrent subgaleal migration of the peritoneal catheter of ventriculoperitoneal shunt: A case report and literature review</v>
      </c>
      <c r="B1596" s="5" t="str">
        <f>IFERROR(__xludf.DUMMYFUNCTION("LEFT(FILTER(IMPORTRANGE(""https://docs.google.com/spreadsheets/d/1BJSV3WBYJGRhQ6zExamkszQ5VutGIcaQqmbD9ZTVXMQ/edit#gid=1251630045"",""articles_with_PRISMA_reasons!K2:K2113""), $A1596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$A1596=IMPORTRANGE(""https://docs.google.com/spreadsheets/d/1BJSV3WBYJGRhQ6zExamkszQ5VutGIcaQqmbD9ZTVXMQ/edit#gid=1251630045"",""articles_with_PRISMA_reasons!B2:B2113"")))-1)"),"Alzahrani")</f>
        <v>Alzahrani</v>
      </c>
      <c r="C1596" s="6">
        <f>IFERROR(__xludf.DUMMYFUNCTION("FILTER(IMPORTRANGE(""https://docs.google.com/spreadsheets/d/1BJSV3WBYJGRhQ6zExamkszQ5VutGIcaQqmbD9ZTVXMQ/edit#gid=1251630045"",""articles_with_PRISMA_reasons!C2:C2113""), $A1596=IMPORTRANGE(""https://docs.google.com/spreadsheets/d/1BJSV3WBYJGRhQ6zExamkszQ"&amp;"5VutGIcaQqmbD9ZTVXMQ/edit#gid=1251630045"",""articles_with_PRISMA_reasons!B2:B2113""))"),2021.0)</f>
        <v>2021</v>
      </c>
      <c r="D1596" s="5" t="str">
        <f>IFERROR(__xludf.DUMMYFUNCTION("IFS(AND(
FILTER(IMPORTRANGE(""https://docs.google.com/spreadsheets/d/1BJSV3WBYJGRhQ6zExamkszQ5VutGIcaQqmbD9ZTVXMQ/edit#gid=1251630045"",""articles_with_PRISMA_reasons!Y2:Y2113""), $A1596=IMPORTRANGE(""https://docs.google.com/spreadsheets/d/1BJSV3WBYJGRhQ6"&amp;"zExamkszQ5VutGIcaQqmbD9ZTVXMQ/edit#gid=1251630045"",""articles_with_PRISMA_reasons!B2:B2113""))&gt;=2,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$A1596=IMPORTRANGE(""https://docs.google.com/spreadsheets/d/1BJSV3WBYJGRhQ6zExamkszQ5VutGIcaQqmbD9ZTVXMQ/edit#gid=1251630045"",""articles_with_PRISMA_reasons!B2:B2113""))&lt;2),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$A1596=IMPORTRANGE(""https://docs.google.com/spreadsheets/d/1BJSV3WBYJGRhQ6zExamkszQ5VutGIcaQqmbD9ZTVXMQ/edit#gid=1251630045"",""a"&amp;"rticles_with_PRISMA_reasons!B2:B2113""))&lt;2,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$A1596=IMPORTRANGE(""https://docs.google"&amp;".com/spreadsheets/d/1BJSV3WBYJGRhQ6zExamkszQ5VutGIcaQqmbD9ZTVXMQ/edit#gid=1251630045"",""articles_with_PRISMA_reasons!B2:B2113""))&gt;=2),
""Exclude""
)"),"Exclude")</f>
        <v>Exclude</v>
      </c>
      <c r="E1596" s="5" t="str">
        <f>IFERROR(__xludf.DUMMYFUNCTION("IFS(
D1596=""Exclude"",""Exclude"",
AND(
FILTER(IMPORTRANGE(""https://docs.google.com/spreadsheets/d/1qpEmbGH0JjaJbUdp21-y2cPbobDbMjr09BbtdKROZWc/edit#gid=1444865654"",""articles_with_PRISMA_reasons!W2:W2113""), $A1596=IMPORTRANGE(""https://docs.google.co"&amp;"m/spreadsheets/d/1qpEmbGH0JjaJbUdp21-y2cPbobDbMjr09BbtdKROZWc/edit#gid=1444865654"",""articles_with_PRISMA_reasons!B2:B2113""))&gt;=2,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$A1596=IMPORTRANGE(""https://docs.google.com/spreadsheets/d/1qpEmbGH0JjaJbUdp21-y2cPbobDbMjr09BbtdKROZWc/edit#gid=1444865654"",""articles_with_PRISMA_reasons!B2:B2113""))&lt;2),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$A1596=IMPORTRANGE(""https://docs.google.com/spreadsheets/d/1qpEmbGH0JjaJbUdp21-y2cPbobDbMjr09Bbtd"&amp;"KROZWc/edit#gid=1444865654"",""articles_with_PRISMA_reasons!B2:B2113""))&lt;2,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$A1596=I"&amp;"MPORTRANGE(""https://docs.google.com/spreadsheets/d/1qpEmbGH0JjaJbUdp21-y2cPbobDbMjr09BbtdKROZWc/edit#gid=1444865654"",""articles_with_PRISMA_reasons!B2:B2113""))&gt;=2),
""Exclude""
)"),"Exclude")</f>
        <v>Exclude</v>
      </c>
      <c r="F1596" s="5" t="str">
        <f>IFERROR(__xludf.DUMMYFUNCTION("IFS(
E1596=""Exclude"",""Exclude"",
AND(
COUNTIF(
IMPORTRANGE(""https://docs.google.com/spreadsheets/d/1kGrh75X1cNR1D7_FcY9zMnHP8iPO4M5RCRjy6nZY0TY/edit#gid=0"",""Table 1: Study characteristics!B4:B171""),A1596)&gt;0,
COUNTIF(Studies!$A$2:$A$85,FILTER(IMPORT"&amp;"RANGE(""https://docs.google.com/spreadsheets/d/1kGrh75X1cNR1D7_FcY9zMnHP8iPO4M5RCRjy6nZY0TY/edit#gid=0"",""Table 1: Study characteristics!A4:A171""), $A1596=IMPORTRANGE(""https://docs.google.com/spreadsheets/d/1kGrh75X1cNR1D7_FcY9zMnHP8iPO4M5RCRjy6nZY0TY/"&amp;"edit#gid=0"",""Table 1: Study characteristics!B4:B171"")))&gt;0
),
""Include""
)"),"Exclude")</f>
        <v>Exclude</v>
      </c>
      <c r="G1596" s="5" t="str">
        <f>IFERROR(__xludf.DUMMYFUNCTION("IFS(
D1596=""Exclude"",
FILTER(IMPORTRANGE(""https://docs.google.com/spreadsheets/d/1BJSV3WBYJGRhQ6zExamkszQ5VutGIcaQqmbD9ZTVXMQ/edit#gid=1251630045"",""articles_with_PRISMA_reasons!AB2:AB2113""), $A1596=IMPORTRANGE(""https://docs.google.com/spreadsheets/"&amp;"d/1BJSV3WBYJGRhQ6zExamkszQ5VutGIcaQqmbD9ZTVXMQ/edit#gid=1251630045"",""articles_with_PRISMA_reasons!B2:B2113"")),
E1596=""Exclude"",
FILTER(IMPORTRANGE(""https://docs.google.com/spreadsheets/d/1qpEmbGH0JjaJbUdp21-y2cPbobDbMjr09BbtdKROZWc/edit#gid=14448656"&amp;"54"",""articles_with_PRISMA_reasons!Z2:Z2113""), $A1596=IMPORTRANGE(""https://docs.google.com/spreadsheets/d/1qpEmbGH0JjaJbUdp21-y2cPbobDbMjr09BbtdKROZWc/edit#gid=1444865654"",""articles_with_PRISMA_reasons!B2:B2113"")),F1596
=""Include"",FILTER(IMPORTRAN"&amp;"GE(""https://docs.google.com/spreadsheets/d/1kGrh75X1cNR1D7_FcY9zMnHP8iPO4M5RCRjy6nZY0TY/edit#gid=0"",""Table 1: Study characteristics!A4:A171""), $A1596=IMPORTRANGE(""https://docs.google.com/spreadsheets/d/1kGrh75X1cNR1D7_FcY9zMnHP8iPO4M5RCRjy6nZY0TY/edi"&amp;"t#gid=0"",""Table 1: Study characteristics!B4:B171""))
)"),"wrong study design")</f>
        <v>wrong study design</v>
      </c>
    </row>
    <row r="1597">
      <c r="A1597" s="4" t="str">
        <f>IFERROR(__xludf.DUMMYFUNCTION("""COMPUTED_VALUE"""),"Reduced hindbrain herniation after intrauterine myelomeningocele repair: A report of four cases")</f>
        <v>Reduced hindbrain herniation after intrauterine myelomeningocele repair: A report of four cases</v>
      </c>
      <c r="B1597" s="5" t="str">
        <f>IFERROR(__xludf.DUMMYFUNCTION("LEFT(FILTER(IMPORTRANGE(""https://docs.google.com/spreadsheets/d/1BJSV3WBYJGRhQ6zExamkszQ5VutGIcaQqmbD9ZTVXMQ/edit#gid=1251630045"",""articles_with_PRISMA_reasons!K2:K2113""), $A1597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$A1597=IMPORTRANGE(""https://docs.google.com/spreadsheets/d/1BJSV3WBYJGRhQ6zExamkszQ5VutGIcaQqmbD9ZTVXMQ/edit#gid=1251630045"",""articles_with_PRISMA_reasons!B2:B2113"")))-1)"),"Hernanz-Schulman")</f>
        <v>Hernanz-Schulman</v>
      </c>
      <c r="C1597" s="6">
        <f>IFERROR(__xludf.DUMMYFUNCTION("FILTER(IMPORTRANGE(""https://docs.google.com/spreadsheets/d/1BJSV3WBYJGRhQ6zExamkszQ5VutGIcaQqmbD9ZTVXMQ/edit#gid=1251630045"",""articles_with_PRISMA_reasons!C2:C2113""), $A1597=IMPORTRANGE(""https://docs.google.com/spreadsheets/d/1BJSV3WBYJGRhQ6zExamkszQ"&amp;"5VutGIcaQqmbD9ZTVXMQ/edit#gid=1251630045"",""articles_with_PRISMA_reasons!B2:B2113""))"),1998.0)</f>
        <v>1998</v>
      </c>
      <c r="D1597" s="5" t="str">
        <f>IFERROR(__xludf.DUMMYFUNCTION("IFS(AND(
FILTER(IMPORTRANGE(""https://docs.google.com/spreadsheets/d/1BJSV3WBYJGRhQ6zExamkszQ5VutGIcaQqmbD9ZTVXMQ/edit#gid=1251630045"",""articles_with_PRISMA_reasons!Y2:Y2113""), $A1597=IMPORTRANGE(""https://docs.google.com/spreadsheets/d/1BJSV3WBYJGRhQ6"&amp;"zExamkszQ5VutGIcaQqmbD9ZTVXMQ/edit#gid=1251630045"",""articles_with_PRISMA_reasons!B2:B2113""))&gt;=2,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$A1597=IMPORTRANGE(""https://docs.google.com/spreadsheets/d/1BJSV3WBYJGRhQ6zExamkszQ5VutGIcaQqmbD9ZTVXMQ/edit#gid=1251630045"",""articles_with_PRISMA_reasons!B2:B2113""))&lt;2),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$A1597=IMPORTRANGE(""https://docs.google.com/spreadsheets/d/1BJSV3WBYJGRhQ6zExamkszQ5VutGIcaQqmbD9ZTVXMQ/edit#gid=1251630045"",""a"&amp;"rticles_with_PRISMA_reasons!B2:B2113""))&lt;2,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$A1597=IMPORTRANGE(""https://docs.google"&amp;".com/spreadsheets/d/1BJSV3WBYJGRhQ6zExamkszQ5VutGIcaQqmbD9ZTVXMQ/edit#gid=1251630045"",""articles_with_PRISMA_reasons!B2:B2113""))&gt;=2),
""Exclude""
)"),"Exclude")</f>
        <v>Exclude</v>
      </c>
      <c r="E1597" s="5" t="str">
        <f>IFERROR(__xludf.DUMMYFUNCTION("IFS(
D1597=""Exclude"",""Exclude"",
AND(
FILTER(IMPORTRANGE(""https://docs.google.com/spreadsheets/d/1qpEmbGH0JjaJbUdp21-y2cPbobDbMjr09BbtdKROZWc/edit#gid=1444865654"",""articles_with_PRISMA_reasons!W2:W2113""), $A1597=IMPORTRANGE(""https://docs.google.co"&amp;"m/spreadsheets/d/1qpEmbGH0JjaJbUdp21-y2cPbobDbMjr09BbtdKROZWc/edit#gid=1444865654"",""articles_with_PRISMA_reasons!B2:B2113""))&gt;=2,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$A1597=IMPORTRANGE(""https://docs.google.com/spreadsheets/d/1qpEmbGH0JjaJbUdp21-y2cPbobDbMjr09BbtdKROZWc/edit#gid=1444865654"",""articles_with_PRISMA_reasons!B2:B2113""))&lt;2),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$A1597=IMPORTRANGE(""https://docs.google.com/spreadsheets/d/1qpEmbGH0JjaJbUdp21-y2cPbobDbMjr09Bbtd"&amp;"KROZWc/edit#gid=1444865654"",""articles_with_PRISMA_reasons!B2:B2113""))&lt;2,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$A1597=I"&amp;"MPORTRANGE(""https://docs.google.com/spreadsheets/d/1qpEmbGH0JjaJbUdp21-y2cPbobDbMjr09BbtdKROZWc/edit#gid=1444865654"",""articles_with_PRISMA_reasons!B2:B2113""))&gt;=2),
""Exclude""
)"),"Exclude")</f>
        <v>Exclude</v>
      </c>
      <c r="F1597" s="5" t="str">
        <f>IFERROR(__xludf.DUMMYFUNCTION("IFS(
E1597=""Exclude"",""Exclude"",
AND(
COUNTIF(
IMPORTRANGE(""https://docs.google.com/spreadsheets/d/1kGrh75X1cNR1D7_FcY9zMnHP8iPO4M5RCRjy6nZY0TY/edit#gid=0"",""Table 1: Study characteristics!B4:B171""),A1597)&gt;0,
COUNTIF(Studies!$A$2:$A$85,FILTER(IMPORT"&amp;"RANGE(""https://docs.google.com/spreadsheets/d/1kGrh75X1cNR1D7_FcY9zMnHP8iPO4M5RCRjy6nZY0TY/edit#gid=0"",""Table 1: Study characteristics!A4:A171""), $A1597=IMPORTRANGE(""https://docs.google.com/spreadsheets/d/1kGrh75X1cNR1D7_FcY9zMnHP8iPO4M5RCRjy6nZY0TY/"&amp;"edit#gid=0"",""Table 1: Study characteristics!B4:B171"")))&gt;0
),
""Include""
)"),"Exclude")</f>
        <v>Exclude</v>
      </c>
      <c r="G1597" s="5" t="str">
        <f>IFERROR(__xludf.DUMMYFUNCTION("IFS(
D1597=""Exclude"",
FILTER(IMPORTRANGE(""https://docs.google.com/spreadsheets/d/1BJSV3WBYJGRhQ6zExamkszQ5VutGIcaQqmbD9ZTVXMQ/edit#gid=1251630045"",""articles_with_PRISMA_reasons!AB2:AB2113""), $A1597=IMPORTRANGE(""https://docs.google.com/spreadsheets/"&amp;"d/1BJSV3WBYJGRhQ6zExamkszQ5VutGIcaQqmbD9ZTVXMQ/edit#gid=1251630045"",""articles_with_PRISMA_reasons!B2:B2113"")),
E1597=""Exclude"",
FILTER(IMPORTRANGE(""https://docs.google.com/spreadsheets/d/1qpEmbGH0JjaJbUdp21-y2cPbobDbMjr09BbtdKROZWc/edit#gid=14448656"&amp;"54"",""articles_with_PRISMA_reasons!Z2:Z2113""), $A1597=IMPORTRANGE(""https://docs.google.com/spreadsheets/d/1qpEmbGH0JjaJbUdp21-y2cPbobDbMjr09BbtdKROZWc/edit#gid=1444865654"",""articles_with_PRISMA_reasons!B2:B2113"")),F1597
=""Include"",FILTER(IMPORTRAN"&amp;"GE(""https://docs.google.com/spreadsheets/d/1kGrh75X1cNR1D7_FcY9zMnHP8iPO4M5RCRjy6nZY0TY/edit#gid=0"",""Table 1: Study characteristics!A4:A171""), $A1597=IMPORTRANGE(""https://docs.google.com/spreadsheets/d/1kGrh75X1cNR1D7_FcY9zMnHP8iPO4M5RCRjy6nZY0TY/edi"&amp;"t#gid=0"",""Table 1: Study characteristics!B4:B171""))
)"),"Ante-natal intervention")</f>
        <v>Ante-natal intervention</v>
      </c>
    </row>
    <row r="1598">
      <c r="A1598" s="4" t="str">
        <f>IFERROR(__xludf.DUMMYFUNCTION("""COMPUTED_VALUE"""),"Rehabilitation and medical management of the adult with spina bifida")</f>
        <v>Rehabilitation and medical management of the adult with spina bifida</v>
      </c>
      <c r="B1598" s="5" t="str">
        <f>IFERROR(__xludf.DUMMYFUNCTION("LEFT(FILTER(IMPORTRANGE(""https://docs.google.com/spreadsheets/d/1BJSV3WBYJGRhQ6zExamkszQ5VutGIcaQqmbD9ZTVXMQ/edit#gid=1251630045"",""articles_with_PRISMA_reasons!K2:K2113""), $A1598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$A1598=IMPORTRANGE(""https://docs.google.com/spreadsheets/d/1BJSV3WBYJGRhQ6zExamkszQ5VutGIcaQqmbD9ZTVXMQ/edit#gid=1251630045"",""articles_with_PRISMA_reasons!B2:B2113"")))-1)"),"Kurowski")</f>
        <v>Kurowski</v>
      </c>
      <c r="C1598" s="6">
        <f>IFERROR(__xludf.DUMMYFUNCTION("FILTER(IMPORTRANGE(""https://docs.google.com/spreadsheets/d/1BJSV3WBYJGRhQ6zExamkszQ5VutGIcaQqmbD9ZTVXMQ/edit#gid=1251630045"",""articles_with_PRISMA_reasons!C2:C2113""), $A1598=IMPORTRANGE(""https://docs.google.com/spreadsheets/d/1BJSV3WBYJGRhQ6zExamkszQ"&amp;"5VutGIcaQqmbD9ZTVXMQ/edit#gid=1251630045"",""articles_with_PRISMA_reasons!B2:B2113""))"),2008.0)</f>
        <v>2008</v>
      </c>
      <c r="D1598" s="5" t="str">
        <f>IFERROR(__xludf.DUMMYFUNCTION("IFS(AND(
FILTER(IMPORTRANGE(""https://docs.google.com/spreadsheets/d/1BJSV3WBYJGRhQ6zExamkszQ5VutGIcaQqmbD9ZTVXMQ/edit#gid=1251630045"",""articles_with_PRISMA_reasons!Y2:Y2113""), $A1598=IMPORTRANGE(""https://docs.google.com/spreadsheets/d/1BJSV3WBYJGRhQ6"&amp;"zExamkszQ5VutGIcaQqmbD9ZTVXMQ/edit#gid=1251630045"",""articles_with_PRISMA_reasons!B2:B2113""))&gt;=2,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$A1598=IMPORTRANGE(""https://docs.google.com/spreadsheets/d/1BJSV3WBYJGRhQ6zExamkszQ5VutGIcaQqmbD9ZTVXMQ/edit#gid=1251630045"",""articles_with_PRISMA_reasons!B2:B2113""))&lt;2),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$A1598=IMPORTRANGE(""https://docs.google.com/spreadsheets/d/1BJSV3WBYJGRhQ6zExamkszQ5VutGIcaQqmbD9ZTVXMQ/edit#gid=1251630045"",""a"&amp;"rticles_with_PRISMA_reasons!B2:B2113""))&lt;2,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$A1598=IMPORTRANGE(""https://docs.google"&amp;".com/spreadsheets/d/1BJSV3WBYJGRhQ6zExamkszQ5VutGIcaQqmbD9ZTVXMQ/edit#gid=1251630045"",""articles_with_PRISMA_reasons!B2:B2113""))&gt;=2),
""Exclude""
)"),"Exclude")</f>
        <v>Exclude</v>
      </c>
      <c r="E1598" s="5" t="str">
        <f>IFERROR(__xludf.DUMMYFUNCTION("IFS(
D1598=""Exclude"",""Exclude"",
AND(
FILTER(IMPORTRANGE(""https://docs.google.com/spreadsheets/d/1qpEmbGH0JjaJbUdp21-y2cPbobDbMjr09BbtdKROZWc/edit#gid=1444865654"",""articles_with_PRISMA_reasons!W2:W2113""), $A1598=IMPORTRANGE(""https://docs.google.co"&amp;"m/spreadsheets/d/1qpEmbGH0JjaJbUdp21-y2cPbobDbMjr09BbtdKROZWc/edit#gid=1444865654"",""articles_with_PRISMA_reasons!B2:B2113""))&gt;=2,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$A1598=IMPORTRANGE(""https://docs.google.com/spreadsheets/d/1qpEmbGH0JjaJbUdp21-y2cPbobDbMjr09BbtdKROZWc/edit#gid=1444865654"",""articles_with_PRISMA_reasons!B2:B2113""))&lt;2),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$A1598=IMPORTRANGE(""https://docs.google.com/spreadsheets/d/1qpEmbGH0JjaJbUdp21-y2cPbobDbMjr09Bbtd"&amp;"KROZWc/edit#gid=1444865654"",""articles_with_PRISMA_reasons!B2:B2113""))&lt;2,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$A1598=I"&amp;"MPORTRANGE(""https://docs.google.com/spreadsheets/d/1qpEmbGH0JjaJbUdp21-y2cPbobDbMjr09BbtdKROZWc/edit#gid=1444865654"",""articles_with_PRISMA_reasons!B2:B2113""))&gt;=2),
""Exclude""
)"),"Exclude")</f>
        <v>Exclude</v>
      </c>
      <c r="F1598" s="5" t="str">
        <f>IFERROR(__xludf.DUMMYFUNCTION("IFS(
E1598=""Exclude"",""Exclude"",
AND(
COUNTIF(
IMPORTRANGE(""https://docs.google.com/spreadsheets/d/1kGrh75X1cNR1D7_FcY9zMnHP8iPO4M5RCRjy6nZY0TY/edit#gid=0"",""Table 1: Study characteristics!B4:B171""),A1598)&gt;0,
COUNTIF(Studies!$A$2:$A$85,FILTER(IMPORT"&amp;"RANGE(""https://docs.google.com/spreadsheets/d/1kGrh75X1cNR1D7_FcY9zMnHP8iPO4M5RCRjy6nZY0TY/edit#gid=0"",""Table 1: Study characteristics!A4:A171""), $A1598=IMPORTRANGE(""https://docs.google.com/spreadsheets/d/1kGrh75X1cNR1D7_FcY9zMnHP8iPO4M5RCRjy6nZY0TY/"&amp;"edit#gid=0"",""Table 1: Study characteristics!B4:B171"")))&gt;0
),
""Include""
)"),"Exclude")</f>
        <v>Exclude</v>
      </c>
      <c r="G1598" s="5" t="str">
        <f>IFERROR(__xludf.DUMMYFUNCTION("IFS(
D1598=""Exclude"",
FILTER(IMPORTRANGE(""https://docs.google.com/spreadsheets/d/1BJSV3WBYJGRhQ6zExamkszQ5VutGIcaQqmbD9ZTVXMQ/edit#gid=1251630045"",""articles_with_PRISMA_reasons!AB2:AB2113""), $A1598=IMPORTRANGE(""https://docs.google.com/spreadsheets/"&amp;"d/1BJSV3WBYJGRhQ6zExamkszQ5VutGIcaQqmbD9ZTVXMQ/edit#gid=1251630045"",""articles_with_PRISMA_reasons!B2:B2113"")),
E1598=""Exclude"",
FILTER(IMPORTRANGE(""https://docs.google.com/spreadsheets/d/1qpEmbGH0JjaJbUdp21-y2cPbobDbMjr09BbtdKROZWc/edit#gid=14448656"&amp;"54"",""articles_with_PRISMA_reasons!Z2:Z2113""), $A1598=IMPORTRANGE(""https://docs.google.com/spreadsheets/d/1qpEmbGH0JjaJbUdp21-y2cPbobDbMjr09BbtdKROZWc/edit#gid=1444865654"",""articles_with_PRISMA_reasons!B2:B2113"")),F1598
=""Include"",FILTER(IMPORTRAN"&amp;"GE(""https://docs.google.com/spreadsheets/d/1kGrh75X1cNR1D7_FcY9zMnHP8iPO4M5RCRjy6nZY0TY/edit#gid=0"",""Table 1: Study characteristics!A4:A171""), $A1598=IMPORTRANGE(""https://docs.google.com/spreadsheets/d/1kGrh75X1cNR1D7_FcY9zMnHP8iPO4M5RCRjy6nZY0TY/edi"&amp;"t#gid=0"",""Table 1: Study characteristics!B4:B171""))
)"),"wrong study design")</f>
        <v>wrong study design</v>
      </c>
    </row>
    <row r="1599">
      <c r="A1599" s="4" t="str">
        <f>IFERROR(__xludf.DUMMYFUNCTION("""COMPUTED_VALUE"""),"Relationship between hydrocephalus etiology and ventriculoperitoneal shunt infection in children and review of literature")</f>
        <v>Relationship between hydrocephalus etiology and ventriculoperitoneal shunt infection in children and review of literature</v>
      </c>
      <c r="B1599" s="5" t="str">
        <f>IFERROR(__xludf.DUMMYFUNCTION("LEFT(FILTER(IMPORTRANGE(""https://docs.google.com/spreadsheets/d/1BJSV3WBYJGRhQ6zExamkszQ5VutGIcaQqmbD9ZTVXMQ/edit#gid=1251630045"",""articles_with_PRISMA_reasons!K2:K2113""), $A1599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$A1599=IMPORTRANGE(""https://docs.google.com/spreadsheets/d/1BJSV3WBYJGRhQ6zExamkszQ5VutGIcaQqmbD9ZTVXMQ/edit#gid=1251630045"",""articles_with_PRISMA_reasons!B2:B2113"")))-1)"),"Arslan")</f>
        <v>Arslan</v>
      </c>
      <c r="C1599" s="6">
        <f>IFERROR(__xludf.DUMMYFUNCTION("FILTER(IMPORTRANGE(""https://docs.google.com/spreadsheets/d/1BJSV3WBYJGRhQ6zExamkszQ5VutGIcaQqmbD9ZTVXMQ/edit#gid=1251630045"",""articles_with_PRISMA_reasons!C2:C2113""), $A1599=IMPORTRANGE(""https://docs.google.com/spreadsheets/d/1BJSV3WBYJGRhQ6zExamkszQ"&amp;"5VutGIcaQqmbD9ZTVXMQ/edit#gid=1251630045"",""articles_with_PRISMA_reasons!B2:B2113""))"),2018.0)</f>
        <v>2018</v>
      </c>
      <c r="D1599" s="5" t="str">
        <f>IFERROR(__xludf.DUMMYFUNCTION("IFS(AND(
FILTER(IMPORTRANGE(""https://docs.google.com/spreadsheets/d/1BJSV3WBYJGRhQ6zExamkszQ5VutGIcaQqmbD9ZTVXMQ/edit#gid=1251630045"",""articles_with_PRISMA_reasons!Y2:Y2113""), $A1599=IMPORTRANGE(""https://docs.google.com/spreadsheets/d/1BJSV3WBYJGRhQ6"&amp;"zExamkszQ5VutGIcaQqmbD9ZTVXMQ/edit#gid=1251630045"",""articles_with_PRISMA_reasons!B2:B2113""))&gt;=2,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$A1599=IMPORTRANGE(""https://docs.google.com/spreadsheets/d/1BJSV3WBYJGRhQ6zExamkszQ5VutGIcaQqmbD9ZTVXMQ/edit#gid=1251630045"",""articles_with_PRISMA_reasons!B2:B2113""))&lt;2),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$A1599=IMPORTRANGE(""https://docs.google.com/spreadsheets/d/1BJSV3WBYJGRhQ6zExamkszQ5VutGIcaQqmbD9ZTVXMQ/edit#gid=1251630045"",""a"&amp;"rticles_with_PRISMA_reasons!B2:B2113""))&lt;2,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$A1599=IMPORTRANGE(""https://docs.google"&amp;".com/spreadsheets/d/1BJSV3WBYJGRhQ6zExamkszQ5VutGIcaQqmbD9ZTVXMQ/edit#gid=1251630045"",""articles_with_PRISMA_reasons!B2:B2113""))&gt;=2),
""Exclude""
)"),"Include")</f>
        <v>Include</v>
      </c>
      <c r="E1599" s="5" t="str">
        <f>IFERROR(__xludf.DUMMYFUNCTION("IFS(
D1599=""Exclude"",""Exclude"",
AND(
FILTER(IMPORTRANGE(""https://docs.google.com/spreadsheets/d/1qpEmbGH0JjaJbUdp21-y2cPbobDbMjr09BbtdKROZWc/edit#gid=1444865654"",""articles_with_PRISMA_reasons!W2:W2113""), $A1599=IMPORTRANGE(""https://docs.google.co"&amp;"m/spreadsheets/d/1qpEmbGH0JjaJbUdp21-y2cPbobDbMjr09BbtdKROZWc/edit#gid=1444865654"",""articles_with_PRISMA_reasons!B2:B2113""))&gt;=2,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$A1599=IMPORTRANGE(""https://docs.google.com/spreadsheets/d/1qpEmbGH0JjaJbUdp21-y2cPbobDbMjr09BbtdKROZWc/edit#gid=1444865654"",""articles_with_PRISMA_reasons!B2:B2113""))&lt;2),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$A1599=IMPORTRANGE(""https://docs.google.com/spreadsheets/d/1qpEmbGH0JjaJbUdp21-y2cPbobDbMjr09Bbtd"&amp;"KROZWc/edit#gid=1444865654"",""articles_with_PRISMA_reasons!B2:B2113""))&lt;2,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$A1599=I"&amp;"MPORTRANGE(""https://docs.google.com/spreadsheets/d/1qpEmbGH0JjaJbUdp21-y2cPbobDbMjr09BbtdKROZWc/edit#gid=1444865654"",""articles_with_PRISMA_reasons!B2:B2113""))&gt;=2),
""Exclude""
)"),"Include")</f>
        <v>Include</v>
      </c>
      <c r="F1599" s="5" t="str">
        <f>IFERROR(__xludf.DUMMYFUNCTION("IFS(
E1599=""Exclude"",""Exclude"",
AND(
COUNTIF(
IMPORTRANGE(""https://docs.google.com/spreadsheets/d/1kGrh75X1cNR1D7_FcY9zMnHP8iPO4M5RCRjy6nZY0TY/edit#gid=0"",""Table 1: Study characteristics!B4:B171""),A1599)&gt;0,
COUNTIF(Studies!$A$2:$A$85,FILTER(IMPORT"&amp;"RANGE(""https://docs.google.com/spreadsheets/d/1kGrh75X1cNR1D7_FcY9zMnHP8iPO4M5RCRjy6nZY0TY/edit#gid=0"",""Table 1: Study characteristics!A4:A171""), $A1599=IMPORTRANGE(""https://docs.google.com/spreadsheets/d/1kGrh75X1cNR1D7_FcY9zMnHP8iPO4M5RCRjy6nZY0TY/"&amp;"edit#gid=0"",""Table 1: Study characteristics!B4:B171"")))&gt;0
),
""Include""
)"),"Include")</f>
        <v>Include</v>
      </c>
      <c r="G1599" s="5" t="str">
        <f>IFERROR(__xludf.DUMMYFUNCTION("IFS(
D1599=""Exclude"",
FILTER(IMPORTRANGE(""https://docs.google.com/spreadsheets/d/1BJSV3WBYJGRhQ6zExamkszQ5VutGIcaQqmbD9ZTVXMQ/edit#gid=1251630045"",""articles_with_PRISMA_reasons!AB2:AB2113""), $A1599=IMPORTRANGE(""https://docs.google.com/spreadsheets/"&amp;"d/1BJSV3WBYJGRhQ6zExamkszQ5VutGIcaQqmbD9ZTVXMQ/edit#gid=1251630045"",""articles_with_PRISMA_reasons!B2:B2113"")),
E1599=""Exclude"",
FILTER(IMPORTRANGE(""https://docs.google.com/spreadsheets/d/1qpEmbGH0JjaJbUdp21-y2cPbobDbMjr09BbtdKROZWc/edit#gid=14448656"&amp;"54"",""articles_with_PRISMA_reasons!Z2:Z2113""), $A1599=IMPORTRANGE(""https://docs.google.com/spreadsheets/d/1qpEmbGH0JjaJbUdp21-y2cPbobDbMjr09BbtdKROZWc/edit#gid=1444865654"",""articles_with_PRISMA_reasons!B2:B2113"")),F1599
=""Include"",FILTER(IMPORTRAN"&amp;"GE(""https://docs.google.com/spreadsheets/d/1kGrh75X1cNR1D7_FcY9zMnHP8iPO4M5RCRjy6nZY0TY/edit#gid=0"",""Table 1: Study characteristics!A4:A171""), $A1599=IMPORTRANGE(""https://docs.google.com/spreadsheets/d/1kGrh75X1cNR1D7_FcY9zMnHP8iPO4M5RCRjy6nZY0TY/edi"&amp;"t#gid=0"",""Table 1: Study characteristics!B4:B171""))
)"),"ID 107")</f>
        <v>ID 107</v>
      </c>
    </row>
    <row r="1600">
      <c r="A1600" s="4" t="str">
        <f>IFERROR(__xludf.DUMMYFUNCTION("""COMPUTED_VALUE"""),"Relationship of CSF shunting and IQ in children with myelomeningocele: A retrospective analysis")</f>
        <v>Relationship of CSF shunting and IQ in children with myelomeningocele: A retrospective analysis</v>
      </c>
      <c r="B1600" s="5" t="str">
        <f>IFERROR(__xludf.DUMMYFUNCTION("LEFT(FILTER(IMPORTRANGE(""https://docs.google.com/spreadsheets/d/1BJSV3WBYJGRhQ6zExamkszQ5VutGIcaQqmbD9ZTVXMQ/edit#gid=1251630045"",""articles_with_PRISMA_reasons!K2:K2113""), $A1600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$A1600=IMPORTRANGE(""https://docs.google.com/spreadsheets/d/1BJSV3WBYJGRhQ6zExamkszQ5VutGIcaQqmbD9ZTVXMQ/edit#gid=1251630045"",""articles_with_PRISMA_reasons!B2:B2113"")))-1)"),"Mapstone")</f>
        <v>Mapstone</v>
      </c>
      <c r="C1600" s="6">
        <f>IFERROR(__xludf.DUMMYFUNCTION("FILTER(IMPORTRANGE(""https://docs.google.com/spreadsheets/d/1BJSV3WBYJGRhQ6zExamkszQ5VutGIcaQqmbD9ZTVXMQ/edit#gid=1251630045"",""articles_with_PRISMA_reasons!C2:C2113""), $A1600=IMPORTRANGE(""https://docs.google.com/spreadsheets/d/1BJSV3WBYJGRhQ6zExamkszQ"&amp;"5VutGIcaQqmbD9ZTVXMQ/edit#gid=1251630045"",""articles_with_PRISMA_reasons!B2:B2113""))"),1984.0)</f>
        <v>1984</v>
      </c>
      <c r="D1600" s="5" t="str">
        <f>IFERROR(__xludf.DUMMYFUNCTION("IFS(AND(
FILTER(IMPORTRANGE(""https://docs.google.com/spreadsheets/d/1BJSV3WBYJGRhQ6zExamkszQ5VutGIcaQqmbD9ZTVXMQ/edit#gid=1251630045"",""articles_with_PRISMA_reasons!Y2:Y2113""), $A1600=IMPORTRANGE(""https://docs.google.com/spreadsheets/d/1BJSV3WBYJGRhQ6"&amp;"zExamkszQ5VutGIcaQqmbD9ZTVXMQ/edit#gid=1251630045"",""articles_with_PRISMA_reasons!B2:B2113""))&gt;=2,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$A1600=IMPORTRANGE(""https://docs.google"&amp;".com/spreadsheets/d/1BJSV3WBYJGRhQ6zExamkszQ5VutGIcaQqmbD9ZTVXMQ/edit#gid=1251630045"",""articles_with_PRISMA_reasons!B2:B2113""))&gt;=2),
""Exclude""
)"),"Include")</f>
        <v>Include</v>
      </c>
      <c r="E1600" s="5" t="str">
        <f>IFERROR(__xludf.DUMMYFUNCTION("IFS(
D1600=""Exclude"",""Exclude"",
AND(
FILTER(IMPORTRANGE(""https://docs.google.com/spreadsheets/d/1qpEmbGH0JjaJbUdp21-y2cPbobDbMjr09BbtdKROZWc/edit#gid=1444865654"",""articles_with_PRISMA_reasons!W2:W2113""), $A1600=IMPORTRANGE(""https://docs.google.co"&amp;"m/spreadsheets/d/1qpEmbGH0JjaJbUdp21-y2cPbobDbMjr09BbtdKROZWc/edit#gid=1444865654"",""articles_with_PRISMA_reasons!B2:B2113""))&gt;=2,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$A1600=IMPORTRANGE(""https://docs.google.com/spreadsheets/d/1qpEmbGH0JjaJbUdp21-y2cPbobDbMjr09BbtdKROZWc/edit#gid=1444865654"",""articles_with_PRISMA_reasons!B2:B2113""))&lt;2),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$A1600=IMPORTRANGE(""https://docs.google.com/spreadsheets/d/1qpEmbGH0JjaJbUdp21-y2cPbobDbMjr09Bbtd"&amp;"KROZWc/edit#gid=1444865654"",""articles_with_PRISMA_reasons!B2:B2113""))&lt;2,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$A1600=I"&amp;"MPORTRANGE(""https://docs.google.com/spreadsheets/d/1qpEmbGH0JjaJbUdp21-y2cPbobDbMjr09BbtdKROZWc/edit#gid=1444865654"",""articles_with_PRISMA_reasons!B2:B2113""))&gt;=2),
""Exclude""
)"),"Include")</f>
        <v>Include</v>
      </c>
      <c r="F1600" s="2" t="s">
        <v>8</v>
      </c>
      <c r="G1600" s="2" t="s">
        <v>16</v>
      </c>
    </row>
    <row r="1601">
      <c r="A1601" s="4" t="str">
        <f>IFERROR(__xludf.DUMMYFUNCTION("""COMPUTED_VALUE"""),"Relative frequency of hydrocephalus in rasht pediatric patients")</f>
        <v>Relative frequency of hydrocephalus in rasht pediatric patients</v>
      </c>
      <c r="B1601" s="5" t="str">
        <f>IFERROR(__xludf.DUMMYFUNCTION("LEFT(FILTER(IMPORTRANGE(""https://docs.google.com/spreadsheets/d/1BJSV3WBYJGRhQ6zExamkszQ5VutGIcaQqmbD9ZTVXMQ/edit#gid=1251630045"",""articles_with_PRISMA_reasons!K2:K2113""), $A1601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$A1601=IMPORTRANGE(""https://docs.google.com/spreadsheets/d/1BJSV3WBYJGRhQ6zExamkszQ5VutGIcaQqmbD9ZTVXMQ/edit#gid=1251630045"",""articles_with_PRISMA_reasons!B2:B2113"")))-1)"),"Bidabadi")</f>
        <v>Bidabadi</v>
      </c>
      <c r="C1601" s="6">
        <f>IFERROR(__xludf.DUMMYFUNCTION("FILTER(IMPORTRANGE(""https://docs.google.com/spreadsheets/d/1BJSV3WBYJGRhQ6zExamkszQ5VutGIcaQqmbD9ZTVXMQ/edit#gid=1251630045"",""articles_with_PRISMA_reasons!C2:C2113""), $A1601=IMPORTRANGE(""https://docs.google.com/spreadsheets/d/1BJSV3WBYJGRhQ6zExamkszQ"&amp;"5VutGIcaQqmbD9ZTVXMQ/edit#gid=1251630045"",""articles_with_PRISMA_reasons!B2:B2113""))"),2010.0)</f>
        <v>2010</v>
      </c>
      <c r="D1601" s="5" t="str">
        <f>IFERROR(__xludf.DUMMYFUNCTION("IFS(AND(
FILTER(IMPORTRANGE(""https://docs.google.com/spreadsheets/d/1BJSV3WBYJGRhQ6zExamkszQ5VutGIcaQqmbD9ZTVXMQ/edit#gid=1251630045"",""articles_with_PRISMA_reasons!Y2:Y2113""), $A1601=IMPORTRANGE(""https://docs.google.com/spreadsheets/d/1BJSV3WBYJGRhQ6"&amp;"zExamkszQ5VutGIcaQqmbD9ZTVXMQ/edit#gid=1251630045"",""articles_with_PRISMA_reasons!B2:B2113""))&gt;=2,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$A1601=IMPORTRANGE(""https://docs.google"&amp;".com/spreadsheets/d/1BJSV3WBYJGRhQ6zExamkszQ5VutGIcaQqmbD9ZTVXMQ/edit#gid=1251630045"",""articles_with_PRISMA_reasons!B2:B2113""))&gt;=2),
""Exclude""
)"),"Exclude")</f>
        <v>Exclude</v>
      </c>
      <c r="E1601" s="5" t="str">
        <f>IFERROR(__xludf.DUMMYFUNCTION("IFS(
D1601=""Exclude"",""Exclude"",
AND(
FILTER(IMPORTRANGE(""https://docs.google.com/spreadsheets/d/1qpEmbGH0JjaJbUdp21-y2cPbobDbMjr09BbtdKROZWc/edit#gid=1444865654"",""articles_with_PRISMA_reasons!W2:W2113""), $A1601=IMPORTRANGE(""https://docs.google.co"&amp;"m/spreadsheets/d/1qpEmbGH0JjaJbUdp21-y2cPbobDbMjr09BbtdKROZWc/edit#gid=1444865654"",""articles_with_PRISMA_reasons!B2:B2113""))&gt;=2,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$A1601=IMPORTRANGE(""https://docs.google.com/spreadsheets/d/1qpEmbGH0JjaJbUdp21-y2cPbobDbMjr09BbtdKROZWc/edit#gid=1444865654"",""articles_with_PRISMA_reasons!B2:B2113""))&lt;2),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$A1601=IMPORTRANGE(""https://docs.google.com/spreadsheets/d/1qpEmbGH0JjaJbUdp21-y2cPbobDbMjr09Bbtd"&amp;"KROZWc/edit#gid=1444865654"",""articles_with_PRISMA_reasons!B2:B2113""))&lt;2,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$A1601=I"&amp;"MPORTRANGE(""https://docs.google.com/spreadsheets/d/1qpEmbGH0JjaJbUdp21-y2cPbobDbMjr09BbtdKROZWc/edit#gid=1444865654"",""articles_with_PRISMA_reasons!B2:B2113""))&gt;=2),
""Exclude""
)"),"Exclude")</f>
        <v>Exclude</v>
      </c>
      <c r="F1601" s="5" t="str">
        <f>IFERROR(__xludf.DUMMYFUNCTION("IFS(
E1601=""Exclude"",""Exclude"",
AND(
COUNTIF(
IMPORTRANGE(""https://docs.google.com/spreadsheets/d/1kGrh75X1cNR1D7_FcY9zMnHP8iPO4M5RCRjy6nZY0TY/edit#gid=0"",""Table 1: Study characteristics!B4:B171""),A1601)&gt;0,
COUNTIF(Studies!$A$2:$A$85,FILTER(IMPORT"&amp;"RANGE(""https://docs.google.com/spreadsheets/d/1kGrh75X1cNR1D7_FcY9zMnHP8iPO4M5RCRjy6nZY0TY/edit#gid=0"",""Table 1: Study characteristics!A4:A171""), $A1601=IMPORTRANGE(""https://docs.google.com/spreadsheets/d/1kGrh75X1cNR1D7_FcY9zMnHP8iPO4M5RCRjy6nZY0TY/"&amp;"edit#gid=0"",""Table 1: Study characteristics!B4:B171"")))&gt;0
),
""Include""
)"),"Exclude")</f>
        <v>Exclude</v>
      </c>
      <c r="G1601" s="5" t="str">
        <f>IFERROR(__xludf.DUMMYFUNCTION("IFS(
D1601=""Exclude"",
FILTER(IMPORTRANGE(""https://docs.google.com/spreadsheets/d/1BJSV3WBYJGRhQ6zExamkszQ5VutGIcaQqmbD9ZTVXMQ/edit#gid=1251630045"",""articles_with_PRISMA_reasons!AB2:AB2113""), $A1601=IMPORTRANGE(""https://docs.google.com/spreadsheets/"&amp;"d/1BJSV3WBYJGRhQ6zExamkszQ5VutGIcaQqmbD9ZTVXMQ/edit#gid=1251630045"",""articles_with_PRISMA_reasons!B2:B2113"")),
E1601=""Exclude"",
FILTER(IMPORTRANGE(""https://docs.google.com/spreadsheets/d/1qpEmbGH0JjaJbUdp21-y2cPbobDbMjr09BbtdKROZWc/edit#gid=14448656"&amp;"54"",""articles_with_PRISMA_reasons!Z2:Z2113""), $A1601=IMPORTRANGE(""https://docs.google.com/spreadsheets/d/1qpEmbGH0JjaJbUdp21-y2cPbobDbMjr09BbtdKROZWc/edit#gid=1444865654"",""articles_with_PRISMA_reasons!B2:B2113"")),F1601
=""Include"",FILTER(IMPORTRAN"&amp;"GE(""https://docs.google.com/spreadsheets/d/1kGrh75X1cNR1D7_FcY9zMnHP8iPO4M5RCRjy6nZY0TY/edit#gid=0"",""Table 1: Study characteristics!A4:A171""), $A1601=IMPORTRANGE(""https://docs.google.com/spreadsheets/d/1kGrh75X1cNR1D7_FcY9zMnHP8iPO4M5RCRjy6nZY0TY/edi"&amp;"t#gid=0"",""Table 1: Study characteristics!B4:B171""))
)"),"wrong population")</f>
        <v>wrong population</v>
      </c>
    </row>
    <row r="1602">
      <c r="A1602" s="4" t="str">
        <f>IFERROR(__xludf.DUMMYFUNCTION("""COMPUTED_VALUE"""),"Relative Prevalence and Outcome of Fetal Neural Tube Defect in a Developing Country")</f>
        <v>Relative Prevalence and Outcome of Fetal Neural Tube Defect in a Developing Country</v>
      </c>
      <c r="B1602" s="5" t="str">
        <f>IFERROR(__xludf.DUMMYFUNCTION("LEFT(FILTER(IMPORTRANGE(""https://docs.google.com/spreadsheets/d/1BJSV3WBYJGRhQ6zExamkszQ5VutGIcaQqmbD9ZTVXMQ/edit#gid=1251630045"",""articles_with_PRISMA_reasons!K2:K2113""), $A1602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$A1602=IMPORTRANGE(""https://docs.google.com/spreadsheets/d/1BJSV3WBYJGRhQ6zExamkszQ5VutGIcaQqmbD9ZTVXMQ/edit#gid=1251630045"",""articles_with_PRISMA_reasons!B2:B2113"")))-1)"),"Kumar")</f>
        <v>Kumar</v>
      </c>
      <c r="C1602" s="6">
        <f>IFERROR(__xludf.DUMMYFUNCTION("FILTER(IMPORTRANGE(""https://docs.google.com/spreadsheets/d/1BJSV3WBYJGRhQ6zExamkszQ5VutGIcaQqmbD9ZTVXMQ/edit#gid=1251630045"",""articles_with_PRISMA_reasons!C2:C2113""), $A1602=IMPORTRANGE(""https://docs.google.com/spreadsheets/d/1BJSV3WBYJGRhQ6zExamkszQ"&amp;"5VutGIcaQqmbD9ZTVXMQ/edit#gid=1251630045"",""articles_with_PRISMA_reasons!B2:B2113""))"),2020.0)</f>
        <v>2020</v>
      </c>
      <c r="D1602" s="5" t="str">
        <f>IFERROR(__xludf.DUMMYFUNCTION("IFS(AND(
FILTER(IMPORTRANGE(""https://docs.google.com/spreadsheets/d/1BJSV3WBYJGRhQ6zExamkszQ5VutGIcaQqmbD9ZTVXMQ/edit#gid=1251630045"",""articles_with_PRISMA_reasons!Y2:Y2113""), $A1602=IMPORTRANGE(""https://docs.google.com/spreadsheets/d/1BJSV3WBYJGRhQ6"&amp;"zExamkszQ5VutGIcaQqmbD9ZTVXMQ/edit#gid=1251630045"",""articles_with_PRISMA_reasons!B2:B2113""))&gt;=2,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$A1602=IMPORTRANGE(""https://docs.google.com/spreadsheets/d/1BJSV3WBYJGRhQ6zExamkszQ5VutGIcaQqmbD9ZTVXMQ/edit#gid=1251630045"",""articles_with_PRISMA_reasons!B2:B2113""))&lt;2),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$A1602=IMPORTRANGE(""https://docs.google.com/spreadsheets/d/1BJSV3WBYJGRhQ6zExamkszQ5VutGIcaQqmbD9ZTVXMQ/edit#gid=1251630045"",""a"&amp;"rticles_with_PRISMA_reasons!B2:B2113""))&lt;2,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$A1602=IMPORTRANGE(""https://docs.google"&amp;".com/spreadsheets/d/1BJSV3WBYJGRhQ6zExamkszQ5VutGIcaQqmbD9ZTVXMQ/edit#gid=1251630045"",""articles_with_PRISMA_reasons!B2:B2113""))&gt;=2),
""Exclude""
)"),"Exclude")</f>
        <v>Exclude</v>
      </c>
      <c r="E1602" s="5" t="str">
        <f>IFERROR(__xludf.DUMMYFUNCTION("IFS(
D1602=""Exclude"",""Exclude"",
AND(
FILTER(IMPORTRANGE(""https://docs.google.com/spreadsheets/d/1qpEmbGH0JjaJbUdp21-y2cPbobDbMjr09BbtdKROZWc/edit#gid=1444865654"",""articles_with_PRISMA_reasons!W2:W2113""), $A1602=IMPORTRANGE(""https://docs.google.co"&amp;"m/spreadsheets/d/1qpEmbGH0JjaJbUdp21-y2cPbobDbMjr09BbtdKROZWc/edit#gid=1444865654"",""articles_with_PRISMA_reasons!B2:B2113""))&gt;=2,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$A1602=I"&amp;"MPORTRANGE(""https://docs.google.com/spreadsheets/d/1qpEmbGH0JjaJbUdp21-y2cPbobDbMjr09BbtdKROZWc/edit#gid=1444865654"",""articles_with_PRISMA_reasons!B2:B2113""))&gt;=2),
""Exclude""
)"),"Exclude")</f>
        <v>Exclude</v>
      </c>
      <c r="F1602" s="5" t="str">
        <f>IFERROR(__xludf.DUMMYFUNCTION("IFS(
E1602=""Exclude"",""Exclude"",
AND(
COUNTIF(
IMPORTRANGE(""https://docs.google.com/spreadsheets/d/1kGrh75X1cNR1D7_FcY9zMnHP8iPO4M5RCRjy6nZY0TY/edit#gid=0"",""Table 1: Study characteristics!B4:B171""),A1602)&gt;0,
COUNTIF(Studies!$A$2:$A$85,FILTER(IMPORT"&amp;"RANGE(""https://docs.google.com/spreadsheets/d/1kGrh75X1cNR1D7_FcY9zMnHP8iPO4M5RCRjy6nZY0TY/edit#gid=0"",""Table 1: Study characteristics!A4:A171""), $A1602=IMPORTRANGE(""https://docs.google.com/spreadsheets/d/1kGrh75X1cNR1D7_FcY9zMnHP8iPO4M5RCRjy6nZY0TY/"&amp;"edit#gid=0"",""Table 1: Study characteristics!B4:B171"")))&gt;0
),
""Include""
)"),"Exclude")</f>
        <v>Exclude</v>
      </c>
      <c r="G1602" s="5" t="str">
        <f>IFERROR(__xludf.DUMMYFUNCTION("IFS(
D1602=""Exclude"",
FILTER(IMPORTRANGE(""https://docs.google.com/spreadsheets/d/1BJSV3WBYJGRhQ6zExamkszQ5VutGIcaQqmbD9ZTVXMQ/edit#gid=1251630045"",""articles_with_PRISMA_reasons!AB2:AB2113""), $A1602=IMPORTRANGE(""https://docs.google.com/spreadsheets/"&amp;"d/1BJSV3WBYJGRhQ6zExamkszQ5VutGIcaQqmbD9ZTVXMQ/edit#gid=1251630045"",""articles_with_PRISMA_reasons!B2:B2113"")),
E1602=""Exclude"",
FILTER(IMPORTRANGE(""https://docs.google.com/spreadsheets/d/1qpEmbGH0JjaJbUdp21-y2cPbobDbMjr09BbtdKROZWc/edit#gid=14448656"&amp;"54"",""articles_with_PRISMA_reasons!Z2:Z2113""), $A1602=IMPORTRANGE(""https://docs.google.com/spreadsheets/d/1qpEmbGH0JjaJbUdp21-y2cPbobDbMjr09BbtdKROZWc/edit#gid=1444865654"",""articles_with_PRISMA_reasons!B2:B2113"")),F1602
=""Include"",FILTER(IMPORTRAN"&amp;"GE(""https://docs.google.com/spreadsheets/d/1kGrh75X1cNR1D7_FcY9zMnHP8iPO4M5RCRjy6nZY0TY/edit#gid=0"",""Table 1: Study characteristics!A4:A171""), $A1602=IMPORTRANGE(""https://docs.google.com/spreadsheets/d/1kGrh75X1cNR1D7_FcY9zMnHP8iPO4M5RCRjy6nZY0TY/edi"&amp;"t#gid=0"",""Table 1: Study characteristics!B4:B171""))
)"),"wrong population")</f>
        <v>wrong population</v>
      </c>
    </row>
    <row r="1603">
      <c r="A1603" s="4" t="str">
        <f>IFERROR(__xludf.DUMMYFUNCTION("""COMPUTED_VALUE"""),"Reliability of brain structure morphometry in hydrocephalic children using MR images")</f>
        <v>Reliability of brain structure morphometry in hydrocephalic children using MR images</v>
      </c>
      <c r="B1603" s="5" t="str">
        <f>IFERROR(__xludf.DUMMYFUNCTION("LEFT(FILTER(IMPORTRANGE(""https://docs.google.com/spreadsheets/d/1BJSV3WBYJGRhQ6zExamkszQ5VutGIcaQqmbD9ZTVXMQ/edit#gid=1251630045"",""articles_with_PRISMA_reasons!K2:K2113""), $A1603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$A1603=IMPORTRANGE(""https://docs.google.com/spreadsheets/d/1BJSV3WBYJGRhQ6zExamkszQ5VutGIcaQqmbD9ZTVXMQ/edit#gid=1251630045"",""articles_with_PRISMA_reasons!B2:B2113"")))-1)"),"Thorstad")</f>
        <v>Thorstad</v>
      </c>
      <c r="C1603" s="6">
        <f>IFERROR(__xludf.DUMMYFUNCTION("FILTER(IMPORTRANGE(""https://docs.google.com/spreadsheets/d/1BJSV3WBYJGRhQ6zExamkszQ5VutGIcaQqmbD9ZTVXMQ/edit#gid=1251630045"",""articles_with_PRISMA_reasons!C2:C2113""), $A1603=IMPORTRANGE(""https://docs.google.com/spreadsheets/d/1BJSV3WBYJGRhQ6zExamkszQ"&amp;"5VutGIcaQqmbD9ZTVXMQ/edit#gid=1251630045"",""articles_with_PRISMA_reasons!B2:B2113""))"),1996.0)</f>
        <v>1996</v>
      </c>
      <c r="D1603" s="5" t="str">
        <f>IFERROR(__xludf.DUMMYFUNCTION("IFS(AND(
FILTER(IMPORTRANGE(""https://docs.google.com/spreadsheets/d/1BJSV3WBYJGRhQ6zExamkszQ5VutGIcaQqmbD9ZTVXMQ/edit#gid=1251630045"",""articles_with_PRISMA_reasons!Y2:Y2113""), $A1603=IMPORTRANGE(""https://docs.google.com/spreadsheets/d/1BJSV3WBYJGRhQ6"&amp;"zExamkszQ5VutGIcaQqmbD9ZTVXMQ/edit#gid=1251630045"",""articles_with_PRISMA_reasons!B2:B2113""))&gt;=2,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$A1603=IMPORTRANGE(""https://docs.google"&amp;".com/spreadsheets/d/1BJSV3WBYJGRhQ6zExamkszQ5VutGIcaQqmbD9ZTVXMQ/edit#gid=1251630045"",""articles_with_PRISMA_reasons!B2:B2113""))&gt;=2),
""Exclude""
)"),"Exclude")</f>
        <v>Exclude</v>
      </c>
      <c r="E1603" s="5" t="str">
        <f>IFERROR(__xludf.DUMMYFUNCTION("IFS(
D1603=""Exclude"",""Exclude"",
AND(
FILTER(IMPORTRANGE(""https://docs.google.com/spreadsheets/d/1qpEmbGH0JjaJbUdp21-y2cPbobDbMjr09BbtdKROZWc/edit#gid=1444865654"",""articles_with_PRISMA_reasons!W2:W2113""), $A1603=IMPORTRANGE(""https://docs.google.co"&amp;"m/spreadsheets/d/1qpEmbGH0JjaJbUdp21-y2cPbobDbMjr09BbtdKROZWc/edit#gid=1444865654"",""articles_with_PRISMA_reasons!B2:B2113""))&gt;=2,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$A1603=I"&amp;"MPORTRANGE(""https://docs.google.com/spreadsheets/d/1qpEmbGH0JjaJbUdp21-y2cPbobDbMjr09BbtdKROZWc/edit#gid=1444865654"",""articles_with_PRISMA_reasons!B2:B2113""))&gt;=2),
""Exclude""
)"),"Exclude")</f>
        <v>Exclude</v>
      </c>
      <c r="F1603" s="5" t="str">
        <f>IFERROR(__xludf.DUMMYFUNCTION("IFS(
E1603=""Exclude"",""Exclude"",
AND(
COUNTIF(
IMPORTRANGE(""https://docs.google.com/spreadsheets/d/1kGrh75X1cNR1D7_FcY9zMnHP8iPO4M5RCRjy6nZY0TY/edit#gid=0"",""Table 1: Study characteristics!B4:B171""),A1603)&gt;0,
COUNTIF(Studies!$A$2:$A$85,FILTER(IMPORT"&amp;"RANGE(""https://docs.google.com/spreadsheets/d/1kGrh75X1cNR1D7_FcY9zMnHP8iPO4M5RCRjy6nZY0TY/edit#gid=0"",""Table 1: Study characteristics!A4:A171""), $A1603=IMPORTRANGE(""https://docs.google.com/spreadsheets/d/1kGrh75X1cNR1D7_FcY9zMnHP8iPO4M5RCRjy6nZY0TY/"&amp;"edit#gid=0"",""Table 1: Study characteristics!B4:B171"")))&gt;0
),
""Include""
)"),"Exclude")</f>
        <v>Exclude</v>
      </c>
      <c r="G1603" s="5" t="str">
        <f>IFERROR(__xludf.DUMMYFUNCTION("IFS(
D1603=""Exclude"",
FILTER(IMPORTRANGE(""https://docs.google.com/spreadsheets/d/1BJSV3WBYJGRhQ6zExamkszQ5VutGIcaQqmbD9ZTVXMQ/edit#gid=1251630045"",""articles_with_PRISMA_reasons!AB2:AB2113""), $A1603=IMPORTRANGE(""https://docs.google.com/spreadsheets/"&amp;"d/1BJSV3WBYJGRhQ6zExamkszQ5VutGIcaQqmbD9ZTVXMQ/edit#gid=1251630045"",""articles_with_PRISMA_reasons!B2:B2113"")),
E1603=""Exclude"",
FILTER(IMPORTRANGE(""https://docs.google.com/spreadsheets/d/1qpEmbGH0JjaJbUdp21-y2cPbobDbMjr09BbtdKROZWc/edit#gid=14448656"&amp;"54"",""articles_with_PRISMA_reasons!Z2:Z2113""), $A1603=IMPORTRANGE(""https://docs.google.com/spreadsheets/d/1qpEmbGH0JjaJbUdp21-y2cPbobDbMjr09BbtdKROZWc/edit#gid=1444865654"",""articles_with_PRISMA_reasons!B2:B2113"")),F1603
=""Include"",FILTER(IMPORTRAN"&amp;"GE(""https://docs.google.com/spreadsheets/d/1kGrh75X1cNR1D7_FcY9zMnHP8iPO4M5RCRjy6nZY0TY/edit#gid=0"",""Table 1: Study characteristics!A4:A171""), $A1603=IMPORTRANGE(""https://docs.google.com/spreadsheets/d/1kGrh75X1cNR1D7_FcY9zMnHP8iPO4M5RCRjy6nZY0TY/edi"&amp;"t#gid=0"",""Table 1: Study characteristics!B4:B171""))
)"),"wrong population")</f>
        <v>wrong population</v>
      </c>
    </row>
    <row r="1604">
      <c r="A1604" s="4" t="str">
        <f>IFERROR(__xludf.DUMMYFUNCTION("""COMPUTED_VALUE"""),"Remarkably low fibroblast acid alpha-glucosidase activity in three adults with Pompe disease")</f>
        <v>Remarkably low fibroblast acid alpha-glucosidase activity in three adults with Pompe disease</v>
      </c>
      <c r="B1604" s="5" t="str">
        <f>IFERROR(__xludf.DUMMYFUNCTION("LEFT(FILTER(IMPORTRANGE(""https://docs.google.com/spreadsheets/d/1BJSV3WBYJGRhQ6zExamkszQ5VutGIcaQqmbD9ZTVXMQ/edit#gid=1251630045"",""articles_with_PRISMA_reasons!K2:K2113""), $A1604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$A1604=IMPORTRANGE(""https://docs.google.com/spreadsheets/d/1BJSV3WBYJGRhQ6zExamkszQ5VutGIcaQqmbD9ZTVXMQ/edit#gid=1251630045"",""articles_with_PRISMA_reasons!B2:B2113"")))-1)"),"Wens")</f>
        <v>Wens</v>
      </c>
      <c r="C1604" s="6">
        <f>IFERROR(__xludf.DUMMYFUNCTION("FILTER(IMPORTRANGE(""https://docs.google.com/spreadsheets/d/1BJSV3WBYJGRhQ6zExamkszQ5VutGIcaQqmbD9ZTVXMQ/edit#gid=1251630045"",""articles_with_PRISMA_reasons!C2:C2113""), $A1604=IMPORTRANGE(""https://docs.google.com/spreadsheets/d/1BJSV3WBYJGRhQ6zExamkszQ"&amp;"5VutGIcaQqmbD9ZTVXMQ/edit#gid=1251630045"",""articles_with_PRISMA_reasons!B2:B2113""))"),2012.0)</f>
        <v>2012</v>
      </c>
      <c r="D1604" s="5" t="str">
        <f>IFERROR(__xludf.DUMMYFUNCTION("IFS(AND(
FILTER(IMPORTRANGE(""https://docs.google.com/spreadsheets/d/1BJSV3WBYJGRhQ6zExamkszQ5VutGIcaQqmbD9ZTVXMQ/edit#gid=1251630045"",""articles_with_PRISMA_reasons!Y2:Y2113""), $A1604=IMPORTRANGE(""https://docs.google.com/spreadsheets/d/1BJSV3WBYJGRhQ6"&amp;"zExamkszQ5VutGIcaQqmbD9ZTVXMQ/edit#gid=1251630045"",""articles_with_PRISMA_reasons!B2:B2113""))&gt;=2,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$A1604=IMPORTRANGE(""https://docs.google"&amp;".com/spreadsheets/d/1BJSV3WBYJGRhQ6zExamkszQ5VutGIcaQqmbD9ZTVXMQ/edit#gid=1251630045"",""articles_with_PRISMA_reasons!B2:B2113""))&gt;=2),
""Exclude""
)"),"Exclude")</f>
        <v>Exclude</v>
      </c>
      <c r="E1604" s="5" t="str">
        <f>IFERROR(__xludf.DUMMYFUNCTION("IFS(
D1604=""Exclude"",""Exclude"",
AND(
FILTER(IMPORTRANGE(""https://docs.google.com/spreadsheets/d/1qpEmbGH0JjaJbUdp21-y2cPbobDbMjr09BbtdKROZWc/edit#gid=1444865654"",""articles_with_PRISMA_reasons!W2:W2113""), $A1604=IMPORTRANGE(""https://docs.google.co"&amp;"m/spreadsheets/d/1qpEmbGH0JjaJbUdp21-y2cPbobDbMjr09BbtdKROZWc/edit#gid=1444865654"",""articles_with_PRISMA_reasons!B2:B2113""))&gt;=2,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$A1604=I"&amp;"MPORTRANGE(""https://docs.google.com/spreadsheets/d/1qpEmbGH0JjaJbUdp21-y2cPbobDbMjr09BbtdKROZWc/edit#gid=1444865654"",""articles_with_PRISMA_reasons!B2:B2113""))&gt;=2),
""Exclude""
)"),"Exclude")</f>
        <v>Exclude</v>
      </c>
      <c r="F1604" s="5" t="str">
        <f>IFERROR(__xludf.DUMMYFUNCTION("IFS(
E1604=""Exclude"",""Exclude"",
AND(
COUNTIF(
IMPORTRANGE(""https://docs.google.com/spreadsheets/d/1kGrh75X1cNR1D7_FcY9zMnHP8iPO4M5RCRjy6nZY0TY/edit#gid=0"",""Table 1: Study characteristics!B4:B171""),A1604)&gt;0,
COUNTIF(Studies!$A$2:$A$85,FILTER(IMPORT"&amp;"RANGE(""https://docs.google.com/spreadsheets/d/1kGrh75X1cNR1D7_FcY9zMnHP8iPO4M5RCRjy6nZY0TY/edit#gid=0"",""Table 1: Study characteristics!A4:A171""), $A1604=IMPORTRANGE(""https://docs.google.com/spreadsheets/d/1kGrh75X1cNR1D7_FcY9zMnHP8iPO4M5RCRjy6nZY0TY/"&amp;"edit#gid=0"",""Table 1: Study characteristics!B4:B171"")))&gt;0
),
""Include""
)"),"Exclude")</f>
        <v>Exclude</v>
      </c>
      <c r="G1604" s="5" t="str">
        <f>IFERROR(__xludf.DUMMYFUNCTION("IFS(
D1604=""Exclude"",
FILTER(IMPORTRANGE(""https://docs.google.com/spreadsheets/d/1BJSV3WBYJGRhQ6zExamkszQ5VutGIcaQqmbD9ZTVXMQ/edit#gid=1251630045"",""articles_with_PRISMA_reasons!AB2:AB2113""), $A1604=IMPORTRANGE(""https://docs.google.com/spreadsheets/"&amp;"d/1BJSV3WBYJGRhQ6zExamkszQ5VutGIcaQqmbD9ZTVXMQ/edit#gid=1251630045"",""articles_with_PRISMA_reasons!B2:B2113"")),
E1604=""Exclude"",
FILTER(IMPORTRANGE(""https://docs.google.com/spreadsheets/d/1qpEmbGH0JjaJbUdp21-y2cPbobDbMjr09BbtdKROZWc/edit#gid=14448656"&amp;"54"",""articles_with_PRISMA_reasons!Z2:Z2113""), $A1604=IMPORTRANGE(""https://docs.google.com/spreadsheets/d/1qpEmbGH0JjaJbUdp21-y2cPbobDbMjr09BbtdKROZWc/edit#gid=1444865654"",""articles_with_PRISMA_reasons!B2:B2113"")),F1604
=""Include"",FILTER(IMPORTRAN"&amp;"GE(""https://docs.google.com/spreadsheets/d/1kGrh75X1cNR1D7_FcY9zMnHP8iPO4M5RCRjy6nZY0TY/edit#gid=0"",""Table 1: Study characteristics!A4:A171""), $A1604=IMPORTRANGE(""https://docs.google.com/spreadsheets/d/1kGrh75X1cNR1D7_FcY9zMnHP8iPO4M5RCRjy6nZY0TY/edi"&amp;"t#gid=0"",""Table 1: Study characteristics!B4:B171""))
)"),"wrong population")</f>
        <v>wrong population</v>
      </c>
    </row>
    <row r="1605">
      <c r="A1605" s="4" t="str">
        <f>IFERROR(__xludf.DUMMYFUNCTION("""COMPUTED_VALUE"""),"Reminding technology for prospective memory disability: a case study")</f>
        <v>Reminding technology for prospective memory disability: a case study</v>
      </c>
      <c r="B1605" s="2" t="s">
        <v>37</v>
      </c>
      <c r="C1605" s="6">
        <f>IFERROR(__xludf.DUMMYFUNCTION("FILTER(IMPORTRANGE(""https://docs.google.com/spreadsheets/d/1BJSV3WBYJGRhQ6zExamkszQ5VutGIcaQqmbD9ZTVXMQ/edit#gid=1251630045"",""articles_with_PRISMA_reasons!C2:C2113""), $A1605=IMPORTRANGE(""https://docs.google.com/spreadsheets/d/1BJSV3WBYJGRhQ6zExamkszQ"&amp;"5VutGIcaQqmbD9ZTVXMQ/edit#gid=1251630045"",""articles_with_PRISMA_reasons!B2:B2113""))"),1997.0)</f>
        <v>1997</v>
      </c>
      <c r="D1605" s="5" t="str">
        <f>IFERROR(__xludf.DUMMYFUNCTION("IFS(AND(
FILTER(IMPORTRANGE(""https://docs.google.com/spreadsheets/d/1BJSV3WBYJGRhQ6zExamkszQ5VutGIcaQqmbD9ZTVXMQ/edit#gid=1251630045"",""articles_with_PRISMA_reasons!Y2:Y2113""), $A1605=IMPORTRANGE(""https://docs.google.com/spreadsheets/d/1BJSV3WBYJGRhQ6"&amp;"zExamkszQ5VutGIcaQqmbD9ZTVXMQ/edit#gid=1251630045"",""articles_with_PRISMA_reasons!B2:B2113""))&gt;=2,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$A1605=IMPORTRANGE(""https://docs.google"&amp;".com/spreadsheets/d/1BJSV3WBYJGRhQ6zExamkszQ5VutGIcaQqmbD9ZTVXMQ/edit#gid=1251630045"",""articles_with_PRISMA_reasons!B2:B2113""))&gt;=2),
""Exclude""
)"),"Exclude")</f>
        <v>Exclude</v>
      </c>
      <c r="E1605" s="5" t="str">
        <f>IFERROR(__xludf.DUMMYFUNCTION("IFS(
D1605=""Exclude"",""Exclude"",
AND(
FILTER(IMPORTRANGE(""https://docs.google.com/spreadsheets/d/1qpEmbGH0JjaJbUdp21-y2cPbobDbMjr09BbtdKROZWc/edit#gid=1444865654"",""articles_with_PRISMA_reasons!W2:W2113""), $A1605=IMPORTRANGE(""https://docs.google.co"&amp;"m/spreadsheets/d/1qpEmbGH0JjaJbUdp21-y2cPbobDbMjr09BbtdKROZWc/edit#gid=1444865654"",""articles_with_PRISMA_reasons!B2:B2113""))&gt;=2,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$A1605=I"&amp;"MPORTRANGE(""https://docs.google.com/spreadsheets/d/1qpEmbGH0JjaJbUdp21-y2cPbobDbMjr09BbtdKROZWc/edit#gid=1444865654"",""articles_with_PRISMA_reasons!B2:B2113""))&gt;=2),
""Exclude""
)"),"Exclude")</f>
        <v>Exclude</v>
      </c>
      <c r="F1605" s="5" t="str">
        <f>IFERROR(__xludf.DUMMYFUNCTION("IFS(
E1605=""Exclude"",""Exclude"",
AND(
COUNTIF(
IMPORTRANGE(""https://docs.google.com/spreadsheets/d/1kGrh75X1cNR1D7_FcY9zMnHP8iPO4M5RCRjy6nZY0TY/edit#gid=0"",""Table 1: Study characteristics!B4:B171""),A1605)&gt;0,
COUNTIF(Studies!$A$2:$A$85,FILTER(IMPORT"&amp;"RANGE(""https://docs.google.com/spreadsheets/d/1kGrh75X1cNR1D7_FcY9zMnHP8iPO4M5RCRjy6nZY0TY/edit#gid=0"",""Table 1: Study characteristics!A4:A171""), $A1605=IMPORTRANGE(""https://docs.google.com/spreadsheets/d/1kGrh75X1cNR1D7_FcY9zMnHP8iPO4M5RCRjy6nZY0TY/"&amp;"edit#gid=0"",""Table 1: Study characteristics!B4:B171"")))&gt;0
),
""Include""
)"),"Exclude")</f>
        <v>Exclude</v>
      </c>
      <c r="G1605" s="5" t="str">
        <f>IFERROR(__xludf.DUMMYFUNCTION("IFS(
D1605=""Exclude"",
FILTER(IMPORTRANGE(""https://docs.google.com/spreadsheets/d/1BJSV3WBYJGRhQ6zExamkszQ5VutGIcaQqmbD9ZTVXMQ/edit#gid=1251630045"",""articles_with_PRISMA_reasons!AB2:AB2113""), $A1605=IMPORTRANGE(""https://docs.google.com/spreadsheets/"&amp;"d/1BJSV3WBYJGRhQ6zExamkszQ5VutGIcaQqmbD9ZTVXMQ/edit#gid=1251630045"",""articles_with_PRISMA_reasons!B2:B2113"")),
E1605=""Exclude"",
FILTER(IMPORTRANGE(""https://docs.google.com/spreadsheets/d/1qpEmbGH0JjaJbUdp21-y2cPbobDbMjr09BbtdKROZWc/edit#gid=14448656"&amp;"54"",""articles_with_PRISMA_reasons!Z2:Z2113""), $A1605=IMPORTRANGE(""https://docs.google.com/spreadsheets/d/1qpEmbGH0JjaJbUdp21-y2cPbobDbMjr09BbtdKROZWc/edit#gid=1444865654"",""articles_with_PRISMA_reasons!B2:B2113"")),F1605
=""Include"",FILTER(IMPORTRAN"&amp;"GE(""https://docs.google.com/spreadsheets/d/1kGrh75X1cNR1D7_FcY9zMnHP8iPO4M5RCRjy6nZY0TY/edit#gid=0"",""Table 1: Study characteristics!A4:A171""), $A1605=IMPORTRANGE(""https://docs.google.com/spreadsheets/d/1kGrh75X1cNR1D7_FcY9zMnHP8iPO4M5RCRjy6nZY0TY/edi"&amp;"t#gid=0"",""Table 1: Study characteristics!B4:B171""))
)"),"wrong study design")</f>
        <v>wrong study design</v>
      </c>
    </row>
    <row r="1606">
      <c r="A1606" s="4" t="str">
        <f>IFERROR(__xludf.DUMMYFUNCTION("""COMPUTED_VALUE"""),"Renal agenesis with meningomyelocele and absence of Mullerian structures")</f>
        <v>Renal agenesis with meningomyelocele and absence of Mullerian structures</v>
      </c>
      <c r="B1606" s="5" t="str">
        <f>IFERROR(__xludf.DUMMYFUNCTION("LEFT(FILTER(IMPORTRANGE(""https://docs.google.com/spreadsheets/d/1BJSV3WBYJGRhQ6zExamkszQ5VutGIcaQqmbD9ZTVXMQ/edit#gid=1251630045"",""articles_with_PRISMA_reasons!K2:K2113""), $A1606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$A1606=IMPORTRANGE(""https://docs.google.com/spreadsheets/d/1BJSV3WBYJGRhQ6zExamkszQ5VutGIcaQqmbD9ZTVXMQ/edit#gid=1251630045"",""articles_with_PRISMA_reasons!B2:B2113"")))-1)"),"Patel")</f>
        <v>Patel</v>
      </c>
      <c r="C1606" s="6">
        <f>IFERROR(__xludf.DUMMYFUNCTION("FILTER(IMPORTRANGE(""https://docs.google.com/spreadsheets/d/1BJSV3WBYJGRhQ6zExamkszQ5VutGIcaQqmbD9ZTVXMQ/edit#gid=1251630045"",""articles_with_PRISMA_reasons!C2:C2113""), $A1606=IMPORTRANGE(""https://docs.google.com/spreadsheets/d/1BJSV3WBYJGRhQ6zExamkszQ"&amp;"5VutGIcaQqmbD9ZTVXMQ/edit#gid=1251630045"",""articles_with_PRISMA_reasons!B2:B2113""))"),1988.0)</f>
        <v>1988</v>
      </c>
      <c r="D1606" s="5" t="str">
        <f>IFERROR(__xludf.DUMMYFUNCTION("IFS(AND(
FILTER(IMPORTRANGE(""https://docs.google.com/spreadsheets/d/1BJSV3WBYJGRhQ6zExamkszQ5VutGIcaQqmbD9ZTVXMQ/edit#gid=1251630045"",""articles_with_PRISMA_reasons!Y2:Y2113""), $A1606=IMPORTRANGE(""https://docs.google.com/spreadsheets/d/1BJSV3WBYJGRhQ6"&amp;"zExamkszQ5VutGIcaQqmbD9ZTVXMQ/edit#gid=1251630045"",""articles_with_PRISMA_reasons!B2:B2113""))&gt;=2,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$A1606=IMPORTRANGE(""https://docs.google"&amp;".com/spreadsheets/d/1BJSV3WBYJGRhQ6zExamkszQ5VutGIcaQqmbD9ZTVXMQ/edit#gid=1251630045"",""articles_with_PRISMA_reasons!B2:B2113""))&gt;=2),
""Exclude""
)"),"Exclude")</f>
        <v>Exclude</v>
      </c>
      <c r="E1606" s="5" t="str">
        <f>IFERROR(__xludf.DUMMYFUNCTION("IFS(
D1606=""Exclude"",""Exclude"",
AND(
FILTER(IMPORTRANGE(""https://docs.google.com/spreadsheets/d/1qpEmbGH0JjaJbUdp21-y2cPbobDbMjr09BbtdKROZWc/edit#gid=1444865654"",""articles_with_PRISMA_reasons!W2:W2113""), $A1606=IMPORTRANGE(""https://docs.google.co"&amp;"m/spreadsheets/d/1qpEmbGH0JjaJbUdp21-y2cPbobDbMjr09BbtdKROZWc/edit#gid=1444865654"",""articles_with_PRISMA_reasons!B2:B2113""))&gt;=2,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$A1606=I"&amp;"MPORTRANGE(""https://docs.google.com/spreadsheets/d/1qpEmbGH0JjaJbUdp21-y2cPbobDbMjr09BbtdKROZWc/edit#gid=1444865654"",""articles_with_PRISMA_reasons!B2:B2113""))&gt;=2),
""Exclude""
)"),"Exclude")</f>
        <v>Exclude</v>
      </c>
      <c r="F1606" s="5" t="str">
        <f>IFERROR(__xludf.DUMMYFUNCTION("IFS(
E1606=""Exclude"",""Exclude"",
AND(
COUNTIF(
IMPORTRANGE(""https://docs.google.com/spreadsheets/d/1kGrh75X1cNR1D7_FcY9zMnHP8iPO4M5RCRjy6nZY0TY/edit#gid=0"",""Table 1: Study characteristics!B4:B171""),A1606)&gt;0,
COUNTIF(Studies!$A$2:$A$85,FILTER(IMPORT"&amp;"RANGE(""https://docs.google.com/spreadsheets/d/1kGrh75X1cNR1D7_FcY9zMnHP8iPO4M5RCRjy6nZY0TY/edit#gid=0"",""Table 1: Study characteristics!A4:A171""), $A1606=IMPORTRANGE(""https://docs.google.com/spreadsheets/d/1kGrh75X1cNR1D7_FcY9zMnHP8iPO4M5RCRjy6nZY0TY/"&amp;"edit#gid=0"",""Table 1: Study characteristics!B4:B171"")))&gt;0
),
""Include""
)"),"Exclude")</f>
        <v>Exclude</v>
      </c>
      <c r="G1606" s="5" t="str">
        <f>IFERROR(__xludf.DUMMYFUNCTION("IFS(
D1606=""Exclude"",
FILTER(IMPORTRANGE(""https://docs.google.com/spreadsheets/d/1BJSV3WBYJGRhQ6zExamkszQ5VutGIcaQqmbD9ZTVXMQ/edit#gid=1251630045"",""articles_with_PRISMA_reasons!AB2:AB2113""), $A1606=IMPORTRANGE(""https://docs.google.com/spreadsheets/"&amp;"d/1BJSV3WBYJGRhQ6zExamkszQ5VutGIcaQqmbD9ZTVXMQ/edit#gid=1251630045"",""articles_with_PRISMA_reasons!B2:B2113"")),
E1606=""Exclude"",
FILTER(IMPORTRANGE(""https://docs.google.com/spreadsheets/d/1qpEmbGH0JjaJbUdp21-y2cPbobDbMjr09BbtdKROZWc/edit#gid=14448656"&amp;"54"",""articles_with_PRISMA_reasons!Z2:Z2113""), $A1606=IMPORTRANGE(""https://docs.google.com/spreadsheets/d/1qpEmbGH0JjaJbUdp21-y2cPbobDbMjr09BbtdKROZWc/edit#gid=1444865654"",""articles_with_PRISMA_reasons!B2:B2113"")),F1606
=""Include"",FILTER(IMPORTRAN"&amp;"GE(""https://docs.google.com/spreadsheets/d/1kGrh75X1cNR1D7_FcY9zMnHP8iPO4M5RCRjy6nZY0TY/edit#gid=0"",""Table 1: Study characteristics!A4:A171""), $A1606=IMPORTRANGE(""https://docs.google.com/spreadsheets/d/1kGrh75X1cNR1D7_FcY9zMnHP8iPO4M5RCRjy6nZY0TY/edi"&amp;"t#gid=0"",""Table 1: Study characteristics!B4:B171""))
)"),"wrong population")</f>
        <v>wrong population</v>
      </c>
    </row>
    <row r="1607">
      <c r="A1607" s="4" t="str">
        <f>IFERROR(__xludf.DUMMYFUNCTION("""COMPUTED_VALUE"""),"Renal deterioration in a spina bifida patient with ileal conduit: A case report")</f>
        <v>Renal deterioration in a spina bifida patient with ileal conduit: A case report</v>
      </c>
      <c r="B1607" s="5" t="str">
        <f>IFERROR(__xludf.DUMMYFUNCTION("LEFT(FILTER(IMPORTRANGE(""https://docs.google.com/spreadsheets/d/1BJSV3WBYJGRhQ6zExamkszQ5VutGIcaQqmbD9ZTVXMQ/edit#gid=1251630045"",""articles_with_PRISMA_reasons!K2:K2113""), $A1607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$A1607=IMPORTRANGE(""https://docs.google.com/spreadsheets/d/1BJSV3WBYJGRhQ6zExamkszQ5VutGIcaQqmbD9ZTVXMQ/edit#gid=1251630045"",""articles_with_PRISMA_reasons!B2:B2113"")))-1)"),"Ueki")</f>
        <v>Ueki</v>
      </c>
      <c r="C1607" s="6">
        <f>IFERROR(__xludf.DUMMYFUNCTION("FILTER(IMPORTRANGE(""https://docs.google.com/spreadsheets/d/1BJSV3WBYJGRhQ6zExamkszQ5VutGIcaQqmbD9ZTVXMQ/edit#gid=1251630045"",""articles_with_PRISMA_reasons!C2:C2113""), $A1607=IMPORTRANGE(""https://docs.google.com/spreadsheets/d/1BJSV3WBYJGRhQ6zExamkszQ"&amp;"5VutGIcaQqmbD9ZTVXMQ/edit#gid=1251630045"",""articles_with_PRISMA_reasons!B2:B2113""))"),1991.0)</f>
        <v>1991</v>
      </c>
      <c r="D1607" s="5" t="str">
        <f>IFERROR(__xludf.DUMMYFUNCTION("IFS(AND(
FILTER(IMPORTRANGE(""https://docs.google.com/spreadsheets/d/1BJSV3WBYJGRhQ6zExamkszQ5VutGIcaQqmbD9ZTVXMQ/edit#gid=1251630045"",""articles_with_PRISMA_reasons!Y2:Y2113""), $A1607=IMPORTRANGE(""https://docs.google.com/spreadsheets/d/1BJSV3WBYJGRhQ6"&amp;"zExamkszQ5VutGIcaQqmbD9ZTVXMQ/edit#gid=1251630045"",""articles_with_PRISMA_reasons!B2:B2113""))&gt;=2,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$A1607=IMPORTRANGE(""https://docs.google"&amp;".com/spreadsheets/d/1BJSV3WBYJGRhQ6zExamkszQ5VutGIcaQqmbD9ZTVXMQ/edit#gid=1251630045"",""articles_with_PRISMA_reasons!B2:B2113""))&gt;=2),
""Exclude""
)"),"Exclude")</f>
        <v>Exclude</v>
      </c>
      <c r="E1607" s="5" t="str">
        <f>IFERROR(__xludf.DUMMYFUNCTION("IFS(
D1607=""Exclude"",""Exclude"",
AND(
FILTER(IMPORTRANGE(""https://docs.google.com/spreadsheets/d/1qpEmbGH0JjaJbUdp21-y2cPbobDbMjr09BbtdKROZWc/edit#gid=1444865654"",""articles_with_PRISMA_reasons!W2:W2113""), $A1607=IMPORTRANGE(""https://docs.google.co"&amp;"m/spreadsheets/d/1qpEmbGH0JjaJbUdp21-y2cPbobDbMjr09BbtdKROZWc/edit#gid=1444865654"",""articles_with_PRISMA_reasons!B2:B2113""))&gt;=2,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$A1607=I"&amp;"MPORTRANGE(""https://docs.google.com/spreadsheets/d/1qpEmbGH0JjaJbUdp21-y2cPbobDbMjr09BbtdKROZWc/edit#gid=1444865654"",""articles_with_PRISMA_reasons!B2:B2113""))&gt;=2),
""Exclude""
)"),"Exclude")</f>
        <v>Exclude</v>
      </c>
      <c r="F1607" s="5" t="str">
        <f>IFERROR(__xludf.DUMMYFUNCTION("IFS(
E1607=""Exclude"",""Exclude"",
AND(
COUNTIF(
IMPORTRANGE(""https://docs.google.com/spreadsheets/d/1kGrh75X1cNR1D7_FcY9zMnHP8iPO4M5RCRjy6nZY0TY/edit#gid=0"",""Table 1: Study characteristics!B4:B171""),A1607)&gt;0,
COUNTIF(Studies!$A$2:$A$85,FILTER(IMPORT"&amp;"RANGE(""https://docs.google.com/spreadsheets/d/1kGrh75X1cNR1D7_FcY9zMnHP8iPO4M5RCRjy6nZY0TY/edit#gid=0"",""Table 1: Study characteristics!A4:A171""), $A1607=IMPORTRANGE(""https://docs.google.com/spreadsheets/d/1kGrh75X1cNR1D7_FcY9zMnHP8iPO4M5RCRjy6nZY0TY/"&amp;"edit#gid=0"",""Table 1: Study characteristics!B4:B171"")))&gt;0
),
""Include""
)"),"Exclude")</f>
        <v>Exclude</v>
      </c>
      <c r="G1607" s="5" t="str">
        <f>IFERROR(__xludf.DUMMYFUNCTION("IFS(
D1607=""Exclude"",
FILTER(IMPORTRANGE(""https://docs.google.com/spreadsheets/d/1BJSV3WBYJGRhQ6zExamkszQ5VutGIcaQqmbD9ZTVXMQ/edit#gid=1251630045"",""articles_with_PRISMA_reasons!AB2:AB2113""), $A1607=IMPORTRANGE(""https://docs.google.com/spreadsheets/"&amp;"d/1BJSV3WBYJGRhQ6zExamkszQ5VutGIcaQqmbD9ZTVXMQ/edit#gid=1251630045"",""articles_with_PRISMA_reasons!B2:B2113"")),
E1607=""Exclude"",
FILTER(IMPORTRANGE(""https://docs.google.com/spreadsheets/d/1qpEmbGH0JjaJbUdp21-y2cPbobDbMjr09BbtdKROZWc/edit#gid=14448656"&amp;"54"",""articles_with_PRISMA_reasons!Z2:Z2113""), $A1607=IMPORTRANGE(""https://docs.google.com/spreadsheets/d/1qpEmbGH0JjaJbUdp21-y2cPbobDbMjr09BbtdKROZWc/edit#gid=1444865654"",""articles_with_PRISMA_reasons!B2:B2113"")),F1607
=""Include"",FILTER(IMPORTRAN"&amp;"GE(""https://docs.google.com/spreadsheets/d/1kGrh75X1cNR1D7_FcY9zMnHP8iPO4M5RCRjy6nZY0TY/edit#gid=0"",""Table 1: Study characteristics!A4:A171""), $A1607=IMPORTRANGE(""https://docs.google.com/spreadsheets/d/1kGrh75X1cNR1D7_FcY9zMnHP8iPO4M5RCRjy6nZY0TY/edi"&amp;"t#gid=0"",""Table 1: Study characteristics!B4:B171""))
)"),"wrong publication type")</f>
        <v>wrong publication type</v>
      </c>
    </row>
    <row r="1608">
      <c r="A1608" s="4" t="str">
        <f>IFERROR(__xludf.DUMMYFUNCTION("""COMPUTED_VALUE"""),"Reopening of an obstructed third ventriculostomy: Long-term success and factors affecting outcome in 215 infants")</f>
        <v>Reopening of an obstructed third ventriculostomy: Long-term success and factors affecting outcome in 215 infants</v>
      </c>
      <c r="B1608" s="5" t="str">
        <f>IFERROR(__xludf.DUMMYFUNCTION("LEFT(FILTER(IMPORTRANGE(""https://docs.google.com/spreadsheets/d/1BJSV3WBYJGRhQ6zExamkszQ5VutGIcaQqmbD9ZTVXMQ/edit#gid=1251630045"",""articles_with_PRISMA_reasons!K2:K2113""), $A1608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$A1608=IMPORTRANGE(""https://docs.google.com/spreadsheets/d/1BJSV3WBYJGRhQ6zExamkszQ5VutGIcaQqmbD9ZTVXMQ/edit#gid=1251630045"",""articles_with_PRISMA_reasons!B2:B2113"")))-1)"),"Marano")</f>
        <v>Marano</v>
      </c>
      <c r="C1608" s="6">
        <f>IFERROR(__xludf.DUMMYFUNCTION("FILTER(IMPORTRANGE(""https://docs.google.com/spreadsheets/d/1BJSV3WBYJGRhQ6zExamkszQ5VutGIcaQqmbD9ZTVXMQ/edit#gid=1251630045"",""articles_with_PRISMA_reasons!C2:C2113""), $A1608=IMPORTRANGE(""https://docs.google.com/spreadsheets/d/1BJSV3WBYJGRhQ6zExamkszQ"&amp;"5VutGIcaQqmbD9ZTVXMQ/edit#gid=1251630045"",""articles_with_PRISMA_reasons!B2:B2113""))"),2015.0)</f>
        <v>2015</v>
      </c>
      <c r="D1608" s="5" t="str">
        <f>IFERROR(__xludf.DUMMYFUNCTION("IFS(AND(
FILTER(IMPORTRANGE(""https://docs.google.com/spreadsheets/d/1BJSV3WBYJGRhQ6zExamkszQ5VutGIcaQqmbD9ZTVXMQ/edit#gid=1251630045"",""articles_with_PRISMA_reasons!Y2:Y2113""), $A1608=IMPORTRANGE(""https://docs.google.com/spreadsheets/d/1BJSV3WBYJGRhQ6"&amp;"zExamkszQ5VutGIcaQqmbD9ZTVXMQ/edit#gid=1251630045"",""articles_with_PRISMA_reasons!B2:B2113""))&gt;=2,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$A1608=IMPORTRANGE(""https://docs.google"&amp;".com/spreadsheets/d/1BJSV3WBYJGRhQ6zExamkszQ5VutGIcaQqmbD9ZTVXMQ/edit#gid=1251630045"",""articles_with_PRISMA_reasons!B2:B2113""))&gt;=2),
""Exclude""
)"),"Include")</f>
        <v>Include</v>
      </c>
      <c r="E1608" s="5" t="str">
        <f>IFERROR(__xludf.DUMMYFUNCTION("IFS(
D1608=""Exclude"",""Exclude"",
AND(
FILTER(IMPORTRANGE(""https://docs.google.com/spreadsheets/d/1qpEmbGH0JjaJbUdp21-y2cPbobDbMjr09BbtdKROZWc/edit#gid=1444865654"",""articles_with_PRISMA_reasons!W2:W2113""), $A1608=IMPORTRANGE(""https://docs.google.co"&amp;"m/spreadsheets/d/1qpEmbGH0JjaJbUdp21-y2cPbobDbMjr09BbtdKROZWc/edit#gid=1444865654"",""articles_with_PRISMA_reasons!B2:B2113""))&gt;=2,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$A1608=I"&amp;"MPORTRANGE(""https://docs.google.com/spreadsheets/d/1qpEmbGH0JjaJbUdp21-y2cPbobDbMjr09BbtdKROZWc/edit#gid=1444865654"",""articles_with_PRISMA_reasons!B2:B2113""))&gt;=2),
""Exclude""
)"),"Include")</f>
        <v>Include</v>
      </c>
      <c r="F1608" s="2" t="s">
        <v>8</v>
      </c>
      <c r="G1608" s="2" t="s">
        <v>17</v>
      </c>
    </row>
    <row r="1609">
      <c r="A1609" s="4" t="str">
        <f>IFERROR(__xludf.DUMMYFUNCTION("""COMPUTED_VALUE"""),"Repair of a large thoracolumbar myelomeningocele with associated lumbar kyphosis")</f>
        <v>Repair of a large thoracolumbar myelomeningocele with associated lumbar kyphosis</v>
      </c>
      <c r="B1609" s="5" t="str">
        <f>IFERROR(__xludf.DUMMYFUNCTION("LEFT(FILTER(IMPORTRANGE(""https://docs.google.com/spreadsheets/d/1BJSV3WBYJGRhQ6zExamkszQ5VutGIcaQqmbD9ZTVXMQ/edit#gid=1251630045"",""articles_with_PRISMA_reasons!K2:K2113""), $A1609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$A1609=IMPORTRANGE(""https://docs.google.com/spreadsheets/d/1BJSV3WBYJGRhQ6zExamkszQ5VutGIcaQqmbD9ZTVXMQ/edit#gid=1251630045"",""articles_with_PRISMA_reasons!B2:B2113"")))-1)"),"Duddy")</f>
        <v>Duddy</v>
      </c>
      <c r="C1609" s="6">
        <f>IFERROR(__xludf.DUMMYFUNCTION("FILTER(IMPORTRANGE(""https://docs.google.com/spreadsheets/d/1BJSV3WBYJGRhQ6zExamkszQ5VutGIcaQqmbD9ZTVXMQ/edit#gid=1251630045"",""articles_with_PRISMA_reasons!C2:C2113""), $A1609=IMPORTRANGE(""https://docs.google.com/spreadsheets/d/1BJSV3WBYJGRhQ6zExamkszQ"&amp;"5VutGIcaQqmbD9ZTVXMQ/edit#gid=1251630045"",""articles_with_PRISMA_reasons!B2:B2113""))"),2013.0)</f>
        <v>2013</v>
      </c>
      <c r="D1609" s="5" t="str">
        <f>IFERROR(__xludf.DUMMYFUNCTION("IFS(AND(
FILTER(IMPORTRANGE(""https://docs.google.com/spreadsheets/d/1BJSV3WBYJGRhQ6zExamkszQ5VutGIcaQqmbD9ZTVXMQ/edit#gid=1251630045"",""articles_with_PRISMA_reasons!Y2:Y2113""), $A1609=IMPORTRANGE(""https://docs.google.com/spreadsheets/d/1BJSV3WBYJGRhQ6"&amp;"zExamkszQ5VutGIcaQqmbD9ZTVXMQ/edit#gid=1251630045"",""articles_with_PRISMA_reasons!B2:B2113""))&gt;=2,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$A1609=IMPORTRANGE(""https://docs.google"&amp;".com/spreadsheets/d/1BJSV3WBYJGRhQ6zExamkszQ5VutGIcaQqmbD9ZTVXMQ/edit#gid=1251630045"",""articles_with_PRISMA_reasons!B2:B2113""))&gt;=2),
""Exclude""
)"),"Exclude")</f>
        <v>Exclude</v>
      </c>
      <c r="E1609" s="5" t="str">
        <f>IFERROR(__xludf.DUMMYFUNCTION("IFS(
D1609=""Exclude"",""Exclude"",
AND(
FILTER(IMPORTRANGE(""https://docs.google.com/spreadsheets/d/1qpEmbGH0JjaJbUdp21-y2cPbobDbMjr09BbtdKROZWc/edit#gid=1444865654"",""articles_with_PRISMA_reasons!W2:W2113""), $A1609=IMPORTRANGE(""https://docs.google.co"&amp;"m/spreadsheets/d/1qpEmbGH0JjaJbUdp21-y2cPbobDbMjr09BbtdKROZWc/edit#gid=1444865654"",""articles_with_PRISMA_reasons!B2:B2113""))&gt;=2,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$A1609=I"&amp;"MPORTRANGE(""https://docs.google.com/spreadsheets/d/1qpEmbGH0JjaJbUdp21-y2cPbobDbMjr09BbtdKROZWc/edit#gid=1444865654"",""articles_with_PRISMA_reasons!B2:B2113""))&gt;=2),
""Exclude""
)"),"Exclude")</f>
        <v>Exclude</v>
      </c>
      <c r="F1609" s="5" t="str">
        <f>IFERROR(__xludf.DUMMYFUNCTION("IFS(
E1609=""Exclude"",""Exclude"",
AND(
COUNTIF(
IMPORTRANGE(""https://docs.google.com/spreadsheets/d/1kGrh75X1cNR1D7_FcY9zMnHP8iPO4M5RCRjy6nZY0TY/edit#gid=0"",""Table 1: Study characteristics!B4:B171""),A1609)&gt;0,
COUNTIF(Studies!$A$2:$A$85,FILTER(IMPORT"&amp;"RANGE(""https://docs.google.com/spreadsheets/d/1kGrh75X1cNR1D7_FcY9zMnHP8iPO4M5RCRjy6nZY0TY/edit#gid=0"",""Table 1: Study characteristics!A4:A171""), $A1609=IMPORTRANGE(""https://docs.google.com/spreadsheets/d/1kGrh75X1cNR1D7_FcY9zMnHP8iPO4M5RCRjy6nZY0TY/"&amp;"edit#gid=0"",""Table 1: Study characteristics!B4:B171"")))&gt;0
),
""Include""
)"),"Exclude")</f>
        <v>Exclude</v>
      </c>
      <c r="G1609" s="5" t="str">
        <f>IFERROR(__xludf.DUMMYFUNCTION("IFS(
D1609=""Exclude"",
FILTER(IMPORTRANGE(""https://docs.google.com/spreadsheets/d/1BJSV3WBYJGRhQ6zExamkszQ5VutGIcaQqmbD9ZTVXMQ/edit#gid=1251630045"",""articles_with_PRISMA_reasons!AB2:AB2113""), $A1609=IMPORTRANGE(""https://docs.google.com/spreadsheets/"&amp;"d/1BJSV3WBYJGRhQ6zExamkszQ5VutGIcaQqmbD9ZTVXMQ/edit#gid=1251630045"",""articles_with_PRISMA_reasons!B2:B2113"")),
E1609=""Exclude"",
FILTER(IMPORTRANGE(""https://docs.google.com/spreadsheets/d/1qpEmbGH0JjaJbUdp21-y2cPbobDbMjr09BbtdKROZWc/edit#gid=14448656"&amp;"54"",""articles_with_PRISMA_reasons!Z2:Z2113""), $A1609=IMPORTRANGE(""https://docs.google.com/spreadsheets/d/1qpEmbGH0JjaJbUdp21-y2cPbobDbMjr09BbtdKROZWc/edit#gid=1444865654"",""articles_with_PRISMA_reasons!B2:B2113"")),F1609
=""Include"",FILTER(IMPORTRAN"&amp;"GE(""https://docs.google.com/spreadsheets/d/1kGrh75X1cNR1D7_FcY9zMnHP8iPO4M5RCRjy6nZY0TY/edit#gid=0"",""Table 1: Study characteristics!A4:A171""), $A1609=IMPORTRANGE(""https://docs.google.com/spreadsheets/d/1kGrh75X1cNR1D7_FcY9zMnHP8iPO4M5RCRjy6nZY0TY/edi"&amp;"t#gid=0"",""Table 1: Study characteristics!B4:B171""))
)"),"wrong study design")</f>
        <v>wrong study design</v>
      </c>
    </row>
    <row r="1610">
      <c r="A1610" s="4" t="str">
        <f>IFERROR(__xludf.DUMMYFUNCTION("""COMPUTED_VALUE"""),"Repair of myelomeningocele using autologous amnion graft and local flaps. A report of two cases")</f>
        <v>Repair of myelomeningocele using autologous amnion graft and local flaps. A report of two cases</v>
      </c>
      <c r="B1610" s="5" t="str">
        <f>IFERROR(__xludf.DUMMYFUNCTION("LEFT(FILTER(IMPORTRANGE(""https://docs.google.com/spreadsheets/d/1BJSV3WBYJGRhQ6zExamkszQ5VutGIcaQqmbD9ZTVXMQ/edit#gid=1251630045"",""articles_with_PRISMA_reasons!K2:K2113""), $A1610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$A1610=IMPORTRANGE(""https://docs.google.com/spreadsheets/d/1BJSV3WBYJGRhQ6zExamkszQ5VutGIcaQqmbD9ZTVXMQ/edit#gid=1251630045"",""articles_with_PRISMA_reasons!B2:B2113"")))-1)"),"Schoellhammer")</f>
        <v>Schoellhammer</v>
      </c>
      <c r="C1610" s="6">
        <f>IFERROR(__xludf.DUMMYFUNCTION("FILTER(IMPORTRANGE(""https://docs.google.com/spreadsheets/d/1BJSV3WBYJGRhQ6zExamkszQ5VutGIcaQqmbD9ZTVXMQ/edit#gid=1251630045"",""articles_with_PRISMA_reasons!C2:C2113""), $A1610=IMPORTRANGE(""https://docs.google.com/spreadsheets/d/1BJSV3WBYJGRhQ6zExamkszQ"&amp;"5VutGIcaQqmbD9ZTVXMQ/edit#gid=1251630045"",""articles_with_PRISMA_reasons!B2:B2113""))"),2018.0)</f>
        <v>2018</v>
      </c>
      <c r="D1610" s="5" t="str">
        <f>IFERROR(__xludf.DUMMYFUNCTION("IFS(AND(
FILTER(IMPORTRANGE(""https://docs.google.com/spreadsheets/d/1BJSV3WBYJGRhQ6zExamkszQ5VutGIcaQqmbD9ZTVXMQ/edit#gid=1251630045"",""articles_with_PRISMA_reasons!Y2:Y2113""), $A1610=IMPORTRANGE(""https://docs.google.com/spreadsheets/d/1BJSV3WBYJGRhQ6"&amp;"zExamkszQ5VutGIcaQqmbD9ZTVXMQ/edit#gid=1251630045"",""articles_with_PRISMA_reasons!B2:B2113""))&gt;=2,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$A1610=IMPORTRANGE(""https://docs.google"&amp;".com/spreadsheets/d/1BJSV3WBYJGRhQ6zExamkszQ5VutGIcaQqmbD9ZTVXMQ/edit#gid=1251630045"",""articles_with_PRISMA_reasons!B2:B2113""))&gt;=2),
""Exclude""
)"),"Exclude")</f>
        <v>Exclude</v>
      </c>
      <c r="E1610" s="5" t="str">
        <f>IFERROR(__xludf.DUMMYFUNCTION("IFS(
D1610=""Exclude"",""Exclude"",
AND(
FILTER(IMPORTRANGE(""https://docs.google.com/spreadsheets/d/1qpEmbGH0JjaJbUdp21-y2cPbobDbMjr09BbtdKROZWc/edit#gid=1444865654"",""articles_with_PRISMA_reasons!W2:W2113""), $A1610=IMPORTRANGE(""https://docs.google.co"&amp;"m/spreadsheets/d/1qpEmbGH0JjaJbUdp21-y2cPbobDbMjr09BbtdKROZWc/edit#gid=1444865654"",""articles_with_PRISMA_reasons!B2:B2113""))&gt;=2,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$A1610=I"&amp;"MPORTRANGE(""https://docs.google.com/spreadsheets/d/1qpEmbGH0JjaJbUdp21-y2cPbobDbMjr09BbtdKROZWc/edit#gid=1444865654"",""articles_with_PRISMA_reasons!B2:B2113""))&gt;=2),
""Exclude""
)"),"Exclude")</f>
        <v>Exclude</v>
      </c>
      <c r="F1610" s="5" t="str">
        <f>IFERROR(__xludf.DUMMYFUNCTION("IFS(
E1610=""Exclude"",""Exclude"",
AND(
COUNTIF(
IMPORTRANGE(""https://docs.google.com/spreadsheets/d/1kGrh75X1cNR1D7_FcY9zMnHP8iPO4M5RCRjy6nZY0TY/edit#gid=0"",""Table 1: Study characteristics!B4:B171""),A1610)&gt;0,
COUNTIF(Studies!$A$2:$A$85,FILTER(IMPORT"&amp;"RANGE(""https://docs.google.com/spreadsheets/d/1kGrh75X1cNR1D7_FcY9zMnHP8iPO4M5RCRjy6nZY0TY/edit#gid=0"",""Table 1: Study characteristics!A4:A171""), $A1610=IMPORTRANGE(""https://docs.google.com/spreadsheets/d/1kGrh75X1cNR1D7_FcY9zMnHP8iPO4M5RCRjy6nZY0TY/"&amp;"edit#gid=0"",""Table 1: Study characteristics!B4:B171"")))&gt;0
),
""Include""
)"),"Exclude")</f>
        <v>Exclude</v>
      </c>
      <c r="G1610" s="5" t="str">
        <f>IFERROR(__xludf.DUMMYFUNCTION("IFS(
D1610=""Exclude"",
FILTER(IMPORTRANGE(""https://docs.google.com/spreadsheets/d/1BJSV3WBYJGRhQ6zExamkszQ5VutGIcaQqmbD9ZTVXMQ/edit#gid=1251630045"",""articles_with_PRISMA_reasons!AB2:AB2113""), $A1610=IMPORTRANGE(""https://docs.google.com/spreadsheets/"&amp;"d/1BJSV3WBYJGRhQ6zExamkszQ5VutGIcaQqmbD9ZTVXMQ/edit#gid=1251630045"",""articles_with_PRISMA_reasons!B2:B2113"")),
E1610=""Exclude"",
FILTER(IMPORTRANGE(""https://docs.google.com/spreadsheets/d/1qpEmbGH0JjaJbUdp21-y2cPbobDbMjr09BbtdKROZWc/edit#gid=14448656"&amp;"54"",""articles_with_PRISMA_reasons!Z2:Z2113""), $A1610=IMPORTRANGE(""https://docs.google.com/spreadsheets/d/1qpEmbGH0JjaJbUdp21-y2cPbobDbMjr09BbtdKROZWc/edit#gid=1444865654"",""articles_with_PRISMA_reasons!B2:B2113"")),F1610
=""Include"",FILTER(IMPORTRAN"&amp;"GE(""https://docs.google.com/spreadsheets/d/1kGrh75X1cNR1D7_FcY9zMnHP8iPO4M5RCRjy6nZY0TY/edit#gid=0"",""Table 1: Study characteristics!A4:A171""), $A1610=IMPORTRANGE(""https://docs.google.com/spreadsheets/d/1kGrh75X1cNR1D7_FcY9zMnHP8iPO4M5RCRjy6nZY0TY/edi"&amp;"t#gid=0"",""Table 1: Study characteristics!B4:B171""))
)"),"wrong publication type")</f>
        <v>wrong publication type</v>
      </c>
    </row>
    <row r="1611">
      <c r="A1611" s="4" t="str">
        <f>IFERROR(__xludf.DUMMYFUNCTION("""COMPUTED_VALUE"""),"Repeat endoscopic third ventriculostomy success rate according to ventriculostoma closure patterns in children")</f>
        <v>Repeat endoscopic third ventriculostomy success rate according to ventriculostoma closure patterns in children</v>
      </c>
      <c r="B1611" s="5" t="str">
        <f>IFERROR(__xludf.DUMMYFUNCTION("LEFT(FILTER(IMPORTRANGE(""https://docs.google.com/spreadsheets/d/1BJSV3WBYJGRhQ6zExamkszQ5VutGIcaQqmbD9ZTVXMQ/edit#gid=1251630045"",""articles_with_PRISMA_reasons!K2:K2113""), $A1611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$A1611=IMPORTRANGE(""https://docs.google.com/spreadsheets/d/1BJSV3WBYJGRhQ6zExamkszQ5VutGIcaQqmbD9ZTVXMQ/edit#gid=1251630045"",""articles_with_PRISMA_reasons!B2:B2113"")))-1)"),"Etus")</f>
        <v>Etus</v>
      </c>
      <c r="C1611" s="6">
        <f>IFERROR(__xludf.DUMMYFUNCTION("FILTER(IMPORTRANGE(""https://docs.google.com/spreadsheets/d/1BJSV3WBYJGRhQ6zExamkszQ5VutGIcaQqmbD9ZTVXMQ/edit#gid=1251630045"",""articles_with_PRISMA_reasons!C2:C2113""), $A1611=IMPORTRANGE(""https://docs.google.com/spreadsheets/d/1BJSV3WBYJGRhQ6zExamkszQ"&amp;"5VutGIcaQqmbD9ZTVXMQ/edit#gid=1251630045"",""articles_with_PRISMA_reasons!B2:B2113""))"),2021.0)</f>
        <v>2021</v>
      </c>
      <c r="D1611" s="5" t="str">
        <f>IFERROR(__xludf.DUMMYFUNCTION("IFS(AND(
FILTER(IMPORTRANGE(""https://docs.google.com/spreadsheets/d/1BJSV3WBYJGRhQ6zExamkszQ5VutGIcaQqmbD9ZTVXMQ/edit#gid=1251630045"",""articles_with_PRISMA_reasons!Y2:Y2113""), $A1611=IMPORTRANGE(""https://docs.google.com/spreadsheets/d/1BJSV3WBYJGRhQ6"&amp;"zExamkszQ5VutGIcaQqmbD9ZTVXMQ/edit#gid=1251630045"",""articles_with_PRISMA_reasons!B2:B2113""))&gt;=2,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$A1611=IMPORTRANGE(""https://docs.google"&amp;".com/spreadsheets/d/1BJSV3WBYJGRhQ6zExamkszQ5VutGIcaQqmbD9ZTVXMQ/edit#gid=1251630045"",""articles_with_PRISMA_reasons!B2:B2113""))&gt;=2),
""Exclude""
)"),"Include")</f>
        <v>Include</v>
      </c>
      <c r="E1611" s="5" t="str">
        <f>IFERROR(__xludf.DUMMYFUNCTION("IFS(
D1611=""Exclude"",""Exclude"",
AND(
FILTER(IMPORTRANGE(""https://docs.google.com/spreadsheets/d/1qpEmbGH0JjaJbUdp21-y2cPbobDbMjr09BbtdKROZWc/edit#gid=1444865654"",""articles_with_PRISMA_reasons!W2:W2113""), $A1611=IMPORTRANGE(""https://docs.google.co"&amp;"m/spreadsheets/d/1qpEmbGH0JjaJbUdp21-y2cPbobDbMjr09BbtdKROZWc/edit#gid=1444865654"",""articles_with_PRISMA_reasons!B2:B2113""))&gt;=2,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$A1611=I"&amp;"MPORTRANGE(""https://docs.google.com/spreadsheets/d/1qpEmbGH0JjaJbUdp21-y2cPbobDbMjr09BbtdKROZWc/edit#gid=1444865654"",""articles_with_PRISMA_reasons!B2:B2113""))&gt;=2),
""Exclude""
)"),"Include")</f>
        <v>Include</v>
      </c>
      <c r="F1611" s="2" t="s">
        <v>8</v>
      </c>
      <c r="G1611" s="2" t="s">
        <v>17</v>
      </c>
    </row>
    <row r="1612">
      <c r="A1612" s="4" t="str">
        <f>IFERROR(__xludf.DUMMYFUNCTION("""COMPUTED_VALUE"""),"Reproductive health care for women with spina bifida")</f>
        <v>Reproductive health care for women with spina bifida</v>
      </c>
      <c r="B1612" s="5" t="str">
        <f>IFERROR(__xludf.DUMMYFUNCTION("LEFT(FILTER(IMPORTRANGE(""https://docs.google.com/spreadsheets/d/1BJSV3WBYJGRhQ6zExamkszQ5VutGIcaQqmbD9ZTVXMQ/edit#gid=1251630045"",""articles_with_PRISMA_reasons!K2:K2113""), $A1612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$A1612=IMPORTRANGE(""https://docs.google.com/spreadsheets/d/1BJSV3WBYJGRhQ6zExamkszQ5VutGIcaQqmbD9ZTVXMQ/edit#gid=1251630045"",""articles_with_PRISMA_reasons!B2:B2113"")))-1)"),"Jackson")</f>
        <v>Jackson</v>
      </c>
      <c r="C1612" s="6">
        <f>IFERROR(__xludf.DUMMYFUNCTION("FILTER(IMPORTRANGE(""https://docs.google.com/spreadsheets/d/1BJSV3WBYJGRhQ6zExamkszQ5VutGIcaQqmbD9ZTVXMQ/edit#gid=1251630045"",""articles_with_PRISMA_reasons!C2:C2113""), $A1612=IMPORTRANGE(""https://docs.google.com/spreadsheets/d/1BJSV3WBYJGRhQ6zExamkszQ"&amp;"5VutGIcaQqmbD9ZTVXMQ/edit#gid=1251630045"",""articles_with_PRISMA_reasons!B2:B2113""))"),2007.0)</f>
        <v>2007</v>
      </c>
      <c r="D1612" s="5" t="str">
        <f>IFERROR(__xludf.DUMMYFUNCTION("IFS(AND(
FILTER(IMPORTRANGE(""https://docs.google.com/spreadsheets/d/1BJSV3WBYJGRhQ6zExamkszQ5VutGIcaQqmbD9ZTVXMQ/edit#gid=1251630045"",""articles_with_PRISMA_reasons!Y2:Y2113""), $A1612=IMPORTRANGE(""https://docs.google.com/spreadsheets/d/1BJSV3WBYJGRhQ6"&amp;"zExamkszQ5VutGIcaQqmbD9ZTVXMQ/edit#gid=1251630045"",""articles_with_PRISMA_reasons!B2:B2113""))&gt;=2,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$A1612=IMPORTRANGE(""https://docs.google"&amp;".com/spreadsheets/d/1BJSV3WBYJGRhQ6zExamkszQ5VutGIcaQqmbD9ZTVXMQ/edit#gid=1251630045"",""articles_with_PRISMA_reasons!B2:B2113""))&gt;=2),
""Exclude""
)"),"Exclude")</f>
        <v>Exclude</v>
      </c>
      <c r="E1612" s="5" t="str">
        <f>IFERROR(__xludf.DUMMYFUNCTION("IFS(
D1612=""Exclude"",""Exclude"",
AND(
FILTER(IMPORTRANGE(""https://docs.google.com/spreadsheets/d/1qpEmbGH0JjaJbUdp21-y2cPbobDbMjr09BbtdKROZWc/edit#gid=1444865654"",""articles_with_PRISMA_reasons!W2:W2113""), $A1612=IMPORTRANGE(""https://docs.google.co"&amp;"m/spreadsheets/d/1qpEmbGH0JjaJbUdp21-y2cPbobDbMjr09BbtdKROZWc/edit#gid=1444865654"",""articles_with_PRISMA_reasons!B2:B2113""))&gt;=2,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$A1612=I"&amp;"MPORTRANGE(""https://docs.google.com/spreadsheets/d/1qpEmbGH0JjaJbUdp21-y2cPbobDbMjr09BbtdKROZWc/edit#gid=1444865654"",""articles_with_PRISMA_reasons!B2:B2113""))&gt;=2),
""Exclude""
)"),"Exclude")</f>
        <v>Exclude</v>
      </c>
      <c r="F1612" s="5" t="str">
        <f>IFERROR(__xludf.DUMMYFUNCTION("IFS(
E1612=""Exclude"",""Exclude"",
AND(
COUNTIF(
IMPORTRANGE(""https://docs.google.com/spreadsheets/d/1kGrh75X1cNR1D7_FcY9zMnHP8iPO4M5RCRjy6nZY0TY/edit#gid=0"",""Table 1: Study characteristics!B4:B171""),A1612)&gt;0,
COUNTIF(Studies!$A$2:$A$85,FILTER(IMPORT"&amp;"RANGE(""https://docs.google.com/spreadsheets/d/1kGrh75X1cNR1D7_FcY9zMnHP8iPO4M5RCRjy6nZY0TY/edit#gid=0"",""Table 1: Study characteristics!A4:A171""), $A1612=IMPORTRANGE(""https://docs.google.com/spreadsheets/d/1kGrh75X1cNR1D7_FcY9zMnHP8iPO4M5RCRjy6nZY0TY/"&amp;"edit#gid=0"",""Table 1: Study characteristics!B4:B171"")))&gt;0
),
""Include""
)"),"Exclude")</f>
        <v>Exclude</v>
      </c>
      <c r="G1612" s="5" t="str">
        <f>IFERROR(__xludf.DUMMYFUNCTION("IFS(
D1612=""Exclude"",
FILTER(IMPORTRANGE(""https://docs.google.com/spreadsheets/d/1BJSV3WBYJGRhQ6zExamkszQ5VutGIcaQqmbD9ZTVXMQ/edit#gid=1251630045"",""articles_with_PRISMA_reasons!AB2:AB2113""), $A1612=IMPORTRANGE(""https://docs.google.com/spreadsheets/"&amp;"d/1BJSV3WBYJGRhQ6zExamkszQ5VutGIcaQqmbD9ZTVXMQ/edit#gid=1251630045"",""articles_with_PRISMA_reasons!B2:B2113"")),
E1612=""Exclude"",
FILTER(IMPORTRANGE(""https://docs.google.com/spreadsheets/d/1qpEmbGH0JjaJbUdp21-y2cPbobDbMjr09BbtdKROZWc/edit#gid=14448656"&amp;"54"",""articles_with_PRISMA_reasons!Z2:Z2113""), $A1612=IMPORTRANGE(""https://docs.google.com/spreadsheets/d/1qpEmbGH0JjaJbUdp21-y2cPbobDbMjr09BbtdKROZWc/edit#gid=1444865654"",""articles_with_PRISMA_reasons!B2:B2113"")),F1612
=""Include"",FILTER(IMPORTRAN"&amp;"GE(""https://docs.google.com/spreadsheets/d/1kGrh75X1cNR1D7_FcY9zMnHP8iPO4M5RCRjy6nZY0TY/edit#gid=0"",""Table 1: Study characteristics!A4:A171""), $A1612=IMPORTRANGE(""https://docs.google.com/spreadsheets/d/1kGrh75X1cNR1D7_FcY9zMnHP8iPO4M5RCRjy6nZY0TY/edi"&amp;"t#gid=0"",""Table 1: Study characteristics!B4:B171""))
)"),"wrong population")</f>
        <v>wrong population</v>
      </c>
    </row>
    <row r="1613">
      <c r="A1613" s="4" t="str">
        <f>IFERROR(__xludf.DUMMYFUNCTION("""COMPUTED_VALUE"""),"Research: Prevalence of neural tube defects Khartoum, Sudan August 2014-July 2015")</f>
        <v>Research: Prevalence of neural tube defects Khartoum, Sudan August 2014-July 2015</v>
      </c>
      <c r="B1613" s="5" t="str">
        <f>IFERROR(__xludf.DUMMYFUNCTION("LEFT(FILTER(IMPORTRANGE(""https://docs.google.com/spreadsheets/d/1BJSV3WBYJGRhQ6zExamkszQ5VutGIcaQqmbD9ZTVXMQ/edit#gid=1251630045"",""articles_with_PRISMA_reasons!K2:K2113""), $A1613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$A1613=IMPORTRANGE(""https://docs.google.com/spreadsheets/d/1BJSV3WBYJGRhQ6zExamkszQ5VutGIcaQqmbD9ZTVXMQ/edit#gid=1251630045"",""articles_with_PRISMA_reasons!B2:B2113"")))-1)"),"Omer")</f>
        <v>Omer</v>
      </c>
      <c r="C1613" s="6">
        <f>IFERROR(__xludf.DUMMYFUNCTION("FILTER(IMPORTRANGE(""https://docs.google.com/spreadsheets/d/1BJSV3WBYJGRhQ6zExamkszQ5VutGIcaQqmbD9ZTVXMQ/edit#gid=1251630045"",""articles_with_PRISMA_reasons!C2:C2113""), $A1613=IMPORTRANGE(""https://docs.google.com/spreadsheets/d/1BJSV3WBYJGRhQ6zExamkszQ"&amp;"5VutGIcaQqmbD9ZTVXMQ/edit#gid=1251630045"",""articles_with_PRISMA_reasons!B2:B2113""))"),2016.0)</f>
        <v>2016</v>
      </c>
      <c r="D1613" s="5" t="str">
        <f>IFERROR(__xludf.DUMMYFUNCTION("IFS(AND(
FILTER(IMPORTRANGE(""https://docs.google.com/spreadsheets/d/1BJSV3WBYJGRhQ6zExamkszQ5VutGIcaQqmbD9ZTVXMQ/edit#gid=1251630045"",""articles_with_PRISMA_reasons!Y2:Y2113""), $A1613=IMPORTRANGE(""https://docs.google.com/spreadsheets/d/1BJSV3WBYJGRhQ6"&amp;"zExamkszQ5VutGIcaQqmbD9ZTVXMQ/edit#gid=1251630045"",""articles_with_PRISMA_reasons!B2:B2113""))&gt;=2,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$A1613=IMPORTRANGE(""https://docs.google"&amp;".com/spreadsheets/d/1BJSV3WBYJGRhQ6zExamkszQ5VutGIcaQqmbD9ZTVXMQ/edit#gid=1251630045"",""articles_with_PRISMA_reasons!B2:B2113""))&gt;=2),
""Exclude""
)"),"Exclude")</f>
        <v>Exclude</v>
      </c>
      <c r="E1613" s="5" t="str">
        <f>IFERROR(__xludf.DUMMYFUNCTION("IFS(
D1613=""Exclude"",""Exclude"",
AND(
FILTER(IMPORTRANGE(""https://docs.google.com/spreadsheets/d/1qpEmbGH0JjaJbUdp21-y2cPbobDbMjr09BbtdKROZWc/edit#gid=1444865654"",""articles_with_PRISMA_reasons!W2:W2113""), $A1613=IMPORTRANGE(""https://docs.google.co"&amp;"m/spreadsheets/d/1qpEmbGH0JjaJbUdp21-y2cPbobDbMjr09BbtdKROZWc/edit#gid=1444865654"",""articles_with_PRISMA_reasons!B2:B2113""))&gt;=2,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$A1613=I"&amp;"MPORTRANGE(""https://docs.google.com/spreadsheets/d/1qpEmbGH0JjaJbUdp21-y2cPbobDbMjr09BbtdKROZWc/edit#gid=1444865654"",""articles_with_PRISMA_reasons!B2:B2113""))&gt;=2),
""Exclude""
)"),"Exclude")</f>
        <v>Exclude</v>
      </c>
      <c r="F1613" s="5" t="str">
        <f>IFERROR(__xludf.DUMMYFUNCTION("IFS(
E1613=""Exclude"",""Exclude"",
AND(
COUNTIF(
IMPORTRANGE(""https://docs.google.com/spreadsheets/d/1kGrh75X1cNR1D7_FcY9zMnHP8iPO4M5RCRjy6nZY0TY/edit#gid=0"",""Table 1: Study characteristics!B4:B171""),A1613)&gt;0,
COUNTIF(Studies!$A$2:$A$85,FILTER(IMPORT"&amp;"RANGE(""https://docs.google.com/spreadsheets/d/1kGrh75X1cNR1D7_FcY9zMnHP8iPO4M5RCRjy6nZY0TY/edit#gid=0"",""Table 1: Study characteristics!A4:A171""), $A1613=IMPORTRANGE(""https://docs.google.com/spreadsheets/d/1kGrh75X1cNR1D7_FcY9zMnHP8iPO4M5RCRjy6nZY0TY/"&amp;"edit#gid=0"",""Table 1: Study characteristics!B4:B171"")))&gt;0
),
""Include""
)"),"Exclude")</f>
        <v>Exclude</v>
      </c>
      <c r="G1613" s="5" t="str">
        <f>IFERROR(__xludf.DUMMYFUNCTION("IFS(
D1613=""Exclude"",
FILTER(IMPORTRANGE(""https://docs.google.com/spreadsheets/d/1BJSV3WBYJGRhQ6zExamkszQ5VutGIcaQqmbD9ZTVXMQ/edit#gid=1251630045"",""articles_with_PRISMA_reasons!AB2:AB2113""), $A1613=IMPORTRANGE(""https://docs.google.com/spreadsheets/"&amp;"d/1BJSV3WBYJGRhQ6zExamkszQ5VutGIcaQqmbD9ZTVXMQ/edit#gid=1251630045"",""articles_with_PRISMA_reasons!B2:B2113"")),
E1613=""Exclude"",
FILTER(IMPORTRANGE(""https://docs.google.com/spreadsheets/d/1qpEmbGH0JjaJbUdp21-y2cPbobDbMjr09BbtdKROZWc/edit#gid=14448656"&amp;"54"",""articles_with_PRISMA_reasons!Z2:Z2113""), $A1613=IMPORTRANGE(""https://docs.google.com/spreadsheets/d/1qpEmbGH0JjaJbUdp21-y2cPbobDbMjr09BbtdKROZWc/edit#gid=1444865654"",""articles_with_PRISMA_reasons!B2:B2113"")),F1613
=""Include"",FILTER(IMPORTRAN"&amp;"GE(""https://docs.google.com/spreadsheets/d/1kGrh75X1cNR1D7_FcY9zMnHP8iPO4M5RCRjy6nZY0TY/edit#gid=0"",""Table 1: Study characteristics!A4:A171""), $A1613=IMPORTRANGE(""https://docs.google.com/spreadsheets/d/1kGrh75X1cNR1D7_FcY9zMnHP8iPO4M5RCRjy6nZY0TY/edi"&amp;"t#gid=0"",""Table 1: Study characteristics!B4:B171""))
)"),"background article")</f>
        <v>background article</v>
      </c>
    </row>
    <row r="1614">
      <c r="A1614" s="4" t="str">
        <f>IFERROR(__xludf.DUMMYFUNCTION("""COMPUTED_VALUE"""),"Resolution of precocious puberty following resection of fourth ventricular medulloblastoma: case report")</f>
        <v>Resolution of precocious puberty following resection of fourth ventricular medulloblastoma: case report</v>
      </c>
      <c r="B1614" s="5" t="str">
        <f>IFERROR(__xludf.DUMMYFUNCTION("LEFT(FILTER(IMPORTRANGE(""https://docs.google.com/spreadsheets/d/1BJSV3WBYJGRhQ6zExamkszQ5VutGIcaQqmbD9ZTVXMQ/edit#gid=1251630045"",""articles_with_PRISMA_reasons!K2:K2113""), $A1614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$A1614=IMPORTRANGE(""https://docs.google.com/spreadsheets/d/1BJSV3WBYJGRhQ6zExamkszQ5VutGIcaQqmbD9ZTVXMQ/edit#gid=1251630045"",""articles_with_PRISMA_reasons!B2:B2113"")))-1)"),"Medina")</f>
        <v>Medina</v>
      </c>
      <c r="C1614" s="6">
        <f>IFERROR(__xludf.DUMMYFUNCTION("FILTER(IMPORTRANGE(""https://docs.google.com/spreadsheets/d/1BJSV3WBYJGRhQ6zExamkszQ5VutGIcaQqmbD9ZTVXMQ/edit#gid=1251630045"",""articles_with_PRISMA_reasons!C2:C2113""), $A1614=IMPORTRANGE(""https://docs.google.com/spreadsheets/d/1BJSV3WBYJGRhQ6zExamkszQ"&amp;"5VutGIcaQqmbD9ZTVXMQ/edit#gid=1251630045"",""articles_with_PRISMA_reasons!B2:B2113""))"),2015.0)</f>
        <v>2015</v>
      </c>
      <c r="D1614" s="5" t="str">
        <f>IFERROR(__xludf.DUMMYFUNCTION("IFS(AND(
FILTER(IMPORTRANGE(""https://docs.google.com/spreadsheets/d/1BJSV3WBYJGRhQ6zExamkszQ5VutGIcaQqmbD9ZTVXMQ/edit#gid=1251630045"",""articles_with_PRISMA_reasons!Y2:Y2113""), $A1614=IMPORTRANGE(""https://docs.google.com/spreadsheets/d/1BJSV3WBYJGRhQ6"&amp;"zExamkszQ5VutGIcaQqmbD9ZTVXMQ/edit#gid=1251630045"",""articles_with_PRISMA_reasons!B2:B2113""))&gt;=2,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$A1614=IMPORTRANGE(""https://docs.google.com/spreadsheets/d/1BJSV3WBYJGRhQ6zExamkszQ5VutGIcaQqmbD9ZTVXMQ/edit#gid=1251630045"",""articles_with_PRISMA_reasons!B2:B2113""))&lt;2),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$A1614=IMPORTRANGE(""https://docs.google.com/spreadsheets/d/1BJSV3WBYJGRhQ6zExamkszQ5VutGIcaQqmbD9ZTVXMQ/edit#gid=1251630045"",""a"&amp;"rticles_with_PRISMA_reasons!B2:B2113""))&lt;2,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$A1614=IMPORTRANGE(""https://docs.google"&amp;".com/spreadsheets/d/1BJSV3WBYJGRhQ6zExamkszQ5VutGIcaQqmbD9ZTVXMQ/edit#gid=1251630045"",""articles_with_PRISMA_reasons!B2:B2113""))&gt;=2),
""Exclude""
)"),"Exclude")</f>
        <v>Exclude</v>
      </c>
      <c r="E1614" s="5" t="str">
        <f>IFERROR(__xludf.DUMMYFUNCTION("IFS(
D1614=""Exclude"",""Exclude"",
AND(
FILTER(IMPORTRANGE(""https://docs.google.com/spreadsheets/d/1qpEmbGH0JjaJbUdp21-y2cPbobDbMjr09BbtdKROZWc/edit#gid=1444865654"",""articles_with_PRISMA_reasons!W2:W2113""), $A1614=IMPORTRANGE(""https://docs.google.co"&amp;"m/spreadsheets/d/1qpEmbGH0JjaJbUdp21-y2cPbobDbMjr09BbtdKROZWc/edit#gid=1444865654"",""articles_with_PRISMA_reasons!B2:B2113""))&gt;=2,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$A1614=IMPORTRANGE(""https://docs.google.com/spreadsheets/d/1qpEmbGH0JjaJbUdp21-y2cPbobDbMjr09BbtdKROZWc/edit#gid=1444865654"",""articles_with_PRISMA_reasons!B2:B2113""))&lt;2),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$A1614=IMPORTRANGE(""https://docs.google.com/spreadsheets/d/1qpEmbGH0JjaJbUdp21-y2cPbobDbMjr09Bbtd"&amp;"KROZWc/edit#gid=1444865654"",""articles_with_PRISMA_reasons!B2:B2113""))&lt;2,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$A1614=I"&amp;"MPORTRANGE(""https://docs.google.com/spreadsheets/d/1qpEmbGH0JjaJbUdp21-y2cPbobDbMjr09BbtdKROZWc/edit#gid=1444865654"",""articles_with_PRISMA_reasons!B2:B2113""))&gt;=2),
""Exclude""
)"),"Exclude")</f>
        <v>Exclude</v>
      </c>
      <c r="F1614" s="5" t="str">
        <f>IFERROR(__xludf.DUMMYFUNCTION("IFS(
E1614=""Exclude"",""Exclude"",
AND(
COUNTIF(
IMPORTRANGE(""https://docs.google.com/spreadsheets/d/1kGrh75X1cNR1D7_FcY9zMnHP8iPO4M5RCRjy6nZY0TY/edit#gid=0"",""Table 1: Study characteristics!B4:B171""),A1614)&gt;0,
COUNTIF(Studies!$A$2:$A$85,FILTER(IMPORT"&amp;"RANGE(""https://docs.google.com/spreadsheets/d/1kGrh75X1cNR1D7_FcY9zMnHP8iPO4M5RCRjy6nZY0TY/edit#gid=0"",""Table 1: Study characteristics!A4:A171""), $A1614=IMPORTRANGE(""https://docs.google.com/spreadsheets/d/1kGrh75X1cNR1D7_FcY9zMnHP8iPO4M5RCRjy6nZY0TY/"&amp;"edit#gid=0"",""Table 1: Study characteristics!B4:B171"")))&gt;0
),
""Include""
)"),"Exclude")</f>
        <v>Exclude</v>
      </c>
      <c r="G1614" s="5" t="str">
        <f>IFERROR(__xludf.DUMMYFUNCTION("IFS(
D1614=""Exclude"",
FILTER(IMPORTRANGE(""https://docs.google.com/spreadsheets/d/1BJSV3WBYJGRhQ6zExamkszQ5VutGIcaQqmbD9ZTVXMQ/edit#gid=1251630045"",""articles_with_PRISMA_reasons!AB2:AB2113""), $A1614=IMPORTRANGE(""https://docs.google.com/spreadsheets/"&amp;"d/1BJSV3WBYJGRhQ6zExamkszQ5VutGIcaQqmbD9ZTVXMQ/edit#gid=1251630045"",""articles_with_PRISMA_reasons!B2:B2113"")),
E1614=""Exclude"",
FILTER(IMPORTRANGE(""https://docs.google.com/spreadsheets/d/1qpEmbGH0JjaJbUdp21-y2cPbobDbMjr09BbtdKROZWc/edit#gid=14448656"&amp;"54"",""articles_with_PRISMA_reasons!Z2:Z2113""), $A1614=IMPORTRANGE(""https://docs.google.com/spreadsheets/d/1qpEmbGH0JjaJbUdp21-y2cPbobDbMjr09BbtdKROZWc/edit#gid=1444865654"",""articles_with_PRISMA_reasons!B2:B2113"")),F1614
=""Include"",FILTER(IMPORTRAN"&amp;"GE(""https://docs.google.com/spreadsheets/d/1kGrh75X1cNR1D7_FcY9zMnHP8iPO4M5RCRjy6nZY0TY/edit#gid=0"",""Table 1: Study characteristics!A4:A171""), $A1614=IMPORTRANGE(""https://docs.google.com/spreadsheets/d/1kGrh75X1cNR1D7_FcY9zMnHP8iPO4M5RCRjy6nZY0TY/edi"&amp;"t#gid=0"",""Table 1: Study characteristics!B4:B171""))
)"),"wrong publication type")</f>
        <v>wrong publication type</v>
      </c>
    </row>
    <row r="1615">
      <c r="A1615" s="4" t="str">
        <f>IFERROR(__xludf.DUMMYFUNCTION("""COMPUTED_VALUE"""),"Respiratory obstruction and apnea in infants with bilateral abductor vocal cord paralysis, meningomyelocele, hydrocephalus, and Arnold-Chiari malformation")</f>
        <v>Respiratory obstruction and apnea in infants with bilateral abductor vocal cord paralysis, meningomyelocele, hydrocephalus, and Arnold-Chiari malformation</v>
      </c>
      <c r="B1615" s="5" t="str">
        <f>IFERROR(__xludf.DUMMYFUNCTION("LEFT(FILTER(IMPORTRANGE(""https://docs.google.com/spreadsheets/d/1BJSV3WBYJGRhQ6zExamkszQ5VutGIcaQqmbD9ZTVXMQ/edit#gid=1251630045"",""articles_with_PRISMA_reasons!K2:K2113""), $A1615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$A1615=IMPORTRANGE(""https://docs.google.com/spreadsheets/d/1BJSV3WBYJGRhQ6zExamkszQ5VutGIcaQqmbD9ZTVXMQ/edit#gid=1251630045"",""articles_with_PRISMA_reasons!B2:B2113"")))-1)"),"Holinger")</f>
        <v>Holinger</v>
      </c>
      <c r="C1615" s="6">
        <f>IFERROR(__xludf.DUMMYFUNCTION("FILTER(IMPORTRANGE(""https://docs.google.com/spreadsheets/d/1BJSV3WBYJGRhQ6zExamkszQ5VutGIcaQqmbD9ZTVXMQ/edit#gid=1251630045"",""articles_with_PRISMA_reasons!C2:C2113""), $A1615=IMPORTRANGE(""https://docs.google.com/spreadsheets/d/1BJSV3WBYJGRhQ6zExamkszQ"&amp;"5VutGIcaQqmbD9ZTVXMQ/edit#gid=1251630045"",""articles_with_PRISMA_reasons!B2:B2113""))"),1978.0)</f>
        <v>1978</v>
      </c>
      <c r="D1615" s="5" t="str">
        <f>IFERROR(__xludf.DUMMYFUNCTION("IFS(AND(
FILTER(IMPORTRANGE(""https://docs.google.com/spreadsheets/d/1BJSV3WBYJGRhQ6zExamkszQ5VutGIcaQqmbD9ZTVXMQ/edit#gid=1251630045"",""articles_with_PRISMA_reasons!Y2:Y2113""), $A1615=IMPORTRANGE(""https://docs.google.com/spreadsheets/d/1BJSV3WBYJGRhQ6"&amp;"zExamkszQ5VutGIcaQqmbD9ZTVXMQ/edit#gid=1251630045"",""articles_with_PRISMA_reasons!B2:B2113""))&gt;=2,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$A1615=IMPORTRANGE(""https://docs.google.com/spreadsheets/d/1BJSV3WBYJGRhQ6zExamkszQ5VutGIcaQqmbD9ZTVXMQ/edit#gid=1251630045"",""articles_with_PRISMA_reasons!B2:B2113""))&lt;2),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$A1615=IMPORTRANGE(""https://docs.google.com/spreadsheets/d/1BJSV3WBYJGRhQ6zExamkszQ5VutGIcaQqmbD9ZTVXMQ/edit#gid=1251630045"",""a"&amp;"rticles_with_PRISMA_reasons!B2:B2113""))&lt;2,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$A1615=IMPORTRANGE(""https://docs.google"&amp;".com/spreadsheets/d/1BJSV3WBYJGRhQ6zExamkszQ5VutGIcaQqmbD9ZTVXMQ/edit#gid=1251630045"",""articles_with_PRISMA_reasons!B2:B2113""))&gt;=2),
""Exclude""
)"),"Exclude")</f>
        <v>Exclude</v>
      </c>
      <c r="E1615" s="5" t="str">
        <f>IFERROR(__xludf.DUMMYFUNCTION("IFS(
D1615=""Exclude"",""Exclude"",
AND(
FILTER(IMPORTRANGE(""https://docs.google.com/spreadsheets/d/1qpEmbGH0JjaJbUdp21-y2cPbobDbMjr09BbtdKROZWc/edit#gid=1444865654"",""articles_with_PRISMA_reasons!W2:W2113""), $A1615=IMPORTRANGE(""https://docs.google.co"&amp;"m/spreadsheets/d/1qpEmbGH0JjaJbUdp21-y2cPbobDbMjr09BbtdKROZWc/edit#gid=1444865654"",""articles_with_PRISMA_reasons!B2:B2113""))&gt;=2,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$A1615=IMPORTRANGE(""https://docs.google.com/spreadsheets/d/1qpEmbGH0JjaJbUdp21-y2cPbobDbMjr09BbtdKROZWc/edit#gid=1444865654"",""articles_with_PRISMA_reasons!B2:B2113""))&lt;2),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$A1615=IMPORTRANGE(""https://docs.google.com/spreadsheets/d/1qpEmbGH0JjaJbUdp21-y2cPbobDbMjr09Bbtd"&amp;"KROZWc/edit#gid=1444865654"",""articles_with_PRISMA_reasons!B2:B2113""))&lt;2,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$A1615=I"&amp;"MPORTRANGE(""https://docs.google.com/spreadsheets/d/1qpEmbGH0JjaJbUdp21-y2cPbobDbMjr09BbtdKROZWc/edit#gid=1444865654"",""articles_with_PRISMA_reasons!B2:B2113""))&gt;=2),
""Exclude""
)"),"Exclude")</f>
        <v>Exclude</v>
      </c>
      <c r="F1615" s="5" t="str">
        <f>IFERROR(__xludf.DUMMYFUNCTION("IFS(
E1615=""Exclude"",""Exclude"",
AND(
COUNTIF(
IMPORTRANGE(""https://docs.google.com/spreadsheets/d/1kGrh75X1cNR1D7_FcY9zMnHP8iPO4M5RCRjy6nZY0TY/edit#gid=0"",""Table 1: Study characteristics!B4:B171""),A1615)&gt;0,
COUNTIF(Studies!$A$2:$A$85,FILTER(IMPORT"&amp;"RANGE(""https://docs.google.com/spreadsheets/d/1kGrh75X1cNR1D7_FcY9zMnHP8iPO4M5RCRjy6nZY0TY/edit#gid=0"",""Table 1: Study characteristics!A4:A171""), $A1615=IMPORTRANGE(""https://docs.google.com/spreadsheets/d/1kGrh75X1cNR1D7_FcY9zMnHP8iPO4M5RCRjy6nZY0TY/"&amp;"edit#gid=0"",""Table 1: Study characteristics!B4:B171"")))&gt;0
),
""Include""
)"),"Exclude")</f>
        <v>Exclude</v>
      </c>
      <c r="G1615" s="5" t="str">
        <f>IFERROR(__xludf.DUMMYFUNCTION("IFS(
D1615=""Exclude"",
FILTER(IMPORTRANGE(""https://docs.google.com/spreadsheets/d/1BJSV3WBYJGRhQ6zExamkszQ5VutGIcaQqmbD9ZTVXMQ/edit#gid=1251630045"",""articles_with_PRISMA_reasons!AB2:AB2113""), $A1615=IMPORTRANGE(""https://docs.google.com/spreadsheets/"&amp;"d/1BJSV3WBYJGRhQ6zExamkszQ5VutGIcaQqmbD9ZTVXMQ/edit#gid=1251630045"",""articles_with_PRISMA_reasons!B2:B2113"")),
E1615=""Exclude"",
FILTER(IMPORTRANGE(""https://docs.google.com/spreadsheets/d/1qpEmbGH0JjaJbUdp21-y2cPbobDbMjr09BbtdKROZWc/edit#gid=14448656"&amp;"54"",""articles_with_PRISMA_reasons!Z2:Z2113""), $A1615=IMPORTRANGE(""https://docs.google.com/spreadsheets/d/1qpEmbGH0JjaJbUdp21-y2cPbobDbMjr09BbtdKROZWc/edit#gid=1444865654"",""articles_with_PRISMA_reasons!B2:B2113"")),F1615
=""Include"",FILTER(IMPORTRAN"&amp;"GE(""https://docs.google.com/spreadsheets/d/1kGrh75X1cNR1D7_FcY9zMnHP8iPO4M5RCRjy6nZY0TY/edit#gid=0"",""Table 1: Study characteristics!A4:A171""), $A1615=IMPORTRANGE(""https://docs.google.com/spreadsheets/d/1kGrh75X1cNR1D7_FcY9zMnHP8iPO4M5RCRjy6nZY0TY/edi"&amp;"t#gid=0"",""Table 1: Study characteristics!B4:B171""))
)"),"wrong population")</f>
        <v>wrong population</v>
      </c>
    </row>
    <row r="1616">
      <c r="A1616" s="4" t="str">
        <f>IFERROR(__xludf.DUMMYFUNCTION("""COMPUTED_VALUE"""),"Response")</f>
        <v>Response</v>
      </c>
      <c r="B1616" s="5" t="str">
        <f>IFERROR(__xludf.DUMMYFUNCTION("LEFT(FILTER(IMPORTRANGE(""https://docs.google.com/spreadsheets/d/1BJSV3WBYJGRhQ6zExamkszQ5VutGIcaQqmbD9ZTVXMQ/edit#gid=1251630045"",""articles_with_PRISMA_reasons!K2:K2113""), $A1616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$A1616=IMPORTRANGE(""https://docs.google.com/spreadsheets/d/1BJSV3WBYJGRhQ6zExamkszQ5VutGIcaQqmbD9ZTVXMQ/edit#gid=1251630045"",""articles_with_PRISMA_reasons!B2:B2113"")))-1)"),"Warf")</f>
        <v>Warf</v>
      </c>
      <c r="C1616" s="6">
        <f>IFERROR(__xludf.DUMMYFUNCTION("FILTER(IMPORTRANGE(""https://docs.google.com/spreadsheets/d/1BJSV3WBYJGRhQ6zExamkszQ5VutGIcaQqmbD9ZTVXMQ/edit#gid=1251630045"",""articles_with_PRISMA_reasons!C2:C2113""), $A1616=IMPORTRANGE(""https://docs.google.com/spreadsheets/d/1BJSV3WBYJGRhQ6zExamkszQ"&amp;"5VutGIcaQqmbD9ZTVXMQ/edit#gid=1251630045"",""articles_with_PRISMA_reasons!B2:B2113""))"),2012.0)</f>
        <v>2012</v>
      </c>
      <c r="D1616" s="5" t="str">
        <f>IFERROR(__xludf.DUMMYFUNCTION("IFS(AND(
FILTER(IMPORTRANGE(""https://docs.google.com/spreadsheets/d/1BJSV3WBYJGRhQ6zExamkszQ5VutGIcaQqmbD9ZTVXMQ/edit#gid=1251630045"",""articles_with_PRISMA_reasons!Y2:Y2113""), $A1616=IMPORTRANGE(""https://docs.google.com/spreadsheets/d/1BJSV3WBYJGRhQ6"&amp;"zExamkszQ5VutGIcaQqmbD9ZTVXMQ/edit#gid=1251630045"",""articles_with_PRISMA_reasons!B2:B2113""))&gt;=2,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$A1616=IMPORTRANGE(""https://docs.google.com/spreadsheets/d/1BJSV3WBYJGRhQ6zExamkszQ5VutGIcaQqmbD9ZTVXMQ/edit#gid=1251630045"",""articles_with_PRISMA_reasons!B2:B2113""))&lt;2),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$A1616=IMPORTRANGE(""https://docs.google.com/spreadsheets/d/1BJSV3WBYJGRhQ6zExamkszQ5VutGIcaQqmbD9ZTVXMQ/edit#gid=1251630045"",""a"&amp;"rticles_with_PRISMA_reasons!B2:B2113""))&lt;2,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$A1616=IMPORTRANGE(""https://docs.google"&amp;".com/spreadsheets/d/1BJSV3WBYJGRhQ6zExamkszQ5VutGIcaQqmbD9ZTVXMQ/edit#gid=1251630045"",""articles_with_PRISMA_reasons!B2:B2113""))&gt;=2),
""Exclude""
)"),"Exclude")</f>
        <v>Exclude</v>
      </c>
      <c r="E1616" s="5" t="str">
        <f>IFERROR(__xludf.DUMMYFUNCTION("IFS(
D1616=""Exclude"",""Exclude"",
AND(
FILTER(IMPORTRANGE(""https://docs.google.com/spreadsheets/d/1qpEmbGH0JjaJbUdp21-y2cPbobDbMjr09BbtdKROZWc/edit#gid=1444865654"",""articles_with_PRISMA_reasons!W2:W2113""), $A1616=IMPORTRANGE(""https://docs.google.co"&amp;"m/spreadsheets/d/1qpEmbGH0JjaJbUdp21-y2cPbobDbMjr09BbtdKROZWc/edit#gid=1444865654"",""articles_with_PRISMA_reasons!B2:B2113""))&gt;=2,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$A1616=IMPORTRANGE(""https://docs.google.com/spreadsheets/d/1qpEmbGH0JjaJbUdp21-y2cPbobDbMjr09BbtdKROZWc/edit#gid=1444865654"",""articles_with_PRISMA_reasons!B2:B2113""))&lt;2),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$A1616=IMPORTRANGE(""https://docs.google.com/spreadsheets/d/1qpEmbGH0JjaJbUdp21-y2cPbobDbMjr09Bbtd"&amp;"KROZWc/edit#gid=1444865654"",""articles_with_PRISMA_reasons!B2:B2113""))&lt;2,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$A1616=I"&amp;"MPORTRANGE(""https://docs.google.com/spreadsheets/d/1qpEmbGH0JjaJbUdp21-y2cPbobDbMjr09BbtdKROZWc/edit#gid=1444865654"",""articles_with_PRISMA_reasons!B2:B2113""))&gt;=2),
""Exclude""
)"),"Exclude")</f>
        <v>Exclude</v>
      </c>
      <c r="F1616" s="5" t="str">
        <f>IFERROR(__xludf.DUMMYFUNCTION("IFS(
E1616=""Exclude"",""Exclude"",
AND(
COUNTIF(
IMPORTRANGE(""https://docs.google.com/spreadsheets/d/1kGrh75X1cNR1D7_FcY9zMnHP8iPO4M5RCRjy6nZY0TY/edit#gid=0"",""Table 1: Study characteristics!B4:B171""),A1616)&gt;0,
COUNTIF(Studies!$A$2:$A$85,FILTER(IMPORT"&amp;"RANGE(""https://docs.google.com/spreadsheets/d/1kGrh75X1cNR1D7_FcY9zMnHP8iPO4M5RCRjy6nZY0TY/edit#gid=0"",""Table 1: Study characteristics!A4:A171""), $A1616=IMPORTRANGE(""https://docs.google.com/spreadsheets/d/1kGrh75X1cNR1D7_FcY9zMnHP8iPO4M5RCRjy6nZY0TY/"&amp;"edit#gid=0"",""Table 1: Study characteristics!B4:B171"")))&gt;0
),
""Include""
)"),"Exclude")</f>
        <v>Exclude</v>
      </c>
      <c r="G1616" s="5" t="str">
        <f>IFERROR(__xludf.DUMMYFUNCTION("IFS(
D1616=""Exclude"",
FILTER(IMPORTRANGE(""https://docs.google.com/spreadsheets/d/1BJSV3WBYJGRhQ6zExamkszQ5VutGIcaQqmbD9ZTVXMQ/edit#gid=1251630045"",""articles_with_PRISMA_reasons!AB2:AB2113""), $A1616=IMPORTRANGE(""https://docs.google.com/spreadsheets/"&amp;"d/1BJSV3WBYJGRhQ6zExamkszQ5VutGIcaQqmbD9ZTVXMQ/edit#gid=1251630045"",""articles_with_PRISMA_reasons!B2:B2113"")),
E1616=""Exclude"",
FILTER(IMPORTRANGE(""https://docs.google.com/spreadsheets/d/1qpEmbGH0JjaJbUdp21-y2cPbobDbMjr09BbtdKROZWc/edit#gid=14448656"&amp;"54"",""articles_with_PRISMA_reasons!Z2:Z2113""), $A1616=IMPORTRANGE(""https://docs.google.com/spreadsheets/d/1qpEmbGH0JjaJbUdp21-y2cPbobDbMjr09BbtdKROZWc/edit#gid=1444865654"",""articles_with_PRISMA_reasons!B2:B2113"")),F1616
=""Include"",FILTER(IMPORTRAN"&amp;"GE(""https://docs.google.com/spreadsheets/d/1kGrh75X1cNR1D7_FcY9zMnHP8iPO4M5RCRjy6nZY0TY/edit#gid=0"",""Table 1: Study characteristics!A4:A171""), $A1616=IMPORTRANGE(""https://docs.google.com/spreadsheets/d/1kGrh75X1cNR1D7_FcY9zMnHP8iPO4M5RCRjy6nZY0TY/edi"&amp;"t#gid=0"",""Table 1: Study characteristics!B4:B171""))
)"),"wrong study design")</f>
        <v>wrong study design</v>
      </c>
    </row>
    <row r="1617">
      <c r="A1617" s="4" t="str">
        <f>IFERROR(__xludf.DUMMYFUNCTION("""COMPUTED_VALUE"""),"Results of cerebral sonography in infants with myelomeningocele")</f>
        <v>Results of cerebral sonography in infants with myelomeningocele</v>
      </c>
      <c r="B1617" s="5" t="str">
        <f>IFERROR(__xludf.DUMMYFUNCTION("LEFT(FILTER(IMPORTRANGE(""https://docs.google.com/spreadsheets/d/1BJSV3WBYJGRhQ6zExamkszQ5VutGIcaQqmbD9ZTVXMQ/edit#gid=1251630045"",""articles_with_PRISMA_reasons!K2:K2113""), $A1617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$A1617=IMPORTRANGE(""https://docs.google.com/spreadsheets/d/1BJSV3WBYJGRhQ6zExamkszQ5VutGIcaQqmbD9ZTVXMQ/edit#gid=1251630045"",""articles_with_PRISMA_reasons!B2:B2113"")))-1)"),"Hormann")</f>
        <v>Hormann</v>
      </c>
      <c r="C1617" s="6">
        <f>IFERROR(__xludf.DUMMYFUNCTION("FILTER(IMPORTRANGE(""https://docs.google.com/spreadsheets/d/1BJSV3WBYJGRhQ6zExamkszQ5VutGIcaQqmbD9ZTVXMQ/edit#gid=1251630045"",""articles_with_PRISMA_reasons!C2:C2113""), $A1617=IMPORTRANGE(""https://docs.google.com/spreadsheets/d/1BJSV3WBYJGRhQ6zExamkszQ"&amp;"5VutGIcaQqmbD9ZTVXMQ/edit#gid=1251630045"",""articles_with_PRISMA_reasons!B2:B2113""))"),1986.0)</f>
        <v>1986</v>
      </c>
      <c r="D1617" s="5" t="str">
        <f>IFERROR(__xludf.DUMMYFUNCTION("IFS(AND(
FILTER(IMPORTRANGE(""https://docs.google.com/spreadsheets/d/1BJSV3WBYJGRhQ6zExamkszQ5VutGIcaQqmbD9ZTVXMQ/edit#gid=1251630045"",""articles_with_PRISMA_reasons!Y2:Y2113""), $A1617=IMPORTRANGE(""https://docs.google.com/spreadsheets/d/1BJSV3WBYJGRhQ6"&amp;"zExamkszQ5VutGIcaQqmbD9ZTVXMQ/edit#gid=1251630045"",""articles_with_PRISMA_reasons!B2:B2113""))&gt;=2,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$A1617=IMPORTRANGE(""https://docs.google.com/spreadsheets/d/1BJSV3WBYJGRhQ6zExamkszQ5VutGIcaQqmbD9ZTVXMQ/edit#gid=1251630045"",""articles_with_PRISMA_reasons!B2:B2113""))&lt;2),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$A1617=IMPORTRANGE(""https://docs.google.com/spreadsheets/d/1BJSV3WBYJGRhQ6zExamkszQ5VutGIcaQqmbD9ZTVXMQ/edit#gid=1251630045"",""a"&amp;"rticles_with_PRISMA_reasons!B2:B2113""))&lt;2,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$A1617=IMPORTRANGE(""https://docs.google"&amp;".com/spreadsheets/d/1BJSV3WBYJGRhQ6zExamkszQ5VutGIcaQqmbD9ZTVXMQ/edit#gid=1251630045"",""articles_with_PRISMA_reasons!B2:B2113""))&gt;=2),
""Exclude""
)"),"Exclude")</f>
        <v>Exclude</v>
      </c>
      <c r="E1617" s="5" t="str">
        <f>IFERROR(__xludf.DUMMYFUNCTION("IFS(
D1617=""Exclude"",""Exclude"",
AND(
FILTER(IMPORTRANGE(""https://docs.google.com/spreadsheets/d/1qpEmbGH0JjaJbUdp21-y2cPbobDbMjr09BbtdKROZWc/edit#gid=1444865654"",""articles_with_PRISMA_reasons!W2:W2113""), $A1617=IMPORTRANGE(""https://docs.google.co"&amp;"m/spreadsheets/d/1qpEmbGH0JjaJbUdp21-y2cPbobDbMjr09BbtdKROZWc/edit#gid=1444865654"",""articles_with_PRISMA_reasons!B2:B2113""))&gt;=2,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$A1617=IMPORTRANGE(""https://docs.google.com/spreadsheets/d/1qpEmbGH0JjaJbUdp21-y2cPbobDbMjr09BbtdKROZWc/edit#gid=1444865654"",""articles_with_PRISMA_reasons!B2:B2113""))&lt;2),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$A1617=IMPORTRANGE(""https://docs.google.com/spreadsheets/d/1qpEmbGH0JjaJbUdp21-y2cPbobDbMjr09Bbtd"&amp;"KROZWc/edit#gid=1444865654"",""articles_with_PRISMA_reasons!B2:B2113""))&lt;2,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$A1617=I"&amp;"MPORTRANGE(""https://docs.google.com/spreadsheets/d/1qpEmbGH0JjaJbUdp21-y2cPbobDbMjr09BbtdKROZWc/edit#gid=1444865654"",""articles_with_PRISMA_reasons!B2:B2113""))&gt;=2),
""Exclude""
)"),"Exclude")</f>
        <v>Exclude</v>
      </c>
      <c r="F1617" s="5" t="str">
        <f>IFERROR(__xludf.DUMMYFUNCTION("IFS(
E1617=""Exclude"",""Exclude"",
AND(
COUNTIF(
IMPORTRANGE(""https://docs.google.com/spreadsheets/d/1kGrh75X1cNR1D7_FcY9zMnHP8iPO4M5RCRjy6nZY0TY/edit#gid=0"",""Table 1: Study characteristics!B4:B171""),A1617)&gt;0,
COUNTIF(Studies!$A$2:$A$85,FILTER(IMPORT"&amp;"RANGE(""https://docs.google.com/spreadsheets/d/1kGrh75X1cNR1D7_FcY9zMnHP8iPO4M5RCRjy6nZY0TY/edit#gid=0"",""Table 1: Study characteristics!A4:A171""), $A1617=IMPORTRANGE(""https://docs.google.com/spreadsheets/d/1kGrh75X1cNR1D7_FcY9zMnHP8iPO4M5RCRjy6nZY0TY/"&amp;"edit#gid=0"",""Table 1: Study characteristics!B4:B171"")))&gt;0
),
""Include""
)"),"Exclude")</f>
        <v>Exclude</v>
      </c>
      <c r="G1617" s="5" t="str">
        <f>IFERROR(__xludf.DUMMYFUNCTION("IFS(
D1617=""Exclude"",
FILTER(IMPORTRANGE(""https://docs.google.com/spreadsheets/d/1BJSV3WBYJGRhQ6zExamkszQ5VutGIcaQqmbD9ZTVXMQ/edit#gid=1251630045"",""articles_with_PRISMA_reasons!AB2:AB2113""), $A1617=IMPORTRANGE(""https://docs.google.com/spreadsheets/"&amp;"d/1BJSV3WBYJGRhQ6zExamkszQ5VutGIcaQqmbD9ZTVXMQ/edit#gid=1251630045"",""articles_with_PRISMA_reasons!B2:B2113"")),
E1617=""Exclude"",
FILTER(IMPORTRANGE(""https://docs.google.com/spreadsheets/d/1qpEmbGH0JjaJbUdp21-y2cPbobDbMjr09BbtdKROZWc/edit#gid=14448656"&amp;"54"",""articles_with_PRISMA_reasons!Z2:Z2113""), $A1617=IMPORTRANGE(""https://docs.google.com/spreadsheets/d/1qpEmbGH0JjaJbUdp21-y2cPbobDbMjr09BbtdKROZWc/edit#gid=1444865654"",""articles_with_PRISMA_reasons!B2:B2113"")),F1617
=""Include"",FILTER(IMPORTRAN"&amp;"GE(""https://docs.google.com/spreadsheets/d/1kGrh75X1cNR1D7_FcY9zMnHP8iPO4M5RCRjy6nZY0TY/edit#gid=0"",""Table 1: Study characteristics!A4:A171""), $A1617=IMPORTRANGE(""https://docs.google.com/spreadsheets/d/1kGrh75X1cNR1D7_FcY9zMnHP8iPO4M5RCRjy6nZY0TY/edi"&amp;"t#gid=0"",""Table 1: Study characteristics!B4:B171""))
)"),"Duplicate")</f>
        <v>Duplicate</v>
      </c>
    </row>
    <row r="1618">
      <c r="A1618" s="4" t="str">
        <f>IFERROR(__xludf.DUMMYFUNCTION("""COMPUTED_VALUE"""),"Results of selective treatment of spina bifida cystica")</f>
        <v>Results of selective treatment of spina bifida cystica</v>
      </c>
      <c r="B1618" s="5" t="str">
        <f>IFERROR(__xludf.DUMMYFUNCTION("LEFT(FILTER(IMPORTRANGE(""https://docs.google.com/spreadsheets/d/1BJSV3WBYJGRhQ6zExamkszQ5VutGIcaQqmbD9ZTVXMQ/edit#gid=1251630045"",""articles_with_PRISMA_reasons!K2:K2113""), $A1618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$A1618=IMPORTRANGE(""https://docs.google.com/spreadsheets/d/1BJSV3WBYJGRhQ6zExamkszQ5VutGIcaQqmbD9ZTVXMQ/edit#gid=1251630045"",""articles_with_PRISMA_reasons!B2:B2113"")))-1)"),"Lorber")</f>
        <v>Lorber</v>
      </c>
      <c r="C1618" s="6">
        <f>IFERROR(__xludf.DUMMYFUNCTION("FILTER(IMPORTRANGE(""https://docs.google.com/spreadsheets/d/1BJSV3WBYJGRhQ6zExamkszQ5VutGIcaQqmbD9ZTVXMQ/edit#gid=1251630045"",""articles_with_PRISMA_reasons!C2:C2113""), $A1618=IMPORTRANGE(""https://docs.google.com/spreadsheets/d/1BJSV3WBYJGRhQ6zExamkszQ"&amp;"5VutGIcaQqmbD9ZTVXMQ/edit#gid=1251630045"",""articles_with_PRISMA_reasons!B2:B2113""))"),1981.0)</f>
        <v>1981</v>
      </c>
      <c r="D1618" s="5" t="str">
        <f>IFERROR(__xludf.DUMMYFUNCTION("IFS(AND(
FILTER(IMPORTRANGE(""https://docs.google.com/spreadsheets/d/1BJSV3WBYJGRhQ6zExamkszQ5VutGIcaQqmbD9ZTVXMQ/edit#gid=1251630045"",""articles_with_PRISMA_reasons!Y2:Y2113""), $A1618=IMPORTRANGE(""https://docs.google.com/spreadsheets/d/1BJSV3WBYJGRhQ6"&amp;"zExamkszQ5VutGIcaQqmbD9ZTVXMQ/edit#gid=1251630045"",""articles_with_PRISMA_reasons!B2:B2113""))&gt;=2,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$A1618=IMPORTRANGE(""https://docs.google.com/spreadsheets/d/1BJSV3WBYJGRhQ6zExamkszQ5VutGIcaQqmbD9ZTVXMQ/edit#gid=1251630045"",""articles_with_PRISMA_reasons!B2:B2113""))&lt;2),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$A1618=IMPORTRANGE(""https://docs.google.com/spreadsheets/d/1BJSV3WBYJGRhQ6zExamkszQ5VutGIcaQqmbD9ZTVXMQ/edit#gid=1251630045"",""a"&amp;"rticles_with_PRISMA_reasons!B2:B2113""))&lt;2,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$A1618=IMPORTRANGE(""https://docs.google"&amp;".com/spreadsheets/d/1BJSV3WBYJGRhQ6zExamkszQ5VutGIcaQqmbD9ZTVXMQ/edit#gid=1251630045"",""articles_with_PRISMA_reasons!B2:B2113""))&gt;=2),
""Exclude""
)"),"Include")</f>
        <v>Include</v>
      </c>
      <c r="E1618" s="5" t="str">
        <f>IFERROR(__xludf.DUMMYFUNCTION("IFS(
D1618=""Exclude"",""Exclude"",
AND(
FILTER(IMPORTRANGE(""https://docs.google.com/spreadsheets/d/1qpEmbGH0JjaJbUdp21-y2cPbobDbMjr09BbtdKROZWc/edit#gid=1444865654"",""articles_with_PRISMA_reasons!W2:W2113""), $A1618=IMPORTRANGE(""https://docs.google.co"&amp;"m/spreadsheets/d/1qpEmbGH0JjaJbUdp21-y2cPbobDbMjr09BbtdKROZWc/edit#gid=1444865654"",""articles_with_PRISMA_reasons!B2:B2113""))&gt;=2,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$A1618=IMPORTRANGE(""https://docs.google.com/spreadsheets/d/1qpEmbGH0JjaJbUdp21-y2cPbobDbMjr09BbtdKROZWc/edit#gid=1444865654"",""articles_with_PRISMA_reasons!B2:B2113""))&lt;2),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$A1618=IMPORTRANGE(""https://docs.google.com/spreadsheets/d/1qpEmbGH0JjaJbUdp21-y2cPbobDbMjr09Bbtd"&amp;"KROZWc/edit#gid=1444865654"",""articles_with_PRISMA_reasons!B2:B2113""))&lt;2,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$A1618=I"&amp;"MPORTRANGE(""https://docs.google.com/spreadsheets/d/1qpEmbGH0JjaJbUdp21-y2cPbobDbMjr09BbtdKROZWc/edit#gid=1444865654"",""articles_with_PRISMA_reasons!B2:B2113""))&gt;=2),
""Exclude""
)"),"Include")</f>
        <v>Include</v>
      </c>
      <c r="F1618" s="5" t="str">
        <f>IFERROR(__xludf.DUMMYFUNCTION("IFS(
E1618=""Exclude"",""Exclude"",
AND(
COUNTIF(
IMPORTRANGE(""https://docs.google.com/spreadsheets/d/1kGrh75X1cNR1D7_FcY9zMnHP8iPO4M5RCRjy6nZY0TY/edit#gid=0"",""Table 1: Study characteristics!B4:B171""),A1618)&gt;0,
COUNTIF(Studies!$A$2:$A$85,FILTER(IMPORT"&amp;"RANGE(""https://docs.google.com/spreadsheets/d/1kGrh75X1cNR1D7_FcY9zMnHP8iPO4M5RCRjy6nZY0TY/edit#gid=0"",""Table 1: Study characteristics!A4:A171""), $A1618=IMPORTRANGE(""https://docs.google.com/spreadsheets/d/1kGrh75X1cNR1D7_FcY9zMnHP8iPO4M5RCRjy6nZY0TY/"&amp;"edit#gid=0"",""Table 1: Study characteristics!B4:B171"")))&gt;0
),
""Include""
)"),"Include")</f>
        <v>Include</v>
      </c>
      <c r="G1618" s="5" t="str">
        <f>IFERROR(__xludf.DUMMYFUNCTION("IFS(
D1618=""Exclude"",
FILTER(IMPORTRANGE(""https://docs.google.com/spreadsheets/d/1BJSV3WBYJGRhQ6zExamkszQ5VutGIcaQqmbD9ZTVXMQ/edit#gid=1251630045"",""articles_with_PRISMA_reasons!AB2:AB2113""), $A1618=IMPORTRANGE(""https://docs.google.com/spreadsheets/"&amp;"d/1BJSV3WBYJGRhQ6zExamkszQ5VutGIcaQqmbD9ZTVXMQ/edit#gid=1251630045"",""articles_with_PRISMA_reasons!B2:B2113"")),
E1618=""Exclude"",
FILTER(IMPORTRANGE(""https://docs.google.com/spreadsheets/d/1qpEmbGH0JjaJbUdp21-y2cPbobDbMjr09BbtdKROZWc/edit#gid=14448656"&amp;"54"",""articles_with_PRISMA_reasons!Z2:Z2113""), $A1618=IMPORTRANGE(""https://docs.google.com/spreadsheets/d/1qpEmbGH0JjaJbUdp21-y2cPbobDbMjr09BbtdKROZWc/edit#gid=1444865654"",""articles_with_PRISMA_reasons!B2:B2113"")),F1618
=""Include"",FILTER(IMPORTRAN"&amp;"GE(""https://docs.google.com/spreadsheets/d/1kGrh75X1cNR1D7_FcY9zMnHP8iPO4M5RCRjy6nZY0TY/edit#gid=0"",""Table 1: Study characteristics!A4:A171""), $A1618=IMPORTRANGE(""https://docs.google.com/spreadsheets/d/1kGrh75X1cNR1D7_FcY9zMnHP8iPO4M5RCRjy6nZY0TY/edi"&amp;"t#gid=0"",""Table 1: Study characteristics!B4:B171""))
)"),"ID 111")</f>
        <v>ID 111</v>
      </c>
    </row>
    <row r="1619">
      <c r="A1619" s="4" t="str">
        <f>IFERROR(__xludf.DUMMYFUNCTION("""COMPUTED_VALUE"""),"Results of Simultaneous Early Repair and Ventriculoperitoneal Shunt in Infants with Myelomeningocele and Hydrocephalus")</f>
        <v>Results of Simultaneous Early Repair and Ventriculoperitoneal Shunt in Infants with Myelomeningocele and Hydrocephalus</v>
      </c>
      <c r="B1619" s="5" t="str">
        <f>IFERROR(__xludf.DUMMYFUNCTION("LEFT(FILTER(IMPORTRANGE(""https://docs.google.com/spreadsheets/d/1BJSV3WBYJGRhQ6zExamkszQ5VutGIcaQqmbD9ZTVXMQ/edit#gid=1251630045"",""articles_with_PRISMA_reasons!K2:K2113""), $A1619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$A1619=IMPORTRANGE(""https://docs.google.com/spreadsheets/d/1BJSV3WBYJGRhQ6zExamkszQ5VutGIcaQqmbD9ZTVXMQ/edit#gid=1251630045"",""articles_with_PRISMA_reasons!B2:B2113"")))-1)"),"Il-Woo")</f>
        <v>Il-Woo</v>
      </c>
      <c r="C1619" s="6">
        <f>IFERROR(__xludf.DUMMYFUNCTION("FILTER(IMPORTRANGE(""https://docs.google.com/spreadsheets/d/1BJSV3WBYJGRhQ6zExamkszQ5VutGIcaQqmbD9ZTVXMQ/edit#gid=1251630045"",""articles_with_PRISMA_reasons!C2:C2113""), $A1619=IMPORTRANGE(""https://docs.google.com/spreadsheets/d/1BJSV3WBYJGRhQ6zExamkszQ"&amp;"5VutGIcaQqmbD9ZTVXMQ/edit#gid=1251630045"",""articles_with_PRISMA_reasons!B2:B2113""))"),1992.0)</f>
        <v>1992</v>
      </c>
      <c r="D1619" s="5" t="str">
        <f>IFERROR(__xludf.DUMMYFUNCTION("IFS(AND(
FILTER(IMPORTRANGE(""https://docs.google.com/spreadsheets/d/1BJSV3WBYJGRhQ6zExamkszQ5VutGIcaQqmbD9ZTVXMQ/edit#gid=1251630045"",""articles_with_PRISMA_reasons!Y2:Y2113""), $A1619=IMPORTRANGE(""https://docs.google.com/spreadsheets/d/1BJSV3WBYJGRhQ6"&amp;"zExamkszQ5VutGIcaQqmbD9ZTVXMQ/edit#gid=1251630045"",""articles_with_PRISMA_reasons!B2:B2113""))&gt;=2,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$A1619=IMPORTRANGE(""https://docs.google.com/spreadsheets/d/1BJSV3WBYJGRhQ6zExamkszQ5VutGIcaQqmbD9ZTVXMQ/edit#gid=1251630045"",""articles_with_PRISMA_reasons!B2:B2113""))&lt;2),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$A1619=IMPORTRANGE(""https://docs.google.com/spreadsheets/d/1BJSV3WBYJGRhQ6zExamkszQ5VutGIcaQqmbD9ZTVXMQ/edit#gid=1251630045"",""a"&amp;"rticles_with_PRISMA_reasons!B2:B2113""))&lt;2,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$A1619=IMPORTRANGE(""https://docs.google"&amp;".com/spreadsheets/d/1BJSV3WBYJGRhQ6zExamkszQ5VutGIcaQqmbD9ZTVXMQ/edit#gid=1251630045"",""articles_with_PRISMA_reasons!B2:B2113""))&gt;=2),
""Exclude""
)"),"Include")</f>
        <v>Include</v>
      </c>
      <c r="E1619" s="5" t="str">
        <f>IFERROR(__xludf.DUMMYFUNCTION("IFS(
D1619=""Exclude"",""Exclude"",
AND(
FILTER(IMPORTRANGE(""https://docs.google.com/spreadsheets/d/1qpEmbGH0JjaJbUdp21-y2cPbobDbMjr09BbtdKROZWc/edit#gid=1444865654"",""articles_with_PRISMA_reasons!W2:W2113""), $A1619=IMPORTRANGE(""https://docs.google.co"&amp;"m/spreadsheets/d/1qpEmbGH0JjaJbUdp21-y2cPbobDbMjr09BbtdKROZWc/edit#gid=1444865654"",""articles_with_PRISMA_reasons!B2:B2113""))&gt;=2,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$A1619=IMPORTRANGE(""https://docs.google.com/spreadsheets/d/1qpEmbGH0JjaJbUdp21-y2cPbobDbMjr09BbtdKROZWc/edit#gid=1444865654"",""articles_with_PRISMA_reasons!B2:B2113""))&lt;2),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$A1619=IMPORTRANGE(""https://docs.google.com/spreadsheets/d/1qpEmbGH0JjaJbUdp21-y2cPbobDbMjr09Bbtd"&amp;"KROZWc/edit#gid=1444865654"",""articles_with_PRISMA_reasons!B2:B2113""))&lt;2,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$A1619=I"&amp;"MPORTRANGE(""https://docs.google.com/spreadsheets/d/1qpEmbGH0JjaJbUdp21-y2cPbobDbMjr09BbtdKROZWc/edit#gid=1444865654"",""articles_with_PRISMA_reasons!B2:B2113""))&gt;=2),
""Exclude""
)"),"Include")</f>
        <v>Include</v>
      </c>
      <c r="F1619" s="5" t="str">
        <f>IFERROR(__xludf.DUMMYFUNCTION("IFS(
E1619=""Exclude"",""Exclude"",
AND(
COUNTIF(
IMPORTRANGE(""https://docs.google.com/spreadsheets/d/1kGrh75X1cNR1D7_FcY9zMnHP8iPO4M5RCRjy6nZY0TY/edit#gid=0"",""Table 1: Study characteristics!B4:B171""),A1619)&gt;0,
COUNTIF(Studies!$A$2:$A$85,FILTER(IMPORT"&amp;"RANGE(""https://docs.google.com/spreadsheets/d/1kGrh75X1cNR1D7_FcY9zMnHP8iPO4M5RCRjy6nZY0TY/edit#gid=0"",""Table 1: Study characteristics!A4:A171""), $A1619=IMPORTRANGE(""https://docs.google.com/spreadsheets/d/1kGrh75X1cNR1D7_FcY9zMnHP8iPO4M5RCRjy6nZY0TY/"&amp;"edit#gid=0"",""Table 1: Study characteristics!B4:B171"")))&gt;0
),
""Include""
)"),"Include")</f>
        <v>Include</v>
      </c>
      <c r="G1619" s="5" t="str">
        <f>IFERROR(__xludf.DUMMYFUNCTION("IFS(
D1619=""Exclude"",
FILTER(IMPORTRANGE(""https://docs.google.com/spreadsheets/d/1BJSV3WBYJGRhQ6zExamkszQ5VutGIcaQqmbD9ZTVXMQ/edit#gid=1251630045"",""articles_with_PRISMA_reasons!AB2:AB2113""), $A1619=IMPORTRANGE(""https://docs.google.com/spreadsheets/"&amp;"d/1BJSV3WBYJGRhQ6zExamkszQ5VutGIcaQqmbD9ZTVXMQ/edit#gid=1251630045"",""articles_with_PRISMA_reasons!B2:B2113"")),
E1619=""Exclude"",
FILTER(IMPORTRANGE(""https://docs.google.com/spreadsheets/d/1qpEmbGH0JjaJbUdp21-y2cPbobDbMjr09BbtdKROZWc/edit#gid=14448656"&amp;"54"",""articles_with_PRISMA_reasons!Z2:Z2113""), $A1619=IMPORTRANGE(""https://docs.google.com/spreadsheets/d/1qpEmbGH0JjaJbUdp21-y2cPbobDbMjr09BbtdKROZWc/edit#gid=1444865654"",""articles_with_PRISMA_reasons!B2:B2113"")),F1619
=""Include"",FILTER(IMPORTRAN"&amp;"GE(""https://docs.google.com/spreadsheets/d/1kGrh75X1cNR1D7_FcY9zMnHP8iPO4M5RCRjy6nZY0TY/edit#gid=0"",""Table 1: Study characteristics!A4:A171""), $A1619=IMPORTRANGE(""https://docs.google.com/spreadsheets/d/1kGrh75X1cNR1D7_FcY9zMnHP8iPO4M5RCRjy6nZY0TY/edi"&amp;"t#gid=0"",""Table 1: Study characteristics!B4:B171""))
)"),"ID 112")</f>
        <v>ID 112</v>
      </c>
    </row>
    <row r="1620">
      <c r="A1620" s="4" t="str">
        <f>IFERROR(__xludf.DUMMYFUNCTION("""COMPUTED_VALUE"""),"Results of surgical treatment of myelomeningocele")</f>
        <v>Results of surgical treatment of myelomeningocele</v>
      </c>
      <c r="B1620" s="5" t="str">
        <f>IFERROR(__xludf.DUMMYFUNCTION("LEFT(FILTER(IMPORTRANGE(""https://docs.google.com/spreadsheets/d/1BJSV3WBYJGRhQ6zExamkszQ5VutGIcaQqmbD9ZTVXMQ/edit#gid=1251630045"",""articles_with_PRISMA_reasons!K2:K2113""), $A1620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$A1620=IMPORTRANGE(""https://docs.google.com/spreadsheets/d/1BJSV3WBYJGRhQ6zExamkszQ5VutGIcaQqmbD9ZTVXMQ/edit#gid=1251630045"",""articles_with_PRISMA_reasons!B2:B2113"")))-1)"),"Matuszczak")</f>
        <v>Matuszczak</v>
      </c>
      <c r="C1620" s="6">
        <f>IFERROR(__xludf.DUMMYFUNCTION("FILTER(IMPORTRANGE(""https://docs.google.com/spreadsheets/d/1BJSV3WBYJGRhQ6zExamkszQ5VutGIcaQqmbD9ZTVXMQ/edit#gid=1251630045"",""articles_with_PRISMA_reasons!C2:C2113""), $A1620=IMPORTRANGE(""https://docs.google.com/spreadsheets/d/1BJSV3WBYJGRhQ6zExamkszQ"&amp;"5VutGIcaQqmbD9ZTVXMQ/edit#gid=1251630045"",""articles_with_PRISMA_reasons!B2:B2113""))"),2006.0)</f>
        <v>2006</v>
      </c>
      <c r="D1620" s="5" t="str">
        <f>IFERROR(__xludf.DUMMYFUNCTION("IFS(AND(
FILTER(IMPORTRANGE(""https://docs.google.com/spreadsheets/d/1BJSV3WBYJGRhQ6zExamkszQ5VutGIcaQqmbD9ZTVXMQ/edit#gid=1251630045"",""articles_with_PRISMA_reasons!Y2:Y2113""), $A1620=IMPORTRANGE(""https://docs.google.com/spreadsheets/d/1BJSV3WBYJGRhQ6"&amp;"zExamkszQ5VutGIcaQqmbD9ZTVXMQ/edit#gid=1251630045"",""articles_with_PRISMA_reasons!B2:B2113""))&gt;=2,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$A1620=IMPORTRANGE(""https://docs.google.com/spreadsheets/d/1BJSV3WBYJGRhQ6zExamkszQ5VutGIcaQqmbD9ZTVXMQ/edit#gid=1251630045"",""articles_with_PRISMA_reasons!B2:B2113""))&lt;2),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$A1620=IMPORTRANGE(""https://docs.google.com/spreadsheets/d/1BJSV3WBYJGRhQ6zExamkszQ5VutGIcaQqmbD9ZTVXMQ/edit#gid=1251630045"",""a"&amp;"rticles_with_PRISMA_reasons!B2:B2113""))&lt;2,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$A1620=IMPORTRANGE(""https://docs.google"&amp;".com/spreadsheets/d/1BJSV3WBYJGRhQ6zExamkszQ5VutGIcaQqmbD9ZTVXMQ/edit#gid=1251630045"",""articles_with_PRISMA_reasons!B2:B2113""))&gt;=2),
""Exclude""
)"),"Exclude")</f>
        <v>Exclude</v>
      </c>
      <c r="E1620" s="5" t="str">
        <f>IFERROR(__xludf.DUMMYFUNCTION("IFS(
D1620=""Exclude"",""Exclude"",
AND(
FILTER(IMPORTRANGE(""https://docs.google.com/spreadsheets/d/1qpEmbGH0JjaJbUdp21-y2cPbobDbMjr09BbtdKROZWc/edit#gid=1444865654"",""articles_with_PRISMA_reasons!W2:W2113""), $A1620=IMPORTRANGE(""https://docs.google.co"&amp;"m/spreadsheets/d/1qpEmbGH0JjaJbUdp21-y2cPbobDbMjr09BbtdKROZWc/edit#gid=1444865654"",""articles_with_PRISMA_reasons!B2:B2113""))&gt;=2,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$A1620=IMPORTRANGE(""https://docs.google.com/spreadsheets/d/1qpEmbGH0JjaJbUdp21-y2cPbobDbMjr09BbtdKROZWc/edit#gid=1444865654"",""articles_with_PRISMA_reasons!B2:B2113""))&lt;2),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$A1620=IMPORTRANGE(""https://docs.google.com/spreadsheets/d/1qpEmbGH0JjaJbUdp21-y2cPbobDbMjr09Bbtd"&amp;"KROZWc/edit#gid=1444865654"",""articles_with_PRISMA_reasons!B2:B2113""))&lt;2,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$A1620=I"&amp;"MPORTRANGE(""https://docs.google.com/spreadsheets/d/1qpEmbGH0JjaJbUdp21-y2cPbobDbMjr09BbtdKROZWc/edit#gid=1444865654"",""articles_with_PRISMA_reasons!B2:B2113""))&gt;=2),
""Exclude""
)"),"Exclude")</f>
        <v>Exclude</v>
      </c>
      <c r="F1620" s="5" t="str">
        <f>IFERROR(__xludf.DUMMYFUNCTION("IFS(
E1620=""Exclude"",""Exclude"",
AND(
COUNTIF(
IMPORTRANGE(""https://docs.google.com/spreadsheets/d/1kGrh75X1cNR1D7_FcY9zMnHP8iPO4M5RCRjy6nZY0TY/edit#gid=0"",""Table 1: Study characteristics!B4:B171""),A1620)&gt;0,
COUNTIF(Studies!$A$2:$A$85,FILTER(IMPORT"&amp;"RANGE(""https://docs.google.com/spreadsheets/d/1kGrh75X1cNR1D7_FcY9zMnHP8iPO4M5RCRjy6nZY0TY/edit#gid=0"",""Table 1: Study characteristics!A4:A171""), $A1620=IMPORTRANGE(""https://docs.google.com/spreadsheets/d/1kGrh75X1cNR1D7_FcY9zMnHP8iPO4M5RCRjy6nZY0TY/"&amp;"edit#gid=0"",""Table 1: Study characteristics!B4:B171"")))&gt;0
),
""Include""
)"),"Exclude")</f>
        <v>Exclude</v>
      </c>
      <c r="G1620" s="5" t="str">
        <f>IFERROR(__xludf.DUMMYFUNCTION("IFS(
D1620=""Exclude"",
FILTER(IMPORTRANGE(""https://docs.google.com/spreadsheets/d/1BJSV3WBYJGRhQ6zExamkszQ5VutGIcaQqmbD9ZTVXMQ/edit#gid=1251630045"",""articles_with_PRISMA_reasons!AB2:AB2113""), $A1620=IMPORTRANGE(""https://docs.google.com/spreadsheets/"&amp;"d/1BJSV3WBYJGRhQ6zExamkszQ5VutGIcaQqmbD9ZTVXMQ/edit#gid=1251630045"",""articles_with_PRISMA_reasons!B2:B2113"")),
E1620=""Exclude"",
FILTER(IMPORTRANGE(""https://docs.google.com/spreadsheets/d/1qpEmbGH0JjaJbUdp21-y2cPbobDbMjr09BbtdKROZWc/edit#gid=14448656"&amp;"54"",""articles_with_PRISMA_reasons!Z2:Z2113""), $A1620=IMPORTRANGE(""https://docs.google.com/spreadsheets/d/1qpEmbGH0JjaJbUdp21-y2cPbobDbMjr09BbtdKROZWc/edit#gid=1444865654"",""articles_with_PRISMA_reasons!B2:B2113"")),F1620
=""Include"",FILTER(IMPORTRAN"&amp;"GE(""https://docs.google.com/spreadsheets/d/1kGrh75X1cNR1D7_FcY9zMnHP8iPO4M5RCRjy6nZY0TY/edit#gid=0"",""Table 1: Study characteristics!A4:A171""), $A1620=IMPORTRANGE(""https://docs.google.com/spreadsheets/d/1kGrh75X1cNR1D7_FcY9zMnHP8iPO4M5RCRjy6nZY0TY/edi"&amp;"t#gid=0"",""Table 1: Study characteristics!B4:B171""))
)"),"wrong population")</f>
        <v>wrong population</v>
      </c>
    </row>
    <row r="1621">
      <c r="A1621" s="4" t="str">
        <f>IFERROR(__xludf.DUMMYFUNCTION("""COMPUTED_VALUE"""),"Results of the treatment of hydrocephalus with ventriculo-jugular shunts")</f>
        <v>Results of the treatment of hydrocephalus with ventriculo-jugular shunts</v>
      </c>
      <c r="B1621" s="5" t="str">
        <f>IFERROR(__xludf.DUMMYFUNCTION("LEFT(FILTER(IMPORTRANGE(""https://docs.google.com/spreadsheets/d/1BJSV3WBYJGRhQ6zExamkszQ5VutGIcaQqmbD9ZTVXMQ/edit#gid=1251630045"",""articles_with_PRISMA_reasons!K2:K2113""), $A1621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$A1621=IMPORTRANGE(""https://docs.google.com/spreadsheets/d/1BJSV3WBYJGRhQ6zExamkszQ5VutGIcaQqmbD9ZTVXMQ/edit#gid=1251630045"",""articles_with_PRISMA_reasons!B2:B2113"")))-1)"),"Beks")</f>
        <v>Beks</v>
      </c>
      <c r="C1621" s="6">
        <f>IFERROR(__xludf.DUMMYFUNCTION("FILTER(IMPORTRANGE(""https://docs.google.com/spreadsheets/d/1BJSV3WBYJGRhQ6zExamkszQ5VutGIcaQqmbD9ZTVXMQ/edit#gid=1251630045"",""articles_with_PRISMA_reasons!C2:C2113""), $A1621=IMPORTRANGE(""https://docs.google.com/spreadsheets/d/1BJSV3WBYJGRhQ6zExamkszQ"&amp;"5VutGIcaQqmbD9ZTVXMQ/edit#gid=1251630045"",""articles_with_PRISMA_reasons!B2:B2113""))"),1975.0)</f>
        <v>1975</v>
      </c>
      <c r="D1621" s="5" t="str">
        <f>IFERROR(__xludf.DUMMYFUNCTION("IFS(AND(
FILTER(IMPORTRANGE(""https://docs.google.com/spreadsheets/d/1BJSV3WBYJGRhQ6zExamkszQ5VutGIcaQqmbD9ZTVXMQ/edit#gid=1251630045"",""articles_with_PRISMA_reasons!Y2:Y2113""), $A1621=IMPORTRANGE(""https://docs.google.com/spreadsheets/d/1BJSV3WBYJGRhQ6"&amp;"zExamkszQ5VutGIcaQqmbD9ZTVXMQ/edit#gid=1251630045"",""articles_with_PRISMA_reasons!B2:B2113""))&gt;=2,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$A1621=IMPORTRANGE(""https://docs.google.com/spreadsheets/d/1BJSV3WBYJGRhQ6zExamkszQ5VutGIcaQqmbD9ZTVXMQ/edit#gid=1251630045"",""articles_with_PRISMA_reasons!B2:B2113""))&lt;2),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$A1621=IMPORTRANGE(""https://docs.google.com/spreadsheets/d/1BJSV3WBYJGRhQ6zExamkszQ5VutGIcaQqmbD9ZTVXMQ/edit#gid=1251630045"",""a"&amp;"rticles_with_PRISMA_reasons!B2:B2113""))&lt;2,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$A1621=IMPORTRANGE(""https://docs.google"&amp;".com/spreadsheets/d/1BJSV3WBYJGRhQ6zExamkszQ5VutGIcaQqmbD9ZTVXMQ/edit#gid=1251630045"",""articles_with_PRISMA_reasons!B2:B2113""))&gt;=2),
""Exclude""
)"),"Exclude")</f>
        <v>Exclude</v>
      </c>
      <c r="E1621" s="5" t="str">
        <f>IFERROR(__xludf.DUMMYFUNCTION("IFS(
D1621=""Exclude"",""Exclude"",
AND(
FILTER(IMPORTRANGE(""https://docs.google.com/spreadsheets/d/1qpEmbGH0JjaJbUdp21-y2cPbobDbMjr09BbtdKROZWc/edit#gid=1444865654"",""articles_with_PRISMA_reasons!W2:W2113""), $A1621=IMPORTRANGE(""https://docs.google.co"&amp;"m/spreadsheets/d/1qpEmbGH0JjaJbUdp21-y2cPbobDbMjr09BbtdKROZWc/edit#gid=1444865654"",""articles_with_PRISMA_reasons!B2:B2113""))&gt;=2,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$A1621=IMPORTRANGE(""https://docs.google.com/spreadsheets/d/1qpEmbGH0JjaJbUdp21-y2cPbobDbMjr09BbtdKROZWc/edit#gid=1444865654"",""articles_with_PRISMA_reasons!B2:B2113""))&lt;2),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$A1621=IMPORTRANGE(""https://docs.google.com/spreadsheets/d/1qpEmbGH0JjaJbUdp21-y2cPbobDbMjr09Bbtd"&amp;"KROZWc/edit#gid=1444865654"",""articles_with_PRISMA_reasons!B2:B2113""))&lt;2,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$A1621=I"&amp;"MPORTRANGE(""https://docs.google.com/spreadsheets/d/1qpEmbGH0JjaJbUdp21-y2cPbobDbMjr09BbtdKROZWc/edit#gid=1444865654"",""articles_with_PRISMA_reasons!B2:B2113""))&gt;=2),
""Exclude""
)"),"Exclude")</f>
        <v>Exclude</v>
      </c>
      <c r="F1621" s="5" t="str">
        <f>IFERROR(__xludf.DUMMYFUNCTION("IFS(
E1621=""Exclude"",""Exclude"",
AND(
COUNTIF(
IMPORTRANGE(""https://docs.google.com/spreadsheets/d/1kGrh75X1cNR1D7_FcY9zMnHP8iPO4M5RCRjy6nZY0TY/edit#gid=0"",""Table 1: Study characteristics!B4:B171""),A1621)&gt;0,
COUNTIF(Studies!$A$2:$A$85,FILTER(IMPORT"&amp;"RANGE(""https://docs.google.com/spreadsheets/d/1kGrh75X1cNR1D7_FcY9zMnHP8iPO4M5RCRjy6nZY0TY/edit#gid=0"",""Table 1: Study characteristics!A4:A171""), $A1621=IMPORTRANGE(""https://docs.google.com/spreadsheets/d/1kGrh75X1cNR1D7_FcY9zMnHP8iPO4M5RCRjy6nZY0TY/"&amp;"edit#gid=0"",""Table 1: Study characteristics!B4:B171"")))&gt;0
),
""Include""
)"),"Exclude")</f>
        <v>Exclude</v>
      </c>
      <c r="G1621" s="5" t="str">
        <f>IFERROR(__xludf.DUMMYFUNCTION("IFS(
D1621=""Exclude"",
FILTER(IMPORTRANGE(""https://docs.google.com/spreadsheets/d/1BJSV3WBYJGRhQ6zExamkszQ5VutGIcaQqmbD9ZTVXMQ/edit#gid=1251630045"",""articles_with_PRISMA_reasons!AB2:AB2113""), $A1621=IMPORTRANGE(""https://docs.google.com/spreadsheets/"&amp;"d/1BJSV3WBYJGRhQ6zExamkszQ5VutGIcaQqmbD9ZTVXMQ/edit#gid=1251630045"",""articles_with_PRISMA_reasons!B2:B2113"")),
E1621=""Exclude"",
FILTER(IMPORTRANGE(""https://docs.google.com/spreadsheets/d/1qpEmbGH0JjaJbUdp21-y2cPbobDbMjr09BbtdKROZWc/edit#gid=14448656"&amp;"54"",""articles_with_PRISMA_reasons!Z2:Z2113""), $A1621=IMPORTRANGE(""https://docs.google.com/spreadsheets/d/1qpEmbGH0JjaJbUdp21-y2cPbobDbMjr09BbtdKROZWc/edit#gid=1444865654"",""articles_with_PRISMA_reasons!B2:B2113"")),F1621
=""Include"",FILTER(IMPORTRAN"&amp;"GE(""https://docs.google.com/spreadsheets/d/1kGrh75X1cNR1D7_FcY9zMnHP8iPO4M5RCRjy6nZY0TY/edit#gid=0"",""Table 1: Study characteristics!A4:A171""), $A1621=IMPORTRANGE(""https://docs.google.com/spreadsheets/d/1kGrh75X1cNR1D7_FcY9zMnHP8iPO4M5RCRjy6nZY0TY/edi"&amp;"t#gid=0"",""Table 1: Study characteristics!B4:B171""))
)"),"wrong population")</f>
        <v>wrong population</v>
      </c>
    </row>
    <row r="1622">
      <c r="A1622" s="4" t="str">
        <f>IFERROR(__xludf.DUMMYFUNCTION("""COMPUTED_VALUE"""),"Results of treatment of 171 consecutive myelomeningoceles, 1963 to 1968")</f>
        <v>Results of treatment of 171 consecutive myelomeningoceles, 1963 to 1968</v>
      </c>
      <c r="B1622" s="5" t="str">
        <f>IFERROR(__xludf.DUMMYFUNCTION("LEFT(FILTER(IMPORTRANGE(""https://docs.google.com/spreadsheets/d/1BJSV3WBYJGRhQ6zExamkszQ5VutGIcaQqmbD9ZTVXMQ/edit#gid=1251630045"",""articles_with_PRISMA_reasons!K2:K2113""), $A1622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$A1622=IMPORTRANGE(""https://docs.google.com/spreadsheets/d/1BJSV3WBYJGRhQ6zExamkszQ5VutGIcaQqmbD9ZTVXMQ/edit#gid=1251630045"",""articles_with_PRISMA_reasons!B2:B2113"")))-1)"),"Ames")</f>
        <v>Ames</v>
      </c>
      <c r="C1622" s="6" t="str">
        <f>IFERROR(__xludf.DUMMYFUNCTION("FILTER(IMPORTRANGE(""https://docs.google.com/spreadsheets/d/1BJSV3WBYJGRhQ6zExamkszQ5VutGIcaQqmbD9ZTVXMQ/edit#gid=1251630045"",""articles_with_PRISMA_reasons!C2:C2113""), $A1622=IMPORTRANGE(""https://docs.google.com/spreadsheets/d/1BJSV3WBYJGRhQ6zExamkszQ"&amp;"5VutGIcaQqmbD9ZTVXMQ/edit#gid=1251630045"",""articles_with_PRISMA_reasons!B2:B2113""))"),"Sep")</f>
        <v>Sep</v>
      </c>
      <c r="D1622" s="5" t="str">
        <f>IFERROR(__xludf.DUMMYFUNCTION("IFS(AND(
FILTER(IMPORTRANGE(""https://docs.google.com/spreadsheets/d/1BJSV3WBYJGRhQ6zExamkszQ5VutGIcaQqmbD9ZTVXMQ/edit#gid=1251630045"",""articles_with_PRISMA_reasons!Y2:Y2113""), $A1622=IMPORTRANGE(""https://docs.google.com/spreadsheets/d/1BJSV3WBYJGRhQ6"&amp;"zExamkszQ5VutGIcaQqmbD9ZTVXMQ/edit#gid=1251630045"",""articles_with_PRISMA_reasons!B2:B2113""))&gt;=2,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$A1622=IMPORTRANGE(""https://docs.google.com/spreadsheets/d/1BJSV3WBYJGRhQ6zExamkszQ5VutGIcaQqmbD9ZTVXMQ/edit#gid=1251630045"",""articles_with_PRISMA_reasons!B2:B2113""))&lt;2),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$A1622=IMPORTRANGE(""https://docs.google.com/spreadsheets/d/1BJSV3WBYJGRhQ6zExamkszQ5VutGIcaQqmbD9ZTVXMQ/edit#gid=1251630045"",""a"&amp;"rticles_with_PRISMA_reasons!B2:B2113""))&lt;2,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$A1622=IMPORTRANGE(""https://docs.google"&amp;".com/spreadsheets/d/1BJSV3WBYJGRhQ6zExamkszQ5VutGIcaQqmbD9ZTVXMQ/edit#gid=1251630045"",""articles_with_PRISMA_reasons!B2:B2113""))&gt;=2),
""Exclude""
)"),"Include")</f>
        <v>Include</v>
      </c>
      <c r="E1622" s="5" t="str">
        <f>IFERROR(__xludf.DUMMYFUNCTION("IFS(
D1622=""Exclude"",""Exclude"",
AND(
FILTER(IMPORTRANGE(""https://docs.google.com/spreadsheets/d/1qpEmbGH0JjaJbUdp21-y2cPbobDbMjr09BbtdKROZWc/edit#gid=1444865654"",""articles_with_PRISMA_reasons!W2:W2113""), $A1622=IMPORTRANGE(""https://docs.google.co"&amp;"m/spreadsheets/d/1qpEmbGH0JjaJbUdp21-y2cPbobDbMjr09BbtdKROZWc/edit#gid=1444865654"",""articles_with_PRISMA_reasons!B2:B2113""))&gt;=2,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$A1622=IMPORTRANGE(""https://docs.google.com/spreadsheets/d/1qpEmbGH0JjaJbUdp21-y2cPbobDbMjr09BbtdKROZWc/edit#gid=1444865654"",""articles_with_PRISMA_reasons!B2:B2113""))&lt;2),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$A1622=IMPORTRANGE(""https://docs.google.com/spreadsheets/d/1qpEmbGH0JjaJbUdp21-y2cPbobDbMjr09Bbtd"&amp;"KROZWc/edit#gid=1444865654"",""articles_with_PRISMA_reasons!B2:B2113""))&lt;2,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$A1622=I"&amp;"MPORTRANGE(""https://docs.google.com/spreadsheets/d/1qpEmbGH0JjaJbUdp21-y2cPbobDbMjr09BbtdKROZWc/edit#gid=1444865654"",""articles_with_PRISMA_reasons!B2:B2113""))&gt;=2),
""Exclude""
)"),"Exclude")</f>
        <v>Exclude</v>
      </c>
      <c r="F1622" s="5" t="str">
        <f>IFERROR(__xludf.DUMMYFUNCTION("IFS(
E1622=""Exclude"",""Exclude"",
AND(
COUNTIF(
IMPORTRANGE(""https://docs.google.com/spreadsheets/d/1kGrh75X1cNR1D7_FcY9zMnHP8iPO4M5RCRjy6nZY0TY/edit#gid=0"",""Table 1: Study characteristics!B4:B171""),A1622)&gt;0,
COUNTIF(Studies!$A$2:$A$85,FILTER(IMPORT"&amp;"RANGE(""https://docs.google.com/spreadsheets/d/1kGrh75X1cNR1D7_FcY9zMnHP8iPO4M5RCRjy6nZY0TY/edit#gid=0"",""Table 1: Study characteristics!A4:A171""), $A1622=IMPORTRANGE(""https://docs.google.com/spreadsheets/d/1kGrh75X1cNR1D7_FcY9zMnHP8iPO4M5RCRjy6nZY0TY/"&amp;"edit#gid=0"",""Table 1: Study characteristics!B4:B171"")))&gt;0
),
""Include""
)"),"Exclude")</f>
        <v>Exclude</v>
      </c>
      <c r="G1622" s="5" t="str">
        <f>IFERROR(__xludf.DUMMYFUNCTION("IFS(
D1622=""Exclude"",
FILTER(IMPORTRANGE(""https://docs.google.com/spreadsheets/d/1BJSV3WBYJGRhQ6zExamkszQ5VutGIcaQqmbD9ZTVXMQ/edit#gid=1251630045"",""articles_with_PRISMA_reasons!AB2:AB2113""), $A1622=IMPORTRANGE(""https://docs.google.com/spreadsheets/"&amp;"d/1BJSV3WBYJGRhQ6zExamkszQ5VutGIcaQqmbD9ZTVXMQ/edit#gid=1251630045"",""articles_with_PRISMA_reasons!B2:B2113"")),
E1622=""Exclude"",
FILTER(IMPORTRANGE(""https://docs.google.com/spreadsheets/d/1qpEmbGH0JjaJbUdp21-y2cPbobDbMjr09BbtdKROZWc/edit#gid=14448656"&amp;"54"",""articles_with_PRISMA_reasons!Z2:Z2113""), $A1622=IMPORTRANGE(""https://docs.google.com/spreadsheets/d/1qpEmbGH0JjaJbUdp21-y2cPbobDbMjr09BbtdKROZWc/edit#gid=1444865654"",""articles_with_PRISMA_reasons!B2:B2113"")),F1622
=""Include"",FILTER(IMPORTRAN"&amp;"GE(""https://docs.google.com/spreadsheets/d/1kGrh75X1cNR1D7_FcY9zMnHP8iPO4M5RCRjy6nZY0TY/edit#gid=0"",""Table 1: Study characteristics!A4:A171""), $A1622=IMPORTRANGE(""https://docs.google.com/spreadsheets/d/1kGrh75X1cNR1D7_FcY9zMnHP8iPO4M5RCRjy6nZY0TY/edi"&amp;"t#gid=0"",""Table 1: Study characteristics!B4:B171""))
)"),"Full text unavailable")</f>
        <v>Full text unavailable</v>
      </c>
    </row>
    <row r="1623">
      <c r="A1623" s="4" t="str">
        <f>IFERROR(__xludf.DUMMYFUNCTION("""COMPUTED_VALUE"""),"Results of treatment of children born with a myelomeningocele")</f>
        <v>Results of treatment of children born with a myelomeningocele</v>
      </c>
      <c r="B1623" s="5" t="str">
        <f>IFERROR(__xludf.DUMMYFUNCTION("LEFT(FILTER(IMPORTRANGE(""https://docs.google.com/spreadsheets/d/1BJSV3WBYJGRhQ6zExamkszQ5VutGIcaQqmbD9ZTVXMQ/edit#gid=1251630045"",""articles_with_PRISMA_reasons!K2:K2113""), $A1623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$A1623=IMPORTRANGE(""https://docs.google.com/spreadsheets/d/1BJSV3WBYJGRhQ6zExamkszQ5VutGIcaQqmbD9ZTVXMQ/edit#gid=1251630045"",""articles_with_PRISMA_reasons!B2:B2113"")))-1)"),"McLone")</f>
        <v>McLone</v>
      </c>
      <c r="C1623" s="6">
        <f>IFERROR(__xludf.DUMMYFUNCTION("FILTER(IMPORTRANGE(""https://docs.google.com/spreadsheets/d/1BJSV3WBYJGRhQ6zExamkszQ5VutGIcaQqmbD9ZTVXMQ/edit#gid=1251630045"",""articles_with_PRISMA_reasons!C2:C2113""), $A1623=IMPORTRANGE(""https://docs.google.com/spreadsheets/d/1BJSV3WBYJGRhQ6zExamkszQ"&amp;"5VutGIcaQqmbD9ZTVXMQ/edit#gid=1251630045"",""articles_with_PRISMA_reasons!B2:B2113""))"),1983.0)</f>
        <v>1983</v>
      </c>
      <c r="D1623" s="5" t="str">
        <f>IFERROR(__xludf.DUMMYFUNCTION("IFS(AND(
FILTER(IMPORTRANGE(""https://docs.google.com/spreadsheets/d/1BJSV3WBYJGRhQ6zExamkszQ5VutGIcaQqmbD9ZTVXMQ/edit#gid=1251630045"",""articles_with_PRISMA_reasons!Y2:Y2113""), $A1623=IMPORTRANGE(""https://docs.google.com/spreadsheets/d/1BJSV3WBYJGRhQ6"&amp;"zExamkszQ5VutGIcaQqmbD9ZTVXMQ/edit#gid=1251630045"",""articles_with_PRISMA_reasons!B2:B2113""))&gt;=2,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$A1623=IMPORTRANGE(""https://docs.google.com/spreadsheets/d/1BJSV3WBYJGRhQ6zExamkszQ5VutGIcaQqmbD9ZTVXMQ/edit#gid=1251630045"",""articles_with_PRISMA_reasons!B2:B2113""))&lt;2),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$A1623=IMPORTRANGE(""https://docs.google.com/spreadsheets/d/1BJSV3WBYJGRhQ6zExamkszQ5VutGIcaQqmbD9ZTVXMQ/edit#gid=1251630045"",""a"&amp;"rticles_with_PRISMA_reasons!B2:B2113""))&lt;2,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$A1623=IMPORTRANGE(""https://docs.google"&amp;".com/spreadsheets/d/1BJSV3WBYJGRhQ6zExamkszQ5VutGIcaQqmbD9ZTVXMQ/edit#gid=1251630045"",""articles_with_PRISMA_reasons!B2:B2113""))&gt;=2),
""Exclude""
)"),"Exclude")</f>
        <v>Exclude</v>
      </c>
      <c r="E1623" s="5" t="str">
        <f>IFERROR(__xludf.DUMMYFUNCTION("IFS(
D1623=""Exclude"",""Exclude"",
AND(
FILTER(IMPORTRANGE(""https://docs.google.com/spreadsheets/d/1qpEmbGH0JjaJbUdp21-y2cPbobDbMjr09BbtdKROZWc/edit#gid=1444865654"",""articles_with_PRISMA_reasons!W2:W2113""), $A1623=IMPORTRANGE(""https://docs.google.co"&amp;"m/spreadsheets/d/1qpEmbGH0JjaJbUdp21-y2cPbobDbMjr09BbtdKROZWc/edit#gid=1444865654"",""articles_with_PRISMA_reasons!B2:B2113""))&gt;=2,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$A1623=IMPORTRANGE(""https://docs.google.com/spreadsheets/d/1qpEmbGH0JjaJbUdp21-y2cPbobDbMjr09BbtdKROZWc/edit#gid=1444865654"",""articles_with_PRISMA_reasons!B2:B2113""))&lt;2),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$A1623=IMPORTRANGE(""https://docs.google.com/spreadsheets/d/1qpEmbGH0JjaJbUdp21-y2cPbobDbMjr09Bbtd"&amp;"KROZWc/edit#gid=1444865654"",""articles_with_PRISMA_reasons!B2:B2113""))&lt;2,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$A1623=I"&amp;"MPORTRANGE(""https://docs.google.com/spreadsheets/d/1qpEmbGH0JjaJbUdp21-y2cPbobDbMjr09BbtdKROZWc/edit#gid=1444865654"",""articles_with_PRISMA_reasons!B2:B2113""))&gt;=2),
""Exclude""
)"),"Exclude")</f>
        <v>Exclude</v>
      </c>
      <c r="F1623" s="5" t="str">
        <f>IFERROR(__xludf.DUMMYFUNCTION("IFS(
E1623=""Exclude"",""Exclude"",
AND(
COUNTIF(
IMPORTRANGE(""https://docs.google.com/spreadsheets/d/1kGrh75X1cNR1D7_FcY9zMnHP8iPO4M5RCRjy6nZY0TY/edit#gid=0"",""Table 1: Study characteristics!B4:B171""),A1623)&gt;0,
COUNTIF(Studies!$A$2:$A$85,FILTER(IMPORT"&amp;"RANGE(""https://docs.google.com/spreadsheets/d/1kGrh75X1cNR1D7_FcY9zMnHP8iPO4M5RCRjy6nZY0TY/edit#gid=0"",""Table 1: Study characteristics!A4:A171""), $A1623=IMPORTRANGE(""https://docs.google.com/spreadsheets/d/1kGrh75X1cNR1D7_FcY9zMnHP8iPO4M5RCRjy6nZY0TY/"&amp;"edit#gid=0"",""Table 1: Study characteristics!B4:B171"")))&gt;0
),
""Include""
)"),"Exclude")</f>
        <v>Exclude</v>
      </c>
      <c r="G1623" s="5" t="str">
        <f>IFERROR(__xludf.DUMMYFUNCTION("IFS(
D1623=""Exclude"",
FILTER(IMPORTRANGE(""https://docs.google.com/spreadsheets/d/1BJSV3WBYJGRhQ6zExamkszQ5VutGIcaQqmbD9ZTVXMQ/edit#gid=1251630045"",""articles_with_PRISMA_reasons!AB2:AB2113""), $A1623=IMPORTRANGE(""https://docs.google.com/spreadsheets/"&amp;"d/1BJSV3WBYJGRhQ6zExamkszQ5VutGIcaQqmbD9ZTVXMQ/edit#gid=1251630045"",""articles_with_PRISMA_reasons!B2:B2113"")),
E1623=""Exclude"",
FILTER(IMPORTRANGE(""https://docs.google.com/spreadsheets/d/1qpEmbGH0JjaJbUdp21-y2cPbobDbMjr09BbtdKROZWc/edit#gid=14448656"&amp;"54"",""articles_with_PRISMA_reasons!Z2:Z2113""), $A1623=IMPORTRANGE(""https://docs.google.com/spreadsheets/d/1qpEmbGH0JjaJbUdp21-y2cPbobDbMjr09BbtdKROZWc/edit#gid=1444865654"",""articles_with_PRISMA_reasons!B2:B2113"")),F1623
=""Include"",FILTER(IMPORTRAN"&amp;"GE(""https://docs.google.com/spreadsheets/d/1kGrh75X1cNR1D7_FcY9zMnHP8iPO4M5RCRjy6nZY0TY/edit#gid=0"",""Table 1: Study characteristics!A4:A171""), $A1623=IMPORTRANGE(""https://docs.google.com/spreadsheets/d/1kGrh75X1cNR1D7_FcY9zMnHP8iPO4M5RCRjy6nZY0TY/edi"&amp;"t#gid=0"",""Table 1: Study characteristics!B4:B171""))
)"),"wrong population")</f>
        <v>wrong population</v>
      </c>
    </row>
    <row r="1624">
      <c r="A1624" s="4" t="str">
        <f>IFERROR(__xludf.DUMMYFUNCTION("""COMPUTED_VALUE"""),"Results of treatment of myelomeningocele. An analysis of 524 unselected cases, with special reference to possible selection for treatment")</f>
        <v>Results of treatment of myelomeningocele. An analysis of 524 unselected cases, with special reference to possible selection for treatment</v>
      </c>
      <c r="B1624" s="5" t="str">
        <f>IFERROR(__xludf.DUMMYFUNCTION("LEFT(FILTER(IMPORTRANGE(""https://docs.google.com/spreadsheets/d/1BJSV3WBYJGRhQ6zExamkszQ5VutGIcaQqmbD9ZTVXMQ/edit#gid=1251630045"",""articles_with_PRISMA_reasons!K2:K2113""), $A1624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$A1624=IMPORTRANGE(""https://docs.google.com/spreadsheets/d/1BJSV3WBYJGRhQ6zExamkszQ5VutGIcaQqmbD9ZTVXMQ/edit#gid=1251630045"",""articles_with_PRISMA_reasons!B2:B2113"")))-1)"),"Lorber")</f>
        <v>Lorber</v>
      </c>
      <c r="C1624" s="6">
        <f>IFERROR(__xludf.DUMMYFUNCTION("FILTER(IMPORTRANGE(""https://docs.google.com/spreadsheets/d/1BJSV3WBYJGRhQ6zExamkszQ5VutGIcaQqmbD9ZTVXMQ/edit#gid=1251630045"",""articles_with_PRISMA_reasons!C2:C2113""), $A1624=IMPORTRANGE(""https://docs.google.com/spreadsheets/d/1BJSV3WBYJGRhQ6zExamkszQ"&amp;"5VutGIcaQqmbD9ZTVXMQ/edit#gid=1251630045"",""articles_with_PRISMA_reasons!B2:B2113""))"),1971.0)</f>
        <v>1971</v>
      </c>
      <c r="D1624" s="5" t="str">
        <f>IFERROR(__xludf.DUMMYFUNCTION("IFS(AND(
FILTER(IMPORTRANGE(""https://docs.google.com/spreadsheets/d/1BJSV3WBYJGRhQ6zExamkszQ5VutGIcaQqmbD9ZTVXMQ/edit#gid=1251630045"",""articles_with_PRISMA_reasons!Y2:Y2113""), $A1624=IMPORTRANGE(""https://docs.google.com/spreadsheets/d/1BJSV3WBYJGRhQ6"&amp;"zExamkszQ5VutGIcaQqmbD9ZTVXMQ/edit#gid=1251630045"",""articles_with_PRISMA_reasons!B2:B2113""))&gt;=2,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$A1624=IMPORTRANGE(""https://docs.google.com/spreadsheets/d/1BJSV3WBYJGRhQ6zExamkszQ5VutGIcaQqmbD9ZTVXMQ/edit#gid=1251630045"",""articles_with_PRISMA_reasons!B2:B2113""))&lt;2),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$A1624=IMPORTRANGE(""https://docs.google.com/spreadsheets/d/1BJSV3WBYJGRhQ6zExamkszQ5VutGIcaQqmbD9ZTVXMQ/edit#gid=1251630045"",""a"&amp;"rticles_with_PRISMA_reasons!B2:B2113""))&lt;2,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$A1624=IMPORTRANGE(""https://docs.google"&amp;".com/spreadsheets/d/1BJSV3WBYJGRhQ6zExamkszQ5VutGIcaQqmbD9ZTVXMQ/edit#gid=1251630045"",""articles_with_PRISMA_reasons!B2:B2113""))&gt;=2),
""Exclude""
)"),"Include")</f>
        <v>Include</v>
      </c>
      <c r="E1624" s="5" t="str">
        <f>IFERROR(__xludf.DUMMYFUNCTION("IFS(
D1624=""Exclude"",""Exclude"",
AND(
FILTER(IMPORTRANGE(""https://docs.google.com/spreadsheets/d/1qpEmbGH0JjaJbUdp21-y2cPbobDbMjr09BbtdKROZWc/edit#gid=1444865654"",""articles_with_PRISMA_reasons!W2:W2113""), $A1624=IMPORTRANGE(""https://docs.google.co"&amp;"m/spreadsheets/d/1qpEmbGH0JjaJbUdp21-y2cPbobDbMjr09BbtdKROZWc/edit#gid=1444865654"",""articles_with_PRISMA_reasons!B2:B2113""))&gt;=2,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$A1624=IMPORTRANGE(""https://docs.google.com/spreadsheets/d/1qpEmbGH0JjaJbUdp21-y2cPbobDbMjr09BbtdKROZWc/edit#gid=1444865654"",""articles_with_PRISMA_reasons!B2:B2113""))&lt;2),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$A1624=IMPORTRANGE(""https://docs.google.com/spreadsheets/d/1qpEmbGH0JjaJbUdp21-y2cPbobDbMjr09Bbtd"&amp;"KROZWc/edit#gid=1444865654"",""articles_with_PRISMA_reasons!B2:B2113""))&lt;2,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$A1624=I"&amp;"MPORTRANGE(""https://docs.google.com/spreadsheets/d/1qpEmbGH0JjaJbUdp21-y2cPbobDbMjr09BbtdKROZWc/edit#gid=1444865654"",""articles_with_PRISMA_reasons!B2:B2113""))&gt;=2),
""Exclude""
)"),"Include")</f>
        <v>Include</v>
      </c>
      <c r="F1624" s="2" t="s">
        <v>8</v>
      </c>
      <c r="G1624" s="2" t="s">
        <v>17</v>
      </c>
    </row>
    <row r="1625">
      <c r="A1625" s="4" t="str">
        <f>IFERROR(__xludf.DUMMYFUNCTION("""COMPUTED_VALUE"""),"Results of treatment with ventriculoatrial and ventriculoperitoneal shunt in infantile nontumoral hydrocephalus")</f>
        <v>Results of treatment with ventriculoatrial and ventriculoperitoneal shunt in infantile nontumoral hydrocephalus</v>
      </c>
      <c r="B1625" s="5" t="str">
        <f>IFERROR(__xludf.DUMMYFUNCTION("LEFT(FILTER(IMPORTRANGE(""https://docs.google.com/spreadsheets/d/1BJSV3WBYJGRhQ6zExamkszQ5VutGIcaQqmbD9ZTVXMQ/edit#gid=1251630045"",""articles_with_PRISMA_reasons!K2:K2113""), $A1625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$A1625=IMPORTRANGE(""https://docs.google.com/spreadsheets/d/1BJSV3WBYJGRhQ6zExamkszQ5VutGIcaQqmbD9ZTVXMQ/edit#gid=1251630045"",""articles_with_PRISMA_reasons!B2:B2113"")))-1)"),"Mazza")</f>
        <v>Mazza</v>
      </c>
      <c r="C1625" s="6">
        <f>IFERROR(__xludf.DUMMYFUNCTION("FILTER(IMPORTRANGE(""https://docs.google.com/spreadsheets/d/1BJSV3WBYJGRhQ6zExamkszQ5VutGIcaQqmbD9ZTVXMQ/edit#gid=1251630045"",""articles_with_PRISMA_reasons!C2:C2113""), $A1625=IMPORTRANGE(""https://docs.google.com/spreadsheets/d/1BJSV3WBYJGRhQ6zExamkszQ"&amp;"5VutGIcaQqmbD9ZTVXMQ/edit#gid=1251630045"",""articles_with_PRISMA_reasons!B2:B2113""))"),1980.0)</f>
        <v>1980</v>
      </c>
      <c r="D1625" s="5" t="str">
        <f>IFERROR(__xludf.DUMMYFUNCTION("IFS(AND(
FILTER(IMPORTRANGE(""https://docs.google.com/spreadsheets/d/1BJSV3WBYJGRhQ6zExamkszQ5VutGIcaQqmbD9ZTVXMQ/edit#gid=1251630045"",""articles_with_PRISMA_reasons!Y2:Y2113""), $A1625=IMPORTRANGE(""https://docs.google.com/spreadsheets/d/1BJSV3WBYJGRhQ6"&amp;"zExamkszQ5VutGIcaQqmbD9ZTVXMQ/edit#gid=1251630045"",""articles_with_PRISMA_reasons!B2:B2113""))&gt;=2,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$A1625=IMPORTRANGE(""https://docs.google.com/spreadsheets/d/1BJSV3WBYJGRhQ6zExamkszQ5VutGIcaQqmbD9ZTVXMQ/edit#gid=1251630045"",""articles_with_PRISMA_reasons!B2:B2113""))&lt;2),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$A1625=IMPORTRANGE(""https://docs.google.com/spreadsheets/d/1BJSV3WBYJGRhQ6zExamkszQ5VutGIcaQqmbD9ZTVXMQ/edit#gid=1251630045"",""a"&amp;"rticles_with_PRISMA_reasons!B2:B2113""))&lt;2,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$A1625=IMPORTRANGE(""https://docs.google"&amp;".com/spreadsheets/d/1BJSV3WBYJGRhQ6zExamkszQ5VutGIcaQqmbD9ZTVXMQ/edit#gid=1251630045"",""articles_with_PRISMA_reasons!B2:B2113""))&gt;=2),
""Exclude""
)"),"Include")</f>
        <v>Include</v>
      </c>
      <c r="E1625" s="5" t="str">
        <f>IFERROR(__xludf.DUMMYFUNCTION("IFS(
D1625=""Exclude"",""Exclude"",
AND(
FILTER(IMPORTRANGE(""https://docs.google.com/spreadsheets/d/1qpEmbGH0JjaJbUdp21-y2cPbobDbMjr09BbtdKROZWc/edit#gid=1444865654"",""articles_with_PRISMA_reasons!W2:W2113""), $A1625=IMPORTRANGE(""https://docs.google.co"&amp;"m/spreadsheets/d/1qpEmbGH0JjaJbUdp21-y2cPbobDbMjr09BbtdKROZWc/edit#gid=1444865654"",""articles_with_PRISMA_reasons!B2:B2113""))&gt;=2,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$A1625=IMPORTRANGE(""https://docs.google.com/spreadsheets/d/1qpEmbGH0JjaJbUdp21-y2cPbobDbMjr09BbtdKROZWc/edit#gid=1444865654"",""articles_with_PRISMA_reasons!B2:B2113""))&lt;2),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$A1625=IMPORTRANGE(""https://docs.google.com/spreadsheets/d/1qpEmbGH0JjaJbUdp21-y2cPbobDbMjr09Bbtd"&amp;"KROZWc/edit#gid=1444865654"",""articles_with_PRISMA_reasons!B2:B2113""))&lt;2,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$A1625=I"&amp;"MPORTRANGE(""https://docs.google.com/spreadsheets/d/1qpEmbGH0JjaJbUdp21-y2cPbobDbMjr09BbtdKROZWc/edit#gid=1444865654"",""articles_with_PRISMA_reasons!B2:B2113""))&gt;=2),
""Exclude""
)"),"Include")</f>
        <v>Include</v>
      </c>
      <c r="F1625" s="2" t="s">
        <v>8</v>
      </c>
      <c r="G1625" s="2" t="s">
        <v>17</v>
      </c>
    </row>
    <row r="1626">
      <c r="A1626" s="4" t="str">
        <f>IFERROR(__xludf.DUMMYFUNCTION("""COMPUTED_VALUE"""),"Retethering: A neurosurgical viewpoint")</f>
        <v>Retethering: A neurosurgical viewpoint</v>
      </c>
      <c r="B1626" s="5" t="str">
        <f>IFERROR(__xludf.DUMMYFUNCTION("LEFT(FILTER(IMPORTRANGE(""https://docs.google.com/spreadsheets/d/1BJSV3WBYJGRhQ6zExamkszQ5VutGIcaQqmbD9ZTVXMQ/edit#gid=1251630045"",""articles_with_PRISMA_reasons!K2:K2113""), $A1626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$A1626=IMPORTRANGE(""https://docs.google.com/spreadsheets/d/1BJSV3WBYJGRhQ6zExamkszQ5VutGIcaQqmbD9ZTVXMQ/edit#gid=1251630045"",""articles_with_PRISMA_reasons!B2:B2113"")))-1)"),"Kim")</f>
        <v>Kim</v>
      </c>
      <c r="C1626" s="6">
        <f>IFERROR(__xludf.DUMMYFUNCTION("FILTER(IMPORTRANGE(""https://docs.google.com/spreadsheets/d/1BJSV3WBYJGRhQ6zExamkszQ5VutGIcaQqmbD9ZTVXMQ/edit#gid=1251630045"",""articles_with_PRISMA_reasons!C2:C2113""), $A1626=IMPORTRANGE(""https://docs.google.com/spreadsheets/d/1BJSV3WBYJGRhQ6zExamkszQ"&amp;"5VutGIcaQqmbD9ZTVXMQ/edit#gid=1251630045"",""articles_with_PRISMA_reasons!B2:B2113""))"),2020.0)</f>
        <v>2020</v>
      </c>
      <c r="D1626" s="5" t="str">
        <f>IFERROR(__xludf.DUMMYFUNCTION("IFS(AND(
FILTER(IMPORTRANGE(""https://docs.google.com/spreadsheets/d/1BJSV3WBYJGRhQ6zExamkszQ5VutGIcaQqmbD9ZTVXMQ/edit#gid=1251630045"",""articles_with_PRISMA_reasons!Y2:Y2113""), $A1626=IMPORTRANGE(""https://docs.google.com/spreadsheets/d/1BJSV3WBYJGRhQ6"&amp;"zExamkszQ5VutGIcaQqmbD9ZTVXMQ/edit#gid=1251630045"",""articles_with_PRISMA_reasons!B2:B2113""))&gt;=2,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$A1626=IMPORTRANGE(""https://docs.google.com/spreadsheets/d/1BJSV3WBYJGRhQ6zExamkszQ5VutGIcaQqmbD9ZTVXMQ/edit#gid=1251630045"",""articles_with_PRISMA_reasons!B2:B2113""))&lt;2),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$A1626=IMPORTRANGE(""https://docs.google.com/spreadsheets/d/1BJSV3WBYJGRhQ6zExamkszQ5VutGIcaQqmbD9ZTVXMQ/edit#gid=1251630045"",""a"&amp;"rticles_with_PRISMA_reasons!B2:B2113""))&lt;2,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$A1626=IMPORTRANGE(""https://docs.google"&amp;".com/spreadsheets/d/1BJSV3WBYJGRhQ6zExamkszQ5VutGIcaQqmbD9ZTVXMQ/edit#gid=1251630045"",""articles_with_PRISMA_reasons!B2:B2113""))&gt;=2),
""Exclude""
)"),"Exclude")</f>
        <v>Exclude</v>
      </c>
      <c r="E1626" s="5" t="str">
        <f>IFERROR(__xludf.DUMMYFUNCTION("IFS(
D1626=""Exclude"",""Exclude"",
AND(
FILTER(IMPORTRANGE(""https://docs.google.com/spreadsheets/d/1qpEmbGH0JjaJbUdp21-y2cPbobDbMjr09BbtdKROZWc/edit#gid=1444865654"",""articles_with_PRISMA_reasons!W2:W2113""), $A1626=IMPORTRANGE(""https://docs.google.co"&amp;"m/spreadsheets/d/1qpEmbGH0JjaJbUdp21-y2cPbobDbMjr09BbtdKROZWc/edit#gid=1444865654"",""articles_with_PRISMA_reasons!B2:B2113""))&gt;=2,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$A1626=IMPORTRANGE(""https://docs.google.com/spreadsheets/d/1qpEmbGH0JjaJbUdp21-y2cPbobDbMjr09BbtdKROZWc/edit#gid=1444865654"",""articles_with_PRISMA_reasons!B2:B2113""))&lt;2),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$A1626=IMPORTRANGE(""https://docs.google.com/spreadsheets/d/1qpEmbGH0JjaJbUdp21-y2cPbobDbMjr09Bbtd"&amp;"KROZWc/edit#gid=1444865654"",""articles_with_PRISMA_reasons!B2:B2113""))&lt;2,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$A1626=I"&amp;"MPORTRANGE(""https://docs.google.com/spreadsheets/d/1qpEmbGH0JjaJbUdp21-y2cPbobDbMjr09BbtdKROZWc/edit#gid=1444865654"",""articles_with_PRISMA_reasons!B2:B2113""))&gt;=2),
""Exclude""
)"),"Exclude")</f>
        <v>Exclude</v>
      </c>
      <c r="F1626" s="5" t="str">
        <f>IFERROR(__xludf.DUMMYFUNCTION("IFS(
E1626=""Exclude"",""Exclude"",
AND(
COUNTIF(
IMPORTRANGE(""https://docs.google.com/spreadsheets/d/1kGrh75X1cNR1D7_FcY9zMnHP8iPO4M5RCRjy6nZY0TY/edit#gid=0"",""Table 1: Study characteristics!B4:B171""),A1626)&gt;0,
COUNTIF(Studies!$A$2:$A$85,FILTER(IMPORT"&amp;"RANGE(""https://docs.google.com/spreadsheets/d/1kGrh75X1cNR1D7_FcY9zMnHP8iPO4M5RCRjy6nZY0TY/edit#gid=0"",""Table 1: Study characteristics!A4:A171""), $A1626=IMPORTRANGE(""https://docs.google.com/spreadsheets/d/1kGrh75X1cNR1D7_FcY9zMnHP8iPO4M5RCRjy6nZY0TY/"&amp;"edit#gid=0"",""Table 1: Study characteristics!B4:B171"")))&gt;0
),
""Include""
)"),"Exclude")</f>
        <v>Exclude</v>
      </c>
      <c r="G1626" s="5" t="str">
        <f>IFERROR(__xludf.DUMMYFUNCTION("IFS(
D1626=""Exclude"",
FILTER(IMPORTRANGE(""https://docs.google.com/spreadsheets/d/1BJSV3WBYJGRhQ6zExamkszQ5VutGIcaQqmbD9ZTVXMQ/edit#gid=1251630045"",""articles_with_PRISMA_reasons!AB2:AB2113""), $A1626=IMPORTRANGE(""https://docs.google.com/spreadsheets/"&amp;"d/1BJSV3WBYJGRhQ6zExamkszQ5VutGIcaQqmbD9ZTVXMQ/edit#gid=1251630045"",""articles_with_PRISMA_reasons!B2:B2113"")),
E1626=""Exclude"",
FILTER(IMPORTRANGE(""https://docs.google.com/spreadsheets/d/1qpEmbGH0JjaJbUdp21-y2cPbobDbMjr09BbtdKROZWc/edit#gid=14448656"&amp;"54"",""articles_with_PRISMA_reasons!Z2:Z2113""), $A1626=IMPORTRANGE(""https://docs.google.com/spreadsheets/d/1qpEmbGH0JjaJbUdp21-y2cPbobDbMjr09BbtdKROZWc/edit#gid=1444865654"",""articles_with_PRISMA_reasons!B2:B2113"")),F1626
=""Include"",FILTER(IMPORTRAN"&amp;"GE(""https://docs.google.com/spreadsheets/d/1kGrh75X1cNR1D7_FcY9zMnHP8iPO4M5RCRjy6nZY0TY/edit#gid=0"",""Table 1: Study characteristics!A4:A171""), $A1626=IMPORTRANGE(""https://docs.google.com/spreadsheets/d/1kGrh75X1cNR1D7_FcY9zMnHP8iPO4M5RCRjy6nZY0TY/edi"&amp;"t#gid=0"",""Table 1: Study characteristics!B4:B171""))
)"),"wrong study design")</f>
        <v>wrong study design</v>
      </c>
    </row>
    <row r="1627">
      <c r="A1627" s="4" t="str">
        <f>IFERROR(__xludf.DUMMYFUNCTION("""COMPUTED_VALUE"""),"Retrieval of detached shunt catheter from the heart. Case report")</f>
        <v>Retrieval of detached shunt catheter from the heart. Case report</v>
      </c>
      <c r="B1627" s="5" t="str">
        <f>IFERROR(__xludf.DUMMYFUNCTION("LEFT(FILTER(IMPORTRANGE(""https://docs.google.com/spreadsheets/d/1BJSV3WBYJGRhQ6zExamkszQ5VutGIcaQqmbD9ZTVXMQ/edit#gid=1251630045"",""articles_with_PRISMA_reasons!K2:K2113""), $A1627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$A1627=IMPORTRANGE(""https://docs.google.com/spreadsheets/d/1BJSV3WBYJGRhQ6zExamkszQ5VutGIcaQqmbD9ZTVXMQ/edit#gid=1251630045"",""articles_with_PRISMA_reasons!B2:B2113"")))-1)"),"McCulloch")</f>
        <v>McCulloch</v>
      </c>
      <c r="C1627" s="6">
        <f>IFERROR(__xludf.DUMMYFUNCTION("FILTER(IMPORTRANGE(""https://docs.google.com/spreadsheets/d/1BJSV3WBYJGRhQ6zExamkszQ5VutGIcaQqmbD9ZTVXMQ/edit#gid=1251630045"",""articles_with_PRISMA_reasons!C2:C2113""), $A1627=IMPORTRANGE(""https://docs.google.com/spreadsheets/d/1BJSV3WBYJGRhQ6zExamkszQ"&amp;"5VutGIcaQqmbD9ZTVXMQ/edit#gid=1251630045"",""articles_with_PRISMA_reasons!B2:B2113""))"),1975.0)</f>
        <v>1975</v>
      </c>
      <c r="D1627" s="5" t="str">
        <f>IFERROR(__xludf.DUMMYFUNCTION("IFS(AND(
FILTER(IMPORTRANGE(""https://docs.google.com/spreadsheets/d/1BJSV3WBYJGRhQ6zExamkszQ5VutGIcaQqmbD9ZTVXMQ/edit#gid=1251630045"",""articles_with_PRISMA_reasons!Y2:Y2113""), $A1627=IMPORTRANGE(""https://docs.google.com/spreadsheets/d/1BJSV3WBYJGRhQ6"&amp;"zExamkszQ5VutGIcaQqmbD9ZTVXMQ/edit#gid=1251630045"",""articles_with_PRISMA_reasons!B2:B2113""))&gt;=2,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$A1627=IMPORTRANGE(""https://docs.google.com/spreadsheets/d/1BJSV3WBYJGRhQ6zExamkszQ5VutGIcaQqmbD9ZTVXMQ/edit#gid=1251630045"",""articles_with_PRISMA_reasons!B2:B2113""))&lt;2),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$A1627=IMPORTRANGE(""https://docs.google.com/spreadsheets/d/1BJSV3WBYJGRhQ6zExamkszQ5VutGIcaQqmbD9ZTVXMQ/edit#gid=1251630045"",""a"&amp;"rticles_with_PRISMA_reasons!B2:B2113""))&lt;2,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$A1627=IMPORTRANGE(""https://docs.google"&amp;".com/spreadsheets/d/1BJSV3WBYJGRhQ6zExamkszQ5VutGIcaQqmbD9ZTVXMQ/edit#gid=1251630045"",""articles_with_PRISMA_reasons!B2:B2113""))&gt;=2),
""Exclude""
)"),"Exclude")</f>
        <v>Exclude</v>
      </c>
      <c r="E1627" s="5" t="str">
        <f>IFERROR(__xludf.DUMMYFUNCTION("IFS(
D1627=""Exclude"",""Exclude"",
AND(
FILTER(IMPORTRANGE(""https://docs.google.com/spreadsheets/d/1qpEmbGH0JjaJbUdp21-y2cPbobDbMjr09BbtdKROZWc/edit#gid=1444865654"",""articles_with_PRISMA_reasons!W2:W2113""), $A1627=IMPORTRANGE(""https://docs.google.co"&amp;"m/spreadsheets/d/1qpEmbGH0JjaJbUdp21-y2cPbobDbMjr09BbtdKROZWc/edit#gid=1444865654"",""articles_with_PRISMA_reasons!B2:B2113""))&gt;=2,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$A1627=IMPORTRANGE(""https://docs.google.com/spreadsheets/d/1qpEmbGH0JjaJbUdp21-y2cPbobDbMjr09BbtdKROZWc/edit#gid=1444865654"",""articles_with_PRISMA_reasons!B2:B2113""))&lt;2),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$A1627=IMPORTRANGE(""https://docs.google.com/spreadsheets/d/1qpEmbGH0JjaJbUdp21-y2cPbobDbMjr09Bbtd"&amp;"KROZWc/edit#gid=1444865654"",""articles_with_PRISMA_reasons!B2:B2113""))&lt;2,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$A1627=I"&amp;"MPORTRANGE(""https://docs.google.com/spreadsheets/d/1qpEmbGH0JjaJbUdp21-y2cPbobDbMjr09BbtdKROZWc/edit#gid=1444865654"",""articles_with_PRISMA_reasons!B2:B2113""))&gt;=2),
""Exclude""
)"),"Exclude")</f>
        <v>Exclude</v>
      </c>
      <c r="F1627" s="5" t="str">
        <f>IFERROR(__xludf.DUMMYFUNCTION("IFS(
E1627=""Exclude"",""Exclude"",
AND(
COUNTIF(
IMPORTRANGE(""https://docs.google.com/spreadsheets/d/1kGrh75X1cNR1D7_FcY9zMnHP8iPO4M5RCRjy6nZY0TY/edit#gid=0"",""Table 1: Study characteristics!B4:B171""),A1627)&gt;0,
COUNTIF(Studies!$A$2:$A$85,FILTER(IMPORT"&amp;"RANGE(""https://docs.google.com/spreadsheets/d/1kGrh75X1cNR1D7_FcY9zMnHP8iPO4M5RCRjy6nZY0TY/edit#gid=0"",""Table 1: Study characteristics!A4:A171""), $A1627=IMPORTRANGE(""https://docs.google.com/spreadsheets/d/1kGrh75X1cNR1D7_FcY9zMnHP8iPO4M5RCRjy6nZY0TY/"&amp;"edit#gid=0"",""Table 1: Study characteristics!B4:B171"")))&gt;0
),
""Include""
)"),"Exclude")</f>
        <v>Exclude</v>
      </c>
      <c r="G1627" s="5" t="str">
        <f>IFERROR(__xludf.DUMMYFUNCTION("IFS(
D1627=""Exclude"",
FILTER(IMPORTRANGE(""https://docs.google.com/spreadsheets/d/1BJSV3WBYJGRhQ6zExamkszQ5VutGIcaQqmbD9ZTVXMQ/edit#gid=1251630045"",""articles_with_PRISMA_reasons!AB2:AB2113""), $A1627=IMPORTRANGE(""https://docs.google.com/spreadsheets/"&amp;"d/1BJSV3WBYJGRhQ6zExamkszQ5VutGIcaQqmbD9ZTVXMQ/edit#gid=1251630045"",""articles_with_PRISMA_reasons!B2:B2113"")),
E1627=""Exclude"",
FILTER(IMPORTRANGE(""https://docs.google.com/spreadsheets/d/1qpEmbGH0JjaJbUdp21-y2cPbobDbMjr09BbtdKROZWc/edit#gid=14448656"&amp;"54"",""articles_with_PRISMA_reasons!Z2:Z2113""), $A1627=IMPORTRANGE(""https://docs.google.com/spreadsheets/d/1qpEmbGH0JjaJbUdp21-y2cPbobDbMjr09BbtdKROZWc/edit#gid=1444865654"",""articles_with_PRISMA_reasons!B2:B2113"")),F1627
=""Include"",FILTER(IMPORTRAN"&amp;"GE(""https://docs.google.com/spreadsheets/d/1kGrh75X1cNR1D7_FcY9zMnHP8iPO4M5RCRjy6nZY0TY/edit#gid=0"",""Table 1: Study characteristics!A4:A171""), $A1627=IMPORTRANGE(""https://docs.google.com/spreadsheets/d/1kGrh75X1cNR1D7_FcY9zMnHP8iPO4M5RCRjy6nZY0TY/edi"&amp;"t#gid=0"",""Table 1: Study characteristics!B4:B171""))
)"),"wrong publication type")</f>
        <v>wrong publication type</v>
      </c>
    </row>
    <row r="1628">
      <c r="A1628" s="4" t="str">
        <f>IFERROR(__xludf.DUMMYFUNCTION("""COMPUTED_VALUE"""),"Retrograde migration of ventriculoperitoneal shunt to the neck. Case report")</f>
        <v>Retrograde migration of ventriculoperitoneal shunt to the neck. Case report</v>
      </c>
      <c r="B1628" s="5" t="str">
        <f>IFERROR(__xludf.DUMMYFUNCTION("LEFT(FILTER(IMPORTRANGE(""https://docs.google.com/spreadsheets/d/1BJSV3WBYJGRhQ6zExamkszQ5VutGIcaQqmbD9ZTVXMQ/edit#gid=1251630045"",""articles_with_PRISMA_reasons!K2:K2113""), $A1628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$A1628=IMPORTRANGE(""https://docs.google.com/spreadsheets/d/1BJSV3WBYJGRhQ6zExamkszQ5VutGIcaQqmbD9ZTVXMQ/edit#gid=1251630045"",""articles_with_PRISMA_reasons!B2:B2113"")))-1)"),"Felipe-Murcia")</f>
        <v>Felipe-Murcia</v>
      </c>
      <c r="C1628" s="6">
        <f>IFERROR(__xludf.DUMMYFUNCTION("FILTER(IMPORTRANGE(""https://docs.google.com/spreadsheets/d/1BJSV3WBYJGRhQ6zExamkszQ5VutGIcaQqmbD9ZTVXMQ/edit#gid=1251630045"",""articles_with_PRISMA_reasons!C2:C2113""), $A1628=IMPORTRANGE(""https://docs.google.com/spreadsheets/d/1BJSV3WBYJGRhQ6zExamkszQ"&amp;"5VutGIcaQqmbD9ZTVXMQ/edit#gid=1251630045"",""articles_with_PRISMA_reasons!B2:B2113""))"),2006.0)</f>
        <v>2006</v>
      </c>
      <c r="D1628" s="5" t="str">
        <f>IFERROR(__xludf.DUMMYFUNCTION("IFS(AND(
FILTER(IMPORTRANGE(""https://docs.google.com/spreadsheets/d/1BJSV3WBYJGRhQ6zExamkszQ5VutGIcaQqmbD9ZTVXMQ/edit#gid=1251630045"",""articles_with_PRISMA_reasons!Y2:Y2113""), $A1628=IMPORTRANGE(""https://docs.google.com/spreadsheets/d/1BJSV3WBYJGRhQ6"&amp;"zExamkszQ5VutGIcaQqmbD9ZTVXMQ/edit#gid=1251630045"",""articles_with_PRISMA_reasons!B2:B2113""))&gt;=2,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$A1628=IMPORTRANGE(""https://docs.google.com/spreadsheets/d/1BJSV3WBYJGRhQ6zExamkszQ5VutGIcaQqmbD9ZTVXMQ/edit#gid=1251630045"",""articles_with_PRISMA_reasons!B2:B2113""))&lt;2),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$A1628=IMPORTRANGE(""https://docs.google.com/spreadsheets/d/1BJSV3WBYJGRhQ6zExamkszQ5VutGIcaQqmbD9ZTVXMQ/edit#gid=1251630045"",""a"&amp;"rticles_with_PRISMA_reasons!B2:B2113""))&lt;2,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$A1628=IMPORTRANGE(""https://docs.google"&amp;".com/spreadsheets/d/1BJSV3WBYJGRhQ6zExamkszQ5VutGIcaQqmbD9ZTVXMQ/edit#gid=1251630045"",""articles_with_PRISMA_reasons!B2:B2113""))&gt;=2),
""Exclude""
)"),"Exclude")</f>
        <v>Exclude</v>
      </c>
      <c r="E1628" s="5" t="str">
        <f>IFERROR(__xludf.DUMMYFUNCTION("IFS(
D1628=""Exclude"",""Exclude"",
AND(
FILTER(IMPORTRANGE(""https://docs.google.com/spreadsheets/d/1qpEmbGH0JjaJbUdp21-y2cPbobDbMjr09BbtdKROZWc/edit#gid=1444865654"",""articles_with_PRISMA_reasons!W2:W2113""), $A1628=IMPORTRANGE(""https://docs.google.co"&amp;"m/spreadsheets/d/1qpEmbGH0JjaJbUdp21-y2cPbobDbMjr09BbtdKROZWc/edit#gid=1444865654"",""articles_with_PRISMA_reasons!B2:B2113""))&gt;=2,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$A1628=IMPORTRANGE(""https://docs.google.com/spreadsheets/d/1qpEmbGH0JjaJbUdp21-y2cPbobDbMjr09BbtdKROZWc/edit#gid=1444865654"",""articles_with_PRISMA_reasons!B2:B2113""))&lt;2),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$A1628=IMPORTRANGE(""https://docs.google.com/spreadsheets/d/1qpEmbGH0JjaJbUdp21-y2cPbobDbMjr09Bbtd"&amp;"KROZWc/edit#gid=1444865654"",""articles_with_PRISMA_reasons!B2:B2113""))&lt;2,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$A1628=I"&amp;"MPORTRANGE(""https://docs.google.com/spreadsheets/d/1qpEmbGH0JjaJbUdp21-y2cPbobDbMjr09BbtdKROZWc/edit#gid=1444865654"",""articles_with_PRISMA_reasons!B2:B2113""))&gt;=2),
""Exclude""
)"),"Exclude")</f>
        <v>Exclude</v>
      </c>
      <c r="F1628" s="5" t="str">
        <f>IFERROR(__xludf.DUMMYFUNCTION("IFS(
E1628=""Exclude"",""Exclude"",
AND(
COUNTIF(
IMPORTRANGE(""https://docs.google.com/spreadsheets/d/1kGrh75X1cNR1D7_FcY9zMnHP8iPO4M5RCRjy6nZY0TY/edit#gid=0"",""Table 1: Study characteristics!B4:B171""),A1628)&gt;0,
COUNTIF(Studies!$A$2:$A$85,FILTER(IMPORT"&amp;"RANGE(""https://docs.google.com/spreadsheets/d/1kGrh75X1cNR1D7_FcY9zMnHP8iPO4M5RCRjy6nZY0TY/edit#gid=0"",""Table 1: Study characteristics!A4:A171""), $A1628=IMPORTRANGE(""https://docs.google.com/spreadsheets/d/1kGrh75X1cNR1D7_FcY9zMnHP8iPO4M5RCRjy6nZY0TY/"&amp;"edit#gid=0"",""Table 1: Study characteristics!B4:B171"")))&gt;0
),
""Include""
)"),"Exclude")</f>
        <v>Exclude</v>
      </c>
      <c r="G1628" s="5" t="str">
        <f>IFERROR(__xludf.DUMMYFUNCTION("IFS(
D1628=""Exclude"",
FILTER(IMPORTRANGE(""https://docs.google.com/spreadsheets/d/1BJSV3WBYJGRhQ6zExamkszQ5VutGIcaQqmbD9ZTVXMQ/edit#gid=1251630045"",""articles_with_PRISMA_reasons!AB2:AB2113""), $A1628=IMPORTRANGE(""https://docs.google.com/spreadsheets/"&amp;"d/1BJSV3WBYJGRhQ6zExamkszQ5VutGIcaQqmbD9ZTVXMQ/edit#gid=1251630045"",""articles_with_PRISMA_reasons!B2:B2113"")),
E1628=""Exclude"",
FILTER(IMPORTRANGE(""https://docs.google.com/spreadsheets/d/1qpEmbGH0JjaJbUdp21-y2cPbobDbMjr09BbtdKROZWc/edit#gid=14448656"&amp;"54"",""articles_with_PRISMA_reasons!Z2:Z2113""), $A1628=IMPORTRANGE(""https://docs.google.com/spreadsheets/d/1qpEmbGH0JjaJbUdp21-y2cPbobDbMjr09BbtdKROZWc/edit#gid=1444865654"",""articles_with_PRISMA_reasons!B2:B2113"")),F1628
=""Include"",FILTER(IMPORTRAN"&amp;"GE(""https://docs.google.com/spreadsheets/d/1kGrh75X1cNR1D7_FcY9zMnHP8iPO4M5RCRjy6nZY0TY/edit#gid=0"",""Table 1: Study characteristics!A4:A171""), $A1628=IMPORTRANGE(""https://docs.google.com/spreadsheets/d/1kGrh75X1cNR1D7_FcY9zMnHP8iPO4M5RCRjy6nZY0TY/edi"&amp;"t#gid=0"",""Table 1: Study characteristics!B4:B171""))
)"),"wrong publication type")</f>
        <v>wrong publication type</v>
      </c>
    </row>
    <row r="1629">
      <c r="A1629" s="4" t="str">
        <f>IFERROR(__xludf.DUMMYFUNCTION("""COMPUTED_VALUE"""),"Retropharyngeal pseudomeningocele")</f>
        <v>Retropharyngeal pseudomeningocele</v>
      </c>
      <c r="B1629" s="5" t="str">
        <f>IFERROR(__xludf.DUMMYFUNCTION("LEFT(FILTER(IMPORTRANGE(""https://docs.google.com/spreadsheets/d/1BJSV3WBYJGRhQ6zExamkszQ5VutGIcaQqmbD9ZTVXMQ/edit#gid=1251630045"",""articles_with_PRISMA_reasons!K2:K2113""), $A1629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$A1629=IMPORTRANGE(""https://docs.google.com/spreadsheets/d/1BJSV3WBYJGRhQ6zExamkszQ5VutGIcaQqmbD9ZTVXMQ/edit#gid=1251630045"",""articles_with_PRISMA_reasons!B2:B2113"")))-1)"),"Casey")</f>
        <v>Casey</v>
      </c>
      <c r="C1629" s="6">
        <f>IFERROR(__xludf.DUMMYFUNCTION("FILTER(IMPORTRANGE(""https://docs.google.com/spreadsheets/d/1BJSV3WBYJGRhQ6zExamkszQ5VutGIcaQqmbD9ZTVXMQ/edit#gid=1251630045"",""articles_with_PRISMA_reasons!C2:C2113""), $A1629=IMPORTRANGE(""https://docs.google.com/spreadsheets/d/1BJSV3WBYJGRhQ6zExamkszQ"&amp;"5VutGIcaQqmbD9ZTVXMQ/edit#gid=1251630045"",""articles_with_PRISMA_reasons!B2:B2113""))"),2006.0)</f>
        <v>2006</v>
      </c>
      <c r="D1629" s="5" t="str">
        <f>IFERROR(__xludf.DUMMYFUNCTION("IFS(AND(
FILTER(IMPORTRANGE(""https://docs.google.com/spreadsheets/d/1BJSV3WBYJGRhQ6zExamkszQ5VutGIcaQqmbD9ZTVXMQ/edit#gid=1251630045"",""articles_with_PRISMA_reasons!Y2:Y2113""), $A1629=IMPORTRANGE(""https://docs.google.com/spreadsheets/d/1BJSV3WBYJGRhQ6"&amp;"zExamkszQ5VutGIcaQqmbD9ZTVXMQ/edit#gid=1251630045"",""articles_with_PRISMA_reasons!B2:B2113""))&gt;=2,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$A1629=IMPORTRANGE(""https://docs.google.com/spreadsheets/d/1BJSV3WBYJGRhQ6zExamkszQ5VutGIcaQqmbD9ZTVXMQ/edit#gid=1251630045"",""articles_with_PRISMA_reasons!B2:B2113""))&lt;2),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$A1629=IMPORTRANGE(""https://docs.google.com/spreadsheets/d/1BJSV3WBYJGRhQ6zExamkszQ5VutGIcaQqmbD9ZTVXMQ/edit#gid=1251630045"",""a"&amp;"rticles_with_PRISMA_reasons!B2:B2113""))&lt;2,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$A1629=IMPORTRANGE(""https://docs.google"&amp;".com/spreadsheets/d/1BJSV3WBYJGRhQ6zExamkszQ5VutGIcaQqmbD9ZTVXMQ/edit#gid=1251630045"",""articles_with_PRISMA_reasons!B2:B2113""))&gt;=2),
""Exclude""
)"),"Exclude")</f>
        <v>Exclude</v>
      </c>
      <c r="E1629" s="5" t="str">
        <f>IFERROR(__xludf.DUMMYFUNCTION("IFS(
D1629=""Exclude"",""Exclude"",
AND(
FILTER(IMPORTRANGE(""https://docs.google.com/spreadsheets/d/1qpEmbGH0JjaJbUdp21-y2cPbobDbMjr09BbtdKROZWc/edit#gid=1444865654"",""articles_with_PRISMA_reasons!W2:W2113""), $A1629=IMPORTRANGE(""https://docs.google.co"&amp;"m/spreadsheets/d/1qpEmbGH0JjaJbUdp21-y2cPbobDbMjr09BbtdKROZWc/edit#gid=1444865654"",""articles_with_PRISMA_reasons!B2:B2113""))&gt;=2,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$A1629=IMPORTRANGE(""https://docs.google.com/spreadsheets/d/1qpEmbGH0JjaJbUdp21-y2cPbobDbMjr09BbtdKROZWc/edit#gid=1444865654"",""articles_with_PRISMA_reasons!B2:B2113""))&lt;2),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$A1629=IMPORTRANGE(""https://docs.google.com/spreadsheets/d/1qpEmbGH0JjaJbUdp21-y2cPbobDbMjr09Bbtd"&amp;"KROZWc/edit#gid=1444865654"",""articles_with_PRISMA_reasons!B2:B2113""))&lt;2,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$A1629=I"&amp;"MPORTRANGE(""https://docs.google.com/spreadsheets/d/1qpEmbGH0JjaJbUdp21-y2cPbobDbMjr09BbtdKROZWc/edit#gid=1444865654"",""articles_with_PRISMA_reasons!B2:B2113""))&gt;=2),
""Exclude""
)"),"Exclude")</f>
        <v>Exclude</v>
      </c>
      <c r="F1629" s="5" t="str">
        <f>IFERROR(__xludf.DUMMYFUNCTION("IFS(
E1629=""Exclude"",""Exclude"",
AND(
COUNTIF(
IMPORTRANGE(""https://docs.google.com/spreadsheets/d/1kGrh75X1cNR1D7_FcY9zMnHP8iPO4M5RCRjy6nZY0TY/edit#gid=0"",""Table 1: Study characteristics!B4:B171""),A1629)&gt;0,
COUNTIF(Studies!$A$2:$A$85,FILTER(IMPORT"&amp;"RANGE(""https://docs.google.com/spreadsheets/d/1kGrh75X1cNR1D7_FcY9zMnHP8iPO4M5RCRjy6nZY0TY/edit#gid=0"",""Table 1: Study characteristics!A4:A171""), $A1629=IMPORTRANGE(""https://docs.google.com/spreadsheets/d/1kGrh75X1cNR1D7_FcY9zMnHP8iPO4M5RCRjy6nZY0TY/"&amp;"edit#gid=0"",""Table 1: Study characteristics!B4:B171"")))&gt;0
),
""Include""
)"),"Exclude")</f>
        <v>Exclude</v>
      </c>
      <c r="G1629" s="5" t="str">
        <f>IFERROR(__xludf.DUMMYFUNCTION("IFS(
D1629=""Exclude"",
FILTER(IMPORTRANGE(""https://docs.google.com/spreadsheets/d/1BJSV3WBYJGRhQ6zExamkszQ5VutGIcaQqmbD9ZTVXMQ/edit#gid=1251630045"",""articles_with_PRISMA_reasons!AB2:AB2113""), $A1629=IMPORTRANGE(""https://docs.google.com/spreadsheets/"&amp;"d/1BJSV3WBYJGRhQ6zExamkszQ5VutGIcaQqmbD9ZTVXMQ/edit#gid=1251630045"",""articles_with_PRISMA_reasons!B2:B2113"")),
E1629=""Exclude"",
FILTER(IMPORTRANGE(""https://docs.google.com/spreadsheets/d/1qpEmbGH0JjaJbUdp21-y2cPbobDbMjr09BbtdKROZWc/edit#gid=14448656"&amp;"54"",""articles_with_PRISMA_reasons!Z2:Z2113""), $A1629=IMPORTRANGE(""https://docs.google.com/spreadsheets/d/1qpEmbGH0JjaJbUdp21-y2cPbobDbMjr09BbtdKROZWc/edit#gid=1444865654"",""articles_with_PRISMA_reasons!B2:B2113"")),F1629
=""Include"",FILTER(IMPORTRAN"&amp;"GE(""https://docs.google.com/spreadsheets/d/1kGrh75X1cNR1D7_FcY9zMnHP8iPO4M5RCRjy6nZY0TY/edit#gid=0"",""Table 1: Study characteristics!A4:A171""), $A1629=IMPORTRANGE(""https://docs.google.com/spreadsheets/d/1kGrh75X1cNR1D7_FcY9zMnHP8iPO4M5RCRjy6nZY0TY/edi"&amp;"t#gid=0"",""Table 1: Study characteristics!B4:B171""))
)"),"wrong study design")</f>
        <v>wrong study design</v>
      </c>
    </row>
    <row r="1630">
      <c r="A1630" s="4" t="str">
        <f>IFERROR(__xludf.DUMMYFUNCTION("""COMPUTED_VALUE"""),"Retrospective analysis of early- and late-operated meningomyelocele patients")</f>
        <v>Retrospective analysis of early- and late-operated meningomyelocele patients</v>
      </c>
      <c r="B1630" s="5" t="str">
        <f>IFERROR(__xludf.DUMMYFUNCTION("LEFT(FILTER(IMPORTRANGE(""https://docs.google.com/spreadsheets/d/1BJSV3WBYJGRhQ6zExamkszQ5VutGIcaQqmbD9ZTVXMQ/edit#gid=1251630045"",""articles_with_PRISMA_reasons!K2:K2113""), $A1630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$A1630=IMPORTRANGE(""https://docs.google.com/spreadsheets/d/1BJSV3WBYJGRhQ6zExamkszQ5VutGIcaQqmbD9ZTVXMQ/edit#gid=1251630045"",""articles_with_PRISMA_reasons!B2:B2113"")))-1)"),"Taskapilioglu")</f>
        <v>Taskapilioglu</v>
      </c>
      <c r="C1630" s="6">
        <f>IFERROR(__xludf.DUMMYFUNCTION("FILTER(IMPORTRANGE(""https://docs.google.com/spreadsheets/d/1BJSV3WBYJGRhQ6zExamkszQ5VutGIcaQqmbD9ZTVXMQ/edit#gid=1251630045"",""articles_with_PRISMA_reasons!C2:C2113""), $A1630=IMPORTRANGE(""https://docs.google.com/spreadsheets/d/1BJSV3WBYJGRhQ6zExamkszQ"&amp;"5VutGIcaQqmbD9ZTVXMQ/edit#gid=1251630045"",""articles_with_PRISMA_reasons!B2:B2113""))"),2021.0)</f>
        <v>2021</v>
      </c>
      <c r="D1630" s="5" t="str">
        <f>IFERROR(__xludf.DUMMYFUNCTION("IFS(AND(
FILTER(IMPORTRANGE(""https://docs.google.com/spreadsheets/d/1BJSV3WBYJGRhQ6zExamkszQ5VutGIcaQqmbD9ZTVXMQ/edit#gid=1251630045"",""articles_with_PRISMA_reasons!Y2:Y2113""), $A1630=IMPORTRANGE(""https://docs.google.com/spreadsheets/d/1BJSV3WBYJGRhQ6"&amp;"zExamkszQ5VutGIcaQqmbD9ZTVXMQ/edit#gid=1251630045"",""articles_with_PRISMA_reasons!B2:B2113""))&gt;=2,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$A1630=IMPORTRANGE(""https://docs.google.com/spreadsheets/d/1BJSV3WBYJGRhQ6zExamkszQ5VutGIcaQqmbD9ZTVXMQ/edit#gid=1251630045"",""articles_with_PRISMA_reasons!B2:B2113""))&lt;2),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$A1630=IMPORTRANGE(""https://docs.google.com/spreadsheets/d/1BJSV3WBYJGRhQ6zExamkszQ5VutGIcaQqmbD9ZTVXMQ/edit#gid=1251630045"",""a"&amp;"rticles_with_PRISMA_reasons!B2:B2113""))&lt;2,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$A1630=IMPORTRANGE(""https://docs.google"&amp;".com/spreadsheets/d/1BJSV3WBYJGRhQ6zExamkszQ5VutGIcaQqmbD9ZTVXMQ/edit#gid=1251630045"",""articles_with_PRISMA_reasons!B2:B2113""))&gt;=2),
""Exclude""
)"),"Include")</f>
        <v>Include</v>
      </c>
      <c r="E1630" s="5" t="str">
        <f>IFERROR(__xludf.DUMMYFUNCTION("IFS(
D1630=""Exclude"",""Exclude"",
AND(
FILTER(IMPORTRANGE(""https://docs.google.com/spreadsheets/d/1qpEmbGH0JjaJbUdp21-y2cPbobDbMjr09BbtdKROZWc/edit#gid=1444865654"",""articles_with_PRISMA_reasons!W2:W2113""), $A1630=IMPORTRANGE(""https://docs.google.co"&amp;"m/spreadsheets/d/1qpEmbGH0JjaJbUdp21-y2cPbobDbMjr09BbtdKROZWc/edit#gid=1444865654"",""articles_with_PRISMA_reasons!B2:B2113""))&gt;=2,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$A1630=IMPORTRANGE(""https://docs.google.com/spreadsheets/d/1qpEmbGH0JjaJbUdp21-y2cPbobDbMjr09BbtdKROZWc/edit#gid=1444865654"",""articles_with_PRISMA_reasons!B2:B2113""))&lt;2),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$A1630=IMPORTRANGE(""https://docs.google.com/spreadsheets/d/1qpEmbGH0JjaJbUdp21-y2cPbobDbMjr09Bbtd"&amp;"KROZWc/edit#gid=1444865654"",""articles_with_PRISMA_reasons!B2:B2113""))&lt;2,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$A1630=I"&amp;"MPORTRANGE(""https://docs.google.com/spreadsheets/d/1qpEmbGH0JjaJbUdp21-y2cPbobDbMjr09BbtdKROZWc/edit#gid=1444865654"",""articles_with_PRISMA_reasons!B2:B2113""))&gt;=2),
""Exclude""
)"),"Include")</f>
        <v>Include</v>
      </c>
      <c r="F1630" s="2" t="s">
        <v>8</v>
      </c>
      <c r="G1630" s="2" t="s">
        <v>9</v>
      </c>
    </row>
    <row r="1631">
      <c r="A1631" s="4" t="str">
        <f>IFERROR(__xludf.DUMMYFUNCTION("""COMPUTED_VALUE"""),"Retrospective review of multilevel spinal fusion combined with spinal cord transection for treatment of kyphoscoliosis in pediatric myelomeningocele patients")</f>
        <v>Retrospective review of multilevel spinal fusion combined with spinal cord transection for treatment of kyphoscoliosis in pediatric myelomeningocele patients</v>
      </c>
      <c r="B1631" s="5" t="str">
        <f>IFERROR(__xludf.DUMMYFUNCTION("LEFT(FILTER(IMPORTRANGE(""https://docs.google.com/spreadsheets/d/1BJSV3WBYJGRhQ6zExamkszQ5VutGIcaQqmbD9ZTVXMQ/edit#gid=1251630045"",""articles_with_PRISMA_reasons!K2:K2113""), $A1631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$A1631=IMPORTRANGE(""https://docs.google.com/spreadsheets/d/1BJSV3WBYJGRhQ6zExamkszQ5VutGIcaQqmbD9ZTVXMQ/edit#gid=1251630045"",""articles_with_PRISMA_reasons!B2:B2113"")))-1)"),"Ko")</f>
        <v>Ko</v>
      </c>
      <c r="C1631" s="6">
        <f>IFERROR(__xludf.DUMMYFUNCTION("FILTER(IMPORTRANGE(""https://docs.google.com/spreadsheets/d/1BJSV3WBYJGRhQ6zExamkszQ5VutGIcaQqmbD9ZTVXMQ/edit#gid=1251630045"",""articles_with_PRISMA_reasons!C2:C2113""), $A1631=IMPORTRANGE(""https://docs.google.com/spreadsheets/d/1BJSV3WBYJGRhQ6zExamkszQ"&amp;"5VutGIcaQqmbD9ZTVXMQ/edit#gid=1251630045"",""articles_with_PRISMA_reasons!B2:B2113""))"),2007.0)</f>
        <v>2007</v>
      </c>
      <c r="D1631" s="5" t="str">
        <f>IFERROR(__xludf.DUMMYFUNCTION("IFS(AND(
FILTER(IMPORTRANGE(""https://docs.google.com/spreadsheets/d/1BJSV3WBYJGRhQ6zExamkszQ5VutGIcaQqmbD9ZTVXMQ/edit#gid=1251630045"",""articles_with_PRISMA_reasons!Y2:Y2113""), $A1631=IMPORTRANGE(""https://docs.google.com/spreadsheets/d/1BJSV3WBYJGRhQ6"&amp;"zExamkszQ5VutGIcaQqmbD9ZTVXMQ/edit#gid=1251630045"",""articles_with_PRISMA_reasons!B2:B2113""))&gt;=2,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$A1631=IMPORTRANGE(""https://docs.google.com/spreadsheets/d/1BJSV3WBYJGRhQ6zExamkszQ5VutGIcaQqmbD9ZTVXMQ/edit#gid=1251630045"",""articles_with_PRISMA_reasons!B2:B2113""))&lt;2),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$A1631=IMPORTRANGE(""https://docs.google.com/spreadsheets/d/1BJSV3WBYJGRhQ6zExamkszQ5VutGIcaQqmbD9ZTVXMQ/edit#gid=1251630045"",""a"&amp;"rticles_with_PRISMA_reasons!B2:B2113""))&lt;2,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$A1631=IMPORTRANGE(""https://docs.google"&amp;".com/spreadsheets/d/1BJSV3WBYJGRhQ6zExamkszQ5VutGIcaQqmbD9ZTVXMQ/edit#gid=1251630045"",""articles_with_PRISMA_reasons!B2:B2113""))&gt;=2),
""Exclude""
)"),"Exclude")</f>
        <v>Exclude</v>
      </c>
      <c r="E1631" s="5" t="str">
        <f>IFERROR(__xludf.DUMMYFUNCTION("IFS(
D1631=""Exclude"",""Exclude"",
AND(
FILTER(IMPORTRANGE(""https://docs.google.com/spreadsheets/d/1qpEmbGH0JjaJbUdp21-y2cPbobDbMjr09BbtdKROZWc/edit#gid=1444865654"",""articles_with_PRISMA_reasons!W2:W2113""), $A1631=IMPORTRANGE(""https://docs.google.co"&amp;"m/spreadsheets/d/1qpEmbGH0JjaJbUdp21-y2cPbobDbMjr09BbtdKROZWc/edit#gid=1444865654"",""articles_with_PRISMA_reasons!B2:B2113""))&gt;=2,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$A1631=IMPORTRANGE(""https://docs.google.com/spreadsheets/d/1qpEmbGH0JjaJbUdp21-y2cPbobDbMjr09BbtdKROZWc/edit#gid=1444865654"",""articles_with_PRISMA_reasons!B2:B2113""))&lt;2),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$A1631=IMPORTRANGE(""https://docs.google.com/spreadsheets/d/1qpEmbGH0JjaJbUdp21-y2cPbobDbMjr09Bbtd"&amp;"KROZWc/edit#gid=1444865654"",""articles_with_PRISMA_reasons!B2:B2113""))&lt;2,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$A1631=I"&amp;"MPORTRANGE(""https://docs.google.com/spreadsheets/d/1qpEmbGH0JjaJbUdp21-y2cPbobDbMjr09BbtdKROZWc/edit#gid=1444865654"",""articles_with_PRISMA_reasons!B2:B2113""))&gt;=2),
""Exclude""
)"),"Exclude")</f>
        <v>Exclude</v>
      </c>
      <c r="F1631" s="5" t="str">
        <f>IFERROR(__xludf.DUMMYFUNCTION("IFS(
E1631=""Exclude"",""Exclude"",
AND(
COUNTIF(
IMPORTRANGE(""https://docs.google.com/spreadsheets/d/1kGrh75X1cNR1D7_FcY9zMnHP8iPO4M5RCRjy6nZY0TY/edit#gid=0"",""Table 1: Study characteristics!B4:B171""),A1631)&gt;0,
COUNTIF(Studies!$A$2:$A$85,FILTER(IMPORT"&amp;"RANGE(""https://docs.google.com/spreadsheets/d/1kGrh75X1cNR1D7_FcY9zMnHP8iPO4M5RCRjy6nZY0TY/edit#gid=0"",""Table 1: Study characteristics!A4:A171""), $A1631=IMPORTRANGE(""https://docs.google.com/spreadsheets/d/1kGrh75X1cNR1D7_FcY9zMnHP8iPO4M5RCRjy6nZY0TY/"&amp;"edit#gid=0"",""Table 1: Study characteristics!B4:B171"")))&gt;0
),
""Include""
)"),"Exclude")</f>
        <v>Exclude</v>
      </c>
      <c r="G1631" s="5" t="str">
        <f>IFERROR(__xludf.DUMMYFUNCTION("IFS(
D1631=""Exclude"",
FILTER(IMPORTRANGE(""https://docs.google.com/spreadsheets/d/1BJSV3WBYJGRhQ6zExamkszQ5VutGIcaQqmbD9ZTVXMQ/edit#gid=1251630045"",""articles_with_PRISMA_reasons!AB2:AB2113""), $A1631=IMPORTRANGE(""https://docs.google.com/spreadsheets/"&amp;"d/1BJSV3WBYJGRhQ6zExamkszQ5VutGIcaQqmbD9ZTVXMQ/edit#gid=1251630045"",""articles_with_PRISMA_reasons!B2:B2113"")),
E1631=""Exclude"",
FILTER(IMPORTRANGE(""https://docs.google.com/spreadsheets/d/1qpEmbGH0JjaJbUdp21-y2cPbobDbMjr09BbtdKROZWc/edit#gid=14448656"&amp;"54"",""articles_with_PRISMA_reasons!Z2:Z2113""), $A1631=IMPORTRANGE(""https://docs.google.com/spreadsheets/d/1qpEmbGH0JjaJbUdp21-y2cPbobDbMjr09BbtdKROZWc/edit#gid=1444865654"",""articles_with_PRISMA_reasons!B2:B2113"")),F1631
=""Include"",FILTER(IMPORTRAN"&amp;"GE(""https://docs.google.com/spreadsheets/d/1kGrh75X1cNR1D7_FcY9zMnHP8iPO4M5RCRjy6nZY0TY/edit#gid=0"",""Table 1: Study characteristics!A4:A171""), $A1631=IMPORTRANGE(""https://docs.google.com/spreadsheets/d/1kGrh75X1cNR1D7_FcY9zMnHP8iPO4M5RCRjy6nZY0TY/edi"&amp;"t#gid=0"",""Table 1: Study characteristics!B4:B171""))
)"),"wrong population")</f>
        <v>wrong population</v>
      </c>
    </row>
    <row r="1632">
      <c r="A1632" s="7" t="str">
        <f>IFERROR(__xludf.DUMMYFUNCTION("""COMPUTED_VALUE"""),"Reversal of hindbrain herniation after maternal-fetal surgery for myelomeningocele subsequently impacts on brain stem function")</f>
        <v>Reversal of hindbrain herniation after maternal-fetal surgery for myelomeningocele subsequently impacts on brain stem function</v>
      </c>
      <c r="B1632" s="8" t="str">
        <f>IFERROR(__xludf.DUMMYFUNCTION("LEFT(FILTER(IMPORTRANGE(""https://docs.google.com/spreadsheets/d/1BJSV3WBYJGRhQ6zExamkszQ5VutGIcaQqmbD9ZTVXMQ/edit#gid=1251630045"",""articles_with_PRISMA_reasons!K2:K2113""), $A1632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$A1632=IMPORTRANGE(""https://docs.google.com/spreadsheets/d/1BJSV3WBYJGRhQ6zExamkszQ5VutGIcaQqmbD9ZTVXMQ/edit#gid=1251630045"",""articles_with_PRISMA_reasons!B2:B2113"")))-1)"),"Danzer")</f>
        <v>Danzer</v>
      </c>
      <c r="C1632" s="9">
        <f>IFERROR(__xludf.DUMMYFUNCTION("FILTER(IMPORTRANGE(""https://docs.google.com/spreadsheets/d/1BJSV3WBYJGRhQ6zExamkszQ5VutGIcaQqmbD9ZTVXMQ/edit#gid=1251630045"",""articles_with_PRISMA_reasons!C2:C2113""), $A1632=IMPORTRANGE(""https://docs.google.com/spreadsheets/d/1BJSV3WBYJGRhQ6zExamkszQ"&amp;"5VutGIcaQqmbD9ZTVXMQ/edit#gid=1251630045"",""articles_with_PRISMA_reasons!B2:B2113""))"),2008.0)</f>
        <v>2008</v>
      </c>
      <c r="D1632" s="8" t="str">
        <f>IFERROR(__xludf.DUMMYFUNCTION("IFS(AND(
FILTER(IMPORTRANGE(""https://docs.google.com/spreadsheets/d/1BJSV3WBYJGRhQ6zExamkszQ5VutGIcaQqmbD9ZTVXMQ/edit#gid=1251630045"",""articles_with_PRISMA_reasons!Y2:Y2113""), $A1632=IMPORTRANGE(""https://docs.google.com/spreadsheets/d/1BJSV3WBYJGRhQ6"&amp;"zExamkszQ5VutGIcaQqmbD9ZTVXMQ/edit#gid=1251630045"",""articles_with_PRISMA_reasons!B2:B2113""))&gt;=2,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$A1632=IMPORTRANGE(""https://docs.google.com/spreadsheets/d/1BJSV3WBYJGRhQ6zExamkszQ5VutGIcaQqmbD9ZTVXMQ/edit#gid=1251630045"",""articles_with_PRISMA_reasons!B2:B2113""))&lt;2),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$A1632=IMPORTRANGE(""https://docs.google.com/spreadsheets/d/1BJSV3WBYJGRhQ6zExamkszQ5VutGIcaQqmbD9ZTVXMQ/edit#gid=1251630045"",""a"&amp;"rticles_with_PRISMA_reasons!B2:B2113""))&lt;2,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$A1632=IMPORTRANGE(""https://docs.google"&amp;".com/spreadsheets/d/1BJSV3WBYJGRhQ6zExamkszQ5VutGIcaQqmbD9ZTVXMQ/edit#gid=1251630045"",""articles_with_PRISMA_reasons!B2:B2113""))&gt;=2),
""Exclude""
)"),"Include")</f>
        <v>Include</v>
      </c>
      <c r="E1632" s="8" t="str">
        <f>IFERROR(__xludf.DUMMYFUNCTION("IFS(
D1632=""Exclude"",""Exclude"",
AND(
FILTER(IMPORTRANGE(""https://docs.google.com/spreadsheets/d/1qpEmbGH0JjaJbUdp21-y2cPbobDbMjr09BbtdKROZWc/edit#gid=1444865654"",""articles_with_PRISMA_reasons!W2:W2113""), $A1632=IMPORTRANGE(""https://docs.google.co"&amp;"m/spreadsheets/d/1qpEmbGH0JjaJbUdp21-y2cPbobDbMjr09BbtdKROZWc/edit#gid=1444865654"",""articles_with_PRISMA_reasons!B2:B2113""))&gt;=2,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$A1632=IMPORTRANGE(""https://docs.google.com/spreadsheets/d/1qpEmbGH0JjaJbUdp21-y2cPbobDbMjr09BbtdKROZWc/edit#gid=1444865654"",""articles_with_PRISMA_reasons!B2:B2113""))&lt;2),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$A1632=IMPORTRANGE(""https://docs.google.com/spreadsheets/d/1qpEmbGH0JjaJbUdp21-y2cPbobDbMjr09Bbtd"&amp;"KROZWc/edit#gid=1444865654"",""articles_with_PRISMA_reasons!B2:B2113""))&lt;2,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$A1632=I"&amp;"MPORTRANGE(""https://docs.google.com/spreadsheets/d/1qpEmbGH0JjaJbUdp21-y2cPbobDbMjr09BbtdKROZWc/edit#gid=1444865654"",""articles_with_PRISMA_reasons!B2:B2113""))&gt;=2),
""Exclude""
)"),"Include")</f>
        <v>Include</v>
      </c>
      <c r="F1632" s="10" t="s">
        <v>8</v>
      </c>
      <c r="G1632" s="10" t="s">
        <v>38</v>
      </c>
    </row>
    <row r="1633">
      <c r="A1633" s="4" t="str">
        <f>IFERROR(__xludf.DUMMYFUNCTION("""COMPUTED_VALUE"""),"Reversible ventriculoperitoneal shunt dysfunction and chronic constipation: case report")</f>
        <v>Reversible ventriculoperitoneal shunt dysfunction and chronic constipation: case report</v>
      </c>
      <c r="B1633" s="5" t="str">
        <f>IFERROR(__xludf.DUMMYFUNCTION("LEFT(FILTER(IMPORTRANGE(""https://docs.google.com/spreadsheets/d/1BJSV3WBYJGRhQ6zExamkszQ5VutGIcaQqmbD9ZTVXMQ/edit#gid=1251630045"",""articles_with_PRISMA_reasons!K2:K2113""), $A1633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$A1633=IMPORTRANGE(""https://docs.google.com/spreadsheets/d/1BJSV3WBYJGRhQ6zExamkszQ5VutGIcaQqmbD9ZTVXMQ/edit#gid=1251630045"",""articles_with_PRISMA_reasons!B2:B2113"")))-1)"),"Morais")</f>
        <v>Morais</v>
      </c>
      <c r="C1633" s="6">
        <f>IFERROR(__xludf.DUMMYFUNCTION("FILTER(IMPORTRANGE(""https://docs.google.com/spreadsheets/d/1BJSV3WBYJGRhQ6zExamkszQ5VutGIcaQqmbD9ZTVXMQ/edit#gid=1251630045"",""articles_with_PRISMA_reasons!C2:C2113""), $A1633=IMPORTRANGE(""https://docs.google.com/spreadsheets/d/1BJSV3WBYJGRhQ6zExamkszQ"&amp;"5VutGIcaQqmbD9ZTVXMQ/edit#gid=1251630045"",""articles_with_PRISMA_reasons!B2:B2113""))"),2018.0)</f>
        <v>2018</v>
      </c>
      <c r="D1633" s="5" t="str">
        <f>IFERROR(__xludf.DUMMYFUNCTION("IFS(AND(
FILTER(IMPORTRANGE(""https://docs.google.com/spreadsheets/d/1BJSV3WBYJGRhQ6zExamkszQ5VutGIcaQqmbD9ZTVXMQ/edit#gid=1251630045"",""articles_with_PRISMA_reasons!Y2:Y2113""), $A1633=IMPORTRANGE(""https://docs.google.com/spreadsheets/d/1BJSV3WBYJGRhQ6"&amp;"zExamkszQ5VutGIcaQqmbD9ZTVXMQ/edit#gid=1251630045"",""articles_with_PRISMA_reasons!B2:B2113""))&gt;=2,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$A1633=IMPORTRANGE(""https://docs.google.com/spreadsheets/d/1BJSV3WBYJGRhQ6zExamkszQ5VutGIcaQqmbD9ZTVXMQ/edit#gid=1251630045"",""articles_with_PRISMA_reasons!B2:B2113""))&lt;2),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$A1633=IMPORTRANGE(""https://docs.google.com/spreadsheets/d/1BJSV3WBYJGRhQ6zExamkszQ5VutGIcaQqmbD9ZTVXMQ/edit#gid=1251630045"",""a"&amp;"rticles_with_PRISMA_reasons!B2:B2113""))&lt;2,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$A1633=IMPORTRANGE(""https://docs.google"&amp;".com/spreadsheets/d/1BJSV3WBYJGRhQ6zExamkszQ5VutGIcaQqmbD9ZTVXMQ/edit#gid=1251630045"",""articles_with_PRISMA_reasons!B2:B2113""))&gt;=2),
""Exclude""
)"),"Exclude")</f>
        <v>Exclude</v>
      </c>
      <c r="E1633" s="5" t="str">
        <f>IFERROR(__xludf.DUMMYFUNCTION("IFS(
D1633=""Exclude"",""Exclude"",
AND(
FILTER(IMPORTRANGE(""https://docs.google.com/spreadsheets/d/1qpEmbGH0JjaJbUdp21-y2cPbobDbMjr09BbtdKROZWc/edit#gid=1444865654"",""articles_with_PRISMA_reasons!W2:W2113""), $A1633=IMPORTRANGE(""https://docs.google.co"&amp;"m/spreadsheets/d/1qpEmbGH0JjaJbUdp21-y2cPbobDbMjr09BbtdKROZWc/edit#gid=1444865654"",""articles_with_PRISMA_reasons!B2:B2113""))&gt;=2,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$A1633=IMPORTRANGE(""https://docs.google.com/spreadsheets/d/1qpEmbGH0JjaJbUdp21-y2cPbobDbMjr09BbtdKROZWc/edit#gid=1444865654"",""articles_with_PRISMA_reasons!B2:B2113""))&lt;2),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$A1633=IMPORTRANGE(""https://docs.google.com/spreadsheets/d/1qpEmbGH0JjaJbUdp21-y2cPbobDbMjr09Bbtd"&amp;"KROZWc/edit#gid=1444865654"",""articles_with_PRISMA_reasons!B2:B2113""))&lt;2,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$A1633=I"&amp;"MPORTRANGE(""https://docs.google.com/spreadsheets/d/1qpEmbGH0JjaJbUdp21-y2cPbobDbMjr09BbtdKROZWc/edit#gid=1444865654"",""articles_with_PRISMA_reasons!B2:B2113""))&gt;=2),
""Exclude""
)"),"Exclude")</f>
        <v>Exclude</v>
      </c>
      <c r="F1633" s="5" t="str">
        <f>IFERROR(__xludf.DUMMYFUNCTION("IFS(
E1633=""Exclude"",""Exclude"",
AND(
COUNTIF(
IMPORTRANGE(""https://docs.google.com/spreadsheets/d/1kGrh75X1cNR1D7_FcY9zMnHP8iPO4M5RCRjy6nZY0TY/edit#gid=0"",""Table 1: Study characteristics!B4:B171""),A1633)&gt;0,
COUNTIF(Studies!$A$2:$A$85,FILTER(IMPORT"&amp;"RANGE(""https://docs.google.com/spreadsheets/d/1kGrh75X1cNR1D7_FcY9zMnHP8iPO4M5RCRjy6nZY0TY/edit#gid=0"",""Table 1: Study characteristics!A4:A171""), $A1633=IMPORTRANGE(""https://docs.google.com/spreadsheets/d/1kGrh75X1cNR1D7_FcY9zMnHP8iPO4M5RCRjy6nZY0TY/"&amp;"edit#gid=0"",""Table 1: Study characteristics!B4:B171"")))&gt;0
),
""Include""
)"),"Exclude")</f>
        <v>Exclude</v>
      </c>
      <c r="G1633" s="5" t="str">
        <f>IFERROR(__xludf.DUMMYFUNCTION("IFS(
D1633=""Exclude"",
FILTER(IMPORTRANGE(""https://docs.google.com/spreadsheets/d/1BJSV3WBYJGRhQ6zExamkszQ5VutGIcaQqmbD9ZTVXMQ/edit#gid=1251630045"",""articles_with_PRISMA_reasons!AB2:AB2113""), $A1633=IMPORTRANGE(""https://docs.google.com/spreadsheets/"&amp;"d/1BJSV3WBYJGRhQ6zExamkszQ5VutGIcaQqmbD9ZTVXMQ/edit#gid=1251630045"",""articles_with_PRISMA_reasons!B2:B2113"")),
E1633=""Exclude"",
FILTER(IMPORTRANGE(""https://docs.google.com/spreadsheets/d/1qpEmbGH0JjaJbUdp21-y2cPbobDbMjr09BbtdKROZWc/edit#gid=14448656"&amp;"54"",""articles_with_PRISMA_reasons!Z2:Z2113""), $A1633=IMPORTRANGE(""https://docs.google.com/spreadsheets/d/1qpEmbGH0JjaJbUdp21-y2cPbobDbMjr09BbtdKROZWc/edit#gid=1444865654"",""articles_with_PRISMA_reasons!B2:B2113"")),F1633
=""Include"",FILTER(IMPORTRAN"&amp;"GE(""https://docs.google.com/spreadsheets/d/1kGrh75X1cNR1D7_FcY9zMnHP8iPO4M5RCRjy6nZY0TY/edit#gid=0"",""Table 1: Study characteristics!A4:A171""), $A1633=IMPORTRANGE(""https://docs.google.com/spreadsheets/d/1kGrh75X1cNR1D7_FcY9zMnHP8iPO4M5RCRjy6nZY0TY/edi"&amp;"t#gid=0"",""Table 1: Study characteristics!B4:B171""))
)"),"wrong publication type")</f>
        <v>wrong publication type</v>
      </c>
    </row>
    <row r="1634">
      <c r="A1634" s="4" t="str">
        <f>IFERROR(__xludf.DUMMYFUNCTION("""COMPUTED_VALUE"""),"Review of practices in Myelomeningocoele repair at King's College Hospital, London")</f>
        <v>Review of practices in Myelomeningocoele repair at King's College Hospital, London</v>
      </c>
      <c r="B1634" s="5" t="str">
        <f>IFERROR(__xludf.DUMMYFUNCTION("LEFT(FILTER(IMPORTRANGE(""https://docs.google.com/spreadsheets/d/1BJSV3WBYJGRhQ6zExamkszQ5VutGIcaQqmbD9ZTVXMQ/edit#gid=1251630045"",""articles_with_PRISMA_reasons!K2:K2113""), $A1634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$A1634=IMPORTRANGE(""https://docs.google.com/spreadsheets/d/1BJSV3WBYJGRhQ6zExamkszQ5VutGIcaQqmbD9ZTVXMQ/edit#gid=1251630045"",""articles_with_PRISMA_reasons!B2:B2113"")))-1)"),"Haq")</f>
        <v>Haq</v>
      </c>
      <c r="C1634" s="6">
        <f>IFERROR(__xludf.DUMMYFUNCTION("FILTER(IMPORTRANGE(""https://docs.google.com/spreadsheets/d/1BJSV3WBYJGRhQ6zExamkszQ5VutGIcaQqmbD9ZTVXMQ/edit#gid=1251630045"",""articles_with_PRISMA_reasons!C2:C2113""), $A1634=IMPORTRANGE(""https://docs.google.com/spreadsheets/d/1BJSV3WBYJGRhQ6zExamkszQ"&amp;"5VutGIcaQqmbD9ZTVXMQ/edit#gid=1251630045"",""articles_with_PRISMA_reasons!B2:B2113""))"),2012.0)</f>
        <v>2012</v>
      </c>
      <c r="D1634" s="5" t="str">
        <f>IFERROR(__xludf.DUMMYFUNCTION("IFS(AND(
FILTER(IMPORTRANGE(""https://docs.google.com/spreadsheets/d/1BJSV3WBYJGRhQ6zExamkszQ5VutGIcaQqmbD9ZTVXMQ/edit#gid=1251630045"",""articles_with_PRISMA_reasons!Y2:Y2113""), $A1634=IMPORTRANGE(""https://docs.google.com/spreadsheets/d/1BJSV3WBYJGRhQ6"&amp;"zExamkszQ5VutGIcaQqmbD9ZTVXMQ/edit#gid=1251630045"",""articles_with_PRISMA_reasons!B2:B2113""))&gt;=2,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$A1634=IMPORTRANGE(""https://docs.google.com/spreadsheets/d/1BJSV3WBYJGRhQ6zExamkszQ5VutGIcaQqmbD9ZTVXMQ/edit#gid=1251630045"",""articles_with_PRISMA_reasons!B2:B2113""))&lt;2),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$A1634=IMPORTRANGE(""https://docs.google.com/spreadsheets/d/1BJSV3WBYJGRhQ6zExamkszQ5VutGIcaQqmbD9ZTVXMQ/edit#gid=1251630045"",""a"&amp;"rticles_with_PRISMA_reasons!B2:B2113""))&lt;2,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$A1634=IMPORTRANGE(""https://docs.google"&amp;".com/spreadsheets/d/1BJSV3WBYJGRhQ6zExamkszQ5VutGIcaQqmbD9ZTVXMQ/edit#gid=1251630045"",""articles_with_PRISMA_reasons!B2:B2113""))&gt;=2),
""Exclude""
)"),"Exclude")</f>
        <v>Exclude</v>
      </c>
      <c r="E1634" s="5" t="str">
        <f>IFERROR(__xludf.DUMMYFUNCTION("IFS(
D1634=""Exclude"",""Exclude"",
AND(
FILTER(IMPORTRANGE(""https://docs.google.com/spreadsheets/d/1qpEmbGH0JjaJbUdp21-y2cPbobDbMjr09BbtdKROZWc/edit#gid=1444865654"",""articles_with_PRISMA_reasons!W2:W2113""), $A1634=IMPORTRANGE(""https://docs.google.co"&amp;"m/spreadsheets/d/1qpEmbGH0JjaJbUdp21-y2cPbobDbMjr09BbtdKROZWc/edit#gid=1444865654"",""articles_with_PRISMA_reasons!B2:B2113""))&gt;=2,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$A1634=IMPORTRANGE(""https://docs.google.com/spreadsheets/d/1qpEmbGH0JjaJbUdp21-y2cPbobDbMjr09BbtdKROZWc/edit#gid=1444865654"",""articles_with_PRISMA_reasons!B2:B2113""))&lt;2),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$A1634=IMPORTRANGE(""https://docs.google.com/spreadsheets/d/1qpEmbGH0JjaJbUdp21-y2cPbobDbMjr09Bbtd"&amp;"KROZWc/edit#gid=1444865654"",""articles_with_PRISMA_reasons!B2:B2113""))&lt;2,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$A1634=I"&amp;"MPORTRANGE(""https://docs.google.com/spreadsheets/d/1qpEmbGH0JjaJbUdp21-y2cPbobDbMjr09BbtdKROZWc/edit#gid=1444865654"",""articles_with_PRISMA_reasons!B2:B2113""))&gt;=2),
""Exclude""
)"),"Exclude")</f>
        <v>Exclude</v>
      </c>
      <c r="F1634" s="5" t="str">
        <f>IFERROR(__xludf.DUMMYFUNCTION("IFS(
E1634=""Exclude"",""Exclude"",
AND(
COUNTIF(
IMPORTRANGE(""https://docs.google.com/spreadsheets/d/1kGrh75X1cNR1D7_FcY9zMnHP8iPO4M5RCRjy6nZY0TY/edit#gid=0"",""Table 1: Study characteristics!B4:B171""),A1634)&gt;0,
COUNTIF(Studies!$A$2:$A$85,FILTER(IMPORT"&amp;"RANGE(""https://docs.google.com/spreadsheets/d/1kGrh75X1cNR1D7_FcY9zMnHP8iPO4M5RCRjy6nZY0TY/edit#gid=0"",""Table 1: Study characteristics!A4:A171""), $A1634=IMPORTRANGE(""https://docs.google.com/spreadsheets/d/1kGrh75X1cNR1D7_FcY9zMnHP8iPO4M5RCRjy6nZY0TY/"&amp;"edit#gid=0"",""Table 1: Study characteristics!B4:B171"")))&gt;0
),
""Include""
)"),"Exclude")</f>
        <v>Exclude</v>
      </c>
      <c r="G1634" s="5" t="str">
        <f>IFERROR(__xludf.DUMMYFUNCTION("IFS(
D1634=""Exclude"",
FILTER(IMPORTRANGE(""https://docs.google.com/spreadsheets/d/1BJSV3WBYJGRhQ6zExamkszQ5VutGIcaQqmbD9ZTVXMQ/edit#gid=1251630045"",""articles_with_PRISMA_reasons!AB2:AB2113""), $A1634=IMPORTRANGE(""https://docs.google.com/spreadsheets/"&amp;"d/1BJSV3WBYJGRhQ6zExamkszQ5VutGIcaQqmbD9ZTVXMQ/edit#gid=1251630045"",""articles_with_PRISMA_reasons!B2:B2113"")),
E1634=""Exclude"",
FILTER(IMPORTRANGE(""https://docs.google.com/spreadsheets/d/1qpEmbGH0JjaJbUdp21-y2cPbobDbMjr09BbtdKROZWc/edit#gid=14448656"&amp;"54"",""articles_with_PRISMA_reasons!Z2:Z2113""), $A1634=IMPORTRANGE(""https://docs.google.com/spreadsheets/d/1qpEmbGH0JjaJbUdp21-y2cPbobDbMjr09BbtdKROZWc/edit#gid=1444865654"",""articles_with_PRISMA_reasons!B2:B2113"")),F1634
=""Include"",FILTER(IMPORTRAN"&amp;"GE(""https://docs.google.com/spreadsheets/d/1kGrh75X1cNR1D7_FcY9zMnHP8iPO4M5RCRjy6nZY0TY/edit#gid=0"",""Table 1: Study characteristics!A4:A171""), $A1634=IMPORTRANGE(""https://docs.google.com/spreadsheets/d/1kGrh75X1cNR1D7_FcY9zMnHP8iPO4M5RCRjy6nZY0TY/edi"&amp;"t#gid=0"",""Table 1: Study characteristics!B4:B171""))
)"),"wrong population")</f>
        <v>wrong population</v>
      </c>
    </row>
    <row r="1635">
      <c r="A1635" s="4" t="str">
        <f>IFERROR(__xludf.DUMMYFUNCTION("""COMPUTED_VALUE"""),"Reviewing the prognostic factors in myelomeningocele")</f>
        <v>Reviewing the prognostic factors in myelomeningocele</v>
      </c>
      <c r="B1635" s="5" t="str">
        <f>IFERROR(__xludf.DUMMYFUNCTION("LEFT(FILTER(IMPORTRANGE(""https://docs.google.com/spreadsheets/d/1BJSV3WBYJGRhQ6zExamkszQ5VutGIcaQqmbD9ZTVXMQ/edit#gid=1251630045"",""articles_with_PRISMA_reasons!K2:K2113""), $A1635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$A1635=IMPORTRANGE(""https://docs.google.com/spreadsheets/d/1BJSV3WBYJGRhQ6zExamkszQ5VutGIcaQqmbD9ZTVXMQ/edit#gid=1251630045"",""articles_with_PRISMA_reasons!B2:B2113"")))-1)"),"Protzenko")</f>
        <v>Protzenko</v>
      </c>
      <c r="C1635" s="6">
        <f>IFERROR(__xludf.DUMMYFUNCTION("FILTER(IMPORTRANGE(""https://docs.google.com/spreadsheets/d/1BJSV3WBYJGRhQ6zExamkszQ5VutGIcaQqmbD9ZTVXMQ/edit#gid=1251630045"",""articles_with_PRISMA_reasons!C2:C2113""), $A1635=IMPORTRANGE(""https://docs.google.com/spreadsheets/d/1BJSV3WBYJGRhQ6zExamkszQ"&amp;"5VutGIcaQqmbD9ZTVXMQ/edit#gid=1251630045"",""articles_with_PRISMA_reasons!B2:B2113""))"),2019.0)</f>
        <v>2019</v>
      </c>
      <c r="D1635" s="5" t="str">
        <f>IFERROR(__xludf.DUMMYFUNCTION("IFS(AND(
FILTER(IMPORTRANGE(""https://docs.google.com/spreadsheets/d/1BJSV3WBYJGRhQ6zExamkszQ5VutGIcaQqmbD9ZTVXMQ/edit#gid=1251630045"",""articles_with_PRISMA_reasons!Y2:Y2113""), $A1635=IMPORTRANGE(""https://docs.google.com/spreadsheets/d/1BJSV3WBYJGRhQ6"&amp;"zExamkszQ5VutGIcaQqmbD9ZTVXMQ/edit#gid=1251630045"",""articles_with_PRISMA_reasons!B2:B2113""))&gt;=2,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$A1635=IMPORTRANGE(""https://docs.google.com/spreadsheets/d/1BJSV3WBYJGRhQ6zExamkszQ5VutGIcaQqmbD9ZTVXMQ/edit#gid=1251630045"",""articles_with_PRISMA_reasons!B2:B2113""))&lt;2),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$A1635=IMPORTRANGE(""https://docs.google.com/spreadsheets/d/1BJSV3WBYJGRhQ6zExamkszQ5VutGIcaQqmbD9ZTVXMQ/edit#gid=1251630045"",""a"&amp;"rticles_with_PRISMA_reasons!B2:B2113""))&lt;2,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$A1635=IMPORTRANGE(""https://docs.google"&amp;".com/spreadsheets/d/1BJSV3WBYJGRhQ6zExamkszQ5VutGIcaQqmbD9ZTVXMQ/edit#gid=1251630045"",""articles_with_PRISMA_reasons!B2:B2113""))&gt;=2),
""Exclude""
)"),"Include")</f>
        <v>Include</v>
      </c>
      <c r="E1635" s="5" t="str">
        <f>IFERROR(__xludf.DUMMYFUNCTION("IFS(
D1635=""Exclude"",""Exclude"",
AND(
FILTER(IMPORTRANGE(""https://docs.google.com/spreadsheets/d/1qpEmbGH0JjaJbUdp21-y2cPbobDbMjr09BbtdKROZWc/edit#gid=1444865654"",""articles_with_PRISMA_reasons!W2:W2113""), $A1635=IMPORTRANGE(""https://docs.google.co"&amp;"m/spreadsheets/d/1qpEmbGH0JjaJbUdp21-y2cPbobDbMjr09BbtdKROZWc/edit#gid=1444865654"",""articles_with_PRISMA_reasons!B2:B2113""))&gt;=2,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$A1635=IMPORTRANGE(""https://docs.google.com/spreadsheets/d/1qpEmbGH0JjaJbUdp21-y2cPbobDbMjr09BbtdKROZWc/edit#gid=1444865654"",""articles_with_PRISMA_reasons!B2:B2113""))&lt;2),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$A1635=IMPORTRANGE(""https://docs.google.com/spreadsheets/d/1qpEmbGH0JjaJbUdp21-y2cPbobDbMjr09Bbtd"&amp;"KROZWc/edit#gid=1444865654"",""articles_with_PRISMA_reasons!B2:B2113""))&lt;2,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$A1635=I"&amp;"MPORTRANGE(""https://docs.google.com/spreadsheets/d/1qpEmbGH0JjaJbUdp21-y2cPbobDbMjr09BbtdKROZWc/edit#gid=1444865654"",""articles_with_PRISMA_reasons!B2:B2113""))&gt;=2),
""Exclude""
)"),"Include")</f>
        <v>Include</v>
      </c>
      <c r="F1635" s="5" t="str">
        <f>IFERROR(__xludf.DUMMYFUNCTION("IFS(
E1635=""Exclude"",""Exclude"",
AND(
COUNTIF(
IMPORTRANGE(""https://docs.google.com/spreadsheets/d/1kGrh75X1cNR1D7_FcY9zMnHP8iPO4M5RCRjy6nZY0TY/edit#gid=0"",""Table 1: Study characteristics!B4:B171""),A1635)&gt;0,
COUNTIF(Studies!$A$2:$A$85,FILTER(IMPORT"&amp;"RANGE(""https://docs.google.com/spreadsheets/d/1kGrh75X1cNR1D7_FcY9zMnHP8iPO4M5RCRjy6nZY0TY/edit#gid=0"",""Table 1: Study characteristics!A4:A171""), $A1635=IMPORTRANGE(""https://docs.google.com/spreadsheets/d/1kGrh75X1cNR1D7_FcY9zMnHP8iPO4M5RCRjy6nZY0TY/"&amp;"edit#gid=0"",""Table 1: Study characteristics!B4:B171"")))&gt;0
),
""Include""
)"),"Include")</f>
        <v>Include</v>
      </c>
      <c r="G1635" s="5" t="str">
        <f>IFERROR(__xludf.DUMMYFUNCTION("IFS(
D1635=""Exclude"",
FILTER(IMPORTRANGE(""https://docs.google.com/spreadsheets/d/1BJSV3WBYJGRhQ6zExamkszQ5VutGIcaQqmbD9ZTVXMQ/edit#gid=1251630045"",""articles_with_PRISMA_reasons!AB2:AB2113""), $A1635=IMPORTRANGE(""https://docs.google.com/spreadsheets/"&amp;"d/1BJSV3WBYJGRhQ6zExamkszQ5VutGIcaQqmbD9ZTVXMQ/edit#gid=1251630045"",""articles_with_PRISMA_reasons!B2:B2113"")),
E1635=""Exclude"",
FILTER(IMPORTRANGE(""https://docs.google.com/spreadsheets/d/1qpEmbGH0JjaJbUdp21-y2cPbobDbMjr09BbtdKROZWc/edit#gid=14448656"&amp;"54"",""articles_with_PRISMA_reasons!Z2:Z2113""), $A1635=IMPORTRANGE(""https://docs.google.com/spreadsheets/d/1qpEmbGH0JjaJbUdp21-y2cPbobDbMjr09BbtdKROZWc/edit#gid=1444865654"",""articles_with_PRISMA_reasons!B2:B2113"")),F1635
=""Include"",FILTER(IMPORTRAN"&amp;"GE(""https://docs.google.com/spreadsheets/d/1kGrh75X1cNR1D7_FcY9zMnHP8iPO4M5RCRjy6nZY0TY/edit#gid=0"",""Table 1: Study characteristics!A4:A171""), $A1635=IMPORTRANGE(""https://docs.google.com/spreadsheets/d/1kGrh75X1cNR1D7_FcY9zMnHP8iPO4M5RCRjy6nZY0TY/edi"&amp;"t#gid=0"",""Table 1: Study characteristics!B4:B171""))
)"),"ID 117")</f>
        <v>ID 117</v>
      </c>
    </row>
    <row r="1636">
      <c r="A1636" s="4" t="str">
        <f>IFERROR(__xludf.DUMMYFUNCTION("""COMPUTED_VALUE"""),"Revisiting Retrograde Ventriculosinus Shunt as an Alternative for Treating Hydrocephalus in Children")</f>
        <v>Revisiting Retrograde Ventriculosinus Shunt as an Alternative for Treating Hydrocephalus in Children</v>
      </c>
      <c r="B1636" s="5" t="str">
        <f>IFERROR(__xludf.DUMMYFUNCTION("LEFT(FILTER(IMPORTRANGE(""https://docs.google.com/spreadsheets/d/1BJSV3WBYJGRhQ6zExamkszQ5VutGIcaQqmbD9ZTVXMQ/edit#gid=1251630045"",""articles_with_PRISMA_reasons!K2:K2113""), $A1636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$A1636=IMPORTRANGE(""https://docs.google.com/spreadsheets/d/1BJSV3WBYJGRhQ6zExamkszQ5VutGIcaQqmbD9ZTVXMQ/edit#gid=1251630045"",""articles_with_PRISMA_reasons!B2:B2113"")))-1)"),"Oliveira")</f>
        <v>Oliveira</v>
      </c>
      <c r="C1636" s="3">
        <v>2017.0</v>
      </c>
      <c r="D1636" s="5" t="str">
        <f>IFERROR(__xludf.DUMMYFUNCTION("IFS(AND(
FILTER(IMPORTRANGE(""https://docs.google.com/spreadsheets/d/1BJSV3WBYJGRhQ6zExamkszQ5VutGIcaQqmbD9ZTVXMQ/edit#gid=1251630045"",""articles_with_PRISMA_reasons!Y2:Y2113""), $A1636=IMPORTRANGE(""https://docs.google.com/spreadsheets/d/1BJSV3WBYJGRhQ6"&amp;"zExamkszQ5VutGIcaQqmbD9ZTVXMQ/edit#gid=1251630045"",""articles_with_PRISMA_reasons!B2:B2113""))&gt;=2,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$A1636=IMPORTRANGE(""https://docs.google.com/spreadsheets/d/1BJSV3WBYJGRhQ6zExamkszQ5VutGIcaQqmbD9ZTVXMQ/edit#gid=1251630045"",""articles_with_PRISMA_reasons!B2:B2113""))&lt;2),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$A1636=IMPORTRANGE(""https://docs.google.com/spreadsheets/d/1BJSV3WBYJGRhQ6zExamkszQ5VutGIcaQqmbD9ZTVXMQ/edit#gid=1251630045"",""a"&amp;"rticles_with_PRISMA_reasons!B2:B2113""))&lt;2,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$A1636=IMPORTRANGE(""https://docs.google"&amp;".com/spreadsheets/d/1BJSV3WBYJGRhQ6zExamkszQ5VutGIcaQqmbD9ZTVXMQ/edit#gid=1251630045"",""articles_with_PRISMA_reasons!B2:B2113""))&gt;=2),
""Exclude""
)"),"Exclude")</f>
        <v>Exclude</v>
      </c>
      <c r="E1636" s="5" t="str">
        <f>IFERROR(__xludf.DUMMYFUNCTION("IFS(
D1636=""Exclude"",""Exclude"",
AND(
FILTER(IMPORTRANGE(""https://docs.google.com/spreadsheets/d/1qpEmbGH0JjaJbUdp21-y2cPbobDbMjr09BbtdKROZWc/edit#gid=1444865654"",""articles_with_PRISMA_reasons!W2:W2113""), $A1636=IMPORTRANGE(""https://docs.google.co"&amp;"m/spreadsheets/d/1qpEmbGH0JjaJbUdp21-y2cPbobDbMjr09BbtdKROZWc/edit#gid=1444865654"",""articles_with_PRISMA_reasons!B2:B2113""))&gt;=2,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$A1636=IMPORTRANGE(""https://docs.google.com/spreadsheets/d/1qpEmbGH0JjaJbUdp21-y2cPbobDbMjr09BbtdKROZWc/edit#gid=1444865654"",""articles_with_PRISMA_reasons!B2:B2113""))&lt;2),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$A1636=IMPORTRANGE(""https://docs.google.com/spreadsheets/d/1qpEmbGH0JjaJbUdp21-y2cPbobDbMjr09Bbtd"&amp;"KROZWc/edit#gid=1444865654"",""articles_with_PRISMA_reasons!B2:B2113""))&lt;2,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$A1636=I"&amp;"MPORTRANGE(""https://docs.google.com/spreadsheets/d/1qpEmbGH0JjaJbUdp21-y2cPbobDbMjr09BbtdKROZWc/edit#gid=1444865654"",""articles_with_PRISMA_reasons!B2:B2113""))&gt;=2),
""Exclude""
)"),"Exclude")</f>
        <v>Exclude</v>
      </c>
      <c r="F1636" s="5" t="str">
        <f>IFERROR(__xludf.DUMMYFUNCTION("IFS(
E1636=""Exclude"",""Exclude"",
AND(
COUNTIF(
IMPORTRANGE(""https://docs.google.com/spreadsheets/d/1kGrh75X1cNR1D7_FcY9zMnHP8iPO4M5RCRjy6nZY0TY/edit#gid=0"",""Table 1: Study characteristics!B4:B171""),A1636)&gt;0,
COUNTIF(Studies!$A$2:$A$85,FILTER(IMPORT"&amp;"RANGE(""https://docs.google.com/spreadsheets/d/1kGrh75X1cNR1D7_FcY9zMnHP8iPO4M5RCRjy6nZY0TY/edit#gid=0"",""Table 1: Study characteristics!A4:A171""), $A1636=IMPORTRANGE(""https://docs.google.com/spreadsheets/d/1kGrh75X1cNR1D7_FcY9zMnHP8iPO4M5RCRjy6nZY0TY/"&amp;"edit#gid=0"",""Table 1: Study characteristics!B4:B171"")))&gt;0
),
""Include""
)"),"Exclude")</f>
        <v>Exclude</v>
      </c>
      <c r="G1636" s="5" t="s">
        <v>7</v>
      </c>
    </row>
    <row r="1637">
      <c r="A1637" s="4" t="str">
        <f>IFERROR(__xludf.DUMMYFUNCTION("""COMPUTED_VALUE"""),"Revisiting Retrograde Ventriculosinus Shunt as an Alternative for Treating Hydrocephalus in Children")</f>
        <v>Revisiting Retrograde Ventriculosinus Shunt as an Alternative for Treating Hydrocephalus in Children</v>
      </c>
      <c r="B1637" s="5" t="str">
        <f>IFERROR(__xludf.DUMMYFUNCTION("LEFT(FILTER(IMPORTRANGE(""https://docs.google.com/spreadsheets/d/1BJSV3WBYJGRhQ6zExamkszQ5VutGIcaQqmbD9ZTVXMQ/edit#gid=1251630045"",""articles_with_PRISMA_reasons!K2:K2113""), $A1637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$A1637=IMPORTRANGE(""https://docs.google.com/spreadsheets/d/1BJSV3WBYJGRhQ6zExamkszQ5VutGIcaQqmbD9ZTVXMQ/edit#gid=1251630045"",""articles_with_PRISMA_reasons!B2:B2113"")))-1)"),"Oliveira")</f>
        <v>Oliveira</v>
      </c>
      <c r="C1637" s="3">
        <v>2017.0</v>
      </c>
      <c r="D1637" s="5" t="str">
        <f>IFERROR(__xludf.DUMMYFUNCTION("IFS(AND(
FILTER(IMPORTRANGE(""https://docs.google.com/spreadsheets/d/1BJSV3WBYJGRhQ6zExamkszQ5VutGIcaQqmbD9ZTVXMQ/edit#gid=1251630045"",""articles_with_PRISMA_reasons!Y2:Y2113""), $A1637=IMPORTRANGE(""https://docs.google.com/spreadsheets/d/1BJSV3WBYJGRhQ6"&amp;"zExamkszQ5VutGIcaQqmbD9ZTVXMQ/edit#gid=1251630045"",""articles_with_PRISMA_reasons!B2:B2113""))&gt;=2,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$A1637=IMPORTRANGE(""https://docs.google.com/spreadsheets/d/1BJSV3WBYJGRhQ6zExamkszQ5VutGIcaQqmbD9ZTVXMQ/edit#gid=1251630045"",""articles_with_PRISMA_reasons!B2:B2113""))&lt;2),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$A1637=IMPORTRANGE(""https://docs.google.com/spreadsheets/d/1BJSV3WBYJGRhQ6zExamkszQ5VutGIcaQqmbD9ZTVXMQ/edit#gid=1251630045"",""a"&amp;"rticles_with_PRISMA_reasons!B2:B2113""))&lt;2,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$A1637=IMPORTRANGE(""https://docs.google"&amp;".com/spreadsheets/d/1BJSV3WBYJGRhQ6zExamkszQ5VutGIcaQqmbD9ZTVXMQ/edit#gid=1251630045"",""articles_with_PRISMA_reasons!B2:B2113""))&gt;=2),
""Exclude""
)"),"Exclude")</f>
        <v>Exclude</v>
      </c>
      <c r="E1637" s="5" t="str">
        <f>IFERROR(__xludf.DUMMYFUNCTION("IFS(
D1637=""Exclude"",""Exclude"",
AND(
FILTER(IMPORTRANGE(""https://docs.google.com/spreadsheets/d/1qpEmbGH0JjaJbUdp21-y2cPbobDbMjr09BbtdKROZWc/edit#gid=1444865654"",""articles_with_PRISMA_reasons!W2:W2113""), $A1637=IMPORTRANGE(""https://docs.google.co"&amp;"m/spreadsheets/d/1qpEmbGH0JjaJbUdp21-y2cPbobDbMjr09BbtdKROZWc/edit#gid=1444865654"",""articles_with_PRISMA_reasons!B2:B2113""))&gt;=2,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$A1637=IMPORTRANGE(""https://docs.google.com/spreadsheets/d/1qpEmbGH0JjaJbUdp21-y2cPbobDbMjr09BbtdKROZWc/edit#gid=1444865654"",""articles_with_PRISMA_reasons!B2:B2113""))&lt;2),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$A1637=IMPORTRANGE(""https://docs.google.com/spreadsheets/d/1qpEmbGH0JjaJbUdp21-y2cPbobDbMjr09Bbtd"&amp;"KROZWc/edit#gid=1444865654"",""articles_with_PRISMA_reasons!B2:B2113""))&lt;2,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$A1637=I"&amp;"MPORTRANGE(""https://docs.google.com/spreadsheets/d/1qpEmbGH0JjaJbUdp21-y2cPbobDbMjr09BbtdKROZWc/edit#gid=1444865654"",""articles_with_PRISMA_reasons!B2:B2113""))&gt;=2),
""Exclude""
)"),"Exclude")</f>
        <v>Exclude</v>
      </c>
      <c r="F1637" s="5" t="str">
        <f>IFERROR(__xludf.DUMMYFUNCTION("IFS(
E1637=""Exclude"",""Exclude"",
AND(
COUNTIF(
IMPORTRANGE(""https://docs.google.com/spreadsheets/d/1kGrh75X1cNR1D7_FcY9zMnHP8iPO4M5RCRjy6nZY0TY/edit#gid=0"",""Table 1: Study characteristics!B4:B171""),A1637)&gt;0,
COUNTIF(Studies!$A$2:$A$85,FILTER(IMPORT"&amp;"RANGE(""https://docs.google.com/spreadsheets/d/1kGrh75X1cNR1D7_FcY9zMnHP8iPO4M5RCRjy6nZY0TY/edit#gid=0"",""Table 1: Study characteristics!A4:A171""), $A1637=IMPORTRANGE(""https://docs.google.com/spreadsheets/d/1kGrh75X1cNR1D7_FcY9zMnHP8iPO4M5RCRjy6nZY0TY/"&amp;"edit#gid=0"",""Table 1: Study characteristics!B4:B171"")))&gt;0
),
""Include""
)"),"Exclude")</f>
        <v>Exclude</v>
      </c>
      <c r="G1637" s="2" t="s">
        <v>13</v>
      </c>
    </row>
    <row r="1638">
      <c r="A1638" s="4" t="str">
        <f>IFERROR(__xludf.DUMMYFUNCTION("""COMPUTED_VALUE"""),"Rhombencephalosynapsis: Embryopathology and management strategies of associated neurosurgical conditions with a review of the literature")</f>
        <v>Rhombencephalosynapsis: Embryopathology and management strategies of associated neurosurgical conditions with a review of the literature</v>
      </c>
      <c r="B1638" s="5" t="str">
        <f>IFERROR(__xludf.DUMMYFUNCTION("LEFT(FILTER(IMPORTRANGE(""https://docs.google.com/spreadsheets/d/1BJSV3WBYJGRhQ6zExamkszQ5VutGIcaQqmbD9ZTVXMQ/edit#gid=1251630045"",""articles_with_PRISMA_reasons!K2:K2113""), $A1638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$A1638=IMPORTRANGE(""https://docs.google.com/spreadsheets/d/1BJSV3WBYJGRhQ6zExamkszQ5VutGIcaQqmbD9ZTVXMQ/edit#gid=1251630045"",""articles_with_PRISMA_reasons!B2:B2113"")))-1)"),"Weaver")</f>
        <v>Weaver</v>
      </c>
      <c r="C1638" s="6">
        <f>IFERROR(__xludf.DUMMYFUNCTION("FILTER(IMPORTRANGE(""https://docs.google.com/spreadsheets/d/1BJSV3WBYJGRhQ6zExamkszQ5VutGIcaQqmbD9ZTVXMQ/edit#gid=1251630045"",""articles_with_PRISMA_reasons!C2:C2113""), $A1638=IMPORTRANGE(""https://docs.google.com/spreadsheets/d/1BJSV3WBYJGRhQ6zExamkszQ"&amp;"5VutGIcaQqmbD9ZTVXMQ/edit#gid=1251630045"",""articles_with_PRISMA_reasons!B2:B2113""))"),2013.0)</f>
        <v>2013</v>
      </c>
      <c r="D1638" s="5" t="str">
        <f>IFERROR(__xludf.DUMMYFUNCTION("IFS(AND(
FILTER(IMPORTRANGE(""https://docs.google.com/spreadsheets/d/1BJSV3WBYJGRhQ6zExamkszQ5VutGIcaQqmbD9ZTVXMQ/edit#gid=1251630045"",""articles_with_PRISMA_reasons!Y2:Y2113""), $A1638=IMPORTRANGE(""https://docs.google.com/spreadsheets/d/1BJSV3WBYJGRhQ6"&amp;"zExamkszQ5VutGIcaQqmbD9ZTVXMQ/edit#gid=1251630045"",""articles_with_PRISMA_reasons!B2:B2113""))&gt;=2,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$A1638=IMPORTRANGE(""https://docs.google.com/spreadsheets/d/1BJSV3WBYJGRhQ6zExamkszQ5VutGIcaQqmbD9ZTVXMQ/edit#gid=1251630045"",""articles_with_PRISMA_reasons!B2:B2113""))&lt;2),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$A1638=IMPORTRANGE(""https://docs.google.com/spreadsheets/d/1BJSV3WBYJGRhQ6zExamkszQ5VutGIcaQqmbD9ZTVXMQ/edit#gid=1251630045"",""a"&amp;"rticles_with_PRISMA_reasons!B2:B2113""))&lt;2,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$A1638=IMPORTRANGE(""https://docs.google"&amp;".com/spreadsheets/d/1BJSV3WBYJGRhQ6zExamkszQ5VutGIcaQqmbD9ZTVXMQ/edit#gid=1251630045"",""articles_with_PRISMA_reasons!B2:B2113""))&gt;=2),
""Exclude""
)"),"Exclude")</f>
        <v>Exclude</v>
      </c>
      <c r="E1638" s="5" t="str">
        <f>IFERROR(__xludf.DUMMYFUNCTION("IFS(
D1638=""Exclude"",""Exclude"",
AND(
FILTER(IMPORTRANGE(""https://docs.google.com/spreadsheets/d/1qpEmbGH0JjaJbUdp21-y2cPbobDbMjr09BbtdKROZWc/edit#gid=1444865654"",""articles_with_PRISMA_reasons!W2:W2113""), $A1638=IMPORTRANGE(""https://docs.google.co"&amp;"m/spreadsheets/d/1qpEmbGH0JjaJbUdp21-y2cPbobDbMjr09BbtdKROZWc/edit#gid=1444865654"",""articles_with_PRISMA_reasons!B2:B2113""))&gt;=2,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$A1638=IMPORTRANGE(""https://docs.google.com/spreadsheets/d/1qpEmbGH0JjaJbUdp21-y2cPbobDbMjr09BbtdKROZWc/edit#gid=1444865654"",""articles_with_PRISMA_reasons!B2:B2113""))&lt;2),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$A1638=IMPORTRANGE(""https://docs.google.com/spreadsheets/d/1qpEmbGH0JjaJbUdp21-y2cPbobDbMjr09Bbtd"&amp;"KROZWc/edit#gid=1444865654"",""articles_with_PRISMA_reasons!B2:B2113""))&lt;2,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$A1638=I"&amp;"MPORTRANGE(""https://docs.google.com/spreadsheets/d/1qpEmbGH0JjaJbUdp21-y2cPbobDbMjr09BbtdKROZWc/edit#gid=1444865654"",""articles_with_PRISMA_reasons!B2:B2113""))&gt;=2),
""Exclude""
)"),"Exclude")</f>
        <v>Exclude</v>
      </c>
      <c r="F1638" s="5" t="str">
        <f>IFERROR(__xludf.DUMMYFUNCTION("IFS(
E1638=""Exclude"",""Exclude"",
AND(
COUNTIF(
IMPORTRANGE(""https://docs.google.com/spreadsheets/d/1kGrh75X1cNR1D7_FcY9zMnHP8iPO4M5RCRjy6nZY0TY/edit#gid=0"",""Table 1: Study characteristics!B4:B171""),A1638)&gt;0,
COUNTIF(Studies!$A$2:$A$85,FILTER(IMPORT"&amp;"RANGE(""https://docs.google.com/spreadsheets/d/1kGrh75X1cNR1D7_FcY9zMnHP8iPO4M5RCRjy6nZY0TY/edit#gid=0"",""Table 1: Study characteristics!A4:A171""), $A1638=IMPORTRANGE(""https://docs.google.com/spreadsheets/d/1kGrh75X1cNR1D7_FcY9zMnHP8iPO4M5RCRjy6nZY0TY/"&amp;"edit#gid=0"",""Table 1: Study characteristics!B4:B171"")))&gt;0
),
""Include""
)"),"Exclude")</f>
        <v>Exclude</v>
      </c>
      <c r="G1638" s="5" t="str">
        <f>IFERROR(__xludf.DUMMYFUNCTION("IFS(
D1638=""Exclude"",
FILTER(IMPORTRANGE(""https://docs.google.com/spreadsheets/d/1BJSV3WBYJGRhQ6zExamkszQ5VutGIcaQqmbD9ZTVXMQ/edit#gid=1251630045"",""articles_with_PRISMA_reasons!AB2:AB2113""), $A1638=IMPORTRANGE(""https://docs.google.com/spreadsheets/"&amp;"d/1BJSV3WBYJGRhQ6zExamkszQ5VutGIcaQqmbD9ZTVXMQ/edit#gid=1251630045"",""articles_with_PRISMA_reasons!B2:B2113"")),
E1638=""Exclude"",
FILTER(IMPORTRANGE(""https://docs.google.com/spreadsheets/d/1qpEmbGH0JjaJbUdp21-y2cPbobDbMjr09BbtdKROZWc/edit#gid=14448656"&amp;"54"",""articles_with_PRISMA_reasons!Z2:Z2113""), $A1638=IMPORTRANGE(""https://docs.google.com/spreadsheets/d/1qpEmbGH0JjaJbUdp21-y2cPbobDbMjr09BbtdKROZWc/edit#gid=1444865654"",""articles_with_PRISMA_reasons!B2:B2113"")),F1638
=""Include"",FILTER(IMPORTRAN"&amp;"GE(""https://docs.google.com/spreadsheets/d/1kGrh75X1cNR1D7_FcY9zMnHP8iPO4M5RCRjy6nZY0TY/edit#gid=0"",""Table 1: Study characteristics!A4:A171""), $A1638=IMPORTRANGE(""https://docs.google.com/spreadsheets/d/1kGrh75X1cNR1D7_FcY9zMnHP8iPO4M5RCRjy6nZY0TY/edi"&amp;"t#gid=0"",""Table 1: Study characteristics!B4:B171""))
)"),"wrong population")</f>
        <v>wrong population</v>
      </c>
    </row>
    <row r="1639">
      <c r="A1639" s="4" t="str">
        <f>IFERROR(__xludf.DUMMYFUNCTION("""COMPUTED_VALUE"""),"Rifampin-impregnated silicone catheters: A potential tool for prevention and treatment of CSF shunt infections")</f>
        <v>Rifampin-impregnated silicone catheters: A potential tool for prevention and treatment of CSF shunt infections</v>
      </c>
      <c r="B1639" s="5" t="str">
        <f>IFERROR(__xludf.DUMMYFUNCTION("LEFT(FILTER(IMPORTRANGE(""https://docs.google.com/spreadsheets/d/1BJSV3WBYJGRhQ6zExamkszQ5VutGIcaQqmbD9ZTVXMQ/edit#gid=1251630045"",""articles_with_PRISMA_reasons!K2:K2113""), $A1639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$A1639=IMPORTRANGE(""https://docs.google.com/spreadsheets/d/1BJSV3WBYJGRhQ6zExamkszQ5VutGIcaQqmbD9ZTVXMQ/edit#gid=1251630045"",""articles_with_PRISMA_reasons!B2:B2113"")))-1)"),"Hampl")</f>
        <v>Hampl</v>
      </c>
      <c r="C1639" s="6">
        <f>IFERROR(__xludf.DUMMYFUNCTION("FILTER(IMPORTRANGE(""https://docs.google.com/spreadsheets/d/1BJSV3WBYJGRhQ6zExamkszQ5VutGIcaQqmbD9ZTVXMQ/edit#gid=1251630045"",""articles_with_PRISMA_reasons!C2:C2113""), $A1639=IMPORTRANGE(""https://docs.google.com/spreadsheets/d/1BJSV3WBYJGRhQ6zExamkszQ"&amp;"5VutGIcaQqmbD9ZTVXMQ/edit#gid=1251630045"",""articles_with_PRISMA_reasons!B2:B2113""))"),2003.0)</f>
        <v>2003</v>
      </c>
      <c r="D1639" s="5" t="str">
        <f>IFERROR(__xludf.DUMMYFUNCTION("IFS(AND(
FILTER(IMPORTRANGE(""https://docs.google.com/spreadsheets/d/1BJSV3WBYJGRhQ6zExamkszQ5VutGIcaQqmbD9ZTVXMQ/edit#gid=1251630045"",""articles_with_PRISMA_reasons!Y2:Y2113""), $A1639=IMPORTRANGE(""https://docs.google.com/spreadsheets/d/1BJSV3WBYJGRhQ6"&amp;"zExamkszQ5VutGIcaQqmbD9ZTVXMQ/edit#gid=1251630045"",""articles_with_PRISMA_reasons!B2:B2113""))&gt;=2,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$A1639=IMPORTRANGE(""https://docs.google.com/spreadsheets/d/1BJSV3WBYJGRhQ6zExamkszQ5VutGIcaQqmbD9ZTVXMQ/edit#gid=1251630045"",""articles_with_PRISMA_reasons!B2:B2113""))&lt;2),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$A1639=IMPORTRANGE(""https://docs.google.com/spreadsheets/d/1BJSV3WBYJGRhQ6zExamkszQ5VutGIcaQqmbD9ZTVXMQ/edit#gid=1251630045"",""a"&amp;"rticles_with_PRISMA_reasons!B2:B2113""))&lt;2,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$A1639=IMPORTRANGE(""https://docs.google"&amp;".com/spreadsheets/d/1BJSV3WBYJGRhQ6zExamkszQ5VutGIcaQqmbD9ZTVXMQ/edit#gid=1251630045"",""articles_with_PRISMA_reasons!B2:B2113""))&gt;=2),
""Exclude""
)"),"Exclude")</f>
        <v>Exclude</v>
      </c>
      <c r="E1639" s="5" t="str">
        <f>IFERROR(__xludf.DUMMYFUNCTION("IFS(
D1639=""Exclude"",""Exclude"",
AND(
FILTER(IMPORTRANGE(""https://docs.google.com/spreadsheets/d/1qpEmbGH0JjaJbUdp21-y2cPbobDbMjr09BbtdKROZWc/edit#gid=1444865654"",""articles_with_PRISMA_reasons!W2:W2113""), $A1639=IMPORTRANGE(""https://docs.google.co"&amp;"m/spreadsheets/d/1qpEmbGH0JjaJbUdp21-y2cPbobDbMjr09BbtdKROZWc/edit#gid=1444865654"",""articles_with_PRISMA_reasons!B2:B2113""))&gt;=2,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$A1639=IMPORTRANGE(""https://docs.google.com/spreadsheets/d/1qpEmbGH0JjaJbUdp21-y2cPbobDbMjr09BbtdKROZWc/edit#gid=1444865654"",""articles_with_PRISMA_reasons!B2:B2113""))&lt;2),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$A1639=IMPORTRANGE(""https://docs.google.com/spreadsheets/d/1qpEmbGH0JjaJbUdp21-y2cPbobDbMjr09Bbtd"&amp;"KROZWc/edit#gid=1444865654"",""articles_with_PRISMA_reasons!B2:B2113""))&lt;2,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$A1639=I"&amp;"MPORTRANGE(""https://docs.google.com/spreadsheets/d/1qpEmbGH0JjaJbUdp21-y2cPbobDbMjr09BbtdKROZWc/edit#gid=1444865654"",""articles_with_PRISMA_reasons!B2:B2113""))&gt;=2),
""Exclude""
)"),"Exclude")</f>
        <v>Exclude</v>
      </c>
      <c r="F1639" s="5" t="str">
        <f>IFERROR(__xludf.DUMMYFUNCTION("IFS(
E1639=""Exclude"",""Exclude"",
AND(
COUNTIF(
IMPORTRANGE(""https://docs.google.com/spreadsheets/d/1kGrh75X1cNR1D7_FcY9zMnHP8iPO4M5RCRjy6nZY0TY/edit#gid=0"",""Table 1: Study characteristics!B4:B171""),A1639)&gt;0,
COUNTIF(Studies!$A$2:$A$85,FILTER(IMPORT"&amp;"RANGE(""https://docs.google.com/spreadsheets/d/1kGrh75X1cNR1D7_FcY9zMnHP8iPO4M5RCRjy6nZY0TY/edit#gid=0"",""Table 1: Study characteristics!A4:A171""), $A1639=IMPORTRANGE(""https://docs.google.com/spreadsheets/d/1kGrh75X1cNR1D7_FcY9zMnHP8iPO4M5RCRjy6nZY0TY/"&amp;"edit#gid=0"",""Table 1: Study characteristics!B4:B171"")))&gt;0
),
""Include""
)"),"Exclude")</f>
        <v>Exclude</v>
      </c>
      <c r="G1639" s="5" t="str">
        <f>IFERROR(__xludf.DUMMYFUNCTION("IFS(
D1639=""Exclude"",
FILTER(IMPORTRANGE(""https://docs.google.com/spreadsheets/d/1BJSV3WBYJGRhQ6zExamkszQ5VutGIcaQqmbD9ZTVXMQ/edit#gid=1251630045"",""articles_with_PRISMA_reasons!AB2:AB2113""), $A1639=IMPORTRANGE(""https://docs.google.com/spreadsheets/"&amp;"d/1BJSV3WBYJGRhQ6zExamkszQ5VutGIcaQqmbD9ZTVXMQ/edit#gid=1251630045"",""articles_with_PRISMA_reasons!B2:B2113"")),
E1639=""Exclude"",
FILTER(IMPORTRANGE(""https://docs.google.com/spreadsheets/d/1qpEmbGH0JjaJbUdp21-y2cPbobDbMjr09BbtdKROZWc/edit#gid=14448656"&amp;"54"",""articles_with_PRISMA_reasons!Z2:Z2113""), $A1639=IMPORTRANGE(""https://docs.google.com/spreadsheets/d/1qpEmbGH0JjaJbUdp21-y2cPbobDbMjr09BbtdKROZWc/edit#gid=1444865654"",""articles_with_PRISMA_reasons!B2:B2113"")),F1639
=""Include"",FILTER(IMPORTRAN"&amp;"GE(""https://docs.google.com/spreadsheets/d/1kGrh75X1cNR1D7_FcY9zMnHP8iPO4M5RCRjy6nZY0TY/edit#gid=0"",""Table 1: Study characteristics!A4:A171""), $A1639=IMPORTRANGE(""https://docs.google.com/spreadsheets/d/1kGrh75X1cNR1D7_FcY9zMnHP8iPO4M5RCRjy6nZY0TY/edi"&amp;"t#gid=0"",""Table 1: Study characteristics!B4:B171""))
)"),"wrong population")</f>
        <v>wrong population</v>
      </c>
    </row>
    <row r="1640">
      <c r="A1640" s="4" t="str">
        <f>IFERROR(__xludf.DUMMYFUNCTION("""COMPUTED_VALUE"""),"Right-sided congenital diaphragmatic hernia and myelomeningocele: A rare association")</f>
        <v>Right-sided congenital diaphragmatic hernia and myelomeningocele: A rare association</v>
      </c>
      <c r="B1640" s="5" t="str">
        <f>IFERROR(__xludf.DUMMYFUNCTION("LEFT(FILTER(IMPORTRANGE(""https://docs.google.com/spreadsheets/d/1BJSV3WBYJGRhQ6zExamkszQ5VutGIcaQqmbD9ZTVXMQ/edit#gid=1251630045"",""articles_with_PRISMA_reasons!K2:K2113""), $A1640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$A1640=IMPORTRANGE(""https://docs.google.com/spreadsheets/d/1BJSV3WBYJGRhQ6zExamkszQ5VutGIcaQqmbD9ZTVXMQ/edit#gid=1251630045"",""articles_with_PRISMA_reasons!B2:B2113"")))-1)"),"Ali")</f>
        <v>Ali</v>
      </c>
      <c r="C1640" s="6">
        <f>IFERROR(__xludf.DUMMYFUNCTION("FILTER(IMPORTRANGE(""https://docs.google.com/spreadsheets/d/1BJSV3WBYJGRhQ6zExamkszQ5VutGIcaQqmbD9ZTVXMQ/edit#gid=1251630045"",""articles_with_PRISMA_reasons!C2:C2113""), $A1640=IMPORTRANGE(""https://docs.google.com/spreadsheets/d/1BJSV3WBYJGRhQ6zExamkszQ"&amp;"5VutGIcaQqmbD9ZTVXMQ/edit#gid=1251630045"",""articles_with_PRISMA_reasons!B2:B2113""))"),2016.0)</f>
        <v>2016</v>
      </c>
      <c r="D1640" s="5" t="str">
        <f>IFERROR(__xludf.DUMMYFUNCTION("IFS(AND(
FILTER(IMPORTRANGE(""https://docs.google.com/spreadsheets/d/1BJSV3WBYJGRhQ6zExamkszQ5VutGIcaQqmbD9ZTVXMQ/edit#gid=1251630045"",""articles_with_PRISMA_reasons!Y2:Y2113""), $A1640=IMPORTRANGE(""https://docs.google.com/spreadsheets/d/1BJSV3WBYJGRhQ6"&amp;"zExamkszQ5VutGIcaQqmbD9ZTVXMQ/edit#gid=1251630045"",""articles_with_PRISMA_reasons!B2:B2113""))&gt;=2,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$A1640=IMPORTRANGE(""https://docs.google.com/spreadsheets/d/1BJSV3WBYJGRhQ6zExamkszQ5VutGIcaQqmbD9ZTVXMQ/edit#gid=1251630045"",""articles_with_PRISMA_reasons!B2:B2113""))&lt;2),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$A1640=IMPORTRANGE(""https://docs.google.com/spreadsheets/d/1BJSV3WBYJGRhQ6zExamkszQ5VutGIcaQqmbD9ZTVXMQ/edit#gid=1251630045"",""a"&amp;"rticles_with_PRISMA_reasons!B2:B2113""))&lt;2,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$A1640=IMPORTRANGE(""https://docs.google"&amp;".com/spreadsheets/d/1BJSV3WBYJGRhQ6zExamkszQ5VutGIcaQqmbD9ZTVXMQ/edit#gid=1251630045"",""articles_with_PRISMA_reasons!B2:B2113""))&gt;=2),
""Exclude""
)"),"Exclude")</f>
        <v>Exclude</v>
      </c>
      <c r="E1640" s="5" t="str">
        <f>IFERROR(__xludf.DUMMYFUNCTION("IFS(
D1640=""Exclude"",""Exclude"",
AND(
FILTER(IMPORTRANGE(""https://docs.google.com/spreadsheets/d/1qpEmbGH0JjaJbUdp21-y2cPbobDbMjr09BbtdKROZWc/edit#gid=1444865654"",""articles_with_PRISMA_reasons!W2:W2113""), $A1640=IMPORTRANGE(""https://docs.google.co"&amp;"m/spreadsheets/d/1qpEmbGH0JjaJbUdp21-y2cPbobDbMjr09BbtdKROZWc/edit#gid=1444865654"",""articles_with_PRISMA_reasons!B2:B2113""))&gt;=2,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$A1640=IMPORTRANGE(""https://docs.google.com/spreadsheets/d/1qpEmbGH0JjaJbUdp21-y2cPbobDbMjr09BbtdKROZWc/edit#gid=1444865654"",""articles_with_PRISMA_reasons!B2:B2113""))&lt;2),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$A1640=IMPORTRANGE(""https://docs.google.com/spreadsheets/d/1qpEmbGH0JjaJbUdp21-y2cPbobDbMjr09Bbtd"&amp;"KROZWc/edit#gid=1444865654"",""articles_with_PRISMA_reasons!B2:B2113""))&lt;2,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$A1640=I"&amp;"MPORTRANGE(""https://docs.google.com/spreadsheets/d/1qpEmbGH0JjaJbUdp21-y2cPbobDbMjr09BbtdKROZWc/edit#gid=1444865654"",""articles_with_PRISMA_reasons!B2:B2113""))&gt;=2),
""Exclude""
)"),"Exclude")</f>
        <v>Exclude</v>
      </c>
      <c r="F1640" s="5" t="str">
        <f>IFERROR(__xludf.DUMMYFUNCTION("IFS(
E1640=""Exclude"",""Exclude"",
AND(
COUNTIF(
IMPORTRANGE(""https://docs.google.com/spreadsheets/d/1kGrh75X1cNR1D7_FcY9zMnHP8iPO4M5RCRjy6nZY0TY/edit#gid=0"",""Table 1: Study characteristics!B4:B171""),A1640)&gt;0,
COUNTIF(Studies!$A$2:$A$85,FILTER(IMPORT"&amp;"RANGE(""https://docs.google.com/spreadsheets/d/1kGrh75X1cNR1D7_FcY9zMnHP8iPO4M5RCRjy6nZY0TY/edit#gid=0"",""Table 1: Study characteristics!A4:A171""), $A1640=IMPORTRANGE(""https://docs.google.com/spreadsheets/d/1kGrh75X1cNR1D7_FcY9zMnHP8iPO4M5RCRjy6nZY0TY/"&amp;"edit#gid=0"",""Table 1: Study characteristics!B4:B171"")))&gt;0
),
""Include""
)"),"Exclude")</f>
        <v>Exclude</v>
      </c>
      <c r="G1640" s="5" t="str">
        <f>IFERROR(__xludf.DUMMYFUNCTION("IFS(
D1640=""Exclude"",
FILTER(IMPORTRANGE(""https://docs.google.com/spreadsheets/d/1BJSV3WBYJGRhQ6zExamkszQ5VutGIcaQqmbD9ZTVXMQ/edit#gid=1251630045"",""articles_with_PRISMA_reasons!AB2:AB2113""), $A1640=IMPORTRANGE(""https://docs.google.com/spreadsheets/"&amp;"d/1BJSV3WBYJGRhQ6zExamkszQ5VutGIcaQqmbD9ZTVXMQ/edit#gid=1251630045"",""articles_with_PRISMA_reasons!B2:B2113"")),
E1640=""Exclude"",
FILTER(IMPORTRANGE(""https://docs.google.com/spreadsheets/d/1qpEmbGH0JjaJbUdp21-y2cPbobDbMjr09BbtdKROZWc/edit#gid=14448656"&amp;"54"",""articles_with_PRISMA_reasons!Z2:Z2113""), $A1640=IMPORTRANGE(""https://docs.google.com/spreadsheets/d/1qpEmbGH0JjaJbUdp21-y2cPbobDbMjr09BbtdKROZWc/edit#gid=1444865654"",""articles_with_PRISMA_reasons!B2:B2113"")),F1640
=""Include"",FILTER(IMPORTRAN"&amp;"GE(""https://docs.google.com/spreadsheets/d/1kGrh75X1cNR1D7_FcY9zMnHP8iPO4M5RCRjy6nZY0TY/edit#gid=0"",""Table 1: Study characteristics!A4:A171""), $A1640=IMPORTRANGE(""https://docs.google.com/spreadsheets/d/1kGrh75X1cNR1D7_FcY9zMnHP8iPO4M5RCRjy6nZY0TY/edi"&amp;"t#gid=0"",""Table 1: Study characteristics!B4:B171""))
)"),"wrong publication type")</f>
        <v>wrong publication type</v>
      </c>
    </row>
    <row r="1641">
      <c r="A1641" s="4" t="str">
        <f>IFERROR(__xludf.DUMMYFUNCTION("""COMPUTED_VALUE"""),"Risk factors for first cerebrospinal fluid shunt infection: Findings from a multi-center prospective cohort study")</f>
        <v>Risk factors for first cerebrospinal fluid shunt infection: Findings from a multi-center prospective cohort study</v>
      </c>
      <c r="B1641" s="5" t="str">
        <f>IFERROR(__xludf.DUMMYFUNCTION("LEFT(FILTER(IMPORTRANGE(""https://docs.google.com/spreadsheets/d/1BJSV3WBYJGRhQ6zExamkszQ5VutGIcaQqmbD9ZTVXMQ/edit#gid=1251630045"",""articles_with_PRISMA_reasons!K2:K2113""), $A1641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$A1641=IMPORTRANGE(""https://docs.google.com/spreadsheets/d/1BJSV3WBYJGRhQ6zExamkszQ5VutGIcaQqmbD9ZTVXMQ/edit#gid=1251630045"",""articles_with_PRISMA_reasons!B2:B2113"")))-1)"),"Simon")</f>
        <v>Simon</v>
      </c>
      <c r="C1641" s="6">
        <f>IFERROR(__xludf.DUMMYFUNCTION("FILTER(IMPORTRANGE(""https://docs.google.com/spreadsheets/d/1BJSV3WBYJGRhQ6zExamkszQ5VutGIcaQqmbD9ZTVXMQ/edit#gid=1251630045"",""articles_with_PRISMA_reasons!C2:C2113""), $A1641=IMPORTRANGE(""https://docs.google.com/spreadsheets/d/1BJSV3WBYJGRhQ6zExamkszQ"&amp;"5VutGIcaQqmbD9ZTVXMQ/edit#gid=1251630045"",""articles_with_PRISMA_reasons!B2:B2113""))"),2014.0)</f>
        <v>2014</v>
      </c>
      <c r="D1641" s="5" t="str">
        <f>IFERROR(__xludf.DUMMYFUNCTION("IFS(AND(
FILTER(IMPORTRANGE(""https://docs.google.com/spreadsheets/d/1BJSV3WBYJGRhQ6zExamkszQ5VutGIcaQqmbD9ZTVXMQ/edit#gid=1251630045"",""articles_with_PRISMA_reasons!Y2:Y2113""), $A1641=IMPORTRANGE(""https://docs.google.com/spreadsheets/d/1BJSV3WBYJGRhQ6"&amp;"zExamkszQ5VutGIcaQqmbD9ZTVXMQ/edit#gid=1251630045"",""articles_with_PRISMA_reasons!B2:B2113""))&gt;=2,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$A1641=IMPORTRANGE(""https://docs.google.com/spreadsheets/d/1BJSV3WBYJGRhQ6zExamkszQ5VutGIcaQqmbD9ZTVXMQ/edit#gid=1251630045"",""articles_with_PRISMA_reasons!B2:B2113""))&lt;2),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$A1641=IMPORTRANGE(""https://docs.google.com/spreadsheets/d/1BJSV3WBYJGRhQ6zExamkszQ5VutGIcaQqmbD9ZTVXMQ/edit#gid=1251630045"",""a"&amp;"rticles_with_PRISMA_reasons!B2:B2113""))&lt;2,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$A1641=IMPORTRANGE(""https://docs.google"&amp;".com/spreadsheets/d/1BJSV3WBYJGRhQ6zExamkszQ5VutGIcaQqmbD9ZTVXMQ/edit#gid=1251630045"",""articles_with_PRISMA_reasons!B2:B2113""))&gt;=2),
""Exclude""
)"),"Exclude")</f>
        <v>Exclude</v>
      </c>
      <c r="E1641" s="5" t="str">
        <f>IFERROR(__xludf.DUMMYFUNCTION("IFS(
D1641=""Exclude"",""Exclude"",
AND(
FILTER(IMPORTRANGE(""https://docs.google.com/spreadsheets/d/1qpEmbGH0JjaJbUdp21-y2cPbobDbMjr09BbtdKROZWc/edit#gid=1444865654"",""articles_with_PRISMA_reasons!W2:W2113""), $A1641=IMPORTRANGE(""https://docs.google.co"&amp;"m/spreadsheets/d/1qpEmbGH0JjaJbUdp21-y2cPbobDbMjr09BbtdKROZWc/edit#gid=1444865654"",""articles_with_PRISMA_reasons!B2:B2113""))&gt;=2,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$A1641=IMPORTRANGE(""https://docs.google.com/spreadsheets/d/1qpEmbGH0JjaJbUdp21-y2cPbobDbMjr09BbtdKROZWc/edit#gid=1444865654"",""articles_with_PRISMA_reasons!B2:B2113""))&lt;2),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$A1641=IMPORTRANGE(""https://docs.google.com/spreadsheets/d/1qpEmbGH0JjaJbUdp21-y2cPbobDbMjr09Bbtd"&amp;"KROZWc/edit#gid=1444865654"",""articles_with_PRISMA_reasons!B2:B2113""))&lt;2,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$A1641=I"&amp;"MPORTRANGE(""https://docs.google.com/spreadsheets/d/1qpEmbGH0JjaJbUdp21-y2cPbobDbMjr09BbtdKROZWc/edit#gid=1444865654"",""articles_with_PRISMA_reasons!B2:B2113""))&gt;=2),
""Exclude""
)"),"Exclude")</f>
        <v>Exclude</v>
      </c>
      <c r="F1641" s="5" t="str">
        <f>IFERROR(__xludf.DUMMYFUNCTION("IFS(
E1641=""Exclude"",""Exclude"",
AND(
COUNTIF(
IMPORTRANGE(""https://docs.google.com/spreadsheets/d/1kGrh75X1cNR1D7_FcY9zMnHP8iPO4M5RCRjy6nZY0TY/edit#gid=0"",""Table 1: Study characteristics!B4:B171""),A1641)&gt;0,
COUNTIF(Studies!$A$2:$A$85,FILTER(IMPORT"&amp;"RANGE(""https://docs.google.com/spreadsheets/d/1kGrh75X1cNR1D7_FcY9zMnHP8iPO4M5RCRjy6nZY0TY/edit#gid=0"",""Table 1: Study characteristics!A4:A171""), $A1641=IMPORTRANGE(""https://docs.google.com/spreadsheets/d/1kGrh75X1cNR1D7_FcY9zMnHP8iPO4M5RCRjy6nZY0TY/"&amp;"edit#gid=0"",""Table 1: Study characteristics!B4:B171"")))&gt;0
),
""Include""
)"),"Exclude")</f>
        <v>Exclude</v>
      </c>
      <c r="G1641" s="5" t="str">
        <f>IFERROR(__xludf.DUMMYFUNCTION("IFS(
D1641=""Exclude"",
FILTER(IMPORTRANGE(""https://docs.google.com/spreadsheets/d/1BJSV3WBYJGRhQ6zExamkszQ5VutGIcaQqmbD9ZTVXMQ/edit#gid=1251630045"",""articles_with_PRISMA_reasons!AB2:AB2113""), $A1641=IMPORTRANGE(""https://docs.google.com/spreadsheets/"&amp;"d/1BJSV3WBYJGRhQ6zExamkszQ5VutGIcaQqmbD9ZTVXMQ/edit#gid=1251630045"",""articles_with_PRISMA_reasons!B2:B2113"")),
E1641=""Exclude"",
FILTER(IMPORTRANGE(""https://docs.google.com/spreadsheets/d/1qpEmbGH0JjaJbUdp21-y2cPbobDbMjr09BbtdKROZWc/edit#gid=14448656"&amp;"54"",""articles_with_PRISMA_reasons!Z2:Z2113""), $A1641=IMPORTRANGE(""https://docs.google.com/spreadsheets/d/1qpEmbGH0JjaJbUdp21-y2cPbobDbMjr09BbtdKROZWc/edit#gid=1444865654"",""articles_with_PRISMA_reasons!B2:B2113"")),F1641
=""Include"",FILTER(IMPORTRAN"&amp;"GE(""https://docs.google.com/spreadsheets/d/1kGrh75X1cNR1D7_FcY9zMnHP8iPO4M5RCRjy6nZY0TY/edit#gid=0"",""Table 1: Study characteristics!A4:A171""), $A1641=IMPORTRANGE(""https://docs.google.com/spreadsheets/d/1kGrh75X1cNR1D7_FcY9zMnHP8iPO4M5RCRjy6nZY0TY/edi"&amp;"t#gid=0"",""Table 1: Study characteristics!B4:B171""))
)"),"wrong population")</f>
        <v>wrong population</v>
      </c>
    </row>
    <row r="1642">
      <c r="A1642" s="4" t="str">
        <f>IFERROR(__xludf.DUMMYFUNCTION("""COMPUTED_VALUE"""),"Risk factors for mortality among human immunodeficiency virus-exposed and unexposed infants admitted to a neonatal intensive care unit in Botswana")</f>
        <v>Risk factors for mortality among human immunodeficiency virus-exposed and unexposed infants admitted to a neonatal intensive care unit in Botswana</v>
      </c>
      <c r="B1642" s="5" t="str">
        <f>IFERROR(__xludf.DUMMYFUNCTION("LEFT(FILTER(IMPORTRANGE(""https://docs.google.com/spreadsheets/d/1BJSV3WBYJGRhQ6zExamkszQ5VutGIcaQqmbD9ZTVXMQ/edit#gid=1251630045"",""articles_with_PRISMA_reasons!K2:K2113""), $A1642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$A1642=IMPORTRANGE(""https://docs.google.com/spreadsheets/d/1BJSV3WBYJGRhQ6zExamkszQ5VutGIcaQqmbD9ZTVXMQ/edit#gid=1251630045"",""articles_with_PRISMA_reasons!B2:B2113"")))-1)"),"Zash")</f>
        <v>Zash</v>
      </c>
      <c r="C1642" s="6">
        <f>IFERROR(__xludf.DUMMYFUNCTION("FILTER(IMPORTRANGE(""https://docs.google.com/spreadsheets/d/1BJSV3WBYJGRhQ6zExamkszQ5VutGIcaQqmbD9ZTVXMQ/edit#gid=1251630045"",""articles_with_PRISMA_reasons!C2:C2113""), $A1642=IMPORTRANGE(""https://docs.google.com/spreadsheets/d/1BJSV3WBYJGRhQ6zExamkszQ"&amp;"5VutGIcaQqmbD9ZTVXMQ/edit#gid=1251630045"",""articles_with_PRISMA_reasons!B2:B2113""))"),2014.0)</f>
        <v>2014</v>
      </c>
      <c r="D1642" s="5" t="str">
        <f>IFERROR(__xludf.DUMMYFUNCTION("IFS(AND(
FILTER(IMPORTRANGE(""https://docs.google.com/spreadsheets/d/1BJSV3WBYJGRhQ6zExamkszQ5VutGIcaQqmbD9ZTVXMQ/edit#gid=1251630045"",""articles_with_PRISMA_reasons!Y2:Y2113""), $A1642=IMPORTRANGE(""https://docs.google.com/spreadsheets/d/1BJSV3WBYJGRhQ6"&amp;"zExamkszQ5VutGIcaQqmbD9ZTVXMQ/edit#gid=1251630045"",""articles_with_PRISMA_reasons!B2:B2113""))&gt;=2,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$A1642=IMPORTRANGE(""https://docs.google.com/spreadsheets/d/1BJSV3WBYJGRhQ6zExamkszQ5VutGIcaQqmbD9ZTVXMQ/edit#gid=1251630045"",""articles_with_PRISMA_reasons!B2:B2113""))&lt;2),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$A1642=IMPORTRANGE(""https://docs.google.com/spreadsheets/d/1BJSV3WBYJGRhQ6zExamkszQ5VutGIcaQqmbD9ZTVXMQ/edit#gid=1251630045"",""a"&amp;"rticles_with_PRISMA_reasons!B2:B2113""))&lt;2,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$A1642=IMPORTRANGE(""https://docs.google"&amp;".com/spreadsheets/d/1BJSV3WBYJGRhQ6zExamkszQ5VutGIcaQqmbD9ZTVXMQ/edit#gid=1251630045"",""articles_with_PRISMA_reasons!B2:B2113""))&gt;=2),
""Exclude""
)"),"Exclude")</f>
        <v>Exclude</v>
      </c>
      <c r="E1642" s="5" t="str">
        <f>IFERROR(__xludf.DUMMYFUNCTION("IFS(
D1642=""Exclude"",""Exclude"",
AND(
FILTER(IMPORTRANGE(""https://docs.google.com/spreadsheets/d/1qpEmbGH0JjaJbUdp21-y2cPbobDbMjr09BbtdKROZWc/edit#gid=1444865654"",""articles_with_PRISMA_reasons!W2:W2113""), $A1642=IMPORTRANGE(""https://docs.google.co"&amp;"m/spreadsheets/d/1qpEmbGH0JjaJbUdp21-y2cPbobDbMjr09BbtdKROZWc/edit#gid=1444865654"",""articles_with_PRISMA_reasons!B2:B2113""))&gt;=2,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$A1642=IMPORTRANGE(""https://docs.google.com/spreadsheets/d/1qpEmbGH0JjaJbUdp21-y2cPbobDbMjr09BbtdKROZWc/edit#gid=1444865654"",""articles_with_PRISMA_reasons!B2:B2113""))&lt;2),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$A1642=IMPORTRANGE(""https://docs.google.com/spreadsheets/d/1qpEmbGH0JjaJbUdp21-y2cPbobDbMjr09Bbtd"&amp;"KROZWc/edit#gid=1444865654"",""articles_with_PRISMA_reasons!B2:B2113""))&lt;2,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$A1642=I"&amp;"MPORTRANGE(""https://docs.google.com/spreadsheets/d/1qpEmbGH0JjaJbUdp21-y2cPbobDbMjr09BbtdKROZWc/edit#gid=1444865654"",""articles_with_PRISMA_reasons!B2:B2113""))&gt;=2),
""Exclude""
)"),"Exclude")</f>
        <v>Exclude</v>
      </c>
      <c r="F1642" s="5" t="str">
        <f>IFERROR(__xludf.DUMMYFUNCTION("IFS(
E1642=""Exclude"",""Exclude"",
AND(
COUNTIF(
IMPORTRANGE(""https://docs.google.com/spreadsheets/d/1kGrh75X1cNR1D7_FcY9zMnHP8iPO4M5RCRjy6nZY0TY/edit#gid=0"",""Table 1: Study characteristics!B4:B171""),A1642)&gt;0,
COUNTIF(Studies!$A$2:$A$85,FILTER(IMPORT"&amp;"RANGE(""https://docs.google.com/spreadsheets/d/1kGrh75X1cNR1D7_FcY9zMnHP8iPO4M5RCRjy6nZY0TY/edit#gid=0"",""Table 1: Study characteristics!A4:A171""), $A1642=IMPORTRANGE(""https://docs.google.com/spreadsheets/d/1kGrh75X1cNR1D7_FcY9zMnHP8iPO4M5RCRjy6nZY0TY/"&amp;"edit#gid=0"",""Table 1: Study characteristics!B4:B171"")))&gt;0
),
""Include""
)"),"Exclude")</f>
        <v>Exclude</v>
      </c>
      <c r="G1642" s="5" t="str">
        <f>IFERROR(__xludf.DUMMYFUNCTION("IFS(
D1642=""Exclude"",
FILTER(IMPORTRANGE(""https://docs.google.com/spreadsheets/d/1BJSV3WBYJGRhQ6zExamkszQ5VutGIcaQqmbD9ZTVXMQ/edit#gid=1251630045"",""articles_with_PRISMA_reasons!AB2:AB2113""), $A1642=IMPORTRANGE(""https://docs.google.com/spreadsheets/"&amp;"d/1BJSV3WBYJGRhQ6zExamkszQ5VutGIcaQqmbD9ZTVXMQ/edit#gid=1251630045"",""articles_with_PRISMA_reasons!B2:B2113"")),
E1642=""Exclude"",
FILTER(IMPORTRANGE(""https://docs.google.com/spreadsheets/d/1qpEmbGH0JjaJbUdp21-y2cPbobDbMjr09BbtdKROZWc/edit#gid=14448656"&amp;"54"",""articles_with_PRISMA_reasons!Z2:Z2113""), $A1642=IMPORTRANGE(""https://docs.google.com/spreadsheets/d/1qpEmbGH0JjaJbUdp21-y2cPbobDbMjr09BbtdKROZWc/edit#gid=1444865654"",""articles_with_PRISMA_reasons!B2:B2113"")),F1642
=""Include"",FILTER(IMPORTRAN"&amp;"GE(""https://docs.google.com/spreadsheets/d/1kGrh75X1cNR1D7_FcY9zMnHP8iPO4M5RCRjy6nZY0TY/edit#gid=0"",""Table 1: Study characteristics!A4:A171""), $A1642=IMPORTRANGE(""https://docs.google.com/spreadsheets/d/1kGrh75X1cNR1D7_FcY9zMnHP8iPO4M5RCRjy6nZY0TY/edi"&amp;"t#gid=0"",""Table 1: Study characteristics!B4:B171""))
)"),"wrong study design")</f>
        <v>wrong study design</v>
      </c>
    </row>
    <row r="1643">
      <c r="A1643" s="4" t="str">
        <f>IFERROR(__xludf.DUMMYFUNCTION("""COMPUTED_VALUE"""),"Risk factors for pressure sores in adult patients with myelomeningocele - A questionnaire-based study")</f>
        <v>Risk factors for pressure sores in adult patients with myelomeningocele - A questionnaire-based study</v>
      </c>
      <c r="B1643" s="5" t="str">
        <f>IFERROR(__xludf.DUMMYFUNCTION("LEFT(FILTER(IMPORTRANGE(""https://docs.google.com/spreadsheets/d/1BJSV3WBYJGRhQ6zExamkszQ5VutGIcaQqmbD9ZTVXMQ/edit#gid=1251630045"",""articles_with_PRISMA_reasons!K2:K2113""), $A1643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$A1643=IMPORTRANGE(""https://docs.google.com/spreadsheets/d/1BJSV3WBYJGRhQ6zExamkszQ5VutGIcaQqmbD9ZTVXMQ/edit#gid=1251630045"",""articles_with_PRISMA_reasons!B2:B2113"")))-1)"),"Plaum")</f>
        <v>Plaum</v>
      </c>
      <c r="C1643" s="6">
        <f>IFERROR(__xludf.DUMMYFUNCTION("FILTER(IMPORTRANGE(""https://docs.google.com/spreadsheets/d/1BJSV3WBYJGRhQ6zExamkszQ5VutGIcaQqmbD9ZTVXMQ/edit#gid=1251630045"",""articles_with_PRISMA_reasons!C2:C2113""), $A1643=IMPORTRANGE(""https://docs.google.com/spreadsheets/d/1BJSV3WBYJGRhQ6zExamkszQ"&amp;"5VutGIcaQqmbD9ZTVXMQ/edit#gid=1251630045"",""articles_with_PRISMA_reasons!B2:B2113""))"),2006.0)</f>
        <v>2006</v>
      </c>
      <c r="D1643" s="5" t="str">
        <f>IFERROR(__xludf.DUMMYFUNCTION("IFS(AND(
FILTER(IMPORTRANGE(""https://docs.google.com/spreadsheets/d/1BJSV3WBYJGRhQ6zExamkszQ5VutGIcaQqmbD9ZTVXMQ/edit#gid=1251630045"",""articles_with_PRISMA_reasons!Y2:Y2113""), $A1643=IMPORTRANGE(""https://docs.google.com/spreadsheets/d/1BJSV3WBYJGRhQ6"&amp;"zExamkszQ5VutGIcaQqmbD9ZTVXMQ/edit#gid=1251630045"",""articles_with_PRISMA_reasons!B2:B2113""))&gt;=2,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$A1643=IMPORTRANGE(""https://docs.google.com/spreadsheets/d/1BJSV3WBYJGRhQ6zExamkszQ5VutGIcaQqmbD9ZTVXMQ/edit#gid=1251630045"",""articles_with_PRISMA_reasons!B2:B2113""))&lt;2),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$A1643=IMPORTRANGE(""https://docs.google.com/spreadsheets/d/1BJSV3WBYJGRhQ6zExamkszQ5VutGIcaQqmbD9ZTVXMQ/edit#gid=1251630045"",""a"&amp;"rticles_with_PRISMA_reasons!B2:B2113""))&lt;2,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$A1643=IMPORTRANGE(""https://docs.google"&amp;".com/spreadsheets/d/1BJSV3WBYJGRhQ6zExamkszQ5VutGIcaQqmbD9ZTVXMQ/edit#gid=1251630045"",""articles_with_PRISMA_reasons!B2:B2113""))&gt;=2),
""Exclude""
)"),"Exclude")</f>
        <v>Exclude</v>
      </c>
      <c r="E1643" s="5" t="str">
        <f>IFERROR(__xludf.DUMMYFUNCTION("IFS(
D1643=""Exclude"",""Exclude"",
AND(
FILTER(IMPORTRANGE(""https://docs.google.com/spreadsheets/d/1qpEmbGH0JjaJbUdp21-y2cPbobDbMjr09BbtdKROZWc/edit#gid=1444865654"",""articles_with_PRISMA_reasons!W2:W2113""), $A1643=IMPORTRANGE(""https://docs.google.co"&amp;"m/spreadsheets/d/1qpEmbGH0JjaJbUdp21-y2cPbobDbMjr09BbtdKROZWc/edit#gid=1444865654"",""articles_with_PRISMA_reasons!B2:B2113""))&gt;=2,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$A1643=IMPORTRANGE(""https://docs.google.com/spreadsheets/d/1qpEmbGH0JjaJbUdp21-y2cPbobDbMjr09BbtdKROZWc/edit#gid=1444865654"",""articles_with_PRISMA_reasons!B2:B2113""))&lt;2),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$A1643=IMPORTRANGE(""https://docs.google.com/spreadsheets/d/1qpEmbGH0JjaJbUdp21-y2cPbobDbMjr09Bbtd"&amp;"KROZWc/edit#gid=1444865654"",""articles_with_PRISMA_reasons!B2:B2113""))&lt;2,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$A1643=I"&amp;"MPORTRANGE(""https://docs.google.com/spreadsheets/d/1qpEmbGH0JjaJbUdp21-y2cPbobDbMjr09BbtdKROZWc/edit#gid=1444865654"",""articles_with_PRISMA_reasons!B2:B2113""))&gt;=2),
""Exclude""
)"),"Exclude")</f>
        <v>Exclude</v>
      </c>
      <c r="F1643" s="5" t="str">
        <f>IFERROR(__xludf.DUMMYFUNCTION("IFS(
E1643=""Exclude"",""Exclude"",
AND(
COUNTIF(
IMPORTRANGE(""https://docs.google.com/spreadsheets/d/1kGrh75X1cNR1D7_FcY9zMnHP8iPO4M5RCRjy6nZY0TY/edit#gid=0"",""Table 1: Study characteristics!B4:B171""),A1643)&gt;0,
COUNTIF(Studies!$A$2:$A$85,FILTER(IMPORT"&amp;"RANGE(""https://docs.google.com/spreadsheets/d/1kGrh75X1cNR1D7_FcY9zMnHP8iPO4M5RCRjy6nZY0TY/edit#gid=0"",""Table 1: Study characteristics!A4:A171""), $A1643=IMPORTRANGE(""https://docs.google.com/spreadsheets/d/1kGrh75X1cNR1D7_FcY9zMnHP8iPO4M5RCRjy6nZY0TY/"&amp;"edit#gid=0"",""Table 1: Study characteristics!B4:B171"")))&gt;0
),
""Include""
)"),"Exclude")</f>
        <v>Exclude</v>
      </c>
      <c r="G1643" s="5" t="str">
        <f>IFERROR(__xludf.DUMMYFUNCTION("IFS(
D1643=""Exclude"",
FILTER(IMPORTRANGE(""https://docs.google.com/spreadsheets/d/1BJSV3WBYJGRhQ6zExamkszQ5VutGIcaQqmbD9ZTVXMQ/edit#gid=1251630045"",""articles_with_PRISMA_reasons!AB2:AB2113""), $A1643=IMPORTRANGE(""https://docs.google.com/spreadsheets/"&amp;"d/1BJSV3WBYJGRhQ6zExamkszQ5VutGIcaQqmbD9ZTVXMQ/edit#gid=1251630045"",""articles_with_PRISMA_reasons!B2:B2113"")),
E1643=""Exclude"",
FILTER(IMPORTRANGE(""https://docs.google.com/spreadsheets/d/1qpEmbGH0JjaJbUdp21-y2cPbobDbMjr09BbtdKROZWc/edit#gid=14448656"&amp;"54"",""articles_with_PRISMA_reasons!Z2:Z2113""), $A1643=IMPORTRANGE(""https://docs.google.com/spreadsheets/d/1qpEmbGH0JjaJbUdp21-y2cPbobDbMjr09BbtdKROZWc/edit#gid=1444865654"",""articles_with_PRISMA_reasons!B2:B2113"")),F1643
=""Include"",FILTER(IMPORTRAN"&amp;"GE(""https://docs.google.com/spreadsheets/d/1kGrh75X1cNR1D7_FcY9zMnHP8iPO4M5RCRjy6nZY0TY/edit#gid=0"",""Table 1: Study characteristics!A4:A171""), $A1643=IMPORTRANGE(""https://docs.google.com/spreadsheets/d/1kGrh75X1cNR1D7_FcY9zMnHP8iPO4M5RCRjy6nZY0TY/edi"&amp;"t#gid=0"",""Table 1: Study characteristics!B4:B171""))
)"),"wrong population")</f>
        <v>wrong population</v>
      </c>
    </row>
    <row r="1644">
      <c r="A1644" s="4" t="str">
        <f>IFERROR(__xludf.DUMMYFUNCTION("""COMPUTED_VALUE"""),"Risk factors for shunt malfunction in pediatric hydrocephalus: A multicenter prospective cohort study")</f>
        <v>Risk factors for shunt malfunction in pediatric hydrocephalus: A multicenter prospective cohort study</v>
      </c>
      <c r="B1644" s="5" t="str">
        <f>IFERROR(__xludf.DUMMYFUNCTION("LEFT(FILTER(IMPORTRANGE(""https://docs.google.com/spreadsheets/d/1BJSV3WBYJGRhQ6zExamkszQ5VutGIcaQqmbD9ZTVXMQ/edit#gid=1251630045"",""articles_with_PRISMA_reasons!K2:K2113""), $A1644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$A1644=IMPORTRANGE(""https://docs.google.com/spreadsheets/d/1BJSV3WBYJGRhQ6zExamkszQ5VutGIcaQqmbD9ZTVXMQ/edit#gid=1251630045"",""articles_with_PRISMA_reasons!B2:B2113"")))-1)"),"Riva-Cambrin")</f>
        <v>Riva-Cambrin</v>
      </c>
      <c r="C1644" s="6">
        <f>IFERROR(__xludf.DUMMYFUNCTION("FILTER(IMPORTRANGE(""https://docs.google.com/spreadsheets/d/1BJSV3WBYJGRhQ6zExamkszQ5VutGIcaQqmbD9ZTVXMQ/edit#gid=1251630045"",""articles_with_PRISMA_reasons!C2:C2113""), $A1644=IMPORTRANGE(""https://docs.google.com/spreadsheets/d/1BJSV3WBYJGRhQ6zExamkszQ"&amp;"5VutGIcaQqmbD9ZTVXMQ/edit#gid=1251630045"",""articles_with_PRISMA_reasons!B2:B2113""))"),2016.0)</f>
        <v>2016</v>
      </c>
      <c r="D1644" s="5" t="str">
        <f>IFERROR(__xludf.DUMMYFUNCTION("IFS(AND(
FILTER(IMPORTRANGE(""https://docs.google.com/spreadsheets/d/1BJSV3WBYJGRhQ6zExamkszQ5VutGIcaQqmbD9ZTVXMQ/edit#gid=1251630045"",""articles_with_PRISMA_reasons!Y2:Y2113""), $A1644=IMPORTRANGE(""https://docs.google.com/spreadsheets/d/1BJSV3WBYJGRhQ6"&amp;"zExamkszQ5VutGIcaQqmbD9ZTVXMQ/edit#gid=1251630045"",""articles_with_PRISMA_reasons!B2:B2113""))&gt;=2,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$A1644=IMPORTRANGE(""https://docs.google.com/spreadsheets/d/1BJSV3WBYJGRhQ6zExamkszQ5VutGIcaQqmbD9ZTVXMQ/edit#gid=1251630045"",""articles_with_PRISMA_reasons!B2:B2113""))&lt;2),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$A1644=IMPORTRANGE(""https://docs.google.com/spreadsheets/d/1BJSV3WBYJGRhQ6zExamkszQ5VutGIcaQqmbD9ZTVXMQ/edit#gid=1251630045"",""a"&amp;"rticles_with_PRISMA_reasons!B2:B2113""))&lt;2,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$A1644=IMPORTRANGE(""https://docs.google"&amp;".com/spreadsheets/d/1BJSV3WBYJGRhQ6zExamkszQ5VutGIcaQqmbD9ZTVXMQ/edit#gid=1251630045"",""articles_with_PRISMA_reasons!B2:B2113""))&gt;=2),
""Exclude""
)"),"Exclude")</f>
        <v>Exclude</v>
      </c>
      <c r="E1644" s="5" t="str">
        <f>IFERROR(__xludf.DUMMYFUNCTION("IFS(
D1644=""Exclude"",""Exclude"",
AND(
FILTER(IMPORTRANGE(""https://docs.google.com/spreadsheets/d/1qpEmbGH0JjaJbUdp21-y2cPbobDbMjr09BbtdKROZWc/edit#gid=1444865654"",""articles_with_PRISMA_reasons!W2:W2113""), $A1644=IMPORTRANGE(""https://docs.google.co"&amp;"m/spreadsheets/d/1qpEmbGH0JjaJbUdp21-y2cPbobDbMjr09BbtdKROZWc/edit#gid=1444865654"",""articles_with_PRISMA_reasons!B2:B2113""))&gt;=2,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$A1644=IMPORTRANGE(""https://docs.google.com/spreadsheets/d/1qpEmbGH0JjaJbUdp21-y2cPbobDbMjr09BbtdKROZWc/edit#gid=1444865654"",""articles_with_PRISMA_reasons!B2:B2113""))&lt;2),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$A1644=IMPORTRANGE(""https://docs.google.com/spreadsheets/d/1qpEmbGH0JjaJbUdp21-y2cPbobDbMjr09Bbtd"&amp;"KROZWc/edit#gid=1444865654"",""articles_with_PRISMA_reasons!B2:B2113""))&lt;2,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$A1644=I"&amp;"MPORTRANGE(""https://docs.google.com/spreadsheets/d/1qpEmbGH0JjaJbUdp21-y2cPbobDbMjr09BbtdKROZWc/edit#gid=1444865654"",""articles_with_PRISMA_reasons!B2:B2113""))&gt;=2),
""Exclude""
)"),"Exclude")</f>
        <v>Exclude</v>
      </c>
      <c r="F1644" s="5" t="str">
        <f>IFERROR(__xludf.DUMMYFUNCTION("IFS(
E1644=""Exclude"",""Exclude"",
AND(
COUNTIF(
IMPORTRANGE(""https://docs.google.com/spreadsheets/d/1kGrh75X1cNR1D7_FcY9zMnHP8iPO4M5RCRjy6nZY0TY/edit#gid=0"",""Table 1: Study characteristics!B4:B171""),A1644)&gt;0,
COUNTIF(Studies!$A$2:$A$85,FILTER(IMPORT"&amp;"RANGE(""https://docs.google.com/spreadsheets/d/1kGrh75X1cNR1D7_FcY9zMnHP8iPO4M5RCRjy6nZY0TY/edit#gid=0"",""Table 1: Study characteristics!A4:A171""), $A1644=IMPORTRANGE(""https://docs.google.com/spreadsheets/d/1kGrh75X1cNR1D7_FcY9zMnHP8iPO4M5RCRjy6nZY0TY/"&amp;"edit#gid=0"",""Table 1: Study characteristics!B4:B171"")))&gt;0
),
""Include""
)"),"Exclude")</f>
        <v>Exclude</v>
      </c>
      <c r="G1644" s="5" t="str">
        <f>IFERROR(__xludf.DUMMYFUNCTION("IFS(
D1644=""Exclude"",
FILTER(IMPORTRANGE(""https://docs.google.com/spreadsheets/d/1BJSV3WBYJGRhQ6zExamkszQ5VutGIcaQqmbD9ZTVXMQ/edit#gid=1251630045"",""articles_with_PRISMA_reasons!AB2:AB2113""), $A1644=IMPORTRANGE(""https://docs.google.com/spreadsheets/"&amp;"d/1BJSV3WBYJGRhQ6zExamkszQ5VutGIcaQqmbD9ZTVXMQ/edit#gid=1251630045"",""articles_with_PRISMA_reasons!B2:B2113"")),
E1644=""Exclude"",
FILTER(IMPORTRANGE(""https://docs.google.com/spreadsheets/d/1qpEmbGH0JjaJbUdp21-y2cPbobDbMjr09BbtdKROZWc/edit#gid=14448656"&amp;"54"",""articles_with_PRISMA_reasons!Z2:Z2113""), $A1644=IMPORTRANGE(""https://docs.google.com/spreadsheets/d/1qpEmbGH0JjaJbUdp21-y2cPbobDbMjr09BbtdKROZWc/edit#gid=1444865654"",""articles_with_PRISMA_reasons!B2:B2113"")),F1644
=""Include"",FILTER(IMPORTRAN"&amp;"GE(""https://docs.google.com/spreadsheets/d/1kGrh75X1cNR1D7_FcY9zMnHP8iPO4M5RCRjy6nZY0TY/edit#gid=0"",""Table 1: Study characteristics!A4:A171""), $A1644=IMPORTRANGE(""https://docs.google.com/spreadsheets/d/1kGrh75X1cNR1D7_FcY9zMnHP8iPO4M5RCRjy6nZY0TY/edi"&amp;"t#gid=0"",""Table 1: Study characteristics!B4:B171""))
)"),"wrong population")</f>
        <v>wrong population</v>
      </c>
    </row>
    <row r="1645">
      <c r="A1645" s="4" t="str">
        <f>IFERROR(__xludf.DUMMYFUNCTION("""COMPUTED_VALUE"""),"Risk factors for unplanned readmission within 30 days after pediatric neurosurgery: A nationwide analysis of 9799 procedures from the American College of Surgeons National Surgical Quality Improvement Program")</f>
        <v>Risk factors for unplanned readmission within 30 days after pediatric neurosurgery: A nationwide analysis of 9799 procedures from the American College of Surgeons National Surgical Quality Improvement Program</v>
      </c>
      <c r="B1645" s="5" t="str">
        <f>IFERROR(__xludf.DUMMYFUNCTION("LEFT(FILTER(IMPORTRANGE(""https://docs.google.com/spreadsheets/d/1BJSV3WBYJGRhQ6zExamkszQ5VutGIcaQqmbD9ZTVXMQ/edit#gid=1251630045"",""articles_with_PRISMA_reasons!K2:K2113""), $A1645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$A1645=IMPORTRANGE(""https://docs.google.com/spreadsheets/d/1BJSV3WBYJGRhQ6zExamkszQ5VutGIcaQqmbD9ZTVXMQ/edit#gid=1251630045"",""articles_with_PRISMA_reasons!B2:B2113"")))-1)"),"Sherrod")</f>
        <v>Sherrod</v>
      </c>
      <c r="C1645" s="6">
        <f>IFERROR(__xludf.DUMMYFUNCTION("FILTER(IMPORTRANGE(""https://docs.google.com/spreadsheets/d/1BJSV3WBYJGRhQ6zExamkszQ5VutGIcaQqmbD9ZTVXMQ/edit#gid=1251630045"",""articles_with_PRISMA_reasons!C2:C2113""), $A1645=IMPORTRANGE(""https://docs.google.com/spreadsheets/d/1BJSV3WBYJGRhQ6zExamkszQ"&amp;"5VutGIcaQqmbD9ZTVXMQ/edit#gid=1251630045"",""articles_with_PRISMA_reasons!B2:B2113""))"),2016.0)</f>
        <v>2016</v>
      </c>
      <c r="D1645" s="5" t="str">
        <f>IFERROR(__xludf.DUMMYFUNCTION("IFS(AND(
FILTER(IMPORTRANGE(""https://docs.google.com/spreadsheets/d/1BJSV3WBYJGRhQ6zExamkszQ5VutGIcaQqmbD9ZTVXMQ/edit#gid=1251630045"",""articles_with_PRISMA_reasons!Y2:Y2113""), $A1645=IMPORTRANGE(""https://docs.google.com/spreadsheets/d/1BJSV3WBYJGRhQ6"&amp;"zExamkszQ5VutGIcaQqmbD9ZTVXMQ/edit#gid=1251630045"",""articles_with_PRISMA_reasons!B2:B2113""))&gt;=2,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$A1645=IMPORTRANGE(""https://docs.google.com/spreadsheets/d/1BJSV3WBYJGRhQ6zExamkszQ5VutGIcaQqmbD9ZTVXMQ/edit#gid=1251630045"",""articles_with_PRISMA_reasons!B2:B2113""))&lt;2),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$A1645=IMPORTRANGE(""https://docs.google.com/spreadsheets/d/1BJSV3WBYJGRhQ6zExamkszQ5VutGIcaQqmbD9ZTVXMQ/edit#gid=1251630045"",""a"&amp;"rticles_with_PRISMA_reasons!B2:B2113""))&lt;2,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$A1645=IMPORTRANGE(""https://docs.google"&amp;".com/spreadsheets/d/1BJSV3WBYJGRhQ6zExamkszQ5VutGIcaQqmbD9ZTVXMQ/edit#gid=1251630045"",""articles_with_PRISMA_reasons!B2:B2113""))&gt;=2),
""Exclude""
)"),"Include")</f>
        <v>Include</v>
      </c>
      <c r="E1645" s="5" t="str">
        <f>IFERROR(__xludf.DUMMYFUNCTION("IFS(
D1645=""Exclude"",""Exclude"",
AND(
FILTER(IMPORTRANGE(""https://docs.google.com/spreadsheets/d/1qpEmbGH0JjaJbUdp21-y2cPbobDbMjr09BbtdKROZWc/edit#gid=1444865654"",""articles_with_PRISMA_reasons!W2:W2113""), $A1645=IMPORTRANGE(""https://docs.google.co"&amp;"m/spreadsheets/d/1qpEmbGH0JjaJbUdp21-y2cPbobDbMjr09BbtdKROZWc/edit#gid=1444865654"",""articles_with_PRISMA_reasons!B2:B2113""))&gt;=2,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$A1645=IMPORTRANGE(""https://docs.google.com/spreadsheets/d/1qpEmbGH0JjaJbUdp21-y2cPbobDbMjr09BbtdKROZWc/edit#gid=1444865654"",""articles_with_PRISMA_reasons!B2:B2113""))&lt;2),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$A1645=IMPORTRANGE(""https://docs.google.com/spreadsheets/d/1qpEmbGH0JjaJbUdp21-y2cPbobDbMjr09Bbtd"&amp;"KROZWc/edit#gid=1444865654"",""articles_with_PRISMA_reasons!B2:B2113""))&lt;2,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$A1645=I"&amp;"MPORTRANGE(""https://docs.google.com/spreadsheets/d/1qpEmbGH0JjaJbUdp21-y2cPbobDbMjr09BbtdKROZWc/edit#gid=1444865654"",""articles_with_PRISMA_reasons!B2:B2113""))&gt;=2),
""Exclude""
)"),"Include")</f>
        <v>Include</v>
      </c>
      <c r="F1645" s="2" t="s">
        <v>8</v>
      </c>
      <c r="G1645" s="2" t="s">
        <v>17</v>
      </c>
    </row>
    <row r="1646">
      <c r="A1646" s="4" t="str">
        <f>IFERROR(__xludf.DUMMYFUNCTION("""COMPUTED_VALUE"""),"Risk factors, presentation and outcome of meningomyelocele repair")</f>
        <v>Risk factors, presentation and outcome of meningomyelocele repair</v>
      </c>
      <c r="B1646" s="5" t="str">
        <f>IFERROR(__xludf.DUMMYFUNCTION("LEFT(FILTER(IMPORTRANGE(""https://docs.google.com/spreadsheets/d/1BJSV3WBYJGRhQ6zExamkszQ5VutGIcaQqmbD9ZTVXMQ/edit#gid=1251630045"",""articles_with_PRISMA_reasons!K2:K2113""), $A1646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$A1646=IMPORTRANGE(""https://docs.google.com/spreadsheets/d/1BJSV3WBYJGRhQ6zExamkszQ5VutGIcaQqmbD9ZTVXMQ/edit#gid=1251630045"",""articles_with_PRISMA_reasons!B2:B2113"")))-1)"),"Rehman")</f>
        <v>Rehman</v>
      </c>
      <c r="C1646" s="6">
        <f>IFERROR(__xludf.DUMMYFUNCTION("FILTER(IMPORTRANGE(""https://docs.google.com/spreadsheets/d/1BJSV3WBYJGRhQ6zExamkszQ5VutGIcaQqmbD9ZTVXMQ/edit#gid=1251630045"",""articles_with_PRISMA_reasons!C2:C2113""), $A1646=IMPORTRANGE(""https://docs.google.com/spreadsheets/d/1BJSV3WBYJGRhQ6zExamkszQ"&amp;"5VutGIcaQqmbD9ZTVXMQ/edit#gid=1251630045"",""articles_with_PRISMA_reasons!B2:B2113""))"),2020.0)</f>
        <v>2020</v>
      </c>
      <c r="D1646" s="5" t="str">
        <f>IFERROR(__xludf.DUMMYFUNCTION("IFS(AND(
FILTER(IMPORTRANGE(""https://docs.google.com/spreadsheets/d/1BJSV3WBYJGRhQ6zExamkszQ5VutGIcaQqmbD9ZTVXMQ/edit#gid=1251630045"",""articles_with_PRISMA_reasons!Y2:Y2113""), $A1646=IMPORTRANGE(""https://docs.google.com/spreadsheets/d/1BJSV3WBYJGRhQ6"&amp;"zExamkszQ5VutGIcaQqmbD9ZTVXMQ/edit#gid=1251630045"",""articles_with_PRISMA_reasons!B2:B2113""))&gt;=2,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$A1646=IMPORTRANGE(""https://docs.google.com/spreadsheets/d/1BJSV3WBYJGRhQ6zExamkszQ5VutGIcaQqmbD9ZTVXMQ/edit#gid=1251630045"",""articles_with_PRISMA_reasons!B2:B2113""))&lt;2),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$A1646=IMPORTRANGE(""https://docs.google.com/spreadsheets/d/1BJSV3WBYJGRhQ6zExamkszQ5VutGIcaQqmbD9ZTVXMQ/edit#gid=1251630045"",""a"&amp;"rticles_with_PRISMA_reasons!B2:B2113""))&lt;2,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$A1646=IMPORTRANGE(""https://docs.google"&amp;".com/spreadsheets/d/1BJSV3WBYJGRhQ6zExamkszQ5VutGIcaQqmbD9ZTVXMQ/edit#gid=1251630045"",""articles_with_PRISMA_reasons!B2:B2113""))&gt;=2),
""Exclude""
)"),"Include")</f>
        <v>Include</v>
      </c>
      <c r="E1646" s="5" t="str">
        <f>IFERROR(__xludf.DUMMYFUNCTION("IFS(
D1646=""Exclude"",""Exclude"",
AND(
FILTER(IMPORTRANGE(""https://docs.google.com/spreadsheets/d/1qpEmbGH0JjaJbUdp21-y2cPbobDbMjr09BbtdKROZWc/edit#gid=1444865654"",""articles_with_PRISMA_reasons!W2:W2113""), $A1646=IMPORTRANGE(""https://docs.google.co"&amp;"m/spreadsheets/d/1qpEmbGH0JjaJbUdp21-y2cPbobDbMjr09BbtdKROZWc/edit#gid=1444865654"",""articles_with_PRISMA_reasons!B2:B2113""))&gt;=2,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$A1646=IMPORTRANGE(""https://docs.google.com/spreadsheets/d/1qpEmbGH0JjaJbUdp21-y2cPbobDbMjr09BbtdKROZWc/edit#gid=1444865654"",""articles_with_PRISMA_reasons!B2:B2113""))&lt;2),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$A1646=IMPORTRANGE(""https://docs.google.com/spreadsheets/d/1qpEmbGH0JjaJbUdp21-y2cPbobDbMjr09Bbtd"&amp;"KROZWc/edit#gid=1444865654"",""articles_with_PRISMA_reasons!B2:B2113""))&lt;2,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$A1646=I"&amp;"MPORTRANGE(""https://docs.google.com/spreadsheets/d/1qpEmbGH0JjaJbUdp21-y2cPbobDbMjr09BbtdKROZWc/edit#gid=1444865654"",""articles_with_PRISMA_reasons!B2:B2113""))&gt;=2),
""Exclude""
)"),"Include")</f>
        <v>Include</v>
      </c>
      <c r="F1646" s="2" t="s">
        <v>8</v>
      </c>
      <c r="G1646" s="2" t="s">
        <v>23</v>
      </c>
    </row>
    <row r="1647">
      <c r="A1647" s="4" t="str">
        <f>IFERROR(__xludf.DUMMYFUNCTION("""COMPUTED_VALUE"""),"Robotic-assisted laparoscopic Mitrofanoff appendicovesicostomy and antegrade continent enema colon tube creation in a pediatric spina bifida patient")</f>
        <v>Robotic-assisted laparoscopic Mitrofanoff appendicovesicostomy and antegrade continent enema colon tube creation in a pediatric spina bifida patient</v>
      </c>
      <c r="B1647" s="5" t="str">
        <f>IFERROR(__xludf.DUMMYFUNCTION("LEFT(FILTER(IMPORTRANGE(""https://docs.google.com/spreadsheets/d/1BJSV3WBYJGRhQ6zExamkszQ5VutGIcaQqmbD9ZTVXMQ/edit#gid=1251630045"",""articles_with_PRISMA_reasons!K2:K2113""), $A1647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$A1647=IMPORTRANGE(""https://docs.google.com/spreadsheets/d/1BJSV3WBYJGRhQ6zExamkszQ5VutGIcaQqmbD9ZTVXMQ/edit#gid=1251630045"",""articles_with_PRISMA_reasons!B2:B2113"")))-1)"),"Shnorhavorian")</f>
        <v>Shnorhavorian</v>
      </c>
      <c r="C1647" s="6">
        <f>IFERROR(__xludf.DUMMYFUNCTION("FILTER(IMPORTRANGE(""https://docs.google.com/spreadsheets/d/1BJSV3WBYJGRhQ6zExamkszQ5VutGIcaQqmbD9ZTVXMQ/edit#gid=1251630045"",""articles_with_PRISMA_reasons!C2:C2113""), $A1647=IMPORTRANGE(""https://docs.google.com/spreadsheets/d/1BJSV3WBYJGRhQ6zExamkszQ"&amp;"5VutGIcaQqmbD9ZTVXMQ/edit#gid=1251630045"",""articles_with_PRISMA_reasons!B2:B2113""))"),2008.0)</f>
        <v>2008</v>
      </c>
      <c r="D1647" s="5" t="str">
        <f>IFERROR(__xludf.DUMMYFUNCTION("IFS(AND(
FILTER(IMPORTRANGE(""https://docs.google.com/spreadsheets/d/1BJSV3WBYJGRhQ6zExamkszQ5VutGIcaQqmbD9ZTVXMQ/edit#gid=1251630045"",""articles_with_PRISMA_reasons!Y2:Y2113""), $A1647=IMPORTRANGE(""https://docs.google.com/spreadsheets/d/1BJSV3WBYJGRhQ6"&amp;"zExamkszQ5VutGIcaQqmbD9ZTVXMQ/edit#gid=1251630045"",""articles_with_PRISMA_reasons!B2:B2113""))&gt;=2,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$A1647=IMPORTRANGE(""https://docs.google.com/spreadsheets/d/1BJSV3WBYJGRhQ6zExamkszQ5VutGIcaQqmbD9ZTVXMQ/edit#gid=1251630045"",""articles_with_PRISMA_reasons!B2:B2113""))&lt;2),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$A1647=IMPORTRANGE(""https://docs.google.com/spreadsheets/d/1BJSV3WBYJGRhQ6zExamkszQ5VutGIcaQqmbD9ZTVXMQ/edit#gid=1251630045"",""a"&amp;"rticles_with_PRISMA_reasons!B2:B2113""))&lt;2,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$A1647=IMPORTRANGE(""https://docs.google"&amp;".com/spreadsheets/d/1BJSV3WBYJGRhQ6zExamkszQ5VutGIcaQqmbD9ZTVXMQ/edit#gid=1251630045"",""articles_with_PRISMA_reasons!B2:B2113""))&gt;=2),
""Exclude""
)"),"Exclude")</f>
        <v>Exclude</v>
      </c>
      <c r="E1647" s="5" t="str">
        <f>IFERROR(__xludf.DUMMYFUNCTION("IFS(
D1647=""Exclude"",""Exclude"",
AND(
FILTER(IMPORTRANGE(""https://docs.google.com/spreadsheets/d/1qpEmbGH0JjaJbUdp21-y2cPbobDbMjr09BbtdKROZWc/edit#gid=1444865654"",""articles_with_PRISMA_reasons!W2:W2113""), $A1647=IMPORTRANGE(""https://docs.google.co"&amp;"m/spreadsheets/d/1qpEmbGH0JjaJbUdp21-y2cPbobDbMjr09BbtdKROZWc/edit#gid=1444865654"",""articles_with_PRISMA_reasons!B2:B2113""))&gt;=2,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$A1647=IMPORTRANGE(""https://docs.google.com/spreadsheets/d/1qpEmbGH0JjaJbUdp21-y2cPbobDbMjr09BbtdKROZWc/edit#gid=1444865654"",""articles_with_PRISMA_reasons!B2:B2113""))&lt;2),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$A1647=IMPORTRANGE(""https://docs.google.com/spreadsheets/d/1qpEmbGH0JjaJbUdp21-y2cPbobDbMjr09Bbtd"&amp;"KROZWc/edit#gid=1444865654"",""articles_with_PRISMA_reasons!B2:B2113""))&lt;2,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$A1647=I"&amp;"MPORTRANGE(""https://docs.google.com/spreadsheets/d/1qpEmbGH0JjaJbUdp21-y2cPbobDbMjr09BbtdKROZWc/edit#gid=1444865654"",""articles_with_PRISMA_reasons!B2:B2113""))&gt;=2),
""Exclude""
)"),"Exclude")</f>
        <v>Exclude</v>
      </c>
      <c r="F1647" s="5" t="str">
        <f>IFERROR(__xludf.DUMMYFUNCTION("IFS(
E1647=""Exclude"",""Exclude"",
AND(
COUNTIF(
IMPORTRANGE(""https://docs.google.com/spreadsheets/d/1kGrh75X1cNR1D7_FcY9zMnHP8iPO4M5RCRjy6nZY0TY/edit#gid=0"",""Table 1: Study characteristics!B4:B171""),A1647)&gt;0,
COUNTIF(Studies!$A$2:$A$85,FILTER(IMPORT"&amp;"RANGE(""https://docs.google.com/spreadsheets/d/1kGrh75X1cNR1D7_FcY9zMnHP8iPO4M5RCRjy6nZY0TY/edit#gid=0"",""Table 1: Study characteristics!A4:A171""), $A1647=IMPORTRANGE(""https://docs.google.com/spreadsheets/d/1kGrh75X1cNR1D7_FcY9zMnHP8iPO4M5RCRjy6nZY0TY/"&amp;"edit#gid=0"",""Table 1: Study characteristics!B4:B171"")))&gt;0
),
""Include""
)"),"Exclude")</f>
        <v>Exclude</v>
      </c>
      <c r="G1647" s="5" t="str">
        <f>IFERROR(__xludf.DUMMYFUNCTION("IFS(
D1647=""Exclude"",
FILTER(IMPORTRANGE(""https://docs.google.com/spreadsheets/d/1BJSV3WBYJGRhQ6zExamkszQ5VutGIcaQqmbD9ZTVXMQ/edit#gid=1251630045"",""articles_with_PRISMA_reasons!AB2:AB2113""), $A1647=IMPORTRANGE(""https://docs.google.com/spreadsheets/"&amp;"d/1BJSV3WBYJGRhQ6zExamkszQ5VutGIcaQqmbD9ZTVXMQ/edit#gid=1251630045"",""articles_with_PRISMA_reasons!B2:B2113"")),
E1647=""Exclude"",
FILTER(IMPORTRANGE(""https://docs.google.com/spreadsheets/d/1qpEmbGH0JjaJbUdp21-y2cPbobDbMjr09BbtdKROZWc/edit#gid=14448656"&amp;"54"",""articles_with_PRISMA_reasons!Z2:Z2113""), $A1647=IMPORTRANGE(""https://docs.google.com/spreadsheets/d/1qpEmbGH0JjaJbUdp21-y2cPbobDbMjr09BbtdKROZWc/edit#gid=1444865654"",""articles_with_PRISMA_reasons!B2:B2113"")),F1647
=""Include"",FILTER(IMPORTRAN"&amp;"GE(""https://docs.google.com/spreadsheets/d/1kGrh75X1cNR1D7_FcY9zMnHP8iPO4M5RCRjy6nZY0TY/edit#gid=0"",""Table 1: Study characteristics!A4:A171""), $A1647=IMPORTRANGE(""https://docs.google.com/spreadsheets/d/1kGrh75X1cNR1D7_FcY9zMnHP8iPO4M5RCRjy6nZY0TY/edi"&amp;"t#gid=0"",""Table 1: Study characteristics!B4:B171""))
)"),"wrong population")</f>
        <v>wrong population</v>
      </c>
    </row>
    <row r="1648">
      <c r="A1648" s="4" t="str">
        <f>IFERROR(__xludf.DUMMYFUNCTION("""COMPUTED_VALUE"""),"Rol de enfermeria en el cuidado de pacientes con defecto del tubo neural")</f>
        <v>Rol de enfermeria en el cuidado de pacientes con defecto del tubo neural</v>
      </c>
      <c r="B1648" s="5" t="str">
        <f>IFERROR(__xludf.DUMMYFUNCTION("LEFT(FILTER(IMPORTRANGE(""https://docs.google.com/spreadsheets/d/1BJSV3WBYJGRhQ6zExamkszQ5VutGIcaQqmbD9ZTVXMQ/edit#gid=1251630045"",""articles_with_PRISMA_reasons!K2:K2113""), $A1648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$A1648=IMPORTRANGE(""https://docs.google.com/spreadsheets/d/1BJSV3WBYJGRhQ6zExamkszQ5VutGIcaQqmbD9ZTVXMQ/edit#gid=1251630045"",""articles_with_PRISMA_reasons!B2:B2113"")))-1)"),"Murcia")</f>
        <v>Murcia</v>
      </c>
      <c r="C1648" s="6">
        <f>IFERROR(__xludf.DUMMYFUNCTION("FILTER(IMPORTRANGE(""https://docs.google.com/spreadsheets/d/1BJSV3WBYJGRhQ6zExamkszQ5VutGIcaQqmbD9ZTVXMQ/edit#gid=1251630045"",""articles_with_PRISMA_reasons!C2:C2113""), $A1648=IMPORTRANGE(""https://docs.google.com/spreadsheets/d/1BJSV3WBYJGRhQ6zExamkszQ"&amp;"5VutGIcaQqmbD9ZTVXMQ/edit#gid=1251630045"",""articles_with_PRISMA_reasons!B2:B2113""))"),2012.0)</f>
        <v>2012</v>
      </c>
      <c r="D1648" s="5" t="str">
        <f>IFERROR(__xludf.DUMMYFUNCTION("IFS(AND(
FILTER(IMPORTRANGE(""https://docs.google.com/spreadsheets/d/1BJSV3WBYJGRhQ6zExamkszQ5VutGIcaQqmbD9ZTVXMQ/edit#gid=1251630045"",""articles_with_PRISMA_reasons!Y2:Y2113""), $A1648=IMPORTRANGE(""https://docs.google.com/spreadsheets/d/1BJSV3WBYJGRhQ6"&amp;"zExamkszQ5VutGIcaQqmbD9ZTVXMQ/edit#gid=1251630045"",""articles_with_PRISMA_reasons!B2:B2113""))&gt;=2,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$A1648=IMPORTRANGE(""https://docs.google.com/spreadsheets/d/1BJSV3WBYJGRhQ6zExamkszQ5VutGIcaQqmbD9ZTVXMQ/edit#gid=1251630045"",""articles_with_PRISMA_reasons!B2:B2113""))&lt;2),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$A1648=IMPORTRANGE(""https://docs.google.com/spreadsheets/d/1BJSV3WBYJGRhQ6zExamkszQ5VutGIcaQqmbD9ZTVXMQ/edit#gid=1251630045"",""a"&amp;"rticles_with_PRISMA_reasons!B2:B2113""))&lt;2,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$A1648=IMPORTRANGE(""https://docs.google"&amp;".com/spreadsheets/d/1BJSV3WBYJGRhQ6zExamkszQ5VutGIcaQqmbD9ZTVXMQ/edit#gid=1251630045"",""articles_with_PRISMA_reasons!B2:B2113""))&gt;=2),
""Exclude""
)"),"Exclude")</f>
        <v>Exclude</v>
      </c>
      <c r="E1648" s="5" t="str">
        <f>IFERROR(__xludf.DUMMYFUNCTION("IFS(
D1648=""Exclude"",""Exclude"",
AND(
FILTER(IMPORTRANGE(""https://docs.google.com/spreadsheets/d/1qpEmbGH0JjaJbUdp21-y2cPbobDbMjr09BbtdKROZWc/edit#gid=1444865654"",""articles_with_PRISMA_reasons!W2:W2113""), $A1648=IMPORTRANGE(""https://docs.google.co"&amp;"m/spreadsheets/d/1qpEmbGH0JjaJbUdp21-y2cPbobDbMjr09BbtdKROZWc/edit#gid=1444865654"",""articles_with_PRISMA_reasons!B2:B2113""))&gt;=2,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$A1648=IMPORTRANGE(""https://docs.google.com/spreadsheets/d/1qpEmbGH0JjaJbUdp21-y2cPbobDbMjr09BbtdKROZWc/edit#gid=1444865654"",""articles_with_PRISMA_reasons!B2:B2113""))&lt;2),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$A1648=IMPORTRANGE(""https://docs.google.com/spreadsheets/d/1qpEmbGH0JjaJbUdp21-y2cPbobDbMjr09Bbtd"&amp;"KROZWc/edit#gid=1444865654"",""articles_with_PRISMA_reasons!B2:B2113""))&lt;2,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$A1648=I"&amp;"MPORTRANGE(""https://docs.google.com/spreadsheets/d/1qpEmbGH0JjaJbUdp21-y2cPbobDbMjr09BbtdKROZWc/edit#gid=1444865654"",""articles_with_PRISMA_reasons!B2:B2113""))&gt;=2),
""Exclude""
)"),"Exclude")</f>
        <v>Exclude</v>
      </c>
      <c r="F1648" s="5" t="str">
        <f>IFERROR(__xludf.DUMMYFUNCTION("IFS(
E1648=""Exclude"",""Exclude"",
AND(
COUNTIF(
IMPORTRANGE(""https://docs.google.com/spreadsheets/d/1kGrh75X1cNR1D7_FcY9zMnHP8iPO4M5RCRjy6nZY0TY/edit#gid=0"",""Table 1: Study characteristics!B4:B171""),A1648)&gt;0,
COUNTIF(Studies!$A$2:$A$85,FILTER(IMPORT"&amp;"RANGE(""https://docs.google.com/spreadsheets/d/1kGrh75X1cNR1D7_FcY9zMnHP8iPO4M5RCRjy6nZY0TY/edit#gid=0"",""Table 1: Study characteristics!A4:A171""), $A1648=IMPORTRANGE(""https://docs.google.com/spreadsheets/d/1kGrh75X1cNR1D7_FcY9zMnHP8iPO4M5RCRjy6nZY0TY/"&amp;"edit#gid=0"",""Table 1: Study characteristics!B4:B171"")))&gt;0
),
""Include""
)"),"Exclude")</f>
        <v>Exclude</v>
      </c>
      <c r="G1648" s="5" t="str">
        <f>IFERROR(__xludf.DUMMYFUNCTION("IFS(
D1648=""Exclude"",
FILTER(IMPORTRANGE(""https://docs.google.com/spreadsheets/d/1BJSV3WBYJGRhQ6zExamkszQ5VutGIcaQqmbD9ZTVXMQ/edit#gid=1251630045"",""articles_with_PRISMA_reasons!AB2:AB2113""), $A1648=IMPORTRANGE(""https://docs.google.com/spreadsheets/"&amp;"d/1BJSV3WBYJGRhQ6zExamkszQ5VutGIcaQqmbD9ZTVXMQ/edit#gid=1251630045"",""articles_with_PRISMA_reasons!B2:B2113"")),
E1648=""Exclude"",
FILTER(IMPORTRANGE(""https://docs.google.com/spreadsheets/d/1qpEmbGH0JjaJbUdp21-y2cPbobDbMjr09BbtdKROZWc/edit#gid=14448656"&amp;"54"",""articles_with_PRISMA_reasons!Z2:Z2113""), $A1648=IMPORTRANGE(""https://docs.google.com/spreadsheets/d/1qpEmbGH0JjaJbUdp21-y2cPbobDbMjr09BbtdKROZWc/edit#gid=1444865654"",""articles_with_PRISMA_reasons!B2:B2113"")),F1648
=""Include"",FILTER(IMPORTRAN"&amp;"GE(""https://docs.google.com/spreadsheets/d/1kGrh75X1cNR1D7_FcY9zMnHP8iPO4M5RCRjy6nZY0TY/edit#gid=0"",""Table 1: Study characteristics!A4:A171""), $A1648=IMPORTRANGE(""https://docs.google.com/spreadsheets/d/1kGrh75X1cNR1D7_FcY9zMnHP8iPO4M5RCRjy6nZY0TY/edi"&amp;"t#gid=0"",""Table 1: Study characteristics!B4:B171""))
)"),"wrong population")</f>
        <v>wrong population</v>
      </c>
    </row>
    <row r="1649">
      <c r="A1649" s="4" t="str">
        <f>IFERROR(__xludf.DUMMYFUNCTION("""COMPUTED_VALUE"""),"Role of Endoscopic Third Ventriculostomy in the Management of Myelomeningocele-Related Hydrocephalus: A Retrospective Study in a Single French Institution")</f>
        <v>Role of Endoscopic Third Ventriculostomy in the Management of Myelomeningocele-Related Hydrocephalus: A Retrospective Study in a Single French Institution</v>
      </c>
      <c r="B1649" s="5" t="str">
        <f>IFERROR(__xludf.DUMMYFUNCTION("LEFT(FILTER(IMPORTRANGE(""https://docs.google.com/spreadsheets/d/1BJSV3WBYJGRhQ6zExamkszQ5VutGIcaQqmbD9ZTVXMQ/edit#gid=1251630045"",""articles_with_PRISMA_reasons!K2:K2113""), $A1649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$A1649=IMPORTRANGE(""https://docs.google.com/spreadsheets/d/1BJSV3WBYJGRhQ6zExamkszQ5VutGIcaQqmbD9ZTVXMQ/edit#gid=1251630045"",""articles_with_PRISMA_reasons!B2:B2113"")))-1)"),"Beuriat")</f>
        <v>Beuriat</v>
      </c>
      <c r="C1649" s="6">
        <f>IFERROR(__xludf.DUMMYFUNCTION("FILTER(IMPORTRANGE(""https://docs.google.com/spreadsheets/d/1BJSV3WBYJGRhQ6zExamkszQ5VutGIcaQqmbD9ZTVXMQ/edit#gid=1251630045"",""articles_with_PRISMA_reasons!C2:C2113""), $A1649=IMPORTRANGE(""https://docs.google.com/spreadsheets/d/1BJSV3WBYJGRhQ6zExamkszQ"&amp;"5VutGIcaQqmbD9ZTVXMQ/edit#gid=1251630045"",""articles_with_PRISMA_reasons!B2:B2113""))"),2016.0)</f>
        <v>2016</v>
      </c>
      <c r="D1649" s="5" t="str">
        <f>IFERROR(__xludf.DUMMYFUNCTION("IFS(AND(
FILTER(IMPORTRANGE(""https://docs.google.com/spreadsheets/d/1BJSV3WBYJGRhQ6zExamkszQ5VutGIcaQqmbD9ZTVXMQ/edit#gid=1251630045"",""articles_with_PRISMA_reasons!Y2:Y2113""), $A1649=IMPORTRANGE(""https://docs.google.com/spreadsheets/d/1BJSV3WBYJGRhQ6"&amp;"zExamkszQ5VutGIcaQqmbD9ZTVXMQ/edit#gid=1251630045"",""articles_with_PRISMA_reasons!B2:B2113""))&gt;=2,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$A1649=IMPORTRANGE(""https://docs.google.com/spreadsheets/d/1BJSV3WBYJGRhQ6zExamkszQ5VutGIcaQqmbD9ZTVXMQ/edit#gid=1251630045"",""articles_with_PRISMA_reasons!B2:B2113""))&lt;2),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$A1649=IMPORTRANGE(""https://docs.google.com/spreadsheets/d/1BJSV3WBYJGRhQ6zExamkszQ5VutGIcaQqmbD9ZTVXMQ/edit#gid=1251630045"",""a"&amp;"rticles_with_PRISMA_reasons!B2:B2113""))&lt;2,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$A1649=IMPORTRANGE(""https://docs.google"&amp;".com/spreadsheets/d/1BJSV3WBYJGRhQ6zExamkszQ5VutGIcaQqmbD9ZTVXMQ/edit#gid=1251630045"",""articles_with_PRISMA_reasons!B2:B2113""))&gt;=2),
""Exclude""
)"),"Include")</f>
        <v>Include</v>
      </c>
      <c r="E1649" s="5" t="str">
        <f>IFERROR(__xludf.DUMMYFUNCTION("IFS(
D1649=""Exclude"",""Exclude"",
AND(
FILTER(IMPORTRANGE(""https://docs.google.com/spreadsheets/d/1qpEmbGH0JjaJbUdp21-y2cPbobDbMjr09BbtdKROZWc/edit#gid=1444865654"",""articles_with_PRISMA_reasons!W2:W2113""), $A1649=IMPORTRANGE(""https://docs.google.co"&amp;"m/spreadsheets/d/1qpEmbGH0JjaJbUdp21-y2cPbobDbMjr09BbtdKROZWc/edit#gid=1444865654"",""articles_with_PRISMA_reasons!B2:B2113""))&gt;=2,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$A1649=IMPORTRANGE(""https://docs.google.com/spreadsheets/d/1qpEmbGH0JjaJbUdp21-y2cPbobDbMjr09BbtdKROZWc/edit#gid=1444865654"",""articles_with_PRISMA_reasons!B2:B2113""))&lt;2),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$A1649=IMPORTRANGE(""https://docs.google.com/spreadsheets/d/1qpEmbGH0JjaJbUdp21-y2cPbobDbMjr09Bbtd"&amp;"KROZWc/edit#gid=1444865654"",""articles_with_PRISMA_reasons!B2:B2113""))&lt;2,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$A1649=I"&amp;"MPORTRANGE(""https://docs.google.com/spreadsheets/d/1qpEmbGH0JjaJbUdp21-y2cPbobDbMjr09BbtdKROZWc/edit#gid=1444865654"",""articles_with_PRISMA_reasons!B2:B2113""))&gt;=2),
""Exclude""
)"),"Include")</f>
        <v>Include</v>
      </c>
      <c r="F1649" s="5" t="str">
        <f>IFERROR(__xludf.DUMMYFUNCTION("IFS(
E1649=""Exclude"",""Exclude"",
AND(
COUNTIF(
IMPORTRANGE(""https://docs.google.com/spreadsheets/d/1kGrh75X1cNR1D7_FcY9zMnHP8iPO4M5RCRjy6nZY0TY/edit#gid=0"",""Table 1: Study characteristics!B4:B171""),A1649)&gt;0,
COUNTIF(Studies!$A$2:$A$85,FILTER(IMPORT"&amp;"RANGE(""https://docs.google.com/spreadsheets/d/1kGrh75X1cNR1D7_FcY9zMnHP8iPO4M5RCRjy6nZY0TY/edit#gid=0"",""Table 1: Study characteristics!A4:A171""), $A1649=IMPORTRANGE(""https://docs.google.com/spreadsheets/d/1kGrh75X1cNR1D7_FcY9zMnHP8iPO4M5RCRjy6nZY0TY/"&amp;"edit#gid=0"",""Table 1: Study characteristics!B4:B171"")))&gt;0
),
""Include""
)"),"Include")</f>
        <v>Include</v>
      </c>
      <c r="G1649" s="5" t="str">
        <f>IFERROR(__xludf.DUMMYFUNCTION("IFS(
D1649=""Exclude"",
FILTER(IMPORTRANGE(""https://docs.google.com/spreadsheets/d/1BJSV3WBYJGRhQ6zExamkszQ5VutGIcaQqmbD9ZTVXMQ/edit#gid=1251630045"",""articles_with_PRISMA_reasons!AB2:AB2113""), $A1649=IMPORTRANGE(""https://docs.google.com/spreadsheets/"&amp;"d/1BJSV3WBYJGRhQ6zExamkszQ5VutGIcaQqmbD9ZTVXMQ/edit#gid=1251630045"",""articles_with_PRISMA_reasons!B2:B2113"")),
E1649=""Exclude"",
FILTER(IMPORTRANGE(""https://docs.google.com/spreadsheets/d/1qpEmbGH0JjaJbUdp21-y2cPbobDbMjr09BbtdKROZWc/edit#gid=14448656"&amp;"54"",""articles_with_PRISMA_reasons!Z2:Z2113""), $A1649=IMPORTRANGE(""https://docs.google.com/spreadsheets/d/1qpEmbGH0JjaJbUdp21-y2cPbobDbMjr09BbtdKROZWc/edit#gid=1444865654"",""articles_with_PRISMA_reasons!B2:B2113"")),F1649
=""Include"",FILTER(IMPORTRAN"&amp;"GE(""https://docs.google.com/spreadsheets/d/1kGrh75X1cNR1D7_FcY9zMnHP8iPO4M5RCRjy6nZY0TY/edit#gid=0"",""Table 1: Study characteristics!A4:A171""), $A1649=IMPORTRANGE(""https://docs.google.com/spreadsheets/d/1kGrh75X1cNR1D7_FcY9zMnHP8iPO4M5RCRjy6nZY0TY/edi"&amp;"t#gid=0"",""Table 1: Study characteristics!B4:B171""))
)"),"ID 120")</f>
        <v>ID 120</v>
      </c>
    </row>
    <row r="1650">
      <c r="A1650" s="4" t="str">
        <f>IFERROR(__xludf.DUMMYFUNCTION("""COMPUTED_VALUE"""),"Role of MRI in the diagnosis of fetal anomalies at 18-20 weeks gestational age")</f>
        <v>Role of MRI in the diagnosis of fetal anomalies at 18-20 weeks gestational age</v>
      </c>
      <c r="B1650" s="5" t="str">
        <f>IFERROR(__xludf.DUMMYFUNCTION("LEFT(FILTER(IMPORTRANGE(""https://docs.google.com/spreadsheets/d/1BJSV3WBYJGRhQ6zExamkszQ5VutGIcaQqmbD9ZTVXMQ/edit#gid=1251630045"",""articles_with_PRISMA_reasons!K2:K2113""), $A1650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$A1650=IMPORTRANGE(""https://docs.google.com/spreadsheets/d/1BJSV3WBYJGRhQ6zExamkszQ5VutGIcaQqmbD9ZTVXMQ/edit#gid=1251630045"",""articles_with_PRISMA_reasons!B2:B2113"")))-1)"),"Mohan")</f>
        <v>Mohan</v>
      </c>
      <c r="C1650" s="6">
        <f>IFERROR(__xludf.DUMMYFUNCTION("FILTER(IMPORTRANGE(""https://docs.google.com/spreadsheets/d/1BJSV3WBYJGRhQ6zExamkszQ5VutGIcaQqmbD9ZTVXMQ/edit#gid=1251630045"",""articles_with_PRISMA_reasons!C2:C2113""), $A1650=IMPORTRANGE(""https://docs.google.com/spreadsheets/d/1BJSV3WBYJGRhQ6zExamkszQ"&amp;"5VutGIcaQqmbD9ZTVXMQ/edit#gid=1251630045"",""articles_with_PRISMA_reasons!B2:B2113""))"),2019.0)</f>
        <v>2019</v>
      </c>
      <c r="D1650" s="5" t="str">
        <f>IFERROR(__xludf.DUMMYFUNCTION("IFS(AND(
FILTER(IMPORTRANGE(""https://docs.google.com/spreadsheets/d/1BJSV3WBYJGRhQ6zExamkszQ5VutGIcaQqmbD9ZTVXMQ/edit#gid=1251630045"",""articles_with_PRISMA_reasons!Y2:Y2113""), $A1650=IMPORTRANGE(""https://docs.google.com/spreadsheets/d/1BJSV3WBYJGRhQ6"&amp;"zExamkszQ5VutGIcaQqmbD9ZTVXMQ/edit#gid=1251630045"",""articles_with_PRISMA_reasons!B2:B2113""))&gt;=2,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$A1650=IMPORTRANGE(""https://docs.google.com/spreadsheets/d/1BJSV3WBYJGRhQ6zExamkszQ5VutGIcaQqmbD9ZTVXMQ/edit#gid=1251630045"",""articles_with_PRISMA_reasons!B2:B2113""))&lt;2),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$A1650=IMPORTRANGE(""https://docs.google.com/spreadsheets/d/1BJSV3WBYJGRhQ6zExamkszQ5VutGIcaQqmbD9ZTVXMQ/edit#gid=1251630045"",""a"&amp;"rticles_with_PRISMA_reasons!B2:B2113""))&lt;2,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$A1650=IMPORTRANGE(""https://docs.google"&amp;".com/spreadsheets/d/1BJSV3WBYJGRhQ6zExamkszQ5VutGIcaQqmbD9ZTVXMQ/edit#gid=1251630045"",""articles_with_PRISMA_reasons!B2:B2113""))&gt;=2),
""Exclude""
)"),"Exclude")</f>
        <v>Exclude</v>
      </c>
      <c r="E1650" s="5" t="str">
        <f>IFERROR(__xludf.DUMMYFUNCTION("IFS(
D1650=""Exclude"",""Exclude"",
AND(
FILTER(IMPORTRANGE(""https://docs.google.com/spreadsheets/d/1qpEmbGH0JjaJbUdp21-y2cPbobDbMjr09BbtdKROZWc/edit#gid=1444865654"",""articles_with_PRISMA_reasons!W2:W2113""), $A1650=IMPORTRANGE(""https://docs.google.co"&amp;"m/spreadsheets/d/1qpEmbGH0JjaJbUdp21-y2cPbobDbMjr09BbtdKROZWc/edit#gid=1444865654"",""articles_with_PRISMA_reasons!B2:B2113""))&gt;=2,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$A1650=IMPORTRANGE(""https://docs.google.com/spreadsheets/d/1qpEmbGH0JjaJbUdp21-y2cPbobDbMjr09BbtdKROZWc/edit#gid=1444865654"",""articles_with_PRISMA_reasons!B2:B2113""))&lt;2),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$A1650=IMPORTRANGE(""https://docs.google.com/spreadsheets/d/1qpEmbGH0JjaJbUdp21-y2cPbobDbMjr09Bbtd"&amp;"KROZWc/edit#gid=1444865654"",""articles_with_PRISMA_reasons!B2:B2113""))&lt;2,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$A1650=I"&amp;"MPORTRANGE(""https://docs.google.com/spreadsheets/d/1qpEmbGH0JjaJbUdp21-y2cPbobDbMjr09BbtdKROZWc/edit#gid=1444865654"",""articles_with_PRISMA_reasons!B2:B2113""))&gt;=2),
""Exclude""
)"),"Exclude")</f>
        <v>Exclude</v>
      </c>
      <c r="F1650" s="5" t="str">
        <f>IFERROR(__xludf.DUMMYFUNCTION("IFS(
E1650=""Exclude"",""Exclude"",
AND(
COUNTIF(
IMPORTRANGE(""https://docs.google.com/spreadsheets/d/1kGrh75X1cNR1D7_FcY9zMnHP8iPO4M5RCRjy6nZY0TY/edit#gid=0"",""Table 1: Study characteristics!B4:B171""),A1650)&gt;0,
COUNTIF(Studies!$A$2:$A$85,FILTER(IMPORT"&amp;"RANGE(""https://docs.google.com/spreadsheets/d/1kGrh75X1cNR1D7_FcY9zMnHP8iPO4M5RCRjy6nZY0TY/edit#gid=0"",""Table 1: Study characteristics!A4:A171""), $A1650=IMPORTRANGE(""https://docs.google.com/spreadsheets/d/1kGrh75X1cNR1D7_FcY9zMnHP8iPO4M5RCRjy6nZY0TY/"&amp;"edit#gid=0"",""Table 1: Study characteristics!B4:B171"")))&gt;0
),
""Include""
)"),"Exclude")</f>
        <v>Exclude</v>
      </c>
      <c r="G1650" s="5" t="str">
        <f>IFERROR(__xludf.DUMMYFUNCTION("IFS(
D1650=""Exclude"",
FILTER(IMPORTRANGE(""https://docs.google.com/spreadsheets/d/1BJSV3WBYJGRhQ6zExamkszQ5VutGIcaQqmbD9ZTVXMQ/edit#gid=1251630045"",""articles_with_PRISMA_reasons!AB2:AB2113""), $A1650=IMPORTRANGE(""https://docs.google.com/spreadsheets/"&amp;"d/1BJSV3WBYJGRhQ6zExamkszQ5VutGIcaQqmbD9ZTVXMQ/edit#gid=1251630045"",""articles_with_PRISMA_reasons!B2:B2113"")),
E1650=""Exclude"",
FILTER(IMPORTRANGE(""https://docs.google.com/spreadsheets/d/1qpEmbGH0JjaJbUdp21-y2cPbobDbMjr09BbtdKROZWc/edit#gid=14448656"&amp;"54"",""articles_with_PRISMA_reasons!Z2:Z2113""), $A1650=IMPORTRANGE(""https://docs.google.com/spreadsheets/d/1qpEmbGH0JjaJbUdp21-y2cPbobDbMjr09BbtdKROZWc/edit#gid=1444865654"",""articles_with_PRISMA_reasons!B2:B2113"")),F1650
=""Include"",FILTER(IMPORTRAN"&amp;"GE(""https://docs.google.com/spreadsheets/d/1kGrh75X1cNR1D7_FcY9zMnHP8iPO4M5RCRjy6nZY0TY/edit#gid=0"",""Table 1: Study characteristics!A4:A171""), $A1650=IMPORTRANGE(""https://docs.google.com/spreadsheets/d/1kGrh75X1cNR1D7_FcY9zMnHP8iPO4M5RCRjy6nZY0TY/edi"&amp;"t#gid=0"",""Table 1: Study characteristics!B4:B171""))
)"),"wrong population")</f>
        <v>wrong population</v>
      </c>
    </row>
    <row r="1651">
      <c r="A1651" s="4" t="str">
        <f>IFERROR(__xludf.DUMMYFUNCTION("""COMPUTED_VALUE"""),"Route of delivery of fetuses with structural anomalies")</f>
        <v>Route of delivery of fetuses with structural anomalies</v>
      </c>
      <c r="B1651" s="5" t="str">
        <f>IFERROR(__xludf.DUMMYFUNCTION("LEFT(FILTER(IMPORTRANGE(""https://docs.google.com/spreadsheets/d/1BJSV3WBYJGRhQ6zExamkszQ5VutGIcaQqmbD9ZTVXMQ/edit#gid=1251630045"",""articles_with_PRISMA_reasons!K2:K2113""), $A1651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$A1651=IMPORTRANGE(""https://docs.google.com/spreadsheets/d/1BJSV3WBYJGRhQ6zExamkszQ5VutGIcaQqmbD9ZTVXMQ/edit#gid=1251630045"",""articles_with_PRISMA_reasons!B2:B2113"")))-1)"),"Anteby")</f>
        <v>Anteby</v>
      </c>
      <c r="C1651" s="6">
        <f>IFERROR(__xludf.DUMMYFUNCTION("FILTER(IMPORTRANGE(""https://docs.google.com/spreadsheets/d/1BJSV3WBYJGRhQ6zExamkszQ5VutGIcaQqmbD9ZTVXMQ/edit#gid=1251630045"",""articles_with_PRISMA_reasons!C2:C2113""), $A1651=IMPORTRANGE(""https://docs.google.com/spreadsheets/d/1BJSV3WBYJGRhQ6zExamkszQ"&amp;"5VutGIcaQqmbD9ZTVXMQ/edit#gid=1251630045"",""articles_with_PRISMA_reasons!B2:B2113""))"),2003.0)</f>
        <v>2003</v>
      </c>
      <c r="D1651" s="5" t="str">
        <f>IFERROR(__xludf.DUMMYFUNCTION("IFS(AND(
FILTER(IMPORTRANGE(""https://docs.google.com/spreadsheets/d/1BJSV3WBYJGRhQ6zExamkszQ5VutGIcaQqmbD9ZTVXMQ/edit#gid=1251630045"",""articles_with_PRISMA_reasons!Y2:Y2113""), $A1651=IMPORTRANGE(""https://docs.google.com/spreadsheets/d/1BJSV3WBYJGRhQ6"&amp;"zExamkszQ5VutGIcaQqmbD9ZTVXMQ/edit#gid=1251630045"",""articles_with_PRISMA_reasons!B2:B2113""))&gt;=2,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$A1651=IMPORTRANGE(""https://docs.google.com/spreadsheets/d/1BJSV3WBYJGRhQ6zExamkszQ5VutGIcaQqmbD9ZTVXMQ/edit#gid=1251630045"",""articles_with_PRISMA_reasons!B2:B2113""))&lt;2),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$A1651=IMPORTRANGE(""https://docs.google.com/spreadsheets/d/1BJSV3WBYJGRhQ6zExamkszQ5VutGIcaQqmbD9ZTVXMQ/edit#gid=1251630045"",""a"&amp;"rticles_with_PRISMA_reasons!B2:B2113""))&lt;2,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$A1651=IMPORTRANGE(""https://docs.google"&amp;".com/spreadsheets/d/1BJSV3WBYJGRhQ6zExamkszQ5VutGIcaQqmbD9ZTVXMQ/edit#gid=1251630045"",""articles_with_PRISMA_reasons!B2:B2113""))&gt;=2),
""Exclude""
)"),"Exclude")</f>
        <v>Exclude</v>
      </c>
      <c r="E1651" s="5" t="str">
        <f>IFERROR(__xludf.DUMMYFUNCTION("IFS(
D1651=""Exclude"",""Exclude"",
AND(
FILTER(IMPORTRANGE(""https://docs.google.com/spreadsheets/d/1qpEmbGH0JjaJbUdp21-y2cPbobDbMjr09BbtdKROZWc/edit#gid=1444865654"",""articles_with_PRISMA_reasons!W2:W2113""), $A1651=IMPORTRANGE(""https://docs.google.co"&amp;"m/spreadsheets/d/1qpEmbGH0JjaJbUdp21-y2cPbobDbMjr09BbtdKROZWc/edit#gid=1444865654"",""articles_with_PRISMA_reasons!B2:B2113""))&gt;=2,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$A1651=IMPORTRANGE(""https://docs.google.com/spreadsheets/d/1qpEmbGH0JjaJbUdp21-y2cPbobDbMjr09BbtdKROZWc/edit#gid=1444865654"",""articles_with_PRISMA_reasons!B2:B2113""))&lt;2),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$A1651=IMPORTRANGE(""https://docs.google.com/spreadsheets/d/1qpEmbGH0JjaJbUdp21-y2cPbobDbMjr09Bbtd"&amp;"KROZWc/edit#gid=1444865654"",""articles_with_PRISMA_reasons!B2:B2113""))&lt;2,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$A1651=I"&amp;"MPORTRANGE(""https://docs.google.com/spreadsheets/d/1qpEmbGH0JjaJbUdp21-y2cPbobDbMjr09BbtdKROZWc/edit#gid=1444865654"",""articles_with_PRISMA_reasons!B2:B2113""))&gt;=2),
""Exclude""
)"),"Exclude")</f>
        <v>Exclude</v>
      </c>
      <c r="F1651" s="5" t="str">
        <f>IFERROR(__xludf.DUMMYFUNCTION("IFS(
E1651=""Exclude"",""Exclude"",
AND(
COUNTIF(
IMPORTRANGE(""https://docs.google.com/spreadsheets/d/1kGrh75X1cNR1D7_FcY9zMnHP8iPO4M5RCRjy6nZY0TY/edit#gid=0"",""Table 1: Study characteristics!B4:B171""),A1651)&gt;0,
COUNTIF(Studies!$A$2:$A$85,FILTER(IMPORT"&amp;"RANGE(""https://docs.google.com/spreadsheets/d/1kGrh75X1cNR1D7_FcY9zMnHP8iPO4M5RCRjy6nZY0TY/edit#gid=0"",""Table 1: Study characteristics!A4:A171""), $A1651=IMPORTRANGE(""https://docs.google.com/spreadsheets/d/1kGrh75X1cNR1D7_FcY9zMnHP8iPO4M5RCRjy6nZY0TY/"&amp;"edit#gid=0"",""Table 1: Study characteristics!B4:B171"")))&gt;0
),
""Include""
)"),"Exclude")</f>
        <v>Exclude</v>
      </c>
      <c r="G1651" s="5" t="str">
        <f>IFERROR(__xludf.DUMMYFUNCTION("IFS(
D1651=""Exclude"",
FILTER(IMPORTRANGE(""https://docs.google.com/spreadsheets/d/1BJSV3WBYJGRhQ6zExamkszQ5VutGIcaQqmbD9ZTVXMQ/edit#gid=1251630045"",""articles_with_PRISMA_reasons!AB2:AB2113""), $A1651=IMPORTRANGE(""https://docs.google.com/spreadsheets/"&amp;"d/1BJSV3WBYJGRhQ6zExamkszQ5VutGIcaQqmbD9ZTVXMQ/edit#gid=1251630045"",""articles_with_PRISMA_reasons!B2:B2113"")),
E1651=""Exclude"",
FILTER(IMPORTRANGE(""https://docs.google.com/spreadsheets/d/1qpEmbGH0JjaJbUdp21-y2cPbobDbMjr09BbtdKROZWc/edit#gid=14448656"&amp;"54"",""articles_with_PRISMA_reasons!Z2:Z2113""), $A1651=IMPORTRANGE(""https://docs.google.com/spreadsheets/d/1qpEmbGH0JjaJbUdp21-y2cPbobDbMjr09BbtdKROZWc/edit#gid=1444865654"",""articles_with_PRISMA_reasons!B2:B2113"")),F1651
=""Include"",FILTER(IMPORTRAN"&amp;"GE(""https://docs.google.com/spreadsheets/d/1kGrh75X1cNR1D7_FcY9zMnHP8iPO4M5RCRjy6nZY0TY/edit#gid=0"",""Table 1: Study characteristics!A4:A171""), $A1651=IMPORTRANGE(""https://docs.google.com/spreadsheets/d/1kGrh75X1cNR1D7_FcY9zMnHP8iPO4M5RCRjy6nZY0TY/edi"&amp;"t#gid=0"",""Table 1: Study characteristics!B4:B171""))
)"),"wrong study design")</f>
        <v>wrong study design</v>
      </c>
    </row>
    <row r="1652">
      <c r="A1652" s="4" t="str">
        <f>IFERROR(__xludf.DUMMYFUNCTION("""COMPUTED_VALUE"""),"Route of delivery of infants with congenital anomalies")</f>
        <v>Route of delivery of infants with congenital anomalies</v>
      </c>
      <c r="B1652" s="5" t="str">
        <f>IFERROR(__xludf.DUMMYFUNCTION("LEFT(FILTER(IMPORTRANGE(""https://docs.google.com/spreadsheets/d/1BJSV3WBYJGRhQ6zExamkszQ5VutGIcaQqmbD9ZTVXMQ/edit#gid=1251630045"",""articles_with_PRISMA_reasons!K2:K2113""), $A1652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$A1652=IMPORTRANGE(""https://docs.google.com/spreadsheets/d/1BJSV3WBYJGRhQ6zExamkszQ5VutGIcaQqmbD9ZTVXMQ/edit#gid=1251630045"",""articles_with_PRISMA_reasons!B2:B2113"")))-1)"),"McCurdy")</f>
        <v>McCurdy</v>
      </c>
      <c r="C1652" s="6">
        <f>IFERROR(__xludf.DUMMYFUNCTION("FILTER(IMPORTRANGE(""https://docs.google.com/spreadsheets/d/1BJSV3WBYJGRhQ6zExamkszQ5VutGIcaQqmbD9ZTVXMQ/edit#gid=1251630045"",""articles_with_PRISMA_reasons!C2:C2113""), $A1652=IMPORTRANGE(""https://docs.google.com/spreadsheets/d/1BJSV3WBYJGRhQ6zExamkszQ"&amp;"5VutGIcaQqmbD9ZTVXMQ/edit#gid=1251630045"",""articles_with_PRISMA_reasons!B2:B2113""))"),1993.0)</f>
        <v>1993</v>
      </c>
      <c r="D1652" s="5" t="str">
        <f>IFERROR(__xludf.DUMMYFUNCTION("IFS(AND(
FILTER(IMPORTRANGE(""https://docs.google.com/spreadsheets/d/1BJSV3WBYJGRhQ6zExamkszQ5VutGIcaQqmbD9ZTVXMQ/edit#gid=1251630045"",""articles_with_PRISMA_reasons!Y2:Y2113""), $A1652=IMPORTRANGE(""https://docs.google.com/spreadsheets/d/1BJSV3WBYJGRhQ6"&amp;"zExamkszQ5VutGIcaQqmbD9ZTVXMQ/edit#gid=1251630045"",""articles_with_PRISMA_reasons!B2:B2113""))&gt;=2,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$A1652=IMPORTRANGE(""https://docs.google.com/spreadsheets/d/1BJSV3WBYJGRhQ6zExamkszQ5VutGIcaQqmbD9ZTVXMQ/edit#gid=1251630045"",""articles_with_PRISMA_reasons!B2:B2113""))&lt;2),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$A1652=IMPORTRANGE(""https://docs.google.com/spreadsheets/d/1BJSV3WBYJGRhQ6zExamkszQ5VutGIcaQqmbD9ZTVXMQ/edit#gid=1251630045"",""a"&amp;"rticles_with_PRISMA_reasons!B2:B2113""))&lt;2,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$A1652=IMPORTRANGE(""https://docs.google"&amp;".com/spreadsheets/d/1BJSV3WBYJGRhQ6zExamkszQ5VutGIcaQqmbD9ZTVXMQ/edit#gid=1251630045"",""articles_with_PRISMA_reasons!B2:B2113""))&gt;=2),
""Exclude""
)"),"Exclude")</f>
        <v>Exclude</v>
      </c>
      <c r="E1652" s="5" t="str">
        <f>IFERROR(__xludf.DUMMYFUNCTION("IFS(
D1652=""Exclude"",""Exclude"",
AND(
FILTER(IMPORTRANGE(""https://docs.google.com/spreadsheets/d/1qpEmbGH0JjaJbUdp21-y2cPbobDbMjr09BbtdKROZWc/edit#gid=1444865654"",""articles_with_PRISMA_reasons!W2:W2113""), $A1652=IMPORTRANGE(""https://docs.google.co"&amp;"m/spreadsheets/d/1qpEmbGH0JjaJbUdp21-y2cPbobDbMjr09BbtdKROZWc/edit#gid=1444865654"",""articles_with_PRISMA_reasons!B2:B2113""))&gt;=2,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$A1652=IMPORTRANGE(""https://docs.google.com/spreadsheets/d/1qpEmbGH0JjaJbUdp21-y2cPbobDbMjr09BbtdKROZWc/edit#gid=1444865654"",""articles_with_PRISMA_reasons!B2:B2113""))&lt;2),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$A1652=IMPORTRANGE(""https://docs.google.com/spreadsheets/d/1qpEmbGH0JjaJbUdp21-y2cPbobDbMjr09Bbtd"&amp;"KROZWc/edit#gid=1444865654"",""articles_with_PRISMA_reasons!B2:B2113""))&lt;2,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$A1652=I"&amp;"MPORTRANGE(""https://docs.google.com/spreadsheets/d/1qpEmbGH0JjaJbUdp21-y2cPbobDbMjr09BbtdKROZWc/edit#gid=1444865654"",""articles_with_PRISMA_reasons!B2:B2113""))&gt;=2),
""Exclude""
)"),"Exclude")</f>
        <v>Exclude</v>
      </c>
      <c r="F1652" s="5" t="str">
        <f>IFERROR(__xludf.DUMMYFUNCTION("IFS(
E1652=""Exclude"",""Exclude"",
AND(
COUNTIF(
IMPORTRANGE(""https://docs.google.com/spreadsheets/d/1kGrh75X1cNR1D7_FcY9zMnHP8iPO4M5RCRjy6nZY0TY/edit#gid=0"",""Table 1: Study characteristics!B4:B171""),A1652)&gt;0,
COUNTIF(Studies!$A$2:$A$85,FILTER(IMPORT"&amp;"RANGE(""https://docs.google.com/spreadsheets/d/1kGrh75X1cNR1D7_FcY9zMnHP8iPO4M5RCRjy6nZY0TY/edit#gid=0"",""Table 1: Study characteristics!A4:A171""), $A1652=IMPORTRANGE(""https://docs.google.com/spreadsheets/d/1kGrh75X1cNR1D7_FcY9zMnHP8iPO4M5RCRjy6nZY0TY/"&amp;"edit#gid=0"",""Table 1: Study characteristics!B4:B171"")))&gt;0
),
""Include""
)"),"Exclude")</f>
        <v>Exclude</v>
      </c>
      <c r="G1652" s="5" t="str">
        <f>IFERROR(__xludf.DUMMYFUNCTION("IFS(
D1652=""Exclude"",
FILTER(IMPORTRANGE(""https://docs.google.com/spreadsheets/d/1BJSV3WBYJGRhQ6zExamkszQ5VutGIcaQqmbD9ZTVXMQ/edit#gid=1251630045"",""articles_with_PRISMA_reasons!AB2:AB2113""), $A1652=IMPORTRANGE(""https://docs.google.com/spreadsheets/"&amp;"d/1BJSV3WBYJGRhQ6zExamkszQ5VutGIcaQqmbD9ZTVXMQ/edit#gid=1251630045"",""articles_with_PRISMA_reasons!B2:B2113"")),
E1652=""Exclude"",
FILTER(IMPORTRANGE(""https://docs.google.com/spreadsheets/d/1qpEmbGH0JjaJbUdp21-y2cPbobDbMjr09BbtdKROZWc/edit#gid=14448656"&amp;"54"",""articles_with_PRISMA_reasons!Z2:Z2113""), $A1652=IMPORTRANGE(""https://docs.google.com/spreadsheets/d/1qpEmbGH0JjaJbUdp21-y2cPbobDbMjr09BbtdKROZWc/edit#gid=1444865654"",""articles_with_PRISMA_reasons!B2:B2113"")),F1652
=""Include"",FILTER(IMPORTRAN"&amp;"GE(""https://docs.google.com/spreadsheets/d/1kGrh75X1cNR1D7_FcY9zMnHP8iPO4M5RCRjy6nZY0TY/edit#gid=0"",""Table 1: Study characteristics!A4:A171""), $A1652=IMPORTRANGE(""https://docs.google.com/spreadsheets/d/1kGrh75X1cNR1D7_FcY9zMnHP8iPO4M5RCRjy6nZY0TY/edi"&amp;"t#gid=0"",""Table 1: Study characteristics!B4:B171""))
)"),"wrong population")</f>
        <v>wrong population</v>
      </c>
    </row>
    <row r="1653">
      <c r="A1653" s="4" t="str">
        <f>IFERROR(__xludf.DUMMYFUNCTION("""COMPUTED_VALUE"""),"Ruptured dermoid cyst of the conus medullaris in the myelomeningocele sac revealed at the initial repair surgery")</f>
        <v>Ruptured dermoid cyst of the conus medullaris in the myelomeningocele sac revealed at the initial repair surgery</v>
      </c>
      <c r="B1653" s="5" t="str">
        <f>IFERROR(__xludf.DUMMYFUNCTION("LEFT(FILTER(IMPORTRANGE(""https://docs.google.com/spreadsheets/d/1BJSV3WBYJGRhQ6zExamkszQ5VutGIcaQqmbD9ZTVXMQ/edit#gid=1251630045"",""articles_with_PRISMA_reasons!K2:K2113""), $A1653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$A1653=IMPORTRANGE(""https://docs.google.com/spreadsheets/d/1BJSV3WBYJGRhQ6zExamkszQ5VutGIcaQqmbD9ZTVXMQ/edit#gid=1251630045"",""articles_with_PRISMA_reasons!B2:B2113"")))-1)"),"Kurogi")</f>
        <v>Kurogi</v>
      </c>
      <c r="C1653" s="6">
        <f>IFERROR(__xludf.DUMMYFUNCTION("FILTER(IMPORTRANGE(""https://docs.google.com/spreadsheets/d/1BJSV3WBYJGRhQ6zExamkszQ5VutGIcaQqmbD9ZTVXMQ/edit#gid=1251630045"",""articles_with_PRISMA_reasons!C2:C2113""), $A1653=IMPORTRANGE(""https://docs.google.com/spreadsheets/d/1BJSV3WBYJGRhQ6zExamkszQ"&amp;"5VutGIcaQqmbD9ZTVXMQ/edit#gid=1251630045"",""articles_with_PRISMA_reasons!B2:B2113""))"),2020.0)</f>
        <v>2020</v>
      </c>
      <c r="D1653" s="5" t="str">
        <f>IFERROR(__xludf.DUMMYFUNCTION("IFS(AND(
FILTER(IMPORTRANGE(""https://docs.google.com/spreadsheets/d/1BJSV3WBYJGRhQ6zExamkszQ5VutGIcaQqmbD9ZTVXMQ/edit#gid=1251630045"",""articles_with_PRISMA_reasons!Y2:Y2113""), $A1653=IMPORTRANGE(""https://docs.google.com/spreadsheets/d/1BJSV3WBYJGRhQ6"&amp;"zExamkszQ5VutGIcaQqmbD9ZTVXMQ/edit#gid=1251630045"",""articles_with_PRISMA_reasons!B2:B2113""))&gt;=2,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$A1653=IMPORTRANGE(""https://docs.google.com/spreadsheets/d/1BJSV3WBYJGRhQ6zExamkszQ5VutGIcaQqmbD9ZTVXMQ/edit#gid=1251630045"",""articles_with_PRISMA_reasons!B2:B2113""))&lt;2),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$A1653=IMPORTRANGE(""https://docs.google.com/spreadsheets/d/1BJSV3WBYJGRhQ6zExamkszQ5VutGIcaQqmbD9ZTVXMQ/edit#gid=1251630045"",""a"&amp;"rticles_with_PRISMA_reasons!B2:B2113""))&lt;2,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$A1653=IMPORTRANGE(""https://docs.google"&amp;".com/spreadsheets/d/1BJSV3WBYJGRhQ6zExamkszQ5VutGIcaQqmbD9ZTVXMQ/edit#gid=1251630045"",""articles_with_PRISMA_reasons!B2:B2113""))&gt;=2),
""Exclude""
)"),"Exclude")</f>
        <v>Exclude</v>
      </c>
      <c r="E1653" s="5" t="str">
        <f>IFERROR(__xludf.DUMMYFUNCTION("IFS(
D1653=""Exclude"",""Exclude"",
AND(
FILTER(IMPORTRANGE(""https://docs.google.com/spreadsheets/d/1qpEmbGH0JjaJbUdp21-y2cPbobDbMjr09BbtdKROZWc/edit#gid=1444865654"",""articles_with_PRISMA_reasons!W2:W2113""), $A1653=IMPORTRANGE(""https://docs.google.co"&amp;"m/spreadsheets/d/1qpEmbGH0JjaJbUdp21-y2cPbobDbMjr09BbtdKROZWc/edit#gid=1444865654"",""articles_with_PRISMA_reasons!B2:B2113""))&gt;=2,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$A1653=IMPORTRANGE(""https://docs.google.com/spreadsheets/d/1qpEmbGH0JjaJbUdp21-y2cPbobDbMjr09BbtdKROZWc/edit#gid=1444865654"",""articles_with_PRISMA_reasons!B2:B2113""))&lt;2),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$A1653=IMPORTRANGE(""https://docs.google.com/spreadsheets/d/1qpEmbGH0JjaJbUdp21-y2cPbobDbMjr09Bbtd"&amp;"KROZWc/edit#gid=1444865654"",""articles_with_PRISMA_reasons!B2:B2113""))&lt;2,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$A1653=I"&amp;"MPORTRANGE(""https://docs.google.com/spreadsheets/d/1qpEmbGH0JjaJbUdp21-y2cPbobDbMjr09BbtdKROZWc/edit#gid=1444865654"",""articles_with_PRISMA_reasons!B2:B2113""))&gt;=2),
""Exclude""
)"),"Exclude")</f>
        <v>Exclude</v>
      </c>
      <c r="F1653" s="5" t="str">
        <f>IFERROR(__xludf.DUMMYFUNCTION("IFS(
E1653=""Exclude"",""Exclude"",
AND(
COUNTIF(
IMPORTRANGE(""https://docs.google.com/spreadsheets/d/1kGrh75X1cNR1D7_FcY9zMnHP8iPO4M5RCRjy6nZY0TY/edit#gid=0"",""Table 1: Study characteristics!B4:B171""),A1653)&gt;0,
COUNTIF(Studies!$A$2:$A$85,FILTER(IMPORT"&amp;"RANGE(""https://docs.google.com/spreadsheets/d/1kGrh75X1cNR1D7_FcY9zMnHP8iPO4M5RCRjy6nZY0TY/edit#gid=0"",""Table 1: Study characteristics!A4:A171""), $A1653=IMPORTRANGE(""https://docs.google.com/spreadsheets/d/1kGrh75X1cNR1D7_FcY9zMnHP8iPO4M5RCRjy6nZY0TY/"&amp;"edit#gid=0"",""Table 1: Study characteristics!B4:B171"")))&gt;0
),
""Include""
)"),"Exclude")</f>
        <v>Exclude</v>
      </c>
      <c r="G1653" s="5" t="str">
        <f>IFERROR(__xludf.DUMMYFUNCTION("IFS(
D1653=""Exclude"",
FILTER(IMPORTRANGE(""https://docs.google.com/spreadsheets/d/1BJSV3WBYJGRhQ6zExamkszQ5VutGIcaQqmbD9ZTVXMQ/edit#gid=1251630045"",""articles_with_PRISMA_reasons!AB2:AB2113""), $A1653=IMPORTRANGE(""https://docs.google.com/spreadsheets/"&amp;"d/1BJSV3WBYJGRhQ6zExamkszQ5VutGIcaQqmbD9ZTVXMQ/edit#gid=1251630045"",""articles_with_PRISMA_reasons!B2:B2113"")),
E1653=""Exclude"",
FILTER(IMPORTRANGE(""https://docs.google.com/spreadsheets/d/1qpEmbGH0JjaJbUdp21-y2cPbobDbMjr09BbtdKROZWc/edit#gid=14448656"&amp;"54"",""articles_with_PRISMA_reasons!Z2:Z2113""), $A1653=IMPORTRANGE(""https://docs.google.com/spreadsheets/d/1qpEmbGH0JjaJbUdp21-y2cPbobDbMjr09BbtdKROZWc/edit#gid=1444865654"",""articles_with_PRISMA_reasons!B2:B2113"")),F1653
=""Include"",FILTER(IMPORTRAN"&amp;"GE(""https://docs.google.com/spreadsheets/d/1kGrh75X1cNR1D7_FcY9zMnHP8iPO4M5RCRjy6nZY0TY/edit#gid=0"",""Table 1: Study characteristics!A4:A171""), $A1653=IMPORTRANGE(""https://docs.google.com/spreadsheets/d/1kGrh75X1cNR1D7_FcY9zMnHP8iPO4M5RCRjy6nZY0TY/edi"&amp;"t#gid=0"",""Table 1: Study characteristics!B4:B171""))
)"),"wrong study design")</f>
        <v>wrong study design</v>
      </c>
    </row>
    <row r="1654">
      <c r="A1654" s="4" t="str">
        <f>IFERROR(__xludf.DUMMYFUNCTION("""COMPUTED_VALUE"""),"Ruptured occipitocervical teratoma mimicking an upper cervical myelomeningocele. Case report")</f>
        <v>Ruptured occipitocervical teratoma mimicking an upper cervical myelomeningocele. Case report</v>
      </c>
      <c r="B1654" s="5" t="str">
        <f>IFERROR(__xludf.DUMMYFUNCTION("LEFT(FILTER(IMPORTRANGE(""https://docs.google.com/spreadsheets/d/1BJSV3WBYJGRhQ6zExamkszQ5VutGIcaQqmbD9ZTVXMQ/edit#gid=1251630045"",""articles_with_PRISMA_reasons!K2:K2113""), $A1654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$A1654=IMPORTRANGE(""https://docs.google.com/spreadsheets/d/1BJSV3WBYJGRhQ6zExamkszQ5VutGIcaQqmbD9ZTVXMQ/edit#gid=1251630045"",""articles_with_PRISMA_reasons!B2:B2113"")))-1)"),"Dadmehr")</f>
        <v>Dadmehr</v>
      </c>
      <c r="C1654" s="6">
        <f>IFERROR(__xludf.DUMMYFUNCTION("FILTER(IMPORTRANGE(""https://docs.google.com/spreadsheets/d/1BJSV3WBYJGRhQ6zExamkszQ5VutGIcaQqmbD9ZTVXMQ/edit#gid=1251630045"",""articles_with_PRISMA_reasons!C2:C2113""), $A1654=IMPORTRANGE(""https://docs.google.com/spreadsheets/d/1BJSV3WBYJGRhQ6zExamkszQ"&amp;"5VutGIcaQqmbD9ZTVXMQ/edit#gid=1251630045"",""articles_with_PRISMA_reasons!B2:B2113""))"),2006.0)</f>
        <v>2006</v>
      </c>
      <c r="D1654" s="5" t="str">
        <f>IFERROR(__xludf.DUMMYFUNCTION("IFS(AND(
FILTER(IMPORTRANGE(""https://docs.google.com/spreadsheets/d/1BJSV3WBYJGRhQ6zExamkszQ5VutGIcaQqmbD9ZTVXMQ/edit#gid=1251630045"",""articles_with_PRISMA_reasons!Y2:Y2113""), $A1654=IMPORTRANGE(""https://docs.google.com/spreadsheets/d/1BJSV3WBYJGRhQ6"&amp;"zExamkszQ5VutGIcaQqmbD9ZTVXMQ/edit#gid=1251630045"",""articles_with_PRISMA_reasons!B2:B2113""))&gt;=2,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$A1654=IMPORTRANGE(""https://docs.google.com/spreadsheets/d/1BJSV3WBYJGRhQ6zExamkszQ5VutGIcaQqmbD9ZTVXMQ/edit#gid=1251630045"",""articles_with_PRISMA_reasons!B2:B2113""))&lt;2),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$A1654=IMPORTRANGE(""https://docs.google.com/spreadsheets/d/1BJSV3WBYJGRhQ6zExamkszQ5VutGIcaQqmbD9ZTVXMQ/edit#gid=1251630045"",""a"&amp;"rticles_with_PRISMA_reasons!B2:B2113""))&lt;2,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$A1654=IMPORTRANGE(""https://docs.google"&amp;".com/spreadsheets/d/1BJSV3WBYJGRhQ6zExamkszQ5VutGIcaQqmbD9ZTVXMQ/edit#gid=1251630045"",""articles_with_PRISMA_reasons!B2:B2113""))&gt;=2),
""Exclude""
)"),"Exclude")</f>
        <v>Exclude</v>
      </c>
      <c r="E1654" s="5" t="str">
        <f>IFERROR(__xludf.DUMMYFUNCTION("IFS(
D1654=""Exclude"",""Exclude"",
AND(
FILTER(IMPORTRANGE(""https://docs.google.com/spreadsheets/d/1qpEmbGH0JjaJbUdp21-y2cPbobDbMjr09BbtdKROZWc/edit#gid=1444865654"",""articles_with_PRISMA_reasons!W2:W2113""), $A1654=IMPORTRANGE(""https://docs.google.co"&amp;"m/spreadsheets/d/1qpEmbGH0JjaJbUdp21-y2cPbobDbMjr09BbtdKROZWc/edit#gid=1444865654"",""articles_with_PRISMA_reasons!B2:B2113""))&gt;=2,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$A1654=IMPORTRANGE(""https://docs.google.com/spreadsheets/d/1qpEmbGH0JjaJbUdp21-y2cPbobDbMjr09BbtdKROZWc/edit#gid=1444865654"",""articles_with_PRISMA_reasons!B2:B2113""))&lt;2),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$A1654=IMPORTRANGE(""https://docs.google.com/spreadsheets/d/1qpEmbGH0JjaJbUdp21-y2cPbobDbMjr09Bbtd"&amp;"KROZWc/edit#gid=1444865654"",""articles_with_PRISMA_reasons!B2:B2113""))&lt;2,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$A1654=I"&amp;"MPORTRANGE(""https://docs.google.com/spreadsheets/d/1qpEmbGH0JjaJbUdp21-y2cPbobDbMjr09BbtdKROZWc/edit#gid=1444865654"",""articles_with_PRISMA_reasons!B2:B2113""))&gt;=2),
""Exclude""
)"),"Exclude")</f>
        <v>Exclude</v>
      </c>
      <c r="F1654" s="5" t="str">
        <f>IFERROR(__xludf.DUMMYFUNCTION("IFS(
E1654=""Exclude"",""Exclude"",
AND(
COUNTIF(
IMPORTRANGE(""https://docs.google.com/spreadsheets/d/1kGrh75X1cNR1D7_FcY9zMnHP8iPO4M5RCRjy6nZY0TY/edit#gid=0"",""Table 1: Study characteristics!B4:B171""),A1654)&gt;0,
COUNTIF(Studies!$A$2:$A$85,FILTER(IMPORT"&amp;"RANGE(""https://docs.google.com/spreadsheets/d/1kGrh75X1cNR1D7_FcY9zMnHP8iPO4M5RCRjy6nZY0TY/edit#gid=0"",""Table 1: Study characteristics!A4:A171""), $A1654=IMPORTRANGE(""https://docs.google.com/spreadsheets/d/1kGrh75X1cNR1D7_FcY9zMnHP8iPO4M5RCRjy6nZY0TY/"&amp;"edit#gid=0"",""Table 1: Study characteristics!B4:B171"")))&gt;0
),
""Include""
)"),"Exclude")</f>
        <v>Exclude</v>
      </c>
      <c r="G1654" s="5" t="str">
        <f>IFERROR(__xludf.DUMMYFUNCTION("IFS(
D1654=""Exclude"",
FILTER(IMPORTRANGE(""https://docs.google.com/spreadsheets/d/1BJSV3WBYJGRhQ6zExamkszQ5VutGIcaQqmbD9ZTVXMQ/edit#gid=1251630045"",""articles_with_PRISMA_reasons!AB2:AB2113""), $A1654=IMPORTRANGE(""https://docs.google.com/spreadsheets/"&amp;"d/1BJSV3WBYJGRhQ6zExamkszQ5VutGIcaQqmbD9ZTVXMQ/edit#gid=1251630045"",""articles_with_PRISMA_reasons!B2:B2113"")),
E1654=""Exclude"",
FILTER(IMPORTRANGE(""https://docs.google.com/spreadsheets/d/1qpEmbGH0JjaJbUdp21-y2cPbobDbMjr09BbtdKROZWc/edit#gid=14448656"&amp;"54"",""articles_with_PRISMA_reasons!Z2:Z2113""), $A1654=IMPORTRANGE(""https://docs.google.com/spreadsheets/d/1qpEmbGH0JjaJbUdp21-y2cPbobDbMjr09BbtdKROZWc/edit#gid=1444865654"",""articles_with_PRISMA_reasons!B2:B2113"")),F1654
=""Include"",FILTER(IMPORTRAN"&amp;"GE(""https://docs.google.com/spreadsheets/d/1kGrh75X1cNR1D7_FcY9zMnHP8iPO4M5RCRjy6nZY0TY/edit#gid=0"",""Table 1: Study characteristics!A4:A171""), $A1654=IMPORTRANGE(""https://docs.google.com/spreadsheets/d/1kGrh75X1cNR1D7_FcY9zMnHP8iPO4M5RCRjy6nZY0TY/edi"&amp;"t#gid=0"",""Table 1: Study characteristics!B4:B171""))
)"),"wrong publication type")</f>
        <v>wrong publication type</v>
      </c>
    </row>
    <row r="1655">
      <c r="A1655" s="4" t="str">
        <f>IFERROR(__xludf.DUMMYFUNCTION("""COMPUTED_VALUE"""),"Sacrococcygeal developmental abnormalities and tumors in children")</f>
        <v>Sacrococcygeal developmental abnormalities and tumors in children</v>
      </c>
      <c r="B1655" s="5" t="str">
        <f>IFERROR(__xludf.DUMMYFUNCTION("LEFT(FILTER(IMPORTRANGE(""https://docs.google.com/spreadsheets/d/1BJSV3WBYJGRhQ6zExamkszQ5VutGIcaQqmbD9ZTVXMQ/edit#gid=1251630045"",""articles_with_PRISMA_reasons!K2:K2113""), $A1655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$A1655=IMPORTRANGE(""https://docs.google.com/spreadsheets/d/1BJSV3WBYJGRhQ6zExamkszQ5VutGIcaQqmbD9ZTVXMQ/edit#gid=1251630045"",""articles_with_PRISMA_reasons!B2:B2113"")))-1)"),"Bale")</f>
        <v>Bale</v>
      </c>
      <c r="C1655" s="6">
        <f>IFERROR(__xludf.DUMMYFUNCTION("FILTER(IMPORTRANGE(""https://docs.google.com/spreadsheets/d/1BJSV3WBYJGRhQ6zExamkszQ5VutGIcaQqmbD9ZTVXMQ/edit#gid=1251630045"",""articles_with_PRISMA_reasons!C2:C2113""), $A1655=IMPORTRANGE(""https://docs.google.com/spreadsheets/d/1BJSV3WBYJGRhQ6zExamkszQ"&amp;"5VutGIcaQqmbD9ZTVXMQ/edit#gid=1251630045"",""articles_with_PRISMA_reasons!B2:B2113""))"),1984.0)</f>
        <v>1984</v>
      </c>
      <c r="D1655" s="5" t="str">
        <f>IFERROR(__xludf.DUMMYFUNCTION("IFS(AND(
FILTER(IMPORTRANGE(""https://docs.google.com/spreadsheets/d/1BJSV3WBYJGRhQ6zExamkszQ5VutGIcaQqmbD9ZTVXMQ/edit#gid=1251630045"",""articles_with_PRISMA_reasons!Y2:Y2113""), $A1655=IMPORTRANGE(""https://docs.google.com/spreadsheets/d/1BJSV3WBYJGRhQ6"&amp;"zExamkszQ5VutGIcaQqmbD9ZTVXMQ/edit#gid=1251630045"",""articles_with_PRISMA_reasons!B2:B2113""))&gt;=2,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$A1655=IMPORTRANGE(""https://docs.google.com/spreadsheets/d/1BJSV3WBYJGRhQ6zExamkszQ5VutGIcaQqmbD9ZTVXMQ/edit#gid=1251630045"",""articles_with_PRISMA_reasons!B2:B2113""))&lt;2),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$A1655=IMPORTRANGE(""https://docs.google.com/spreadsheets/d/1BJSV3WBYJGRhQ6zExamkszQ5VutGIcaQqmbD9ZTVXMQ/edit#gid=1251630045"",""a"&amp;"rticles_with_PRISMA_reasons!B2:B2113""))&lt;2,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$A1655=IMPORTRANGE(""https://docs.google"&amp;".com/spreadsheets/d/1BJSV3WBYJGRhQ6zExamkszQ5VutGIcaQqmbD9ZTVXMQ/edit#gid=1251630045"",""articles_with_PRISMA_reasons!B2:B2113""))&gt;=2),
""Exclude""
)"),"Exclude")</f>
        <v>Exclude</v>
      </c>
      <c r="E1655" s="5" t="str">
        <f>IFERROR(__xludf.DUMMYFUNCTION("IFS(
D1655=""Exclude"",""Exclude"",
AND(
FILTER(IMPORTRANGE(""https://docs.google.com/spreadsheets/d/1qpEmbGH0JjaJbUdp21-y2cPbobDbMjr09BbtdKROZWc/edit#gid=1444865654"",""articles_with_PRISMA_reasons!W2:W2113""), $A1655=IMPORTRANGE(""https://docs.google.co"&amp;"m/spreadsheets/d/1qpEmbGH0JjaJbUdp21-y2cPbobDbMjr09BbtdKROZWc/edit#gid=1444865654"",""articles_with_PRISMA_reasons!B2:B2113""))&gt;=2,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$A1655=IMPORTRANGE(""https://docs.google.com/spreadsheets/d/1qpEmbGH0JjaJbUdp21-y2cPbobDbMjr09BbtdKROZWc/edit#gid=1444865654"",""articles_with_PRISMA_reasons!B2:B2113""))&lt;2),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$A1655=IMPORTRANGE(""https://docs.google.com/spreadsheets/d/1qpEmbGH0JjaJbUdp21-y2cPbobDbMjr09Bbtd"&amp;"KROZWc/edit#gid=1444865654"",""articles_with_PRISMA_reasons!B2:B2113""))&lt;2,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$A1655=I"&amp;"MPORTRANGE(""https://docs.google.com/spreadsheets/d/1qpEmbGH0JjaJbUdp21-y2cPbobDbMjr09BbtdKROZWc/edit#gid=1444865654"",""articles_with_PRISMA_reasons!B2:B2113""))&gt;=2),
""Exclude""
)"),"Exclude")</f>
        <v>Exclude</v>
      </c>
      <c r="F1655" s="5" t="str">
        <f>IFERROR(__xludf.DUMMYFUNCTION("IFS(
E1655=""Exclude"",""Exclude"",
AND(
COUNTIF(
IMPORTRANGE(""https://docs.google.com/spreadsheets/d/1kGrh75X1cNR1D7_FcY9zMnHP8iPO4M5RCRjy6nZY0TY/edit#gid=0"",""Table 1: Study characteristics!B4:B171""),A1655)&gt;0,
COUNTIF(Studies!$A$2:$A$85,FILTER(IMPORT"&amp;"RANGE(""https://docs.google.com/spreadsheets/d/1kGrh75X1cNR1D7_FcY9zMnHP8iPO4M5RCRjy6nZY0TY/edit#gid=0"",""Table 1: Study characteristics!A4:A171""), $A1655=IMPORTRANGE(""https://docs.google.com/spreadsheets/d/1kGrh75X1cNR1D7_FcY9zMnHP8iPO4M5RCRjy6nZY0TY/"&amp;"edit#gid=0"",""Table 1: Study characteristics!B4:B171"")))&gt;0
),
""Include""
)"),"Exclude")</f>
        <v>Exclude</v>
      </c>
      <c r="G1655" s="5" t="str">
        <f>IFERROR(__xludf.DUMMYFUNCTION("IFS(
D1655=""Exclude"",
FILTER(IMPORTRANGE(""https://docs.google.com/spreadsheets/d/1BJSV3WBYJGRhQ6zExamkszQ5VutGIcaQqmbD9ZTVXMQ/edit#gid=1251630045"",""articles_with_PRISMA_reasons!AB2:AB2113""), $A1655=IMPORTRANGE(""https://docs.google.com/spreadsheets/"&amp;"d/1BJSV3WBYJGRhQ6zExamkszQ5VutGIcaQqmbD9ZTVXMQ/edit#gid=1251630045"",""articles_with_PRISMA_reasons!B2:B2113"")),
E1655=""Exclude"",
FILTER(IMPORTRANGE(""https://docs.google.com/spreadsheets/d/1qpEmbGH0JjaJbUdp21-y2cPbobDbMjr09BbtdKROZWc/edit#gid=14448656"&amp;"54"",""articles_with_PRISMA_reasons!Z2:Z2113""), $A1655=IMPORTRANGE(""https://docs.google.com/spreadsheets/d/1qpEmbGH0JjaJbUdp21-y2cPbobDbMjr09BbtdKROZWc/edit#gid=1444865654"",""articles_with_PRISMA_reasons!B2:B2113"")),F1655
=""Include"",FILTER(IMPORTRAN"&amp;"GE(""https://docs.google.com/spreadsheets/d/1kGrh75X1cNR1D7_FcY9zMnHP8iPO4M5RCRjy6nZY0TY/edit#gid=0"",""Table 1: Study characteristics!A4:A171""), $A1655=IMPORTRANGE(""https://docs.google.com/spreadsheets/d/1kGrh75X1cNR1D7_FcY9zMnHP8iPO4M5RCRjy6nZY0TY/edi"&amp;"t#gid=0"",""Table 1: Study characteristics!B4:B171""))
)"),"wrong population")</f>
        <v>wrong population</v>
      </c>
    </row>
    <row r="1656">
      <c r="A1656" s="4" t="str">
        <f>IFERROR(__xludf.DUMMYFUNCTION("""COMPUTED_VALUE"""),"Safety of antiretrovirals in pregnancy")</f>
        <v>Safety of antiretrovirals in pregnancy</v>
      </c>
      <c r="B1656" s="5" t="str">
        <f>IFERROR(__xludf.DUMMYFUNCTION("LEFT(FILTER(IMPORTRANGE(""https://docs.google.com/spreadsheets/d/1BJSV3WBYJGRhQ6zExamkszQ5VutGIcaQqmbD9ZTVXMQ/edit#gid=1251630045"",""articles_with_PRISMA_reasons!K2:K2113""), $A1656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$A1656=IMPORTRANGE(""https://docs.google.com/spreadsheets/d/1BJSV3WBYJGRhQ6zExamkszQ5VutGIcaQqmbD9ZTVXMQ/edit#gid=1251630045"",""articles_with_PRISMA_reasons!B2:B2113"")))-1)"),"Clayden")</f>
        <v>Clayden</v>
      </c>
      <c r="C1656" s="6">
        <f>IFERROR(__xludf.DUMMYFUNCTION("FILTER(IMPORTRANGE(""https://docs.google.com/spreadsheets/d/1BJSV3WBYJGRhQ6zExamkszQ5VutGIcaQqmbD9ZTVXMQ/edit#gid=1251630045"",""articles_with_PRISMA_reasons!C2:C2113""), $A1656=IMPORTRANGE(""https://docs.google.com/spreadsheets/d/1BJSV3WBYJGRhQ6zExamkszQ"&amp;"5VutGIcaQqmbD9ZTVXMQ/edit#gid=1251630045"",""articles_with_PRISMA_reasons!B2:B2113""))"),2009.0)</f>
        <v>2009</v>
      </c>
      <c r="D1656" s="5" t="str">
        <f>IFERROR(__xludf.DUMMYFUNCTION("IFS(AND(
FILTER(IMPORTRANGE(""https://docs.google.com/spreadsheets/d/1BJSV3WBYJGRhQ6zExamkszQ5VutGIcaQqmbD9ZTVXMQ/edit#gid=1251630045"",""articles_with_PRISMA_reasons!Y2:Y2113""), $A1656=IMPORTRANGE(""https://docs.google.com/spreadsheets/d/1BJSV3WBYJGRhQ6"&amp;"zExamkszQ5VutGIcaQqmbD9ZTVXMQ/edit#gid=1251630045"",""articles_with_PRISMA_reasons!B2:B2113""))&gt;=2,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$A1656=IMPORTRANGE(""https://docs.google.com/spreadsheets/d/1BJSV3WBYJGRhQ6zExamkszQ5VutGIcaQqmbD9ZTVXMQ/edit#gid=1251630045"",""articles_with_PRISMA_reasons!B2:B2113""))&lt;2),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$A1656=IMPORTRANGE(""https://docs.google.com/spreadsheets/d/1BJSV3WBYJGRhQ6zExamkszQ5VutGIcaQqmbD9ZTVXMQ/edit#gid=1251630045"",""a"&amp;"rticles_with_PRISMA_reasons!B2:B2113""))&lt;2,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$A1656=IMPORTRANGE(""https://docs.google"&amp;".com/spreadsheets/d/1BJSV3WBYJGRhQ6zExamkszQ5VutGIcaQqmbD9ZTVXMQ/edit#gid=1251630045"",""articles_with_PRISMA_reasons!B2:B2113""))&gt;=2),
""Exclude""
)"),"Exclude")</f>
        <v>Exclude</v>
      </c>
      <c r="E1656" s="5" t="str">
        <f>IFERROR(__xludf.DUMMYFUNCTION("IFS(
D1656=""Exclude"",""Exclude"",
AND(
FILTER(IMPORTRANGE(""https://docs.google.com/spreadsheets/d/1qpEmbGH0JjaJbUdp21-y2cPbobDbMjr09BbtdKROZWc/edit#gid=1444865654"",""articles_with_PRISMA_reasons!W2:W2113""), $A1656=IMPORTRANGE(""https://docs.google.co"&amp;"m/spreadsheets/d/1qpEmbGH0JjaJbUdp21-y2cPbobDbMjr09BbtdKROZWc/edit#gid=1444865654"",""articles_with_PRISMA_reasons!B2:B2113""))&gt;=2,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$A1656=IMPORTRANGE(""https://docs.google.com/spreadsheets/d/1qpEmbGH0JjaJbUdp21-y2cPbobDbMjr09BbtdKROZWc/edit#gid=1444865654"",""articles_with_PRISMA_reasons!B2:B2113""))&lt;2),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$A1656=IMPORTRANGE(""https://docs.google.com/spreadsheets/d/1qpEmbGH0JjaJbUdp21-y2cPbobDbMjr09Bbtd"&amp;"KROZWc/edit#gid=1444865654"",""articles_with_PRISMA_reasons!B2:B2113""))&lt;2,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$A1656=I"&amp;"MPORTRANGE(""https://docs.google.com/spreadsheets/d/1qpEmbGH0JjaJbUdp21-y2cPbobDbMjr09BbtdKROZWc/edit#gid=1444865654"",""articles_with_PRISMA_reasons!B2:B2113""))&gt;=2),
""Exclude""
)"),"Exclude")</f>
        <v>Exclude</v>
      </c>
      <c r="F1656" s="5" t="str">
        <f>IFERROR(__xludf.DUMMYFUNCTION("IFS(
E1656=""Exclude"",""Exclude"",
AND(
COUNTIF(
IMPORTRANGE(""https://docs.google.com/spreadsheets/d/1kGrh75X1cNR1D7_FcY9zMnHP8iPO4M5RCRjy6nZY0TY/edit#gid=0"",""Table 1: Study characteristics!B4:B171""),A1656)&gt;0,
COUNTIF(Studies!$A$2:$A$85,FILTER(IMPORT"&amp;"RANGE(""https://docs.google.com/spreadsheets/d/1kGrh75X1cNR1D7_FcY9zMnHP8iPO4M5RCRjy6nZY0TY/edit#gid=0"",""Table 1: Study characteristics!A4:A171""), $A1656=IMPORTRANGE(""https://docs.google.com/spreadsheets/d/1kGrh75X1cNR1D7_FcY9zMnHP8iPO4M5RCRjy6nZY0TY/"&amp;"edit#gid=0"",""Table 1: Study characteristics!B4:B171"")))&gt;0
),
""Include""
)"),"Exclude")</f>
        <v>Exclude</v>
      </c>
      <c r="G1656" s="5" t="str">
        <f>IFERROR(__xludf.DUMMYFUNCTION("IFS(
D1656=""Exclude"",
FILTER(IMPORTRANGE(""https://docs.google.com/spreadsheets/d/1BJSV3WBYJGRhQ6zExamkszQ5VutGIcaQqmbD9ZTVXMQ/edit#gid=1251630045"",""articles_with_PRISMA_reasons!AB2:AB2113""), $A1656=IMPORTRANGE(""https://docs.google.com/spreadsheets/"&amp;"d/1BJSV3WBYJGRhQ6zExamkszQ5VutGIcaQqmbD9ZTVXMQ/edit#gid=1251630045"",""articles_with_PRISMA_reasons!B2:B2113"")),
E1656=""Exclude"",
FILTER(IMPORTRANGE(""https://docs.google.com/spreadsheets/d/1qpEmbGH0JjaJbUdp21-y2cPbobDbMjr09BbtdKROZWc/edit#gid=14448656"&amp;"54"",""articles_with_PRISMA_reasons!Z2:Z2113""), $A1656=IMPORTRANGE(""https://docs.google.com/spreadsheets/d/1qpEmbGH0JjaJbUdp21-y2cPbobDbMjr09BbtdKROZWc/edit#gid=1444865654"",""articles_with_PRISMA_reasons!B2:B2113"")),F1656
=""Include"",FILTER(IMPORTRAN"&amp;"GE(""https://docs.google.com/spreadsheets/d/1kGrh75X1cNR1D7_FcY9zMnHP8iPO4M5RCRjy6nZY0TY/edit#gid=0"",""Table 1: Study characteristics!A4:A171""), $A1656=IMPORTRANGE(""https://docs.google.com/spreadsheets/d/1kGrh75X1cNR1D7_FcY9zMnHP8iPO4M5RCRjy6nZY0TY/edi"&amp;"t#gid=0"",""Table 1: Study characteristics!B4:B171""))
)"),"wrong population")</f>
        <v>wrong population</v>
      </c>
    </row>
    <row r="1657">
      <c r="A1657" s="4" t="str">
        <f>IFERROR(__xludf.DUMMYFUNCTION("""COMPUTED_VALUE"""),"Salvaging the ""lost peritoneum"" after ventriculoatrial shunt failures")</f>
        <v>Salvaging the "lost peritoneum" after ventriculoatrial shunt failures</v>
      </c>
      <c r="B1657" s="5" t="str">
        <f>IFERROR(__xludf.DUMMYFUNCTION("LEFT(FILTER(IMPORTRANGE(""https://docs.google.com/spreadsheets/d/1BJSV3WBYJGRhQ6zExamkszQ5VutGIcaQqmbD9ZTVXMQ/edit#gid=1251630045"",""articles_with_PRISMA_reasons!K2:K2113""), $A1657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$A1657=IMPORTRANGE(""https://docs.google.com/spreadsheets/d/1BJSV3WBYJGRhQ6zExamkszQ5VutGIcaQqmbD9ZTVXMQ/edit#gid=1251630045"",""articles_with_PRISMA_reasons!B2:B2113"")))-1)"),"Bhasin")</f>
        <v>Bhasin</v>
      </c>
      <c r="C1657" s="6">
        <f>IFERROR(__xludf.DUMMYFUNCTION("FILTER(IMPORTRANGE(""https://docs.google.com/spreadsheets/d/1BJSV3WBYJGRhQ6zExamkszQ5VutGIcaQqmbD9ZTVXMQ/edit#gid=1251630045"",""articles_with_PRISMA_reasons!C2:C2113""), $A1657=IMPORTRANGE(""https://docs.google.com/spreadsheets/d/1BJSV3WBYJGRhQ6zExamkszQ"&amp;"5VutGIcaQqmbD9ZTVXMQ/edit#gid=1251630045"",""articles_with_PRISMA_reasons!B2:B2113""))"),2007.0)</f>
        <v>2007</v>
      </c>
      <c r="D1657" s="5" t="str">
        <f>IFERROR(__xludf.DUMMYFUNCTION("IFS(AND(
FILTER(IMPORTRANGE(""https://docs.google.com/spreadsheets/d/1BJSV3WBYJGRhQ6zExamkszQ5VutGIcaQqmbD9ZTVXMQ/edit#gid=1251630045"",""articles_with_PRISMA_reasons!Y2:Y2113""), $A1657=IMPORTRANGE(""https://docs.google.com/spreadsheets/d/1BJSV3WBYJGRhQ6"&amp;"zExamkszQ5VutGIcaQqmbD9ZTVXMQ/edit#gid=1251630045"",""articles_with_PRISMA_reasons!B2:B2113""))&gt;=2,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$A1657=IMPORTRANGE(""https://docs.google.com/spreadsheets/d/1BJSV3WBYJGRhQ6zExamkszQ5VutGIcaQqmbD9ZTVXMQ/edit#gid=1251630045"",""articles_with_PRISMA_reasons!B2:B2113""))&lt;2),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$A1657=IMPORTRANGE(""https://docs.google.com/spreadsheets/d/1BJSV3WBYJGRhQ6zExamkszQ5VutGIcaQqmbD9ZTVXMQ/edit#gid=1251630045"",""a"&amp;"rticles_with_PRISMA_reasons!B2:B2113""))&lt;2,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$A1657=IMPORTRANGE(""https://docs.google"&amp;".com/spreadsheets/d/1BJSV3WBYJGRhQ6zExamkszQ5VutGIcaQqmbD9ZTVXMQ/edit#gid=1251630045"",""articles_with_PRISMA_reasons!B2:B2113""))&gt;=2),
""Exclude""
)"),"Exclude")</f>
        <v>Exclude</v>
      </c>
      <c r="E1657" s="5" t="str">
        <f>IFERROR(__xludf.DUMMYFUNCTION("IFS(
D1657=""Exclude"",""Exclude"",
AND(
FILTER(IMPORTRANGE(""https://docs.google.com/spreadsheets/d/1qpEmbGH0JjaJbUdp21-y2cPbobDbMjr09BbtdKROZWc/edit#gid=1444865654"",""articles_with_PRISMA_reasons!W2:W2113""), $A1657=IMPORTRANGE(""https://docs.google.co"&amp;"m/spreadsheets/d/1qpEmbGH0JjaJbUdp21-y2cPbobDbMjr09BbtdKROZWc/edit#gid=1444865654"",""articles_with_PRISMA_reasons!B2:B2113""))&gt;=2,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$A1657=IMPORTRANGE(""https://docs.google.com/spreadsheets/d/1qpEmbGH0JjaJbUdp21-y2cPbobDbMjr09BbtdKROZWc/edit#gid=1444865654"",""articles_with_PRISMA_reasons!B2:B2113""))&lt;2),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$A1657=IMPORTRANGE(""https://docs.google.com/spreadsheets/d/1qpEmbGH0JjaJbUdp21-y2cPbobDbMjr09Bbtd"&amp;"KROZWc/edit#gid=1444865654"",""articles_with_PRISMA_reasons!B2:B2113""))&lt;2,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$A1657=I"&amp;"MPORTRANGE(""https://docs.google.com/spreadsheets/d/1qpEmbGH0JjaJbUdp21-y2cPbobDbMjr09BbtdKROZWc/edit#gid=1444865654"",""articles_with_PRISMA_reasons!B2:B2113""))&gt;=2),
""Exclude""
)"),"Exclude")</f>
        <v>Exclude</v>
      </c>
      <c r="F1657" s="5" t="str">
        <f>IFERROR(__xludf.DUMMYFUNCTION("IFS(
E1657=""Exclude"",""Exclude"",
AND(
COUNTIF(
IMPORTRANGE(""https://docs.google.com/spreadsheets/d/1kGrh75X1cNR1D7_FcY9zMnHP8iPO4M5RCRjy6nZY0TY/edit#gid=0"",""Table 1: Study characteristics!B4:B171""),A1657)&gt;0,
COUNTIF(Studies!$A$2:$A$85,FILTER(IMPORT"&amp;"RANGE(""https://docs.google.com/spreadsheets/d/1kGrh75X1cNR1D7_FcY9zMnHP8iPO4M5RCRjy6nZY0TY/edit#gid=0"",""Table 1: Study characteristics!A4:A171""), $A1657=IMPORTRANGE(""https://docs.google.com/spreadsheets/d/1kGrh75X1cNR1D7_FcY9zMnHP8iPO4M5RCRjy6nZY0TY/"&amp;"edit#gid=0"",""Table 1: Study characteristics!B4:B171"")))&gt;0
),
""Include""
)"),"Exclude")</f>
        <v>Exclude</v>
      </c>
      <c r="G1657" s="5" t="str">
        <f>IFERROR(__xludf.DUMMYFUNCTION("IFS(
D1657=""Exclude"",
FILTER(IMPORTRANGE(""https://docs.google.com/spreadsheets/d/1BJSV3WBYJGRhQ6zExamkszQ5VutGIcaQqmbD9ZTVXMQ/edit#gid=1251630045"",""articles_with_PRISMA_reasons!AB2:AB2113""), $A1657=IMPORTRANGE(""https://docs.google.com/spreadsheets/"&amp;"d/1BJSV3WBYJGRhQ6zExamkszQ5VutGIcaQqmbD9ZTVXMQ/edit#gid=1251630045"",""articles_with_PRISMA_reasons!B2:B2113"")),
E1657=""Exclude"",
FILTER(IMPORTRANGE(""https://docs.google.com/spreadsheets/d/1qpEmbGH0JjaJbUdp21-y2cPbobDbMjr09BbtdKROZWc/edit#gid=14448656"&amp;"54"",""articles_with_PRISMA_reasons!Z2:Z2113""), $A1657=IMPORTRANGE(""https://docs.google.com/spreadsheets/d/1qpEmbGH0JjaJbUdp21-y2cPbobDbMjr09BbtdKROZWc/edit#gid=1444865654"",""articles_with_PRISMA_reasons!B2:B2113"")),F1657
=""Include"",FILTER(IMPORTRAN"&amp;"GE(""https://docs.google.com/spreadsheets/d/1kGrh75X1cNR1D7_FcY9zMnHP8iPO4M5RCRjy6nZY0TY/edit#gid=0"",""Table 1: Study characteristics!A4:A171""), $A1657=IMPORTRANGE(""https://docs.google.com/spreadsheets/d/1kGrh75X1cNR1D7_FcY9zMnHP8iPO4M5RCRjy6nZY0TY/edi"&amp;"t#gid=0"",""Table 1: Study characteristics!B4:B171""))
)"),"wrong population")</f>
        <v>wrong population</v>
      </c>
    </row>
    <row r="1658">
      <c r="A1658" s="4" t="str">
        <f>IFERROR(__xludf.DUMMYFUNCTION("""COMPUTED_VALUE"""),"Scalp Intravenous Catheter Infiltration Leading to Subdural and Intraparenchymal Fluid Collection and Severe Neurologic Sequelae: A Case Report")</f>
        <v>Scalp Intravenous Catheter Infiltration Leading to Subdural and Intraparenchymal Fluid Collection and Severe Neurologic Sequelae: A Case Report</v>
      </c>
      <c r="B1658" s="5" t="str">
        <f>IFERROR(__xludf.DUMMYFUNCTION("LEFT(FILTER(IMPORTRANGE(""https://docs.google.com/spreadsheets/d/1BJSV3WBYJGRhQ6zExamkszQ5VutGIcaQqmbD9ZTVXMQ/edit#gid=1251630045"",""articles_with_PRISMA_reasons!K2:K2113""), $A1658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$A1658=IMPORTRANGE(""https://docs.google.com/spreadsheets/d/1BJSV3WBYJGRhQ6zExamkszQ5VutGIcaQqmbD9ZTVXMQ/edit#gid=1251630045"",""articles_with_PRISMA_reasons!B2:B2113"")))-1)"),"Alex and ru-Abrams")</f>
        <v>Alex and ru-Abrams</v>
      </c>
      <c r="C1658" s="6">
        <f>IFERROR(__xludf.DUMMYFUNCTION("FILTER(IMPORTRANGE(""https://docs.google.com/spreadsheets/d/1BJSV3WBYJGRhQ6zExamkszQ5VutGIcaQqmbD9ZTVXMQ/edit#gid=1251630045"",""articles_with_PRISMA_reasons!C2:C2113""), $A1658=IMPORTRANGE(""https://docs.google.com/spreadsheets/d/1BJSV3WBYJGRhQ6zExamkszQ"&amp;"5VutGIcaQqmbD9ZTVXMQ/edit#gid=1251630045"",""articles_with_PRISMA_reasons!B2:B2113""))"),2019.0)</f>
        <v>2019</v>
      </c>
      <c r="D1658" s="5" t="str">
        <f>IFERROR(__xludf.DUMMYFUNCTION("IFS(AND(
FILTER(IMPORTRANGE(""https://docs.google.com/spreadsheets/d/1BJSV3WBYJGRhQ6zExamkszQ5VutGIcaQqmbD9ZTVXMQ/edit#gid=1251630045"",""articles_with_PRISMA_reasons!Y2:Y2113""), $A1658=IMPORTRANGE(""https://docs.google.com/spreadsheets/d/1BJSV3WBYJGRhQ6"&amp;"zExamkszQ5VutGIcaQqmbD9ZTVXMQ/edit#gid=1251630045"",""articles_with_PRISMA_reasons!B2:B2113""))&gt;=2,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$A1658=IMPORTRANGE(""https://docs.google.com/spreadsheets/d/1BJSV3WBYJGRhQ6zExamkszQ5VutGIcaQqmbD9ZTVXMQ/edit#gid=1251630045"",""articles_with_PRISMA_reasons!B2:B2113""))&lt;2),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$A1658=IMPORTRANGE(""https://docs.google.com/spreadsheets/d/1BJSV3WBYJGRhQ6zExamkszQ5VutGIcaQqmbD9ZTVXMQ/edit#gid=1251630045"",""a"&amp;"rticles_with_PRISMA_reasons!B2:B2113""))&lt;2,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$A1658=IMPORTRANGE(""https://docs.google"&amp;".com/spreadsheets/d/1BJSV3WBYJGRhQ6zExamkszQ5VutGIcaQqmbD9ZTVXMQ/edit#gid=1251630045"",""articles_with_PRISMA_reasons!B2:B2113""))&gt;=2),
""Exclude""
)"),"Exclude")</f>
        <v>Exclude</v>
      </c>
      <c r="E1658" s="5" t="str">
        <f>IFERROR(__xludf.DUMMYFUNCTION("IFS(
D1658=""Exclude"",""Exclude"",
AND(
FILTER(IMPORTRANGE(""https://docs.google.com/spreadsheets/d/1qpEmbGH0JjaJbUdp21-y2cPbobDbMjr09BbtdKROZWc/edit#gid=1444865654"",""articles_with_PRISMA_reasons!W2:W2113""), $A1658=IMPORTRANGE(""https://docs.google.co"&amp;"m/spreadsheets/d/1qpEmbGH0JjaJbUdp21-y2cPbobDbMjr09BbtdKROZWc/edit#gid=1444865654"",""articles_with_PRISMA_reasons!B2:B2113""))&gt;=2,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$A1658=IMPORTRANGE(""https://docs.google.com/spreadsheets/d/1qpEmbGH0JjaJbUdp21-y2cPbobDbMjr09BbtdKROZWc/edit#gid=1444865654"",""articles_with_PRISMA_reasons!B2:B2113""))&lt;2),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$A1658=IMPORTRANGE(""https://docs.google.com/spreadsheets/d/1qpEmbGH0JjaJbUdp21-y2cPbobDbMjr09Bbtd"&amp;"KROZWc/edit#gid=1444865654"",""articles_with_PRISMA_reasons!B2:B2113""))&lt;2,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$A1658=I"&amp;"MPORTRANGE(""https://docs.google.com/spreadsheets/d/1qpEmbGH0JjaJbUdp21-y2cPbobDbMjr09BbtdKROZWc/edit#gid=1444865654"",""articles_with_PRISMA_reasons!B2:B2113""))&gt;=2),
""Exclude""
)"),"Exclude")</f>
        <v>Exclude</v>
      </c>
      <c r="F1658" s="5" t="str">
        <f>IFERROR(__xludf.DUMMYFUNCTION("IFS(
E1658=""Exclude"",""Exclude"",
AND(
COUNTIF(
IMPORTRANGE(""https://docs.google.com/spreadsheets/d/1kGrh75X1cNR1D7_FcY9zMnHP8iPO4M5RCRjy6nZY0TY/edit#gid=0"",""Table 1: Study characteristics!B4:B171""),A1658)&gt;0,
COUNTIF(Studies!$A$2:$A$85,FILTER(IMPORT"&amp;"RANGE(""https://docs.google.com/spreadsheets/d/1kGrh75X1cNR1D7_FcY9zMnHP8iPO4M5RCRjy6nZY0TY/edit#gid=0"",""Table 1: Study characteristics!A4:A171""), $A1658=IMPORTRANGE(""https://docs.google.com/spreadsheets/d/1kGrh75X1cNR1D7_FcY9zMnHP8iPO4M5RCRjy6nZY0TY/"&amp;"edit#gid=0"",""Table 1: Study characteristics!B4:B171"")))&gt;0
),
""Include""
)"),"Exclude")</f>
        <v>Exclude</v>
      </c>
      <c r="G1658" s="5" t="str">
        <f>IFERROR(__xludf.DUMMYFUNCTION("IFS(
D1658=""Exclude"",
FILTER(IMPORTRANGE(""https://docs.google.com/spreadsheets/d/1BJSV3WBYJGRhQ6zExamkszQ5VutGIcaQqmbD9ZTVXMQ/edit#gid=1251630045"",""articles_with_PRISMA_reasons!AB2:AB2113""), $A1658=IMPORTRANGE(""https://docs.google.com/spreadsheets/"&amp;"d/1BJSV3WBYJGRhQ6zExamkszQ5VutGIcaQqmbD9ZTVXMQ/edit#gid=1251630045"",""articles_with_PRISMA_reasons!B2:B2113"")),
E1658=""Exclude"",
FILTER(IMPORTRANGE(""https://docs.google.com/spreadsheets/d/1qpEmbGH0JjaJbUdp21-y2cPbobDbMjr09BbtdKROZWc/edit#gid=14448656"&amp;"54"",""articles_with_PRISMA_reasons!Z2:Z2113""), $A1658=IMPORTRANGE(""https://docs.google.com/spreadsheets/d/1qpEmbGH0JjaJbUdp21-y2cPbobDbMjr09BbtdKROZWc/edit#gid=1444865654"",""articles_with_PRISMA_reasons!B2:B2113"")),F1658
=""Include"",FILTER(IMPORTRAN"&amp;"GE(""https://docs.google.com/spreadsheets/d/1kGrh75X1cNR1D7_FcY9zMnHP8iPO4M5RCRjy6nZY0TY/edit#gid=0"",""Table 1: Study characteristics!A4:A171""), $A1658=IMPORTRANGE(""https://docs.google.com/spreadsheets/d/1kGrh75X1cNR1D7_FcY9zMnHP8iPO4M5RCRjy6nZY0TY/edi"&amp;"t#gid=0"",""Table 1: Study characteristics!B4:B171""))
)"),"wrong publication type")</f>
        <v>wrong publication type</v>
      </c>
    </row>
    <row r="1659">
      <c r="A1659" s="4" t="str">
        <f>IFERROR(__xludf.DUMMYFUNCTION("""COMPUTED_VALUE"""),"Scanning Electron Microscopy of the placental villi in Chiari type II malformation")</f>
        <v>Scanning Electron Microscopy of the placental villi in Chiari type II malformation</v>
      </c>
      <c r="B1659" s="5" t="str">
        <f>IFERROR(__xludf.DUMMYFUNCTION("LEFT(FILTER(IMPORTRANGE(""https://docs.google.com/spreadsheets/d/1BJSV3WBYJGRhQ6zExamkszQ5VutGIcaQqmbD9ZTVXMQ/edit#gid=1251630045"",""articles_with_PRISMA_reasons!K2:K2113""), $A1659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$A1659=IMPORTRANGE(""https://docs.google.com/spreadsheets/d/1BJSV3WBYJGRhQ6zExamkszQ5VutGIcaQqmbD9ZTVXMQ/edit#gid=1251630045"",""articles_with_PRISMA_reasons!B2:B2113"")))-1)"),"Castejon S")</f>
        <v>Castejon S</v>
      </c>
      <c r="C1659" s="6">
        <f>IFERROR(__xludf.DUMMYFUNCTION("FILTER(IMPORTRANGE(""https://docs.google.com/spreadsheets/d/1BJSV3WBYJGRhQ6zExamkszQ5VutGIcaQqmbD9ZTVXMQ/edit#gid=1251630045"",""articles_with_PRISMA_reasons!C2:C2113""), $A1659=IMPORTRANGE(""https://docs.google.com/spreadsheets/d/1BJSV3WBYJGRhQ6zExamkszQ"&amp;"5VutGIcaQqmbD9ZTVXMQ/edit#gid=1251630045"",""articles_with_PRISMA_reasons!B2:B2113""))"),2005.0)</f>
        <v>2005</v>
      </c>
      <c r="D1659" s="5" t="str">
        <f>IFERROR(__xludf.DUMMYFUNCTION("IFS(AND(
FILTER(IMPORTRANGE(""https://docs.google.com/spreadsheets/d/1BJSV3WBYJGRhQ6zExamkszQ5VutGIcaQqmbD9ZTVXMQ/edit#gid=1251630045"",""articles_with_PRISMA_reasons!Y2:Y2113""), $A1659=IMPORTRANGE(""https://docs.google.com/spreadsheets/d/1BJSV3WBYJGRhQ6"&amp;"zExamkszQ5VutGIcaQqmbD9ZTVXMQ/edit#gid=1251630045"",""articles_with_PRISMA_reasons!B2:B2113""))&gt;=2,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$A1659=IMPORTRANGE(""https://docs.google.com/spreadsheets/d/1BJSV3WBYJGRhQ6zExamkszQ5VutGIcaQqmbD9ZTVXMQ/edit#gid=1251630045"",""articles_with_PRISMA_reasons!B2:B2113""))&lt;2),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$A1659=IMPORTRANGE(""https://docs.google.com/spreadsheets/d/1BJSV3WBYJGRhQ6zExamkszQ5VutGIcaQqmbD9ZTVXMQ/edit#gid=1251630045"",""a"&amp;"rticles_with_PRISMA_reasons!B2:B2113""))&lt;2,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$A1659=IMPORTRANGE(""https://docs.google"&amp;".com/spreadsheets/d/1BJSV3WBYJGRhQ6zExamkszQ5VutGIcaQqmbD9ZTVXMQ/edit#gid=1251630045"",""articles_with_PRISMA_reasons!B2:B2113""))&gt;=2),
""Exclude""
)"),"Exclude")</f>
        <v>Exclude</v>
      </c>
      <c r="E1659" s="5" t="str">
        <f>IFERROR(__xludf.DUMMYFUNCTION("IFS(
D1659=""Exclude"",""Exclude"",
AND(
FILTER(IMPORTRANGE(""https://docs.google.com/spreadsheets/d/1qpEmbGH0JjaJbUdp21-y2cPbobDbMjr09BbtdKROZWc/edit#gid=1444865654"",""articles_with_PRISMA_reasons!W2:W2113""), $A1659=IMPORTRANGE(""https://docs.google.co"&amp;"m/spreadsheets/d/1qpEmbGH0JjaJbUdp21-y2cPbobDbMjr09BbtdKROZWc/edit#gid=1444865654"",""articles_with_PRISMA_reasons!B2:B2113""))&gt;=2,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$A1659=IMPORTRANGE(""https://docs.google.com/spreadsheets/d/1qpEmbGH0JjaJbUdp21-y2cPbobDbMjr09BbtdKROZWc/edit#gid=1444865654"",""articles_with_PRISMA_reasons!B2:B2113""))&lt;2),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$A1659=IMPORTRANGE(""https://docs.google.com/spreadsheets/d/1qpEmbGH0JjaJbUdp21-y2cPbobDbMjr09Bbtd"&amp;"KROZWc/edit#gid=1444865654"",""articles_with_PRISMA_reasons!B2:B2113""))&lt;2,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$A1659=I"&amp;"MPORTRANGE(""https://docs.google.com/spreadsheets/d/1qpEmbGH0JjaJbUdp21-y2cPbobDbMjr09BbtdKROZWc/edit#gid=1444865654"",""articles_with_PRISMA_reasons!B2:B2113""))&gt;=2),
""Exclude""
)"),"Exclude")</f>
        <v>Exclude</v>
      </c>
      <c r="F1659" s="5" t="str">
        <f>IFERROR(__xludf.DUMMYFUNCTION("IFS(
E1659=""Exclude"",""Exclude"",
AND(
COUNTIF(
IMPORTRANGE(""https://docs.google.com/spreadsheets/d/1kGrh75X1cNR1D7_FcY9zMnHP8iPO4M5RCRjy6nZY0TY/edit#gid=0"",""Table 1: Study characteristics!B4:B171""),A1659)&gt;0,
COUNTIF(Studies!$A$2:$A$85,FILTER(IMPORT"&amp;"RANGE(""https://docs.google.com/spreadsheets/d/1kGrh75X1cNR1D7_FcY9zMnHP8iPO4M5RCRjy6nZY0TY/edit#gid=0"",""Table 1: Study characteristics!A4:A171""), $A1659=IMPORTRANGE(""https://docs.google.com/spreadsheets/d/1kGrh75X1cNR1D7_FcY9zMnHP8iPO4M5RCRjy6nZY0TY/"&amp;"edit#gid=0"",""Table 1: Study characteristics!B4:B171"")))&gt;0
),
""Include""
)"),"Exclude")</f>
        <v>Exclude</v>
      </c>
      <c r="G1659" s="5" t="str">
        <f>IFERROR(__xludf.DUMMYFUNCTION("IFS(
D1659=""Exclude"",
FILTER(IMPORTRANGE(""https://docs.google.com/spreadsheets/d/1BJSV3WBYJGRhQ6zExamkszQ5VutGIcaQqmbD9ZTVXMQ/edit#gid=1251630045"",""articles_with_PRISMA_reasons!AB2:AB2113""), $A1659=IMPORTRANGE(""https://docs.google.com/spreadsheets/"&amp;"d/1BJSV3WBYJGRhQ6zExamkszQ5VutGIcaQqmbD9ZTVXMQ/edit#gid=1251630045"",""articles_with_PRISMA_reasons!B2:B2113"")),
E1659=""Exclude"",
FILTER(IMPORTRANGE(""https://docs.google.com/spreadsheets/d/1qpEmbGH0JjaJbUdp21-y2cPbobDbMjr09BbtdKROZWc/edit#gid=14448656"&amp;"54"",""articles_with_PRISMA_reasons!Z2:Z2113""), $A1659=IMPORTRANGE(""https://docs.google.com/spreadsheets/d/1qpEmbGH0JjaJbUdp21-y2cPbobDbMjr09BbtdKROZWc/edit#gid=1444865654"",""articles_with_PRISMA_reasons!B2:B2113"")),F1659
=""Include"",FILTER(IMPORTRAN"&amp;"GE(""https://docs.google.com/spreadsheets/d/1kGrh75X1cNR1D7_FcY9zMnHP8iPO4M5RCRjy6nZY0TY/edit#gid=0"",""Table 1: Study characteristics!A4:A171""), $A1659=IMPORTRANGE(""https://docs.google.com/spreadsheets/d/1kGrh75X1cNR1D7_FcY9zMnHP8iPO4M5RCRjy6nZY0TY/edi"&amp;"t#gid=0"",""Table 1: Study characteristics!B4:B171""))
)"),"wrong study design")</f>
        <v>wrong study design</v>
      </c>
    </row>
    <row r="1660">
      <c r="A1660" s="4" t="str">
        <f>IFERROR(__xludf.DUMMYFUNCTION("""COMPUTED_VALUE"""),"Scintigraphic findings in cerebrospinal fluid ascites complicating a ventriculoperitoneal shunt")</f>
        <v>Scintigraphic findings in cerebrospinal fluid ascites complicating a ventriculoperitoneal shunt</v>
      </c>
      <c r="B1660" s="5" t="str">
        <f>IFERROR(__xludf.DUMMYFUNCTION("LEFT(FILTER(IMPORTRANGE(""https://docs.google.com/spreadsheets/d/1BJSV3WBYJGRhQ6zExamkszQ5VutGIcaQqmbD9ZTVXMQ/edit#gid=1251630045"",""articles_with_PRISMA_reasons!K2:K2113""), $A1660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$A1660=IMPORTRANGE(""https://docs.google.com/spreadsheets/d/1BJSV3WBYJGRhQ6zExamkszQ5VutGIcaQqmbD9ZTVXMQ/edit#gid=1251630045"",""articles_with_PRISMA_reasons!B2:B2113"")))-1)"),"Phillips Ii")</f>
        <v>Phillips Ii</v>
      </c>
      <c r="C1660" s="6">
        <f>IFERROR(__xludf.DUMMYFUNCTION("FILTER(IMPORTRANGE(""https://docs.google.com/spreadsheets/d/1BJSV3WBYJGRhQ6zExamkszQ5VutGIcaQqmbD9ZTVXMQ/edit#gid=1251630045"",""articles_with_PRISMA_reasons!C2:C2113""), $A1660=IMPORTRANGE(""https://docs.google.com/spreadsheets/d/1BJSV3WBYJGRhQ6zExamkszQ"&amp;"5VutGIcaQqmbD9ZTVXMQ/edit#gid=1251630045"",""articles_with_PRISMA_reasons!B2:B2113""))"),1996.0)</f>
        <v>1996</v>
      </c>
      <c r="D1660" s="5" t="str">
        <f>IFERROR(__xludf.DUMMYFUNCTION("IFS(AND(
FILTER(IMPORTRANGE(""https://docs.google.com/spreadsheets/d/1BJSV3WBYJGRhQ6zExamkszQ5VutGIcaQqmbD9ZTVXMQ/edit#gid=1251630045"",""articles_with_PRISMA_reasons!Y2:Y2113""), $A1660=IMPORTRANGE(""https://docs.google.com/spreadsheets/d/1BJSV3WBYJGRhQ6"&amp;"zExamkszQ5VutGIcaQqmbD9ZTVXMQ/edit#gid=1251630045"",""articles_with_PRISMA_reasons!B2:B2113""))&gt;=2,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$A1660=IMPORTRANGE(""https://docs.google.com/spreadsheets/d/1BJSV3WBYJGRhQ6zExamkszQ5VutGIcaQqmbD9ZTVXMQ/edit#gid=1251630045"",""articles_with_PRISMA_reasons!B2:B2113""))&lt;2),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$A1660=IMPORTRANGE(""https://docs.google.com/spreadsheets/d/1BJSV3WBYJGRhQ6zExamkszQ5VutGIcaQqmbD9ZTVXMQ/edit#gid=1251630045"",""a"&amp;"rticles_with_PRISMA_reasons!B2:B2113""))&lt;2,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$A1660=IMPORTRANGE(""https://docs.google"&amp;".com/spreadsheets/d/1BJSV3WBYJGRhQ6zExamkszQ5VutGIcaQqmbD9ZTVXMQ/edit#gid=1251630045"",""articles_with_PRISMA_reasons!B2:B2113""))&gt;=2),
""Exclude""
)"),"Exclude")</f>
        <v>Exclude</v>
      </c>
      <c r="E1660" s="5" t="str">
        <f>IFERROR(__xludf.DUMMYFUNCTION("IFS(
D1660=""Exclude"",""Exclude"",
AND(
FILTER(IMPORTRANGE(""https://docs.google.com/spreadsheets/d/1qpEmbGH0JjaJbUdp21-y2cPbobDbMjr09BbtdKROZWc/edit#gid=1444865654"",""articles_with_PRISMA_reasons!W2:W2113""), $A1660=IMPORTRANGE(""https://docs.google.co"&amp;"m/spreadsheets/d/1qpEmbGH0JjaJbUdp21-y2cPbobDbMjr09BbtdKROZWc/edit#gid=1444865654"",""articles_with_PRISMA_reasons!B2:B2113""))&gt;=2,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$A1660=IMPORTRANGE(""https://docs.google.com/spreadsheets/d/1qpEmbGH0JjaJbUdp21-y2cPbobDbMjr09BbtdKROZWc/edit#gid=1444865654"",""articles_with_PRISMA_reasons!B2:B2113""))&lt;2),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$A1660=IMPORTRANGE(""https://docs.google.com/spreadsheets/d/1qpEmbGH0JjaJbUdp21-y2cPbobDbMjr09Bbtd"&amp;"KROZWc/edit#gid=1444865654"",""articles_with_PRISMA_reasons!B2:B2113""))&lt;2,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$A1660=I"&amp;"MPORTRANGE(""https://docs.google.com/spreadsheets/d/1qpEmbGH0JjaJbUdp21-y2cPbobDbMjr09BbtdKROZWc/edit#gid=1444865654"",""articles_with_PRISMA_reasons!B2:B2113""))&gt;=2),
""Exclude""
)"),"Exclude")</f>
        <v>Exclude</v>
      </c>
      <c r="F1660" s="5" t="str">
        <f>IFERROR(__xludf.DUMMYFUNCTION("IFS(
E1660=""Exclude"",""Exclude"",
AND(
COUNTIF(
IMPORTRANGE(""https://docs.google.com/spreadsheets/d/1kGrh75X1cNR1D7_FcY9zMnHP8iPO4M5RCRjy6nZY0TY/edit#gid=0"",""Table 1: Study characteristics!B4:B171""),A1660)&gt;0,
COUNTIF(Studies!$A$2:$A$85,FILTER(IMPORT"&amp;"RANGE(""https://docs.google.com/spreadsheets/d/1kGrh75X1cNR1D7_FcY9zMnHP8iPO4M5RCRjy6nZY0TY/edit#gid=0"",""Table 1: Study characteristics!A4:A171""), $A1660=IMPORTRANGE(""https://docs.google.com/spreadsheets/d/1kGrh75X1cNR1D7_FcY9zMnHP8iPO4M5RCRjy6nZY0TY/"&amp;"edit#gid=0"",""Table 1: Study characteristics!B4:B171"")))&gt;0
),
""Include""
)"),"Exclude")</f>
        <v>Exclude</v>
      </c>
      <c r="G1660" s="5" t="str">
        <f>IFERROR(__xludf.DUMMYFUNCTION("IFS(
D1660=""Exclude"",
FILTER(IMPORTRANGE(""https://docs.google.com/spreadsheets/d/1BJSV3WBYJGRhQ6zExamkszQ5VutGIcaQqmbD9ZTVXMQ/edit#gid=1251630045"",""articles_with_PRISMA_reasons!AB2:AB2113""), $A1660=IMPORTRANGE(""https://docs.google.com/spreadsheets/"&amp;"d/1BJSV3WBYJGRhQ6zExamkszQ5VutGIcaQqmbD9ZTVXMQ/edit#gid=1251630045"",""articles_with_PRISMA_reasons!B2:B2113"")),
E1660=""Exclude"",
FILTER(IMPORTRANGE(""https://docs.google.com/spreadsheets/d/1qpEmbGH0JjaJbUdp21-y2cPbobDbMjr09BbtdKROZWc/edit#gid=14448656"&amp;"54"",""articles_with_PRISMA_reasons!Z2:Z2113""), $A1660=IMPORTRANGE(""https://docs.google.com/spreadsheets/d/1qpEmbGH0JjaJbUdp21-y2cPbobDbMjr09BbtdKROZWc/edit#gid=1444865654"",""articles_with_PRISMA_reasons!B2:B2113"")),F1660
=""Include"",FILTER(IMPORTRAN"&amp;"GE(""https://docs.google.com/spreadsheets/d/1kGrh75X1cNR1D7_FcY9zMnHP8iPO4M5RCRjy6nZY0TY/edit#gid=0"",""Table 1: Study characteristics!A4:A171""), $A1660=IMPORTRANGE(""https://docs.google.com/spreadsheets/d/1kGrh75X1cNR1D7_FcY9zMnHP8iPO4M5RCRjy6nZY0TY/edi"&amp;"t#gid=0"",""Table 1: Study characteristics!B4:B171""))
)"),"wrong population")</f>
        <v>wrong population</v>
      </c>
    </row>
    <row r="1661">
      <c r="A1661" s="4" t="str">
        <f>IFERROR(__xludf.DUMMYFUNCTION("""COMPUTED_VALUE"""),"Scoliosis and hydrocephalus in myelocele patients. The effects of ventricular shunting")</f>
        <v>Scoliosis and hydrocephalus in myelocele patients. The effects of ventricular shunting</v>
      </c>
      <c r="B1661" s="5" t="str">
        <f>IFERROR(__xludf.DUMMYFUNCTION("LEFT(FILTER(IMPORTRANGE(""https://docs.google.com/spreadsheets/d/1BJSV3WBYJGRhQ6zExamkszQ5VutGIcaQqmbD9ZTVXMQ/edit#gid=1251630045"",""articles_with_PRISMA_reasons!K2:K2113""), $A1661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$A1661=IMPORTRANGE(""https://docs.google.com/spreadsheets/d/1BJSV3WBYJGRhQ6zExamkszQ5VutGIcaQqmbD9ZTVXMQ/edit#gid=1251630045"",""articles_with_PRISMA_reasons!B2:B2113"")))-1)"),"Hall")</f>
        <v>Hall</v>
      </c>
      <c r="C1661" s="6">
        <f>IFERROR(__xludf.DUMMYFUNCTION("FILTER(IMPORTRANGE(""https://docs.google.com/spreadsheets/d/1BJSV3WBYJGRhQ6zExamkszQ5VutGIcaQqmbD9ZTVXMQ/edit#gid=1251630045"",""articles_with_PRISMA_reasons!C2:C2113""), $A1661=IMPORTRANGE(""https://docs.google.com/spreadsheets/d/1BJSV3WBYJGRhQ6zExamkszQ"&amp;"5VutGIcaQqmbD9ZTVXMQ/edit#gid=1251630045"",""articles_with_PRISMA_reasons!B2:B2113""))"),1979.0)</f>
        <v>1979</v>
      </c>
      <c r="D1661" s="5" t="str">
        <f>IFERROR(__xludf.DUMMYFUNCTION("IFS(AND(
FILTER(IMPORTRANGE(""https://docs.google.com/spreadsheets/d/1BJSV3WBYJGRhQ6zExamkszQ5VutGIcaQqmbD9ZTVXMQ/edit#gid=1251630045"",""articles_with_PRISMA_reasons!Y2:Y2113""), $A1661=IMPORTRANGE(""https://docs.google.com/spreadsheets/d/1BJSV3WBYJGRhQ6"&amp;"zExamkszQ5VutGIcaQqmbD9ZTVXMQ/edit#gid=1251630045"",""articles_with_PRISMA_reasons!B2:B2113""))&gt;=2,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$A1661=IMPORTRANGE(""https://docs.google.com/spreadsheets/d/1BJSV3WBYJGRhQ6zExamkszQ5VutGIcaQqmbD9ZTVXMQ/edit#gid=1251630045"",""articles_with_PRISMA_reasons!B2:B2113""))&lt;2),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$A1661=IMPORTRANGE(""https://docs.google.com/spreadsheets/d/1BJSV3WBYJGRhQ6zExamkszQ5VutGIcaQqmbD9ZTVXMQ/edit#gid=1251630045"",""a"&amp;"rticles_with_PRISMA_reasons!B2:B2113""))&lt;2,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$A1661=IMPORTRANGE(""https://docs.google"&amp;".com/spreadsheets/d/1BJSV3WBYJGRhQ6zExamkszQ5VutGIcaQqmbD9ZTVXMQ/edit#gid=1251630045"",""articles_with_PRISMA_reasons!B2:B2113""))&gt;=2),
""Exclude""
)"),"Exclude")</f>
        <v>Exclude</v>
      </c>
      <c r="E1661" s="5" t="str">
        <f>IFERROR(__xludf.DUMMYFUNCTION("IFS(
D1661=""Exclude"",""Exclude"",
AND(
FILTER(IMPORTRANGE(""https://docs.google.com/spreadsheets/d/1qpEmbGH0JjaJbUdp21-y2cPbobDbMjr09BbtdKROZWc/edit#gid=1444865654"",""articles_with_PRISMA_reasons!W2:W2113""), $A1661=IMPORTRANGE(""https://docs.google.co"&amp;"m/spreadsheets/d/1qpEmbGH0JjaJbUdp21-y2cPbobDbMjr09BbtdKROZWc/edit#gid=1444865654"",""articles_with_PRISMA_reasons!B2:B2113""))&gt;=2,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$A1661=IMPORTRANGE(""https://docs.google.com/spreadsheets/d/1qpEmbGH0JjaJbUdp21-y2cPbobDbMjr09BbtdKROZWc/edit#gid=1444865654"",""articles_with_PRISMA_reasons!B2:B2113""))&lt;2),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$A1661=IMPORTRANGE(""https://docs.google.com/spreadsheets/d/1qpEmbGH0JjaJbUdp21-y2cPbobDbMjr09Bbtd"&amp;"KROZWc/edit#gid=1444865654"",""articles_with_PRISMA_reasons!B2:B2113""))&lt;2,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$A1661=I"&amp;"MPORTRANGE(""https://docs.google.com/spreadsheets/d/1qpEmbGH0JjaJbUdp21-y2cPbobDbMjr09BbtdKROZWc/edit#gid=1444865654"",""articles_with_PRISMA_reasons!B2:B2113""))&gt;=2),
""Exclude""
)"),"Exclude")</f>
        <v>Exclude</v>
      </c>
      <c r="F1661" s="5" t="str">
        <f>IFERROR(__xludf.DUMMYFUNCTION("IFS(
E1661=""Exclude"",""Exclude"",
AND(
COUNTIF(
IMPORTRANGE(""https://docs.google.com/spreadsheets/d/1kGrh75X1cNR1D7_FcY9zMnHP8iPO4M5RCRjy6nZY0TY/edit#gid=0"",""Table 1: Study characteristics!B4:B171""),A1661)&gt;0,
COUNTIF(Studies!$A$2:$A$85,FILTER(IMPORT"&amp;"RANGE(""https://docs.google.com/spreadsheets/d/1kGrh75X1cNR1D7_FcY9zMnHP8iPO4M5RCRjy6nZY0TY/edit#gid=0"",""Table 1: Study characteristics!A4:A171""), $A1661=IMPORTRANGE(""https://docs.google.com/spreadsheets/d/1kGrh75X1cNR1D7_FcY9zMnHP8iPO4M5RCRjy6nZY0TY/"&amp;"edit#gid=0"",""Table 1: Study characteristics!B4:B171"")))&gt;0
),
""Include""
)"),"Exclude")</f>
        <v>Exclude</v>
      </c>
      <c r="G1661" s="5" t="str">
        <f>IFERROR(__xludf.DUMMYFUNCTION("IFS(
D1661=""Exclude"",
FILTER(IMPORTRANGE(""https://docs.google.com/spreadsheets/d/1BJSV3WBYJGRhQ6zExamkszQ5VutGIcaQqmbD9ZTVXMQ/edit#gid=1251630045"",""articles_with_PRISMA_reasons!AB2:AB2113""), $A1661=IMPORTRANGE(""https://docs.google.com/spreadsheets/"&amp;"d/1BJSV3WBYJGRhQ6zExamkszQ5VutGIcaQqmbD9ZTVXMQ/edit#gid=1251630045"",""articles_with_PRISMA_reasons!B2:B2113"")),
E1661=""Exclude"",
FILTER(IMPORTRANGE(""https://docs.google.com/spreadsheets/d/1qpEmbGH0JjaJbUdp21-y2cPbobDbMjr09BbtdKROZWc/edit#gid=14448656"&amp;"54"",""articles_with_PRISMA_reasons!Z2:Z2113""), $A1661=IMPORTRANGE(""https://docs.google.com/spreadsheets/d/1qpEmbGH0JjaJbUdp21-y2cPbobDbMjr09BbtdKROZWc/edit#gid=1444865654"",""articles_with_PRISMA_reasons!B2:B2113"")),F1661
=""Include"",FILTER(IMPORTRAN"&amp;"GE(""https://docs.google.com/spreadsheets/d/1kGrh75X1cNR1D7_FcY9zMnHP8iPO4M5RCRjy6nZY0TY/edit#gid=0"",""Table 1: Study characteristics!A4:A171""), $A1661=IMPORTRANGE(""https://docs.google.com/spreadsheets/d/1kGrh75X1cNR1D7_FcY9zMnHP8iPO4M5RCRjy6nZY0TY/edi"&amp;"t#gid=0"",""Table 1: Study characteristics!B4:B171""))
)"),"wrong study design")</f>
        <v>wrong study design</v>
      </c>
    </row>
    <row r="1662">
      <c r="A1662" s="4" t="str">
        <f>IFERROR(__xludf.DUMMYFUNCTION("""COMPUTED_VALUE"""),"Scoliosis associated with syringomyelia: clinical and radiologic correlation")</f>
        <v>Scoliosis associated with syringomyelia: clinical and radiologic correlation</v>
      </c>
      <c r="B1662" s="5" t="str">
        <f>IFERROR(__xludf.DUMMYFUNCTION("LEFT(FILTER(IMPORTRANGE(""https://docs.google.com/spreadsheets/d/1BJSV3WBYJGRhQ6zExamkszQ5VutGIcaQqmbD9ZTVXMQ/edit#gid=1251630045"",""articles_with_PRISMA_reasons!K2:K2113""), $A1662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$A1662=IMPORTRANGE(""https://docs.google.com/spreadsheets/d/1BJSV3WBYJGRhQ6zExamkszQ5VutGIcaQqmbD9ZTVXMQ/edit#gid=1251630045"",""articles_with_PRISMA_reasons!B2:B2113"")))-1)"),"Ozerdemoglu")</f>
        <v>Ozerdemoglu</v>
      </c>
      <c r="C1662" s="6">
        <f>IFERROR(__xludf.DUMMYFUNCTION("FILTER(IMPORTRANGE(""https://docs.google.com/spreadsheets/d/1BJSV3WBYJGRhQ6zExamkszQ5VutGIcaQqmbD9ZTVXMQ/edit#gid=1251630045"",""articles_with_PRISMA_reasons!C2:C2113""), $A1662=IMPORTRANGE(""https://docs.google.com/spreadsheets/d/1BJSV3WBYJGRhQ6zExamkszQ"&amp;"5VutGIcaQqmbD9ZTVXMQ/edit#gid=1251630045"",""articles_with_PRISMA_reasons!B2:B2113""))"),2003.0)</f>
        <v>2003</v>
      </c>
      <c r="D1662" s="5" t="str">
        <f>IFERROR(__xludf.DUMMYFUNCTION("IFS(AND(
FILTER(IMPORTRANGE(""https://docs.google.com/spreadsheets/d/1BJSV3WBYJGRhQ6zExamkszQ5VutGIcaQqmbD9ZTVXMQ/edit#gid=1251630045"",""articles_with_PRISMA_reasons!Y2:Y2113""), $A1662=IMPORTRANGE(""https://docs.google.com/spreadsheets/d/1BJSV3WBYJGRhQ6"&amp;"zExamkszQ5VutGIcaQqmbD9ZTVXMQ/edit#gid=1251630045"",""articles_with_PRISMA_reasons!B2:B2113""))&gt;=2,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$A1662=IMPORTRANGE(""https://docs.google.com/spreadsheets/d/1BJSV3WBYJGRhQ6zExamkszQ5VutGIcaQqmbD9ZTVXMQ/edit#gid=1251630045"",""articles_with_PRISMA_reasons!B2:B2113""))&lt;2),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$A1662=IMPORTRANGE(""https://docs.google.com/spreadsheets/d/1BJSV3WBYJGRhQ6zExamkszQ5VutGIcaQqmbD9ZTVXMQ/edit#gid=1251630045"",""a"&amp;"rticles_with_PRISMA_reasons!B2:B2113""))&lt;2,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$A1662=IMPORTRANGE(""https://docs.google"&amp;".com/spreadsheets/d/1BJSV3WBYJGRhQ6zExamkszQ5VutGIcaQqmbD9ZTVXMQ/edit#gid=1251630045"",""articles_with_PRISMA_reasons!B2:B2113""))&gt;=2),
""Exclude""
)"),"Exclude")</f>
        <v>Exclude</v>
      </c>
      <c r="E1662" s="5" t="str">
        <f>IFERROR(__xludf.DUMMYFUNCTION("IFS(
D1662=""Exclude"",""Exclude"",
AND(
FILTER(IMPORTRANGE(""https://docs.google.com/spreadsheets/d/1qpEmbGH0JjaJbUdp21-y2cPbobDbMjr09BbtdKROZWc/edit#gid=1444865654"",""articles_with_PRISMA_reasons!W2:W2113""), $A1662=IMPORTRANGE(""https://docs.google.co"&amp;"m/spreadsheets/d/1qpEmbGH0JjaJbUdp21-y2cPbobDbMjr09BbtdKROZWc/edit#gid=1444865654"",""articles_with_PRISMA_reasons!B2:B2113""))&gt;=2,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$A1662=IMPORTRANGE(""https://docs.google.com/spreadsheets/d/1qpEmbGH0JjaJbUdp21-y2cPbobDbMjr09BbtdKROZWc/edit#gid=1444865654"",""articles_with_PRISMA_reasons!B2:B2113""))&lt;2),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$A1662=IMPORTRANGE(""https://docs.google.com/spreadsheets/d/1qpEmbGH0JjaJbUdp21-y2cPbobDbMjr09Bbtd"&amp;"KROZWc/edit#gid=1444865654"",""articles_with_PRISMA_reasons!B2:B2113""))&lt;2,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$A1662=I"&amp;"MPORTRANGE(""https://docs.google.com/spreadsheets/d/1qpEmbGH0JjaJbUdp21-y2cPbobDbMjr09BbtdKROZWc/edit#gid=1444865654"",""articles_with_PRISMA_reasons!B2:B2113""))&gt;=2),
""Exclude""
)"),"Exclude")</f>
        <v>Exclude</v>
      </c>
      <c r="F1662" s="5" t="str">
        <f>IFERROR(__xludf.DUMMYFUNCTION("IFS(
E1662=""Exclude"",""Exclude"",
AND(
COUNTIF(
IMPORTRANGE(""https://docs.google.com/spreadsheets/d/1kGrh75X1cNR1D7_FcY9zMnHP8iPO4M5RCRjy6nZY0TY/edit#gid=0"",""Table 1: Study characteristics!B4:B171""),A1662)&gt;0,
COUNTIF(Studies!$A$2:$A$85,FILTER(IMPORT"&amp;"RANGE(""https://docs.google.com/spreadsheets/d/1kGrh75X1cNR1D7_FcY9zMnHP8iPO4M5RCRjy6nZY0TY/edit#gid=0"",""Table 1: Study characteristics!A4:A171""), $A1662=IMPORTRANGE(""https://docs.google.com/spreadsheets/d/1kGrh75X1cNR1D7_FcY9zMnHP8iPO4M5RCRjy6nZY0TY/"&amp;"edit#gid=0"",""Table 1: Study characteristics!B4:B171"")))&gt;0
),
""Include""
)"),"Exclude")</f>
        <v>Exclude</v>
      </c>
      <c r="G1662" s="5" t="str">
        <f>IFERROR(__xludf.DUMMYFUNCTION("IFS(
D1662=""Exclude"",
FILTER(IMPORTRANGE(""https://docs.google.com/spreadsheets/d/1BJSV3WBYJGRhQ6zExamkszQ5VutGIcaQqmbD9ZTVXMQ/edit#gid=1251630045"",""articles_with_PRISMA_reasons!AB2:AB2113""), $A1662=IMPORTRANGE(""https://docs.google.com/spreadsheets/"&amp;"d/1BJSV3WBYJGRhQ6zExamkszQ5VutGIcaQqmbD9ZTVXMQ/edit#gid=1251630045"",""articles_with_PRISMA_reasons!B2:B2113"")),
E1662=""Exclude"",
FILTER(IMPORTRANGE(""https://docs.google.com/spreadsheets/d/1qpEmbGH0JjaJbUdp21-y2cPbobDbMjr09BbtdKROZWc/edit#gid=14448656"&amp;"54"",""articles_with_PRISMA_reasons!Z2:Z2113""), $A1662=IMPORTRANGE(""https://docs.google.com/spreadsheets/d/1qpEmbGH0JjaJbUdp21-y2cPbobDbMjr09BbtdKROZWc/edit#gid=1444865654"",""articles_with_PRISMA_reasons!B2:B2113"")),F1662
=""Include"",FILTER(IMPORTRAN"&amp;"GE(""https://docs.google.com/spreadsheets/d/1kGrh75X1cNR1D7_FcY9zMnHP8iPO4M5RCRjy6nZY0TY/edit#gid=0"",""Table 1: Study characteristics!A4:A171""), $A1662=IMPORTRANGE(""https://docs.google.com/spreadsheets/d/1kGrh75X1cNR1D7_FcY9zMnHP8iPO4M5RCRjy6nZY0TY/edi"&amp;"t#gid=0"",""Table 1: Study characteristics!B4:B171""))
)"),"wrong population")</f>
        <v>wrong population</v>
      </c>
    </row>
    <row r="1663">
      <c r="A1663" s="4" t="str">
        <f>IFERROR(__xludf.DUMMYFUNCTION("""COMPUTED_VALUE"""),"Screening for ventricular shunt function in children with hydrocephalus secondary to meningomyelocele")</f>
        <v>Screening for ventricular shunt function in children with hydrocephalus secondary to meningomyelocele</v>
      </c>
      <c r="B1663" s="5" t="str">
        <f>IFERROR(__xludf.DUMMYFUNCTION("LEFT(FILTER(IMPORTRANGE(""https://docs.google.com/spreadsheets/d/1BJSV3WBYJGRhQ6zExamkszQ5VutGIcaQqmbD9ZTVXMQ/edit#gid=1251630045"",""articles_with_PRISMA_reasons!K2:K2113""), $A1663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$A1663=IMPORTRANGE(""https://docs.google.com/spreadsheets/d/1BJSV3WBYJGRhQ6zExamkszQ5VutGIcaQqmbD9ZTVXMQ/edit#gid=1251630045"",""articles_with_PRISMA_reasons!B2:B2113"")))-1)"),"Liptak")</f>
        <v>Liptak</v>
      </c>
      <c r="C1663" s="6">
        <f>IFERROR(__xludf.DUMMYFUNCTION("FILTER(IMPORTRANGE(""https://docs.google.com/spreadsheets/d/1BJSV3WBYJGRhQ6zExamkszQ5VutGIcaQqmbD9ZTVXMQ/edit#gid=1251630045"",""articles_with_PRISMA_reasons!C2:C2113""), $A1663=IMPORTRANGE(""https://docs.google.com/spreadsheets/d/1BJSV3WBYJGRhQ6zExamkszQ"&amp;"5VutGIcaQqmbD9ZTVXMQ/edit#gid=1251630045"",""articles_with_PRISMA_reasons!B2:B2113""))"),2001.0)</f>
        <v>2001</v>
      </c>
      <c r="D1663" s="5" t="str">
        <f>IFERROR(__xludf.DUMMYFUNCTION("IFS(AND(
FILTER(IMPORTRANGE(""https://docs.google.com/spreadsheets/d/1BJSV3WBYJGRhQ6zExamkszQ5VutGIcaQqmbD9ZTVXMQ/edit#gid=1251630045"",""articles_with_PRISMA_reasons!Y2:Y2113""), $A1663=IMPORTRANGE(""https://docs.google.com/spreadsheets/d/1BJSV3WBYJGRhQ6"&amp;"zExamkszQ5VutGIcaQqmbD9ZTVXMQ/edit#gid=1251630045"",""articles_with_PRISMA_reasons!B2:B2113""))&gt;=2,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$A1663=IMPORTRANGE(""https://docs.google.com/spreadsheets/d/1BJSV3WBYJGRhQ6zExamkszQ5VutGIcaQqmbD9ZTVXMQ/edit#gid=1251630045"",""articles_with_PRISMA_reasons!B2:B2113""))&lt;2),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$A1663=IMPORTRANGE(""https://docs.google.com/spreadsheets/d/1BJSV3WBYJGRhQ6zExamkszQ5VutGIcaQqmbD9ZTVXMQ/edit#gid=1251630045"",""a"&amp;"rticles_with_PRISMA_reasons!B2:B2113""))&lt;2,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$A1663=IMPORTRANGE(""https://docs.google"&amp;".com/spreadsheets/d/1BJSV3WBYJGRhQ6zExamkszQ5VutGIcaQqmbD9ZTVXMQ/edit#gid=1251630045"",""articles_with_PRISMA_reasons!B2:B2113""))&gt;=2),
""Exclude""
)"),"Include")</f>
        <v>Include</v>
      </c>
      <c r="E1663" s="5" t="str">
        <f>IFERROR(__xludf.DUMMYFUNCTION("IFS(
D1663=""Exclude"",""Exclude"",
AND(
FILTER(IMPORTRANGE(""https://docs.google.com/spreadsheets/d/1qpEmbGH0JjaJbUdp21-y2cPbobDbMjr09BbtdKROZWc/edit#gid=1444865654"",""articles_with_PRISMA_reasons!W2:W2113""), $A1663=IMPORTRANGE(""https://docs.google.co"&amp;"m/spreadsheets/d/1qpEmbGH0JjaJbUdp21-y2cPbobDbMjr09BbtdKROZWc/edit#gid=1444865654"",""articles_with_PRISMA_reasons!B2:B2113""))&gt;=2,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$A1663=IMPORTRANGE(""https://docs.google.com/spreadsheets/d/1qpEmbGH0JjaJbUdp21-y2cPbobDbMjr09BbtdKROZWc/edit#gid=1444865654"",""articles_with_PRISMA_reasons!B2:B2113""))&lt;2),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$A1663=IMPORTRANGE(""https://docs.google.com/spreadsheets/d/1qpEmbGH0JjaJbUdp21-y2cPbobDbMjr09Bbtd"&amp;"KROZWc/edit#gid=1444865654"",""articles_with_PRISMA_reasons!B2:B2113""))&lt;2,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$A1663=I"&amp;"MPORTRANGE(""https://docs.google.com/spreadsheets/d/1qpEmbGH0JjaJbUdp21-y2cPbobDbMjr09BbtdKROZWc/edit#gid=1444865654"",""articles_with_PRISMA_reasons!B2:B2113""))&gt;=2),
""Exclude""
)"),"Include")</f>
        <v>Include</v>
      </c>
      <c r="F1663" s="2" t="s">
        <v>8</v>
      </c>
      <c r="G1663" s="2" t="s">
        <v>17</v>
      </c>
    </row>
    <row r="1664">
      <c r="A1664" s="4" t="str">
        <f>IFERROR(__xludf.DUMMYFUNCTION("""COMPUTED_VALUE"""),"Segmental spinal cord hypoplasia and meningocele with preservation of medullary function: case report")</f>
        <v>Segmental spinal cord hypoplasia and meningocele with preservation of medullary function: case report</v>
      </c>
      <c r="B1664" s="5" t="str">
        <f>IFERROR(__xludf.DUMMYFUNCTION("LEFT(FILTER(IMPORTRANGE(""https://docs.google.com/spreadsheets/d/1BJSV3WBYJGRhQ6zExamkszQ5VutGIcaQqmbD9ZTVXMQ/edit#gid=1251630045"",""articles_with_PRISMA_reasons!K2:K2113""), $A1664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$A1664=IMPORTRANGE(""https://docs.google.com/spreadsheets/d/1BJSV3WBYJGRhQ6zExamkszQ5VutGIcaQqmbD9ZTVXMQ/edit#gid=1251630045"",""articles_with_PRISMA_reasons!B2:B2113"")))-1)"),"Buyse")</f>
        <v>Buyse</v>
      </c>
      <c r="C1664" s="6" t="str">
        <f>IFERROR(__xludf.DUMMYFUNCTION("FILTER(IMPORTRANGE(""https://docs.google.com/spreadsheets/d/1BJSV3WBYJGRhQ6zExamkszQ5VutGIcaQqmbD9ZTVXMQ/edit#gid=1251630045"",""articles_with_PRISMA_reasons!C2:C2113""), $A1664=IMPORTRANGE(""https://docs.google.com/spreadsheets/d/1BJSV3WBYJGRhQ6zExamkszQ"&amp;"5VutGIcaQqmbD9ZTVXMQ/edit#gid=1251630045"",""articles_with_PRISMA_reasons!B2:B2113""))"),"Jun")</f>
        <v>Jun</v>
      </c>
      <c r="D1664" s="5" t="str">
        <f>IFERROR(__xludf.DUMMYFUNCTION("IFS(AND(
FILTER(IMPORTRANGE(""https://docs.google.com/spreadsheets/d/1BJSV3WBYJGRhQ6zExamkszQ5VutGIcaQqmbD9ZTVXMQ/edit#gid=1251630045"",""articles_with_PRISMA_reasons!Y2:Y2113""), $A1664=IMPORTRANGE(""https://docs.google.com/spreadsheets/d/1BJSV3WBYJGRhQ6"&amp;"zExamkszQ5VutGIcaQqmbD9ZTVXMQ/edit#gid=1251630045"",""articles_with_PRISMA_reasons!B2:B2113""))&gt;=2,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$A1664=IMPORTRANGE(""https://docs.google.com/spreadsheets/d/1BJSV3WBYJGRhQ6zExamkszQ5VutGIcaQqmbD9ZTVXMQ/edit#gid=1251630045"",""articles_with_PRISMA_reasons!B2:B2113""))&lt;2),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$A1664=IMPORTRANGE(""https://docs.google.com/spreadsheets/d/1BJSV3WBYJGRhQ6zExamkszQ5VutGIcaQqmbD9ZTVXMQ/edit#gid=1251630045"",""a"&amp;"rticles_with_PRISMA_reasons!B2:B2113""))&lt;2,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$A1664=IMPORTRANGE(""https://docs.google"&amp;".com/spreadsheets/d/1BJSV3WBYJGRhQ6zExamkszQ5VutGIcaQqmbD9ZTVXMQ/edit#gid=1251630045"",""articles_with_PRISMA_reasons!B2:B2113""))&gt;=2),
""Exclude""
)"),"Exclude")</f>
        <v>Exclude</v>
      </c>
      <c r="E1664" s="5" t="str">
        <f>IFERROR(__xludf.DUMMYFUNCTION("IFS(
D1664=""Exclude"",""Exclude"",
AND(
FILTER(IMPORTRANGE(""https://docs.google.com/spreadsheets/d/1qpEmbGH0JjaJbUdp21-y2cPbobDbMjr09BbtdKROZWc/edit#gid=1444865654"",""articles_with_PRISMA_reasons!W2:W2113""), $A1664=IMPORTRANGE(""https://docs.google.co"&amp;"m/spreadsheets/d/1qpEmbGH0JjaJbUdp21-y2cPbobDbMjr09BbtdKROZWc/edit#gid=1444865654"",""articles_with_PRISMA_reasons!B2:B2113""))&gt;=2,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$A1664=IMPORTRANGE(""https://docs.google.com/spreadsheets/d/1qpEmbGH0JjaJbUdp21-y2cPbobDbMjr09BbtdKROZWc/edit#gid=1444865654"",""articles_with_PRISMA_reasons!B2:B2113""))&lt;2),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$A1664=IMPORTRANGE(""https://docs.google.com/spreadsheets/d/1qpEmbGH0JjaJbUdp21-y2cPbobDbMjr09Bbtd"&amp;"KROZWc/edit#gid=1444865654"",""articles_with_PRISMA_reasons!B2:B2113""))&lt;2,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$A1664=I"&amp;"MPORTRANGE(""https://docs.google.com/spreadsheets/d/1qpEmbGH0JjaJbUdp21-y2cPbobDbMjr09BbtdKROZWc/edit#gid=1444865654"",""articles_with_PRISMA_reasons!B2:B2113""))&gt;=2),
""Exclude""
)"),"Exclude")</f>
        <v>Exclude</v>
      </c>
      <c r="F1664" s="5" t="str">
        <f>IFERROR(__xludf.DUMMYFUNCTION("IFS(
E1664=""Exclude"",""Exclude"",
AND(
COUNTIF(
IMPORTRANGE(""https://docs.google.com/spreadsheets/d/1kGrh75X1cNR1D7_FcY9zMnHP8iPO4M5RCRjy6nZY0TY/edit#gid=0"",""Table 1: Study characteristics!B4:B171""),A1664)&gt;0,
COUNTIF(Studies!$A$2:$A$85,FILTER(IMPORT"&amp;"RANGE(""https://docs.google.com/spreadsheets/d/1kGrh75X1cNR1D7_FcY9zMnHP8iPO4M5RCRjy6nZY0TY/edit#gid=0"",""Table 1: Study characteristics!A4:A171""), $A1664=IMPORTRANGE(""https://docs.google.com/spreadsheets/d/1kGrh75X1cNR1D7_FcY9zMnHP8iPO4M5RCRjy6nZY0TY/"&amp;"edit#gid=0"",""Table 1: Study characteristics!B4:B171"")))&gt;0
),
""Include""
)"),"Exclude")</f>
        <v>Exclude</v>
      </c>
      <c r="G1664" s="5" t="str">
        <f>IFERROR(__xludf.DUMMYFUNCTION("IFS(
D1664=""Exclude"",
FILTER(IMPORTRANGE(""https://docs.google.com/spreadsheets/d/1BJSV3WBYJGRhQ6zExamkszQ5VutGIcaQqmbD9ZTVXMQ/edit#gid=1251630045"",""articles_with_PRISMA_reasons!AB2:AB2113""), $A1664=IMPORTRANGE(""https://docs.google.com/spreadsheets/"&amp;"d/1BJSV3WBYJGRhQ6zExamkszQ5VutGIcaQqmbD9ZTVXMQ/edit#gid=1251630045"",""articles_with_PRISMA_reasons!B2:B2113"")),
E1664=""Exclude"",
FILTER(IMPORTRANGE(""https://docs.google.com/spreadsheets/d/1qpEmbGH0JjaJbUdp21-y2cPbobDbMjr09BbtdKROZWc/edit#gid=14448656"&amp;"54"",""articles_with_PRISMA_reasons!Z2:Z2113""), $A1664=IMPORTRANGE(""https://docs.google.com/spreadsheets/d/1qpEmbGH0JjaJbUdp21-y2cPbobDbMjr09BbtdKROZWc/edit#gid=1444865654"",""articles_with_PRISMA_reasons!B2:B2113"")),F1664
=""Include"",FILTER(IMPORTRAN"&amp;"GE(""https://docs.google.com/spreadsheets/d/1kGrh75X1cNR1D7_FcY9zMnHP8iPO4M5RCRjy6nZY0TY/edit#gid=0"",""Table 1: Study characteristics!A4:A171""), $A1664=IMPORTRANGE(""https://docs.google.com/spreadsheets/d/1kGrh75X1cNR1D7_FcY9zMnHP8iPO4M5RCRjy6nZY0TY/edi"&amp;"t#gid=0"",""Table 1: Study characteristics!B4:B171""))
)"),"wrong publication type")</f>
        <v>wrong publication type</v>
      </c>
    </row>
    <row r="1665">
      <c r="A1665" s="4" t="str">
        <f>IFERROR(__xludf.DUMMYFUNCTION("""COMPUTED_VALUE"""),"Seizures in children with congenital hydrocephalus: Long-term outcome")</f>
        <v>Seizures in children with congenital hydrocephalus: Long-term outcome</v>
      </c>
      <c r="B1665" s="5" t="str">
        <f>IFERROR(__xludf.DUMMYFUNCTION("LEFT(FILTER(IMPORTRANGE(""https://docs.google.com/spreadsheets/d/1BJSV3WBYJGRhQ6zExamkszQ5VutGIcaQqmbD9ZTVXMQ/edit#gid=1251630045"",""articles_with_PRISMA_reasons!K2:K2113""), $A1665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$A1665=IMPORTRANGE(""https://docs.google.com/spreadsheets/d/1BJSV3WBYJGRhQ6zExamkszQ5VutGIcaQqmbD9ZTVXMQ/edit#gid=1251630045"",""articles_with_PRISMA_reasons!B2:B2113"")))-1)"),"Noetzel")</f>
        <v>Noetzel</v>
      </c>
      <c r="C1665" s="6">
        <f>IFERROR(__xludf.DUMMYFUNCTION("FILTER(IMPORTRANGE(""https://docs.google.com/spreadsheets/d/1BJSV3WBYJGRhQ6zExamkszQ5VutGIcaQqmbD9ZTVXMQ/edit#gid=1251630045"",""articles_with_PRISMA_reasons!C2:C2113""), $A1665=IMPORTRANGE(""https://docs.google.com/spreadsheets/d/1BJSV3WBYJGRhQ6zExamkszQ"&amp;"5VutGIcaQqmbD9ZTVXMQ/edit#gid=1251630045"",""articles_with_PRISMA_reasons!B2:B2113""))"),1992.0)</f>
        <v>1992</v>
      </c>
      <c r="D1665" s="5" t="str">
        <f>IFERROR(__xludf.DUMMYFUNCTION("IFS(AND(
FILTER(IMPORTRANGE(""https://docs.google.com/spreadsheets/d/1BJSV3WBYJGRhQ6zExamkszQ5VutGIcaQqmbD9ZTVXMQ/edit#gid=1251630045"",""articles_with_PRISMA_reasons!Y2:Y2113""), $A1665=IMPORTRANGE(""https://docs.google.com/spreadsheets/d/1BJSV3WBYJGRhQ6"&amp;"zExamkszQ5VutGIcaQqmbD9ZTVXMQ/edit#gid=1251630045"",""articles_with_PRISMA_reasons!B2:B2113""))&gt;=2,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$A1665=IMPORTRANGE(""https://docs.google.com/spreadsheets/d/1BJSV3WBYJGRhQ6zExamkszQ5VutGIcaQqmbD9ZTVXMQ/edit#gid=1251630045"",""articles_with_PRISMA_reasons!B2:B2113""))&lt;2),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$A1665=IMPORTRANGE(""https://docs.google.com/spreadsheets/d/1BJSV3WBYJGRhQ6zExamkszQ5VutGIcaQqmbD9ZTVXMQ/edit#gid=1251630045"",""a"&amp;"rticles_with_PRISMA_reasons!B2:B2113""))&lt;2,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$A1665=IMPORTRANGE(""https://docs.google"&amp;".com/spreadsheets/d/1BJSV3WBYJGRhQ6zExamkszQ5VutGIcaQqmbD9ZTVXMQ/edit#gid=1251630045"",""articles_with_PRISMA_reasons!B2:B2113""))&gt;=2),
""Exclude""
)"),"Exclude")</f>
        <v>Exclude</v>
      </c>
      <c r="E1665" s="5" t="str">
        <f>IFERROR(__xludf.DUMMYFUNCTION("IFS(
D1665=""Exclude"",""Exclude"",
AND(
FILTER(IMPORTRANGE(""https://docs.google.com/spreadsheets/d/1qpEmbGH0JjaJbUdp21-y2cPbobDbMjr09BbtdKROZWc/edit#gid=1444865654"",""articles_with_PRISMA_reasons!W2:W2113""), $A1665=IMPORTRANGE(""https://docs.google.co"&amp;"m/spreadsheets/d/1qpEmbGH0JjaJbUdp21-y2cPbobDbMjr09BbtdKROZWc/edit#gid=1444865654"",""articles_with_PRISMA_reasons!B2:B2113""))&gt;=2,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$A1665=IMPORTRANGE(""https://docs.google.com/spreadsheets/d/1qpEmbGH0JjaJbUdp21-y2cPbobDbMjr09BbtdKROZWc/edit#gid=1444865654"",""articles_with_PRISMA_reasons!B2:B2113""))&lt;2),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$A1665=IMPORTRANGE(""https://docs.google.com/spreadsheets/d/1qpEmbGH0JjaJbUdp21-y2cPbobDbMjr09Bbtd"&amp;"KROZWc/edit#gid=1444865654"",""articles_with_PRISMA_reasons!B2:B2113""))&lt;2,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$A1665=I"&amp;"MPORTRANGE(""https://docs.google.com/spreadsheets/d/1qpEmbGH0JjaJbUdp21-y2cPbobDbMjr09BbtdKROZWc/edit#gid=1444865654"",""articles_with_PRISMA_reasons!B2:B2113""))&gt;=2),
""Exclude""
)"),"Exclude")</f>
        <v>Exclude</v>
      </c>
      <c r="F1665" s="5" t="str">
        <f>IFERROR(__xludf.DUMMYFUNCTION("IFS(
E1665=""Exclude"",""Exclude"",
AND(
COUNTIF(
IMPORTRANGE(""https://docs.google.com/spreadsheets/d/1kGrh75X1cNR1D7_FcY9zMnHP8iPO4M5RCRjy6nZY0TY/edit#gid=0"",""Table 1: Study characteristics!B4:B171""),A1665)&gt;0,
COUNTIF(Studies!$A$2:$A$85,FILTER(IMPORT"&amp;"RANGE(""https://docs.google.com/spreadsheets/d/1kGrh75X1cNR1D7_FcY9zMnHP8iPO4M5RCRjy6nZY0TY/edit#gid=0"",""Table 1: Study characteristics!A4:A171""), $A1665=IMPORTRANGE(""https://docs.google.com/spreadsheets/d/1kGrh75X1cNR1D7_FcY9zMnHP8iPO4M5RCRjy6nZY0TY/"&amp;"edit#gid=0"",""Table 1: Study characteristics!B4:B171"")))&gt;0
),
""Include""
)"),"Exclude")</f>
        <v>Exclude</v>
      </c>
      <c r="G1665" s="5" t="str">
        <f>IFERROR(__xludf.DUMMYFUNCTION("IFS(
D1665=""Exclude"",
FILTER(IMPORTRANGE(""https://docs.google.com/spreadsheets/d/1BJSV3WBYJGRhQ6zExamkszQ5VutGIcaQqmbD9ZTVXMQ/edit#gid=1251630045"",""articles_with_PRISMA_reasons!AB2:AB2113""), $A1665=IMPORTRANGE(""https://docs.google.com/spreadsheets/"&amp;"d/1BJSV3WBYJGRhQ6zExamkszQ5VutGIcaQqmbD9ZTVXMQ/edit#gid=1251630045"",""articles_with_PRISMA_reasons!B2:B2113"")),
E1665=""Exclude"",
FILTER(IMPORTRANGE(""https://docs.google.com/spreadsheets/d/1qpEmbGH0JjaJbUdp21-y2cPbobDbMjr09BbtdKROZWc/edit#gid=14448656"&amp;"54"",""articles_with_PRISMA_reasons!Z2:Z2113""), $A1665=IMPORTRANGE(""https://docs.google.com/spreadsheets/d/1qpEmbGH0JjaJbUdp21-y2cPbobDbMjr09BbtdKROZWc/edit#gid=1444865654"",""articles_with_PRISMA_reasons!B2:B2113"")),F1665
=""Include"",FILTER(IMPORTRAN"&amp;"GE(""https://docs.google.com/spreadsheets/d/1kGrh75X1cNR1D7_FcY9zMnHP8iPO4M5RCRjy6nZY0TY/edit#gid=0"",""Table 1: Study characteristics!A4:A171""), $A1665=IMPORTRANGE(""https://docs.google.com/spreadsheets/d/1kGrh75X1cNR1D7_FcY9zMnHP8iPO4M5RCRjy6nZY0TY/edi"&amp;"t#gid=0"",""Table 1: Study characteristics!B4:B171""))
)"),"wrong population")</f>
        <v>wrong population</v>
      </c>
    </row>
    <row r="1666">
      <c r="A1666" s="4" t="str">
        <f>IFERROR(__xludf.DUMMYFUNCTION("""COMPUTED_VALUE"""),"Seizures in children with meningomyelocele")</f>
        <v>Seizures in children with meningomyelocele</v>
      </c>
      <c r="B1666" s="5" t="str">
        <f>IFERROR(__xludf.DUMMYFUNCTION("LEFT(FILTER(IMPORTRANGE(""https://docs.google.com/spreadsheets/d/1BJSV3WBYJGRhQ6zExamkszQ5VutGIcaQqmbD9ZTVXMQ/edit#gid=1251630045"",""articles_with_PRISMA_reasons!K2:K2113""), $A1666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$A1666=IMPORTRANGE(""https://docs.google.com/spreadsheets/d/1BJSV3WBYJGRhQ6zExamkszQ5VutGIcaQqmbD9ZTVXMQ/edit#gid=1251630045"",""articles_with_PRISMA_reasons!B2:B2113"")))-1)"),"Bartoshesky")</f>
        <v>Bartoshesky</v>
      </c>
      <c r="C1666" s="6">
        <f>IFERROR(__xludf.DUMMYFUNCTION("FILTER(IMPORTRANGE(""https://docs.google.com/spreadsheets/d/1BJSV3WBYJGRhQ6zExamkszQ5VutGIcaQqmbD9ZTVXMQ/edit#gid=1251630045"",""articles_with_PRISMA_reasons!C2:C2113""), $A1666=IMPORTRANGE(""https://docs.google.com/spreadsheets/d/1BJSV3WBYJGRhQ6zExamkszQ"&amp;"5VutGIcaQqmbD9ZTVXMQ/edit#gid=1251630045"",""articles_with_PRISMA_reasons!B2:B2113""))"),1985.0)</f>
        <v>1985</v>
      </c>
      <c r="D1666" s="5" t="str">
        <f>IFERROR(__xludf.DUMMYFUNCTION("IFS(AND(
FILTER(IMPORTRANGE(""https://docs.google.com/spreadsheets/d/1BJSV3WBYJGRhQ6zExamkszQ5VutGIcaQqmbD9ZTVXMQ/edit#gid=1251630045"",""articles_with_PRISMA_reasons!Y2:Y2113""), $A1666=IMPORTRANGE(""https://docs.google.com/spreadsheets/d/1BJSV3WBYJGRhQ6"&amp;"zExamkszQ5VutGIcaQqmbD9ZTVXMQ/edit#gid=1251630045"",""articles_with_PRISMA_reasons!B2:B2113""))&gt;=2,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$A1666=IMPORTRANGE(""https://docs.google.com/spreadsheets/d/1BJSV3WBYJGRhQ6zExamkszQ5VutGIcaQqmbD9ZTVXMQ/edit#gid=1251630045"",""articles_with_PRISMA_reasons!B2:B2113""))&lt;2),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$A1666=IMPORTRANGE(""https://docs.google.com/spreadsheets/d/1BJSV3WBYJGRhQ6zExamkszQ5VutGIcaQqmbD9ZTVXMQ/edit#gid=1251630045"",""a"&amp;"rticles_with_PRISMA_reasons!B2:B2113""))&lt;2,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$A1666=IMPORTRANGE(""https://docs.google"&amp;".com/spreadsheets/d/1BJSV3WBYJGRhQ6zExamkszQ5VutGIcaQqmbD9ZTVXMQ/edit#gid=1251630045"",""articles_with_PRISMA_reasons!B2:B2113""))&gt;=2),
""Exclude""
)"),"Include")</f>
        <v>Include</v>
      </c>
      <c r="E1666" s="5" t="str">
        <f>IFERROR(__xludf.DUMMYFUNCTION("IFS(
D1666=""Exclude"",""Exclude"",
AND(
FILTER(IMPORTRANGE(""https://docs.google.com/spreadsheets/d/1qpEmbGH0JjaJbUdp21-y2cPbobDbMjr09BbtdKROZWc/edit#gid=1444865654"",""articles_with_PRISMA_reasons!W2:W2113""), $A1666=IMPORTRANGE(""https://docs.google.co"&amp;"m/spreadsheets/d/1qpEmbGH0JjaJbUdp21-y2cPbobDbMjr09BbtdKROZWc/edit#gid=1444865654"",""articles_with_PRISMA_reasons!B2:B2113""))&gt;=2,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$A1666=IMPORTRANGE(""https://docs.google.com/spreadsheets/d/1qpEmbGH0JjaJbUdp21-y2cPbobDbMjr09BbtdKROZWc/edit#gid=1444865654"",""articles_with_PRISMA_reasons!B2:B2113""))&lt;2),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$A1666=IMPORTRANGE(""https://docs.google.com/spreadsheets/d/1qpEmbGH0JjaJbUdp21-y2cPbobDbMjr09Bbtd"&amp;"KROZWc/edit#gid=1444865654"",""articles_with_PRISMA_reasons!B2:B2113""))&lt;2,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$A1666=I"&amp;"MPORTRANGE(""https://docs.google.com/spreadsheets/d/1qpEmbGH0JjaJbUdp21-y2cPbobDbMjr09BbtdKROZWc/edit#gid=1444865654"",""articles_with_PRISMA_reasons!B2:B2113""))&gt;=2),
""Exclude""
)"),"Exclude")</f>
        <v>Exclude</v>
      </c>
      <c r="F1666" s="5" t="str">
        <f>IFERROR(__xludf.DUMMYFUNCTION("IFS(
E1666=""Exclude"",""Exclude"",
AND(
COUNTIF(
IMPORTRANGE(""https://docs.google.com/spreadsheets/d/1kGrh75X1cNR1D7_FcY9zMnHP8iPO4M5RCRjy6nZY0TY/edit#gid=0"",""Table 1: Study characteristics!B4:B171""),A1666)&gt;0,
COUNTIF(Studies!$A$2:$A$85,FILTER(IMPORT"&amp;"RANGE(""https://docs.google.com/spreadsheets/d/1kGrh75X1cNR1D7_FcY9zMnHP8iPO4M5RCRjy6nZY0TY/edit#gid=0"",""Table 1: Study characteristics!A4:A171""), $A1666=IMPORTRANGE(""https://docs.google.com/spreadsheets/d/1kGrh75X1cNR1D7_FcY9zMnHP8iPO4M5RCRjy6nZY0TY/"&amp;"edit#gid=0"",""Table 1: Study characteristics!B4:B171"")))&gt;0
),
""Include""
)"),"Exclude")</f>
        <v>Exclude</v>
      </c>
      <c r="G1666" s="5" t="str">
        <f>IFERROR(__xludf.DUMMYFUNCTION("IFS(
D1666=""Exclude"",
FILTER(IMPORTRANGE(""https://docs.google.com/spreadsheets/d/1BJSV3WBYJGRhQ6zExamkszQ5VutGIcaQqmbD9ZTVXMQ/edit#gid=1251630045"",""articles_with_PRISMA_reasons!AB2:AB2113""), $A1666=IMPORTRANGE(""https://docs.google.com/spreadsheets/"&amp;"d/1BJSV3WBYJGRhQ6zExamkszQ5VutGIcaQqmbD9ZTVXMQ/edit#gid=1251630045"",""articles_with_PRISMA_reasons!B2:B2113"")),
E1666=""Exclude"",
FILTER(IMPORTRANGE(""https://docs.google.com/spreadsheets/d/1qpEmbGH0JjaJbUdp21-y2cPbobDbMjr09BbtdKROZWc/edit#gid=14448656"&amp;"54"",""articles_with_PRISMA_reasons!Z2:Z2113""), $A1666=IMPORTRANGE(""https://docs.google.com/spreadsheets/d/1qpEmbGH0JjaJbUdp21-y2cPbobDbMjr09BbtdKROZWc/edit#gid=1444865654"",""articles_with_PRISMA_reasons!B2:B2113"")),F1666
=""Include"",FILTER(IMPORTRAN"&amp;"GE(""https://docs.google.com/spreadsheets/d/1kGrh75X1cNR1D7_FcY9zMnHP8iPO4M5RCRjy6nZY0TY/edit#gid=0"",""Table 1: Study characteristics!A4:A171""), $A1666=IMPORTRANGE(""https://docs.google.com/spreadsheets/d/1kGrh75X1cNR1D7_FcY9zMnHP8iPO4M5RCRjy6nZY0TY/edi"&amp;"t#gid=0"",""Table 1: Study characteristics!B4:B171""))
)"),"no full text")</f>
        <v>no full text</v>
      </c>
    </row>
    <row r="1667">
      <c r="A1667" s="4" t="str">
        <f>IFERROR(__xludf.DUMMYFUNCTION("""COMPUTED_VALUE"""),"Seizures in relation to shunt dysfunction in children with meningomyelocele")</f>
        <v>Seizures in relation to shunt dysfunction in children with meningomyelocele</v>
      </c>
      <c r="B1667" s="5" t="str">
        <f>IFERROR(__xludf.DUMMYFUNCTION("LEFT(FILTER(IMPORTRANGE(""https://docs.google.com/spreadsheets/d/1BJSV3WBYJGRhQ6zExamkszQ5VutGIcaQqmbD9ZTVXMQ/edit#gid=1251630045"",""articles_with_PRISMA_reasons!K2:K2113""), $A1667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$A1667=IMPORTRANGE(""https://docs.google.com/spreadsheets/d/1BJSV3WBYJGRhQ6zExamkszQ5VutGIcaQqmbD9ZTVXMQ/edit#gid=1251630045"",""articles_with_PRISMA_reasons!B2:B2113"")))-1)"),"Hack")</f>
        <v>Hack</v>
      </c>
      <c r="C1667" s="6">
        <f>IFERROR(__xludf.DUMMYFUNCTION("FILTER(IMPORTRANGE(""https://docs.google.com/spreadsheets/d/1BJSV3WBYJGRhQ6zExamkszQ5VutGIcaQqmbD9ZTVXMQ/edit#gid=1251630045"",""articles_with_PRISMA_reasons!C2:C2113""), $A1667=IMPORTRANGE(""https://docs.google.com/spreadsheets/d/1BJSV3WBYJGRhQ6zExamkszQ"&amp;"5VutGIcaQqmbD9ZTVXMQ/edit#gid=1251630045"",""articles_with_PRISMA_reasons!B2:B2113""))"),1990.0)</f>
        <v>1990</v>
      </c>
      <c r="D1667" s="5" t="str">
        <f>IFERROR(__xludf.DUMMYFUNCTION("IFS(AND(
FILTER(IMPORTRANGE(""https://docs.google.com/spreadsheets/d/1BJSV3WBYJGRhQ6zExamkszQ5VutGIcaQqmbD9ZTVXMQ/edit#gid=1251630045"",""articles_with_PRISMA_reasons!Y2:Y2113""), $A1667=IMPORTRANGE(""https://docs.google.com/spreadsheets/d/1BJSV3WBYJGRhQ6"&amp;"zExamkszQ5VutGIcaQqmbD9ZTVXMQ/edit#gid=1251630045"",""articles_with_PRISMA_reasons!B2:B2113""))&gt;=2,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$A1667=IMPORTRANGE(""https://docs.google.com/spreadsheets/d/1BJSV3WBYJGRhQ6zExamkszQ5VutGIcaQqmbD9ZTVXMQ/edit#gid=1251630045"",""articles_with_PRISMA_reasons!B2:B2113""))&lt;2),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$A1667=IMPORTRANGE(""https://docs.google.com/spreadsheets/d/1BJSV3WBYJGRhQ6zExamkszQ5VutGIcaQqmbD9ZTVXMQ/edit#gid=1251630045"",""a"&amp;"rticles_with_PRISMA_reasons!B2:B2113""))&lt;2,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$A1667=IMPORTRANGE(""https://docs.google"&amp;".com/spreadsheets/d/1BJSV3WBYJGRhQ6zExamkszQ5VutGIcaQqmbD9ZTVXMQ/edit#gid=1251630045"",""articles_with_PRISMA_reasons!B2:B2113""))&gt;=2),
""Exclude""
)"),"Include")</f>
        <v>Include</v>
      </c>
      <c r="E1667" s="5" t="str">
        <f>IFERROR(__xludf.DUMMYFUNCTION("IFS(
D1667=""Exclude"",""Exclude"",
AND(
FILTER(IMPORTRANGE(""https://docs.google.com/spreadsheets/d/1qpEmbGH0JjaJbUdp21-y2cPbobDbMjr09BbtdKROZWc/edit#gid=1444865654"",""articles_with_PRISMA_reasons!W2:W2113""), $A1667=IMPORTRANGE(""https://docs.google.co"&amp;"m/spreadsheets/d/1qpEmbGH0JjaJbUdp21-y2cPbobDbMjr09BbtdKROZWc/edit#gid=1444865654"",""articles_with_PRISMA_reasons!B2:B2113""))&gt;=2,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$A1667=IMPORTRANGE(""https://docs.google.com/spreadsheets/d/1qpEmbGH0JjaJbUdp21-y2cPbobDbMjr09BbtdKROZWc/edit#gid=1444865654"",""articles_with_PRISMA_reasons!B2:B2113""))&lt;2),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$A1667=IMPORTRANGE(""https://docs.google.com/spreadsheets/d/1qpEmbGH0JjaJbUdp21-y2cPbobDbMjr09Bbtd"&amp;"KROZWc/edit#gid=1444865654"",""articles_with_PRISMA_reasons!B2:B2113""))&lt;2,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$A1667=I"&amp;"MPORTRANGE(""https://docs.google.com/spreadsheets/d/1qpEmbGH0JjaJbUdp21-y2cPbobDbMjr09BbtdKROZWc/edit#gid=1444865654"",""articles_with_PRISMA_reasons!B2:B2113""))&gt;=2),
""Exclude""
)"),"Exclude")</f>
        <v>Exclude</v>
      </c>
      <c r="F1667" s="5" t="str">
        <f>IFERROR(__xludf.DUMMYFUNCTION("IFS(
E1667=""Exclude"",""Exclude"",
AND(
COUNTIF(
IMPORTRANGE(""https://docs.google.com/spreadsheets/d/1kGrh75X1cNR1D7_FcY9zMnHP8iPO4M5RCRjy6nZY0TY/edit#gid=0"",""Table 1: Study characteristics!B4:B171""),A1667)&gt;0,
COUNTIF(Studies!$A$2:$A$85,FILTER(IMPORT"&amp;"RANGE(""https://docs.google.com/spreadsheets/d/1kGrh75X1cNR1D7_FcY9zMnHP8iPO4M5RCRjy6nZY0TY/edit#gid=0"",""Table 1: Study characteristics!A4:A171""), $A1667=IMPORTRANGE(""https://docs.google.com/spreadsheets/d/1kGrh75X1cNR1D7_FcY9zMnHP8iPO4M5RCRjy6nZY0TY/"&amp;"edit#gid=0"",""Table 1: Study characteristics!B4:B171"")))&gt;0
),
""Include""
)"),"Exclude")</f>
        <v>Exclude</v>
      </c>
      <c r="G1667" s="5" t="str">
        <f>IFERROR(__xludf.DUMMYFUNCTION("IFS(
D1667=""Exclude"",
FILTER(IMPORTRANGE(""https://docs.google.com/spreadsheets/d/1BJSV3WBYJGRhQ6zExamkszQ5VutGIcaQqmbD9ZTVXMQ/edit#gid=1251630045"",""articles_with_PRISMA_reasons!AB2:AB2113""), $A1667=IMPORTRANGE(""https://docs.google.com/spreadsheets/"&amp;"d/1BJSV3WBYJGRhQ6zExamkszQ5VutGIcaQqmbD9ZTVXMQ/edit#gid=1251630045"",""articles_with_PRISMA_reasons!B2:B2113"")),
E1667=""Exclude"",
FILTER(IMPORTRANGE(""https://docs.google.com/spreadsheets/d/1qpEmbGH0JjaJbUdp21-y2cPbobDbMjr09BbtdKROZWc/edit#gid=14448656"&amp;"54"",""articles_with_PRISMA_reasons!Z2:Z2113""), $A1667=IMPORTRANGE(""https://docs.google.com/spreadsheets/d/1qpEmbGH0JjaJbUdp21-y2cPbobDbMjr09BbtdKROZWc/edit#gid=1444865654"",""articles_with_PRISMA_reasons!B2:B2113"")),F1667
=""Include"",FILTER(IMPORTRAN"&amp;"GE(""https://docs.google.com/spreadsheets/d/1kGrh75X1cNR1D7_FcY9zMnHP8iPO4M5RCRjy6nZY0TY/edit#gid=0"",""Table 1: Study characteristics!A4:A171""), $A1667=IMPORTRANGE(""https://docs.google.com/spreadsheets/d/1kGrh75X1cNR1D7_FcY9zMnHP8iPO4M5RCRjy6nZY0TY/edi"&amp;"t#gid=0"",""Table 1: Study characteristics!B4:B171""))
)"),"wrong population")</f>
        <v>wrong population</v>
      </c>
    </row>
    <row r="1668">
      <c r="A1668" s="4" t="str">
        <f>IFERROR(__xludf.DUMMYFUNCTION("""COMPUTED_VALUE"""),"Selection for treatment in spina bifida cystica")</f>
        <v>Selection for treatment in spina bifida cystica</v>
      </c>
      <c r="B1668" s="5" t="str">
        <f>IFERROR(__xludf.DUMMYFUNCTION("LEFT(FILTER(IMPORTRANGE(""https://docs.google.com/spreadsheets/d/1BJSV3WBYJGRhQ6zExamkszQ5VutGIcaQqmbD9ZTVXMQ/edit#gid=1251630045"",""articles_with_PRISMA_reasons!K2:K2113""), $A1668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$A1668=IMPORTRANGE(""https://docs.google.com/spreadsheets/d/1BJSV3WBYJGRhQ6zExamkszQ5VutGIcaQqmbD9ZTVXMQ/edit#gid=1251630045"",""articles_with_PRISMA_reasons!B2:B2113"")))-1)"),"Smith")</f>
        <v>Smith</v>
      </c>
      <c r="C1668" s="6">
        <f>IFERROR(__xludf.DUMMYFUNCTION("FILTER(IMPORTRANGE(""https://docs.google.com/spreadsheets/d/1BJSV3WBYJGRhQ6zExamkszQ5VutGIcaQqmbD9ZTVXMQ/edit#gid=1251630045"",""articles_with_PRISMA_reasons!C2:C2113""), $A1668=IMPORTRANGE(""https://docs.google.com/spreadsheets/d/1BJSV3WBYJGRhQ6zExamkszQ"&amp;"5VutGIcaQqmbD9ZTVXMQ/edit#gid=1251630045"",""articles_with_PRISMA_reasons!B2:B2113""))"),1973.0)</f>
        <v>1973</v>
      </c>
      <c r="D1668" s="5" t="str">
        <f>IFERROR(__xludf.DUMMYFUNCTION("IFS(AND(
FILTER(IMPORTRANGE(""https://docs.google.com/spreadsheets/d/1BJSV3WBYJGRhQ6zExamkszQ5VutGIcaQqmbD9ZTVXMQ/edit#gid=1251630045"",""articles_with_PRISMA_reasons!Y2:Y2113""), $A1668=IMPORTRANGE(""https://docs.google.com/spreadsheets/d/1BJSV3WBYJGRhQ6"&amp;"zExamkszQ5VutGIcaQqmbD9ZTVXMQ/edit#gid=1251630045"",""articles_with_PRISMA_reasons!B2:B2113""))&gt;=2,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$A1668=IMPORTRANGE(""https://docs.google.com/spreadsheets/d/1BJSV3WBYJGRhQ6zExamkszQ5VutGIcaQqmbD9ZTVXMQ/edit#gid=1251630045"",""articles_with_PRISMA_reasons!B2:B2113""))&lt;2),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$A1668=IMPORTRANGE(""https://docs.google.com/spreadsheets/d/1BJSV3WBYJGRhQ6zExamkszQ5VutGIcaQqmbD9ZTVXMQ/edit#gid=1251630045"",""a"&amp;"rticles_with_PRISMA_reasons!B2:B2113""))&lt;2,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$A1668=IMPORTRANGE(""https://docs.google"&amp;".com/spreadsheets/d/1BJSV3WBYJGRhQ6zExamkszQ5VutGIcaQqmbD9ZTVXMQ/edit#gid=1251630045"",""articles_with_PRISMA_reasons!B2:B2113""))&gt;=2),
""Exclude""
)"),"Exclude")</f>
        <v>Exclude</v>
      </c>
      <c r="E1668" s="5" t="str">
        <f>IFERROR(__xludf.DUMMYFUNCTION("IFS(
D1668=""Exclude"",""Exclude"",
AND(
FILTER(IMPORTRANGE(""https://docs.google.com/spreadsheets/d/1qpEmbGH0JjaJbUdp21-y2cPbobDbMjr09BbtdKROZWc/edit#gid=1444865654"",""articles_with_PRISMA_reasons!W2:W2113""), $A1668=IMPORTRANGE(""https://docs.google.co"&amp;"m/spreadsheets/d/1qpEmbGH0JjaJbUdp21-y2cPbobDbMjr09BbtdKROZWc/edit#gid=1444865654"",""articles_with_PRISMA_reasons!B2:B2113""))&gt;=2,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$A1668=IMPORTRANGE(""https://docs.google.com/spreadsheets/d/1qpEmbGH0JjaJbUdp21-y2cPbobDbMjr09BbtdKROZWc/edit#gid=1444865654"",""articles_with_PRISMA_reasons!B2:B2113""))&lt;2),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$A1668=IMPORTRANGE(""https://docs.google.com/spreadsheets/d/1qpEmbGH0JjaJbUdp21-y2cPbobDbMjr09Bbtd"&amp;"KROZWc/edit#gid=1444865654"",""articles_with_PRISMA_reasons!B2:B2113""))&lt;2,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$A1668=I"&amp;"MPORTRANGE(""https://docs.google.com/spreadsheets/d/1qpEmbGH0JjaJbUdp21-y2cPbobDbMjr09BbtdKROZWc/edit#gid=1444865654"",""articles_with_PRISMA_reasons!B2:B2113""))&gt;=2),
""Exclude""
)"),"Exclude")</f>
        <v>Exclude</v>
      </c>
      <c r="F1668" s="5" t="str">
        <f>IFERROR(__xludf.DUMMYFUNCTION("IFS(
E1668=""Exclude"",""Exclude"",
AND(
COUNTIF(
IMPORTRANGE(""https://docs.google.com/spreadsheets/d/1kGrh75X1cNR1D7_FcY9zMnHP8iPO4M5RCRjy6nZY0TY/edit#gid=0"",""Table 1: Study characteristics!B4:B171""),A1668)&gt;0,
COUNTIF(Studies!$A$2:$A$85,FILTER(IMPORT"&amp;"RANGE(""https://docs.google.com/spreadsheets/d/1kGrh75X1cNR1D7_FcY9zMnHP8iPO4M5RCRjy6nZY0TY/edit#gid=0"",""Table 1: Study characteristics!A4:A171""), $A1668=IMPORTRANGE(""https://docs.google.com/spreadsheets/d/1kGrh75X1cNR1D7_FcY9zMnHP8iPO4M5RCRjy6nZY0TY/"&amp;"edit#gid=0"",""Table 1: Study characteristics!B4:B171"")))&gt;0
),
""Include""
)"),"Exclude")</f>
        <v>Exclude</v>
      </c>
      <c r="G1668" s="5" t="str">
        <f>IFERROR(__xludf.DUMMYFUNCTION("IFS(
D1668=""Exclude"",
FILTER(IMPORTRANGE(""https://docs.google.com/spreadsheets/d/1BJSV3WBYJGRhQ6zExamkszQ5VutGIcaQqmbD9ZTVXMQ/edit#gid=1251630045"",""articles_with_PRISMA_reasons!AB2:AB2113""), $A1668=IMPORTRANGE(""https://docs.google.com/spreadsheets/"&amp;"d/1BJSV3WBYJGRhQ6zExamkszQ5VutGIcaQqmbD9ZTVXMQ/edit#gid=1251630045"",""articles_with_PRISMA_reasons!B2:B2113"")),
E1668=""Exclude"",
FILTER(IMPORTRANGE(""https://docs.google.com/spreadsheets/d/1qpEmbGH0JjaJbUdp21-y2cPbobDbMjr09BbtdKROZWc/edit#gid=14448656"&amp;"54"",""articles_with_PRISMA_reasons!Z2:Z2113""), $A1668=IMPORTRANGE(""https://docs.google.com/spreadsheets/d/1qpEmbGH0JjaJbUdp21-y2cPbobDbMjr09BbtdKROZWc/edit#gid=1444865654"",""articles_with_PRISMA_reasons!B2:B2113"")),F1668
=""Include"",FILTER(IMPORTRAN"&amp;"GE(""https://docs.google.com/spreadsheets/d/1kGrh75X1cNR1D7_FcY9zMnHP8iPO4M5RCRjy6nZY0TY/edit#gid=0"",""Table 1: Study characteristics!A4:A171""), $A1668=IMPORTRANGE(""https://docs.google.com/spreadsheets/d/1kGrh75X1cNR1D7_FcY9zMnHP8iPO4M5RCRjy6nZY0TY/edi"&amp;"t#gid=0"",""Table 1: Study characteristics!B4:B171""))
)"),"wrong population")</f>
        <v>wrong population</v>
      </c>
    </row>
    <row r="1669">
      <c r="A1669" s="4" t="str">
        <f>IFERROR(__xludf.DUMMYFUNCTION("""COMPUTED_VALUE"""),"Selective surgical management of neural tube malformations")</f>
        <v>Selective surgical management of neural tube malformations</v>
      </c>
      <c r="B1669" s="5" t="str">
        <f>IFERROR(__xludf.DUMMYFUNCTION("LEFT(FILTER(IMPORTRANGE(""https://docs.google.com/spreadsheets/d/1BJSV3WBYJGRhQ6zExamkszQ5VutGIcaQqmbD9ZTVXMQ/edit#gid=1251630045"",""articles_with_PRISMA_reasons!K2:K2113""), $A1669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$A1669=IMPORTRANGE(""https://docs.google.com/spreadsheets/d/1BJSV3WBYJGRhQ6zExamkszQ5VutGIcaQqmbD9ZTVXMQ/edit#gid=1251630045"",""articles_with_PRISMA_reasons!B2:B2113"")))-1)"),"Evans")</f>
        <v>Evans</v>
      </c>
      <c r="C1669" s="6">
        <f>IFERROR(__xludf.DUMMYFUNCTION("FILTER(IMPORTRANGE(""https://docs.google.com/spreadsheets/d/1BJSV3WBYJGRhQ6zExamkszQ5VutGIcaQqmbD9ZTVXMQ/edit#gid=1251630045"",""articles_with_PRISMA_reasons!C2:C2113""), $A1669=IMPORTRANGE(""https://docs.google.com/spreadsheets/d/1BJSV3WBYJGRhQ6zExamkszQ"&amp;"5VutGIcaQqmbD9ZTVXMQ/edit#gid=1251630045"",""articles_with_PRISMA_reasons!B2:B2113""))"),1985.0)</f>
        <v>1985</v>
      </c>
      <c r="D1669" s="5" t="str">
        <f>IFERROR(__xludf.DUMMYFUNCTION("IFS(AND(
FILTER(IMPORTRANGE(""https://docs.google.com/spreadsheets/d/1BJSV3WBYJGRhQ6zExamkszQ5VutGIcaQqmbD9ZTVXMQ/edit#gid=1251630045"",""articles_with_PRISMA_reasons!Y2:Y2113""), $A1669=IMPORTRANGE(""https://docs.google.com/spreadsheets/d/1BJSV3WBYJGRhQ6"&amp;"zExamkszQ5VutGIcaQqmbD9ZTVXMQ/edit#gid=1251630045"",""articles_with_PRISMA_reasons!B2:B2113""))&gt;=2,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$A1669=IMPORTRANGE(""https://docs.google.com/spreadsheets/d/1BJSV3WBYJGRhQ6zExamkszQ5VutGIcaQqmbD9ZTVXMQ/edit#gid=1251630045"",""articles_with_PRISMA_reasons!B2:B2113""))&lt;2),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$A1669=IMPORTRANGE(""https://docs.google.com/spreadsheets/d/1BJSV3WBYJGRhQ6zExamkszQ5VutGIcaQqmbD9ZTVXMQ/edit#gid=1251630045"",""a"&amp;"rticles_with_PRISMA_reasons!B2:B2113""))&lt;2,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$A1669=IMPORTRANGE(""https://docs.google"&amp;".com/spreadsheets/d/1BJSV3WBYJGRhQ6zExamkszQ5VutGIcaQqmbD9ZTVXMQ/edit#gid=1251630045"",""articles_with_PRISMA_reasons!B2:B2113""))&gt;=2),
""Exclude""
)"),"Include")</f>
        <v>Include</v>
      </c>
      <c r="E1669" s="5" t="str">
        <f>IFERROR(__xludf.DUMMYFUNCTION("IFS(
D1669=""Exclude"",""Exclude"",
AND(
FILTER(IMPORTRANGE(""https://docs.google.com/spreadsheets/d/1qpEmbGH0JjaJbUdp21-y2cPbobDbMjr09BbtdKROZWc/edit#gid=1444865654"",""articles_with_PRISMA_reasons!W2:W2113""), $A1669=IMPORTRANGE(""https://docs.google.co"&amp;"m/spreadsheets/d/1qpEmbGH0JjaJbUdp21-y2cPbobDbMjr09BbtdKROZWc/edit#gid=1444865654"",""articles_with_PRISMA_reasons!B2:B2113""))&gt;=2,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$A1669=IMPORTRANGE(""https://docs.google.com/spreadsheets/d/1qpEmbGH0JjaJbUdp21-y2cPbobDbMjr09BbtdKROZWc/edit#gid=1444865654"",""articles_with_PRISMA_reasons!B2:B2113""))&lt;2),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$A1669=IMPORTRANGE(""https://docs.google.com/spreadsheets/d/1qpEmbGH0JjaJbUdp21-y2cPbobDbMjr09Bbtd"&amp;"KROZWc/edit#gid=1444865654"",""articles_with_PRISMA_reasons!B2:B2113""))&lt;2,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$A1669=I"&amp;"MPORTRANGE(""https://docs.google.com/spreadsheets/d/1qpEmbGH0JjaJbUdp21-y2cPbobDbMjr09BbtdKROZWc/edit#gid=1444865654"",""articles_with_PRISMA_reasons!B2:B2113""))&gt;=2),
""Exclude""
)"),"Include")</f>
        <v>Include</v>
      </c>
      <c r="F1669" s="2" t="s">
        <v>8</v>
      </c>
      <c r="G1669" s="2" t="s">
        <v>17</v>
      </c>
    </row>
    <row r="1670">
      <c r="A1670" s="4" t="str">
        <f>IFERROR(__xludf.DUMMYFUNCTION("""COMPUTED_VALUE"""),"Self-management, preventable conditions and assessment of care among young adults with myelomeningocele")</f>
        <v>Self-management, preventable conditions and assessment of care among young adults with myelomeningocele</v>
      </c>
      <c r="B1670" s="5" t="str">
        <f>IFERROR(__xludf.DUMMYFUNCTION("LEFT(FILTER(IMPORTRANGE(""https://docs.google.com/spreadsheets/d/1BJSV3WBYJGRhQ6zExamkszQ5VutGIcaQqmbD9ZTVXMQ/edit#gid=1251630045"",""articles_with_PRISMA_reasons!K2:K2113""), $A1670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$A1670=IMPORTRANGE(""https://docs.google.com/spreadsheets/d/1BJSV3WBYJGRhQ6zExamkszQ5VutGIcaQqmbD9ZTVXMQ/edit#gid=1251630045"",""articles_with_PRISMA_reasons!B2:B2113"")))-1)"),"Mahmood")</f>
        <v>Mahmood</v>
      </c>
      <c r="C1670" s="6">
        <f>IFERROR(__xludf.DUMMYFUNCTION("FILTER(IMPORTRANGE(""https://docs.google.com/spreadsheets/d/1BJSV3WBYJGRhQ6zExamkszQ5VutGIcaQqmbD9ZTVXMQ/edit#gid=1251630045"",""articles_with_PRISMA_reasons!C2:C2113""), $A1670=IMPORTRANGE(""https://docs.google.com/spreadsheets/d/1BJSV3WBYJGRhQ6zExamkszQ"&amp;"5VutGIcaQqmbD9ZTVXMQ/edit#gid=1251630045"",""articles_with_PRISMA_reasons!B2:B2113""))"),2011.0)</f>
        <v>2011</v>
      </c>
      <c r="D1670" s="5" t="str">
        <f>IFERROR(__xludf.DUMMYFUNCTION("IFS(AND(
FILTER(IMPORTRANGE(""https://docs.google.com/spreadsheets/d/1BJSV3WBYJGRhQ6zExamkszQ5VutGIcaQqmbD9ZTVXMQ/edit#gid=1251630045"",""articles_with_PRISMA_reasons!Y2:Y2113""), $A1670=IMPORTRANGE(""https://docs.google.com/spreadsheets/d/1BJSV3WBYJGRhQ6"&amp;"zExamkszQ5VutGIcaQqmbD9ZTVXMQ/edit#gid=1251630045"",""articles_with_PRISMA_reasons!B2:B2113""))&gt;=2,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$A1670=IMPORTRANGE(""https://docs.google.com/spreadsheets/d/1BJSV3WBYJGRhQ6zExamkszQ5VutGIcaQqmbD9ZTVXMQ/edit#gid=1251630045"",""articles_with_PRISMA_reasons!B2:B2113""))&lt;2),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$A1670=IMPORTRANGE(""https://docs.google.com/spreadsheets/d/1BJSV3WBYJGRhQ6zExamkszQ5VutGIcaQqmbD9ZTVXMQ/edit#gid=1251630045"",""a"&amp;"rticles_with_PRISMA_reasons!B2:B2113""))&lt;2,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$A1670=IMPORTRANGE(""https://docs.google"&amp;".com/spreadsheets/d/1BJSV3WBYJGRhQ6zExamkszQ5VutGIcaQqmbD9ZTVXMQ/edit#gid=1251630045"",""articles_with_PRISMA_reasons!B2:B2113""))&gt;=2),
""Exclude""
)"),"Exclude")</f>
        <v>Exclude</v>
      </c>
      <c r="E1670" s="5" t="str">
        <f>IFERROR(__xludf.DUMMYFUNCTION("IFS(
D1670=""Exclude"",""Exclude"",
AND(
FILTER(IMPORTRANGE(""https://docs.google.com/spreadsheets/d/1qpEmbGH0JjaJbUdp21-y2cPbobDbMjr09BbtdKROZWc/edit#gid=1444865654"",""articles_with_PRISMA_reasons!W2:W2113""), $A1670=IMPORTRANGE(""https://docs.google.co"&amp;"m/spreadsheets/d/1qpEmbGH0JjaJbUdp21-y2cPbobDbMjr09BbtdKROZWc/edit#gid=1444865654"",""articles_with_PRISMA_reasons!B2:B2113""))&gt;=2,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$A1670=IMPORTRANGE(""https://docs.google.com/spreadsheets/d/1qpEmbGH0JjaJbUdp21-y2cPbobDbMjr09BbtdKROZWc/edit#gid=1444865654"",""articles_with_PRISMA_reasons!B2:B2113""))&lt;2),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$A1670=IMPORTRANGE(""https://docs.google.com/spreadsheets/d/1qpEmbGH0JjaJbUdp21-y2cPbobDbMjr09Bbtd"&amp;"KROZWc/edit#gid=1444865654"",""articles_with_PRISMA_reasons!B2:B2113""))&lt;2,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$A1670=I"&amp;"MPORTRANGE(""https://docs.google.com/spreadsheets/d/1qpEmbGH0JjaJbUdp21-y2cPbobDbMjr09BbtdKROZWc/edit#gid=1444865654"",""articles_with_PRISMA_reasons!B2:B2113""))&gt;=2),
""Exclude""
)"),"Exclude")</f>
        <v>Exclude</v>
      </c>
      <c r="F1670" s="5" t="str">
        <f>IFERROR(__xludf.DUMMYFUNCTION("IFS(
E1670=""Exclude"",""Exclude"",
AND(
COUNTIF(
IMPORTRANGE(""https://docs.google.com/spreadsheets/d/1kGrh75X1cNR1D7_FcY9zMnHP8iPO4M5RCRjy6nZY0TY/edit#gid=0"",""Table 1: Study characteristics!B4:B171""),A1670)&gt;0,
COUNTIF(Studies!$A$2:$A$85,FILTER(IMPORT"&amp;"RANGE(""https://docs.google.com/spreadsheets/d/1kGrh75X1cNR1D7_FcY9zMnHP8iPO4M5RCRjy6nZY0TY/edit#gid=0"",""Table 1: Study characteristics!A4:A171""), $A1670=IMPORTRANGE(""https://docs.google.com/spreadsheets/d/1kGrh75X1cNR1D7_FcY9zMnHP8iPO4M5RCRjy6nZY0TY/"&amp;"edit#gid=0"",""Table 1: Study characteristics!B4:B171"")))&gt;0
),
""Include""
)"),"Exclude")</f>
        <v>Exclude</v>
      </c>
      <c r="G1670" s="5" t="str">
        <f>IFERROR(__xludf.DUMMYFUNCTION("IFS(
D1670=""Exclude"",
FILTER(IMPORTRANGE(""https://docs.google.com/spreadsheets/d/1BJSV3WBYJGRhQ6zExamkszQ5VutGIcaQqmbD9ZTVXMQ/edit#gid=1251630045"",""articles_with_PRISMA_reasons!AB2:AB2113""), $A1670=IMPORTRANGE(""https://docs.google.com/spreadsheets/"&amp;"d/1BJSV3WBYJGRhQ6zExamkszQ5VutGIcaQqmbD9ZTVXMQ/edit#gid=1251630045"",""articles_with_PRISMA_reasons!B2:B2113"")),
E1670=""Exclude"",
FILTER(IMPORTRANGE(""https://docs.google.com/spreadsheets/d/1qpEmbGH0JjaJbUdp21-y2cPbobDbMjr09BbtdKROZWc/edit#gid=14448656"&amp;"54"",""articles_with_PRISMA_reasons!Z2:Z2113""), $A1670=IMPORTRANGE(""https://docs.google.com/spreadsheets/d/1qpEmbGH0JjaJbUdp21-y2cPbobDbMjr09BbtdKROZWc/edit#gid=1444865654"",""articles_with_PRISMA_reasons!B2:B2113"")),F1670
=""Include"",FILTER(IMPORTRAN"&amp;"GE(""https://docs.google.com/spreadsheets/d/1kGrh75X1cNR1D7_FcY9zMnHP8iPO4M5RCRjy6nZY0TY/edit#gid=0"",""Table 1: Study characteristics!A4:A171""), $A1670=IMPORTRANGE(""https://docs.google.com/spreadsheets/d/1kGrh75X1cNR1D7_FcY9zMnHP8iPO4M5RCRjy6nZY0TY/edi"&amp;"t#gid=0"",""Table 1: Study characteristics!B4:B171""))
)"),"wrong population")</f>
        <v>wrong population</v>
      </c>
    </row>
    <row r="1671">
      <c r="A1671" s="4" t="str">
        <f>IFERROR(__xludf.DUMMYFUNCTION("""COMPUTED_VALUE"""),"Self-reported health-related quality of life in children and adolescents with myelomeningocele")</f>
        <v>Self-reported health-related quality of life in children and adolescents with myelomeningocele</v>
      </c>
      <c r="B1671" s="5" t="str">
        <f>IFERROR(__xludf.DUMMYFUNCTION("LEFT(FILTER(IMPORTRANGE(""https://docs.google.com/spreadsheets/d/1BJSV3WBYJGRhQ6zExamkszQ5VutGIcaQqmbD9ZTVXMQ/edit#gid=1251630045"",""articles_with_PRISMA_reasons!K2:K2113""), $A1671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$A1671=IMPORTRANGE(""https://docs.google.com/spreadsheets/d/1BJSV3WBYJGRhQ6zExamkszQ5VutGIcaQqmbD9ZTVXMQ/edit#gid=1251630045"",""articles_with_PRISMA_reasons!B2:B2113"")))-1)"),"Müller-Godeffroy")</f>
        <v>Müller-Godeffroy</v>
      </c>
      <c r="C1671" s="6" t="str">
        <f>IFERROR(__xludf.DUMMYFUNCTION("FILTER(IMPORTRANGE(""https://docs.google.com/spreadsheets/d/1BJSV3WBYJGRhQ6zExamkszQ5VutGIcaQqmbD9ZTVXMQ/edit#gid=1251630045"",""articles_with_PRISMA_reasons!C2:C2113""), $A1671=IMPORTRANGE(""https://docs.google.com/spreadsheets/d/1BJSV3WBYJGRhQ6zExamkszQ"&amp;"5VutGIcaQqmbD9ZTVXMQ/edit#gid=1251630045"",""articles_with_PRISMA_reasons!B2:B2113""))"),"Jun")</f>
        <v>Jun</v>
      </c>
      <c r="D1671" s="5" t="str">
        <f>IFERROR(__xludf.DUMMYFUNCTION("IFS(AND(
FILTER(IMPORTRANGE(""https://docs.google.com/spreadsheets/d/1BJSV3WBYJGRhQ6zExamkszQ5VutGIcaQqmbD9ZTVXMQ/edit#gid=1251630045"",""articles_with_PRISMA_reasons!Y2:Y2113""), $A1671=IMPORTRANGE(""https://docs.google.com/spreadsheets/d/1BJSV3WBYJGRhQ6"&amp;"zExamkszQ5VutGIcaQqmbD9ZTVXMQ/edit#gid=1251630045"",""articles_with_PRISMA_reasons!B2:B2113""))&gt;=2,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$A1671=IMPORTRANGE(""https://docs.google.com/spreadsheets/d/1BJSV3WBYJGRhQ6zExamkszQ5VutGIcaQqmbD9ZTVXMQ/edit#gid=1251630045"",""articles_with_PRISMA_reasons!B2:B2113""))&lt;2),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$A1671=IMPORTRANGE(""https://docs.google.com/spreadsheets/d/1BJSV3WBYJGRhQ6zExamkszQ5VutGIcaQqmbD9ZTVXMQ/edit#gid=1251630045"",""a"&amp;"rticles_with_PRISMA_reasons!B2:B2113""))&lt;2,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$A1671=IMPORTRANGE(""https://docs.google"&amp;".com/spreadsheets/d/1BJSV3WBYJGRhQ6zExamkszQ5VutGIcaQqmbD9ZTVXMQ/edit#gid=1251630045"",""articles_with_PRISMA_reasons!B2:B2113""))&gt;=2),
""Exclude""
)"),"Exclude")</f>
        <v>Exclude</v>
      </c>
      <c r="E1671" s="5" t="str">
        <f>IFERROR(__xludf.DUMMYFUNCTION("IFS(
D1671=""Exclude"",""Exclude"",
AND(
FILTER(IMPORTRANGE(""https://docs.google.com/spreadsheets/d/1qpEmbGH0JjaJbUdp21-y2cPbobDbMjr09BbtdKROZWc/edit#gid=1444865654"",""articles_with_PRISMA_reasons!W2:W2113""), $A1671=IMPORTRANGE(""https://docs.google.co"&amp;"m/spreadsheets/d/1qpEmbGH0JjaJbUdp21-y2cPbobDbMjr09BbtdKROZWc/edit#gid=1444865654"",""articles_with_PRISMA_reasons!B2:B2113""))&gt;=2,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$A1671=IMPORTRANGE(""https://docs.google.com/spreadsheets/d/1qpEmbGH0JjaJbUdp21-y2cPbobDbMjr09BbtdKROZWc/edit#gid=1444865654"",""articles_with_PRISMA_reasons!B2:B2113""))&lt;2),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$A1671=IMPORTRANGE(""https://docs.google.com/spreadsheets/d/1qpEmbGH0JjaJbUdp21-y2cPbobDbMjr09Bbtd"&amp;"KROZWc/edit#gid=1444865654"",""articles_with_PRISMA_reasons!B2:B2113""))&lt;2,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$A1671=I"&amp;"MPORTRANGE(""https://docs.google.com/spreadsheets/d/1qpEmbGH0JjaJbUdp21-y2cPbobDbMjr09BbtdKROZWc/edit#gid=1444865654"",""articles_with_PRISMA_reasons!B2:B2113""))&gt;=2),
""Exclude""
)"),"Exclude")</f>
        <v>Exclude</v>
      </c>
      <c r="F1671" s="5" t="str">
        <f>IFERROR(__xludf.DUMMYFUNCTION("IFS(
E1671=""Exclude"",""Exclude"",
AND(
COUNTIF(
IMPORTRANGE(""https://docs.google.com/spreadsheets/d/1kGrh75X1cNR1D7_FcY9zMnHP8iPO4M5RCRjy6nZY0TY/edit#gid=0"",""Table 1: Study characteristics!B4:B171""),A1671)&gt;0,
COUNTIF(Studies!$A$2:$A$85,FILTER(IMPORT"&amp;"RANGE(""https://docs.google.com/spreadsheets/d/1kGrh75X1cNR1D7_FcY9zMnHP8iPO4M5RCRjy6nZY0TY/edit#gid=0"",""Table 1: Study characteristics!A4:A171""), $A1671=IMPORTRANGE(""https://docs.google.com/spreadsheets/d/1kGrh75X1cNR1D7_FcY9zMnHP8iPO4M5RCRjy6nZY0TY/"&amp;"edit#gid=0"",""Table 1: Study characteristics!B4:B171"")))&gt;0
),
""Include""
)"),"Exclude")</f>
        <v>Exclude</v>
      </c>
      <c r="G1671" s="5" t="str">
        <f>IFERROR(__xludf.DUMMYFUNCTION("IFS(
D1671=""Exclude"",
FILTER(IMPORTRANGE(""https://docs.google.com/spreadsheets/d/1BJSV3WBYJGRhQ6zExamkszQ5VutGIcaQqmbD9ZTVXMQ/edit#gid=1251630045"",""articles_with_PRISMA_reasons!AB2:AB2113""), $A1671=IMPORTRANGE(""https://docs.google.com/spreadsheets/"&amp;"d/1BJSV3WBYJGRhQ6zExamkszQ5VutGIcaQqmbD9ZTVXMQ/edit#gid=1251630045"",""articles_with_PRISMA_reasons!B2:B2113"")),
E1671=""Exclude"",
FILTER(IMPORTRANGE(""https://docs.google.com/spreadsheets/d/1qpEmbGH0JjaJbUdp21-y2cPbobDbMjr09BbtdKROZWc/edit#gid=14448656"&amp;"54"",""articles_with_PRISMA_reasons!Z2:Z2113""), $A1671=IMPORTRANGE(""https://docs.google.com/spreadsheets/d/1qpEmbGH0JjaJbUdp21-y2cPbobDbMjr09BbtdKROZWc/edit#gid=1444865654"",""articles_with_PRISMA_reasons!B2:B2113"")),F1671
=""Include"",FILTER(IMPORTRAN"&amp;"GE(""https://docs.google.com/spreadsheets/d/1kGrh75X1cNR1D7_FcY9zMnHP8iPO4M5RCRjy6nZY0TY/edit#gid=0"",""Table 1: Study characteristics!A4:A171""), $A1671=IMPORTRANGE(""https://docs.google.com/spreadsheets/d/1kGrh75X1cNR1D7_FcY9zMnHP8iPO4M5RCRjy6nZY0TY/edi"&amp;"t#gid=0"",""Table 1: Study characteristics!B4:B171""))
)"),"Duplicate")</f>
        <v>Duplicate</v>
      </c>
    </row>
    <row r="1672">
      <c r="A1672" s="4" t="str">
        <f>IFERROR(__xludf.DUMMYFUNCTION("""COMPUTED_VALUE"""),"Sequential morphological change of Chiari malformation type II following surgical repair of myelomeningocele")</f>
        <v>Sequential morphological change of Chiari malformation type II following surgical repair of myelomeningocele</v>
      </c>
      <c r="B1672" s="5" t="str">
        <f>IFERROR(__xludf.DUMMYFUNCTION("LEFT(FILTER(IMPORTRANGE(""https://docs.google.com/spreadsheets/d/1BJSV3WBYJGRhQ6zExamkszQ5VutGIcaQqmbD9ZTVXMQ/edit#gid=1251630045"",""articles_with_PRISMA_reasons!K2:K2113""), $A1672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$A1672=IMPORTRANGE(""https://docs.google.com/spreadsheets/d/1BJSV3WBYJGRhQ6zExamkszQ5VutGIcaQqmbD9ZTVXMQ/edit#gid=1251630045"",""articles_with_PRISMA_reasons!B2:B2113"")))-1)"),"Hashiguchi")</f>
        <v>Hashiguchi</v>
      </c>
      <c r="C1672" s="6">
        <f>IFERROR(__xludf.DUMMYFUNCTION("FILTER(IMPORTRANGE(""https://docs.google.com/spreadsheets/d/1BJSV3WBYJGRhQ6zExamkszQ5VutGIcaQqmbD9ZTVXMQ/edit#gid=1251630045"",""articles_with_PRISMA_reasons!C2:C2113""), $A1672=IMPORTRANGE(""https://docs.google.com/spreadsheets/d/1BJSV3WBYJGRhQ6zExamkszQ"&amp;"5VutGIcaQqmbD9ZTVXMQ/edit#gid=1251630045"",""articles_with_PRISMA_reasons!B2:B2113""))"),2016.0)</f>
        <v>2016</v>
      </c>
      <c r="D1672" s="5" t="str">
        <f>IFERROR(__xludf.DUMMYFUNCTION("IFS(AND(
FILTER(IMPORTRANGE(""https://docs.google.com/spreadsheets/d/1BJSV3WBYJGRhQ6zExamkszQ5VutGIcaQqmbD9ZTVXMQ/edit#gid=1251630045"",""articles_with_PRISMA_reasons!Y2:Y2113""), $A1672=IMPORTRANGE(""https://docs.google.com/spreadsheets/d/1BJSV3WBYJGRhQ6"&amp;"zExamkszQ5VutGIcaQqmbD9ZTVXMQ/edit#gid=1251630045"",""articles_with_PRISMA_reasons!B2:B2113""))&gt;=2,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$A1672=IMPORTRANGE(""https://docs.google.com/spreadsheets/d/1BJSV3WBYJGRhQ6zExamkszQ5VutGIcaQqmbD9ZTVXMQ/edit#gid=1251630045"",""articles_with_PRISMA_reasons!B2:B2113""))&lt;2),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$A1672=IMPORTRANGE(""https://docs.google.com/spreadsheets/d/1BJSV3WBYJGRhQ6zExamkszQ5VutGIcaQqmbD9ZTVXMQ/edit#gid=1251630045"",""a"&amp;"rticles_with_PRISMA_reasons!B2:B2113""))&lt;2,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$A1672=IMPORTRANGE(""https://docs.google"&amp;".com/spreadsheets/d/1BJSV3WBYJGRhQ6zExamkszQ5VutGIcaQqmbD9ZTVXMQ/edit#gid=1251630045"",""articles_with_PRISMA_reasons!B2:B2113""))&gt;=2),
""Exclude""
)"),"Exclude")</f>
        <v>Exclude</v>
      </c>
      <c r="E1672" s="5" t="str">
        <f>IFERROR(__xludf.DUMMYFUNCTION("IFS(
D1672=""Exclude"",""Exclude"",
AND(
FILTER(IMPORTRANGE(""https://docs.google.com/spreadsheets/d/1qpEmbGH0JjaJbUdp21-y2cPbobDbMjr09BbtdKROZWc/edit#gid=1444865654"",""articles_with_PRISMA_reasons!W2:W2113""), $A1672=IMPORTRANGE(""https://docs.google.co"&amp;"m/spreadsheets/d/1qpEmbGH0JjaJbUdp21-y2cPbobDbMjr09BbtdKROZWc/edit#gid=1444865654"",""articles_with_PRISMA_reasons!B2:B2113""))&gt;=2,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$A1672=IMPORTRANGE(""https://docs.google.com/spreadsheets/d/1qpEmbGH0JjaJbUdp21-y2cPbobDbMjr09BbtdKROZWc/edit#gid=1444865654"",""articles_with_PRISMA_reasons!B2:B2113""))&lt;2),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$A1672=IMPORTRANGE(""https://docs.google.com/spreadsheets/d/1qpEmbGH0JjaJbUdp21-y2cPbobDbMjr09Bbtd"&amp;"KROZWc/edit#gid=1444865654"",""articles_with_PRISMA_reasons!B2:B2113""))&lt;2,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$A1672=I"&amp;"MPORTRANGE(""https://docs.google.com/spreadsheets/d/1qpEmbGH0JjaJbUdp21-y2cPbobDbMjr09BbtdKROZWc/edit#gid=1444865654"",""articles_with_PRISMA_reasons!B2:B2113""))&gt;=2),
""Exclude""
)"),"Exclude")</f>
        <v>Exclude</v>
      </c>
      <c r="F1672" s="5" t="str">
        <f>IFERROR(__xludf.DUMMYFUNCTION("IFS(
E1672=""Exclude"",""Exclude"",
AND(
COUNTIF(
IMPORTRANGE(""https://docs.google.com/spreadsheets/d/1kGrh75X1cNR1D7_FcY9zMnHP8iPO4M5RCRjy6nZY0TY/edit#gid=0"",""Table 1: Study characteristics!B4:B171""),A1672)&gt;0,
COUNTIF(Studies!$A$2:$A$85,FILTER(IMPORT"&amp;"RANGE(""https://docs.google.com/spreadsheets/d/1kGrh75X1cNR1D7_FcY9zMnHP8iPO4M5RCRjy6nZY0TY/edit#gid=0"",""Table 1: Study characteristics!A4:A171""), $A1672=IMPORTRANGE(""https://docs.google.com/spreadsheets/d/1kGrh75X1cNR1D7_FcY9zMnHP8iPO4M5RCRjy6nZY0TY/"&amp;"edit#gid=0"",""Table 1: Study characteristics!B4:B171"")))&gt;0
),
""Include""
)"),"Exclude")</f>
        <v>Exclude</v>
      </c>
      <c r="G1672" s="5" t="str">
        <f>IFERROR(__xludf.DUMMYFUNCTION("IFS(
D1672=""Exclude"",
FILTER(IMPORTRANGE(""https://docs.google.com/spreadsheets/d/1BJSV3WBYJGRhQ6zExamkszQ5VutGIcaQqmbD9ZTVXMQ/edit#gid=1251630045"",""articles_with_PRISMA_reasons!AB2:AB2113""), $A1672=IMPORTRANGE(""https://docs.google.com/spreadsheets/"&amp;"d/1BJSV3WBYJGRhQ6zExamkszQ5VutGIcaQqmbD9ZTVXMQ/edit#gid=1251630045"",""articles_with_PRISMA_reasons!B2:B2113"")),
E1672=""Exclude"",
FILTER(IMPORTRANGE(""https://docs.google.com/spreadsheets/d/1qpEmbGH0JjaJbUdp21-y2cPbobDbMjr09BbtdKROZWc/edit#gid=14448656"&amp;"54"",""articles_with_PRISMA_reasons!Z2:Z2113""), $A1672=IMPORTRANGE(""https://docs.google.com/spreadsheets/d/1qpEmbGH0JjaJbUdp21-y2cPbobDbMjr09BbtdKROZWc/edit#gid=1444865654"",""articles_with_PRISMA_reasons!B2:B2113"")),F1672
=""Include"",FILTER(IMPORTRAN"&amp;"GE(""https://docs.google.com/spreadsheets/d/1kGrh75X1cNR1D7_FcY9zMnHP8iPO4M5RCRjy6nZY0TY/edit#gid=0"",""Table 1: Study characteristics!A4:A171""), $A1672=IMPORTRANGE(""https://docs.google.com/spreadsheets/d/1kGrh75X1cNR1D7_FcY9zMnHP8iPO4M5RCRjy6nZY0TY/edi"&amp;"t#gid=0"",""Table 1: Study characteristics!B4:B171""))
)"),"Duplicate")</f>
        <v>Duplicate</v>
      </c>
    </row>
    <row r="1673">
      <c r="A1673" s="4" t="str">
        <f>IFERROR(__xludf.DUMMYFUNCTION("""COMPUTED_VALUE"""),"Serial neuropsychological assessment and evidence of shunt malfunction in spina bifida: a longitudinal case study")</f>
        <v>Serial neuropsychological assessment and evidence of shunt malfunction in spina bifida: a longitudinal case study</v>
      </c>
      <c r="B1673" s="5" t="str">
        <f>IFERROR(__xludf.DUMMYFUNCTION("LEFT(FILTER(IMPORTRANGE(""https://docs.google.com/spreadsheets/d/1BJSV3WBYJGRhQ6zExamkszQ5VutGIcaQqmbD9ZTVXMQ/edit#gid=1251630045"",""articles_with_PRISMA_reasons!K2:K2113""), $A1673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$A1673=IMPORTRANGE(""https://docs.google.com/spreadsheets/d/1BJSV3WBYJGRhQ6zExamkszQ5VutGIcaQqmbD9ZTVXMQ/edit#gid=1251630045"",""articles_with_PRISMA_reasons!B2:B2113"")))-1)"),"Matson")</f>
        <v>Matson</v>
      </c>
      <c r="C1673" s="6">
        <f>IFERROR(__xludf.DUMMYFUNCTION("FILTER(IMPORTRANGE(""https://docs.google.com/spreadsheets/d/1BJSV3WBYJGRhQ6zExamkszQ5VutGIcaQqmbD9ZTVXMQ/edit#gid=1251630045"",""articles_with_PRISMA_reasons!C2:C2113""), $A1673=IMPORTRANGE(""https://docs.google.com/spreadsheets/d/1BJSV3WBYJGRhQ6zExamkszQ"&amp;"5VutGIcaQqmbD9ZTVXMQ/edit#gid=1251630045"",""articles_with_PRISMA_reasons!B2:B2113""))"),2005.0)</f>
        <v>2005</v>
      </c>
      <c r="D1673" s="5" t="str">
        <f>IFERROR(__xludf.DUMMYFUNCTION("IFS(AND(
FILTER(IMPORTRANGE(""https://docs.google.com/spreadsheets/d/1BJSV3WBYJGRhQ6zExamkszQ5VutGIcaQqmbD9ZTVXMQ/edit#gid=1251630045"",""articles_with_PRISMA_reasons!Y2:Y2113""), $A1673=IMPORTRANGE(""https://docs.google.com/spreadsheets/d/1BJSV3WBYJGRhQ6"&amp;"zExamkszQ5VutGIcaQqmbD9ZTVXMQ/edit#gid=1251630045"",""articles_with_PRISMA_reasons!B2:B2113""))&gt;=2,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$A1673=IMPORTRANGE(""https://docs.google.com/spreadsheets/d/1BJSV3WBYJGRhQ6zExamkszQ5VutGIcaQqmbD9ZTVXMQ/edit#gid=1251630045"",""articles_with_PRISMA_reasons!B2:B2113""))&lt;2),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$A1673=IMPORTRANGE(""https://docs.google.com/spreadsheets/d/1BJSV3WBYJGRhQ6zExamkszQ5VutGIcaQqmbD9ZTVXMQ/edit#gid=1251630045"",""a"&amp;"rticles_with_PRISMA_reasons!B2:B2113""))&lt;2,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$A1673=IMPORTRANGE(""https://docs.google"&amp;".com/spreadsheets/d/1BJSV3WBYJGRhQ6zExamkszQ5VutGIcaQqmbD9ZTVXMQ/edit#gid=1251630045"",""articles_with_PRISMA_reasons!B2:B2113""))&gt;=2),
""Exclude""
)"),"Exclude")</f>
        <v>Exclude</v>
      </c>
      <c r="E1673" s="5" t="str">
        <f>IFERROR(__xludf.DUMMYFUNCTION("IFS(
D1673=""Exclude"",""Exclude"",
AND(
FILTER(IMPORTRANGE(""https://docs.google.com/spreadsheets/d/1qpEmbGH0JjaJbUdp21-y2cPbobDbMjr09BbtdKROZWc/edit#gid=1444865654"",""articles_with_PRISMA_reasons!W2:W2113""), $A1673=IMPORTRANGE(""https://docs.google.co"&amp;"m/spreadsheets/d/1qpEmbGH0JjaJbUdp21-y2cPbobDbMjr09BbtdKROZWc/edit#gid=1444865654"",""articles_with_PRISMA_reasons!B2:B2113""))&gt;=2,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$A1673=IMPORTRANGE(""https://docs.google.com/spreadsheets/d/1qpEmbGH0JjaJbUdp21-y2cPbobDbMjr09BbtdKROZWc/edit#gid=1444865654"",""articles_with_PRISMA_reasons!B2:B2113""))&lt;2),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$A1673=IMPORTRANGE(""https://docs.google.com/spreadsheets/d/1qpEmbGH0JjaJbUdp21-y2cPbobDbMjr09Bbtd"&amp;"KROZWc/edit#gid=1444865654"",""articles_with_PRISMA_reasons!B2:B2113""))&lt;2,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$A1673=I"&amp;"MPORTRANGE(""https://docs.google.com/spreadsheets/d/1qpEmbGH0JjaJbUdp21-y2cPbobDbMjr09BbtdKROZWc/edit#gid=1444865654"",""articles_with_PRISMA_reasons!B2:B2113""))&gt;=2),
""Exclude""
)"),"Exclude")</f>
        <v>Exclude</v>
      </c>
      <c r="F1673" s="5" t="str">
        <f>IFERROR(__xludf.DUMMYFUNCTION("IFS(
E1673=""Exclude"",""Exclude"",
AND(
COUNTIF(
IMPORTRANGE(""https://docs.google.com/spreadsheets/d/1kGrh75X1cNR1D7_FcY9zMnHP8iPO4M5RCRjy6nZY0TY/edit#gid=0"",""Table 1: Study characteristics!B4:B171""),A1673)&gt;0,
COUNTIF(Studies!$A$2:$A$85,FILTER(IMPORT"&amp;"RANGE(""https://docs.google.com/spreadsheets/d/1kGrh75X1cNR1D7_FcY9zMnHP8iPO4M5RCRjy6nZY0TY/edit#gid=0"",""Table 1: Study characteristics!A4:A171""), $A1673=IMPORTRANGE(""https://docs.google.com/spreadsheets/d/1kGrh75X1cNR1D7_FcY9zMnHP8iPO4M5RCRjy6nZY0TY/"&amp;"edit#gid=0"",""Table 1: Study characteristics!B4:B171"")))&gt;0
),
""Include""
)"),"Exclude")</f>
        <v>Exclude</v>
      </c>
      <c r="G1673" s="5" t="str">
        <f>IFERROR(__xludf.DUMMYFUNCTION("IFS(
D1673=""Exclude"",
FILTER(IMPORTRANGE(""https://docs.google.com/spreadsheets/d/1BJSV3WBYJGRhQ6zExamkszQ5VutGIcaQqmbD9ZTVXMQ/edit#gid=1251630045"",""articles_with_PRISMA_reasons!AB2:AB2113""), $A1673=IMPORTRANGE(""https://docs.google.com/spreadsheets/"&amp;"d/1BJSV3WBYJGRhQ6zExamkszQ5VutGIcaQqmbD9ZTVXMQ/edit#gid=1251630045"",""articles_with_PRISMA_reasons!B2:B2113"")),
E1673=""Exclude"",
FILTER(IMPORTRANGE(""https://docs.google.com/spreadsheets/d/1qpEmbGH0JjaJbUdp21-y2cPbobDbMjr09BbtdKROZWc/edit#gid=14448656"&amp;"54"",""articles_with_PRISMA_reasons!Z2:Z2113""), $A1673=IMPORTRANGE(""https://docs.google.com/spreadsheets/d/1qpEmbGH0JjaJbUdp21-y2cPbobDbMjr09BbtdKROZWc/edit#gid=1444865654"",""articles_with_PRISMA_reasons!B2:B2113"")),F1673
=""Include"",FILTER(IMPORTRAN"&amp;"GE(""https://docs.google.com/spreadsheets/d/1kGrh75X1cNR1D7_FcY9zMnHP8iPO4M5RCRjy6nZY0TY/edit#gid=0"",""Table 1: Study characteristics!A4:A171""), $A1673=IMPORTRANGE(""https://docs.google.com/spreadsheets/d/1kGrh75X1cNR1D7_FcY9zMnHP8iPO4M5RCRjy6nZY0TY/edi"&amp;"t#gid=0"",""Table 1: Study characteristics!B4:B171""))
)"),"wrong study design")</f>
        <v>wrong study design</v>
      </c>
    </row>
    <row r="1674">
      <c r="A1674" s="4" t="str">
        <f>IFERROR(__xludf.DUMMYFUNCTION("""COMPUTED_VALUE"""),"Series de casos de malformación de Arnold Chiari: Hospital Nacional Mario Catarino Rivas, 2008-2018")</f>
        <v>Series de casos de malformación de Arnold Chiari: Hospital Nacional Mario Catarino Rivas, 2008-2018</v>
      </c>
      <c r="B1674" s="5" t="str">
        <f>IFERROR(__xludf.DUMMYFUNCTION("LEFT(FILTER(IMPORTRANGE(""https://docs.google.com/spreadsheets/d/1BJSV3WBYJGRhQ6zExamkszQ5VutGIcaQqmbD9ZTVXMQ/edit#gid=1251630045"",""articles_with_PRISMA_reasons!K2:K2113""), $A1674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$A1674=IMPORTRANGE(""https://docs.google.com/spreadsheets/d/1BJSV3WBYJGRhQ6zExamkszQ5VutGIcaQqmbD9ZTVXMQ/edit#gid=1251630045"",""articles_with_PRISMA_reasons!B2:B2113"")))-1)"),"Gómez Lara")</f>
        <v>Gómez Lara</v>
      </c>
      <c r="C1674" s="6">
        <f>IFERROR(__xludf.DUMMYFUNCTION("FILTER(IMPORTRANGE(""https://docs.google.com/spreadsheets/d/1BJSV3WBYJGRhQ6zExamkszQ5VutGIcaQqmbD9ZTVXMQ/edit#gid=1251630045"",""articles_with_PRISMA_reasons!C2:C2113""), $A1674=IMPORTRANGE(""https://docs.google.com/spreadsheets/d/1BJSV3WBYJGRhQ6zExamkszQ"&amp;"5VutGIcaQqmbD9ZTVXMQ/edit#gid=1251630045"",""articles_with_PRISMA_reasons!B2:B2113""))"),2020.0)</f>
        <v>2020</v>
      </c>
      <c r="D1674" s="5" t="str">
        <f>IFERROR(__xludf.DUMMYFUNCTION("IFS(AND(
FILTER(IMPORTRANGE(""https://docs.google.com/spreadsheets/d/1BJSV3WBYJGRhQ6zExamkszQ5VutGIcaQqmbD9ZTVXMQ/edit#gid=1251630045"",""articles_with_PRISMA_reasons!Y2:Y2113""), $A1674=IMPORTRANGE(""https://docs.google.com/spreadsheets/d/1BJSV3WBYJGRhQ6"&amp;"zExamkszQ5VutGIcaQqmbD9ZTVXMQ/edit#gid=1251630045"",""articles_with_PRISMA_reasons!B2:B2113""))&gt;=2,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$A1674=IMPORTRANGE(""https://docs.google.com/spreadsheets/d/1BJSV3WBYJGRhQ6zExamkszQ5VutGIcaQqmbD9ZTVXMQ/edit#gid=1251630045"",""articles_with_PRISMA_reasons!B2:B2113""))&lt;2),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$A1674=IMPORTRANGE(""https://docs.google.com/spreadsheets/d/1BJSV3WBYJGRhQ6zExamkszQ5VutGIcaQqmbD9ZTVXMQ/edit#gid=1251630045"",""a"&amp;"rticles_with_PRISMA_reasons!B2:B2113""))&lt;2,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$A1674=IMPORTRANGE(""https://docs.google"&amp;".com/spreadsheets/d/1BJSV3WBYJGRhQ6zExamkszQ5VutGIcaQqmbD9ZTVXMQ/edit#gid=1251630045"",""articles_with_PRISMA_reasons!B2:B2113""))&gt;=2),
""Exclude""
)"),"Exclude")</f>
        <v>Exclude</v>
      </c>
      <c r="E1674" s="5" t="str">
        <f>IFERROR(__xludf.DUMMYFUNCTION("IFS(
D1674=""Exclude"",""Exclude"",
AND(
FILTER(IMPORTRANGE(""https://docs.google.com/spreadsheets/d/1qpEmbGH0JjaJbUdp21-y2cPbobDbMjr09BbtdKROZWc/edit#gid=1444865654"",""articles_with_PRISMA_reasons!W2:W2113""), $A1674=IMPORTRANGE(""https://docs.google.co"&amp;"m/spreadsheets/d/1qpEmbGH0JjaJbUdp21-y2cPbobDbMjr09BbtdKROZWc/edit#gid=1444865654"",""articles_with_PRISMA_reasons!B2:B2113""))&gt;=2,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$A1674=IMPORTRANGE(""https://docs.google.com/spreadsheets/d/1qpEmbGH0JjaJbUdp21-y2cPbobDbMjr09BbtdKROZWc/edit#gid=1444865654"",""articles_with_PRISMA_reasons!B2:B2113""))&lt;2),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$A1674=IMPORTRANGE(""https://docs.google.com/spreadsheets/d/1qpEmbGH0JjaJbUdp21-y2cPbobDbMjr09Bbtd"&amp;"KROZWc/edit#gid=1444865654"",""articles_with_PRISMA_reasons!B2:B2113""))&lt;2,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$A1674=I"&amp;"MPORTRANGE(""https://docs.google.com/spreadsheets/d/1qpEmbGH0JjaJbUdp21-y2cPbobDbMjr09BbtdKROZWc/edit#gid=1444865654"",""articles_with_PRISMA_reasons!B2:B2113""))&gt;=2),
""Exclude""
)"),"Exclude")</f>
        <v>Exclude</v>
      </c>
      <c r="F1674" s="5" t="str">
        <f>IFERROR(__xludf.DUMMYFUNCTION("IFS(
E1674=""Exclude"",""Exclude"",
AND(
COUNTIF(
IMPORTRANGE(""https://docs.google.com/spreadsheets/d/1kGrh75X1cNR1D7_FcY9zMnHP8iPO4M5RCRjy6nZY0TY/edit#gid=0"",""Table 1: Study characteristics!B4:B171""),A1674)&gt;0,
COUNTIF(Studies!$A$2:$A$85,FILTER(IMPORT"&amp;"RANGE(""https://docs.google.com/spreadsheets/d/1kGrh75X1cNR1D7_FcY9zMnHP8iPO4M5RCRjy6nZY0TY/edit#gid=0"",""Table 1: Study characteristics!A4:A171""), $A1674=IMPORTRANGE(""https://docs.google.com/spreadsheets/d/1kGrh75X1cNR1D7_FcY9zMnHP8iPO4M5RCRjy6nZY0TY/"&amp;"edit#gid=0"",""Table 1: Study characteristics!B4:B171"")))&gt;0
),
""Include""
)"),"Exclude")</f>
        <v>Exclude</v>
      </c>
      <c r="G1674" s="5" t="str">
        <f>IFERROR(__xludf.DUMMYFUNCTION("IFS(
D1674=""Exclude"",
FILTER(IMPORTRANGE(""https://docs.google.com/spreadsheets/d/1BJSV3WBYJGRhQ6zExamkszQ5VutGIcaQqmbD9ZTVXMQ/edit#gid=1251630045"",""articles_with_PRISMA_reasons!AB2:AB2113""), $A1674=IMPORTRANGE(""https://docs.google.com/spreadsheets/"&amp;"d/1BJSV3WBYJGRhQ6zExamkszQ5VutGIcaQqmbD9ZTVXMQ/edit#gid=1251630045"",""articles_with_PRISMA_reasons!B2:B2113"")),
E1674=""Exclude"",
FILTER(IMPORTRANGE(""https://docs.google.com/spreadsheets/d/1qpEmbGH0JjaJbUdp21-y2cPbobDbMjr09BbtdKROZWc/edit#gid=14448656"&amp;"54"",""articles_with_PRISMA_reasons!Z2:Z2113""), $A1674=IMPORTRANGE(""https://docs.google.com/spreadsheets/d/1qpEmbGH0JjaJbUdp21-y2cPbobDbMjr09BbtdKROZWc/edit#gid=1444865654"",""articles_with_PRISMA_reasons!B2:B2113"")),F1674
=""Include"",FILTER(IMPORTRAN"&amp;"GE(""https://docs.google.com/spreadsheets/d/1kGrh75X1cNR1D7_FcY9zMnHP8iPO4M5RCRjy6nZY0TY/edit#gid=0"",""Table 1: Study characteristics!A4:A171""), $A1674=IMPORTRANGE(""https://docs.google.com/spreadsheets/d/1kGrh75X1cNR1D7_FcY9zMnHP8iPO4M5RCRjy6nZY0TY/edi"&amp;"t#gid=0"",""Table 1: Study characteristics!B4:B171""))
)"),"wrong population")</f>
        <v>wrong population</v>
      </c>
    </row>
    <row r="1675">
      <c r="A1675" s="4" t="str">
        <f>IFERROR(__xludf.DUMMYFUNCTION("""COMPUTED_VALUE"""),"Seven distinct coexistent cranial and spinal anomalies")</f>
        <v>Seven distinct coexistent cranial and spinal anomalies</v>
      </c>
      <c r="B1675" s="5" t="str">
        <f>IFERROR(__xludf.DUMMYFUNCTION("LEFT(FILTER(IMPORTRANGE(""https://docs.google.com/spreadsheets/d/1BJSV3WBYJGRhQ6zExamkszQ5VutGIcaQqmbD9ZTVXMQ/edit#gid=1251630045"",""articles_with_PRISMA_reasons!K2:K2113""), $A1675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$A1675=IMPORTRANGE(""https://docs.google.com/spreadsheets/d/1BJSV3WBYJGRhQ6zExamkszQ5VutGIcaQqmbD9ZTVXMQ/edit#gid=1251630045"",""articles_with_PRISMA_reasons!B2:B2113"")))-1)"),"Dogulu")</f>
        <v>Dogulu</v>
      </c>
      <c r="C1675" s="6">
        <f>IFERROR(__xludf.DUMMYFUNCTION("FILTER(IMPORTRANGE(""https://docs.google.com/spreadsheets/d/1BJSV3WBYJGRhQ6zExamkszQ5VutGIcaQqmbD9ZTVXMQ/edit#gid=1251630045"",""articles_with_PRISMA_reasons!C2:C2113""), $A1675=IMPORTRANGE(""https://docs.google.com/spreadsheets/d/1BJSV3WBYJGRhQ6zExamkszQ"&amp;"5VutGIcaQqmbD9ZTVXMQ/edit#gid=1251630045"",""articles_with_PRISMA_reasons!B2:B2113""))"),2006.0)</f>
        <v>2006</v>
      </c>
      <c r="D1675" s="5" t="str">
        <f>IFERROR(__xludf.DUMMYFUNCTION("IFS(AND(
FILTER(IMPORTRANGE(""https://docs.google.com/spreadsheets/d/1BJSV3WBYJGRhQ6zExamkszQ5VutGIcaQqmbD9ZTVXMQ/edit#gid=1251630045"",""articles_with_PRISMA_reasons!Y2:Y2113""), $A1675=IMPORTRANGE(""https://docs.google.com/spreadsheets/d/1BJSV3WBYJGRhQ6"&amp;"zExamkszQ5VutGIcaQqmbD9ZTVXMQ/edit#gid=1251630045"",""articles_with_PRISMA_reasons!B2:B2113""))&gt;=2,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$A1675=IMPORTRANGE(""https://docs.google.com/spreadsheets/d/1BJSV3WBYJGRhQ6zExamkszQ5VutGIcaQqmbD9ZTVXMQ/edit#gid=1251630045"",""articles_with_PRISMA_reasons!B2:B2113""))&lt;2),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$A1675=IMPORTRANGE(""https://docs.google.com/spreadsheets/d/1BJSV3WBYJGRhQ6zExamkszQ5VutGIcaQqmbD9ZTVXMQ/edit#gid=1251630045"",""a"&amp;"rticles_with_PRISMA_reasons!B2:B2113""))&lt;2,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$A1675=IMPORTRANGE(""https://docs.google"&amp;".com/spreadsheets/d/1BJSV3WBYJGRhQ6zExamkszQ5VutGIcaQqmbD9ZTVXMQ/edit#gid=1251630045"",""articles_with_PRISMA_reasons!B2:B2113""))&gt;=2),
""Exclude""
)"),"Exclude")</f>
        <v>Exclude</v>
      </c>
      <c r="E1675" s="5" t="str">
        <f>IFERROR(__xludf.DUMMYFUNCTION("IFS(
D1675=""Exclude"",""Exclude"",
AND(
FILTER(IMPORTRANGE(""https://docs.google.com/spreadsheets/d/1qpEmbGH0JjaJbUdp21-y2cPbobDbMjr09BbtdKROZWc/edit#gid=1444865654"",""articles_with_PRISMA_reasons!W2:W2113""), $A1675=IMPORTRANGE(""https://docs.google.co"&amp;"m/spreadsheets/d/1qpEmbGH0JjaJbUdp21-y2cPbobDbMjr09BbtdKROZWc/edit#gid=1444865654"",""articles_with_PRISMA_reasons!B2:B2113""))&gt;=2,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$A1675=IMPORTRANGE(""https://docs.google.com/spreadsheets/d/1qpEmbGH0JjaJbUdp21-y2cPbobDbMjr09BbtdKROZWc/edit#gid=1444865654"",""articles_with_PRISMA_reasons!B2:B2113""))&lt;2),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$A1675=IMPORTRANGE(""https://docs.google.com/spreadsheets/d/1qpEmbGH0JjaJbUdp21-y2cPbobDbMjr09Bbtd"&amp;"KROZWc/edit#gid=1444865654"",""articles_with_PRISMA_reasons!B2:B2113""))&lt;2,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$A1675=I"&amp;"MPORTRANGE(""https://docs.google.com/spreadsheets/d/1qpEmbGH0JjaJbUdp21-y2cPbobDbMjr09BbtdKROZWc/edit#gid=1444865654"",""articles_with_PRISMA_reasons!B2:B2113""))&gt;=2),
""Exclude""
)"),"Exclude")</f>
        <v>Exclude</v>
      </c>
      <c r="F1675" s="5" t="str">
        <f>IFERROR(__xludf.DUMMYFUNCTION("IFS(
E1675=""Exclude"",""Exclude"",
AND(
COUNTIF(
IMPORTRANGE(""https://docs.google.com/spreadsheets/d/1kGrh75X1cNR1D7_FcY9zMnHP8iPO4M5RCRjy6nZY0TY/edit#gid=0"",""Table 1: Study characteristics!B4:B171""),A1675)&gt;0,
COUNTIF(Studies!$A$2:$A$85,FILTER(IMPORT"&amp;"RANGE(""https://docs.google.com/spreadsheets/d/1kGrh75X1cNR1D7_FcY9zMnHP8iPO4M5RCRjy6nZY0TY/edit#gid=0"",""Table 1: Study characteristics!A4:A171""), $A1675=IMPORTRANGE(""https://docs.google.com/spreadsheets/d/1kGrh75X1cNR1D7_FcY9zMnHP8iPO4M5RCRjy6nZY0TY/"&amp;"edit#gid=0"",""Table 1: Study characteristics!B4:B171"")))&gt;0
),
""Include""
)"),"Exclude")</f>
        <v>Exclude</v>
      </c>
      <c r="G1675" s="5" t="str">
        <f>IFERROR(__xludf.DUMMYFUNCTION("IFS(
D1675=""Exclude"",
FILTER(IMPORTRANGE(""https://docs.google.com/spreadsheets/d/1BJSV3WBYJGRhQ6zExamkszQ5VutGIcaQqmbD9ZTVXMQ/edit#gid=1251630045"",""articles_with_PRISMA_reasons!AB2:AB2113""), $A1675=IMPORTRANGE(""https://docs.google.com/spreadsheets/"&amp;"d/1BJSV3WBYJGRhQ6zExamkszQ5VutGIcaQqmbD9ZTVXMQ/edit#gid=1251630045"",""articles_with_PRISMA_reasons!B2:B2113"")),
E1675=""Exclude"",
FILTER(IMPORTRANGE(""https://docs.google.com/spreadsheets/d/1qpEmbGH0JjaJbUdp21-y2cPbobDbMjr09BbtdKROZWc/edit#gid=14448656"&amp;"54"",""articles_with_PRISMA_reasons!Z2:Z2113""), $A1675=IMPORTRANGE(""https://docs.google.com/spreadsheets/d/1qpEmbGH0JjaJbUdp21-y2cPbobDbMjr09BbtdKROZWc/edit#gid=1444865654"",""articles_with_PRISMA_reasons!B2:B2113"")),F1675
=""Include"",FILTER(IMPORTRAN"&amp;"GE(""https://docs.google.com/spreadsheets/d/1kGrh75X1cNR1D7_FcY9zMnHP8iPO4M5RCRjy6nZY0TY/edit#gid=0"",""Table 1: Study characteristics!A4:A171""), $A1675=IMPORTRANGE(""https://docs.google.com/spreadsheets/d/1kGrh75X1cNR1D7_FcY9zMnHP8iPO4M5RCRjy6nZY0TY/edi"&amp;"t#gid=0"",""Table 1: Study characteristics!B4:B171""))
)"),"wrong publication type")</f>
        <v>wrong publication type</v>
      </c>
    </row>
    <row r="1676">
      <c r="A1676" s="4" t="str">
        <f>IFERROR(__xludf.DUMMYFUNCTION("""COMPUTED_VALUE"""),"Severe constipation: an under-appreciated cause of VP shunt malfunction: a case-based update")</f>
        <v>Severe constipation: an under-appreciated cause of VP shunt malfunction: a case-based update</v>
      </c>
      <c r="B1676" s="5" t="str">
        <f>IFERROR(__xludf.DUMMYFUNCTION("LEFT(FILTER(IMPORTRANGE(""https://docs.google.com/spreadsheets/d/1BJSV3WBYJGRhQ6zExamkszQ5VutGIcaQqmbD9ZTVXMQ/edit#gid=1251630045"",""articles_with_PRISMA_reasons!K2:K2113""), $A1676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$A1676=IMPORTRANGE(""https://docs.google.com/spreadsheets/d/1BJSV3WBYJGRhQ6zExamkszQ5VutGIcaQqmbD9ZTVXMQ/edit#gid=1251630045"",""articles_with_PRISMA_reasons!B2:B2113"")))-1)"),"Martinez-Lage")</f>
        <v>Martinez-Lage</v>
      </c>
      <c r="C1676" s="6">
        <f>IFERROR(__xludf.DUMMYFUNCTION("FILTER(IMPORTRANGE(""https://docs.google.com/spreadsheets/d/1BJSV3WBYJGRhQ6zExamkszQ5VutGIcaQqmbD9ZTVXMQ/edit#gid=1251630045"",""articles_with_PRISMA_reasons!C2:C2113""), $A1676=IMPORTRANGE(""https://docs.google.com/spreadsheets/d/1BJSV3WBYJGRhQ6zExamkszQ"&amp;"5VutGIcaQqmbD9ZTVXMQ/edit#gid=1251630045"",""articles_with_PRISMA_reasons!B2:B2113""))"),2008.0)</f>
        <v>2008</v>
      </c>
      <c r="D1676" s="5" t="str">
        <f>IFERROR(__xludf.DUMMYFUNCTION("IFS(AND(
FILTER(IMPORTRANGE(""https://docs.google.com/spreadsheets/d/1BJSV3WBYJGRhQ6zExamkszQ5VutGIcaQqmbD9ZTVXMQ/edit#gid=1251630045"",""articles_with_PRISMA_reasons!Y2:Y2113""), $A1676=IMPORTRANGE(""https://docs.google.com/spreadsheets/d/1BJSV3WBYJGRhQ6"&amp;"zExamkszQ5VutGIcaQqmbD9ZTVXMQ/edit#gid=1251630045"",""articles_with_PRISMA_reasons!B2:B2113""))&gt;=2,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$A1676=IMPORTRANGE(""https://docs.google.com/spreadsheets/d/1BJSV3WBYJGRhQ6zExamkszQ5VutGIcaQqmbD9ZTVXMQ/edit#gid=1251630045"",""articles_with_PRISMA_reasons!B2:B2113""))&lt;2),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$A1676=IMPORTRANGE(""https://docs.google.com/spreadsheets/d/1BJSV3WBYJGRhQ6zExamkszQ5VutGIcaQqmbD9ZTVXMQ/edit#gid=1251630045"",""a"&amp;"rticles_with_PRISMA_reasons!B2:B2113""))&lt;2,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$A1676=IMPORTRANGE(""https://docs.google"&amp;".com/spreadsheets/d/1BJSV3WBYJGRhQ6zExamkszQ5VutGIcaQqmbD9ZTVXMQ/edit#gid=1251630045"",""articles_with_PRISMA_reasons!B2:B2113""))&gt;=2),
""Exclude""
)"),"Exclude")</f>
        <v>Exclude</v>
      </c>
      <c r="E1676" s="5" t="str">
        <f>IFERROR(__xludf.DUMMYFUNCTION("IFS(
D1676=""Exclude"",""Exclude"",
AND(
FILTER(IMPORTRANGE(""https://docs.google.com/spreadsheets/d/1qpEmbGH0JjaJbUdp21-y2cPbobDbMjr09BbtdKROZWc/edit#gid=1444865654"",""articles_with_PRISMA_reasons!W2:W2113""), $A1676=IMPORTRANGE(""https://docs.google.co"&amp;"m/spreadsheets/d/1qpEmbGH0JjaJbUdp21-y2cPbobDbMjr09BbtdKROZWc/edit#gid=1444865654"",""articles_with_PRISMA_reasons!B2:B2113""))&gt;=2,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$A1676=IMPORTRANGE(""https://docs.google.com/spreadsheets/d/1qpEmbGH0JjaJbUdp21-y2cPbobDbMjr09BbtdKROZWc/edit#gid=1444865654"",""articles_with_PRISMA_reasons!B2:B2113""))&lt;2),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$A1676=IMPORTRANGE(""https://docs.google.com/spreadsheets/d/1qpEmbGH0JjaJbUdp21-y2cPbobDbMjr09Bbtd"&amp;"KROZWc/edit#gid=1444865654"",""articles_with_PRISMA_reasons!B2:B2113""))&lt;2,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$A1676=I"&amp;"MPORTRANGE(""https://docs.google.com/spreadsheets/d/1qpEmbGH0JjaJbUdp21-y2cPbobDbMjr09BbtdKROZWc/edit#gid=1444865654"",""articles_with_PRISMA_reasons!B2:B2113""))&gt;=2),
""Exclude""
)"),"Exclude")</f>
        <v>Exclude</v>
      </c>
      <c r="F1676" s="5" t="str">
        <f>IFERROR(__xludf.DUMMYFUNCTION("IFS(
E1676=""Exclude"",""Exclude"",
AND(
COUNTIF(
IMPORTRANGE(""https://docs.google.com/spreadsheets/d/1kGrh75X1cNR1D7_FcY9zMnHP8iPO4M5RCRjy6nZY0TY/edit#gid=0"",""Table 1: Study characteristics!B4:B171""),A1676)&gt;0,
COUNTIF(Studies!$A$2:$A$85,FILTER(IMPORT"&amp;"RANGE(""https://docs.google.com/spreadsheets/d/1kGrh75X1cNR1D7_FcY9zMnHP8iPO4M5RCRjy6nZY0TY/edit#gid=0"",""Table 1: Study characteristics!A4:A171""), $A1676=IMPORTRANGE(""https://docs.google.com/spreadsheets/d/1kGrh75X1cNR1D7_FcY9zMnHP8iPO4M5RCRjy6nZY0TY/"&amp;"edit#gid=0"",""Table 1: Study characteristics!B4:B171"")))&gt;0
),
""Include""
)"),"Exclude")</f>
        <v>Exclude</v>
      </c>
      <c r="G1676" s="5" t="str">
        <f>IFERROR(__xludf.DUMMYFUNCTION("IFS(
D1676=""Exclude"",
FILTER(IMPORTRANGE(""https://docs.google.com/spreadsheets/d/1BJSV3WBYJGRhQ6zExamkszQ5VutGIcaQqmbD9ZTVXMQ/edit#gid=1251630045"",""articles_with_PRISMA_reasons!AB2:AB2113""), $A1676=IMPORTRANGE(""https://docs.google.com/spreadsheets/"&amp;"d/1BJSV3WBYJGRhQ6zExamkszQ5VutGIcaQqmbD9ZTVXMQ/edit#gid=1251630045"",""articles_with_PRISMA_reasons!B2:B2113"")),
E1676=""Exclude"",
FILTER(IMPORTRANGE(""https://docs.google.com/spreadsheets/d/1qpEmbGH0JjaJbUdp21-y2cPbobDbMjr09BbtdKROZWc/edit#gid=14448656"&amp;"54"",""articles_with_PRISMA_reasons!Z2:Z2113""), $A1676=IMPORTRANGE(""https://docs.google.com/spreadsheets/d/1qpEmbGH0JjaJbUdp21-y2cPbobDbMjr09BbtdKROZWc/edit#gid=1444865654"",""articles_with_PRISMA_reasons!B2:B2113"")),F1676
=""Include"",FILTER(IMPORTRAN"&amp;"GE(""https://docs.google.com/spreadsheets/d/1kGrh75X1cNR1D7_FcY9zMnHP8iPO4M5RCRjy6nZY0TY/edit#gid=0"",""Table 1: Study characteristics!A4:A171""), $A1676=IMPORTRANGE(""https://docs.google.com/spreadsheets/d/1kGrh75X1cNR1D7_FcY9zMnHP8iPO4M5RCRjy6nZY0TY/edi"&amp;"t#gid=0"",""Table 1: Study characteristics!B4:B171""))
)"),"wrong publication type")</f>
        <v>wrong publication type</v>
      </c>
    </row>
    <row r="1677">
      <c r="A1677" s="4" t="str">
        <f>IFERROR(__xludf.DUMMYFUNCTION("""COMPUTED_VALUE"""),"Severe hydronephrosis caused by an infected intra-abdominal fluid collection in a patient with a ventriculoperitoneal shunt")</f>
        <v>Severe hydronephrosis caused by an infected intra-abdominal fluid collection in a patient with a ventriculoperitoneal shunt</v>
      </c>
      <c r="B1677" s="5" t="str">
        <f>IFERROR(__xludf.DUMMYFUNCTION("LEFT(FILTER(IMPORTRANGE(""https://docs.google.com/spreadsheets/d/1BJSV3WBYJGRhQ6zExamkszQ5VutGIcaQqmbD9ZTVXMQ/edit#gid=1251630045"",""articles_with_PRISMA_reasons!K2:K2113""), $A1677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$A1677=IMPORTRANGE(""https://docs.google.com/spreadsheets/d/1BJSV3WBYJGRhQ6zExamkszQ5VutGIcaQqmbD9ZTVXMQ/edit#gid=1251630045"",""articles_with_PRISMA_reasons!B2:B2113"")))-1)"),"Scherer")</f>
        <v>Scherer</v>
      </c>
      <c r="C1677" s="6">
        <f>IFERROR(__xludf.DUMMYFUNCTION("FILTER(IMPORTRANGE(""https://docs.google.com/spreadsheets/d/1BJSV3WBYJGRhQ6zExamkszQ5VutGIcaQqmbD9ZTVXMQ/edit#gid=1251630045"",""articles_with_PRISMA_reasons!C2:C2113""), $A1677=IMPORTRANGE(""https://docs.google.com/spreadsheets/d/1BJSV3WBYJGRhQ6zExamkszQ"&amp;"5VutGIcaQqmbD9ZTVXMQ/edit#gid=1251630045"",""articles_with_PRISMA_reasons!B2:B2113""))"),2014.0)</f>
        <v>2014</v>
      </c>
      <c r="D1677" s="5" t="str">
        <f>IFERROR(__xludf.DUMMYFUNCTION("IFS(AND(
FILTER(IMPORTRANGE(""https://docs.google.com/spreadsheets/d/1BJSV3WBYJGRhQ6zExamkszQ5VutGIcaQqmbD9ZTVXMQ/edit#gid=1251630045"",""articles_with_PRISMA_reasons!Y2:Y2113""), $A1677=IMPORTRANGE(""https://docs.google.com/spreadsheets/d/1BJSV3WBYJGRhQ6"&amp;"zExamkszQ5VutGIcaQqmbD9ZTVXMQ/edit#gid=1251630045"",""articles_with_PRISMA_reasons!B2:B2113""))&gt;=2,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$A1677=IMPORTRANGE(""https://docs.google.com/spreadsheets/d/1BJSV3WBYJGRhQ6zExamkszQ5VutGIcaQqmbD9ZTVXMQ/edit#gid=1251630045"",""articles_with_PRISMA_reasons!B2:B2113""))&lt;2),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$A1677=IMPORTRANGE(""https://docs.google.com/spreadsheets/d/1BJSV3WBYJGRhQ6zExamkszQ5VutGIcaQqmbD9ZTVXMQ/edit#gid=1251630045"",""a"&amp;"rticles_with_PRISMA_reasons!B2:B2113""))&lt;2,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$A1677=IMPORTRANGE(""https://docs.google"&amp;".com/spreadsheets/d/1BJSV3WBYJGRhQ6zExamkszQ5VutGIcaQqmbD9ZTVXMQ/edit#gid=1251630045"",""articles_with_PRISMA_reasons!B2:B2113""))&gt;=2),
""Exclude""
)"),"Exclude")</f>
        <v>Exclude</v>
      </c>
      <c r="E1677" s="5" t="str">
        <f>IFERROR(__xludf.DUMMYFUNCTION("IFS(
D1677=""Exclude"",""Exclude"",
AND(
FILTER(IMPORTRANGE(""https://docs.google.com/spreadsheets/d/1qpEmbGH0JjaJbUdp21-y2cPbobDbMjr09BbtdKROZWc/edit#gid=1444865654"",""articles_with_PRISMA_reasons!W2:W2113""), $A1677=IMPORTRANGE(""https://docs.google.co"&amp;"m/spreadsheets/d/1qpEmbGH0JjaJbUdp21-y2cPbobDbMjr09BbtdKROZWc/edit#gid=1444865654"",""articles_with_PRISMA_reasons!B2:B2113""))&gt;=2,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$A1677=IMPORTRANGE(""https://docs.google.com/spreadsheets/d/1qpEmbGH0JjaJbUdp21-y2cPbobDbMjr09BbtdKROZWc/edit#gid=1444865654"",""articles_with_PRISMA_reasons!B2:B2113""))&lt;2),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$A1677=IMPORTRANGE(""https://docs.google.com/spreadsheets/d/1qpEmbGH0JjaJbUdp21-y2cPbobDbMjr09Bbtd"&amp;"KROZWc/edit#gid=1444865654"",""articles_with_PRISMA_reasons!B2:B2113""))&lt;2,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$A1677=I"&amp;"MPORTRANGE(""https://docs.google.com/spreadsheets/d/1qpEmbGH0JjaJbUdp21-y2cPbobDbMjr09BbtdKROZWc/edit#gid=1444865654"",""articles_with_PRISMA_reasons!B2:B2113""))&gt;=2),
""Exclude""
)"),"Exclude")</f>
        <v>Exclude</v>
      </c>
      <c r="F1677" s="5" t="str">
        <f>IFERROR(__xludf.DUMMYFUNCTION("IFS(
E1677=""Exclude"",""Exclude"",
AND(
COUNTIF(
IMPORTRANGE(""https://docs.google.com/spreadsheets/d/1kGrh75X1cNR1D7_FcY9zMnHP8iPO4M5RCRjy6nZY0TY/edit#gid=0"",""Table 1: Study characteristics!B4:B171""),A1677)&gt;0,
COUNTIF(Studies!$A$2:$A$85,FILTER(IMPORT"&amp;"RANGE(""https://docs.google.com/spreadsheets/d/1kGrh75X1cNR1D7_FcY9zMnHP8iPO4M5RCRjy6nZY0TY/edit#gid=0"",""Table 1: Study characteristics!A4:A171""), $A1677=IMPORTRANGE(""https://docs.google.com/spreadsheets/d/1kGrh75X1cNR1D7_FcY9zMnHP8iPO4M5RCRjy6nZY0TY/"&amp;"edit#gid=0"",""Table 1: Study characteristics!B4:B171"")))&gt;0
),
""Include""
)"),"Exclude")</f>
        <v>Exclude</v>
      </c>
      <c r="G1677" s="5" t="str">
        <f>IFERROR(__xludf.DUMMYFUNCTION("IFS(
D1677=""Exclude"",
FILTER(IMPORTRANGE(""https://docs.google.com/spreadsheets/d/1BJSV3WBYJGRhQ6zExamkszQ5VutGIcaQqmbD9ZTVXMQ/edit#gid=1251630045"",""articles_with_PRISMA_reasons!AB2:AB2113""), $A1677=IMPORTRANGE(""https://docs.google.com/spreadsheets/"&amp;"d/1BJSV3WBYJGRhQ6zExamkszQ5VutGIcaQqmbD9ZTVXMQ/edit#gid=1251630045"",""articles_with_PRISMA_reasons!B2:B2113"")),
E1677=""Exclude"",
FILTER(IMPORTRANGE(""https://docs.google.com/spreadsheets/d/1qpEmbGH0JjaJbUdp21-y2cPbobDbMjr09BbtdKROZWc/edit#gid=14448656"&amp;"54"",""articles_with_PRISMA_reasons!Z2:Z2113""), $A1677=IMPORTRANGE(""https://docs.google.com/spreadsheets/d/1qpEmbGH0JjaJbUdp21-y2cPbobDbMjr09BbtdKROZWc/edit#gid=1444865654"",""articles_with_PRISMA_reasons!B2:B2113"")),F1677
=""Include"",FILTER(IMPORTRAN"&amp;"GE(""https://docs.google.com/spreadsheets/d/1kGrh75X1cNR1D7_FcY9zMnHP8iPO4M5RCRjy6nZY0TY/edit#gid=0"",""Table 1: Study characteristics!A4:A171""), $A1677=IMPORTRANGE(""https://docs.google.com/spreadsheets/d/1kGrh75X1cNR1D7_FcY9zMnHP8iPO4M5RCRjy6nZY0TY/edi"&amp;"t#gid=0"",""Table 1: Study characteristics!B4:B171""))
)"),"wrong publication type")</f>
        <v>wrong publication type</v>
      </c>
    </row>
    <row r="1678">
      <c r="A1678" s="4" t="str">
        <f>IFERROR(__xludf.DUMMYFUNCTION("""COMPUTED_VALUE"""),"Sexual Functioning in Adolescents and Young Adults With Spina Bifida")</f>
        <v>Sexual Functioning in Adolescents and Young Adults With Spina Bifida</v>
      </c>
      <c r="B1678" s="5" t="str">
        <f>IFERROR(__xludf.DUMMYFUNCTION("LEFT(FILTER(IMPORTRANGE(""https://docs.google.com/spreadsheets/d/1BJSV3WBYJGRhQ6zExamkszQ5VutGIcaQqmbD9ZTVXMQ/edit#gid=1251630045"",""articles_with_PRISMA_reasons!K2:K2113""), $A1678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$A1678=IMPORTRANGE(""https://docs.google.com/spreadsheets/d/1BJSV3WBYJGRhQ6zExamkszQ5VutGIcaQqmbD9ZTVXMQ/edit#gid=1251630045"",""articles_with_PRISMA_reasons!B2:B2113"")))-1)"),"Cardenas")</f>
        <v>Cardenas</v>
      </c>
      <c r="C1678" s="6">
        <f>IFERROR(__xludf.DUMMYFUNCTION("FILTER(IMPORTRANGE(""https://docs.google.com/spreadsheets/d/1BJSV3WBYJGRhQ6zExamkszQ5VutGIcaQqmbD9ZTVXMQ/edit#gid=1251630045"",""articles_with_PRISMA_reasons!C2:C2113""), $A1678=IMPORTRANGE(""https://docs.google.com/spreadsheets/d/1BJSV3WBYJGRhQ6zExamkszQ"&amp;"5VutGIcaQqmbD9ZTVXMQ/edit#gid=1251630045"",""articles_with_PRISMA_reasons!B2:B2113""))"),2008.0)</f>
        <v>2008</v>
      </c>
      <c r="D1678" s="5" t="str">
        <f>IFERROR(__xludf.DUMMYFUNCTION("IFS(AND(
FILTER(IMPORTRANGE(""https://docs.google.com/spreadsheets/d/1BJSV3WBYJGRhQ6zExamkszQ5VutGIcaQqmbD9ZTVXMQ/edit#gid=1251630045"",""articles_with_PRISMA_reasons!Y2:Y2113""), $A1678=IMPORTRANGE(""https://docs.google.com/spreadsheets/d/1BJSV3WBYJGRhQ6"&amp;"zExamkszQ5VutGIcaQqmbD9ZTVXMQ/edit#gid=1251630045"",""articles_with_PRISMA_reasons!B2:B2113""))&gt;=2,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$A1678=IMPORTRANGE(""https://docs.google.com/spreadsheets/d/1BJSV3WBYJGRhQ6zExamkszQ5VutGIcaQqmbD9ZTVXMQ/edit#gid=1251630045"",""articles_with_PRISMA_reasons!B2:B2113""))&lt;2),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$A1678=IMPORTRANGE(""https://docs.google.com/spreadsheets/d/1BJSV3WBYJGRhQ6zExamkszQ5VutGIcaQqmbD9ZTVXMQ/edit#gid=1251630045"",""a"&amp;"rticles_with_PRISMA_reasons!B2:B2113""))&lt;2,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$A1678=IMPORTRANGE(""https://docs.google"&amp;".com/spreadsheets/d/1BJSV3WBYJGRhQ6zExamkszQ5VutGIcaQqmbD9ZTVXMQ/edit#gid=1251630045"",""articles_with_PRISMA_reasons!B2:B2113""))&gt;=2),
""Exclude""
)"),"Exclude")</f>
        <v>Exclude</v>
      </c>
      <c r="E1678" s="5" t="str">
        <f>IFERROR(__xludf.DUMMYFUNCTION("IFS(
D1678=""Exclude"",""Exclude"",
AND(
FILTER(IMPORTRANGE(""https://docs.google.com/spreadsheets/d/1qpEmbGH0JjaJbUdp21-y2cPbobDbMjr09BbtdKROZWc/edit#gid=1444865654"",""articles_with_PRISMA_reasons!W2:W2113""), $A1678=IMPORTRANGE(""https://docs.google.co"&amp;"m/spreadsheets/d/1qpEmbGH0JjaJbUdp21-y2cPbobDbMjr09BbtdKROZWc/edit#gid=1444865654"",""articles_with_PRISMA_reasons!B2:B2113""))&gt;=2,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$A1678=IMPORTRANGE(""https://docs.google.com/spreadsheets/d/1qpEmbGH0JjaJbUdp21-y2cPbobDbMjr09BbtdKROZWc/edit#gid=1444865654"",""articles_with_PRISMA_reasons!B2:B2113""))&lt;2),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$A1678=IMPORTRANGE(""https://docs.google.com/spreadsheets/d/1qpEmbGH0JjaJbUdp21-y2cPbobDbMjr09Bbtd"&amp;"KROZWc/edit#gid=1444865654"",""articles_with_PRISMA_reasons!B2:B2113""))&lt;2,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$A1678=I"&amp;"MPORTRANGE(""https://docs.google.com/spreadsheets/d/1qpEmbGH0JjaJbUdp21-y2cPbobDbMjr09BbtdKROZWc/edit#gid=1444865654"",""articles_with_PRISMA_reasons!B2:B2113""))&gt;=2),
""Exclude""
)"),"Exclude")</f>
        <v>Exclude</v>
      </c>
      <c r="F1678" s="5" t="str">
        <f>IFERROR(__xludf.DUMMYFUNCTION("IFS(
E1678=""Exclude"",""Exclude"",
AND(
COUNTIF(
IMPORTRANGE(""https://docs.google.com/spreadsheets/d/1kGrh75X1cNR1D7_FcY9zMnHP8iPO4M5RCRjy6nZY0TY/edit#gid=0"",""Table 1: Study characteristics!B4:B171""),A1678)&gt;0,
COUNTIF(Studies!$A$2:$A$85,FILTER(IMPORT"&amp;"RANGE(""https://docs.google.com/spreadsheets/d/1kGrh75X1cNR1D7_FcY9zMnHP8iPO4M5RCRjy6nZY0TY/edit#gid=0"",""Table 1: Study characteristics!A4:A171""), $A1678=IMPORTRANGE(""https://docs.google.com/spreadsheets/d/1kGrh75X1cNR1D7_FcY9zMnHP8iPO4M5RCRjy6nZY0TY/"&amp;"edit#gid=0"",""Table 1: Study characteristics!B4:B171"")))&gt;0
),
""Include""
)"),"Exclude")</f>
        <v>Exclude</v>
      </c>
      <c r="G1678" s="5" t="str">
        <f>IFERROR(__xludf.DUMMYFUNCTION("IFS(
D1678=""Exclude"",
FILTER(IMPORTRANGE(""https://docs.google.com/spreadsheets/d/1BJSV3WBYJGRhQ6zExamkszQ5VutGIcaQqmbD9ZTVXMQ/edit#gid=1251630045"",""articles_with_PRISMA_reasons!AB2:AB2113""), $A1678=IMPORTRANGE(""https://docs.google.com/spreadsheets/"&amp;"d/1BJSV3WBYJGRhQ6zExamkszQ5VutGIcaQqmbD9ZTVXMQ/edit#gid=1251630045"",""articles_with_PRISMA_reasons!B2:B2113"")),
E1678=""Exclude"",
FILTER(IMPORTRANGE(""https://docs.google.com/spreadsheets/d/1qpEmbGH0JjaJbUdp21-y2cPbobDbMjr09BbtdKROZWc/edit#gid=14448656"&amp;"54"",""articles_with_PRISMA_reasons!Z2:Z2113""), $A1678=IMPORTRANGE(""https://docs.google.com/spreadsheets/d/1qpEmbGH0JjaJbUdp21-y2cPbobDbMjr09BbtdKROZWc/edit#gid=1444865654"",""articles_with_PRISMA_reasons!B2:B2113"")),F1678
=""Include"",FILTER(IMPORTRAN"&amp;"GE(""https://docs.google.com/spreadsheets/d/1kGrh75X1cNR1D7_FcY9zMnHP8iPO4M5RCRjy6nZY0TY/edit#gid=0"",""Table 1: Study characteristics!A4:A171""), $A1678=IMPORTRANGE(""https://docs.google.com/spreadsheets/d/1kGrh75X1cNR1D7_FcY9zMnHP8iPO4M5RCRjy6nZY0TY/edi"&amp;"t#gid=0"",""Table 1: Study characteristics!B4:B171""))
)"),"wrong population")</f>
        <v>wrong population</v>
      </c>
    </row>
    <row r="1679">
      <c r="A1679" s="4" t="str">
        <f>IFERROR(__xludf.DUMMYFUNCTION("""COMPUTED_VALUE"""),"Short-term clinical outcomes of newborns who have neural tube defects")</f>
        <v>Short-term clinical outcomes of newborns who have neural tube defects</v>
      </c>
      <c r="B1679" s="5" t="str">
        <f>IFERROR(__xludf.DUMMYFUNCTION("LEFT(FILTER(IMPORTRANGE(""https://docs.google.com/spreadsheets/d/1BJSV3WBYJGRhQ6zExamkszQ5VutGIcaQqmbD9ZTVXMQ/edit#gid=1251630045"",""articles_with_PRISMA_reasons!K2:K2113""), $A1679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$A1679=IMPORTRANGE(""https://docs.google.com/spreadsheets/d/1BJSV3WBYJGRhQ6zExamkszQ5VutGIcaQqmbD9ZTVXMQ/edit#gid=1251630045"",""articles_with_PRISMA_reasons!B2:B2113"")))-1)"),"Cakir")</f>
        <v>Cakir</v>
      </c>
      <c r="C1679" s="6">
        <f>IFERROR(__xludf.DUMMYFUNCTION("FILTER(IMPORTRANGE(""https://docs.google.com/spreadsheets/d/1BJSV3WBYJGRhQ6zExamkszQ5VutGIcaQqmbD9ZTVXMQ/edit#gid=1251630045"",""articles_with_PRISMA_reasons!C2:C2113""), $A1679=IMPORTRANGE(""https://docs.google.com/spreadsheets/d/1BJSV3WBYJGRhQ6zExamkszQ"&amp;"5VutGIcaQqmbD9ZTVXMQ/edit#gid=1251630045"",""articles_with_PRISMA_reasons!B2:B2113""))"),2018.0)</f>
        <v>2018</v>
      </c>
      <c r="D1679" s="5" t="str">
        <f>IFERROR(__xludf.DUMMYFUNCTION("IFS(AND(
FILTER(IMPORTRANGE(""https://docs.google.com/spreadsheets/d/1BJSV3WBYJGRhQ6zExamkszQ5VutGIcaQqmbD9ZTVXMQ/edit#gid=1251630045"",""articles_with_PRISMA_reasons!Y2:Y2113""), $A1679=IMPORTRANGE(""https://docs.google.com/spreadsheets/d/1BJSV3WBYJGRhQ6"&amp;"zExamkszQ5VutGIcaQqmbD9ZTVXMQ/edit#gid=1251630045"",""articles_with_PRISMA_reasons!B2:B2113""))&gt;=2,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$A1679=IMPORTRANGE(""https://docs.google.com/spreadsheets/d/1BJSV3WBYJGRhQ6zExamkszQ5VutGIcaQqmbD9ZTVXMQ/edit#gid=1251630045"",""articles_with_PRISMA_reasons!B2:B2113""))&lt;2),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$A1679=IMPORTRANGE(""https://docs.google.com/spreadsheets/d/1BJSV3WBYJGRhQ6zExamkszQ5VutGIcaQqmbD9ZTVXMQ/edit#gid=1251630045"",""a"&amp;"rticles_with_PRISMA_reasons!B2:B2113""))&lt;2,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$A1679=IMPORTRANGE(""https://docs.google"&amp;".com/spreadsheets/d/1BJSV3WBYJGRhQ6zExamkszQ5VutGIcaQqmbD9ZTVXMQ/edit#gid=1251630045"",""articles_with_PRISMA_reasons!B2:B2113""))&gt;=2),
""Exclude""
)"),"Exclude")</f>
        <v>Exclude</v>
      </c>
      <c r="E1679" s="5" t="str">
        <f>IFERROR(__xludf.DUMMYFUNCTION("IFS(
D1679=""Exclude"",""Exclude"",
AND(
FILTER(IMPORTRANGE(""https://docs.google.com/spreadsheets/d/1qpEmbGH0JjaJbUdp21-y2cPbobDbMjr09BbtdKROZWc/edit#gid=1444865654"",""articles_with_PRISMA_reasons!W2:W2113""), $A1679=IMPORTRANGE(""https://docs.google.co"&amp;"m/spreadsheets/d/1qpEmbGH0JjaJbUdp21-y2cPbobDbMjr09BbtdKROZWc/edit#gid=1444865654"",""articles_with_PRISMA_reasons!B2:B2113""))&gt;=2,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$A1679=IMPORTRANGE(""https://docs.google.com/spreadsheets/d/1qpEmbGH0JjaJbUdp21-y2cPbobDbMjr09BbtdKROZWc/edit#gid=1444865654"",""articles_with_PRISMA_reasons!B2:B2113""))&lt;2),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$A1679=IMPORTRANGE(""https://docs.google.com/spreadsheets/d/1qpEmbGH0JjaJbUdp21-y2cPbobDbMjr09Bbtd"&amp;"KROZWc/edit#gid=1444865654"",""articles_with_PRISMA_reasons!B2:B2113""))&lt;2,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$A1679=I"&amp;"MPORTRANGE(""https://docs.google.com/spreadsheets/d/1qpEmbGH0JjaJbUdp21-y2cPbobDbMjr09BbtdKROZWc/edit#gid=1444865654"",""articles_with_PRISMA_reasons!B2:B2113""))&gt;=2),
""Exclude""
)"),"Exclude")</f>
        <v>Exclude</v>
      </c>
      <c r="F1679" s="5" t="str">
        <f>IFERROR(__xludf.DUMMYFUNCTION("IFS(
E1679=""Exclude"",""Exclude"",
AND(
COUNTIF(
IMPORTRANGE(""https://docs.google.com/spreadsheets/d/1kGrh75X1cNR1D7_FcY9zMnHP8iPO4M5RCRjy6nZY0TY/edit#gid=0"",""Table 1: Study characteristics!B4:B171""),A1679)&gt;0,
COUNTIF(Studies!$A$2:$A$85,FILTER(IMPORT"&amp;"RANGE(""https://docs.google.com/spreadsheets/d/1kGrh75X1cNR1D7_FcY9zMnHP8iPO4M5RCRjy6nZY0TY/edit#gid=0"",""Table 1: Study characteristics!A4:A171""), $A1679=IMPORTRANGE(""https://docs.google.com/spreadsheets/d/1kGrh75X1cNR1D7_FcY9zMnHP8iPO4M5RCRjy6nZY0TY/"&amp;"edit#gid=0"",""Table 1: Study characteristics!B4:B171"")))&gt;0
),
""Include""
)"),"Exclude")</f>
        <v>Exclude</v>
      </c>
      <c r="G1679" s="5" t="str">
        <f>IFERROR(__xludf.DUMMYFUNCTION("IFS(
D1679=""Exclude"",
FILTER(IMPORTRANGE(""https://docs.google.com/spreadsheets/d/1BJSV3WBYJGRhQ6zExamkszQ5VutGIcaQqmbD9ZTVXMQ/edit#gid=1251630045"",""articles_with_PRISMA_reasons!AB2:AB2113""), $A1679=IMPORTRANGE(""https://docs.google.com/spreadsheets/"&amp;"d/1BJSV3WBYJGRhQ6zExamkszQ5VutGIcaQqmbD9ZTVXMQ/edit#gid=1251630045"",""articles_with_PRISMA_reasons!B2:B2113"")),
E1679=""Exclude"",
FILTER(IMPORTRANGE(""https://docs.google.com/spreadsheets/d/1qpEmbGH0JjaJbUdp21-y2cPbobDbMjr09BbtdKROZWc/edit#gid=14448656"&amp;"54"",""articles_with_PRISMA_reasons!Z2:Z2113""), $A1679=IMPORTRANGE(""https://docs.google.com/spreadsheets/d/1qpEmbGH0JjaJbUdp21-y2cPbobDbMjr09BbtdKROZWc/edit#gid=1444865654"",""articles_with_PRISMA_reasons!B2:B2113"")),F1679
=""Include"",FILTER(IMPORTRAN"&amp;"GE(""https://docs.google.com/spreadsheets/d/1kGrh75X1cNR1D7_FcY9zMnHP8iPO4M5RCRjy6nZY0TY/edit#gid=0"",""Table 1: Study characteristics!A4:A171""), $A1679=IMPORTRANGE(""https://docs.google.com/spreadsheets/d/1kGrh75X1cNR1D7_FcY9zMnHP8iPO4M5RCRjy6nZY0TY/edi"&amp;"t#gid=0"",""Table 1: Study characteristics!B4:B171""))
)"),"wrong population")</f>
        <v>wrong population</v>
      </c>
    </row>
    <row r="1680">
      <c r="A1680" s="4" t="str">
        <f>IFERROR(__xludf.DUMMYFUNCTION("""COMPUTED_VALUE"""),"Short-term prognostic factors in myelomeningocele patients")</f>
        <v>Short-term prognostic factors in myelomeningocele patients</v>
      </c>
      <c r="B1680" s="5" t="str">
        <f>IFERROR(__xludf.DUMMYFUNCTION("LEFT(FILTER(IMPORTRANGE(""https://docs.google.com/spreadsheets/d/1BJSV3WBYJGRhQ6zExamkszQ5VutGIcaQqmbD9ZTVXMQ/edit#gid=1251630045"",""articles_with_PRISMA_reasons!K2:K2113""), $A1680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$A1680=IMPORTRANGE(""https://docs.google.com/spreadsheets/d/1BJSV3WBYJGRhQ6zExamkszQ5VutGIcaQqmbD9ZTVXMQ/edit#gid=1251630045"",""articles_with_PRISMA_reasons!B2:B2113"")))-1)"),"Rodrigues")</f>
        <v>Rodrigues</v>
      </c>
      <c r="C1680" s="6" t="str">
        <f>IFERROR(__xludf.DUMMYFUNCTION("FILTER(IMPORTRANGE(""https://docs.google.com/spreadsheets/d/1BJSV3WBYJGRhQ6zExamkszQ5VutGIcaQqmbD9ZTVXMQ/edit#gid=1251630045"",""articles_with_PRISMA_reasons!C2:C2113""), $A1680=IMPORTRANGE(""https://docs.google.com/spreadsheets/d/1BJSV3WBYJGRhQ6zExamkszQ"&amp;"5VutGIcaQqmbD9ZTVXMQ/edit#gid=1251630045"",""articles_with_PRISMA_reasons!B2:B2113""))"),"Apr")</f>
        <v>Apr</v>
      </c>
      <c r="D1680" s="5" t="str">
        <f>IFERROR(__xludf.DUMMYFUNCTION("IFS(AND(
FILTER(IMPORTRANGE(""https://docs.google.com/spreadsheets/d/1BJSV3WBYJGRhQ6zExamkszQ5VutGIcaQqmbD9ZTVXMQ/edit#gid=1251630045"",""articles_with_PRISMA_reasons!Y2:Y2113""), $A1680=IMPORTRANGE(""https://docs.google.com/spreadsheets/d/1BJSV3WBYJGRhQ6"&amp;"zExamkszQ5VutGIcaQqmbD9ZTVXMQ/edit#gid=1251630045"",""articles_with_PRISMA_reasons!B2:B2113""))&gt;=2,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$A1680=IMPORTRANGE(""https://docs.google.com/spreadsheets/d/1BJSV3WBYJGRhQ6zExamkszQ5VutGIcaQqmbD9ZTVXMQ/edit#gid=1251630045"",""articles_with_PRISMA_reasons!B2:B2113""))&lt;2),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$A1680=IMPORTRANGE(""https://docs.google.com/spreadsheets/d/1BJSV3WBYJGRhQ6zExamkszQ5VutGIcaQqmbD9ZTVXMQ/edit#gid=1251630045"",""a"&amp;"rticles_with_PRISMA_reasons!B2:B2113""))&lt;2,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$A1680=IMPORTRANGE(""https://docs.google"&amp;".com/spreadsheets/d/1BJSV3WBYJGRhQ6zExamkszQ5VutGIcaQqmbD9ZTVXMQ/edit#gid=1251630045"",""articles_with_PRISMA_reasons!B2:B2113""))&gt;=2),
""Exclude""
)"),"Include")</f>
        <v>Include</v>
      </c>
      <c r="E1680" s="5" t="str">
        <f>IFERROR(__xludf.DUMMYFUNCTION("IFS(
D1680=""Exclude"",""Exclude"",
AND(
FILTER(IMPORTRANGE(""https://docs.google.com/spreadsheets/d/1qpEmbGH0JjaJbUdp21-y2cPbobDbMjr09BbtdKROZWc/edit#gid=1444865654"",""articles_with_PRISMA_reasons!W2:W2113""), $A1680=IMPORTRANGE(""https://docs.google.co"&amp;"m/spreadsheets/d/1qpEmbGH0JjaJbUdp21-y2cPbobDbMjr09BbtdKROZWc/edit#gid=1444865654"",""articles_with_PRISMA_reasons!B2:B2113""))&gt;=2,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$A1680=IMPORTRANGE(""https://docs.google.com/spreadsheets/d/1qpEmbGH0JjaJbUdp21-y2cPbobDbMjr09BbtdKROZWc/edit#gid=1444865654"",""articles_with_PRISMA_reasons!B2:B2113""))&lt;2),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$A1680=IMPORTRANGE(""https://docs.google.com/spreadsheets/d/1qpEmbGH0JjaJbUdp21-y2cPbobDbMjr09Bbtd"&amp;"KROZWc/edit#gid=1444865654"",""articles_with_PRISMA_reasons!B2:B2113""))&lt;2,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$A1680=I"&amp;"MPORTRANGE(""https://docs.google.com/spreadsheets/d/1qpEmbGH0JjaJbUdp21-y2cPbobDbMjr09BbtdKROZWc/edit#gid=1444865654"",""articles_with_PRISMA_reasons!B2:B2113""))&gt;=2),
""Exclude""
)"),"Include")</f>
        <v>Include</v>
      </c>
      <c r="F1680" s="5" t="str">
        <f>IFERROR(__xludf.DUMMYFUNCTION("IFS(
E1680=""Exclude"",""Exclude"",
AND(
COUNTIF(
IMPORTRANGE(""https://docs.google.com/spreadsheets/d/1kGrh75X1cNR1D7_FcY9zMnHP8iPO4M5RCRjy6nZY0TY/edit#gid=0"",""Table 1: Study characteristics!B4:B171""),A1680)&gt;0,
COUNTIF(Studies!$A$2:$A$85,FILTER(IMPORT"&amp;"RANGE(""https://docs.google.com/spreadsheets/d/1kGrh75X1cNR1D7_FcY9zMnHP8iPO4M5RCRjy6nZY0TY/edit#gid=0"",""Table 1: Study characteristics!A4:A171""), $A1680=IMPORTRANGE(""https://docs.google.com/spreadsheets/d/1kGrh75X1cNR1D7_FcY9zMnHP8iPO4M5RCRjy6nZY0TY/"&amp;"edit#gid=0"",""Table 1: Study characteristics!B4:B171"")))&gt;0
),
""Include""
)"),"Include")</f>
        <v>Include</v>
      </c>
      <c r="G1680" s="5" t="str">
        <f>IFERROR(__xludf.DUMMYFUNCTION("IFS(
D1680=""Exclude"",
FILTER(IMPORTRANGE(""https://docs.google.com/spreadsheets/d/1BJSV3WBYJGRhQ6zExamkszQ5VutGIcaQqmbD9ZTVXMQ/edit#gid=1251630045"",""articles_with_PRISMA_reasons!AB2:AB2113""), $A1680=IMPORTRANGE(""https://docs.google.com/spreadsheets/"&amp;"d/1BJSV3WBYJGRhQ6zExamkszQ5VutGIcaQqmbD9ZTVXMQ/edit#gid=1251630045"",""articles_with_PRISMA_reasons!B2:B2113"")),
E1680=""Exclude"",
FILTER(IMPORTRANGE(""https://docs.google.com/spreadsheets/d/1qpEmbGH0JjaJbUdp21-y2cPbobDbMjr09BbtdKROZWc/edit#gid=14448656"&amp;"54"",""articles_with_PRISMA_reasons!Z2:Z2113""), $A1680=IMPORTRANGE(""https://docs.google.com/spreadsheets/d/1qpEmbGH0JjaJbUdp21-y2cPbobDbMjr09BbtdKROZWc/edit#gid=1444865654"",""articles_with_PRISMA_reasons!B2:B2113"")),F1680
=""Include"",FILTER(IMPORTRAN"&amp;"GE(""https://docs.google.com/spreadsheets/d/1kGrh75X1cNR1D7_FcY9zMnHP8iPO4M5RCRjy6nZY0TY/edit#gid=0"",""Table 1: Study characteristics!A4:A171""), $A1680=IMPORTRANGE(""https://docs.google.com/spreadsheets/d/1kGrh75X1cNR1D7_FcY9zMnHP8iPO4M5RCRjy6nZY0TY/edi"&amp;"t#gid=0"",""Table 1: Study characteristics!B4:B171""))
)"),"ID 123")</f>
        <v>ID 123</v>
      </c>
    </row>
    <row r="1681">
      <c r="A1681" s="4" t="str">
        <f>IFERROR(__xludf.DUMMYFUNCTION("""COMPUTED_VALUE"""),"Short-term results of patients with neural tube defects followed-up in the Konya region, Turkey")</f>
        <v>Short-term results of patients with neural tube defects followed-up in the Konya region, Turkey</v>
      </c>
      <c r="B1681" s="5" t="str">
        <f>IFERROR(__xludf.DUMMYFUNCTION("LEFT(FILTER(IMPORTRANGE(""https://docs.google.com/spreadsheets/d/1BJSV3WBYJGRhQ6zExamkszQ5VutGIcaQqmbD9ZTVXMQ/edit#gid=1251630045"",""articles_with_PRISMA_reasons!K2:K2113""), $A1681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$A1681=IMPORTRANGE(""https://docs.google.com/spreadsheets/d/1BJSV3WBYJGRhQ6zExamkszQ5VutGIcaQqmbD9ZTVXMQ/edit#gid=1251630045"",""articles_with_PRISMA_reasons!B2:B2113"")))-1)"),"Yorulmaz")</f>
        <v>Yorulmaz</v>
      </c>
      <c r="C1681" s="6">
        <f>IFERROR(__xludf.DUMMYFUNCTION("FILTER(IMPORTRANGE(""https://docs.google.com/spreadsheets/d/1BJSV3WBYJGRhQ6zExamkszQ5VutGIcaQqmbD9ZTVXMQ/edit#gid=1251630045"",""articles_with_PRISMA_reasons!C2:C2113""), $A1681=IMPORTRANGE(""https://docs.google.com/spreadsheets/d/1BJSV3WBYJGRhQ6zExamkszQ"&amp;"5VutGIcaQqmbD9ZTVXMQ/edit#gid=1251630045"",""articles_with_PRISMA_reasons!B2:B2113""))"),2019.0)</f>
        <v>2019</v>
      </c>
      <c r="D1681" s="5" t="str">
        <f>IFERROR(__xludf.DUMMYFUNCTION("IFS(AND(
FILTER(IMPORTRANGE(""https://docs.google.com/spreadsheets/d/1BJSV3WBYJGRhQ6zExamkszQ5VutGIcaQqmbD9ZTVXMQ/edit#gid=1251630045"",""articles_with_PRISMA_reasons!Y2:Y2113""), $A1681=IMPORTRANGE(""https://docs.google.com/spreadsheets/d/1BJSV3WBYJGRhQ6"&amp;"zExamkszQ5VutGIcaQqmbD9ZTVXMQ/edit#gid=1251630045"",""articles_with_PRISMA_reasons!B2:B2113""))&gt;=2,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$A1681=IMPORTRANGE(""https://docs.google.com/spreadsheets/d/1BJSV3WBYJGRhQ6zExamkszQ5VutGIcaQqmbD9ZTVXMQ/edit#gid=1251630045"",""articles_with_PRISMA_reasons!B2:B2113""))&lt;2),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$A1681=IMPORTRANGE(""https://docs.google.com/spreadsheets/d/1BJSV3WBYJGRhQ6zExamkszQ5VutGIcaQqmbD9ZTVXMQ/edit#gid=1251630045"",""a"&amp;"rticles_with_PRISMA_reasons!B2:B2113""))&lt;2,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$A1681=IMPORTRANGE(""https://docs.google"&amp;".com/spreadsheets/d/1BJSV3WBYJGRhQ6zExamkszQ5VutGIcaQqmbD9ZTVXMQ/edit#gid=1251630045"",""articles_with_PRISMA_reasons!B2:B2113""))&gt;=2),
""Exclude""
)"),"Include")</f>
        <v>Include</v>
      </c>
      <c r="E1681" s="5" t="str">
        <f>IFERROR(__xludf.DUMMYFUNCTION("IFS(
D1681=""Exclude"",""Exclude"",
AND(
FILTER(IMPORTRANGE(""https://docs.google.com/spreadsheets/d/1qpEmbGH0JjaJbUdp21-y2cPbobDbMjr09BbtdKROZWc/edit#gid=1444865654"",""articles_with_PRISMA_reasons!W2:W2113""), $A1681=IMPORTRANGE(""https://docs.google.co"&amp;"m/spreadsheets/d/1qpEmbGH0JjaJbUdp21-y2cPbobDbMjr09BbtdKROZWc/edit#gid=1444865654"",""articles_with_PRISMA_reasons!B2:B2113""))&gt;=2,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$A1681=IMPORTRANGE(""https://docs.google.com/spreadsheets/d/1qpEmbGH0JjaJbUdp21-y2cPbobDbMjr09BbtdKROZWc/edit#gid=1444865654"",""articles_with_PRISMA_reasons!B2:B2113""))&lt;2),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$A1681=IMPORTRANGE(""https://docs.google.com/spreadsheets/d/1qpEmbGH0JjaJbUdp21-y2cPbobDbMjr09Bbtd"&amp;"KROZWc/edit#gid=1444865654"",""articles_with_PRISMA_reasons!B2:B2113""))&lt;2,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$A1681=I"&amp;"MPORTRANGE(""https://docs.google.com/spreadsheets/d/1qpEmbGH0JjaJbUdp21-y2cPbobDbMjr09BbtdKROZWc/edit#gid=1444865654"",""articles_with_PRISMA_reasons!B2:B2113""))&gt;=2),
""Exclude""
)"),"Include")</f>
        <v>Include</v>
      </c>
      <c r="F1681" s="2" t="s">
        <v>8</v>
      </c>
      <c r="G1681" s="2" t="s">
        <v>17</v>
      </c>
    </row>
    <row r="1682">
      <c r="A1682" s="4" t="str">
        <f>IFERROR(__xludf.DUMMYFUNCTION("""COMPUTED_VALUE"""),"Should concomitant hydrocephalus in patients with meningomyelocele be treated more conservatively?")</f>
        <v>Should concomitant hydrocephalus in patients with meningomyelocele be treated more conservatively?</v>
      </c>
      <c r="B1682" s="5" t="str">
        <f>IFERROR(__xludf.DUMMYFUNCTION("LEFT(FILTER(IMPORTRANGE(""https://docs.google.com/spreadsheets/d/1BJSV3WBYJGRhQ6zExamkszQ5VutGIcaQqmbD9ZTVXMQ/edit#gid=1251630045"",""articles_with_PRISMA_reasons!K2:K2113""), $A1682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$A1682=IMPORTRANGE(""https://docs.google.com/spreadsheets/d/1BJSV3WBYJGRhQ6zExamkszQ5VutGIcaQqmbD9ZTVXMQ/edit#gid=1251630045"",""articles_with_PRISMA_reasons!B2:B2113"")))-1)"),"Jenny")</f>
        <v>Jenny</v>
      </c>
      <c r="C1682" s="6">
        <f>IFERROR(__xludf.DUMMYFUNCTION("FILTER(IMPORTRANGE(""https://docs.google.com/spreadsheets/d/1BJSV3WBYJGRhQ6zExamkszQ5VutGIcaQqmbD9ZTVXMQ/edit#gid=1251630045"",""articles_with_PRISMA_reasons!C2:C2113""), $A1682=IMPORTRANGE(""https://docs.google.com/spreadsheets/d/1BJSV3WBYJGRhQ6zExamkszQ"&amp;"5VutGIcaQqmbD9ZTVXMQ/edit#gid=1251630045"",""articles_with_PRISMA_reasons!B2:B2113""))"),1989.0)</f>
        <v>1989</v>
      </c>
      <c r="D1682" s="5" t="str">
        <f>IFERROR(__xludf.DUMMYFUNCTION("IFS(AND(
FILTER(IMPORTRANGE(""https://docs.google.com/spreadsheets/d/1BJSV3WBYJGRhQ6zExamkszQ5VutGIcaQqmbD9ZTVXMQ/edit#gid=1251630045"",""articles_with_PRISMA_reasons!Y2:Y2113""), $A1682=IMPORTRANGE(""https://docs.google.com/spreadsheets/d/1BJSV3WBYJGRhQ6"&amp;"zExamkszQ5VutGIcaQqmbD9ZTVXMQ/edit#gid=1251630045"",""articles_with_PRISMA_reasons!B2:B2113""))&gt;=2,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$A1682=IMPORTRANGE(""https://docs.google.com/spreadsheets/d/1BJSV3WBYJGRhQ6zExamkszQ5VutGIcaQqmbD9ZTVXMQ/edit#gid=1251630045"",""articles_with_PRISMA_reasons!B2:B2113""))&lt;2),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$A1682=IMPORTRANGE(""https://docs.google.com/spreadsheets/d/1BJSV3WBYJGRhQ6zExamkszQ5VutGIcaQqmbD9ZTVXMQ/edit#gid=1251630045"",""a"&amp;"rticles_with_PRISMA_reasons!B2:B2113""))&lt;2,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$A1682=IMPORTRANGE(""https://docs.google"&amp;".com/spreadsheets/d/1BJSV3WBYJGRhQ6zExamkszQ5VutGIcaQqmbD9ZTVXMQ/edit#gid=1251630045"",""articles_with_PRISMA_reasons!B2:B2113""))&gt;=2),
""Exclude""
)"),"Exclude")</f>
        <v>Exclude</v>
      </c>
      <c r="E1682" s="5" t="str">
        <f>IFERROR(__xludf.DUMMYFUNCTION("IFS(
D1682=""Exclude"",""Exclude"",
AND(
FILTER(IMPORTRANGE(""https://docs.google.com/spreadsheets/d/1qpEmbGH0JjaJbUdp21-y2cPbobDbMjr09BbtdKROZWc/edit#gid=1444865654"",""articles_with_PRISMA_reasons!W2:W2113""), $A1682=IMPORTRANGE(""https://docs.google.co"&amp;"m/spreadsheets/d/1qpEmbGH0JjaJbUdp21-y2cPbobDbMjr09BbtdKROZWc/edit#gid=1444865654"",""articles_with_PRISMA_reasons!B2:B2113""))&gt;=2,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$A1682=IMPORTRANGE(""https://docs.google.com/spreadsheets/d/1qpEmbGH0JjaJbUdp21-y2cPbobDbMjr09BbtdKROZWc/edit#gid=1444865654"",""articles_with_PRISMA_reasons!B2:B2113""))&lt;2),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$A1682=IMPORTRANGE(""https://docs.google.com/spreadsheets/d/1qpEmbGH0JjaJbUdp21-y2cPbobDbMjr09Bbtd"&amp;"KROZWc/edit#gid=1444865654"",""articles_with_PRISMA_reasons!B2:B2113""))&lt;2,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$A1682=I"&amp;"MPORTRANGE(""https://docs.google.com/spreadsheets/d/1qpEmbGH0JjaJbUdp21-y2cPbobDbMjr09BbtdKROZWc/edit#gid=1444865654"",""articles_with_PRISMA_reasons!B2:B2113""))&gt;=2),
""Exclude""
)"),"Exclude")</f>
        <v>Exclude</v>
      </c>
      <c r="F1682" s="5" t="str">
        <f>IFERROR(__xludf.DUMMYFUNCTION("IFS(
E1682=""Exclude"",""Exclude"",
AND(
COUNTIF(
IMPORTRANGE(""https://docs.google.com/spreadsheets/d/1kGrh75X1cNR1D7_FcY9zMnHP8iPO4M5RCRjy6nZY0TY/edit#gid=0"",""Table 1: Study characteristics!B4:B171""),A1682)&gt;0,
COUNTIF(Studies!$A$2:$A$85,FILTER(IMPORT"&amp;"RANGE(""https://docs.google.com/spreadsheets/d/1kGrh75X1cNR1D7_FcY9zMnHP8iPO4M5RCRjy6nZY0TY/edit#gid=0"",""Table 1: Study characteristics!A4:A171""), $A1682=IMPORTRANGE(""https://docs.google.com/spreadsheets/d/1kGrh75X1cNR1D7_FcY9zMnHP8iPO4M5RCRjy6nZY0TY/"&amp;"edit#gid=0"",""Table 1: Study characteristics!B4:B171"")))&gt;0
),
""Include""
)"),"Exclude")</f>
        <v>Exclude</v>
      </c>
      <c r="G1682" s="5" t="str">
        <f>IFERROR(__xludf.DUMMYFUNCTION("IFS(
D1682=""Exclude"",
FILTER(IMPORTRANGE(""https://docs.google.com/spreadsheets/d/1BJSV3WBYJGRhQ6zExamkszQ5VutGIcaQqmbD9ZTVXMQ/edit#gid=1251630045"",""articles_with_PRISMA_reasons!AB2:AB2113""), $A1682=IMPORTRANGE(""https://docs.google.com/spreadsheets/"&amp;"d/1BJSV3WBYJGRhQ6zExamkszQ5VutGIcaQqmbD9ZTVXMQ/edit#gid=1251630045"",""articles_with_PRISMA_reasons!B2:B2113"")),
E1682=""Exclude"",
FILTER(IMPORTRANGE(""https://docs.google.com/spreadsheets/d/1qpEmbGH0JjaJbUdp21-y2cPbobDbMjr09BbtdKROZWc/edit#gid=14448656"&amp;"54"",""articles_with_PRISMA_reasons!Z2:Z2113""), $A1682=IMPORTRANGE(""https://docs.google.com/spreadsheets/d/1qpEmbGH0JjaJbUdp21-y2cPbobDbMjr09BbtdKROZWc/edit#gid=1444865654"",""articles_with_PRISMA_reasons!B2:B2113"")),F1682
=""Include"",FILTER(IMPORTRAN"&amp;"GE(""https://docs.google.com/spreadsheets/d/1kGrh75X1cNR1D7_FcY9zMnHP8iPO4M5RCRjy6nZY0TY/edit#gid=0"",""Table 1: Study characteristics!A4:A171""), $A1682=IMPORTRANGE(""https://docs.google.com/spreadsheets/d/1kGrh75X1cNR1D7_FcY9zMnHP8iPO4M5RCRjy6nZY0TY/edi"&amp;"t#gid=0"",""Table 1: Study characteristics!B4:B171""))
)"),"background article")</f>
        <v>background article</v>
      </c>
    </row>
    <row r="1683">
      <c r="A1683" s="4" t="str">
        <f>IFERROR(__xludf.DUMMYFUNCTION("""COMPUTED_VALUE"""),"Shunt complications")</f>
        <v>Shunt complications</v>
      </c>
      <c r="B1683" s="5" t="str">
        <f>IFERROR(__xludf.DUMMYFUNCTION("LEFT(FILTER(IMPORTRANGE(""https://docs.google.com/spreadsheets/d/1BJSV3WBYJGRhQ6zExamkszQ5VutGIcaQqmbD9ZTVXMQ/edit#gid=1251630045"",""articles_with_PRISMA_reasons!K2:K2113""), $A1683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$A1683=IMPORTRANGE(""https://docs.google.com/spreadsheets/d/1BJSV3WBYJGRhQ6zExamkszQ5VutGIcaQqmbD9ZTVXMQ/edit#gid=1251630045"",""articles_with_PRISMA_reasons!B2:B2113"")))-1)"),"Sayers")</f>
        <v>Sayers</v>
      </c>
      <c r="C1683" s="6">
        <f>IFERROR(__xludf.DUMMYFUNCTION("FILTER(IMPORTRANGE(""https://docs.google.com/spreadsheets/d/1BJSV3WBYJGRhQ6zExamkszQ5VutGIcaQqmbD9ZTVXMQ/edit#gid=1251630045"",""articles_with_PRISMA_reasons!C2:C2113""), $A1683=IMPORTRANGE(""https://docs.google.com/spreadsheets/d/1BJSV3WBYJGRhQ6zExamkszQ"&amp;"5VutGIcaQqmbD9ZTVXMQ/edit#gid=1251630045"",""articles_with_PRISMA_reasons!B2:B2113""))"),1976.0)</f>
        <v>1976</v>
      </c>
      <c r="D1683" s="5" t="str">
        <f>IFERROR(__xludf.DUMMYFUNCTION("IFS(AND(
FILTER(IMPORTRANGE(""https://docs.google.com/spreadsheets/d/1BJSV3WBYJGRhQ6zExamkszQ5VutGIcaQqmbD9ZTVXMQ/edit#gid=1251630045"",""articles_with_PRISMA_reasons!Y2:Y2113""), $A1683=IMPORTRANGE(""https://docs.google.com/spreadsheets/d/1BJSV3WBYJGRhQ6"&amp;"zExamkszQ5VutGIcaQqmbD9ZTVXMQ/edit#gid=1251630045"",""articles_with_PRISMA_reasons!B2:B2113""))&gt;=2,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$A1683=IMPORTRANGE(""https://docs.google.com/spreadsheets/d/1BJSV3WBYJGRhQ6zExamkszQ5VutGIcaQqmbD9ZTVXMQ/edit#gid=1251630045"",""articles_with_PRISMA_reasons!B2:B2113""))&lt;2),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$A1683=IMPORTRANGE(""https://docs.google.com/spreadsheets/d/1BJSV3WBYJGRhQ6zExamkszQ5VutGIcaQqmbD9ZTVXMQ/edit#gid=1251630045"",""a"&amp;"rticles_with_PRISMA_reasons!B2:B2113""))&lt;2,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$A1683=IMPORTRANGE(""https://docs.google"&amp;".com/spreadsheets/d/1BJSV3WBYJGRhQ6zExamkszQ5VutGIcaQqmbD9ZTVXMQ/edit#gid=1251630045"",""articles_with_PRISMA_reasons!B2:B2113""))&gt;=2),
""Exclude""
)"),"Exclude")</f>
        <v>Exclude</v>
      </c>
      <c r="E1683" s="5" t="str">
        <f>IFERROR(__xludf.DUMMYFUNCTION("IFS(
D1683=""Exclude"",""Exclude"",
AND(
FILTER(IMPORTRANGE(""https://docs.google.com/spreadsheets/d/1qpEmbGH0JjaJbUdp21-y2cPbobDbMjr09BbtdKROZWc/edit#gid=1444865654"",""articles_with_PRISMA_reasons!W2:W2113""), $A1683=IMPORTRANGE(""https://docs.google.co"&amp;"m/spreadsheets/d/1qpEmbGH0JjaJbUdp21-y2cPbobDbMjr09BbtdKROZWc/edit#gid=1444865654"",""articles_with_PRISMA_reasons!B2:B2113""))&gt;=2,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$A1683=IMPORTRANGE(""https://docs.google.com/spreadsheets/d/1qpEmbGH0JjaJbUdp21-y2cPbobDbMjr09BbtdKROZWc/edit#gid=1444865654"",""articles_with_PRISMA_reasons!B2:B2113""))&lt;2),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$A1683=IMPORTRANGE(""https://docs.google.com/spreadsheets/d/1qpEmbGH0JjaJbUdp21-y2cPbobDbMjr09Bbtd"&amp;"KROZWc/edit#gid=1444865654"",""articles_with_PRISMA_reasons!B2:B2113""))&lt;2,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$A1683=I"&amp;"MPORTRANGE(""https://docs.google.com/spreadsheets/d/1qpEmbGH0JjaJbUdp21-y2cPbobDbMjr09BbtdKROZWc/edit#gid=1444865654"",""articles_with_PRISMA_reasons!B2:B2113""))&gt;=2),
""Exclude""
)"),"Exclude")</f>
        <v>Exclude</v>
      </c>
      <c r="F1683" s="5" t="str">
        <f>IFERROR(__xludf.DUMMYFUNCTION("IFS(
E1683=""Exclude"",""Exclude"",
AND(
COUNTIF(
IMPORTRANGE(""https://docs.google.com/spreadsheets/d/1kGrh75X1cNR1D7_FcY9zMnHP8iPO4M5RCRjy6nZY0TY/edit#gid=0"",""Table 1: Study characteristics!B4:B171""),A1683)&gt;0,
COUNTIF(Studies!$A$2:$A$85,FILTER(IMPORT"&amp;"RANGE(""https://docs.google.com/spreadsheets/d/1kGrh75X1cNR1D7_FcY9zMnHP8iPO4M5RCRjy6nZY0TY/edit#gid=0"",""Table 1: Study characteristics!A4:A171""), $A1683=IMPORTRANGE(""https://docs.google.com/spreadsheets/d/1kGrh75X1cNR1D7_FcY9zMnHP8iPO4M5RCRjy6nZY0TY/"&amp;"edit#gid=0"",""Table 1: Study characteristics!B4:B171"")))&gt;0
),
""Include""
)"),"Exclude")</f>
        <v>Exclude</v>
      </c>
      <c r="G1683" s="5" t="str">
        <f>IFERROR(__xludf.DUMMYFUNCTION("IFS(
D1683=""Exclude"",
FILTER(IMPORTRANGE(""https://docs.google.com/spreadsheets/d/1BJSV3WBYJGRhQ6zExamkszQ5VutGIcaQqmbD9ZTVXMQ/edit#gid=1251630045"",""articles_with_PRISMA_reasons!AB2:AB2113""), $A1683=IMPORTRANGE(""https://docs.google.com/spreadsheets/"&amp;"d/1BJSV3WBYJGRhQ6zExamkszQ5VutGIcaQqmbD9ZTVXMQ/edit#gid=1251630045"",""articles_with_PRISMA_reasons!B2:B2113"")),
E1683=""Exclude"",
FILTER(IMPORTRANGE(""https://docs.google.com/spreadsheets/d/1qpEmbGH0JjaJbUdp21-y2cPbobDbMjr09BbtdKROZWc/edit#gid=14448656"&amp;"54"",""articles_with_PRISMA_reasons!Z2:Z2113""), $A1683=IMPORTRANGE(""https://docs.google.com/spreadsheets/d/1qpEmbGH0JjaJbUdp21-y2cPbobDbMjr09BbtdKROZWc/edit#gid=1444865654"",""articles_with_PRISMA_reasons!B2:B2113"")),F1683
=""Include"",FILTER(IMPORTRAN"&amp;"GE(""https://docs.google.com/spreadsheets/d/1kGrh75X1cNR1D7_FcY9zMnHP8iPO4M5RCRjy6nZY0TY/edit#gid=0"",""Table 1: Study characteristics!A4:A171""), $A1683=IMPORTRANGE(""https://docs.google.com/spreadsheets/d/1kGrh75X1cNR1D7_FcY9zMnHP8iPO4M5RCRjy6nZY0TY/edi"&amp;"t#gid=0"",""Table 1: Study characteristics!B4:B171""))
)"),"wrong population")</f>
        <v>wrong population</v>
      </c>
    </row>
    <row r="1684">
      <c r="A1684" s="4" t="str">
        <f>IFERROR(__xludf.DUMMYFUNCTION("""COMPUTED_VALUE"""),"Shunt complications in children with myelomeningocele: Effect of timing of shunt placement - Clinical article")</f>
        <v>Shunt complications in children with myelomeningocele: Effect of timing of shunt placement - Clinical article</v>
      </c>
      <c r="B1684" s="5" t="str">
        <f>IFERROR(__xludf.DUMMYFUNCTION("LEFT(FILTER(IMPORTRANGE(""https://docs.google.com/spreadsheets/d/1BJSV3WBYJGRhQ6zExamkszQ5VutGIcaQqmbD9ZTVXMQ/edit#gid=1251630045"",""articles_with_PRISMA_reasons!K2:K2113""), $A1684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$A1684=IMPORTRANGE(""https://docs.google.com/spreadsheets/d/1BJSV3WBYJGRhQ6zExamkszQ5VutGIcaQqmbD9ZTVXMQ/edit#gid=1251630045"",""articles_with_PRISMA_reasons!B2:B2113"")))-1)"),"Ardebili")</f>
        <v>Ardebili</v>
      </c>
      <c r="C1684" s="6">
        <f>IFERROR(__xludf.DUMMYFUNCTION("FILTER(IMPORTRANGE(""https://docs.google.com/spreadsheets/d/1BJSV3WBYJGRhQ6zExamkszQ5VutGIcaQqmbD9ZTVXMQ/edit#gid=1251630045"",""articles_with_PRISMA_reasons!C2:C2113""), $A1684=IMPORTRANGE(""https://docs.google.com/spreadsheets/d/1BJSV3WBYJGRhQ6zExamkszQ"&amp;"5VutGIcaQqmbD9ZTVXMQ/edit#gid=1251630045"",""articles_with_PRISMA_reasons!B2:B2113""))"),2009.0)</f>
        <v>2009</v>
      </c>
      <c r="D1684" s="5" t="str">
        <f>IFERROR(__xludf.DUMMYFUNCTION("IFS(AND(
FILTER(IMPORTRANGE(""https://docs.google.com/spreadsheets/d/1BJSV3WBYJGRhQ6zExamkszQ5VutGIcaQqmbD9ZTVXMQ/edit#gid=1251630045"",""articles_with_PRISMA_reasons!Y2:Y2113""), $A1684=IMPORTRANGE(""https://docs.google.com/spreadsheets/d/1BJSV3WBYJGRhQ6"&amp;"zExamkszQ5VutGIcaQqmbD9ZTVXMQ/edit#gid=1251630045"",""articles_with_PRISMA_reasons!B2:B2113""))&gt;=2,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$A1684=IMPORTRANGE(""https://docs.google.com/spreadsheets/d/1BJSV3WBYJGRhQ6zExamkszQ5VutGIcaQqmbD9ZTVXMQ/edit#gid=1251630045"",""articles_with_PRISMA_reasons!B2:B2113""))&lt;2),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$A1684=IMPORTRANGE(""https://docs.google.com/spreadsheets/d/1BJSV3WBYJGRhQ6zExamkszQ5VutGIcaQqmbD9ZTVXMQ/edit#gid=1251630045"",""a"&amp;"rticles_with_PRISMA_reasons!B2:B2113""))&lt;2,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$A1684=IMPORTRANGE(""https://docs.google"&amp;".com/spreadsheets/d/1BJSV3WBYJGRhQ6zExamkszQ5VutGIcaQqmbD9ZTVXMQ/edit#gid=1251630045"",""articles_with_PRISMA_reasons!B2:B2113""))&gt;=2),
""Exclude""
)"),"Include")</f>
        <v>Include</v>
      </c>
      <c r="E1684" s="5" t="str">
        <f>IFERROR(__xludf.DUMMYFUNCTION("IFS(
D1684=""Exclude"",""Exclude"",
AND(
FILTER(IMPORTRANGE(""https://docs.google.com/spreadsheets/d/1qpEmbGH0JjaJbUdp21-y2cPbobDbMjr09BbtdKROZWc/edit#gid=1444865654"",""articles_with_PRISMA_reasons!W2:W2113""), $A1684=IMPORTRANGE(""https://docs.google.co"&amp;"m/spreadsheets/d/1qpEmbGH0JjaJbUdp21-y2cPbobDbMjr09BbtdKROZWc/edit#gid=1444865654"",""articles_with_PRISMA_reasons!B2:B2113""))&gt;=2,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$A1684=IMPORTRANGE(""https://docs.google.com/spreadsheets/d/1qpEmbGH0JjaJbUdp21-y2cPbobDbMjr09BbtdKROZWc/edit#gid=1444865654"",""articles_with_PRISMA_reasons!B2:B2113""))&lt;2),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$A1684=IMPORTRANGE(""https://docs.google.com/spreadsheets/d/1qpEmbGH0JjaJbUdp21-y2cPbobDbMjr09Bbtd"&amp;"KROZWc/edit#gid=1444865654"",""articles_with_PRISMA_reasons!B2:B2113""))&lt;2,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$A1684=I"&amp;"MPORTRANGE(""https://docs.google.com/spreadsheets/d/1qpEmbGH0JjaJbUdp21-y2cPbobDbMjr09BbtdKROZWc/edit#gid=1444865654"",""articles_with_PRISMA_reasons!B2:B2113""))&gt;=2),
""Exclude""
)"),"Include")</f>
        <v>Include</v>
      </c>
      <c r="F1684" s="2" t="s">
        <v>8</v>
      </c>
      <c r="G1684" s="2" t="s">
        <v>17</v>
      </c>
    </row>
    <row r="1685">
      <c r="A1685" s="4" t="str">
        <f>IFERROR(__xludf.DUMMYFUNCTION("""COMPUTED_VALUE"""),"Shunt complications in the first postoperative year in children with meningomyelocele")</f>
        <v>Shunt complications in the first postoperative year in children with meningomyelocele</v>
      </c>
      <c r="B1685" s="5" t="str">
        <f>IFERROR(__xludf.DUMMYFUNCTION("LEFT(FILTER(IMPORTRANGE(""https://docs.google.com/spreadsheets/d/1BJSV3WBYJGRhQ6zExamkszQ5VutGIcaQqmbD9ZTVXMQ/edit#gid=1251630045"",""articles_with_PRISMA_reasons!K2:K2113""), $A1685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$A1685=IMPORTRANGE(""https://docs.google.com/spreadsheets/d/1BJSV3WBYJGRhQ6zExamkszQ5VutGIcaQqmbD9ZTVXMQ/edit#gid=1251630045"",""articles_with_PRISMA_reasons!B2:B2113"")))-1)"),"Caldarelli")</f>
        <v>Caldarelli</v>
      </c>
      <c r="C1685" s="3">
        <v>1996.0</v>
      </c>
      <c r="D1685" s="5" t="str">
        <f>IFERROR(__xludf.DUMMYFUNCTION("IFS(AND(
FILTER(IMPORTRANGE(""https://docs.google.com/spreadsheets/d/1BJSV3WBYJGRhQ6zExamkszQ5VutGIcaQqmbD9ZTVXMQ/edit#gid=1251630045"",""articles_with_PRISMA_reasons!Y2:Y2113""), $A1685=IMPORTRANGE(""https://docs.google.com/spreadsheets/d/1BJSV3WBYJGRhQ6"&amp;"zExamkszQ5VutGIcaQqmbD9ZTVXMQ/edit#gid=1251630045"",""articles_with_PRISMA_reasons!B2:B2113""))&gt;=2,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$A1685=IMPORTRANGE(""https://docs.google.com/spreadsheets/d/1BJSV3WBYJGRhQ6zExamkszQ5VutGIcaQqmbD9ZTVXMQ/edit#gid=1251630045"",""articles_with_PRISMA_reasons!B2:B2113""))&lt;2),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$A1685=IMPORTRANGE(""https://docs.google.com/spreadsheets/d/1BJSV3WBYJGRhQ6zExamkszQ5VutGIcaQqmbD9ZTVXMQ/edit#gid=1251630045"",""a"&amp;"rticles_with_PRISMA_reasons!B2:B2113""))&lt;2,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$A1685=IMPORTRANGE(""https://docs.google"&amp;".com/spreadsheets/d/1BJSV3WBYJGRhQ6zExamkszQ5VutGIcaQqmbD9ZTVXMQ/edit#gid=1251630045"",""articles_with_PRISMA_reasons!B2:B2113""))&gt;=2),
""Exclude""
)"),"Include")</f>
        <v>Include</v>
      </c>
      <c r="E1685" s="5" t="str">
        <f>IFERROR(__xludf.DUMMYFUNCTION("IFS(
D1685=""Exclude"",""Exclude"",
AND(
FILTER(IMPORTRANGE(""https://docs.google.com/spreadsheets/d/1qpEmbGH0JjaJbUdp21-y2cPbobDbMjr09BbtdKROZWc/edit#gid=1444865654"",""articles_with_PRISMA_reasons!W2:W2113""), $A1685=IMPORTRANGE(""https://docs.google.co"&amp;"m/spreadsheets/d/1qpEmbGH0JjaJbUdp21-y2cPbobDbMjr09BbtdKROZWc/edit#gid=1444865654"",""articles_with_PRISMA_reasons!B2:B2113""))&gt;=2,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$A1685=IMPORTRANGE(""https://docs.google.com/spreadsheets/d/1qpEmbGH0JjaJbUdp21-y2cPbobDbMjr09BbtdKROZWc/edit#gid=1444865654"",""articles_with_PRISMA_reasons!B2:B2113""))&lt;2),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$A1685=IMPORTRANGE(""https://docs.google.com/spreadsheets/d/1qpEmbGH0JjaJbUdp21-y2cPbobDbMjr09Bbtd"&amp;"KROZWc/edit#gid=1444865654"",""articles_with_PRISMA_reasons!B2:B2113""))&lt;2,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$A1685=I"&amp;"MPORTRANGE(""https://docs.google.com/spreadsheets/d/1qpEmbGH0JjaJbUdp21-y2cPbobDbMjr09BbtdKROZWc/edit#gid=1444865654"",""articles_with_PRISMA_reasons!B2:B2113""))&gt;=2),
""Exclude""
)"),"Include")</f>
        <v>Include</v>
      </c>
      <c r="F1685" s="5" t="str">
        <f>IFERROR(__xludf.DUMMYFUNCTION("IFS(
E1685=""Exclude"",""Exclude"",
AND(
COUNTIF(
IMPORTRANGE(""https://docs.google.com/spreadsheets/d/1kGrh75X1cNR1D7_FcY9zMnHP8iPO4M5RCRjy6nZY0TY/edit#gid=0"",""Table 1: Study characteristics!B4:B171""),A1685)&gt;0,
COUNTIF(Studies!$A$2:$A$85,FILTER(IMPORT"&amp;"RANGE(""https://docs.google.com/spreadsheets/d/1kGrh75X1cNR1D7_FcY9zMnHP8iPO4M5RCRjy6nZY0TY/edit#gid=0"",""Table 1: Study characteristics!A4:A171""), $A1685=IMPORTRANGE(""https://docs.google.com/spreadsheets/d/1kGrh75X1cNR1D7_FcY9zMnHP8iPO4M5RCRjy6nZY0TY/"&amp;"edit#gid=0"",""Table 1: Study characteristics!B4:B171"")))&gt;0
),
""Include""
)"),"Include")</f>
        <v>Include</v>
      </c>
      <c r="G1685" s="5" t="str">
        <f>IFERROR(__xludf.DUMMYFUNCTION("IFS(
D1685=""Exclude"",
FILTER(IMPORTRANGE(""https://docs.google.com/spreadsheets/d/1BJSV3WBYJGRhQ6zExamkszQ5VutGIcaQqmbD9ZTVXMQ/edit#gid=1251630045"",""articles_with_PRISMA_reasons!AB2:AB2113""), $A1685=IMPORTRANGE(""https://docs.google.com/spreadsheets/"&amp;"d/1BJSV3WBYJGRhQ6zExamkszQ5VutGIcaQqmbD9ZTVXMQ/edit#gid=1251630045"",""articles_with_PRISMA_reasons!B2:B2113"")),
E1685=""Exclude"",
FILTER(IMPORTRANGE(""https://docs.google.com/spreadsheets/d/1qpEmbGH0JjaJbUdp21-y2cPbobDbMjr09BbtdKROZWc/edit#gid=14448656"&amp;"54"",""articles_with_PRISMA_reasons!Z2:Z2113""), $A1685=IMPORTRANGE(""https://docs.google.com/spreadsheets/d/1qpEmbGH0JjaJbUdp21-y2cPbobDbMjr09BbtdKROZWc/edit#gid=1444865654"",""articles_with_PRISMA_reasons!B2:B2113"")),F1685
=""Include"",FILTER(IMPORTRAN"&amp;"GE(""https://docs.google.com/spreadsheets/d/1kGrh75X1cNR1D7_FcY9zMnHP8iPO4M5RCRjy6nZY0TY/edit#gid=0"",""Table 1: Study characteristics!A4:A171""), $A1685=IMPORTRANGE(""https://docs.google.com/spreadsheets/d/1kGrh75X1cNR1D7_FcY9zMnHP8iPO4M5RCRjy6nZY0TY/edi"&amp;"t#gid=0"",""Table 1: Study characteristics!B4:B171""))
)"),"ID 126")</f>
        <v>ID 126</v>
      </c>
    </row>
    <row r="1686">
      <c r="A1686" s="4" t="str">
        <f>IFERROR(__xludf.DUMMYFUNCTION("""COMPUTED_VALUE"""),"Shunt complications in the first postoperative year in children with meningomyelocele")</f>
        <v>Shunt complications in the first postoperative year in children with meningomyelocele</v>
      </c>
      <c r="B1686" s="5" t="str">
        <f>IFERROR(__xludf.DUMMYFUNCTION("LEFT(FILTER(IMPORTRANGE(""https://docs.google.com/spreadsheets/d/1BJSV3WBYJGRhQ6zExamkszQ5VutGIcaQqmbD9ZTVXMQ/edit#gid=1251630045"",""articles_with_PRISMA_reasons!K2:K2113""), $A1686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$A1686=IMPORTRANGE(""https://docs.google.com/spreadsheets/d/1BJSV3WBYJGRhQ6zExamkszQ5VutGIcaQqmbD9ZTVXMQ/edit#gid=1251630045"",""articles_with_PRISMA_reasons!B2:B2113"")))-1)"),"Caldarelli")</f>
        <v>Caldarelli</v>
      </c>
      <c r="C1686" s="3">
        <v>1996.0</v>
      </c>
      <c r="D1686" s="2" t="s">
        <v>8</v>
      </c>
      <c r="E1686" s="5" t="str">
        <f>IFERROR(__xludf.DUMMYFUNCTION("IFS(
D1686=""Exclude"",""Exclude"",
AND(
FILTER(IMPORTRANGE(""https://docs.google.com/spreadsheets/d/1qpEmbGH0JjaJbUdp21-y2cPbobDbMjr09BbtdKROZWc/edit#gid=1444865654"",""articles_with_PRISMA_reasons!W2:W2113""), $A1686=IMPORTRANGE(""https://docs.google.co"&amp;"m/spreadsheets/d/1qpEmbGH0JjaJbUdp21-y2cPbobDbMjr09BbtdKROZWc/edit#gid=1444865654"",""articles_with_PRISMA_reasons!B2:B2113""))&gt;=2,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$A1686=IMPORTRANGE(""https://docs.google.com/spreadsheets/d/1qpEmbGH0JjaJbUdp21-y2cPbobDbMjr09BbtdKROZWc/edit#gid=1444865654"",""articles_with_PRISMA_reasons!B2:B2113""))&lt;2),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$A1686=IMPORTRANGE(""https://docs.google.com/spreadsheets/d/1qpEmbGH0JjaJbUdp21-y2cPbobDbMjr09Bbtd"&amp;"KROZWc/edit#gid=1444865654"",""articles_with_PRISMA_reasons!B2:B2113""))&lt;2,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$A1686=I"&amp;"MPORTRANGE(""https://docs.google.com/spreadsheets/d/1qpEmbGH0JjaJbUdp21-y2cPbobDbMjr09BbtdKROZWc/edit#gid=1444865654"",""articles_with_PRISMA_reasons!B2:B2113""))&gt;=2),
""Exclude""
)"),"Exclude")</f>
        <v>Exclude</v>
      </c>
      <c r="F1686" s="5" t="str">
        <f>IFERROR(__xludf.DUMMYFUNCTION("IFS(
E1686=""Exclude"",""Exclude"",
AND(
COUNTIF(
IMPORTRANGE(""https://docs.google.com/spreadsheets/d/1kGrh75X1cNR1D7_FcY9zMnHP8iPO4M5RCRjy6nZY0TY/edit#gid=0"",""Table 1: Study characteristics!B4:B171""),A1686)&gt;0,
COUNTIF(Studies!$A$2:$A$85,FILTER(IMPORT"&amp;"RANGE(""https://docs.google.com/spreadsheets/d/1kGrh75X1cNR1D7_FcY9zMnHP8iPO4M5RCRjy6nZY0TY/edit#gid=0"",""Table 1: Study characteristics!A4:A171""), $A1686=IMPORTRANGE(""https://docs.google.com/spreadsheets/d/1kGrh75X1cNR1D7_FcY9zMnHP8iPO4M5RCRjy6nZY0TY/"&amp;"edit#gid=0"",""Table 1: Study characteristics!B4:B171"")))&gt;0
),
""Include""
)"),"Exclude")</f>
        <v>Exclude</v>
      </c>
      <c r="G1686" s="2" t="s">
        <v>13</v>
      </c>
    </row>
    <row r="1687">
      <c r="A1687" s="4" t="str">
        <f>IFERROR(__xludf.DUMMYFUNCTION("""COMPUTED_VALUE"""),"Shunt dysfunction and constipation: could there be a link?")</f>
        <v>Shunt dysfunction and constipation: could there be a link?</v>
      </c>
      <c r="B1687" s="5" t="str">
        <f>IFERROR(__xludf.DUMMYFUNCTION("LEFT(FILTER(IMPORTRANGE(""https://docs.google.com/spreadsheets/d/1BJSV3WBYJGRhQ6zExamkszQ5VutGIcaQqmbD9ZTVXMQ/edit#gid=1251630045"",""articles_with_PRISMA_reasons!K2:K2113""), $A1687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$A1687=IMPORTRANGE(""https://docs.google.com/spreadsheets/d/1BJSV3WBYJGRhQ6zExamkszQ5VutGIcaQqmbD9ZTVXMQ/edit#gid=1251630045"",""articles_with_PRISMA_reasons!B2:B2113"")))-1)"),"Bragg")</f>
        <v>Bragg</v>
      </c>
      <c r="C1687" s="6">
        <f>IFERROR(__xludf.DUMMYFUNCTION("FILTER(IMPORTRANGE(""https://docs.google.com/spreadsheets/d/1BJSV3WBYJGRhQ6zExamkszQ5VutGIcaQqmbD9ZTVXMQ/edit#gid=1251630045"",""articles_with_PRISMA_reasons!C2:C2113""), $A1687=IMPORTRANGE(""https://docs.google.com/spreadsheets/d/1BJSV3WBYJGRhQ6zExamkszQ"&amp;"5VutGIcaQqmbD9ZTVXMQ/edit#gid=1251630045"",""articles_with_PRISMA_reasons!B2:B2113""))"),1994.0)</f>
        <v>1994</v>
      </c>
      <c r="D1687" s="5" t="str">
        <f>IFERROR(__xludf.DUMMYFUNCTION("IFS(AND(
FILTER(IMPORTRANGE(""https://docs.google.com/spreadsheets/d/1BJSV3WBYJGRhQ6zExamkszQ5VutGIcaQqmbD9ZTVXMQ/edit#gid=1251630045"",""articles_with_PRISMA_reasons!Y2:Y2113""), $A1687=IMPORTRANGE(""https://docs.google.com/spreadsheets/d/1BJSV3WBYJGRhQ6"&amp;"zExamkszQ5VutGIcaQqmbD9ZTVXMQ/edit#gid=1251630045"",""articles_with_PRISMA_reasons!B2:B2113""))&gt;=2,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$A1687=IMPORTRANGE(""https://docs.google.com/spreadsheets/d/1BJSV3WBYJGRhQ6zExamkszQ5VutGIcaQqmbD9ZTVXMQ/edit#gid=1251630045"",""articles_with_PRISMA_reasons!B2:B2113""))&lt;2),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$A1687=IMPORTRANGE(""https://docs.google.com/spreadsheets/d/1BJSV3WBYJGRhQ6zExamkszQ5VutGIcaQqmbD9ZTVXMQ/edit#gid=1251630045"",""a"&amp;"rticles_with_PRISMA_reasons!B2:B2113""))&lt;2,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$A1687=IMPORTRANGE(""https://docs.google"&amp;".com/spreadsheets/d/1BJSV3WBYJGRhQ6zExamkszQ5VutGIcaQqmbD9ZTVXMQ/edit#gid=1251630045"",""articles_with_PRISMA_reasons!B2:B2113""))&gt;=2),
""Exclude""
)"),"Exclude")</f>
        <v>Exclude</v>
      </c>
      <c r="E1687" s="5" t="str">
        <f>IFERROR(__xludf.DUMMYFUNCTION("IFS(
D1687=""Exclude"",""Exclude"",
AND(
FILTER(IMPORTRANGE(""https://docs.google.com/spreadsheets/d/1qpEmbGH0JjaJbUdp21-y2cPbobDbMjr09BbtdKROZWc/edit#gid=1444865654"",""articles_with_PRISMA_reasons!W2:W2113""), $A1687=IMPORTRANGE(""https://docs.google.co"&amp;"m/spreadsheets/d/1qpEmbGH0JjaJbUdp21-y2cPbobDbMjr09BbtdKROZWc/edit#gid=1444865654"",""articles_with_PRISMA_reasons!B2:B2113""))&gt;=2,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$A1687=IMPORTRANGE(""https://docs.google.com/spreadsheets/d/1qpEmbGH0JjaJbUdp21-y2cPbobDbMjr09BbtdKROZWc/edit#gid=1444865654"",""articles_with_PRISMA_reasons!B2:B2113""))&lt;2),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$A1687=IMPORTRANGE(""https://docs.google.com/spreadsheets/d/1qpEmbGH0JjaJbUdp21-y2cPbobDbMjr09Bbtd"&amp;"KROZWc/edit#gid=1444865654"",""articles_with_PRISMA_reasons!B2:B2113""))&lt;2,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$A1687=I"&amp;"MPORTRANGE(""https://docs.google.com/spreadsheets/d/1qpEmbGH0JjaJbUdp21-y2cPbobDbMjr09BbtdKROZWc/edit#gid=1444865654"",""articles_with_PRISMA_reasons!B2:B2113""))&gt;=2),
""Exclude""
)"),"Exclude")</f>
        <v>Exclude</v>
      </c>
      <c r="F1687" s="5" t="str">
        <f>IFERROR(__xludf.DUMMYFUNCTION("IFS(
E1687=""Exclude"",""Exclude"",
AND(
COUNTIF(
IMPORTRANGE(""https://docs.google.com/spreadsheets/d/1kGrh75X1cNR1D7_FcY9zMnHP8iPO4M5RCRjy6nZY0TY/edit#gid=0"",""Table 1: Study characteristics!B4:B171""),A1687)&gt;0,
COUNTIF(Studies!$A$2:$A$85,FILTER(IMPORT"&amp;"RANGE(""https://docs.google.com/spreadsheets/d/1kGrh75X1cNR1D7_FcY9zMnHP8iPO4M5RCRjy6nZY0TY/edit#gid=0"",""Table 1: Study characteristics!A4:A171""), $A1687=IMPORTRANGE(""https://docs.google.com/spreadsheets/d/1kGrh75X1cNR1D7_FcY9zMnHP8iPO4M5RCRjy6nZY0TY/"&amp;"edit#gid=0"",""Table 1: Study characteristics!B4:B171"")))&gt;0
),
""Include""
)"),"Exclude")</f>
        <v>Exclude</v>
      </c>
      <c r="G1687" s="5" t="str">
        <f>IFERROR(__xludf.DUMMYFUNCTION("IFS(
D1687=""Exclude"",
FILTER(IMPORTRANGE(""https://docs.google.com/spreadsheets/d/1BJSV3WBYJGRhQ6zExamkszQ5VutGIcaQqmbD9ZTVXMQ/edit#gid=1251630045"",""articles_with_PRISMA_reasons!AB2:AB2113""), $A1687=IMPORTRANGE(""https://docs.google.com/spreadsheets/"&amp;"d/1BJSV3WBYJGRhQ6zExamkszQ5VutGIcaQqmbD9ZTVXMQ/edit#gid=1251630045"",""articles_with_PRISMA_reasons!B2:B2113"")),
E1687=""Exclude"",
FILTER(IMPORTRANGE(""https://docs.google.com/spreadsheets/d/1qpEmbGH0JjaJbUdp21-y2cPbobDbMjr09BbtdKROZWc/edit#gid=14448656"&amp;"54"",""articles_with_PRISMA_reasons!Z2:Z2113""), $A1687=IMPORTRANGE(""https://docs.google.com/spreadsheets/d/1qpEmbGH0JjaJbUdp21-y2cPbobDbMjr09BbtdKROZWc/edit#gid=1444865654"",""articles_with_PRISMA_reasons!B2:B2113"")),F1687
=""Include"",FILTER(IMPORTRAN"&amp;"GE(""https://docs.google.com/spreadsheets/d/1kGrh75X1cNR1D7_FcY9zMnHP8iPO4M5RCRjy6nZY0TY/edit#gid=0"",""Table 1: Study characteristics!A4:A171""), $A1687=IMPORTRANGE(""https://docs.google.com/spreadsheets/d/1kGrh75X1cNR1D7_FcY9zMnHP8iPO4M5RCRjy6nZY0TY/edi"&amp;"t#gid=0"",""Table 1: Study characteristics!B4:B171""))
)"),"wrong publication type")</f>
        <v>wrong publication type</v>
      </c>
    </row>
    <row r="1688">
      <c r="A1688" s="4" t="str">
        <f>IFERROR(__xludf.DUMMYFUNCTION("""COMPUTED_VALUE"""),"Shunt failure clusters: An analysis of multiple, frequent shunt failures")</f>
        <v>Shunt failure clusters: An analysis of multiple, frequent shunt failures</v>
      </c>
      <c r="B1688" s="5" t="str">
        <f>IFERROR(__xludf.DUMMYFUNCTION("LEFT(FILTER(IMPORTRANGE(""https://docs.google.com/spreadsheets/d/1BJSV3WBYJGRhQ6zExamkszQ5VutGIcaQqmbD9ZTVXMQ/edit#gid=1251630045"",""articles_with_PRISMA_reasons!K2:K2113""), $A1688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$A1688=IMPORTRANGE(""https://docs.google.com/spreadsheets/d/1BJSV3WBYJGRhQ6zExamkszQ5VutGIcaQqmbD9ZTVXMQ/edit#gid=1251630045"",""articles_with_PRISMA_reasons!B2:B2113"")))-1)"),"Rocque")</f>
        <v>Rocque</v>
      </c>
      <c r="C1688" s="6">
        <f>IFERROR(__xludf.DUMMYFUNCTION("FILTER(IMPORTRANGE(""https://docs.google.com/spreadsheets/d/1BJSV3WBYJGRhQ6zExamkszQ5VutGIcaQqmbD9ZTVXMQ/edit#gid=1251630045"",""articles_with_PRISMA_reasons!C2:C2113""), $A1688=IMPORTRANGE(""https://docs.google.com/spreadsheets/d/1BJSV3WBYJGRhQ6zExamkszQ"&amp;"5VutGIcaQqmbD9ZTVXMQ/edit#gid=1251630045"",""articles_with_PRISMA_reasons!B2:B2113""))"),2021.0)</f>
        <v>2021</v>
      </c>
      <c r="D1688" s="5" t="str">
        <f>IFERROR(__xludf.DUMMYFUNCTION("IFS(AND(
FILTER(IMPORTRANGE(""https://docs.google.com/spreadsheets/d/1BJSV3WBYJGRhQ6zExamkszQ5VutGIcaQqmbD9ZTVXMQ/edit#gid=1251630045"",""articles_with_PRISMA_reasons!Y2:Y2113""), $A1688=IMPORTRANGE(""https://docs.google.com/spreadsheets/d/1BJSV3WBYJGRhQ6"&amp;"zExamkszQ5VutGIcaQqmbD9ZTVXMQ/edit#gid=1251630045"",""articles_with_PRISMA_reasons!B2:B2113""))&gt;=2,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$A1688=IMPORTRANGE(""https://docs.google.com/spreadsheets/d/1BJSV3WBYJGRhQ6zExamkszQ5VutGIcaQqmbD9ZTVXMQ/edit#gid=1251630045"",""articles_with_PRISMA_reasons!B2:B2113""))&lt;2),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$A1688=IMPORTRANGE(""https://docs.google.com/spreadsheets/d/1BJSV3WBYJGRhQ6zExamkszQ5VutGIcaQqmbD9ZTVXMQ/edit#gid=1251630045"",""a"&amp;"rticles_with_PRISMA_reasons!B2:B2113""))&lt;2,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$A1688=IMPORTRANGE(""https://docs.google"&amp;".com/spreadsheets/d/1BJSV3WBYJGRhQ6zExamkszQ5VutGIcaQqmbD9ZTVXMQ/edit#gid=1251630045"",""articles_with_PRISMA_reasons!B2:B2113""))&gt;=2),
""Exclude""
)"),"Include")</f>
        <v>Include</v>
      </c>
      <c r="E1688" s="5" t="str">
        <f>IFERROR(__xludf.DUMMYFUNCTION("IFS(
D1688=""Exclude"",""Exclude"",
AND(
FILTER(IMPORTRANGE(""https://docs.google.com/spreadsheets/d/1qpEmbGH0JjaJbUdp21-y2cPbobDbMjr09BbtdKROZWc/edit#gid=1444865654"",""articles_with_PRISMA_reasons!W2:W2113""), $A1688=IMPORTRANGE(""https://docs.google.co"&amp;"m/spreadsheets/d/1qpEmbGH0JjaJbUdp21-y2cPbobDbMjr09BbtdKROZWc/edit#gid=1444865654"",""articles_with_PRISMA_reasons!B2:B2113""))&gt;=2,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$A1688=IMPORTRANGE(""https://docs.google.com/spreadsheets/d/1qpEmbGH0JjaJbUdp21-y2cPbobDbMjr09BbtdKROZWc/edit#gid=1444865654"",""articles_with_PRISMA_reasons!B2:B2113""))&lt;2),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$A1688=IMPORTRANGE(""https://docs.google.com/spreadsheets/d/1qpEmbGH0JjaJbUdp21-y2cPbobDbMjr09Bbtd"&amp;"KROZWc/edit#gid=1444865654"",""articles_with_PRISMA_reasons!B2:B2113""))&lt;2,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$A1688=I"&amp;"MPORTRANGE(""https://docs.google.com/spreadsheets/d/1qpEmbGH0JjaJbUdp21-y2cPbobDbMjr09BbtdKROZWc/edit#gid=1444865654"",""articles_with_PRISMA_reasons!B2:B2113""))&gt;=2),
""Exclude""
)"),"Include")</f>
        <v>Include</v>
      </c>
      <c r="F1688" s="2" t="s">
        <v>8</v>
      </c>
      <c r="G1688" s="2" t="s">
        <v>17</v>
      </c>
    </row>
    <row r="1689">
      <c r="A1689" s="4" t="str">
        <f>IFERROR(__xludf.DUMMYFUNCTION("""COMPUTED_VALUE"""),"Shunt fracture following correction of spinal deformity: Case illustration")</f>
        <v>Shunt fracture following correction of spinal deformity: Case illustration</v>
      </c>
      <c r="B1689" s="5" t="str">
        <f>IFERROR(__xludf.DUMMYFUNCTION("LEFT(FILTER(IMPORTRANGE(""https://docs.google.com/spreadsheets/d/1BJSV3WBYJGRhQ6zExamkszQ5VutGIcaQqmbD9ZTVXMQ/edit#gid=1251630045"",""articles_with_PRISMA_reasons!K2:K2113""), $A1689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$A1689=IMPORTRANGE(""https://docs.google.com/spreadsheets/d/1BJSV3WBYJGRhQ6zExamkszQ5VutGIcaQqmbD9ZTVXMQ/edit#gid=1251630045"",""articles_with_PRISMA_reasons!B2:B2113"")))-1)"),"Hoover")</f>
        <v>Hoover</v>
      </c>
      <c r="C1689" s="6">
        <f>IFERROR(__xludf.DUMMYFUNCTION("FILTER(IMPORTRANGE(""https://docs.google.com/spreadsheets/d/1BJSV3WBYJGRhQ6zExamkszQ5VutGIcaQqmbD9ZTVXMQ/edit#gid=1251630045"",""articles_with_PRISMA_reasons!C2:C2113""), $A1689=IMPORTRANGE(""https://docs.google.com/spreadsheets/d/1BJSV3WBYJGRhQ6zExamkszQ"&amp;"5VutGIcaQqmbD9ZTVXMQ/edit#gid=1251630045"",""articles_with_PRISMA_reasons!B2:B2113""))"),2000.0)</f>
        <v>2000</v>
      </c>
      <c r="D1689" s="5" t="str">
        <f>IFERROR(__xludf.DUMMYFUNCTION("IFS(AND(
FILTER(IMPORTRANGE(""https://docs.google.com/spreadsheets/d/1BJSV3WBYJGRhQ6zExamkszQ5VutGIcaQqmbD9ZTVXMQ/edit#gid=1251630045"",""articles_with_PRISMA_reasons!Y2:Y2113""), $A1689=IMPORTRANGE(""https://docs.google.com/spreadsheets/d/1BJSV3WBYJGRhQ6"&amp;"zExamkszQ5VutGIcaQqmbD9ZTVXMQ/edit#gid=1251630045"",""articles_with_PRISMA_reasons!B2:B2113""))&gt;=2,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$A1689=IMPORTRANGE(""https://docs.google.com/spreadsheets/d/1BJSV3WBYJGRhQ6zExamkszQ5VutGIcaQqmbD9ZTVXMQ/edit#gid=1251630045"",""articles_with_PRISMA_reasons!B2:B2113""))&lt;2),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$A1689=IMPORTRANGE(""https://docs.google.com/spreadsheets/d/1BJSV3WBYJGRhQ6zExamkszQ5VutGIcaQqmbD9ZTVXMQ/edit#gid=1251630045"",""a"&amp;"rticles_with_PRISMA_reasons!B2:B2113""))&lt;2,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$A1689=IMPORTRANGE(""https://docs.google"&amp;".com/spreadsheets/d/1BJSV3WBYJGRhQ6zExamkszQ5VutGIcaQqmbD9ZTVXMQ/edit#gid=1251630045"",""articles_with_PRISMA_reasons!B2:B2113""))&gt;=2),
""Exclude""
)"),"Exclude")</f>
        <v>Exclude</v>
      </c>
      <c r="E1689" s="5" t="str">
        <f>IFERROR(__xludf.DUMMYFUNCTION("IFS(
D1689=""Exclude"",""Exclude"",
AND(
FILTER(IMPORTRANGE(""https://docs.google.com/spreadsheets/d/1qpEmbGH0JjaJbUdp21-y2cPbobDbMjr09BbtdKROZWc/edit#gid=1444865654"",""articles_with_PRISMA_reasons!W2:W2113""), $A1689=IMPORTRANGE(""https://docs.google.co"&amp;"m/spreadsheets/d/1qpEmbGH0JjaJbUdp21-y2cPbobDbMjr09BbtdKROZWc/edit#gid=1444865654"",""articles_with_PRISMA_reasons!B2:B2113""))&gt;=2,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$A1689=IMPORTRANGE(""https://docs.google.com/spreadsheets/d/1qpEmbGH0JjaJbUdp21-y2cPbobDbMjr09BbtdKROZWc/edit#gid=1444865654"",""articles_with_PRISMA_reasons!B2:B2113""))&lt;2),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$A1689=IMPORTRANGE(""https://docs.google.com/spreadsheets/d/1qpEmbGH0JjaJbUdp21-y2cPbobDbMjr09Bbtd"&amp;"KROZWc/edit#gid=1444865654"",""articles_with_PRISMA_reasons!B2:B2113""))&lt;2,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$A1689=I"&amp;"MPORTRANGE(""https://docs.google.com/spreadsheets/d/1qpEmbGH0JjaJbUdp21-y2cPbobDbMjr09BbtdKROZWc/edit#gid=1444865654"",""articles_with_PRISMA_reasons!B2:B2113""))&gt;=2),
""Exclude""
)"),"Exclude")</f>
        <v>Exclude</v>
      </c>
      <c r="F1689" s="5" t="str">
        <f>IFERROR(__xludf.DUMMYFUNCTION("IFS(
E1689=""Exclude"",""Exclude"",
AND(
COUNTIF(
IMPORTRANGE(""https://docs.google.com/spreadsheets/d/1kGrh75X1cNR1D7_FcY9zMnHP8iPO4M5RCRjy6nZY0TY/edit#gid=0"",""Table 1: Study characteristics!B4:B171""),A1689)&gt;0,
COUNTIF(Studies!$A$2:$A$85,FILTER(IMPORT"&amp;"RANGE(""https://docs.google.com/spreadsheets/d/1kGrh75X1cNR1D7_FcY9zMnHP8iPO4M5RCRjy6nZY0TY/edit#gid=0"",""Table 1: Study characteristics!A4:A171""), $A1689=IMPORTRANGE(""https://docs.google.com/spreadsheets/d/1kGrh75X1cNR1D7_FcY9zMnHP8iPO4M5RCRjy6nZY0TY/"&amp;"edit#gid=0"",""Table 1: Study characteristics!B4:B171"")))&gt;0
),
""Include""
)"),"Exclude")</f>
        <v>Exclude</v>
      </c>
      <c r="G1689" s="5" t="str">
        <f>IFERROR(__xludf.DUMMYFUNCTION("IFS(
D1689=""Exclude"",
FILTER(IMPORTRANGE(""https://docs.google.com/spreadsheets/d/1BJSV3WBYJGRhQ6zExamkszQ5VutGIcaQqmbD9ZTVXMQ/edit#gid=1251630045"",""articles_with_PRISMA_reasons!AB2:AB2113""), $A1689=IMPORTRANGE(""https://docs.google.com/spreadsheets/"&amp;"d/1BJSV3WBYJGRhQ6zExamkszQ5VutGIcaQqmbD9ZTVXMQ/edit#gid=1251630045"",""articles_with_PRISMA_reasons!B2:B2113"")),
E1689=""Exclude"",
FILTER(IMPORTRANGE(""https://docs.google.com/spreadsheets/d/1qpEmbGH0JjaJbUdp21-y2cPbobDbMjr09BbtdKROZWc/edit#gid=14448656"&amp;"54"",""articles_with_PRISMA_reasons!Z2:Z2113""), $A1689=IMPORTRANGE(""https://docs.google.com/spreadsheets/d/1qpEmbGH0JjaJbUdp21-y2cPbobDbMjr09BbtdKROZWc/edit#gid=1444865654"",""articles_with_PRISMA_reasons!B2:B2113"")),F1689
=""Include"",FILTER(IMPORTRAN"&amp;"GE(""https://docs.google.com/spreadsheets/d/1kGrh75X1cNR1D7_FcY9zMnHP8iPO4M5RCRjy6nZY0TY/edit#gid=0"",""Table 1: Study characteristics!A4:A171""), $A1689=IMPORTRANGE(""https://docs.google.com/spreadsheets/d/1kGrh75X1cNR1D7_FcY9zMnHP8iPO4M5RCRjy6nZY0TY/edi"&amp;"t#gid=0"",""Table 1: Study characteristics!B4:B171""))
)"),"wrong study design")</f>
        <v>wrong study design</v>
      </c>
    </row>
    <row r="1690">
      <c r="A1690" s="4" t="str">
        <f>IFERROR(__xludf.DUMMYFUNCTION("""COMPUTED_VALUE"""),"Shunt infection and malfunction in patients with myelomeningocele")</f>
        <v>Shunt infection and malfunction in patients with myelomeningocele</v>
      </c>
      <c r="B1690" s="5" t="str">
        <f>IFERROR(__xludf.DUMMYFUNCTION("LEFT(FILTER(IMPORTRANGE(""https://docs.google.com/spreadsheets/d/1BJSV3WBYJGRhQ6zExamkszQ5VutGIcaQqmbD9ZTVXMQ/edit#gid=1251630045"",""articles_with_PRISMA_reasons!K2:K2113""), $A1690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$A1690=IMPORTRANGE(""https://docs.google.com/spreadsheets/d/1BJSV3WBYJGRhQ6zExamkszQ5VutGIcaQqmbD9ZTVXMQ/edit#gid=1251630045"",""articles_with_PRISMA_reasons!B2:B2113"")))-1)"),"White")</f>
        <v>White</v>
      </c>
      <c r="C1690" s="6">
        <f>IFERROR(__xludf.DUMMYFUNCTION("FILTER(IMPORTRANGE(""https://docs.google.com/spreadsheets/d/1BJSV3WBYJGRhQ6zExamkszQ5VutGIcaQqmbD9ZTVXMQ/edit#gid=1251630045"",""articles_with_PRISMA_reasons!C2:C2113""), $A1690=IMPORTRANGE(""https://docs.google.com/spreadsheets/d/1BJSV3WBYJGRhQ6zExamkszQ"&amp;"5VutGIcaQqmbD9ZTVXMQ/edit#gid=1251630045"",""articles_with_PRISMA_reasons!B2:B2113""))"),2021.0)</f>
        <v>2021</v>
      </c>
      <c r="D1690" s="5" t="str">
        <f>IFERROR(__xludf.DUMMYFUNCTION("IFS(AND(
FILTER(IMPORTRANGE(""https://docs.google.com/spreadsheets/d/1BJSV3WBYJGRhQ6zExamkszQ5VutGIcaQqmbD9ZTVXMQ/edit#gid=1251630045"",""articles_with_PRISMA_reasons!Y2:Y2113""), $A1690=IMPORTRANGE(""https://docs.google.com/spreadsheets/d/1BJSV3WBYJGRhQ6"&amp;"zExamkszQ5VutGIcaQqmbD9ZTVXMQ/edit#gid=1251630045"",""articles_with_PRISMA_reasons!B2:B2113""))&gt;=2,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$A1690=IMPORTRANGE(""https://docs.google.com/spreadsheets/d/1BJSV3WBYJGRhQ6zExamkszQ5VutGIcaQqmbD9ZTVXMQ/edit#gid=1251630045"",""articles_with_PRISMA_reasons!B2:B2113""))&lt;2),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$A1690=IMPORTRANGE(""https://docs.google.com/spreadsheets/d/1BJSV3WBYJGRhQ6zExamkszQ5VutGIcaQqmbD9ZTVXMQ/edit#gid=1251630045"",""a"&amp;"rticles_with_PRISMA_reasons!B2:B2113""))&lt;2,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$A1690=IMPORTRANGE(""https://docs.google"&amp;".com/spreadsheets/d/1BJSV3WBYJGRhQ6zExamkszQ5VutGIcaQqmbD9ZTVXMQ/edit#gid=1251630045"",""articles_with_PRISMA_reasons!B2:B2113""))&gt;=2),
""Exclude""
)"),"Exclude")</f>
        <v>Exclude</v>
      </c>
      <c r="E1690" s="5" t="str">
        <f>IFERROR(__xludf.DUMMYFUNCTION("IFS(
D1690=""Exclude"",""Exclude"",
AND(
FILTER(IMPORTRANGE(""https://docs.google.com/spreadsheets/d/1qpEmbGH0JjaJbUdp21-y2cPbobDbMjr09BbtdKROZWc/edit#gid=1444865654"",""articles_with_PRISMA_reasons!W2:W2113""), $A1690=IMPORTRANGE(""https://docs.google.co"&amp;"m/spreadsheets/d/1qpEmbGH0JjaJbUdp21-y2cPbobDbMjr09BbtdKROZWc/edit#gid=1444865654"",""articles_with_PRISMA_reasons!B2:B2113""))&gt;=2,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$A1690=IMPORTRANGE(""https://docs.google.com/spreadsheets/d/1qpEmbGH0JjaJbUdp21-y2cPbobDbMjr09BbtdKROZWc/edit#gid=1444865654"",""articles_with_PRISMA_reasons!B2:B2113""))&lt;2),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$A1690=IMPORTRANGE(""https://docs.google.com/spreadsheets/d/1qpEmbGH0JjaJbUdp21-y2cPbobDbMjr09Bbtd"&amp;"KROZWc/edit#gid=1444865654"",""articles_with_PRISMA_reasons!B2:B2113""))&lt;2,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$A1690=I"&amp;"MPORTRANGE(""https://docs.google.com/spreadsheets/d/1qpEmbGH0JjaJbUdp21-y2cPbobDbMjr09BbtdKROZWc/edit#gid=1444865654"",""articles_with_PRISMA_reasons!B2:B2113""))&gt;=2),
""Exclude""
)"),"Exclude")</f>
        <v>Exclude</v>
      </c>
      <c r="F1690" s="5" t="str">
        <f>IFERROR(__xludf.DUMMYFUNCTION("IFS(
E1690=""Exclude"",""Exclude"",
AND(
COUNTIF(
IMPORTRANGE(""https://docs.google.com/spreadsheets/d/1kGrh75X1cNR1D7_FcY9zMnHP8iPO4M5RCRjy6nZY0TY/edit#gid=0"",""Table 1: Study characteristics!B4:B171""),A1690)&gt;0,
COUNTIF(Studies!$A$2:$A$85,FILTER(IMPORT"&amp;"RANGE(""https://docs.google.com/spreadsheets/d/1kGrh75X1cNR1D7_FcY9zMnHP8iPO4M5RCRjy6nZY0TY/edit#gid=0"",""Table 1: Study characteristics!A4:A171""), $A1690=IMPORTRANGE(""https://docs.google.com/spreadsheets/d/1kGrh75X1cNR1D7_FcY9zMnHP8iPO4M5RCRjy6nZY0TY/"&amp;"edit#gid=0"",""Table 1: Study characteristics!B4:B171"")))&gt;0
),
""Include""
)"),"Exclude")</f>
        <v>Exclude</v>
      </c>
      <c r="G1690" s="5" t="str">
        <f>IFERROR(__xludf.DUMMYFUNCTION("IFS(
D1690=""Exclude"",
FILTER(IMPORTRANGE(""https://docs.google.com/spreadsheets/d/1BJSV3WBYJGRhQ6zExamkszQ5VutGIcaQqmbD9ZTVXMQ/edit#gid=1251630045"",""articles_with_PRISMA_reasons!AB2:AB2113""), $A1690=IMPORTRANGE(""https://docs.google.com/spreadsheets/"&amp;"d/1BJSV3WBYJGRhQ6zExamkszQ5VutGIcaQqmbD9ZTVXMQ/edit#gid=1251630045"",""articles_with_PRISMA_reasons!B2:B2113"")),
E1690=""Exclude"",
FILTER(IMPORTRANGE(""https://docs.google.com/spreadsheets/d/1qpEmbGH0JjaJbUdp21-y2cPbobDbMjr09BbtdKROZWc/edit#gid=14448656"&amp;"54"",""articles_with_PRISMA_reasons!Z2:Z2113""), $A1690=IMPORTRANGE(""https://docs.google.com/spreadsheets/d/1qpEmbGH0JjaJbUdp21-y2cPbobDbMjr09BbtdKROZWc/edit#gid=1444865654"",""articles_with_PRISMA_reasons!B2:B2113"")),F1690
=""Include"",FILTER(IMPORTRAN"&amp;"GE(""https://docs.google.com/spreadsheets/d/1kGrh75X1cNR1D7_FcY9zMnHP8iPO4M5RCRjy6nZY0TY/edit#gid=0"",""Table 1: Study characteristics!A4:A171""), $A1690=IMPORTRANGE(""https://docs.google.com/spreadsheets/d/1kGrh75X1cNR1D7_FcY9zMnHP8iPO4M5RCRjy6nZY0TY/edi"&amp;"t#gid=0"",""Table 1: Study characteristics!B4:B171""))
)"),"wrong population")</f>
        <v>wrong population</v>
      </c>
    </row>
    <row r="1691">
      <c r="A1691" s="4" t="str">
        <f>IFERROR(__xludf.DUMMYFUNCTION("""COMPUTED_VALUE"""),"Shunt infection in the first year of life")</f>
        <v>Shunt infection in the first year of life</v>
      </c>
      <c r="B1691" s="5" t="str">
        <f>IFERROR(__xludf.DUMMYFUNCTION("LEFT(FILTER(IMPORTRANGE(""https://docs.google.com/spreadsheets/d/1BJSV3WBYJGRhQ6zExamkszQ5VutGIcaQqmbD9ZTVXMQ/edit#gid=1251630045"",""articles_with_PRISMA_reasons!K2:K2113""), $A1691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$A1691=IMPORTRANGE(""https://docs.google.com/spreadsheets/d/1BJSV3WBYJGRhQ6zExamkszQ5VutGIcaQqmbD9ZTVXMQ/edit#gid=1251630045"",""articles_with_PRISMA_reasons!B2:B2113"")))-1)"),"Salinas")</f>
        <v>Salinas</v>
      </c>
      <c r="C1691" s="6">
        <f>IFERROR(__xludf.DUMMYFUNCTION("FILTER(IMPORTRANGE(""https://docs.google.com/spreadsheets/d/1BJSV3WBYJGRhQ6zExamkszQ5VutGIcaQqmbD9ZTVXMQ/edit#gid=1251630045"",""articles_with_PRISMA_reasons!C2:C2113""), $A1691=IMPORTRANGE(""https://docs.google.com/spreadsheets/d/1BJSV3WBYJGRhQ6zExamkszQ"&amp;"5VutGIcaQqmbD9ZTVXMQ/edit#gid=1251630045"",""articles_with_PRISMA_reasons!B2:B2113""))"),2013.0)</f>
        <v>2013</v>
      </c>
      <c r="D1691" s="5" t="str">
        <f>IFERROR(__xludf.DUMMYFUNCTION("IFS(AND(
FILTER(IMPORTRANGE(""https://docs.google.com/spreadsheets/d/1BJSV3WBYJGRhQ6zExamkszQ5VutGIcaQqmbD9ZTVXMQ/edit#gid=1251630045"",""articles_with_PRISMA_reasons!Y2:Y2113""), $A1691=IMPORTRANGE(""https://docs.google.com/spreadsheets/d/1BJSV3WBYJGRhQ6"&amp;"zExamkszQ5VutGIcaQqmbD9ZTVXMQ/edit#gid=1251630045"",""articles_with_PRISMA_reasons!B2:B2113""))&gt;=2,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$A1691=IMPORTRANGE(""https://docs.google.com/spreadsheets/d/1BJSV3WBYJGRhQ6zExamkszQ5VutGIcaQqmbD9ZTVXMQ/edit#gid=1251630045"",""articles_with_PRISMA_reasons!B2:B2113""))&lt;2),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$A1691=IMPORTRANGE(""https://docs.google.com/spreadsheets/d/1BJSV3WBYJGRhQ6zExamkszQ5VutGIcaQqmbD9ZTVXMQ/edit#gid=1251630045"",""a"&amp;"rticles_with_PRISMA_reasons!B2:B2113""))&lt;2,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$A1691=IMPORTRANGE(""https://docs.google"&amp;".com/spreadsheets/d/1BJSV3WBYJGRhQ6zExamkszQ5VutGIcaQqmbD9ZTVXMQ/edit#gid=1251630045"",""articles_with_PRISMA_reasons!B2:B2113""))&gt;=2),
""Exclude""
)"),"Exclude")</f>
        <v>Exclude</v>
      </c>
      <c r="E1691" s="5" t="str">
        <f>IFERROR(__xludf.DUMMYFUNCTION("IFS(
D1691=""Exclude"",""Exclude"",
AND(
FILTER(IMPORTRANGE(""https://docs.google.com/spreadsheets/d/1qpEmbGH0JjaJbUdp21-y2cPbobDbMjr09BbtdKROZWc/edit#gid=1444865654"",""articles_with_PRISMA_reasons!W2:W2113""), $A1691=IMPORTRANGE(""https://docs.google.co"&amp;"m/spreadsheets/d/1qpEmbGH0JjaJbUdp21-y2cPbobDbMjr09BbtdKROZWc/edit#gid=1444865654"",""articles_with_PRISMA_reasons!B2:B2113""))&gt;=2,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$A1691=IMPORTRANGE(""https://docs.google.com/spreadsheets/d/1qpEmbGH0JjaJbUdp21-y2cPbobDbMjr09BbtdKROZWc/edit#gid=1444865654"",""articles_with_PRISMA_reasons!B2:B2113""))&lt;2),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$A1691=IMPORTRANGE(""https://docs.google.com/spreadsheets/d/1qpEmbGH0JjaJbUdp21-y2cPbobDbMjr09Bbtd"&amp;"KROZWc/edit#gid=1444865654"",""articles_with_PRISMA_reasons!B2:B2113""))&lt;2,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$A1691=I"&amp;"MPORTRANGE(""https://docs.google.com/spreadsheets/d/1qpEmbGH0JjaJbUdp21-y2cPbobDbMjr09BbtdKROZWc/edit#gid=1444865654"",""articles_with_PRISMA_reasons!B2:B2113""))&gt;=2),
""Exclude""
)"),"Exclude")</f>
        <v>Exclude</v>
      </c>
      <c r="F1691" s="5" t="str">
        <f>IFERROR(__xludf.DUMMYFUNCTION("IFS(
E1691=""Exclude"",""Exclude"",
AND(
COUNTIF(
IMPORTRANGE(""https://docs.google.com/spreadsheets/d/1kGrh75X1cNR1D7_FcY9zMnHP8iPO4M5RCRjy6nZY0TY/edit#gid=0"",""Table 1: Study characteristics!B4:B171""),A1691)&gt;0,
COUNTIF(Studies!$A$2:$A$85,FILTER(IMPORT"&amp;"RANGE(""https://docs.google.com/spreadsheets/d/1kGrh75X1cNR1D7_FcY9zMnHP8iPO4M5RCRjy6nZY0TY/edit#gid=0"",""Table 1: Study characteristics!A4:A171""), $A1691=IMPORTRANGE(""https://docs.google.com/spreadsheets/d/1kGrh75X1cNR1D7_FcY9zMnHP8iPO4M5RCRjy6nZY0TY/"&amp;"edit#gid=0"",""Table 1: Study characteristics!B4:B171"")))&gt;0
),
""Include""
)"),"Exclude")</f>
        <v>Exclude</v>
      </c>
      <c r="G1691" s="5" t="str">
        <f>IFERROR(__xludf.DUMMYFUNCTION("IFS(
D1691=""Exclude"",
FILTER(IMPORTRANGE(""https://docs.google.com/spreadsheets/d/1BJSV3WBYJGRhQ6zExamkszQ5VutGIcaQqmbD9ZTVXMQ/edit#gid=1251630045"",""articles_with_PRISMA_reasons!AB2:AB2113""), $A1691=IMPORTRANGE(""https://docs.google.com/spreadsheets/"&amp;"d/1BJSV3WBYJGRhQ6zExamkszQ5VutGIcaQqmbD9ZTVXMQ/edit#gid=1251630045"",""articles_with_PRISMA_reasons!B2:B2113"")),
E1691=""Exclude"",
FILTER(IMPORTRANGE(""https://docs.google.com/spreadsheets/d/1qpEmbGH0JjaJbUdp21-y2cPbobDbMjr09BbtdKROZWc/edit#gid=14448656"&amp;"54"",""articles_with_PRISMA_reasons!Z2:Z2113""), $A1691=IMPORTRANGE(""https://docs.google.com/spreadsheets/d/1qpEmbGH0JjaJbUdp21-y2cPbobDbMjr09BbtdKROZWc/edit#gid=1444865654"",""articles_with_PRISMA_reasons!B2:B2113"")),F1691
=""Include"",FILTER(IMPORTRAN"&amp;"GE(""https://docs.google.com/spreadsheets/d/1kGrh75X1cNR1D7_FcY9zMnHP8iPO4M5RCRjy6nZY0TY/edit#gid=0"",""Table 1: Study characteristics!A4:A171""), $A1691=IMPORTRANGE(""https://docs.google.com/spreadsheets/d/1kGrh75X1cNR1D7_FcY9zMnHP8iPO4M5RCRjy6nZY0TY/edi"&amp;"t#gid=0"",""Table 1: Study characteristics!B4:B171""))
)"),"background article")</f>
        <v>background article</v>
      </c>
    </row>
    <row r="1692">
      <c r="A1692" s="4" t="str">
        <f>IFERROR(__xludf.DUMMYFUNCTION("""COMPUTED_VALUE"""),"Shunt insertion in newborns with myeloschisis/myelomenigocele and hydrocephalus")</f>
        <v>Shunt insertion in newborns with myeloschisis/myelomenigocele and hydrocephalus</v>
      </c>
      <c r="B1692" s="5" t="str">
        <f>IFERROR(__xludf.DUMMYFUNCTION("LEFT(FILTER(IMPORTRANGE(""https://docs.google.com/spreadsheets/d/1BJSV3WBYJGRhQ6zExamkszQ5VutGIcaQqmbD9ZTVXMQ/edit#gid=1251630045"",""articles_with_PRISMA_reasons!K2:K2113""), $A1692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$A1692=IMPORTRANGE(""https://docs.google.com/spreadsheets/d/1BJSV3WBYJGRhQ6zExamkszQ5VutGIcaQqmbD9ZTVXMQ/edit#gid=1251630045"",""articles_with_PRISMA_reasons!B2:B2113"")))-1)"),"Yilmaz")</f>
        <v>Yilmaz</v>
      </c>
      <c r="C1692" s="6" t="str">
        <f>IFERROR(__xludf.DUMMYFUNCTION("FILTER(IMPORTRANGE(""https://docs.google.com/spreadsheets/d/1BJSV3WBYJGRhQ6zExamkszQ5VutGIcaQqmbD9ZTVXMQ/edit#gid=1251630045"",""articles_with_PRISMA_reasons!C2:C2113""), $A1692=IMPORTRANGE(""https://docs.google.com/spreadsheets/d/1BJSV3WBYJGRhQ6zExamkszQ"&amp;"5VutGIcaQqmbD9ZTVXMQ/edit#gid=1251630045"",""articles_with_PRISMA_reasons!B2:B2113""))"),"Dec")</f>
        <v>Dec</v>
      </c>
      <c r="D1692" s="5" t="str">
        <f>IFERROR(__xludf.DUMMYFUNCTION("IFS(AND(
FILTER(IMPORTRANGE(""https://docs.google.com/spreadsheets/d/1BJSV3WBYJGRhQ6zExamkszQ5VutGIcaQqmbD9ZTVXMQ/edit#gid=1251630045"",""articles_with_PRISMA_reasons!Y2:Y2113""), $A1692=IMPORTRANGE(""https://docs.google.com/spreadsheets/d/1BJSV3WBYJGRhQ6"&amp;"zExamkszQ5VutGIcaQqmbD9ZTVXMQ/edit#gid=1251630045"",""articles_with_PRISMA_reasons!B2:B2113""))&gt;=2,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$A1692=IMPORTRANGE(""https://docs.google.com/spreadsheets/d/1BJSV3WBYJGRhQ6zExamkszQ5VutGIcaQqmbD9ZTVXMQ/edit#gid=1251630045"",""articles_with_PRISMA_reasons!B2:B2113""))&lt;2),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$A1692=IMPORTRANGE(""https://docs.google.com/spreadsheets/d/1BJSV3WBYJGRhQ6zExamkszQ5VutGIcaQqmbD9ZTVXMQ/edit#gid=1251630045"",""a"&amp;"rticles_with_PRISMA_reasons!B2:B2113""))&lt;2,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$A1692=IMPORTRANGE(""https://docs.google"&amp;".com/spreadsheets/d/1BJSV3WBYJGRhQ6zExamkszQ5VutGIcaQqmbD9ZTVXMQ/edit#gid=1251630045"",""articles_with_PRISMA_reasons!B2:B2113""))&gt;=2),
""Exclude""
)"),"Include")</f>
        <v>Include</v>
      </c>
      <c r="E1692" s="5" t="str">
        <f>IFERROR(__xludf.DUMMYFUNCTION("IFS(
D1692=""Exclude"",""Exclude"",
AND(
FILTER(IMPORTRANGE(""https://docs.google.com/spreadsheets/d/1qpEmbGH0JjaJbUdp21-y2cPbobDbMjr09BbtdKROZWc/edit#gid=1444865654"",""articles_with_PRISMA_reasons!W2:W2113""), $A1692=IMPORTRANGE(""https://docs.google.co"&amp;"m/spreadsheets/d/1qpEmbGH0JjaJbUdp21-y2cPbobDbMjr09BbtdKROZWc/edit#gid=1444865654"",""articles_with_PRISMA_reasons!B2:B2113""))&gt;=2,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$A1692=IMPORTRANGE(""https://docs.google.com/spreadsheets/d/1qpEmbGH0JjaJbUdp21-y2cPbobDbMjr09BbtdKROZWc/edit#gid=1444865654"",""articles_with_PRISMA_reasons!B2:B2113""))&lt;2),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$A1692=IMPORTRANGE(""https://docs.google.com/spreadsheets/d/1qpEmbGH0JjaJbUdp21-y2cPbobDbMjr09Bbtd"&amp;"KROZWc/edit#gid=1444865654"",""articles_with_PRISMA_reasons!B2:B2113""))&lt;2,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$A1692=I"&amp;"MPORTRANGE(""https://docs.google.com/spreadsheets/d/1qpEmbGH0JjaJbUdp21-y2cPbobDbMjr09BbtdKROZWc/edit#gid=1444865654"",""articles_with_PRISMA_reasons!B2:B2113""))&gt;=2),
""Exclude""
)"),"Include")</f>
        <v>Include</v>
      </c>
      <c r="F1692" s="2" t="s">
        <v>8</v>
      </c>
      <c r="G1692" s="2" t="s">
        <v>17</v>
      </c>
    </row>
    <row r="1693">
      <c r="A1693" s="4" t="str">
        <f>IFERROR(__xludf.DUMMYFUNCTION("""COMPUTED_VALUE"""),"Shunt malfunction mimicking a cystic tumour")</f>
        <v>Shunt malfunction mimicking a cystic tumour</v>
      </c>
      <c r="B1693" s="5" t="str">
        <f>IFERROR(__xludf.DUMMYFUNCTION("LEFT(FILTER(IMPORTRANGE(""https://docs.google.com/spreadsheets/d/1BJSV3WBYJGRhQ6zExamkszQ5VutGIcaQqmbD9ZTVXMQ/edit#gid=1251630045"",""articles_with_PRISMA_reasons!K2:K2113""), $A1693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$A1693=IMPORTRANGE(""https://docs.google.com/spreadsheets/d/1BJSV3WBYJGRhQ6zExamkszQ5VutGIcaQqmbD9ZTVXMQ/edit#gid=1251630045"",""articles_with_PRISMA_reasons!B2:B2113"")))-1)"),"Bianchi")</f>
        <v>Bianchi</v>
      </c>
      <c r="C1693" s="6">
        <f>IFERROR(__xludf.DUMMYFUNCTION("FILTER(IMPORTRANGE(""https://docs.google.com/spreadsheets/d/1BJSV3WBYJGRhQ6zExamkszQ5VutGIcaQqmbD9ZTVXMQ/edit#gid=1251630045"",""articles_with_PRISMA_reasons!C2:C2113""), $A1693=IMPORTRANGE(""https://docs.google.com/spreadsheets/d/1BJSV3WBYJGRhQ6zExamkszQ"&amp;"5VutGIcaQqmbD9ZTVXMQ/edit#gid=1251630045"",""articles_with_PRISMA_reasons!B2:B2113""))"),2017.0)</f>
        <v>2017</v>
      </c>
      <c r="D1693" s="5" t="str">
        <f>IFERROR(__xludf.DUMMYFUNCTION("IFS(AND(
FILTER(IMPORTRANGE(""https://docs.google.com/spreadsheets/d/1BJSV3WBYJGRhQ6zExamkszQ5VutGIcaQqmbD9ZTVXMQ/edit#gid=1251630045"",""articles_with_PRISMA_reasons!Y2:Y2113""), $A1693=IMPORTRANGE(""https://docs.google.com/spreadsheets/d/1BJSV3WBYJGRhQ6"&amp;"zExamkszQ5VutGIcaQqmbD9ZTVXMQ/edit#gid=1251630045"",""articles_with_PRISMA_reasons!B2:B2113""))&gt;=2,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$A1693=IMPORTRANGE(""https://docs.google.com/spreadsheets/d/1BJSV3WBYJGRhQ6zExamkszQ5VutGIcaQqmbD9ZTVXMQ/edit#gid=1251630045"",""articles_with_PRISMA_reasons!B2:B2113""))&lt;2),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$A1693=IMPORTRANGE(""https://docs.google.com/spreadsheets/d/1BJSV3WBYJGRhQ6zExamkszQ5VutGIcaQqmbD9ZTVXMQ/edit#gid=1251630045"",""a"&amp;"rticles_with_PRISMA_reasons!B2:B2113""))&lt;2,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$A1693=IMPORTRANGE(""https://docs.google"&amp;".com/spreadsheets/d/1BJSV3WBYJGRhQ6zExamkszQ5VutGIcaQqmbD9ZTVXMQ/edit#gid=1251630045"",""articles_with_PRISMA_reasons!B2:B2113""))&gt;=2),
""Exclude""
)"),"Exclude")</f>
        <v>Exclude</v>
      </c>
      <c r="E1693" s="5" t="str">
        <f>IFERROR(__xludf.DUMMYFUNCTION("IFS(
D1693=""Exclude"",""Exclude"",
AND(
FILTER(IMPORTRANGE(""https://docs.google.com/spreadsheets/d/1qpEmbGH0JjaJbUdp21-y2cPbobDbMjr09BbtdKROZWc/edit#gid=1444865654"",""articles_with_PRISMA_reasons!W2:W2113""), $A1693=IMPORTRANGE(""https://docs.google.co"&amp;"m/spreadsheets/d/1qpEmbGH0JjaJbUdp21-y2cPbobDbMjr09BbtdKROZWc/edit#gid=1444865654"",""articles_with_PRISMA_reasons!B2:B2113""))&gt;=2,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$A1693=IMPORTRANGE(""https://docs.google.com/spreadsheets/d/1qpEmbGH0JjaJbUdp21-y2cPbobDbMjr09BbtdKROZWc/edit#gid=1444865654"",""articles_with_PRISMA_reasons!B2:B2113""))&lt;2),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$A1693=IMPORTRANGE(""https://docs.google.com/spreadsheets/d/1qpEmbGH0JjaJbUdp21-y2cPbobDbMjr09Bbtd"&amp;"KROZWc/edit#gid=1444865654"",""articles_with_PRISMA_reasons!B2:B2113""))&lt;2,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$A1693=I"&amp;"MPORTRANGE(""https://docs.google.com/spreadsheets/d/1qpEmbGH0JjaJbUdp21-y2cPbobDbMjr09BbtdKROZWc/edit#gid=1444865654"",""articles_with_PRISMA_reasons!B2:B2113""))&gt;=2),
""Exclude""
)"),"Exclude")</f>
        <v>Exclude</v>
      </c>
      <c r="F1693" s="5" t="str">
        <f>IFERROR(__xludf.DUMMYFUNCTION("IFS(
E1693=""Exclude"",""Exclude"",
AND(
COUNTIF(
IMPORTRANGE(""https://docs.google.com/spreadsheets/d/1kGrh75X1cNR1D7_FcY9zMnHP8iPO4M5RCRjy6nZY0TY/edit#gid=0"",""Table 1: Study characteristics!B4:B171""),A1693)&gt;0,
COUNTIF(Studies!$A$2:$A$85,FILTER(IMPORT"&amp;"RANGE(""https://docs.google.com/spreadsheets/d/1kGrh75X1cNR1D7_FcY9zMnHP8iPO4M5RCRjy6nZY0TY/edit#gid=0"",""Table 1: Study characteristics!A4:A171""), $A1693=IMPORTRANGE(""https://docs.google.com/spreadsheets/d/1kGrh75X1cNR1D7_FcY9zMnHP8iPO4M5RCRjy6nZY0TY/"&amp;"edit#gid=0"",""Table 1: Study characteristics!B4:B171"")))&gt;0
),
""Include""
)"),"Exclude")</f>
        <v>Exclude</v>
      </c>
      <c r="G1693" s="5" t="str">
        <f>IFERROR(__xludf.DUMMYFUNCTION("IFS(
D1693=""Exclude"",
FILTER(IMPORTRANGE(""https://docs.google.com/spreadsheets/d/1BJSV3WBYJGRhQ6zExamkszQ5VutGIcaQqmbD9ZTVXMQ/edit#gid=1251630045"",""articles_with_PRISMA_reasons!AB2:AB2113""), $A1693=IMPORTRANGE(""https://docs.google.com/spreadsheets/"&amp;"d/1BJSV3WBYJGRhQ6zExamkszQ5VutGIcaQqmbD9ZTVXMQ/edit#gid=1251630045"",""articles_with_PRISMA_reasons!B2:B2113"")),
E1693=""Exclude"",
FILTER(IMPORTRANGE(""https://docs.google.com/spreadsheets/d/1qpEmbGH0JjaJbUdp21-y2cPbobDbMjr09BbtdKROZWc/edit#gid=14448656"&amp;"54"",""articles_with_PRISMA_reasons!Z2:Z2113""), $A1693=IMPORTRANGE(""https://docs.google.com/spreadsheets/d/1qpEmbGH0JjaJbUdp21-y2cPbobDbMjr09BbtdKROZWc/edit#gid=1444865654"",""articles_with_PRISMA_reasons!B2:B2113"")),F1693
=""Include"",FILTER(IMPORTRAN"&amp;"GE(""https://docs.google.com/spreadsheets/d/1kGrh75X1cNR1D7_FcY9zMnHP8iPO4M5RCRjy6nZY0TY/edit#gid=0"",""Table 1: Study characteristics!A4:A171""), $A1693=IMPORTRANGE(""https://docs.google.com/spreadsheets/d/1kGrh75X1cNR1D7_FcY9zMnHP8iPO4M5RCRjy6nZY0TY/edi"&amp;"t#gid=0"",""Table 1: Study characteristics!B4:B171""))
)"),"wrong study design")</f>
        <v>wrong study design</v>
      </c>
    </row>
    <row r="1694">
      <c r="A1694" s="4" t="str">
        <f>IFERROR(__xludf.DUMMYFUNCTION("""COMPUTED_VALUE"""),"Shunt nephritis")</f>
        <v>Shunt nephritis</v>
      </c>
      <c r="B1694" s="5" t="str">
        <f>IFERROR(__xludf.DUMMYFUNCTION("LEFT(FILTER(IMPORTRANGE(""https://docs.google.com/spreadsheets/d/1BJSV3WBYJGRhQ6zExamkszQ5VutGIcaQqmbD9ZTVXMQ/edit#gid=1251630045"",""articles_with_PRISMA_reasons!K2:K2113""), $A1694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$A1694=IMPORTRANGE(""https://docs.google.com/spreadsheets/d/1BJSV3WBYJGRhQ6zExamkszQ5VutGIcaQqmbD9ZTVXMQ/edit#gid=1251630045"",""articles_with_PRISMA_reasons!B2:B2113"")))-1)"),"Byrne")</f>
        <v>Byrne</v>
      </c>
      <c r="C1694" s="6">
        <f>IFERROR(__xludf.DUMMYFUNCTION("FILTER(IMPORTRANGE(""https://docs.google.com/spreadsheets/d/1BJSV3WBYJGRhQ6zExamkszQ5VutGIcaQqmbD9ZTVXMQ/edit#gid=1251630045"",""articles_with_PRISMA_reasons!C2:C2113""), $A1694=IMPORTRANGE(""https://docs.google.com/spreadsheets/d/1BJSV3WBYJGRhQ6zExamkszQ"&amp;"5VutGIcaQqmbD9ZTVXMQ/edit#gid=1251630045"",""articles_with_PRISMA_reasons!B2:B2113""))"),1982.0)</f>
        <v>1982</v>
      </c>
      <c r="D1694" s="5" t="str">
        <f>IFERROR(__xludf.DUMMYFUNCTION("IFS(AND(
FILTER(IMPORTRANGE(""https://docs.google.com/spreadsheets/d/1BJSV3WBYJGRhQ6zExamkszQ5VutGIcaQqmbD9ZTVXMQ/edit#gid=1251630045"",""articles_with_PRISMA_reasons!Y2:Y2113""), $A1694=IMPORTRANGE(""https://docs.google.com/spreadsheets/d/1BJSV3WBYJGRhQ6"&amp;"zExamkszQ5VutGIcaQqmbD9ZTVXMQ/edit#gid=1251630045"",""articles_with_PRISMA_reasons!B2:B2113""))&gt;=2,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$A1694=IMPORTRANGE(""https://docs.google.com/spreadsheets/d/1BJSV3WBYJGRhQ6zExamkszQ5VutGIcaQqmbD9ZTVXMQ/edit#gid=1251630045"",""articles_with_PRISMA_reasons!B2:B2113""))&lt;2),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$A1694=IMPORTRANGE(""https://docs.google.com/spreadsheets/d/1BJSV3WBYJGRhQ6zExamkszQ5VutGIcaQqmbD9ZTVXMQ/edit#gid=1251630045"",""a"&amp;"rticles_with_PRISMA_reasons!B2:B2113""))&lt;2,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$A1694=IMPORTRANGE(""https://docs.google"&amp;".com/spreadsheets/d/1BJSV3WBYJGRhQ6zExamkszQ5VutGIcaQqmbD9ZTVXMQ/edit#gid=1251630045"",""articles_with_PRISMA_reasons!B2:B2113""))&gt;=2),
""Exclude""
)"),"Exclude")</f>
        <v>Exclude</v>
      </c>
      <c r="E1694" s="5" t="str">
        <f>IFERROR(__xludf.DUMMYFUNCTION("IFS(
D1694=""Exclude"",""Exclude"",
AND(
FILTER(IMPORTRANGE(""https://docs.google.com/spreadsheets/d/1qpEmbGH0JjaJbUdp21-y2cPbobDbMjr09BbtdKROZWc/edit#gid=1444865654"",""articles_with_PRISMA_reasons!W2:W2113""), $A1694=IMPORTRANGE(""https://docs.google.co"&amp;"m/spreadsheets/d/1qpEmbGH0JjaJbUdp21-y2cPbobDbMjr09BbtdKROZWc/edit#gid=1444865654"",""articles_with_PRISMA_reasons!B2:B2113""))&gt;=2,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$A1694=IMPORTRANGE(""https://docs.google.com/spreadsheets/d/1qpEmbGH0JjaJbUdp21-y2cPbobDbMjr09BbtdKROZWc/edit#gid=1444865654"",""articles_with_PRISMA_reasons!B2:B2113""))&lt;2),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$A1694=IMPORTRANGE(""https://docs.google.com/spreadsheets/d/1qpEmbGH0JjaJbUdp21-y2cPbobDbMjr09Bbtd"&amp;"KROZWc/edit#gid=1444865654"",""articles_with_PRISMA_reasons!B2:B2113""))&lt;2,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$A1694=I"&amp;"MPORTRANGE(""https://docs.google.com/spreadsheets/d/1qpEmbGH0JjaJbUdp21-y2cPbobDbMjr09BbtdKROZWc/edit#gid=1444865654"",""articles_with_PRISMA_reasons!B2:B2113""))&gt;=2),
""Exclude""
)"),"Exclude")</f>
        <v>Exclude</v>
      </c>
      <c r="F1694" s="5" t="str">
        <f>IFERROR(__xludf.DUMMYFUNCTION("IFS(
E1694=""Exclude"",""Exclude"",
AND(
COUNTIF(
IMPORTRANGE(""https://docs.google.com/spreadsheets/d/1kGrh75X1cNR1D7_FcY9zMnHP8iPO4M5RCRjy6nZY0TY/edit#gid=0"",""Table 1: Study characteristics!B4:B171""),A1694)&gt;0,
COUNTIF(Studies!$A$2:$A$85,FILTER(IMPORT"&amp;"RANGE(""https://docs.google.com/spreadsheets/d/1kGrh75X1cNR1D7_FcY9zMnHP8iPO4M5RCRjy6nZY0TY/edit#gid=0"",""Table 1: Study characteristics!A4:A171""), $A1694=IMPORTRANGE(""https://docs.google.com/spreadsheets/d/1kGrh75X1cNR1D7_FcY9zMnHP8iPO4M5RCRjy6nZY0TY/"&amp;"edit#gid=0"",""Table 1: Study characteristics!B4:B171"")))&gt;0
),
""Include""
)"),"Exclude")</f>
        <v>Exclude</v>
      </c>
      <c r="G1694" s="5" t="str">
        <f>IFERROR(__xludf.DUMMYFUNCTION("IFS(
D1694=""Exclude"",
FILTER(IMPORTRANGE(""https://docs.google.com/spreadsheets/d/1BJSV3WBYJGRhQ6zExamkszQ5VutGIcaQqmbD9ZTVXMQ/edit#gid=1251630045"",""articles_with_PRISMA_reasons!AB2:AB2113""), $A1694=IMPORTRANGE(""https://docs.google.com/spreadsheets/"&amp;"d/1BJSV3WBYJGRhQ6zExamkszQ5VutGIcaQqmbD9ZTVXMQ/edit#gid=1251630045"",""articles_with_PRISMA_reasons!B2:B2113"")),
E1694=""Exclude"",
FILTER(IMPORTRANGE(""https://docs.google.com/spreadsheets/d/1qpEmbGH0JjaJbUdp21-y2cPbobDbMjr09BbtdKROZWc/edit#gid=14448656"&amp;"54"",""articles_with_PRISMA_reasons!Z2:Z2113""), $A1694=IMPORTRANGE(""https://docs.google.com/spreadsheets/d/1qpEmbGH0JjaJbUdp21-y2cPbobDbMjr09BbtdKROZWc/edit#gid=1444865654"",""articles_with_PRISMA_reasons!B2:B2113"")),F1694
=""Include"",FILTER(IMPORTRAN"&amp;"GE(""https://docs.google.com/spreadsheets/d/1kGrh75X1cNR1D7_FcY9zMnHP8iPO4M5RCRjy6nZY0TY/edit#gid=0"",""Table 1: Study characteristics!A4:A171""), $A1694=IMPORTRANGE(""https://docs.google.com/spreadsheets/d/1kGrh75X1cNR1D7_FcY9zMnHP8iPO4M5RCRjy6nZY0TY/edi"&amp;"t#gid=0"",""Table 1: Study characteristics!B4:B171""))
)"),"wrong study design")</f>
        <v>wrong study design</v>
      </c>
    </row>
    <row r="1695">
      <c r="A1695" s="4" t="str">
        <f>IFERROR(__xludf.DUMMYFUNCTION("""COMPUTED_VALUE"""),"Shunt placement and myelomeningocele repair: Simultaneous vs sequential shunting. Review of 12 cases")</f>
        <v>Shunt placement and myelomeningocele repair: Simultaneous vs sequential shunting. Review of 12 cases</v>
      </c>
      <c r="B1695" s="5" t="str">
        <f>IFERROR(__xludf.DUMMYFUNCTION("LEFT(FILTER(IMPORTRANGE(""https://docs.google.com/spreadsheets/d/1BJSV3WBYJGRhQ6zExamkszQ5VutGIcaQqmbD9ZTVXMQ/edit#gid=1251630045"",""articles_with_PRISMA_reasons!K2:K2113""), $A1695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$A1695=IMPORTRANGE(""https://docs.google.com/spreadsheets/d/1BJSV3WBYJGRhQ6zExamkszQ5VutGIcaQqmbD9ZTVXMQ/edit#gid=1251630045"",""articles_with_PRISMA_reasons!B2:B2113"")))-1)"),"Epstein")</f>
        <v>Epstein</v>
      </c>
      <c r="C1695" s="3">
        <v>1985.0</v>
      </c>
      <c r="D1695" s="5" t="str">
        <f>IFERROR(__xludf.DUMMYFUNCTION("IFS(AND(
FILTER(IMPORTRANGE(""https://docs.google.com/spreadsheets/d/1BJSV3WBYJGRhQ6zExamkszQ5VutGIcaQqmbD9ZTVXMQ/edit#gid=1251630045"",""articles_with_PRISMA_reasons!Y2:Y2113""), $A1695=IMPORTRANGE(""https://docs.google.com/spreadsheets/d/1BJSV3WBYJGRhQ6"&amp;"zExamkszQ5VutGIcaQqmbD9ZTVXMQ/edit#gid=1251630045"",""articles_with_PRISMA_reasons!B2:B2113""))&gt;=2,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$A1695=IMPORTRANGE(""https://docs.google.com/spreadsheets/d/1BJSV3WBYJGRhQ6zExamkszQ5VutGIcaQqmbD9ZTVXMQ/edit#gid=1251630045"",""articles_with_PRISMA_reasons!B2:B2113""))&lt;2),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$A1695=IMPORTRANGE(""https://docs.google.com/spreadsheets/d/1BJSV3WBYJGRhQ6zExamkszQ5VutGIcaQqmbD9ZTVXMQ/edit#gid=1251630045"",""a"&amp;"rticles_with_PRISMA_reasons!B2:B2113""))&lt;2,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$A1695=IMPORTRANGE(""https://docs.google"&amp;".com/spreadsheets/d/1BJSV3WBYJGRhQ6zExamkszQ5VutGIcaQqmbD9ZTVXMQ/edit#gid=1251630045"",""articles_with_PRISMA_reasons!B2:B2113""))&gt;=2),
""Exclude""
)"),"Include")</f>
        <v>Include</v>
      </c>
      <c r="E1695" s="5" t="str">
        <f>IFERROR(__xludf.DUMMYFUNCTION("IFS(
D1695=""Exclude"",""Exclude"",
AND(
FILTER(IMPORTRANGE(""https://docs.google.com/spreadsheets/d/1qpEmbGH0JjaJbUdp21-y2cPbobDbMjr09BbtdKROZWc/edit#gid=1444865654"",""articles_with_PRISMA_reasons!W2:W2113""), $A1695=IMPORTRANGE(""https://docs.google.co"&amp;"m/spreadsheets/d/1qpEmbGH0JjaJbUdp21-y2cPbobDbMjr09BbtdKROZWc/edit#gid=1444865654"",""articles_with_PRISMA_reasons!B2:B2113""))&gt;=2,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$A1695=IMPORTRANGE(""https://docs.google.com/spreadsheets/d/1qpEmbGH0JjaJbUdp21-y2cPbobDbMjr09BbtdKROZWc/edit#gid=1444865654"",""articles_with_PRISMA_reasons!B2:B2113""))&lt;2),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$A1695=IMPORTRANGE(""https://docs.google.com/spreadsheets/d/1qpEmbGH0JjaJbUdp21-y2cPbobDbMjr09Bbtd"&amp;"KROZWc/edit#gid=1444865654"",""articles_with_PRISMA_reasons!B2:B2113""))&lt;2,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$A1695=I"&amp;"MPORTRANGE(""https://docs.google.com/spreadsheets/d/1qpEmbGH0JjaJbUdp21-y2cPbobDbMjr09BbtdKROZWc/edit#gid=1444865654"",""articles_with_PRISMA_reasons!B2:B2113""))&gt;=2),
""Exclude""
)"),"Include")</f>
        <v>Include</v>
      </c>
      <c r="F1695" s="5" t="str">
        <f>IFERROR(__xludf.DUMMYFUNCTION("IFS(
E1695=""Exclude"",""Exclude"",
AND(
COUNTIF(
IMPORTRANGE(""https://docs.google.com/spreadsheets/d/1kGrh75X1cNR1D7_FcY9zMnHP8iPO4M5RCRjy6nZY0TY/edit#gid=0"",""Table 1: Study characteristics!B4:B171""),A1695)&gt;0,
COUNTIF(Studies!$A$2:$A$85,FILTER(IMPORT"&amp;"RANGE(""https://docs.google.com/spreadsheets/d/1kGrh75X1cNR1D7_FcY9zMnHP8iPO4M5RCRjy6nZY0TY/edit#gid=0"",""Table 1: Study characteristics!A4:A171""), $A1695=IMPORTRANGE(""https://docs.google.com/spreadsheets/d/1kGrh75X1cNR1D7_FcY9zMnHP8iPO4M5RCRjy6nZY0TY/"&amp;"edit#gid=0"",""Table 1: Study characteristics!B4:B171"")))&gt;0
),
""Include""
)"),"Include")</f>
        <v>Include</v>
      </c>
      <c r="G1695" s="5" t="str">
        <f>IFERROR(__xludf.DUMMYFUNCTION("IFS(
D1695=""Exclude"",
FILTER(IMPORTRANGE(""https://docs.google.com/spreadsheets/d/1BJSV3WBYJGRhQ6zExamkszQ5VutGIcaQqmbD9ZTVXMQ/edit#gid=1251630045"",""articles_with_PRISMA_reasons!AB2:AB2113""), $A1695=IMPORTRANGE(""https://docs.google.com/spreadsheets/"&amp;"d/1BJSV3WBYJGRhQ6zExamkszQ5VutGIcaQqmbD9ZTVXMQ/edit#gid=1251630045"",""articles_with_PRISMA_reasons!B2:B2113"")),
E1695=""Exclude"",
FILTER(IMPORTRANGE(""https://docs.google.com/spreadsheets/d/1qpEmbGH0JjaJbUdp21-y2cPbobDbMjr09BbtdKROZWc/edit#gid=14448656"&amp;"54"",""articles_with_PRISMA_reasons!Z2:Z2113""), $A1695=IMPORTRANGE(""https://docs.google.com/spreadsheets/d/1qpEmbGH0JjaJbUdp21-y2cPbobDbMjr09BbtdKROZWc/edit#gid=1444865654"",""articles_with_PRISMA_reasons!B2:B2113"")),F1695
=""Include"",FILTER(IMPORTRAN"&amp;"GE(""https://docs.google.com/spreadsheets/d/1kGrh75X1cNR1D7_FcY9zMnHP8iPO4M5RCRjy6nZY0TY/edit#gid=0"",""Table 1: Study characteristics!A4:A171""), $A1695=IMPORTRANGE(""https://docs.google.com/spreadsheets/d/1kGrh75X1cNR1D7_FcY9zMnHP8iPO4M5RCRjy6nZY0TY/edi"&amp;"t#gid=0"",""Table 1: Study characteristics!B4:B171""))
)"),"ID 129")</f>
        <v>ID 129</v>
      </c>
    </row>
    <row r="1696">
      <c r="A1696" s="4" t="str">
        <f>IFERROR(__xludf.DUMMYFUNCTION("""COMPUTED_VALUE"""),"Shunt placement and myelomeningocele repair: simultaneous vs sequential shunting. Review of 12 cases")</f>
        <v>Shunt placement and myelomeningocele repair: simultaneous vs sequential shunting. Review of 12 cases</v>
      </c>
      <c r="B1696" s="5" t="str">
        <f>IFERROR(__xludf.DUMMYFUNCTION("LEFT(FILTER(IMPORTRANGE(""https://docs.google.com/spreadsheets/d/1BJSV3WBYJGRhQ6zExamkszQ5VutGIcaQqmbD9ZTVXMQ/edit#gid=1251630045"",""articles_with_PRISMA_reasons!K2:K2113""), $A1696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$A1696=IMPORTRANGE(""https://docs.google.com/spreadsheets/d/1BJSV3WBYJGRhQ6zExamkszQ5VutGIcaQqmbD9ZTVXMQ/edit#gid=1251630045"",""articles_with_PRISMA_reasons!B2:B2113"")))-1)"),"Epstein")</f>
        <v>Epstein</v>
      </c>
      <c r="C1696" s="3">
        <v>1985.0</v>
      </c>
      <c r="D1696" s="2" t="s">
        <v>8</v>
      </c>
      <c r="E1696" s="5" t="str">
        <f>IFERROR(__xludf.DUMMYFUNCTION("IFS(
D1696=""Exclude"",""Exclude"",
AND(
FILTER(IMPORTRANGE(""https://docs.google.com/spreadsheets/d/1qpEmbGH0JjaJbUdp21-y2cPbobDbMjr09BbtdKROZWc/edit#gid=1444865654"",""articles_with_PRISMA_reasons!W2:W2113""), $A1696=IMPORTRANGE(""https://docs.google.co"&amp;"m/spreadsheets/d/1qpEmbGH0JjaJbUdp21-y2cPbobDbMjr09BbtdKROZWc/edit#gid=1444865654"",""articles_with_PRISMA_reasons!B2:B2113""))&gt;=2,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$A1696=IMPORTRANGE(""https://docs.google.com/spreadsheets/d/1qpEmbGH0JjaJbUdp21-y2cPbobDbMjr09BbtdKROZWc/edit#gid=1444865654"",""articles_with_PRISMA_reasons!B2:B2113""))&lt;2),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$A1696=IMPORTRANGE(""https://docs.google.com/spreadsheets/d/1qpEmbGH0JjaJbUdp21-y2cPbobDbMjr09Bbtd"&amp;"KROZWc/edit#gid=1444865654"",""articles_with_PRISMA_reasons!B2:B2113""))&lt;2,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$A1696=I"&amp;"MPORTRANGE(""https://docs.google.com/spreadsheets/d/1qpEmbGH0JjaJbUdp21-y2cPbobDbMjr09BbtdKROZWc/edit#gid=1444865654"",""articles_with_PRISMA_reasons!B2:B2113""))&gt;=2),
""Exclude""
)"),"Exclude")</f>
        <v>Exclude</v>
      </c>
      <c r="F1696" s="5" t="str">
        <f>IFERROR(__xludf.DUMMYFUNCTION("IFS(
E1696=""Exclude"",""Exclude"",
AND(
COUNTIF(
IMPORTRANGE(""https://docs.google.com/spreadsheets/d/1kGrh75X1cNR1D7_FcY9zMnHP8iPO4M5RCRjy6nZY0TY/edit#gid=0"",""Table 1: Study characteristics!B4:B171""),A1696)&gt;0,
COUNTIF(Studies!$A$2:$A$85,FILTER(IMPORT"&amp;"RANGE(""https://docs.google.com/spreadsheets/d/1kGrh75X1cNR1D7_FcY9zMnHP8iPO4M5RCRjy6nZY0TY/edit#gid=0"",""Table 1: Study characteristics!A4:A171""), $A1696=IMPORTRANGE(""https://docs.google.com/spreadsheets/d/1kGrh75X1cNR1D7_FcY9zMnHP8iPO4M5RCRjy6nZY0TY/"&amp;"edit#gid=0"",""Table 1: Study characteristics!B4:B171"")))&gt;0
),
""Include""
)"),"Exclude")</f>
        <v>Exclude</v>
      </c>
      <c r="G1696" s="2" t="s">
        <v>13</v>
      </c>
    </row>
    <row r="1697">
      <c r="A1697" s="4" t="str">
        <f>IFERROR(__xludf.DUMMYFUNCTION("""COMPUTED_VALUE"""),"Shunt revision rates in myelomeningocele patients in the first year of life: a retrospective study of 52 patients")</f>
        <v>Shunt revision rates in myelomeningocele patients in the first year of life: a retrospective study of 52 patients</v>
      </c>
      <c r="B1697" s="5" t="str">
        <f>IFERROR(__xludf.DUMMYFUNCTION("LEFT(FILTER(IMPORTRANGE(""https://docs.google.com/spreadsheets/d/1BJSV3WBYJGRhQ6zExamkszQ5VutGIcaQqmbD9ZTVXMQ/edit#gid=1251630045"",""articles_with_PRISMA_reasons!K2:K2113""), $A1697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$A1697=IMPORTRANGE(""https://docs.google.com/spreadsheets/d/1BJSV3WBYJGRhQ6zExamkszQ5VutGIcaQqmbD9ZTVXMQ/edit#gid=1251630045"",""articles_with_PRISMA_reasons!B2:B2113"")))-1)"),"Alatas")</f>
        <v>Alatas</v>
      </c>
      <c r="C1697" s="6">
        <f>IFERROR(__xludf.DUMMYFUNCTION("FILTER(IMPORTRANGE(""https://docs.google.com/spreadsheets/d/1BJSV3WBYJGRhQ6zExamkszQ5VutGIcaQqmbD9ZTVXMQ/edit#gid=1251630045"",""articles_with_PRISMA_reasons!C2:C2113""), $A1697=IMPORTRANGE(""https://docs.google.com/spreadsheets/d/1BJSV3WBYJGRhQ6zExamkszQ"&amp;"5VutGIcaQqmbD9ZTVXMQ/edit#gid=1251630045"",""articles_with_PRISMA_reasons!B2:B2113""))"),2018.0)</f>
        <v>2018</v>
      </c>
      <c r="D1697" s="5" t="str">
        <f>IFERROR(__xludf.DUMMYFUNCTION("IFS(AND(
FILTER(IMPORTRANGE(""https://docs.google.com/spreadsheets/d/1BJSV3WBYJGRhQ6zExamkszQ5VutGIcaQqmbD9ZTVXMQ/edit#gid=1251630045"",""articles_with_PRISMA_reasons!Y2:Y2113""), $A1697=IMPORTRANGE(""https://docs.google.com/spreadsheets/d/1BJSV3WBYJGRhQ6"&amp;"zExamkszQ5VutGIcaQqmbD9ZTVXMQ/edit#gid=1251630045"",""articles_with_PRISMA_reasons!B2:B2113""))&gt;=2,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$A1697=IMPORTRANGE(""https://docs.google.com/spreadsheets/d/1BJSV3WBYJGRhQ6zExamkszQ5VutGIcaQqmbD9ZTVXMQ/edit#gid=1251630045"",""articles_with_PRISMA_reasons!B2:B2113""))&lt;2),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$A1697=IMPORTRANGE(""https://docs.google.com/spreadsheets/d/1BJSV3WBYJGRhQ6zExamkszQ5VutGIcaQqmbD9ZTVXMQ/edit#gid=1251630045"",""a"&amp;"rticles_with_PRISMA_reasons!B2:B2113""))&lt;2,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$A1697=IMPORTRANGE(""https://docs.google"&amp;".com/spreadsheets/d/1BJSV3WBYJGRhQ6zExamkszQ5VutGIcaQqmbD9ZTVXMQ/edit#gid=1251630045"",""articles_with_PRISMA_reasons!B2:B2113""))&gt;=2),
""Exclude""
)"),"Include")</f>
        <v>Include</v>
      </c>
      <c r="E1697" s="5" t="str">
        <f>IFERROR(__xludf.DUMMYFUNCTION("IFS(
D1697=""Exclude"",""Exclude"",
AND(
FILTER(IMPORTRANGE(""https://docs.google.com/spreadsheets/d/1qpEmbGH0JjaJbUdp21-y2cPbobDbMjr09BbtdKROZWc/edit#gid=1444865654"",""articles_with_PRISMA_reasons!W2:W2113""), $A1697=IMPORTRANGE(""https://docs.google.co"&amp;"m/spreadsheets/d/1qpEmbGH0JjaJbUdp21-y2cPbobDbMjr09BbtdKROZWc/edit#gid=1444865654"",""articles_with_PRISMA_reasons!B2:B2113""))&gt;=2,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$A1697=IMPORTRANGE(""https://docs.google.com/spreadsheets/d/1qpEmbGH0JjaJbUdp21-y2cPbobDbMjr09BbtdKROZWc/edit#gid=1444865654"",""articles_with_PRISMA_reasons!B2:B2113""))&lt;2),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$A1697=IMPORTRANGE(""https://docs.google.com/spreadsheets/d/1qpEmbGH0JjaJbUdp21-y2cPbobDbMjr09Bbtd"&amp;"KROZWc/edit#gid=1444865654"",""articles_with_PRISMA_reasons!B2:B2113""))&lt;2,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$A1697=I"&amp;"MPORTRANGE(""https://docs.google.com/spreadsheets/d/1qpEmbGH0JjaJbUdp21-y2cPbobDbMjr09BbtdKROZWc/edit#gid=1444865654"",""articles_with_PRISMA_reasons!B2:B2113""))&gt;=2),
""Exclude""
)"),"Include")</f>
        <v>Include</v>
      </c>
      <c r="F1697" s="5" t="str">
        <f>IFERROR(__xludf.DUMMYFUNCTION("IFS(
E1697=""Exclude"",""Exclude"",
AND(
COUNTIF(
IMPORTRANGE(""https://docs.google.com/spreadsheets/d/1kGrh75X1cNR1D7_FcY9zMnHP8iPO4M5RCRjy6nZY0TY/edit#gid=0"",""Table 1: Study characteristics!B4:B171""),A1697)&gt;0,
COUNTIF(Studies!$A$2:$A$85,FILTER(IMPORT"&amp;"RANGE(""https://docs.google.com/spreadsheets/d/1kGrh75X1cNR1D7_FcY9zMnHP8iPO4M5RCRjy6nZY0TY/edit#gid=0"",""Table 1: Study characteristics!A4:A171""), $A1697=IMPORTRANGE(""https://docs.google.com/spreadsheets/d/1kGrh75X1cNR1D7_FcY9zMnHP8iPO4M5RCRjy6nZY0TY/"&amp;"edit#gid=0"",""Table 1: Study characteristics!B4:B171"")))&gt;0
),
""Include""
)"),"Include")</f>
        <v>Include</v>
      </c>
      <c r="G1697" s="5" t="str">
        <f>IFERROR(__xludf.DUMMYFUNCTION("IFS(
D1697=""Exclude"",
FILTER(IMPORTRANGE(""https://docs.google.com/spreadsheets/d/1BJSV3WBYJGRhQ6zExamkszQ5VutGIcaQqmbD9ZTVXMQ/edit#gid=1251630045"",""articles_with_PRISMA_reasons!AB2:AB2113""), $A1697=IMPORTRANGE(""https://docs.google.com/spreadsheets/"&amp;"d/1BJSV3WBYJGRhQ6zExamkszQ5VutGIcaQqmbD9ZTVXMQ/edit#gid=1251630045"",""articles_with_PRISMA_reasons!B2:B2113"")),
E1697=""Exclude"",
FILTER(IMPORTRANGE(""https://docs.google.com/spreadsheets/d/1qpEmbGH0JjaJbUdp21-y2cPbobDbMjr09BbtdKROZWc/edit#gid=14448656"&amp;"54"",""articles_with_PRISMA_reasons!Z2:Z2113""), $A1697=IMPORTRANGE(""https://docs.google.com/spreadsheets/d/1qpEmbGH0JjaJbUdp21-y2cPbobDbMjr09BbtdKROZWc/edit#gid=1444865654"",""articles_with_PRISMA_reasons!B2:B2113"")),F1697
=""Include"",FILTER(IMPORTRAN"&amp;"GE(""https://docs.google.com/spreadsheets/d/1kGrh75X1cNR1D7_FcY9zMnHP8iPO4M5RCRjy6nZY0TY/edit#gid=0"",""Table 1: Study characteristics!A4:A171""), $A1697=IMPORTRANGE(""https://docs.google.com/spreadsheets/d/1kGrh75X1cNR1D7_FcY9zMnHP8iPO4M5RCRjy6nZY0TY/edi"&amp;"t#gid=0"",""Table 1: Study characteristics!B4:B171""))
)"),"ID 130")</f>
        <v>ID 130</v>
      </c>
    </row>
    <row r="1698">
      <c r="A1698" s="4" t="str">
        <f>IFERROR(__xludf.DUMMYFUNCTION("""COMPUTED_VALUE"""),"Shunt timing in meningomyelocele and clinical results: analysis of 80 cases")</f>
        <v>Shunt timing in meningomyelocele and clinical results: analysis of 80 cases</v>
      </c>
      <c r="B1698" s="5" t="str">
        <f>IFERROR(__xludf.DUMMYFUNCTION("LEFT(FILTER(IMPORTRANGE(""https://docs.google.com/spreadsheets/d/1BJSV3WBYJGRhQ6zExamkszQ5VutGIcaQqmbD9ZTVXMQ/edit#gid=1251630045"",""articles_with_PRISMA_reasons!K2:K2113""), $A1698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$A1698=IMPORTRANGE(""https://docs.google.com/spreadsheets/d/1BJSV3WBYJGRhQ6zExamkszQ5VutGIcaQqmbD9ZTVXMQ/edit#gid=1251630045"",""articles_with_PRISMA_reasons!B2:B2113"")))-1)"),"İştemen,")</f>
        <v>İştemen,</v>
      </c>
      <c r="C1698" s="3">
        <v>2021.0</v>
      </c>
      <c r="D1698" s="5" t="str">
        <f>IFERROR(__xludf.DUMMYFUNCTION("IFS(AND(
FILTER(IMPORTRANGE(""https://docs.google.com/spreadsheets/d/1BJSV3WBYJGRhQ6zExamkszQ5VutGIcaQqmbD9ZTVXMQ/edit#gid=1251630045"",""articles_with_PRISMA_reasons!Y2:Y2113""), $A1698=IMPORTRANGE(""https://docs.google.com/spreadsheets/d/1BJSV3WBYJGRhQ6"&amp;"zExamkszQ5VutGIcaQqmbD9ZTVXMQ/edit#gid=1251630045"",""articles_with_PRISMA_reasons!B2:B2113""))&gt;=2,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$A1698=IMPORTRANGE(""https://docs.google.com/spreadsheets/d/1BJSV3WBYJGRhQ6zExamkszQ5VutGIcaQqmbD9ZTVXMQ/edit#gid=1251630045"",""articles_with_PRISMA_reasons!B2:B2113""))&lt;2),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$A1698=IMPORTRANGE(""https://docs.google.com/spreadsheets/d/1BJSV3WBYJGRhQ6zExamkszQ5VutGIcaQqmbD9ZTVXMQ/edit#gid=1251630045"",""a"&amp;"rticles_with_PRISMA_reasons!B2:B2113""))&lt;2,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$A1698=IMPORTRANGE(""https://docs.google"&amp;".com/spreadsheets/d/1BJSV3WBYJGRhQ6zExamkszQ5VutGIcaQqmbD9ZTVXMQ/edit#gid=1251630045"",""articles_with_PRISMA_reasons!B2:B2113""))&gt;=2),
""Exclude""
)"),"Include")</f>
        <v>Include</v>
      </c>
      <c r="E1698" s="2" t="s">
        <v>14</v>
      </c>
      <c r="F1698" s="5" t="str">
        <f>IFERROR(__xludf.DUMMYFUNCTION("IFS(
E1698=""Exclude"",""Exclude"",
AND(
COUNTIF(
IMPORTRANGE(""https://docs.google.com/spreadsheets/d/1kGrh75X1cNR1D7_FcY9zMnHP8iPO4M5RCRjy6nZY0TY/edit#gid=0"",""Table 1: Study characteristics!B4:B171""),A1698)&gt;0,
COUNTIF(Studies!$A$2:$A$85,FILTER(IMPORT"&amp;"RANGE(""https://docs.google.com/spreadsheets/d/1kGrh75X1cNR1D7_FcY9zMnHP8iPO4M5RCRjy6nZY0TY/edit#gid=0"",""Table 1: Study characteristics!A4:A171""), $A1698=IMPORTRANGE(""https://docs.google.com/spreadsheets/d/1kGrh75X1cNR1D7_FcY9zMnHP8iPO4M5RCRjy6nZY0TY/"&amp;"edit#gid=0"",""Table 1: Study characteristics!B4:B171"")))&gt;0
),
""Include""
)"),"Include")</f>
        <v>Include</v>
      </c>
      <c r="G1698" s="5" t="str">
        <f>IFERROR(__xludf.DUMMYFUNCTION("IFS(
D1698=""Exclude"",
FILTER(IMPORTRANGE(""https://docs.google.com/spreadsheets/d/1BJSV3WBYJGRhQ6zExamkszQ5VutGIcaQqmbD9ZTVXMQ/edit#gid=1251630045"",""articles_with_PRISMA_reasons!AB2:AB2113""), $A1698=IMPORTRANGE(""https://docs.google.com/spreadsheets/"&amp;"d/1BJSV3WBYJGRhQ6zExamkszQ5VutGIcaQqmbD9ZTVXMQ/edit#gid=1251630045"",""articles_with_PRISMA_reasons!B2:B2113"")),
E1698=""Exclude"",
FILTER(IMPORTRANGE(""https://docs.google.com/spreadsheets/d/1qpEmbGH0JjaJbUdp21-y2cPbobDbMjr09BbtdKROZWc/edit#gid=14448656"&amp;"54"",""articles_with_PRISMA_reasons!Z2:Z2113""), $A1698=IMPORTRANGE(""https://docs.google.com/spreadsheets/d/1qpEmbGH0JjaJbUdp21-y2cPbobDbMjr09BbtdKROZWc/edit#gid=1444865654"",""articles_with_PRISMA_reasons!B2:B2113"")),F1698
=""Include"",FILTER(IMPORTRAN"&amp;"GE(""https://docs.google.com/spreadsheets/d/1kGrh75X1cNR1D7_FcY9zMnHP8iPO4M5RCRjy6nZY0TY/edit#gid=0"",""Table 1: Study characteristics!A4:A171""), $A1698=IMPORTRANGE(""https://docs.google.com/spreadsheets/d/1kGrh75X1cNR1D7_FcY9zMnHP8iPO4M5RCRjy6nZY0TY/edi"&amp;"t#gid=0"",""Table 1: Study characteristics!B4:B171""))
)"),"ID 131")</f>
        <v>ID 131</v>
      </c>
    </row>
    <row r="1699">
      <c r="A1699" s="4" t="str">
        <f>IFERROR(__xludf.DUMMYFUNCTION("""COMPUTED_VALUE"""),"Shunt timing in meningomyelocele and clinical results: analysis of 80 cases")</f>
        <v>Shunt timing in meningomyelocele and clinical results: analysis of 80 cases</v>
      </c>
      <c r="B1699" s="5" t="str">
        <f>IFERROR(__xludf.DUMMYFUNCTION("LEFT(FILTER(IMPORTRANGE(""https://docs.google.com/spreadsheets/d/1BJSV3WBYJGRhQ6zExamkszQ5VutGIcaQqmbD9ZTVXMQ/edit#gid=1251630045"",""articles_with_PRISMA_reasons!K2:K2113""), $A1699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$A1699=IMPORTRANGE(""https://docs.google.com/spreadsheets/d/1BJSV3WBYJGRhQ6zExamkszQ5VutGIcaQqmbD9ZTVXMQ/edit#gid=1251630045"",""articles_with_PRISMA_reasons!B2:B2113"")))-1)"),"İştemen,")</f>
        <v>İştemen,</v>
      </c>
      <c r="C1699" s="3">
        <v>2021.0</v>
      </c>
      <c r="D1699" s="5" t="str">
        <f>IFERROR(__xludf.DUMMYFUNCTION("IFS(AND(
FILTER(IMPORTRANGE(""https://docs.google.com/spreadsheets/d/1BJSV3WBYJGRhQ6zExamkszQ5VutGIcaQqmbD9ZTVXMQ/edit#gid=1251630045"",""articles_with_PRISMA_reasons!Y2:Y2113""), $A1699=IMPORTRANGE(""https://docs.google.com/spreadsheets/d/1BJSV3WBYJGRhQ6"&amp;"zExamkszQ5VutGIcaQqmbD9ZTVXMQ/edit#gid=1251630045"",""articles_with_PRISMA_reasons!B2:B2113""))&gt;=2,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$A1699=IMPORTRANGE(""https://docs.google.com/spreadsheets/d/1BJSV3WBYJGRhQ6zExamkszQ5VutGIcaQqmbD9ZTVXMQ/edit#gid=1251630045"",""articles_with_PRISMA_reasons!B2:B2113""))&lt;2),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$A1699=IMPORTRANGE(""https://docs.google.com/spreadsheets/d/1BJSV3WBYJGRhQ6zExamkszQ5VutGIcaQqmbD9ZTVXMQ/edit#gid=1251630045"",""a"&amp;"rticles_with_PRISMA_reasons!B2:B2113""))&lt;2,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$A1699=IMPORTRANGE(""https://docs.google"&amp;".com/spreadsheets/d/1BJSV3WBYJGRhQ6zExamkszQ5VutGIcaQqmbD9ZTVXMQ/edit#gid=1251630045"",""articles_with_PRISMA_reasons!B2:B2113""))&gt;=2),
""Exclude""
)"),"Include")</f>
        <v>Include</v>
      </c>
      <c r="E1699" s="5" t="str">
        <f>IFERROR(__xludf.DUMMYFUNCTION("IFS(
D1699=""Exclude"",""Exclude"",
AND(
FILTER(IMPORTRANGE(""https://docs.google.com/spreadsheets/d/1qpEmbGH0JjaJbUdp21-y2cPbobDbMjr09BbtdKROZWc/edit#gid=1444865654"",""articles_with_PRISMA_reasons!W2:W2113""), $A1699=IMPORTRANGE(""https://docs.google.co"&amp;"m/spreadsheets/d/1qpEmbGH0JjaJbUdp21-y2cPbobDbMjr09BbtdKROZWc/edit#gid=1444865654"",""articles_with_PRISMA_reasons!B2:B2113""))&gt;=2,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$A1699=IMPORTRANGE(""https://docs.google.com/spreadsheets/d/1qpEmbGH0JjaJbUdp21-y2cPbobDbMjr09BbtdKROZWc/edit#gid=1444865654"",""articles_with_PRISMA_reasons!B2:B2113""))&lt;2),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$A1699=IMPORTRANGE(""https://docs.google.com/spreadsheets/d/1qpEmbGH0JjaJbUdp21-y2cPbobDbMjr09Bbtd"&amp;"KROZWc/edit#gid=1444865654"",""articles_with_PRISMA_reasons!B2:B2113""))&lt;2,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$A1699=I"&amp;"MPORTRANGE(""https://docs.google.com/spreadsheets/d/1qpEmbGH0JjaJbUdp21-y2cPbobDbMjr09BbtdKROZWc/edit#gid=1444865654"",""articles_with_PRISMA_reasons!B2:B2113""))&gt;=2),
""Exclude""
)"),"Exclude")</f>
        <v>Exclude</v>
      </c>
      <c r="F1699" s="5" t="str">
        <f>IFERROR(__xludf.DUMMYFUNCTION("IFS(
E1699=""Exclude"",""Exclude"",
AND(
COUNTIF(
IMPORTRANGE(""https://docs.google.com/spreadsheets/d/1kGrh75X1cNR1D7_FcY9zMnHP8iPO4M5RCRjy6nZY0TY/edit#gid=0"",""Table 1: Study characteristics!B4:B171""),A1699)&gt;0,
COUNTIF(Studies!$A$2:$A$85,FILTER(IMPORT"&amp;"RANGE(""https://docs.google.com/spreadsheets/d/1kGrh75X1cNR1D7_FcY9zMnHP8iPO4M5RCRjy6nZY0TY/edit#gid=0"",""Table 1: Study characteristics!A4:A171""), $A1699=IMPORTRANGE(""https://docs.google.com/spreadsheets/d/1kGrh75X1cNR1D7_FcY9zMnHP8iPO4M5RCRjy6nZY0TY/"&amp;"edit#gid=0"",""Table 1: Study characteristics!B4:B171"")))&gt;0
),
""Include""
)"),"Exclude")</f>
        <v>Exclude</v>
      </c>
      <c r="G1699" s="5" t="str">
        <f>IFERROR(__xludf.DUMMYFUNCTION("IFS(
D1699=""Exclude"",
FILTER(IMPORTRANGE(""https://docs.google.com/spreadsheets/d/1BJSV3WBYJGRhQ6zExamkszQ5VutGIcaQqmbD9ZTVXMQ/edit#gid=1251630045"",""articles_with_PRISMA_reasons!AB2:AB2113""), $A1699=IMPORTRANGE(""https://docs.google.com/spreadsheets/"&amp;"d/1BJSV3WBYJGRhQ6zExamkszQ5VutGIcaQqmbD9ZTVXMQ/edit#gid=1251630045"",""articles_with_PRISMA_reasons!B2:B2113"")),
E1699=""Exclude"",
FILTER(IMPORTRANGE(""https://docs.google.com/spreadsheets/d/1qpEmbGH0JjaJbUdp21-y2cPbobDbMjr09BbtdKROZWc/edit#gid=14448656"&amp;"54"",""articles_with_PRISMA_reasons!Z2:Z2113""), $A1699=IMPORTRANGE(""https://docs.google.com/spreadsheets/d/1qpEmbGH0JjaJbUdp21-y2cPbobDbMjr09BbtdKROZWc/edit#gid=1444865654"",""articles_with_PRISMA_reasons!B2:B2113"")),F1699
=""Include"",FILTER(IMPORTRAN"&amp;"GE(""https://docs.google.com/spreadsheets/d/1kGrh75X1cNR1D7_FcY9zMnHP8iPO4M5RCRjy6nZY0TY/edit#gid=0"",""Table 1: Study characteristics!A4:A171""), $A1699=IMPORTRANGE(""https://docs.google.com/spreadsheets/d/1kGrh75X1cNR1D7_FcY9zMnHP8iPO4M5RCRjy6nZY0TY/edi"&amp;"t#gid=0"",""Table 1: Study characteristics!B4:B171""))
)"),"Duplicate")</f>
        <v>Duplicate</v>
      </c>
    </row>
    <row r="1700">
      <c r="A1700" s="4" t="str">
        <f>IFERROR(__xludf.DUMMYFUNCTION("""COMPUTED_VALUE"""),"Shunt-related craniocerebral disproportion: Treatment with cranial vault expanding procedures")</f>
        <v>Shunt-related craniocerebral disproportion: Treatment with cranial vault expanding procedures</v>
      </c>
      <c r="B1700" s="2" t="s">
        <v>39</v>
      </c>
      <c r="C1700" s="6">
        <f>IFERROR(__xludf.DUMMYFUNCTION("FILTER(IMPORTRANGE(""https://docs.google.com/spreadsheets/d/1BJSV3WBYJGRhQ6zExamkszQ5VutGIcaQqmbD9ZTVXMQ/edit#gid=1251630045"",""articles_with_PRISMA_reasons!C2:C2113""), $A1700=IMPORTRANGE(""https://docs.google.com/spreadsheets/d/1BJSV3WBYJGRhQ6zExamkszQ"&amp;"5VutGIcaQqmbD9ZTVXMQ/edit#gid=1251630045"",""articles_with_PRISMA_reasons!B2:B2113""))"),2006.0)</f>
        <v>2006</v>
      </c>
      <c r="D1700" s="5" t="str">
        <f>IFERROR(__xludf.DUMMYFUNCTION("IFS(AND(
FILTER(IMPORTRANGE(""https://docs.google.com/spreadsheets/d/1BJSV3WBYJGRhQ6zExamkszQ5VutGIcaQqmbD9ZTVXMQ/edit#gid=1251630045"",""articles_with_PRISMA_reasons!Y2:Y2113""), $A1700=IMPORTRANGE(""https://docs.google.com/spreadsheets/d/1BJSV3WBYJGRhQ6"&amp;"zExamkszQ5VutGIcaQqmbD9ZTVXMQ/edit#gid=1251630045"",""articles_with_PRISMA_reasons!B2:B2113""))&gt;=2,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$A1700=IMPORTRANGE(""https://docs.google"&amp;".com/spreadsheets/d/1BJSV3WBYJGRhQ6zExamkszQ5VutGIcaQqmbD9ZTVXMQ/edit#gid=1251630045"",""articles_with_PRISMA_reasons!B2:B2113""))&gt;=2),
""Exclude""
)"),"Exclude")</f>
        <v>Exclude</v>
      </c>
      <c r="E1700" s="5" t="str">
        <f>IFERROR(__xludf.DUMMYFUNCTION("IFS(
D1700=""Exclude"",""Exclude"",
AND(
FILTER(IMPORTRANGE(""https://docs.google.com/spreadsheets/d/1qpEmbGH0JjaJbUdp21-y2cPbobDbMjr09BbtdKROZWc/edit#gid=1444865654"",""articles_with_PRISMA_reasons!W2:W2113""), $A1700=IMPORTRANGE(""https://docs.google.co"&amp;"m/spreadsheets/d/1qpEmbGH0JjaJbUdp21-y2cPbobDbMjr09BbtdKROZWc/edit#gid=1444865654"",""articles_with_PRISMA_reasons!B2:B2113""))&gt;=2,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$A1700=IMPORTRANGE(""https://docs.google.com/spreadsheets/d/1qpEmbGH0JjaJbUdp21-y2cPbobDbMjr09BbtdKROZWc/edit#gid=1444865654"",""articles_with_PRISMA_reasons!B2:B2113""))&lt;2),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$A1700=IMPORTRANGE(""https://docs.google.com/spreadsheets/d/1qpEmbGH0JjaJbUdp21-y2cPbobDbMjr09Bbtd"&amp;"KROZWc/edit#gid=1444865654"",""articles_with_PRISMA_reasons!B2:B2113""))&lt;2,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$A1700=I"&amp;"MPORTRANGE(""https://docs.google.com/spreadsheets/d/1qpEmbGH0JjaJbUdp21-y2cPbobDbMjr09BbtdKROZWc/edit#gid=1444865654"",""articles_with_PRISMA_reasons!B2:B2113""))&gt;=2),
""Exclude""
)"),"Exclude")</f>
        <v>Exclude</v>
      </c>
      <c r="F1700" s="5" t="str">
        <f>IFERROR(__xludf.DUMMYFUNCTION("IFS(
E1700=""Exclude"",""Exclude"",
AND(
COUNTIF(
IMPORTRANGE(""https://docs.google.com/spreadsheets/d/1kGrh75X1cNR1D7_FcY9zMnHP8iPO4M5RCRjy6nZY0TY/edit#gid=0"",""Table 1: Study characteristics!B4:B171""),A1700)&gt;0,
COUNTIF(Studies!$A$2:$A$85,FILTER(IMPORT"&amp;"RANGE(""https://docs.google.com/spreadsheets/d/1kGrh75X1cNR1D7_FcY9zMnHP8iPO4M5RCRjy6nZY0TY/edit#gid=0"",""Table 1: Study characteristics!A4:A171""), $A1700=IMPORTRANGE(""https://docs.google.com/spreadsheets/d/1kGrh75X1cNR1D7_FcY9zMnHP8iPO4M5RCRjy6nZY0TY/"&amp;"edit#gid=0"",""Table 1: Study characteristics!B4:B171"")))&gt;0
),
""Include""
)"),"Exclude")</f>
        <v>Exclude</v>
      </c>
      <c r="G1700" s="5" t="str">
        <f>IFERROR(__xludf.DUMMYFUNCTION("IFS(
D1700=""Exclude"",
FILTER(IMPORTRANGE(""https://docs.google.com/spreadsheets/d/1BJSV3WBYJGRhQ6zExamkszQ5VutGIcaQqmbD9ZTVXMQ/edit#gid=1251630045"",""articles_with_PRISMA_reasons!AB2:AB2113""), $A1700=IMPORTRANGE(""https://docs.google.com/spreadsheets/"&amp;"d/1BJSV3WBYJGRhQ6zExamkszQ5VutGIcaQqmbD9ZTVXMQ/edit#gid=1251630045"",""articles_with_PRISMA_reasons!B2:B2113"")),
E1700=""Exclude"",
FILTER(IMPORTRANGE(""https://docs.google.com/spreadsheets/d/1qpEmbGH0JjaJbUdp21-y2cPbobDbMjr09BbtdKROZWc/edit#gid=14448656"&amp;"54"",""articles_with_PRISMA_reasons!Z2:Z2113""), $A1700=IMPORTRANGE(""https://docs.google.com/spreadsheets/d/1qpEmbGH0JjaJbUdp21-y2cPbobDbMjr09BbtdKROZWc/edit#gid=1444865654"",""articles_with_PRISMA_reasons!B2:B2113"")),F1700
=""Include"",FILTER(IMPORTRAN"&amp;"GE(""https://docs.google.com/spreadsheets/d/1kGrh75X1cNR1D7_FcY9zMnHP8iPO4M5RCRjy6nZY0TY/edit#gid=0"",""Table 1: Study characteristics!A4:A171""), $A1700=IMPORTRANGE(""https://docs.google.com/spreadsheets/d/1kGrh75X1cNR1D7_FcY9zMnHP8iPO4M5RCRjy6nZY0TY/edi"&amp;"t#gid=0"",""Table 1: Study characteristics!B4:B171""))
)"),"wrong study design")</f>
        <v>wrong study design</v>
      </c>
    </row>
    <row r="1701">
      <c r="A1701" s="4" t="str">
        <f>IFERROR(__xludf.DUMMYFUNCTION("""COMPUTED_VALUE"""),"Significance of a single umbilical artery in fetuses with central nervous system malformations")</f>
        <v>Significance of a single umbilical artery in fetuses with central nervous system malformations</v>
      </c>
      <c r="B1701" s="5" t="str">
        <f>IFERROR(__xludf.DUMMYFUNCTION("LEFT(FILTER(IMPORTRANGE(""https://docs.google.com/spreadsheets/d/1BJSV3WBYJGRhQ6zExamkszQ5VutGIcaQqmbD9ZTVXMQ/edit#gid=1251630045"",""articles_with_PRISMA_reasons!K2:K2113""), $A1701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$A1701=IMPORTRANGE(""https://docs.google.com/spreadsheets/d/1BJSV3WBYJGRhQ6zExamkszQ5VutGIcaQqmbD9ZTVXMQ/edit#gid=1251630045"",""articles_with_PRISMA_reasons!B2:B2113"")))-1)"),"Nyberg")</f>
        <v>Nyberg</v>
      </c>
      <c r="C1701" s="6">
        <f>IFERROR(__xludf.DUMMYFUNCTION("FILTER(IMPORTRANGE(""https://docs.google.com/spreadsheets/d/1BJSV3WBYJGRhQ6zExamkszQ5VutGIcaQqmbD9ZTVXMQ/edit#gid=1251630045"",""articles_with_PRISMA_reasons!C2:C2113""), $A1701=IMPORTRANGE(""https://docs.google.com/spreadsheets/d/1BJSV3WBYJGRhQ6zExamkszQ"&amp;"5VutGIcaQqmbD9ZTVXMQ/edit#gid=1251630045"",""articles_with_PRISMA_reasons!B2:B2113""))"),1988.0)</f>
        <v>1988</v>
      </c>
      <c r="D1701" s="5" t="str">
        <f>IFERROR(__xludf.DUMMYFUNCTION("IFS(AND(
FILTER(IMPORTRANGE(""https://docs.google.com/spreadsheets/d/1BJSV3WBYJGRhQ6zExamkszQ5VutGIcaQqmbD9ZTVXMQ/edit#gid=1251630045"",""articles_with_PRISMA_reasons!Y2:Y2113""), $A1701=IMPORTRANGE(""https://docs.google.com/spreadsheets/d/1BJSV3WBYJGRhQ6"&amp;"zExamkszQ5VutGIcaQqmbD9ZTVXMQ/edit#gid=1251630045"",""articles_with_PRISMA_reasons!B2:B2113""))&gt;=2,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$A1701=IMPORTRANGE(""https://docs.google"&amp;".com/spreadsheets/d/1BJSV3WBYJGRhQ6zExamkszQ5VutGIcaQqmbD9ZTVXMQ/edit#gid=1251630045"",""articles_with_PRISMA_reasons!B2:B2113""))&gt;=2),
""Exclude""
)"),"Exclude")</f>
        <v>Exclude</v>
      </c>
      <c r="E1701" s="5" t="str">
        <f>IFERROR(__xludf.DUMMYFUNCTION("IFS(
D1701=""Exclude"",""Exclude"",
AND(
FILTER(IMPORTRANGE(""https://docs.google.com/spreadsheets/d/1qpEmbGH0JjaJbUdp21-y2cPbobDbMjr09BbtdKROZWc/edit#gid=1444865654"",""articles_with_PRISMA_reasons!W2:W2113""), $A1701=IMPORTRANGE(""https://docs.google.co"&amp;"m/spreadsheets/d/1qpEmbGH0JjaJbUdp21-y2cPbobDbMjr09BbtdKROZWc/edit#gid=1444865654"",""articles_with_PRISMA_reasons!B2:B2113""))&gt;=2,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$A1701=IMPORTRANGE(""https://docs.google.com/spreadsheets/d/1qpEmbGH0JjaJbUdp21-y2cPbobDbMjr09BbtdKROZWc/edit#gid=1444865654"",""articles_with_PRISMA_reasons!B2:B2113""))&lt;2),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$A1701=IMPORTRANGE(""https://docs.google.com/spreadsheets/d/1qpEmbGH0JjaJbUdp21-y2cPbobDbMjr09Bbtd"&amp;"KROZWc/edit#gid=1444865654"",""articles_with_PRISMA_reasons!B2:B2113""))&lt;2,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$A1701=I"&amp;"MPORTRANGE(""https://docs.google.com/spreadsheets/d/1qpEmbGH0JjaJbUdp21-y2cPbobDbMjr09BbtdKROZWc/edit#gid=1444865654"",""articles_with_PRISMA_reasons!B2:B2113""))&gt;=2),
""Exclude""
)"),"Exclude")</f>
        <v>Exclude</v>
      </c>
      <c r="F1701" s="5" t="str">
        <f>IFERROR(__xludf.DUMMYFUNCTION("IFS(
E1701=""Exclude"",""Exclude"",
AND(
COUNTIF(
IMPORTRANGE(""https://docs.google.com/spreadsheets/d/1kGrh75X1cNR1D7_FcY9zMnHP8iPO4M5RCRjy6nZY0TY/edit#gid=0"",""Table 1: Study characteristics!B4:B171""),A1701)&gt;0,
COUNTIF(Studies!$A$2:$A$85,FILTER(IMPORT"&amp;"RANGE(""https://docs.google.com/spreadsheets/d/1kGrh75X1cNR1D7_FcY9zMnHP8iPO4M5RCRjy6nZY0TY/edit#gid=0"",""Table 1: Study characteristics!A4:A171""), $A1701=IMPORTRANGE(""https://docs.google.com/spreadsheets/d/1kGrh75X1cNR1D7_FcY9zMnHP8iPO4M5RCRjy6nZY0TY/"&amp;"edit#gid=0"",""Table 1: Study characteristics!B4:B171"")))&gt;0
),
""Include""
)"),"Exclude")</f>
        <v>Exclude</v>
      </c>
      <c r="G1701" s="5" t="str">
        <f>IFERROR(__xludf.DUMMYFUNCTION("IFS(
D1701=""Exclude"",
FILTER(IMPORTRANGE(""https://docs.google.com/spreadsheets/d/1BJSV3WBYJGRhQ6zExamkszQ5VutGIcaQqmbD9ZTVXMQ/edit#gid=1251630045"",""articles_with_PRISMA_reasons!AB2:AB2113""), $A1701=IMPORTRANGE(""https://docs.google.com/spreadsheets/"&amp;"d/1BJSV3WBYJGRhQ6zExamkszQ5VutGIcaQqmbD9ZTVXMQ/edit#gid=1251630045"",""articles_with_PRISMA_reasons!B2:B2113"")),
E1701=""Exclude"",
FILTER(IMPORTRANGE(""https://docs.google.com/spreadsheets/d/1qpEmbGH0JjaJbUdp21-y2cPbobDbMjr09BbtdKROZWc/edit#gid=14448656"&amp;"54"",""articles_with_PRISMA_reasons!Z2:Z2113""), $A1701=IMPORTRANGE(""https://docs.google.com/spreadsheets/d/1qpEmbGH0JjaJbUdp21-y2cPbobDbMjr09BbtdKROZWc/edit#gid=1444865654"",""articles_with_PRISMA_reasons!B2:B2113"")),F1701
=""Include"",FILTER(IMPORTRAN"&amp;"GE(""https://docs.google.com/spreadsheets/d/1kGrh75X1cNR1D7_FcY9zMnHP8iPO4M5RCRjy6nZY0TY/edit#gid=0"",""Table 1: Study characteristics!A4:A171""), $A1701=IMPORTRANGE(""https://docs.google.com/spreadsheets/d/1kGrh75X1cNR1D7_FcY9zMnHP8iPO4M5RCRjy6nZY0TY/edi"&amp;"t#gid=0"",""Table 1: Study characteristics!B4:B171""))
)"),"wrong study design")</f>
        <v>wrong study design</v>
      </c>
    </row>
    <row r="1702">
      <c r="A1702" s="4" t="str">
        <f>IFERROR(__xludf.DUMMYFUNCTION("""COMPUTED_VALUE"""),"Significance of ultrasonic diagnosis in fetuses with deformities of central nervous system")</f>
        <v>Significance of ultrasonic diagnosis in fetuses with deformities of central nervous system</v>
      </c>
      <c r="B1702" s="5" t="str">
        <f>IFERROR(__xludf.DUMMYFUNCTION("LEFT(FILTER(IMPORTRANGE(""https://docs.google.com/spreadsheets/d/1BJSV3WBYJGRhQ6zExamkszQ5VutGIcaQqmbD9ZTVXMQ/edit#gid=1251630045"",""articles_with_PRISMA_reasons!K2:K2113""), $A1702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$A1702=IMPORTRANGE(""https://docs.google.com/spreadsheets/d/1BJSV3WBYJGRhQ6zExamkszQ5VutGIcaQqmbD9ZTVXMQ/edit#gid=1251630045"",""articles_with_PRISMA_reasons!B2:B2113"")))-1)"),"Zhou")</f>
        <v>Zhou</v>
      </c>
      <c r="C1702" s="6">
        <f>IFERROR(__xludf.DUMMYFUNCTION("FILTER(IMPORTRANGE(""https://docs.google.com/spreadsheets/d/1BJSV3WBYJGRhQ6zExamkszQ5VutGIcaQqmbD9ZTVXMQ/edit#gid=1251630045"",""articles_with_PRISMA_reasons!C2:C2113""), $A1702=IMPORTRANGE(""https://docs.google.com/spreadsheets/d/1BJSV3WBYJGRhQ6zExamkszQ"&amp;"5VutGIcaQqmbD9ZTVXMQ/edit#gid=1251630045"",""articles_with_PRISMA_reasons!B2:B2113""))"),2004.0)</f>
        <v>2004</v>
      </c>
      <c r="D1702" s="5" t="str">
        <f>IFERROR(__xludf.DUMMYFUNCTION("IFS(AND(
FILTER(IMPORTRANGE(""https://docs.google.com/spreadsheets/d/1BJSV3WBYJGRhQ6zExamkszQ5VutGIcaQqmbD9ZTVXMQ/edit#gid=1251630045"",""articles_with_PRISMA_reasons!Y2:Y2113""), $A1702=IMPORTRANGE(""https://docs.google.com/spreadsheets/d/1BJSV3WBYJGRhQ6"&amp;"zExamkszQ5VutGIcaQqmbD9ZTVXMQ/edit#gid=1251630045"",""articles_with_PRISMA_reasons!B2:B2113""))&gt;=2,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$A1702=IMPORTRANGE(""https://docs.google.com/spreadsheets/d/1BJSV3WBYJGRhQ6zExamkszQ5VutGIcaQqmbD9ZTVXMQ/edit#gid=1251630045"",""articles_with_PRISMA_reasons!B2:B2113""))&lt;2),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$A1702=IMPORTRANGE(""https://docs.google.com/spreadsheets/d/1BJSV3WBYJGRhQ6zExamkszQ5VutGIcaQqmbD9ZTVXMQ/edit#gid=1251630045"",""a"&amp;"rticles_with_PRISMA_reasons!B2:B2113""))&lt;2,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$A1702=IMPORTRANGE(""https://docs.google"&amp;".com/spreadsheets/d/1BJSV3WBYJGRhQ6zExamkszQ5VutGIcaQqmbD9ZTVXMQ/edit#gid=1251630045"",""articles_with_PRISMA_reasons!B2:B2113""))&gt;=2),
""Exclude""
)"),"Exclude")</f>
        <v>Exclude</v>
      </c>
      <c r="E1702" s="5" t="str">
        <f>IFERROR(__xludf.DUMMYFUNCTION("IFS(
D1702=""Exclude"",""Exclude"",
AND(
FILTER(IMPORTRANGE(""https://docs.google.com/spreadsheets/d/1qpEmbGH0JjaJbUdp21-y2cPbobDbMjr09BbtdKROZWc/edit#gid=1444865654"",""articles_with_PRISMA_reasons!W2:W2113""), $A1702=IMPORTRANGE(""https://docs.google.co"&amp;"m/spreadsheets/d/1qpEmbGH0JjaJbUdp21-y2cPbobDbMjr09BbtdKROZWc/edit#gid=1444865654"",""articles_with_PRISMA_reasons!B2:B2113""))&gt;=2,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$A1702=I"&amp;"MPORTRANGE(""https://docs.google.com/spreadsheets/d/1qpEmbGH0JjaJbUdp21-y2cPbobDbMjr09BbtdKROZWc/edit#gid=1444865654"",""articles_with_PRISMA_reasons!B2:B2113""))&gt;=2),
""Exclude""
)"),"Exclude")</f>
        <v>Exclude</v>
      </c>
      <c r="F1702" s="5" t="str">
        <f>IFERROR(__xludf.DUMMYFUNCTION("IFS(
E1702=""Exclude"",""Exclude"",
AND(
COUNTIF(
IMPORTRANGE(""https://docs.google.com/spreadsheets/d/1kGrh75X1cNR1D7_FcY9zMnHP8iPO4M5RCRjy6nZY0TY/edit#gid=0"",""Table 1: Study characteristics!B4:B171""),A1702)&gt;0,
COUNTIF(Studies!$A$2:$A$85,FILTER(IMPORT"&amp;"RANGE(""https://docs.google.com/spreadsheets/d/1kGrh75X1cNR1D7_FcY9zMnHP8iPO4M5RCRjy6nZY0TY/edit#gid=0"",""Table 1: Study characteristics!A4:A171""), $A1702=IMPORTRANGE(""https://docs.google.com/spreadsheets/d/1kGrh75X1cNR1D7_FcY9zMnHP8iPO4M5RCRjy6nZY0TY/"&amp;"edit#gid=0"",""Table 1: Study characteristics!B4:B171"")))&gt;0
),
""Include""
)"),"Exclude")</f>
        <v>Exclude</v>
      </c>
      <c r="G1702" s="5" t="str">
        <f>IFERROR(__xludf.DUMMYFUNCTION("IFS(
D1702=""Exclude"",
FILTER(IMPORTRANGE(""https://docs.google.com/spreadsheets/d/1BJSV3WBYJGRhQ6zExamkszQ5VutGIcaQqmbD9ZTVXMQ/edit#gid=1251630045"",""articles_with_PRISMA_reasons!AB2:AB2113""), $A1702=IMPORTRANGE(""https://docs.google.com/spreadsheets/"&amp;"d/1BJSV3WBYJGRhQ6zExamkszQ5VutGIcaQqmbD9ZTVXMQ/edit#gid=1251630045"",""articles_with_PRISMA_reasons!B2:B2113"")),
E1702=""Exclude"",
FILTER(IMPORTRANGE(""https://docs.google.com/spreadsheets/d/1qpEmbGH0JjaJbUdp21-y2cPbobDbMjr09BbtdKROZWc/edit#gid=14448656"&amp;"54"",""articles_with_PRISMA_reasons!Z2:Z2113""), $A1702=IMPORTRANGE(""https://docs.google.com/spreadsheets/d/1qpEmbGH0JjaJbUdp21-y2cPbobDbMjr09BbtdKROZWc/edit#gid=1444865654"",""articles_with_PRISMA_reasons!B2:B2113"")),F1702
=""Include"",FILTER(IMPORTRAN"&amp;"GE(""https://docs.google.com/spreadsheets/d/1kGrh75X1cNR1D7_FcY9zMnHP8iPO4M5RCRjy6nZY0TY/edit#gid=0"",""Table 1: Study characteristics!A4:A171""), $A1702=IMPORTRANGE(""https://docs.google.com/spreadsheets/d/1kGrh75X1cNR1D7_FcY9zMnHP8iPO4M5RCRjy6nZY0TY/edi"&amp;"t#gid=0"",""Table 1: Study characteristics!B4:B171""))
)"),"wrong population")</f>
        <v>wrong population</v>
      </c>
    </row>
    <row r="1703">
      <c r="A1703" s="4" t="str">
        <f>IFERROR(__xludf.DUMMYFUNCTION("""COMPUTED_VALUE"""),"Significant problems regarding neurosurgical procedures being performed by non-neurosurgeons")</f>
        <v>Significant problems regarding neurosurgical procedures being performed by non-neurosurgeons</v>
      </c>
      <c r="B1703" s="5" t="str">
        <f>IFERROR(__xludf.DUMMYFUNCTION("LEFT(FILTER(IMPORTRANGE(""https://docs.google.com/spreadsheets/d/1BJSV3WBYJGRhQ6zExamkszQ5VutGIcaQqmbD9ZTVXMQ/edit#gid=1251630045"",""articles_with_PRISMA_reasons!K2:K2113""), $A1703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$A1703=IMPORTRANGE(""https://docs.google.com/spreadsheets/d/1BJSV3WBYJGRhQ6zExamkszQ5VutGIcaQqmbD9ZTVXMQ/edit#gid=1251630045"",""articles_with_PRISMA_reasons!B2:B2113"")))-1)"),"Bannister")</f>
        <v>Bannister</v>
      </c>
      <c r="C1703" s="6">
        <f>IFERROR(__xludf.DUMMYFUNCTION("FILTER(IMPORTRANGE(""https://docs.google.com/spreadsheets/d/1BJSV3WBYJGRhQ6zExamkszQ5VutGIcaQqmbD9ZTVXMQ/edit#gid=1251630045"",""articles_with_PRISMA_reasons!C2:C2113""), $A1703=IMPORTRANGE(""https://docs.google.com/spreadsheets/d/1BJSV3WBYJGRhQ6zExamkszQ"&amp;"5VutGIcaQqmbD9ZTVXMQ/edit#gid=1251630045"",""articles_with_PRISMA_reasons!B2:B2113""))"),1995.0)</f>
        <v>1995</v>
      </c>
      <c r="D1703" s="5" t="str">
        <f>IFERROR(__xludf.DUMMYFUNCTION("IFS(AND(
FILTER(IMPORTRANGE(""https://docs.google.com/spreadsheets/d/1BJSV3WBYJGRhQ6zExamkszQ5VutGIcaQqmbD9ZTVXMQ/edit#gid=1251630045"",""articles_with_PRISMA_reasons!Y2:Y2113""), $A1703=IMPORTRANGE(""https://docs.google.com/spreadsheets/d/1BJSV3WBYJGRhQ6"&amp;"zExamkszQ5VutGIcaQqmbD9ZTVXMQ/edit#gid=1251630045"",""articles_with_PRISMA_reasons!B2:B2113""))&gt;=2,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$A1703=IMPORTRANGE(""https://docs.google"&amp;".com/spreadsheets/d/1BJSV3WBYJGRhQ6zExamkszQ5VutGIcaQqmbD9ZTVXMQ/edit#gid=1251630045"",""articles_with_PRISMA_reasons!B2:B2113""))&gt;=2),
""Exclude""
)"),"Exclude")</f>
        <v>Exclude</v>
      </c>
      <c r="E1703" s="5" t="str">
        <f>IFERROR(__xludf.DUMMYFUNCTION("IFS(
D1703=""Exclude"",""Exclude"",
AND(
FILTER(IMPORTRANGE(""https://docs.google.com/spreadsheets/d/1qpEmbGH0JjaJbUdp21-y2cPbobDbMjr09BbtdKROZWc/edit#gid=1444865654"",""articles_with_PRISMA_reasons!W2:W2113""), $A1703=IMPORTRANGE(""https://docs.google.co"&amp;"m/spreadsheets/d/1qpEmbGH0JjaJbUdp21-y2cPbobDbMjr09BbtdKROZWc/edit#gid=1444865654"",""articles_with_PRISMA_reasons!B2:B2113""))&gt;=2,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$A1703=I"&amp;"MPORTRANGE(""https://docs.google.com/spreadsheets/d/1qpEmbGH0JjaJbUdp21-y2cPbobDbMjr09BbtdKROZWc/edit#gid=1444865654"",""articles_with_PRISMA_reasons!B2:B2113""))&gt;=2),
""Exclude""
)"),"Exclude")</f>
        <v>Exclude</v>
      </c>
      <c r="F1703" s="5" t="str">
        <f>IFERROR(__xludf.DUMMYFUNCTION("IFS(
E1703=""Exclude"",""Exclude"",
AND(
COUNTIF(
IMPORTRANGE(""https://docs.google.com/spreadsheets/d/1kGrh75X1cNR1D7_FcY9zMnHP8iPO4M5RCRjy6nZY0TY/edit#gid=0"",""Table 1: Study characteristics!B4:B171""),A1703)&gt;0,
COUNTIF(Studies!$A$2:$A$85,FILTER(IMPORT"&amp;"RANGE(""https://docs.google.com/spreadsheets/d/1kGrh75X1cNR1D7_FcY9zMnHP8iPO4M5RCRjy6nZY0TY/edit#gid=0"",""Table 1: Study characteristics!A4:A171""), $A1703=IMPORTRANGE(""https://docs.google.com/spreadsheets/d/1kGrh75X1cNR1D7_FcY9zMnHP8iPO4M5RCRjy6nZY0TY/"&amp;"edit#gid=0"",""Table 1: Study characteristics!B4:B171"")))&gt;0
),
""Include""
)"),"Exclude")</f>
        <v>Exclude</v>
      </c>
      <c r="G1703" s="5" t="str">
        <f>IFERROR(__xludf.DUMMYFUNCTION("IFS(
D1703=""Exclude"",
FILTER(IMPORTRANGE(""https://docs.google.com/spreadsheets/d/1BJSV3WBYJGRhQ6zExamkszQ5VutGIcaQqmbD9ZTVXMQ/edit#gid=1251630045"",""articles_with_PRISMA_reasons!AB2:AB2113""), $A1703=IMPORTRANGE(""https://docs.google.com/spreadsheets/"&amp;"d/1BJSV3WBYJGRhQ6zExamkszQ5VutGIcaQqmbD9ZTVXMQ/edit#gid=1251630045"",""articles_with_PRISMA_reasons!B2:B2113"")),
E1703=""Exclude"",
FILTER(IMPORTRANGE(""https://docs.google.com/spreadsheets/d/1qpEmbGH0JjaJbUdp21-y2cPbobDbMjr09BbtdKROZWc/edit#gid=14448656"&amp;"54"",""articles_with_PRISMA_reasons!Z2:Z2113""), $A1703=IMPORTRANGE(""https://docs.google.com/spreadsheets/d/1qpEmbGH0JjaJbUdp21-y2cPbobDbMjr09BbtdKROZWc/edit#gid=1444865654"",""articles_with_PRISMA_reasons!B2:B2113"")),F1703
=""Include"",FILTER(IMPORTRAN"&amp;"GE(""https://docs.google.com/spreadsheets/d/1kGrh75X1cNR1D7_FcY9zMnHP8iPO4M5RCRjy6nZY0TY/edit#gid=0"",""Table 1: Study characteristics!A4:A171""), $A1703=IMPORTRANGE(""https://docs.google.com/spreadsheets/d/1kGrh75X1cNR1D7_FcY9zMnHP8iPO4M5RCRjy6nZY0TY/edi"&amp;"t#gid=0"",""Table 1: Study characteristics!B4:B171""))
)"),"wrong study design")</f>
        <v>wrong study design</v>
      </c>
    </row>
    <row r="1704">
      <c r="A1704" s="4" t="str">
        <f>IFERROR(__xludf.DUMMYFUNCTION("""COMPUTED_VALUE"""),"Simultaneous cyst excision and lumbo-peritoneal shunting in myelomeningocele")</f>
        <v>Simultaneous cyst excision and lumbo-peritoneal shunting in myelomeningocele</v>
      </c>
      <c r="B1704" s="5" t="str">
        <f>IFERROR(__xludf.DUMMYFUNCTION("LEFT(FILTER(IMPORTRANGE(""https://docs.google.com/spreadsheets/d/1BJSV3WBYJGRhQ6zExamkszQ5VutGIcaQqmbD9ZTVXMQ/edit#gid=1251630045"",""articles_with_PRISMA_reasons!K2:K2113""), $A1704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$A1704=IMPORTRANGE(""https://docs.google.com/spreadsheets/d/1BJSV3WBYJGRhQ6zExamkszQ5VutGIcaQqmbD9ZTVXMQ/edit#gid=1251630045"",""articles_with_PRISMA_reasons!B2:B2113"")))-1)"),"Adeloye")</f>
        <v>Adeloye</v>
      </c>
      <c r="C1704" s="6">
        <f>IFERROR(__xludf.DUMMYFUNCTION("FILTER(IMPORTRANGE(""https://docs.google.com/spreadsheets/d/1BJSV3WBYJGRhQ6zExamkszQ5VutGIcaQqmbD9ZTVXMQ/edit#gid=1251630045"",""articles_with_PRISMA_reasons!C2:C2113""), $A1704=IMPORTRANGE(""https://docs.google.com/spreadsheets/d/1BJSV3WBYJGRhQ6zExamkszQ"&amp;"5VutGIcaQqmbD9ZTVXMQ/edit#gid=1251630045"",""articles_with_PRISMA_reasons!B2:B2113""))"),1988.0)</f>
        <v>1988</v>
      </c>
      <c r="D1704" s="5" t="str">
        <f>IFERROR(__xludf.DUMMYFUNCTION("IFS(AND(
FILTER(IMPORTRANGE(""https://docs.google.com/spreadsheets/d/1BJSV3WBYJGRhQ6zExamkszQ5VutGIcaQqmbD9ZTVXMQ/edit#gid=1251630045"",""articles_with_PRISMA_reasons!Y2:Y2113""), $A1704=IMPORTRANGE(""https://docs.google.com/spreadsheets/d/1BJSV3WBYJGRhQ6"&amp;"zExamkszQ5VutGIcaQqmbD9ZTVXMQ/edit#gid=1251630045"",""articles_with_PRISMA_reasons!B2:B2113""))&gt;=2,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$A1704=IMPORTRANGE(""https://docs.google"&amp;".com/spreadsheets/d/1BJSV3WBYJGRhQ6zExamkszQ5VutGIcaQqmbD9ZTVXMQ/edit#gid=1251630045"",""articles_with_PRISMA_reasons!B2:B2113""))&gt;=2),
""Exclude""
)"),"Exclude")</f>
        <v>Exclude</v>
      </c>
      <c r="E1704" s="5" t="str">
        <f>IFERROR(__xludf.DUMMYFUNCTION("IFS(
D1704=""Exclude"",""Exclude"",
AND(
FILTER(IMPORTRANGE(""https://docs.google.com/spreadsheets/d/1qpEmbGH0JjaJbUdp21-y2cPbobDbMjr09BbtdKROZWc/edit#gid=1444865654"",""articles_with_PRISMA_reasons!W2:W2113""), $A1704=IMPORTRANGE(""https://docs.google.co"&amp;"m/spreadsheets/d/1qpEmbGH0JjaJbUdp21-y2cPbobDbMjr09BbtdKROZWc/edit#gid=1444865654"",""articles_with_PRISMA_reasons!B2:B2113""))&gt;=2,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$A1704=I"&amp;"MPORTRANGE(""https://docs.google.com/spreadsheets/d/1qpEmbGH0JjaJbUdp21-y2cPbobDbMjr09BbtdKROZWc/edit#gid=1444865654"",""articles_with_PRISMA_reasons!B2:B2113""))&gt;=2),
""Exclude""
)"),"Exclude")</f>
        <v>Exclude</v>
      </c>
      <c r="F1704" s="5" t="str">
        <f>IFERROR(__xludf.DUMMYFUNCTION("IFS(
E1704=""Exclude"",""Exclude"",
AND(
COUNTIF(
IMPORTRANGE(""https://docs.google.com/spreadsheets/d/1kGrh75X1cNR1D7_FcY9zMnHP8iPO4M5RCRjy6nZY0TY/edit#gid=0"",""Table 1: Study characteristics!B4:B171""),A1704)&gt;0,
COUNTIF(Studies!$A$2:$A$85,FILTER(IMPORT"&amp;"RANGE(""https://docs.google.com/spreadsheets/d/1kGrh75X1cNR1D7_FcY9zMnHP8iPO4M5RCRjy6nZY0TY/edit#gid=0"",""Table 1: Study characteristics!A4:A171""), $A1704=IMPORTRANGE(""https://docs.google.com/spreadsheets/d/1kGrh75X1cNR1D7_FcY9zMnHP8iPO4M5RCRjy6nZY0TY/"&amp;"edit#gid=0"",""Table 1: Study characteristics!B4:B171"")))&gt;0
),
""Include""
)"),"Exclude")</f>
        <v>Exclude</v>
      </c>
      <c r="G1704" s="5" t="str">
        <f>IFERROR(__xludf.DUMMYFUNCTION("IFS(
D1704=""Exclude"",
FILTER(IMPORTRANGE(""https://docs.google.com/spreadsheets/d/1BJSV3WBYJGRhQ6zExamkszQ5VutGIcaQqmbD9ZTVXMQ/edit#gid=1251630045"",""articles_with_PRISMA_reasons!AB2:AB2113""), $A1704=IMPORTRANGE(""https://docs.google.com/spreadsheets/"&amp;"d/1BJSV3WBYJGRhQ6zExamkszQ5VutGIcaQqmbD9ZTVXMQ/edit#gid=1251630045"",""articles_with_PRISMA_reasons!B2:B2113"")),
E1704=""Exclude"",
FILTER(IMPORTRANGE(""https://docs.google.com/spreadsheets/d/1qpEmbGH0JjaJbUdp21-y2cPbobDbMjr09BbtdKROZWc/edit#gid=14448656"&amp;"54"",""articles_with_PRISMA_reasons!Z2:Z2113""), $A1704=IMPORTRANGE(""https://docs.google.com/spreadsheets/d/1qpEmbGH0JjaJbUdp21-y2cPbobDbMjr09BbtdKROZWc/edit#gid=1444865654"",""articles_with_PRISMA_reasons!B2:B2113"")),F1704
=""Include"",FILTER(IMPORTRAN"&amp;"GE(""https://docs.google.com/spreadsheets/d/1kGrh75X1cNR1D7_FcY9zMnHP8iPO4M5RCRjy6nZY0TY/edit#gid=0"",""Table 1: Study characteristics!A4:A171""), $A1704=IMPORTRANGE(""https://docs.google.com/spreadsheets/d/1kGrh75X1cNR1D7_FcY9zMnHP8iPO4M5RCRjy6nZY0TY/edi"&amp;"t#gid=0"",""Table 1: Study characteristics!B4:B171""))
)"),"wrong study design")</f>
        <v>wrong study design</v>
      </c>
    </row>
    <row r="1705">
      <c r="A1705" s="4" t="str">
        <f>IFERROR(__xludf.DUMMYFUNCTION("""COMPUTED_VALUE"""),"Simultaneous repair of myelomeningocele and shunt insertion")</f>
        <v>Simultaneous repair of myelomeningocele and shunt insertion</v>
      </c>
      <c r="B1705" s="5" t="str">
        <f>IFERROR(__xludf.DUMMYFUNCTION("LEFT(FILTER(IMPORTRANGE(""https://docs.google.com/spreadsheets/d/1BJSV3WBYJGRhQ6zExamkszQ5VutGIcaQqmbD9ZTVXMQ/edit#gid=1251630045"",""articles_with_PRISMA_reasons!K2:K2113""), $A1705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$A1705=IMPORTRANGE(""https://docs.google.com/spreadsheets/d/1BJSV3WBYJGRhQ6zExamkszQ5VutGIcaQqmbD9ZTVXMQ/edit#gid=1251630045"",""articles_with_PRISMA_reasons!B2:B2113"")))-1)"),"Machado")</f>
        <v>Machado</v>
      </c>
      <c r="C1705" s="6">
        <f>IFERROR(__xludf.DUMMYFUNCTION("FILTER(IMPORTRANGE(""https://docs.google.com/spreadsheets/d/1BJSV3WBYJGRhQ6zExamkszQ5VutGIcaQqmbD9ZTVXMQ/edit#gid=1251630045"",""articles_with_PRISMA_reasons!C2:C2113""), $A1705=IMPORTRANGE(""https://docs.google.com/spreadsheets/d/1BJSV3WBYJGRhQ6zExamkszQ"&amp;"5VutGIcaQqmbD9ZTVXMQ/edit#gid=1251630045"",""articles_with_PRISMA_reasons!B2:B2113""))"),2004.0)</f>
        <v>2004</v>
      </c>
      <c r="D1705" s="5" t="str">
        <f>IFERROR(__xludf.DUMMYFUNCTION("IFS(AND(
FILTER(IMPORTRANGE(""https://docs.google.com/spreadsheets/d/1BJSV3WBYJGRhQ6zExamkszQ5VutGIcaQqmbD9ZTVXMQ/edit#gid=1251630045"",""articles_with_PRISMA_reasons!Y2:Y2113""), $A1705=IMPORTRANGE(""https://docs.google.com/spreadsheets/d/1BJSV3WBYJGRhQ6"&amp;"zExamkszQ5VutGIcaQqmbD9ZTVXMQ/edit#gid=1251630045"",""articles_with_PRISMA_reasons!B2:B2113""))&gt;=2,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$A1705=IMPORTRANGE(""https://docs.google"&amp;".com/spreadsheets/d/1BJSV3WBYJGRhQ6zExamkszQ5VutGIcaQqmbD9ZTVXMQ/edit#gid=1251630045"",""articles_with_PRISMA_reasons!B2:B2113""))&gt;=2),
""Exclude""
)"),"Include")</f>
        <v>Include</v>
      </c>
      <c r="E1705" s="5" t="str">
        <f>IFERROR(__xludf.DUMMYFUNCTION("IFS(
D1705=""Exclude"",""Exclude"",
AND(
FILTER(IMPORTRANGE(""https://docs.google.com/spreadsheets/d/1qpEmbGH0JjaJbUdp21-y2cPbobDbMjr09BbtdKROZWc/edit#gid=1444865654"",""articles_with_PRISMA_reasons!W2:W2113""), $A1705=IMPORTRANGE(""https://docs.google.co"&amp;"m/spreadsheets/d/1qpEmbGH0JjaJbUdp21-y2cPbobDbMjr09BbtdKROZWc/edit#gid=1444865654"",""articles_with_PRISMA_reasons!B2:B2113""))&gt;=2,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$A1705=I"&amp;"MPORTRANGE(""https://docs.google.com/spreadsheets/d/1qpEmbGH0JjaJbUdp21-y2cPbobDbMjr09BbtdKROZWc/edit#gid=1444865654"",""articles_with_PRISMA_reasons!B2:B2113""))&gt;=2),
""Exclude""
)"),"Include")</f>
        <v>Include</v>
      </c>
      <c r="F1705" s="5" t="str">
        <f>IFERROR(__xludf.DUMMYFUNCTION("IFS(
E1705=""Exclude"",""Exclude"",
AND(
COUNTIF(
IMPORTRANGE(""https://docs.google.com/spreadsheets/d/1kGrh75X1cNR1D7_FcY9zMnHP8iPO4M5RCRjy6nZY0TY/edit#gid=0"",""Table 1: Study characteristics!B4:B171""),A1705)&gt;0,
COUNTIF(Studies!$A$2:$A$85,FILTER(IMPORT"&amp;"RANGE(""https://docs.google.com/spreadsheets/d/1kGrh75X1cNR1D7_FcY9zMnHP8iPO4M5RCRjy6nZY0TY/edit#gid=0"",""Table 1: Study characteristics!A4:A171""), $A1705=IMPORTRANGE(""https://docs.google.com/spreadsheets/d/1kGrh75X1cNR1D7_FcY9zMnHP8iPO4M5RCRjy6nZY0TY/"&amp;"edit#gid=0"",""Table 1: Study characteristics!B4:B171"")))&gt;0
),
""Include""
)"),"Include")</f>
        <v>Include</v>
      </c>
      <c r="G1705" s="5" t="str">
        <f>IFERROR(__xludf.DUMMYFUNCTION("IFS(
D1705=""Exclude"",
FILTER(IMPORTRANGE(""https://docs.google.com/spreadsheets/d/1BJSV3WBYJGRhQ6zExamkszQ5VutGIcaQqmbD9ZTVXMQ/edit#gid=1251630045"",""articles_with_PRISMA_reasons!AB2:AB2113""), $A1705=IMPORTRANGE(""https://docs.google.com/spreadsheets/"&amp;"d/1BJSV3WBYJGRhQ6zExamkszQ5VutGIcaQqmbD9ZTVXMQ/edit#gid=1251630045"",""articles_with_PRISMA_reasons!B2:B2113"")),
E1705=""Exclude"",
FILTER(IMPORTRANGE(""https://docs.google.com/spreadsheets/d/1qpEmbGH0JjaJbUdp21-y2cPbobDbMjr09BbtdKROZWc/edit#gid=14448656"&amp;"54"",""articles_with_PRISMA_reasons!Z2:Z2113""), $A1705=IMPORTRANGE(""https://docs.google.com/spreadsheets/d/1qpEmbGH0JjaJbUdp21-y2cPbobDbMjr09BbtdKROZWc/edit#gid=1444865654"",""articles_with_PRISMA_reasons!B2:B2113"")),F1705
=""Include"",FILTER(IMPORTRAN"&amp;"GE(""https://docs.google.com/spreadsheets/d/1kGrh75X1cNR1D7_FcY9zMnHP8iPO4M5RCRjy6nZY0TY/edit#gid=0"",""Table 1: Study characteristics!A4:A171""), $A1705=IMPORTRANGE(""https://docs.google.com/spreadsheets/d/1kGrh75X1cNR1D7_FcY9zMnHP8iPO4M5RCRjy6nZY0TY/edi"&amp;"t#gid=0"",""Table 1: Study characteristics!B4:B171""))
)"),"ID 132")</f>
        <v>ID 132</v>
      </c>
    </row>
    <row r="1706">
      <c r="A1706" s="4" t="str">
        <f>IFERROR(__xludf.DUMMYFUNCTION("""COMPUTED_VALUE"""),"Single trocar laparoscopically assisted placement of central nervous system-peritoneal shunts")</f>
        <v>Single trocar laparoscopically assisted placement of central nervous system-peritoneal shunts</v>
      </c>
      <c r="B1706" s="5" t="str">
        <f>IFERROR(__xludf.DUMMYFUNCTION("LEFT(FILTER(IMPORTRANGE(""https://docs.google.com/spreadsheets/d/1BJSV3WBYJGRhQ6zExamkszQ5VutGIcaQqmbD9ZTVXMQ/edit#gid=1251630045"",""articles_with_PRISMA_reasons!K2:K2113""), $A1706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$A1706=IMPORTRANGE(""https://docs.google.com/spreadsheets/d/1BJSV3WBYJGRhQ6zExamkszQ5VutGIcaQqmbD9ZTVXMQ/edit#gid=1251630045"",""articles_with_PRISMA_reasons!B2:B2113"")))-1)"),"Goitein")</f>
        <v>Goitein</v>
      </c>
      <c r="C1706" s="6">
        <f>IFERROR(__xludf.DUMMYFUNCTION("FILTER(IMPORTRANGE(""https://docs.google.com/spreadsheets/d/1BJSV3WBYJGRhQ6zExamkszQ5VutGIcaQqmbD9ZTVXMQ/edit#gid=1251630045"",""articles_with_PRISMA_reasons!C2:C2113""), $A1706=IMPORTRANGE(""https://docs.google.com/spreadsheets/d/1BJSV3WBYJGRhQ6zExamkszQ"&amp;"5VutGIcaQqmbD9ZTVXMQ/edit#gid=1251630045"",""articles_with_PRISMA_reasons!B2:B2113""))"),2006.0)</f>
        <v>2006</v>
      </c>
      <c r="D1706" s="5" t="str">
        <f>IFERROR(__xludf.DUMMYFUNCTION("IFS(AND(
FILTER(IMPORTRANGE(""https://docs.google.com/spreadsheets/d/1BJSV3WBYJGRhQ6zExamkszQ5VutGIcaQqmbD9ZTVXMQ/edit#gid=1251630045"",""articles_with_PRISMA_reasons!Y2:Y2113""), $A1706=IMPORTRANGE(""https://docs.google.com/spreadsheets/d/1BJSV3WBYJGRhQ6"&amp;"zExamkszQ5VutGIcaQqmbD9ZTVXMQ/edit#gid=1251630045"",""articles_with_PRISMA_reasons!B2:B2113""))&gt;=2,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$A1706=IMPORTRANGE(""https://docs.google"&amp;".com/spreadsheets/d/1BJSV3WBYJGRhQ6zExamkszQ5VutGIcaQqmbD9ZTVXMQ/edit#gid=1251630045"",""articles_with_PRISMA_reasons!B2:B2113""))&gt;=2),
""Exclude""
)"),"Exclude")</f>
        <v>Exclude</v>
      </c>
      <c r="E1706" s="5" t="str">
        <f>IFERROR(__xludf.DUMMYFUNCTION("IFS(
D1706=""Exclude"",""Exclude"",
AND(
FILTER(IMPORTRANGE(""https://docs.google.com/spreadsheets/d/1qpEmbGH0JjaJbUdp21-y2cPbobDbMjr09BbtdKROZWc/edit#gid=1444865654"",""articles_with_PRISMA_reasons!W2:W2113""), $A1706=IMPORTRANGE(""https://docs.google.co"&amp;"m/spreadsheets/d/1qpEmbGH0JjaJbUdp21-y2cPbobDbMjr09BbtdKROZWc/edit#gid=1444865654"",""articles_with_PRISMA_reasons!B2:B2113""))&gt;=2,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$A1706=I"&amp;"MPORTRANGE(""https://docs.google.com/spreadsheets/d/1qpEmbGH0JjaJbUdp21-y2cPbobDbMjr09BbtdKROZWc/edit#gid=1444865654"",""articles_with_PRISMA_reasons!B2:B2113""))&gt;=2),
""Exclude""
)"),"Exclude")</f>
        <v>Exclude</v>
      </c>
      <c r="F1706" s="5" t="str">
        <f>IFERROR(__xludf.DUMMYFUNCTION("IFS(
E1706=""Exclude"",""Exclude"",
AND(
COUNTIF(
IMPORTRANGE(""https://docs.google.com/spreadsheets/d/1kGrh75X1cNR1D7_FcY9zMnHP8iPO4M5RCRjy6nZY0TY/edit#gid=0"",""Table 1: Study characteristics!B4:B171""),A1706)&gt;0,
COUNTIF(Studies!$A$2:$A$85,FILTER(IMPORT"&amp;"RANGE(""https://docs.google.com/spreadsheets/d/1kGrh75X1cNR1D7_FcY9zMnHP8iPO4M5RCRjy6nZY0TY/edit#gid=0"",""Table 1: Study characteristics!A4:A171""), $A1706=IMPORTRANGE(""https://docs.google.com/spreadsheets/d/1kGrh75X1cNR1D7_FcY9zMnHP8iPO4M5RCRjy6nZY0TY/"&amp;"edit#gid=0"",""Table 1: Study characteristics!B4:B171"")))&gt;0
),
""Include""
)"),"Exclude")</f>
        <v>Exclude</v>
      </c>
      <c r="G1706" s="5" t="str">
        <f>IFERROR(__xludf.DUMMYFUNCTION("IFS(
D1706=""Exclude"",
FILTER(IMPORTRANGE(""https://docs.google.com/spreadsheets/d/1BJSV3WBYJGRhQ6zExamkszQ5VutGIcaQqmbD9ZTVXMQ/edit#gid=1251630045"",""articles_with_PRISMA_reasons!AB2:AB2113""), $A1706=IMPORTRANGE(""https://docs.google.com/spreadsheets/"&amp;"d/1BJSV3WBYJGRhQ6zExamkszQ5VutGIcaQqmbD9ZTVXMQ/edit#gid=1251630045"",""articles_with_PRISMA_reasons!B2:B2113"")),
E1706=""Exclude"",
FILTER(IMPORTRANGE(""https://docs.google.com/spreadsheets/d/1qpEmbGH0JjaJbUdp21-y2cPbobDbMjr09BbtdKROZWc/edit#gid=14448656"&amp;"54"",""articles_with_PRISMA_reasons!Z2:Z2113""), $A1706=IMPORTRANGE(""https://docs.google.com/spreadsheets/d/1qpEmbGH0JjaJbUdp21-y2cPbobDbMjr09BbtdKROZWc/edit#gid=1444865654"",""articles_with_PRISMA_reasons!B2:B2113"")),F1706
=""Include"",FILTER(IMPORTRAN"&amp;"GE(""https://docs.google.com/spreadsheets/d/1kGrh75X1cNR1D7_FcY9zMnHP8iPO4M5RCRjy6nZY0TY/edit#gid=0"",""Table 1: Study characteristics!A4:A171""), $A1706=IMPORTRANGE(""https://docs.google.com/spreadsheets/d/1kGrh75X1cNR1D7_FcY9zMnHP8iPO4M5RCRjy6nZY0TY/edi"&amp;"t#gid=0"",""Table 1: Study characteristics!B4:B171""))
)"),"Duplicate")</f>
        <v>Duplicate</v>
      </c>
    </row>
    <row r="1707">
      <c r="A1707" s="4" t="str">
        <f>IFERROR(__xludf.DUMMYFUNCTION("""COMPUTED_VALUE"""),"Single-stage treatment of spina bifida with hydrocephalus based on a prediction rule derived from preoperative cranial ultrasound")</f>
        <v>Single-stage treatment of spina bifida with hydrocephalus based on a prediction rule derived from preoperative cranial ultrasound</v>
      </c>
      <c r="B1707" s="5" t="str">
        <f>IFERROR(__xludf.DUMMYFUNCTION("LEFT(FILTER(IMPORTRANGE(""https://docs.google.com/spreadsheets/d/1BJSV3WBYJGRhQ6zExamkszQ5VutGIcaQqmbD9ZTVXMQ/edit#gid=1251630045"",""articles_with_PRISMA_reasons!K2:K2113""), $A1707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$A1707=IMPORTRANGE(""https://docs.google.com/spreadsheets/d/1BJSV3WBYJGRhQ6zExamkszQ5VutGIcaQqmbD9ZTVXMQ/edit#gid=1251630045"",""articles_with_PRISMA_reasons!B2:B2113"")))-1)"),"Wakhlu")</f>
        <v>Wakhlu</v>
      </c>
      <c r="C1707" s="6">
        <f>IFERROR(__xludf.DUMMYFUNCTION("FILTER(IMPORTRANGE(""https://docs.google.com/spreadsheets/d/1BJSV3WBYJGRhQ6zExamkszQ5VutGIcaQqmbD9ZTVXMQ/edit#gid=1251630045"",""articles_with_PRISMA_reasons!C2:C2113""), $A1707=IMPORTRANGE(""https://docs.google.com/spreadsheets/d/1BJSV3WBYJGRhQ6zExamkszQ"&amp;"5VutGIcaQqmbD9ZTVXMQ/edit#gid=1251630045"",""articles_with_PRISMA_reasons!B2:B2113""))"),2009.0)</f>
        <v>2009</v>
      </c>
      <c r="D1707" s="5" t="str">
        <f>IFERROR(__xludf.DUMMYFUNCTION("IFS(AND(
FILTER(IMPORTRANGE(""https://docs.google.com/spreadsheets/d/1BJSV3WBYJGRhQ6zExamkszQ5VutGIcaQqmbD9ZTVXMQ/edit#gid=1251630045"",""articles_with_PRISMA_reasons!Y2:Y2113""), $A1707=IMPORTRANGE(""https://docs.google.com/spreadsheets/d/1BJSV3WBYJGRhQ6"&amp;"zExamkszQ5VutGIcaQqmbD9ZTVXMQ/edit#gid=1251630045"",""articles_with_PRISMA_reasons!B2:B2113""))&gt;=2,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$A1707=IMPORTRANGE(""https://docs.google"&amp;".com/spreadsheets/d/1BJSV3WBYJGRhQ6zExamkszQ5VutGIcaQqmbD9ZTVXMQ/edit#gid=1251630045"",""articles_with_PRISMA_reasons!B2:B2113""))&gt;=2),
""Exclude""
)"),"Include")</f>
        <v>Include</v>
      </c>
      <c r="E1707" s="5" t="str">
        <f>IFERROR(__xludf.DUMMYFUNCTION("IFS(
D1707=""Exclude"",""Exclude"",
AND(
FILTER(IMPORTRANGE(""https://docs.google.com/spreadsheets/d/1qpEmbGH0JjaJbUdp21-y2cPbobDbMjr09BbtdKROZWc/edit#gid=1444865654"",""articles_with_PRISMA_reasons!W2:W2113""), $A1707=IMPORTRANGE(""https://docs.google.co"&amp;"m/spreadsheets/d/1qpEmbGH0JjaJbUdp21-y2cPbobDbMjr09BbtdKROZWc/edit#gid=1444865654"",""articles_with_PRISMA_reasons!B2:B2113""))&gt;=2,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$A1707=I"&amp;"MPORTRANGE(""https://docs.google.com/spreadsheets/d/1qpEmbGH0JjaJbUdp21-y2cPbobDbMjr09BbtdKROZWc/edit#gid=1444865654"",""articles_with_PRISMA_reasons!B2:B2113""))&gt;=2),
""Exclude""
)"),"Include")</f>
        <v>Include</v>
      </c>
      <c r="F1707" s="5" t="str">
        <f>IFERROR(__xludf.DUMMYFUNCTION("IFS(
E1707=""Exclude"",""Exclude"",
AND(
COUNTIF(
IMPORTRANGE(""https://docs.google.com/spreadsheets/d/1kGrh75X1cNR1D7_FcY9zMnHP8iPO4M5RCRjy6nZY0TY/edit#gid=0"",""Table 1: Study characteristics!B4:B171""),A1707)&gt;0,
COUNTIF(Studies!$A$2:$A$85,FILTER(IMPORT"&amp;"RANGE(""https://docs.google.com/spreadsheets/d/1kGrh75X1cNR1D7_FcY9zMnHP8iPO4M5RCRjy6nZY0TY/edit#gid=0"",""Table 1: Study characteristics!A4:A171""), $A1707=IMPORTRANGE(""https://docs.google.com/spreadsheets/d/1kGrh75X1cNR1D7_FcY9zMnHP8iPO4M5RCRjy6nZY0TY/"&amp;"edit#gid=0"",""Table 1: Study characteristics!B4:B171"")))&gt;0
),
""Include""
)"),"#N/A")</f>
        <v>#N/A</v>
      </c>
      <c r="G1707" s="5" t="str">
        <f>IFERROR(__xludf.DUMMYFUNCTION("IFS(
D1707=""Exclude"",
FILTER(IMPORTRANGE(""https://docs.google.com/spreadsheets/d/1BJSV3WBYJGRhQ6zExamkszQ5VutGIcaQqmbD9ZTVXMQ/edit#gid=1251630045"",""articles_with_PRISMA_reasons!AB2:AB2113""), $A1707=IMPORTRANGE(""https://docs.google.com/spreadsheets/"&amp;"d/1BJSV3WBYJGRhQ6zExamkszQ5VutGIcaQqmbD9ZTVXMQ/edit#gid=1251630045"",""articles_with_PRISMA_reasons!B2:B2113"")),
E1707=""Exclude"",
FILTER(IMPORTRANGE(""https://docs.google.com/spreadsheets/d/1qpEmbGH0JjaJbUdp21-y2cPbobDbMjr09BbtdKROZWc/edit#gid=14448656"&amp;"54"",""articles_with_PRISMA_reasons!Z2:Z2113""), $A1707=IMPORTRANGE(""https://docs.google.com/spreadsheets/d/1qpEmbGH0JjaJbUdp21-y2cPbobDbMjr09BbtdKROZWc/edit#gid=1444865654"",""articles_with_PRISMA_reasons!B2:B2113"")),F1707
=""Include"",FILTER(IMPORTRAN"&amp;"GE(""https://docs.google.com/spreadsheets/d/1kGrh75X1cNR1D7_FcY9zMnHP8iPO4M5RCRjy6nZY0TY/edit#gid=0"",""Table 1: Study characteristics!A4:A171""), $A1707=IMPORTRANGE(""https://docs.google.com/spreadsheets/d/1kGrh75X1cNR1D7_FcY9zMnHP8iPO4M5RCRjy6nZY0TY/edi"&amp;"t#gid=0"",""Table 1: Study characteristics!B4:B171""))
)"),"#N/A")</f>
        <v>#N/A</v>
      </c>
    </row>
    <row r="1708">
      <c r="A1708" s="4" t="str">
        <f>IFERROR(__xludf.DUMMYFUNCTION("""COMPUTED_VALUE"""),"Skeletal maturity in myelodysplasia")</f>
        <v>Skeletal maturity in myelodysplasia</v>
      </c>
      <c r="B1708" s="5" t="str">
        <f>IFERROR(__xludf.DUMMYFUNCTION("LEFT(FILTER(IMPORTRANGE(""https://docs.google.com/spreadsheets/d/1BJSV3WBYJGRhQ6zExamkszQ5VutGIcaQqmbD9ZTVXMQ/edit#gid=1251630045"",""articles_with_PRISMA_reasons!K2:K2113""), $A1708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$A1708=IMPORTRANGE(""https://docs.google.com/spreadsheets/d/1BJSV3WBYJGRhQ6zExamkszQ5VutGIcaQqmbD9ZTVXMQ/edit#gid=1251630045"",""articles_with_PRISMA_reasons!B2:B2113"")))-1)"),"Kalen")</f>
        <v>Kalen</v>
      </c>
      <c r="C1708" s="6">
        <f>IFERROR(__xludf.DUMMYFUNCTION("FILTER(IMPORTRANGE(""https://docs.google.com/spreadsheets/d/1BJSV3WBYJGRhQ6zExamkszQ5VutGIcaQqmbD9ZTVXMQ/edit#gid=1251630045"",""articles_with_PRISMA_reasons!C2:C2113""), $A1708=IMPORTRANGE(""https://docs.google.com/spreadsheets/d/1BJSV3WBYJGRhQ6zExamkszQ"&amp;"5VutGIcaQqmbD9ZTVXMQ/edit#gid=1251630045"",""articles_with_PRISMA_reasons!B2:B2113""))"),1994.0)</f>
        <v>1994</v>
      </c>
      <c r="D1708" s="5" t="str">
        <f>IFERROR(__xludf.DUMMYFUNCTION("IFS(AND(
FILTER(IMPORTRANGE(""https://docs.google.com/spreadsheets/d/1BJSV3WBYJGRhQ6zExamkszQ5VutGIcaQqmbD9ZTVXMQ/edit#gid=1251630045"",""articles_with_PRISMA_reasons!Y2:Y2113""), $A1708=IMPORTRANGE(""https://docs.google.com/spreadsheets/d/1BJSV3WBYJGRhQ6"&amp;"zExamkszQ5VutGIcaQqmbD9ZTVXMQ/edit#gid=1251630045"",""articles_with_PRISMA_reasons!B2:B2113""))&gt;=2,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$A1708=IMPORTRANGE(""https://docs.google"&amp;".com/spreadsheets/d/1BJSV3WBYJGRhQ6zExamkszQ5VutGIcaQqmbD9ZTVXMQ/edit#gid=1251630045"",""articles_with_PRISMA_reasons!B2:B2113""))&gt;=2),
""Exclude""
)"),"Exclude")</f>
        <v>Exclude</v>
      </c>
      <c r="E1708" s="5" t="str">
        <f>IFERROR(__xludf.DUMMYFUNCTION("IFS(
D1708=""Exclude"",""Exclude"",
AND(
FILTER(IMPORTRANGE(""https://docs.google.com/spreadsheets/d/1qpEmbGH0JjaJbUdp21-y2cPbobDbMjr09BbtdKROZWc/edit#gid=1444865654"",""articles_with_PRISMA_reasons!W2:W2113""), $A1708=IMPORTRANGE(""https://docs.google.co"&amp;"m/spreadsheets/d/1qpEmbGH0JjaJbUdp21-y2cPbobDbMjr09BbtdKROZWc/edit#gid=1444865654"",""articles_with_PRISMA_reasons!B2:B2113""))&gt;=2,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$A1708=I"&amp;"MPORTRANGE(""https://docs.google.com/spreadsheets/d/1qpEmbGH0JjaJbUdp21-y2cPbobDbMjr09BbtdKROZWc/edit#gid=1444865654"",""articles_with_PRISMA_reasons!B2:B2113""))&gt;=2),
""Exclude""
)"),"Exclude")</f>
        <v>Exclude</v>
      </c>
      <c r="F1708" s="5" t="str">
        <f>IFERROR(__xludf.DUMMYFUNCTION("IFS(
E1708=""Exclude"",""Exclude"",
AND(
COUNTIF(
IMPORTRANGE(""https://docs.google.com/spreadsheets/d/1kGrh75X1cNR1D7_FcY9zMnHP8iPO4M5RCRjy6nZY0TY/edit#gid=0"",""Table 1: Study characteristics!B4:B171""),A1708)&gt;0,
COUNTIF(Studies!$A$2:$A$85,FILTER(IMPORT"&amp;"RANGE(""https://docs.google.com/spreadsheets/d/1kGrh75X1cNR1D7_FcY9zMnHP8iPO4M5RCRjy6nZY0TY/edit#gid=0"",""Table 1: Study characteristics!A4:A171""), $A1708=IMPORTRANGE(""https://docs.google.com/spreadsheets/d/1kGrh75X1cNR1D7_FcY9zMnHP8iPO4M5RCRjy6nZY0TY/"&amp;"edit#gid=0"",""Table 1: Study characteristics!B4:B171"")))&gt;0
),
""Include""
)"),"Exclude")</f>
        <v>Exclude</v>
      </c>
      <c r="G1708" s="5" t="str">
        <f>IFERROR(__xludf.DUMMYFUNCTION("IFS(
D1708=""Exclude"",
FILTER(IMPORTRANGE(""https://docs.google.com/spreadsheets/d/1BJSV3WBYJGRhQ6zExamkszQ5VutGIcaQqmbD9ZTVXMQ/edit#gid=1251630045"",""articles_with_PRISMA_reasons!AB2:AB2113""), $A1708=IMPORTRANGE(""https://docs.google.com/spreadsheets/"&amp;"d/1BJSV3WBYJGRhQ6zExamkszQ5VutGIcaQqmbD9ZTVXMQ/edit#gid=1251630045"",""articles_with_PRISMA_reasons!B2:B2113"")),
E1708=""Exclude"",
FILTER(IMPORTRANGE(""https://docs.google.com/spreadsheets/d/1qpEmbGH0JjaJbUdp21-y2cPbobDbMjr09BbtdKROZWc/edit#gid=14448656"&amp;"54"",""articles_with_PRISMA_reasons!Z2:Z2113""), $A1708=IMPORTRANGE(""https://docs.google.com/spreadsheets/d/1qpEmbGH0JjaJbUdp21-y2cPbobDbMjr09BbtdKROZWc/edit#gid=1444865654"",""articles_with_PRISMA_reasons!B2:B2113"")),F1708
=""Include"",FILTER(IMPORTRAN"&amp;"GE(""https://docs.google.com/spreadsheets/d/1kGrh75X1cNR1D7_FcY9zMnHP8iPO4M5RCRjy6nZY0TY/edit#gid=0"",""Table 1: Study characteristics!A4:A171""), $A1708=IMPORTRANGE(""https://docs.google.com/spreadsheets/d/1kGrh75X1cNR1D7_FcY9zMnHP8iPO4M5RCRjy6nZY0TY/edi"&amp;"t#gid=0"",""Table 1: Study characteristics!B4:B171""))
)"),"wrong population")</f>
        <v>wrong population</v>
      </c>
    </row>
    <row r="1709">
      <c r="A1709" s="4" t="str">
        <f>IFERROR(__xludf.DUMMYFUNCTION("""COMPUTED_VALUE"""),"Skeletal Maturity in Myelomeningocele")</f>
        <v>Skeletal Maturity in Myelomeningocele</v>
      </c>
      <c r="B1709" s="5" t="str">
        <f>IFERROR(__xludf.DUMMYFUNCTION("LEFT(FILTER(IMPORTRANGE(""https://docs.google.com/spreadsheets/d/1BJSV3WBYJGRhQ6zExamkszQ5VutGIcaQqmbD9ZTVXMQ/edit#gid=1251630045"",""articles_with_PRISMA_reasons!K2:K2113""), $A1709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$A1709=IMPORTRANGE(""https://docs.google.com/spreadsheets/d/1BJSV3WBYJGRhQ6zExamkszQ5VutGIcaQqmbD9ZTVXMQ/edit#gid=1251630045"",""articles_with_PRISMA_reasons!B2:B2113"")))-1)"),"Feeley")</f>
        <v>Feeley</v>
      </c>
      <c r="C1709" s="6">
        <f>IFERROR(__xludf.DUMMYFUNCTION("FILTER(IMPORTRANGE(""https://docs.google.com/spreadsheets/d/1BJSV3WBYJGRhQ6zExamkszQ5VutGIcaQqmbD9ZTVXMQ/edit#gid=1251630045"",""articles_with_PRISMA_reasons!C2:C2113""), $A1709=IMPORTRANGE(""https://docs.google.com/spreadsheets/d/1BJSV3WBYJGRhQ6zExamkszQ"&amp;"5VutGIcaQqmbD9ZTVXMQ/edit#gid=1251630045"",""articles_with_PRISMA_reasons!B2:B2113""))"),2003.0)</f>
        <v>2003</v>
      </c>
      <c r="D1709" s="5" t="str">
        <f>IFERROR(__xludf.DUMMYFUNCTION("IFS(AND(
FILTER(IMPORTRANGE(""https://docs.google.com/spreadsheets/d/1BJSV3WBYJGRhQ6zExamkszQ5VutGIcaQqmbD9ZTVXMQ/edit#gid=1251630045"",""articles_with_PRISMA_reasons!Y2:Y2113""), $A1709=IMPORTRANGE(""https://docs.google.com/spreadsheets/d/1BJSV3WBYJGRhQ6"&amp;"zExamkszQ5VutGIcaQqmbD9ZTVXMQ/edit#gid=1251630045"",""articles_with_PRISMA_reasons!B2:B2113""))&gt;=2,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$A1709=IMPORTRANGE(""https://docs.google"&amp;".com/spreadsheets/d/1BJSV3WBYJGRhQ6zExamkszQ5VutGIcaQqmbD9ZTVXMQ/edit#gid=1251630045"",""articles_with_PRISMA_reasons!B2:B2113""))&gt;=2),
""Exclude""
)"),"Exclude")</f>
        <v>Exclude</v>
      </c>
      <c r="E1709" s="5" t="str">
        <f>IFERROR(__xludf.DUMMYFUNCTION("IFS(
D1709=""Exclude"",""Exclude"",
AND(
FILTER(IMPORTRANGE(""https://docs.google.com/spreadsheets/d/1qpEmbGH0JjaJbUdp21-y2cPbobDbMjr09BbtdKROZWc/edit#gid=1444865654"",""articles_with_PRISMA_reasons!W2:W2113""), $A1709=IMPORTRANGE(""https://docs.google.co"&amp;"m/spreadsheets/d/1qpEmbGH0JjaJbUdp21-y2cPbobDbMjr09BbtdKROZWc/edit#gid=1444865654"",""articles_with_PRISMA_reasons!B2:B2113""))&gt;=2,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$A1709=I"&amp;"MPORTRANGE(""https://docs.google.com/spreadsheets/d/1qpEmbGH0JjaJbUdp21-y2cPbobDbMjr09BbtdKROZWc/edit#gid=1444865654"",""articles_with_PRISMA_reasons!B2:B2113""))&gt;=2),
""Exclude""
)"),"Exclude")</f>
        <v>Exclude</v>
      </c>
      <c r="F1709" s="5" t="str">
        <f>IFERROR(__xludf.DUMMYFUNCTION("IFS(
E1709=""Exclude"",""Exclude"",
AND(
COUNTIF(
IMPORTRANGE(""https://docs.google.com/spreadsheets/d/1kGrh75X1cNR1D7_FcY9zMnHP8iPO4M5RCRjy6nZY0TY/edit#gid=0"",""Table 1: Study characteristics!B4:B171""),A1709)&gt;0,
COUNTIF(Studies!$A$2:$A$85,FILTER(IMPORT"&amp;"RANGE(""https://docs.google.com/spreadsheets/d/1kGrh75X1cNR1D7_FcY9zMnHP8iPO4M5RCRjy6nZY0TY/edit#gid=0"",""Table 1: Study characteristics!A4:A171""), $A1709=IMPORTRANGE(""https://docs.google.com/spreadsheets/d/1kGrh75X1cNR1D7_FcY9zMnHP8iPO4M5RCRjy6nZY0TY/"&amp;"edit#gid=0"",""Table 1: Study characteristics!B4:B171"")))&gt;0
),
""Include""
)"),"Exclude")</f>
        <v>Exclude</v>
      </c>
      <c r="G1709" s="5" t="str">
        <f>IFERROR(__xludf.DUMMYFUNCTION("IFS(
D1709=""Exclude"",
FILTER(IMPORTRANGE(""https://docs.google.com/spreadsheets/d/1BJSV3WBYJGRhQ6zExamkszQ5VutGIcaQqmbD9ZTVXMQ/edit#gid=1251630045"",""articles_with_PRISMA_reasons!AB2:AB2113""), $A1709=IMPORTRANGE(""https://docs.google.com/spreadsheets/"&amp;"d/1BJSV3WBYJGRhQ6zExamkszQ5VutGIcaQqmbD9ZTVXMQ/edit#gid=1251630045"",""articles_with_PRISMA_reasons!B2:B2113"")),
E1709=""Exclude"",
FILTER(IMPORTRANGE(""https://docs.google.com/spreadsheets/d/1qpEmbGH0JjaJbUdp21-y2cPbobDbMjr09BbtdKROZWc/edit#gid=14448656"&amp;"54"",""articles_with_PRISMA_reasons!Z2:Z2113""), $A1709=IMPORTRANGE(""https://docs.google.com/spreadsheets/d/1qpEmbGH0JjaJbUdp21-y2cPbobDbMjr09BbtdKROZWc/edit#gid=1444865654"",""articles_with_PRISMA_reasons!B2:B2113"")),F1709
=""Include"",FILTER(IMPORTRAN"&amp;"GE(""https://docs.google.com/spreadsheets/d/1kGrh75X1cNR1D7_FcY9zMnHP8iPO4M5RCRjy6nZY0TY/edit#gid=0"",""Table 1: Study characteristics!A4:A171""), $A1709=IMPORTRANGE(""https://docs.google.com/spreadsheets/d/1kGrh75X1cNR1D7_FcY9zMnHP8iPO4M5RCRjy6nZY0TY/edi"&amp;"t#gid=0"",""Table 1: Study characteristics!B4:B171""))
)"),"wrong study design")</f>
        <v>wrong study design</v>
      </c>
    </row>
    <row r="1710">
      <c r="A1710" s="4" t="str">
        <f>IFERROR(__xludf.DUMMYFUNCTION("""COMPUTED_VALUE"""),"Skull lacunae in myelomeningocele")</f>
        <v>Skull lacunae in myelomeningocele</v>
      </c>
      <c r="B1710" s="5" t="str">
        <f>IFERROR(__xludf.DUMMYFUNCTION("LEFT(FILTER(IMPORTRANGE(""https://docs.google.com/spreadsheets/d/1BJSV3WBYJGRhQ6zExamkszQ5VutGIcaQqmbD9ZTVXMQ/edit#gid=1251630045"",""articles_with_PRISMA_reasons!K2:K2113""), $A1710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$A1710=IMPORTRANGE(""https://docs.google.com/spreadsheets/d/1BJSV3WBYJGRhQ6zExamkszQ5VutGIcaQqmbD9ZTVXMQ/edit#gid=1251630045"",""articles_with_PRISMA_reasons!B2:B2113"")))-1)"),"Giroud")</f>
        <v>Giroud</v>
      </c>
      <c r="C1710" s="6">
        <f>IFERROR(__xludf.DUMMYFUNCTION("FILTER(IMPORTRANGE(""https://docs.google.com/spreadsheets/d/1BJSV3WBYJGRhQ6zExamkszQ5VutGIcaQqmbD9ZTVXMQ/edit#gid=1251630045"",""articles_with_PRISMA_reasons!C2:C2113""), $A1710=IMPORTRANGE(""https://docs.google.com/spreadsheets/d/1BJSV3WBYJGRhQ6zExamkszQ"&amp;"5VutGIcaQqmbD9ZTVXMQ/edit#gid=1251630045"",""articles_with_PRISMA_reasons!B2:B2113""))"),1983.0)</f>
        <v>1983</v>
      </c>
      <c r="D1710" s="5" t="str">
        <f>IFERROR(__xludf.DUMMYFUNCTION("IFS(AND(
FILTER(IMPORTRANGE(""https://docs.google.com/spreadsheets/d/1BJSV3WBYJGRhQ6zExamkszQ5VutGIcaQqmbD9ZTVXMQ/edit#gid=1251630045"",""articles_with_PRISMA_reasons!Y2:Y2113""), $A1710=IMPORTRANGE(""https://docs.google.com/spreadsheets/d/1BJSV3WBYJGRhQ6"&amp;"zExamkszQ5VutGIcaQqmbD9ZTVXMQ/edit#gid=1251630045"",""articles_with_PRISMA_reasons!B2:B2113""))&gt;=2,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$A1710=IMPORTRANGE(""https://docs.google"&amp;".com/spreadsheets/d/1BJSV3WBYJGRhQ6zExamkszQ5VutGIcaQqmbD9ZTVXMQ/edit#gid=1251630045"",""articles_with_PRISMA_reasons!B2:B2113""))&gt;=2),
""Exclude""
)"),"Exclude")</f>
        <v>Exclude</v>
      </c>
      <c r="E1710" s="5" t="str">
        <f>IFERROR(__xludf.DUMMYFUNCTION("IFS(
D1710=""Exclude"",""Exclude"",
AND(
FILTER(IMPORTRANGE(""https://docs.google.com/spreadsheets/d/1qpEmbGH0JjaJbUdp21-y2cPbobDbMjr09BbtdKROZWc/edit#gid=1444865654"",""articles_with_PRISMA_reasons!W2:W2113""), $A1710=IMPORTRANGE(""https://docs.google.co"&amp;"m/spreadsheets/d/1qpEmbGH0JjaJbUdp21-y2cPbobDbMjr09BbtdKROZWc/edit#gid=1444865654"",""articles_with_PRISMA_reasons!B2:B2113""))&gt;=2,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$A1710=I"&amp;"MPORTRANGE(""https://docs.google.com/spreadsheets/d/1qpEmbGH0JjaJbUdp21-y2cPbobDbMjr09BbtdKROZWc/edit#gid=1444865654"",""articles_with_PRISMA_reasons!B2:B2113""))&gt;=2),
""Exclude""
)"),"Exclude")</f>
        <v>Exclude</v>
      </c>
      <c r="F1710" s="5" t="str">
        <f>IFERROR(__xludf.DUMMYFUNCTION("IFS(
E1710=""Exclude"",""Exclude"",
AND(
COUNTIF(
IMPORTRANGE(""https://docs.google.com/spreadsheets/d/1kGrh75X1cNR1D7_FcY9zMnHP8iPO4M5RCRjy6nZY0TY/edit#gid=0"",""Table 1: Study characteristics!B4:B171""),A1710)&gt;0,
COUNTIF(Studies!$A$2:$A$85,FILTER(IMPORT"&amp;"RANGE(""https://docs.google.com/spreadsheets/d/1kGrh75X1cNR1D7_FcY9zMnHP8iPO4M5RCRjy6nZY0TY/edit#gid=0"",""Table 1: Study characteristics!A4:A171""), $A1710=IMPORTRANGE(""https://docs.google.com/spreadsheets/d/1kGrh75X1cNR1D7_FcY9zMnHP8iPO4M5RCRjy6nZY0TY/"&amp;"edit#gid=0"",""Table 1: Study characteristics!B4:B171"")))&gt;0
),
""Include""
)"),"Exclude")</f>
        <v>Exclude</v>
      </c>
      <c r="G1710" s="5" t="str">
        <f>IFERROR(__xludf.DUMMYFUNCTION("IFS(
D1710=""Exclude"",
FILTER(IMPORTRANGE(""https://docs.google.com/spreadsheets/d/1BJSV3WBYJGRhQ6zExamkszQ5VutGIcaQqmbD9ZTVXMQ/edit#gid=1251630045"",""articles_with_PRISMA_reasons!AB2:AB2113""), $A1710=IMPORTRANGE(""https://docs.google.com/spreadsheets/"&amp;"d/1BJSV3WBYJGRhQ6zExamkszQ5VutGIcaQqmbD9ZTVXMQ/edit#gid=1251630045"",""articles_with_PRISMA_reasons!B2:B2113"")),
E1710=""Exclude"",
FILTER(IMPORTRANGE(""https://docs.google.com/spreadsheets/d/1qpEmbGH0JjaJbUdp21-y2cPbobDbMjr09BbtdKROZWc/edit#gid=14448656"&amp;"54"",""articles_with_PRISMA_reasons!Z2:Z2113""), $A1710=IMPORTRANGE(""https://docs.google.com/spreadsheets/d/1qpEmbGH0JjaJbUdp21-y2cPbobDbMjr09BbtdKROZWc/edit#gid=1444865654"",""articles_with_PRISMA_reasons!B2:B2113"")),F1710
=""Include"",FILTER(IMPORTRAN"&amp;"GE(""https://docs.google.com/spreadsheets/d/1kGrh75X1cNR1D7_FcY9zMnHP8iPO4M5RCRjy6nZY0TY/edit#gid=0"",""Table 1: Study characteristics!A4:A171""), $A1710=IMPORTRANGE(""https://docs.google.com/spreadsheets/d/1kGrh75X1cNR1D7_FcY9zMnHP8iPO4M5RCRjy6nZY0TY/edi"&amp;"t#gid=0"",""Table 1: Study characteristics!B4:B171""))
)"),"wrong population")</f>
        <v>wrong population</v>
      </c>
    </row>
    <row r="1711">
      <c r="A1711" s="4" t="str">
        <f>IFERROR(__xludf.DUMMYFUNCTION("""COMPUTED_VALUE"""),"Sleep problems, chronotype, and diurnal preferences in children and adults with spina bifida")</f>
        <v>Sleep problems, chronotype, and diurnal preferences in children and adults with spina bifida</v>
      </c>
      <c r="B1711" s="5" t="str">
        <f>IFERROR(__xludf.DUMMYFUNCTION("LEFT(FILTER(IMPORTRANGE(""https://docs.google.com/spreadsheets/d/1BJSV3WBYJGRhQ6zExamkszQ5VutGIcaQqmbD9ZTVXMQ/edit#gid=1251630045"",""articles_with_PRISMA_reasons!K2:K2113""), $A1711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$A1711=IMPORTRANGE(""https://docs.google.com/spreadsheets/d/1BJSV3WBYJGRhQ6zExamkszQ5VutGIcaQqmbD9ZTVXMQ/edit#gid=1251630045"",""articles_with_PRISMA_reasons!B2:B2113"")))-1)"),"Edelstein")</f>
        <v>Edelstein</v>
      </c>
      <c r="C1711" s="6">
        <f>IFERROR(__xludf.DUMMYFUNCTION("FILTER(IMPORTRANGE(""https://docs.google.com/spreadsheets/d/1BJSV3WBYJGRhQ6zExamkszQ5VutGIcaQqmbD9ZTVXMQ/edit#gid=1251630045"",""articles_with_PRISMA_reasons!C2:C2113""), $A1711=IMPORTRANGE(""https://docs.google.com/spreadsheets/d/1BJSV3WBYJGRhQ6zExamkszQ"&amp;"5VutGIcaQqmbD9ZTVXMQ/edit#gid=1251630045"",""articles_with_PRISMA_reasons!B2:B2113""))"),2012.0)</f>
        <v>2012</v>
      </c>
      <c r="D1711" s="5" t="str">
        <f>IFERROR(__xludf.DUMMYFUNCTION("IFS(AND(
FILTER(IMPORTRANGE(""https://docs.google.com/spreadsheets/d/1BJSV3WBYJGRhQ6zExamkszQ5VutGIcaQqmbD9ZTVXMQ/edit#gid=1251630045"",""articles_with_PRISMA_reasons!Y2:Y2113""), $A1711=IMPORTRANGE(""https://docs.google.com/spreadsheets/d/1BJSV3WBYJGRhQ6"&amp;"zExamkszQ5VutGIcaQqmbD9ZTVXMQ/edit#gid=1251630045"",""articles_with_PRISMA_reasons!B2:B2113""))&gt;=2,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$A1711=IMPORTRANGE(""https://docs.google"&amp;".com/spreadsheets/d/1BJSV3WBYJGRhQ6zExamkszQ5VutGIcaQqmbD9ZTVXMQ/edit#gid=1251630045"",""articles_with_PRISMA_reasons!B2:B2113""))&gt;=2),
""Exclude""
)"),"Exclude")</f>
        <v>Exclude</v>
      </c>
      <c r="E1711" s="5" t="str">
        <f>IFERROR(__xludf.DUMMYFUNCTION("IFS(
D1711=""Exclude"",""Exclude"",
AND(
FILTER(IMPORTRANGE(""https://docs.google.com/spreadsheets/d/1qpEmbGH0JjaJbUdp21-y2cPbobDbMjr09BbtdKROZWc/edit#gid=1444865654"",""articles_with_PRISMA_reasons!W2:W2113""), $A1711=IMPORTRANGE(""https://docs.google.co"&amp;"m/spreadsheets/d/1qpEmbGH0JjaJbUdp21-y2cPbobDbMjr09BbtdKROZWc/edit#gid=1444865654"",""articles_with_PRISMA_reasons!B2:B2113""))&gt;=2,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$A1711=I"&amp;"MPORTRANGE(""https://docs.google.com/spreadsheets/d/1qpEmbGH0JjaJbUdp21-y2cPbobDbMjr09BbtdKROZWc/edit#gid=1444865654"",""articles_with_PRISMA_reasons!B2:B2113""))&gt;=2),
""Exclude""
)"),"Exclude")</f>
        <v>Exclude</v>
      </c>
      <c r="F1711" s="5" t="str">
        <f>IFERROR(__xludf.DUMMYFUNCTION("IFS(
E1711=""Exclude"",""Exclude"",
AND(
COUNTIF(
IMPORTRANGE(""https://docs.google.com/spreadsheets/d/1kGrh75X1cNR1D7_FcY9zMnHP8iPO4M5RCRjy6nZY0TY/edit#gid=0"",""Table 1: Study characteristics!B4:B171""),A1711)&gt;0,
COUNTIF(Studies!$A$2:$A$85,FILTER(IMPORT"&amp;"RANGE(""https://docs.google.com/spreadsheets/d/1kGrh75X1cNR1D7_FcY9zMnHP8iPO4M5RCRjy6nZY0TY/edit#gid=0"",""Table 1: Study characteristics!A4:A171""), $A1711=IMPORTRANGE(""https://docs.google.com/spreadsheets/d/1kGrh75X1cNR1D7_FcY9zMnHP8iPO4M5RCRjy6nZY0TY/"&amp;"edit#gid=0"",""Table 1: Study characteristics!B4:B171"")))&gt;0
),
""Include""
)"),"Exclude")</f>
        <v>Exclude</v>
      </c>
      <c r="G1711" s="5" t="str">
        <f>IFERROR(__xludf.DUMMYFUNCTION("IFS(
D1711=""Exclude"",
FILTER(IMPORTRANGE(""https://docs.google.com/spreadsheets/d/1BJSV3WBYJGRhQ6zExamkszQ5VutGIcaQqmbD9ZTVXMQ/edit#gid=1251630045"",""articles_with_PRISMA_reasons!AB2:AB2113""), $A1711=IMPORTRANGE(""https://docs.google.com/spreadsheets/"&amp;"d/1BJSV3WBYJGRhQ6zExamkszQ5VutGIcaQqmbD9ZTVXMQ/edit#gid=1251630045"",""articles_with_PRISMA_reasons!B2:B2113"")),
E1711=""Exclude"",
FILTER(IMPORTRANGE(""https://docs.google.com/spreadsheets/d/1qpEmbGH0JjaJbUdp21-y2cPbobDbMjr09BbtdKROZWc/edit#gid=14448656"&amp;"54"",""articles_with_PRISMA_reasons!Z2:Z2113""), $A1711=IMPORTRANGE(""https://docs.google.com/spreadsheets/d/1qpEmbGH0JjaJbUdp21-y2cPbobDbMjr09BbtdKROZWc/edit#gid=1444865654"",""articles_with_PRISMA_reasons!B2:B2113"")),F1711
=""Include"",FILTER(IMPORTRAN"&amp;"GE(""https://docs.google.com/spreadsheets/d/1kGrh75X1cNR1D7_FcY9zMnHP8iPO4M5RCRjy6nZY0TY/edit#gid=0"",""Table 1: Study characteristics!A4:A171""), $A1711=IMPORTRANGE(""https://docs.google.com/spreadsheets/d/1kGrh75X1cNR1D7_FcY9zMnHP8iPO4M5RCRjy6nZY0TY/edi"&amp;"t#gid=0"",""Table 1: Study characteristics!B4:B171""))
)"),"wrong population")</f>
        <v>wrong population</v>
      </c>
    </row>
    <row r="1712">
      <c r="A1712" s="4" t="str">
        <f>IFERROR(__xludf.DUMMYFUNCTION("""COMPUTED_VALUE"""),"Sleep-disordered breathing in patients with myelomeningocele")</f>
        <v>Sleep-disordered breathing in patients with myelomeningocele</v>
      </c>
      <c r="B1712" s="5" t="str">
        <f>IFERROR(__xludf.DUMMYFUNCTION("LEFT(FILTER(IMPORTRANGE(""https://docs.google.com/spreadsheets/d/1BJSV3WBYJGRhQ6zExamkszQ5VutGIcaQqmbD9ZTVXMQ/edit#gid=1251630045"",""articles_with_PRISMA_reasons!K2:K2113""), $A1712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$A1712=IMPORTRANGE(""https://docs.google.com/spreadsheets/d/1BJSV3WBYJGRhQ6zExamkszQ5VutGIcaQqmbD9ZTVXMQ/edit#gid=1251630045"",""articles_with_PRISMA_reasons!B2:B2113"")))-1)"),"Patel")</f>
        <v>Patel</v>
      </c>
      <c r="C1712" s="6" t="str">
        <f>IFERROR(__xludf.DUMMYFUNCTION("FILTER(IMPORTRANGE(""https://docs.google.com/spreadsheets/d/1BJSV3WBYJGRhQ6zExamkszQ5VutGIcaQqmbD9ZTVXMQ/edit#gid=1251630045"",""articles_with_PRISMA_reasons!C2:C2113""), $A1712=IMPORTRANGE(""https://docs.google.com/spreadsheets/d/1BJSV3WBYJGRhQ6zExamkszQ"&amp;"5VutGIcaQqmbD9ZTVXMQ/edit#gid=1251630045"",""articles_with_PRISMA_reasons!B2:B2113""))"),"Jul")</f>
        <v>Jul</v>
      </c>
      <c r="D1712" s="5" t="str">
        <f>IFERROR(__xludf.DUMMYFUNCTION("IFS(AND(
FILTER(IMPORTRANGE(""https://docs.google.com/spreadsheets/d/1BJSV3WBYJGRhQ6zExamkszQ5VutGIcaQqmbD9ZTVXMQ/edit#gid=1251630045"",""articles_with_PRISMA_reasons!Y2:Y2113""), $A1712=IMPORTRANGE(""https://docs.google.com/spreadsheets/d/1BJSV3WBYJGRhQ6"&amp;"zExamkszQ5VutGIcaQqmbD9ZTVXMQ/edit#gid=1251630045"",""articles_with_PRISMA_reasons!B2:B2113""))&gt;=2,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$A1712=IMPORTRANGE(""https://docs.google"&amp;".com/spreadsheets/d/1BJSV3WBYJGRhQ6zExamkszQ5VutGIcaQqmbD9ZTVXMQ/edit#gid=1251630045"",""articles_with_PRISMA_reasons!B2:B2113""))&gt;=2),
""Exclude""
)"),"Exclude")</f>
        <v>Exclude</v>
      </c>
      <c r="E1712" s="5" t="str">
        <f>IFERROR(__xludf.DUMMYFUNCTION("IFS(
D1712=""Exclude"",""Exclude"",
AND(
FILTER(IMPORTRANGE(""https://docs.google.com/spreadsheets/d/1qpEmbGH0JjaJbUdp21-y2cPbobDbMjr09BbtdKROZWc/edit#gid=1444865654"",""articles_with_PRISMA_reasons!W2:W2113""), $A1712=IMPORTRANGE(""https://docs.google.co"&amp;"m/spreadsheets/d/1qpEmbGH0JjaJbUdp21-y2cPbobDbMjr09BbtdKROZWc/edit#gid=1444865654"",""articles_with_PRISMA_reasons!B2:B2113""))&gt;=2,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$A1712=I"&amp;"MPORTRANGE(""https://docs.google.com/spreadsheets/d/1qpEmbGH0JjaJbUdp21-y2cPbobDbMjr09BbtdKROZWc/edit#gid=1444865654"",""articles_with_PRISMA_reasons!B2:B2113""))&gt;=2),
""Exclude""
)"),"Exclude")</f>
        <v>Exclude</v>
      </c>
      <c r="F1712" s="5" t="str">
        <f>IFERROR(__xludf.DUMMYFUNCTION("IFS(
E1712=""Exclude"",""Exclude"",
AND(
COUNTIF(
IMPORTRANGE(""https://docs.google.com/spreadsheets/d/1kGrh75X1cNR1D7_FcY9zMnHP8iPO4M5RCRjy6nZY0TY/edit#gid=0"",""Table 1: Study characteristics!B4:B171""),A1712)&gt;0,
COUNTIF(Studies!$A$2:$A$85,FILTER(IMPORT"&amp;"RANGE(""https://docs.google.com/spreadsheets/d/1kGrh75X1cNR1D7_FcY9zMnHP8iPO4M5RCRjy6nZY0TY/edit#gid=0"",""Table 1: Study characteristics!A4:A171""), $A1712=IMPORTRANGE(""https://docs.google.com/spreadsheets/d/1kGrh75X1cNR1D7_FcY9zMnHP8iPO4M5RCRjy6nZY0TY/"&amp;"edit#gid=0"",""Table 1: Study characteristics!B4:B171"")))&gt;0
),
""Include""
)"),"Exclude")</f>
        <v>Exclude</v>
      </c>
      <c r="G1712" s="5" t="str">
        <f>IFERROR(__xludf.DUMMYFUNCTION("IFS(
D1712=""Exclude"",
FILTER(IMPORTRANGE(""https://docs.google.com/spreadsheets/d/1BJSV3WBYJGRhQ6zExamkszQ5VutGIcaQqmbD9ZTVXMQ/edit#gid=1251630045"",""articles_with_PRISMA_reasons!AB2:AB2113""), $A1712=IMPORTRANGE(""https://docs.google.com/spreadsheets/"&amp;"d/1BJSV3WBYJGRhQ6zExamkszQ5VutGIcaQqmbD9ZTVXMQ/edit#gid=1251630045"",""articles_with_PRISMA_reasons!B2:B2113"")),
E1712=""Exclude"",
FILTER(IMPORTRANGE(""https://docs.google.com/spreadsheets/d/1qpEmbGH0JjaJbUdp21-y2cPbobDbMjr09BbtdKROZWc/edit#gid=14448656"&amp;"54"",""articles_with_PRISMA_reasons!Z2:Z2113""), $A1712=IMPORTRANGE(""https://docs.google.com/spreadsheets/d/1qpEmbGH0JjaJbUdp21-y2cPbobDbMjr09BbtdKROZWc/edit#gid=1444865654"",""articles_with_PRISMA_reasons!B2:B2113"")),F1712
=""Include"",FILTER(IMPORTRAN"&amp;"GE(""https://docs.google.com/spreadsheets/d/1kGrh75X1cNR1D7_FcY9zMnHP8iPO4M5RCRjy6nZY0TY/edit#gid=0"",""Table 1: Study characteristics!A4:A171""), $A1712=IMPORTRANGE(""https://docs.google.com/spreadsheets/d/1kGrh75X1cNR1D7_FcY9zMnHP8iPO4M5RCRjy6nZY0TY/edi"&amp;"t#gid=0"",""Table 1: Study characteristics!B4:B171""))
)"),"Duplicate")</f>
        <v>Duplicate</v>
      </c>
    </row>
    <row r="1713">
      <c r="A1713" s="4" t="str">
        <f>IFERROR(__xludf.DUMMYFUNCTION("""COMPUTED_VALUE"""),"Slitlike ventricle syndrome: a life-threatening presentation")</f>
        <v>Slitlike ventricle syndrome: a life-threatening presentation</v>
      </c>
      <c r="B1713" s="5" t="str">
        <f>IFERROR(__xludf.DUMMYFUNCTION("LEFT(FILTER(IMPORTRANGE(""https://docs.google.com/spreadsheets/d/1BJSV3WBYJGRhQ6zExamkszQ5VutGIcaQqmbD9ZTVXMQ/edit#gid=1251630045"",""articles_with_PRISMA_reasons!K2:K2113""), $A1713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$A1713=IMPORTRANGE(""https://docs.google.com/spreadsheets/d/1BJSV3WBYJGRhQ6zExamkszQ5VutGIcaQqmbD9ZTVXMQ/edit#gid=1251630045"",""articles_with_PRISMA_reasons!B2:B2113"")))-1)"),"da Silva")</f>
        <v>da Silva</v>
      </c>
      <c r="C1713" s="6" t="str">
        <f>IFERROR(__xludf.DUMMYFUNCTION("FILTER(IMPORTRANGE(""https://docs.google.com/spreadsheets/d/1BJSV3WBYJGRhQ6zExamkszQ5VutGIcaQqmbD9ZTVXMQ/edit#gid=1251630045"",""articles_with_PRISMA_reasons!C2:C2113""), $A1713=IMPORTRANGE(""https://docs.google.com/spreadsheets/d/1BJSV3WBYJGRhQ6zExamkszQ"&amp;"5VutGIcaQqmbD9ZTVXMQ/edit#gid=1251630045"",""articles_with_PRISMA_reasons!B2:B2113""))"),"Oct")</f>
        <v>Oct</v>
      </c>
      <c r="D1713" s="5" t="str">
        <f>IFERROR(__xludf.DUMMYFUNCTION("IFS(AND(
FILTER(IMPORTRANGE(""https://docs.google.com/spreadsheets/d/1BJSV3WBYJGRhQ6zExamkszQ5VutGIcaQqmbD9ZTVXMQ/edit#gid=1251630045"",""articles_with_PRISMA_reasons!Y2:Y2113""), $A1713=IMPORTRANGE(""https://docs.google.com/spreadsheets/d/1BJSV3WBYJGRhQ6"&amp;"zExamkszQ5VutGIcaQqmbD9ZTVXMQ/edit#gid=1251630045"",""articles_with_PRISMA_reasons!B2:B2113""))&gt;=2,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$A1713=IMPORTRANGE(""https://docs.google"&amp;".com/spreadsheets/d/1BJSV3WBYJGRhQ6zExamkszQ5VutGIcaQqmbD9ZTVXMQ/edit#gid=1251630045"",""articles_with_PRISMA_reasons!B2:B2113""))&gt;=2),
""Exclude""
)"),"Exclude")</f>
        <v>Exclude</v>
      </c>
      <c r="E1713" s="5" t="str">
        <f>IFERROR(__xludf.DUMMYFUNCTION("IFS(
D1713=""Exclude"",""Exclude"",
AND(
FILTER(IMPORTRANGE(""https://docs.google.com/spreadsheets/d/1qpEmbGH0JjaJbUdp21-y2cPbobDbMjr09BbtdKROZWc/edit#gid=1444865654"",""articles_with_PRISMA_reasons!W2:W2113""), $A1713=IMPORTRANGE(""https://docs.google.co"&amp;"m/spreadsheets/d/1qpEmbGH0JjaJbUdp21-y2cPbobDbMjr09BbtdKROZWc/edit#gid=1444865654"",""articles_with_PRISMA_reasons!B2:B2113""))&gt;=2,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$A1713=I"&amp;"MPORTRANGE(""https://docs.google.com/spreadsheets/d/1qpEmbGH0JjaJbUdp21-y2cPbobDbMjr09BbtdKROZWc/edit#gid=1444865654"",""articles_with_PRISMA_reasons!B2:B2113""))&gt;=2),
""Exclude""
)"),"Exclude")</f>
        <v>Exclude</v>
      </c>
      <c r="F1713" s="5" t="str">
        <f>IFERROR(__xludf.DUMMYFUNCTION("IFS(
E1713=""Exclude"",""Exclude"",
AND(
COUNTIF(
IMPORTRANGE(""https://docs.google.com/spreadsheets/d/1kGrh75X1cNR1D7_FcY9zMnHP8iPO4M5RCRjy6nZY0TY/edit#gid=0"",""Table 1: Study characteristics!B4:B171""),A1713)&gt;0,
COUNTIF(Studies!$A$2:$A$85,FILTER(IMPORT"&amp;"RANGE(""https://docs.google.com/spreadsheets/d/1kGrh75X1cNR1D7_FcY9zMnHP8iPO4M5RCRjy6nZY0TY/edit#gid=0"",""Table 1: Study characteristics!A4:A171""), $A1713=IMPORTRANGE(""https://docs.google.com/spreadsheets/d/1kGrh75X1cNR1D7_FcY9zMnHP8iPO4M5RCRjy6nZY0TY/"&amp;"edit#gid=0"",""Table 1: Study characteristics!B4:B171"")))&gt;0
),
""Include""
)"),"Exclude")</f>
        <v>Exclude</v>
      </c>
      <c r="G1713" s="5" t="str">
        <f>IFERROR(__xludf.DUMMYFUNCTION("IFS(
D1713=""Exclude"",
FILTER(IMPORTRANGE(""https://docs.google.com/spreadsheets/d/1BJSV3WBYJGRhQ6zExamkszQ5VutGIcaQqmbD9ZTVXMQ/edit#gid=1251630045"",""articles_with_PRISMA_reasons!AB2:AB2113""), $A1713=IMPORTRANGE(""https://docs.google.com/spreadsheets/"&amp;"d/1BJSV3WBYJGRhQ6zExamkszQ5VutGIcaQqmbD9ZTVXMQ/edit#gid=1251630045"",""articles_with_PRISMA_reasons!B2:B2113"")),
E1713=""Exclude"",
FILTER(IMPORTRANGE(""https://docs.google.com/spreadsheets/d/1qpEmbGH0JjaJbUdp21-y2cPbobDbMjr09BbtdKROZWc/edit#gid=14448656"&amp;"54"",""articles_with_PRISMA_reasons!Z2:Z2113""), $A1713=IMPORTRANGE(""https://docs.google.com/spreadsheets/d/1qpEmbGH0JjaJbUdp21-y2cPbobDbMjr09BbtdKROZWc/edit#gid=1444865654"",""articles_with_PRISMA_reasons!B2:B2113"")),F1713
=""Include"",FILTER(IMPORTRAN"&amp;"GE(""https://docs.google.com/spreadsheets/d/1kGrh75X1cNR1D7_FcY9zMnHP8iPO4M5RCRjy6nZY0TY/edit#gid=0"",""Table 1: Study characteristics!A4:A171""), $A1713=IMPORTRANGE(""https://docs.google.com/spreadsheets/d/1kGrh75X1cNR1D7_FcY9zMnHP8iPO4M5RCRjy6nZY0TY/edi"&amp;"t#gid=0"",""Table 1: Study characteristics!B4:B171""))
)"),"wrong publication type")</f>
        <v>wrong publication type</v>
      </c>
    </row>
    <row r="1714">
      <c r="A1714" s="4" t="str">
        <f>IFERROR(__xludf.DUMMYFUNCTION("""COMPUTED_VALUE"""),"Small bowel fistulization with orphaned intraperitoneal ventriculoperitoneal shunt catheter")</f>
        <v>Small bowel fistulization with orphaned intraperitoneal ventriculoperitoneal shunt catheter</v>
      </c>
      <c r="B1714" s="5" t="str">
        <f>IFERROR(__xludf.DUMMYFUNCTION("LEFT(FILTER(IMPORTRANGE(""https://docs.google.com/spreadsheets/d/1BJSV3WBYJGRhQ6zExamkszQ5VutGIcaQqmbD9ZTVXMQ/edit#gid=1251630045"",""articles_with_PRISMA_reasons!K2:K2113""), $A1714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$A1714=IMPORTRANGE(""https://docs.google.com/spreadsheets/d/1BJSV3WBYJGRhQ6zExamkszQ5VutGIcaQqmbD9ZTVXMQ/edit#gid=1251630045"",""articles_with_PRISMA_reasons!B2:B2113"")))-1)"),"Wright")</f>
        <v>Wright</v>
      </c>
      <c r="C1714" s="6">
        <f>IFERROR(__xludf.DUMMYFUNCTION("FILTER(IMPORTRANGE(""https://docs.google.com/spreadsheets/d/1BJSV3WBYJGRhQ6zExamkszQ5VutGIcaQqmbD9ZTVXMQ/edit#gid=1251630045"",""articles_with_PRISMA_reasons!C2:C2113""), $A1714=IMPORTRANGE(""https://docs.google.com/spreadsheets/d/1BJSV3WBYJGRhQ6zExamkszQ"&amp;"5VutGIcaQqmbD9ZTVXMQ/edit#gid=1251630045"",""articles_with_PRISMA_reasons!B2:B2113""))"),2018.0)</f>
        <v>2018</v>
      </c>
      <c r="D1714" s="5" t="str">
        <f>IFERROR(__xludf.DUMMYFUNCTION("IFS(AND(
FILTER(IMPORTRANGE(""https://docs.google.com/spreadsheets/d/1BJSV3WBYJGRhQ6zExamkszQ5VutGIcaQqmbD9ZTVXMQ/edit#gid=1251630045"",""articles_with_PRISMA_reasons!Y2:Y2113""), $A1714=IMPORTRANGE(""https://docs.google.com/spreadsheets/d/1BJSV3WBYJGRhQ6"&amp;"zExamkszQ5VutGIcaQqmbD9ZTVXMQ/edit#gid=1251630045"",""articles_with_PRISMA_reasons!B2:B2113""))&gt;=2,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$A1714=IMPORTRANGE(""https://docs.google.com/spreadsheets/d/1BJSV3WBYJGRhQ6zExamkszQ5VutGIcaQqmbD9ZTVXMQ/edit#gid=1251630045"",""articles_with_PRISMA_reasons!B2:B2113""))&lt;2),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$A1714=IMPORTRANGE(""https://docs.google.com/spreadsheets/d/1BJSV3WBYJGRhQ6zExamkszQ5VutGIcaQqmbD9ZTVXMQ/edit#gid=1251630045"",""a"&amp;"rticles_with_PRISMA_reasons!B2:B2113""))&lt;2,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$A1714=IMPORTRANGE(""https://docs.google"&amp;".com/spreadsheets/d/1BJSV3WBYJGRhQ6zExamkszQ5VutGIcaQqmbD9ZTVXMQ/edit#gid=1251630045"",""articles_with_PRISMA_reasons!B2:B2113""))&gt;=2),
""Exclude""
)"),"Exclude")</f>
        <v>Exclude</v>
      </c>
      <c r="E1714" s="5" t="str">
        <f>IFERROR(__xludf.DUMMYFUNCTION("IFS(
D1714=""Exclude"",""Exclude"",
AND(
FILTER(IMPORTRANGE(""https://docs.google.com/spreadsheets/d/1qpEmbGH0JjaJbUdp21-y2cPbobDbMjr09BbtdKROZWc/edit#gid=1444865654"",""articles_with_PRISMA_reasons!W2:W2113""), $A1714=IMPORTRANGE(""https://docs.google.co"&amp;"m/spreadsheets/d/1qpEmbGH0JjaJbUdp21-y2cPbobDbMjr09BbtdKROZWc/edit#gid=1444865654"",""articles_with_PRISMA_reasons!B2:B2113""))&gt;=2,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$A1714=IMPORTRANGE(""https://docs.google.com/spreadsheets/d/1qpEmbGH0JjaJbUdp21-y2cPbobDbMjr09BbtdKROZWc/edit#gid=1444865654"",""articles_with_PRISMA_reasons!B2:B2113""))&lt;2),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$A1714=IMPORTRANGE(""https://docs.google.com/spreadsheets/d/1qpEmbGH0JjaJbUdp21-y2cPbobDbMjr09Bbtd"&amp;"KROZWc/edit#gid=1444865654"",""articles_with_PRISMA_reasons!B2:B2113""))&lt;2,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$A1714=I"&amp;"MPORTRANGE(""https://docs.google.com/spreadsheets/d/1qpEmbGH0JjaJbUdp21-y2cPbobDbMjr09BbtdKROZWc/edit#gid=1444865654"",""articles_with_PRISMA_reasons!B2:B2113""))&gt;=2),
""Exclude""
)"),"Exclude")</f>
        <v>Exclude</v>
      </c>
      <c r="F1714" s="5" t="str">
        <f>IFERROR(__xludf.DUMMYFUNCTION("IFS(
E1714=""Exclude"",""Exclude"",
AND(
COUNTIF(
IMPORTRANGE(""https://docs.google.com/spreadsheets/d/1kGrh75X1cNR1D7_FcY9zMnHP8iPO4M5RCRjy6nZY0TY/edit#gid=0"",""Table 1: Study characteristics!B4:B171""),A1714)&gt;0,
COUNTIF(Studies!$A$2:$A$85,FILTER(IMPORT"&amp;"RANGE(""https://docs.google.com/spreadsheets/d/1kGrh75X1cNR1D7_FcY9zMnHP8iPO4M5RCRjy6nZY0TY/edit#gid=0"",""Table 1: Study characteristics!A4:A171""), $A1714=IMPORTRANGE(""https://docs.google.com/spreadsheets/d/1kGrh75X1cNR1D7_FcY9zMnHP8iPO4M5RCRjy6nZY0TY/"&amp;"edit#gid=0"",""Table 1: Study characteristics!B4:B171"")))&gt;0
),
""Include""
)"),"Exclude")</f>
        <v>Exclude</v>
      </c>
      <c r="G1714" s="5" t="str">
        <f>IFERROR(__xludf.DUMMYFUNCTION("IFS(
D1714=""Exclude"",
FILTER(IMPORTRANGE(""https://docs.google.com/spreadsheets/d/1BJSV3WBYJGRhQ6zExamkszQ5VutGIcaQqmbD9ZTVXMQ/edit#gid=1251630045"",""articles_with_PRISMA_reasons!AB2:AB2113""), $A1714=IMPORTRANGE(""https://docs.google.com/spreadsheets/"&amp;"d/1BJSV3WBYJGRhQ6zExamkszQ5VutGIcaQqmbD9ZTVXMQ/edit#gid=1251630045"",""articles_with_PRISMA_reasons!B2:B2113"")),
E1714=""Exclude"",
FILTER(IMPORTRANGE(""https://docs.google.com/spreadsheets/d/1qpEmbGH0JjaJbUdp21-y2cPbobDbMjr09BbtdKROZWc/edit#gid=14448656"&amp;"54"",""articles_with_PRISMA_reasons!Z2:Z2113""), $A1714=IMPORTRANGE(""https://docs.google.com/spreadsheets/d/1qpEmbGH0JjaJbUdp21-y2cPbobDbMjr09BbtdKROZWc/edit#gid=1444865654"",""articles_with_PRISMA_reasons!B2:B2113"")),F1714
=""Include"",FILTER(IMPORTRAN"&amp;"GE(""https://docs.google.com/spreadsheets/d/1kGrh75X1cNR1D7_FcY9zMnHP8iPO4M5RCRjy6nZY0TY/edit#gid=0"",""Table 1: Study characteristics!A4:A171""), $A1714=IMPORTRANGE(""https://docs.google.com/spreadsheets/d/1kGrh75X1cNR1D7_FcY9zMnHP8iPO4M5RCRjy6nZY0TY/edi"&amp;"t#gid=0"",""Table 1: Study characteristics!B4:B171""))
)"),"wrong population")</f>
        <v>wrong population</v>
      </c>
    </row>
    <row r="1715">
      <c r="A1715" s="4" t="str">
        <f>IFERROR(__xludf.DUMMYFUNCTION("""COMPUTED_VALUE"""),"Smooth ocular pursuit in Chiari type II malformation")</f>
        <v>Smooth ocular pursuit in Chiari type II malformation</v>
      </c>
      <c r="B1715" s="5" t="str">
        <f>IFERROR(__xludf.DUMMYFUNCTION("LEFT(FILTER(IMPORTRANGE(""https://docs.google.com/spreadsheets/d/1BJSV3WBYJGRhQ6zExamkszQ5VutGIcaQqmbD9ZTVXMQ/edit#gid=1251630045"",""articles_with_PRISMA_reasons!K2:K2113""), $A1715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$A1715=IMPORTRANGE(""https://docs.google.com/spreadsheets/d/1BJSV3WBYJGRhQ6zExamkszQ5VutGIcaQqmbD9ZTVXMQ/edit#gid=1251630045"",""articles_with_PRISMA_reasons!B2:B2113"")))-1)"),"Salman")</f>
        <v>Salman</v>
      </c>
      <c r="C1715" s="6" t="str">
        <f>IFERROR(__xludf.DUMMYFUNCTION("FILTER(IMPORTRANGE(""https://docs.google.com/spreadsheets/d/1BJSV3WBYJGRhQ6zExamkszQ5VutGIcaQqmbD9ZTVXMQ/edit#gid=1251630045"",""articles_with_PRISMA_reasons!C2:C2113""), $A1715=IMPORTRANGE(""https://docs.google.com/spreadsheets/d/1BJSV3WBYJGRhQ6zExamkszQ"&amp;"5VutGIcaQqmbD9ZTVXMQ/edit#gid=1251630045"",""articles_with_PRISMA_reasons!B2:B2113""))"),"Apr")</f>
        <v>Apr</v>
      </c>
      <c r="D1715" s="5" t="str">
        <f>IFERROR(__xludf.DUMMYFUNCTION("IFS(AND(
FILTER(IMPORTRANGE(""https://docs.google.com/spreadsheets/d/1BJSV3WBYJGRhQ6zExamkszQ5VutGIcaQqmbD9ZTVXMQ/edit#gid=1251630045"",""articles_with_PRISMA_reasons!Y2:Y2113""), $A1715=IMPORTRANGE(""https://docs.google.com/spreadsheets/d/1BJSV3WBYJGRhQ6"&amp;"zExamkszQ5VutGIcaQqmbD9ZTVXMQ/edit#gid=1251630045"",""articles_with_PRISMA_reasons!B2:B2113""))&gt;=2,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$A1715=IMPORTRANGE(""https://docs.google.com/spreadsheets/d/1BJSV3WBYJGRhQ6zExamkszQ5VutGIcaQqmbD9ZTVXMQ/edit#gid=1251630045"",""articles_with_PRISMA_reasons!B2:B2113""))&lt;2),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$A1715=IMPORTRANGE(""https://docs.google.com/spreadsheets/d/1BJSV3WBYJGRhQ6zExamkszQ5VutGIcaQqmbD9ZTVXMQ/edit#gid=1251630045"",""a"&amp;"rticles_with_PRISMA_reasons!B2:B2113""))&lt;2,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$A1715=IMPORTRANGE(""https://docs.google"&amp;".com/spreadsheets/d/1BJSV3WBYJGRhQ6zExamkszQ5VutGIcaQqmbD9ZTVXMQ/edit#gid=1251630045"",""articles_with_PRISMA_reasons!B2:B2113""))&gt;=2),
""Exclude""
)"),"Exclude")</f>
        <v>Exclude</v>
      </c>
      <c r="E1715" s="5" t="str">
        <f>IFERROR(__xludf.DUMMYFUNCTION("IFS(
D1715=""Exclude"",""Exclude"",
AND(
FILTER(IMPORTRANGE(""https://docs.google.com/spreadsheets/d/1qpEmbGH0JjaJbUdp21-y2cPbobDbMjr09BbtdKROZWc/edit#gid=1444865654"",""articles_with_PRISMA_reasons!W2:W2113""), $A1715=IMPORTRANGE(""https://docs.google.co"&amp;"m/spreadsheets/d/1qpEmbGH0JjaJbUdp21-y2cPbobDbMjr09BbtdKROZWc/edit#gid=1444865654"",""articles_with_PRISMA_reasons!B2:B2113""))&gt;=2,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$A1715=IMPORTRANGE(""https://docs.google.com/spreadsheets/d/1qpEmbGH0JjaJbUdp21-y2cPbobDbMjr09BbtdKROZWc/edit#gid=1444865654"",""articles_with_PRISMA_reasons!B2:B2113""))&lt;2),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$A1715=IMPORTRANGE(""https://docs.google.com/spreadsheets/d/1qpEmbGH0JjaJbUdp21-y2cPbobDbMjr09Bbtd"&amp;"KROZWc/edit#gid=1444865654"",""articles_with_PRISMA_reasons!B2:B2113""))&lt;2,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$A1715=I"&amp;"MPORTRANGE(""https://docs.google.com/spreadsheets/d/1qpEmbGH0JjaJbUdp21-y2cPbobDbMjr09BbtdKROZWc/edit#gid=1444865654"",""articles_with_PRISMA_reasons!B2:B2113""))&gt;=2),
""Exclude""
)"),"Exclude")</f>
        <v>Exclude</v>
      </c>
      <c r="F1715" s="5" t="str">
        <f>IFERROR(__xludf.DUMMYFUNCTION("IFS(
E1715=""Exclude"",""Exclude"",
AND(
COUNTIF(
IMPORTRANGE(""https://docs.google.com/spreadsheets/d/1kGrh75X1cNR1D7_FcY9zMnHP8iPO4M5RCRjy6nZY0TY/edit#gid=0"",""Table 1: Study characteristics!B4:B171""),A1715)&gt;0,
COUNTIF(Studies!$A$2:$A$85,FILTER(IMPORT"&amp;"RANGE(""https://docs.google.com/spreadsheets/d/1kGrh75X1cNR1D7_FcY9zMnHP8iPO4M5RCRjy6nZY0TY/edit#gid=0"",""Table 1: Study characteristics!A4:A171""), $A1715=IMPORTRANGE(""https://docs.google.com/spreadsheets/d/1kGrh75X1cNR1D7_FcY9zMnHP8iPO4M5RCRjy6nZY0TY/"&amp;"edit#gid=0"",""Table 1: Study characteristics!B4:B171"")))&gt;0
),
""Include""
)"),"Exclude")</f>
        <v>Exclude</v>
      </c>
      <c r="G1715" s="5" t="str">
        <f>IFERROR(__xludf.DUMMYFUNCTION("IFS(
D1715=""Exclude"",
FILTER(IMPORTRANGE(""https://docs.google.com/spreadsheets/d/1BJSV3WBYJGRhQ6zExamkszQ5VutGIcaQqmbD9ZTVXMQ/edit#gid=1251630045"",""articles_with_PRISMA_reasons!AB2:AB2113""), $A1715=IMPORTRANGE(""https://docs.google.com/spreadsheets/"&amp;"d/1BJSV3WBYJGRhQ6zExamkszQ5VutGIcaQqmbD9ZTVXMQ/edit#gid=1251630045"",""articles_with_PRISMA_reasons!B2:B2113"")),
E1715=""Exclude"",
FILTER(IMPORTRANGE(""https://docs.google.com/spreadsheets/d/1qpEmbGH0JjaJbUdp21-y2cPbobDbMjr09BbtdKROZWc/edit#gid=14448656"&amp;"54"",""articles_with_PRISMA_reasons!Z2:Z2113""), $A1715=IMPORTRANGE(""https://docs.google.com/spreadsheets/d/1qpEmbGH0JjaJbUdp21-y2cPbobDbMjr09BbtdKROZWc/edit#gid=1444865654"",""articles_with_PRISMA_reasons!B2:B2113"")),F1715
=""Include"",FILTER(IMPORTRAN"&amp;"GE(""https://docs.google.com/spreadsheets/d/1kGrh75X1cNR1D7_FcY9zMnHP8iPO4M5RCRjy6nZY0TY/edit#gid=0"",""Table 1: Study characteristics!A4:A171""), $A1715=IMPORTRANGE(""https://docs.google.com/spreadsheets/d/1kGrh75X1cNR1D7_FcY9zMnHP8iPO4M5RCRjy6nZY0TY/edi"&amp;"t#gid=0"",""Table 1: Study characteristics!B4:B171""))
)"),"Duplicate")</f>
        <v>Duplicate</v>
      </c>
    </row>
    <row r="1716">
      <c r="A1716" s="4" t="str">
        <f>IFERROR(__xludf.DUMMYFUNCTION("""COMPUTED_VALUE"""),"Social-emotional functioning in pediatric hydrocephalus: comparison of the Hydrocephalus Outcome Questionnaire to the Behavior Assessment System for Children")</f>
        <v>Social-emotional functioning in pediatric hydrocephalus: comparison of the Hydrocephalus Outcome Questionnaire to the Behavior Assessment System for Children</v>
      </c>
      <c r="B1716" s="5" t="str">
        <f>IFERROR(__xludf.DUMMYFUNCTION("LEFT(FILTER(IMPORTRANGE(""https://docs.google.com/spreadsheets/d/1BJSV3WBYJGRhQ6zExamkszQ5VutGIcaQqmbD9ZTVXMQ/edit#gid=1251630045"",""articles_with_PRISMA_reasons!K2:K2113""), $A1716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$A1716=IMPORTRANGE(""https://docs.google.com/spreadsheets/d/1BJSV3WBYJGRhQ6zExamkszQ5VutGIcaQqmbD9ZTVXMQ/edit#gid=1251630045"",""articles_with_PRISMA_reasons!B2:B2113"")))-1)"),"Wall")</f>
        <v>Wall</v>
      </c>
      <c r="C1716" s="6">
        <f>IFERROR(__xludf.DUMMYFUNCTION("FILTER(IMPORTRANGE(""https://docs.google.com/spreadsheets/d/1BJSV3WBYJGRhQ6zExamkszQ5VutGIcaQqmbD9ZTVXMQ/edit#gid=1251630045"",""articles_with_PRISMA_reasons!C2:C2113""), $A1716=IMPORTRANGE(""https://docs.google.com/spreadsheets/d/1BJSV3WBYJGRhQ6zExamkszQ"&amp;"5VutGIcaQqmbD9ZTVXMQ/edit#gid=1251630045"",""articles_with_PRISMA_reasons!B2:B2113""))"),2021.0)</f>
        <v>2021</v>
      </c>
      <c r="D1716" s="5" t="str">
        <f>IFERROR(__xludf.DUMMYFUNCTION("IFS(AND(
FILTER(IMPORTRANGE(""https://docs.google.com/spreadsheets/d/1BJSV3WBYJGRhQ6zExamkszQ5VutGIcaQqmbD9ZTVXMQ/edit#gid=1251630045"",""articles_with_PRISMA_reasons!Y2:Y2113""), $A1716=IMPORTRANGE(""https://docs.google.com/spreadsheets/d/1BJSV3WBYJGRhQ6"&amp;"zExamkszQ5VutGIcaQqmbD9ZTVXMQ/edit#gid=1251630045"",""articles_with_PRISMA_reasons!B2:B2113""))&gt;=2,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$A1716=IMPORTRANGE(""https://docs.google.com/spreadsheets/d/1BJSV3WBYJGRhQ6zExamkszQ5VutGIcaQqmbD9ZTVXMQ/edit#gid=1251630045"",""articles_with_PRISMA_reasons!B2:B2113""))&lt;2),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$A1716=IMPORTRANGE(""https://docs.google.com/spreadsheets/d/1BJSV3WBYJGRhQ6zExamkszQ5VutGIcaQqmbD9ZTVXMQ/edit#gid=1251630045"",""a"&amp;"rticles_with_PRISMA_reasons!B2:B2113""))&lt;2,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$A1716=IMPORTRANGE(""https://docs.google"&amp;".com/spreadsheets/d/1BJSV3WBYJGRhQ6zExamkszQ5VutGIcaQqmbD9ZTVXMQ/edit#gid=1251630045"",""articles_with_PRISMA_reasons!B2:B2113""))&gt;=2),
""Exclude""
)"),"Exclude")</f>
        <v>Exclude</v>
      </c>
      <c r="E1716" s="5" t="str">
        <f>IFERROR(__xludf.DUMMYFUNCTION("IFS(
D1716=""Exclude"",""Exclude"",
AND(
FILTER(IMPORTRANGE(""https://docs.google.com/spreadsheets/d/1qpEmbGH0JjaJbUdp21-y2cPbobDbMjr09BbtdKROZWc/edit#gid=1444865654"",""articles_with_PRISMA_reasons!W2:W2113""), $A1716=IMPORTRANGE(""https://docs.google.co"&amp;"m/spreadsheets/d/1qpEmbGH0JjaJbUdp21-y2cPbobDbMjr09BbtdKROZWc/edit#gid=1444865654"",""articles_with_PRISMA_reasons!B2:B2113""))&gt;=2,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$A1716=IMPORTRANGE(""https://docs.google.com/spreadsheets/d/1qpEmbGH0JjaJbUdp21-y2cPbobDbMjr09BbtdKROZWc/edit#gid=1444865654"",""articles_with_PRISMA_reasons!B2:B2113""))&lt;2),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$A1716=IMPORTRANGE(""https://docs.google.com/spreadsheets/d/1qpEmbGH0JjaJbUdp21-y2cPbobDbMjr09Bbtd"&amp;"KROZWc/edit#gid=1444865654"",""articles_with_PRISMA_reasons!B2:B2113""))&lt;2,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$A1716=I"&amp;"MPORTRANGE(""https://docs.google.com/spreadsheets/d/1qpEmbGH0JjaJbUdp21-y2cPbobDbMjr09BbtdKROZWc/edit#gid=1444865654"",""articles_with_PRISMA_reasons!B2:B2113""))&gt;=2),
""Exclude""
)"),"Exclude")</f>
        <v>Exclude</v>
      </c>
      <c r="F1716" s="5" t="str">
        <f>IFERROR(__xludf.DUMMYFUNCTION("IFS(
E1716=""Exclude"",""Exclude"",
AND(
COUNTIF(
IMPORTRANGE(""https://docs.google.com/spreadsheets/d/1kGrh75X1cNR1D7_FcY9zMnHP8iPO4M5RCRjy6nZY0TY/edit#gid=0"",""Table 1: Study characteristics!B4:B171""),A1716)&gt;0,
COUNTIF(Studies!$A$2:$A$85,FILTER(IMPORT"&amp;"RANGE(""https://docs.google.com/spreadsheets/d/1kGrh75X1cNR1D7_FcY9zMnHP8iPO4M5RCRjy6nZY0TY/edit#gid=0"",""Table 1: Study characteristics!A4:A171""), $A1716=IMPORTRANGE(""https://docs.google.com/spreadsheets/d/1kGrh75X1cNR1D7_FcY9zMnHP8iPO4M5RCRjy6nZY0TY/"&amp;"edit#gid=0"",""Table 1: Study characteristics!B4:B171"")))&gt;0
),
""Include""
)"),"Exclude")</f>
        <v>Exclude</v>
      </c>
      <c r="G1716" s="5" t="str">
        <f>IFERROR(__xludf.DUMMYFUNCTION("IFS(
D1716=""Exclude"",
FILTER(IMPORTRANGE(""https://docs.google.com/spreadsheets/d/1BJSV3WBYJGRhQ6zExamkszQ5VutGIcaQqmbD9ZTVXMQ/edit#gid=1251630045"",""articles_with_PRISMA_reasons!AB2:AB2113""), $A1716=IMPORTRANGE(""https://docs.google.com/spreadsheets/"&amp;"d/1BJSV3WBYJGRhQ6zExamkszQ5VutGIcaQqmbD9ZTVXMQ/edit#gid=1251630045"",""articles_with_PRISMA_reasons!B2:B2113"")),
E1716=""Exclude"",
FILTER(IMPORTRANGE(""https://docs.google.com/spreadsheets/d/1qpEmbGH0JjaJbUdp21-y2cPbobDbMjr09BbtdKROZWc/edit#gid=14448656"&amp;"54"",""articles_with_PRISMA_reasons!Z2:Z2113""), $A1716=IMPORTRANGE(""https://docs.google.com/spreadsheets/d/1qpEmbGH0JjaJbUdp21-y2cPbobDbMjr09BbtdKROZWc/edit#gid=1444865654"",""articles_with_PRISMA_reasons!B2:B2113"")),F1716
=""Include"",FILTER(IMPORTRAN"&amp;"GE(""https://docs.google.com/spreadsheets/d/1kGrh75X1cNR1D7_FcY9zMnHP8iPO4M5RCRjy6nZY0TY/edit#gid=0"",""Table 1: Study characteristics!A4:A171""), $A1716=IMPORTRANGE(""https://docs.google.com/spreadsheets/d/1kGrh75X1cNR1D7_FcY9zMnHP8iPO4M5RCRjy6nZY0TY/edi"&amp;"t#gid=0"",""Table 1: Study characteristics!B4:B171""))
)"),"wrong study design")</f>
        <v>wrong study design</v>
      </c>
    </row>
    <row r="1717">
      <c r="A1717" s="4" t="str">
        <f>IFERROR(__xludf.DUMMYFUNCTION("""COMPUTED_VALUE"""),"Soft-tissue defects after spinal instrumentation in 5 children: Risk factors, management strategies, and outcomes")</f>
        <v>Soft-tissue defects after spinal instrumentation in 5 children: Risk factors, management strategies, and outcomes</v>
      </c>
      <c r="B1717" s="5" t="str">
        <f>IFERROR(__xludf.DUMMYFUNCTION("LEFT(FILTER(IMPORTRANGE(""https://docs.google.com/spreadsheets/d/1BJSV3WBYJGRhQ6zExamkszQ5VutGIcaQqmbD9ZTVXMQ/edit#gid=1251630045"",""articles_with_PRISMA_reasons!K2:K2113""), $A1717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$A1717=IMPORTRANGE(""https://docs.google.com/spreadsheets/d/1BJSV3WBYJGRhQ6zExamkszQ5VutGIcaQqmbD9ZTVXMQ/edit#gid=1251630045"",""articles_with_PRISMA_reasons!B2:B2113"")))-1)"),"Sayama")</f>
        <v>Sayama</v>
      </c>
      <c r="C1717" s="6">
        <f>IFERROR(__xludf.DUMMYFUNCTION("FILTER(IMPORTRANGE(""https://docs.google.com/spreadsheets/d/1BJSV3WBYJGRhQ6zExamkszQ5VutGIcaQqmbD9ZTVXMQ/edit#gid=1251630045"",""articles_with_PRISMA_reasons!C2:C2113""), $A1717=IMPORTRANGE(""https://docs.google.com/spreadsheets/d/1BJSV3WBYJGRhQ6zExamkszQ"&amp;"5VutGIcaQqmbD9ZTVXMQ/edit#gid=1251630045"",""articles_with_PRISMA_reasons!B2:B2113""))"),2014.0)</f>
        <v>2014</v>
      </c>
      <c r="D1717" s="5" t="str">
        <f>IFERROR(__xludf.DUMMYFUNCTION("IFS(AND(
FILTER(IMPORTRANGE(""https://docs.google.com/spreadsheets/d/1BJSV3WBYJGRhQ6zExamkszQ5VutGIcaQqmbD9ZTVXMQ/edit#gid=1251630045"",""articles_with_PRISMA_reasons!Y2:Y2113""), $A1717=IMPORTRANGE(""https://docs.google.com/spreadsheets/d/1BJSV3WBYJGRhQ6"&amp;"zExamkszQ5VutGIcaQqmbD9ZTVXMQ/edit#gid=1251630045"",""articles_with_PRISMA_reasons!B2:B2113""))&gt;=2,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$A1717=IMPORTRANGE(""https://docs.google.com/spreadsheets/d/1BJSV3WBYJGRhQ6zExamkszQ5VutGIcaQqmbD9ZTVXMQ/edit#gid=1251630045"",""articles_with_PRISMA_reasons!B2:B2113""))&lt;2),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$A1717=IMPORTRANGE(""https://docs.google.com/spreadsheets/d/1BJSV3WBYJGRhQ6zExamkszQ5VutGIcaQqmbD9ZTVXMQ/edit#gid=1251630045"",""a"&amp;"rticles_with_PRISMA_reasons!B2:B2113""))&lt;2,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$A1717=IMPORTRANGE(""https://docs.google"&amp;".com/spreadsheets/d/1BJSV3WBYJGRhQ6zExamkszQ5VutGIcaQqmbD9ZTVXMQ/edit#gid=1251630045"",""articles_with_PRISMA_reasons!B2:B2113""))&gt;=2),
""Exclude""
)"),"Exclude")</f>
        <v>Exclude</v>
      </c>
      <c r="E1717" s="5" t="str">
        <f>IFERROR(__xludf.DUMMYFUNCTION("IFS(
D1717=""Exclude"",""Exclude"",
AND(
FILTER(IMPORTRANGE(""https://docs.google.com/spreadsheets/d/1qpEmbGH0JjaJbUdp21-y2cPbobDbMjr09BbtdKROZWc/edit#gid=1444865654"",""articles_with_PRISMA_reasons!W2:W2113""), $A1717=IMPORTRANGE(""https://docs.google.co"&amp;"m/spreadsheets/d/1qpEmbGH0JjaJbUdp21-y2cPbobDbMjr09BbtdKROZWc/edit#gid=1444865654"",""articles_with_PRISMA_reasons!B2:B2113""))&gt;=2,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$A1717=IMPORTRANGE(""https://docs.google.com/spreadsheets/d/1qpEmbGH0JjaJbUdp21-y2cPbobDbMjr09BbtdKROZWc/edit#gid=1444865654"",""articles_with_PRISMA_reasons!B2:B2113""))&lt;2),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$A1717=IMPORTRANGE(""https://docs.google.com/spreadsheets/d/1qpEmbGH0JjaJbUdp21-y2cPbobDbMjr09Bbtd"&amp;"KROZWc/edit#gid=1444865654"",""articles_with_PRISMA_reasons!B2:B2113""))&lt;2,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$A1717=I"&amp;"MPORTRANGE(""https://docs.google.com/spreadsheets/d/1qpEmbGH0JjaJbUdp21-y2cPbobDbMjr09BbtdKROZWc/edit#gid=1444865654"",""articles_with_PRISMA_reasons!B2:B2113""))&gt;=2),
""Exclude""
)"),"Exclude")</f>
        <v>Exclude</v>
      </c>
      <c r="F1717" s="5" t="str">
        <f>IFERROR(__xludf.DUMMYFUNCTION("IFS(
E1717=""Exclude"",""Exclude"",
AND(
COUNTIF(
IMPORTRANGE(""https://docs.google.com/spreadsheets/d/1kGrh75X1cNR1D7_FcY9zMnHP8iPO4M5RCRjy6nZY0TY/edit#gid=0"",""Table 1: Study characteristics!B4:B171""),A1717)&gt;0,
COUNTIF(Studies!$A$2:$A$85,FILTER(IMPORT"&amp;"RANGE(""https://docs.google.com/spreadsheets/d/1kGrh75X1cNR1D7_FcY9zMnHP8iPO4M5RCRjy6nZY0TY/edit#gid=0"",""Table 1: Study characteristics!A4:A171""), $A1717=IMPORTRANGE(""https://docs.google.com/spreadsheets/d/1kGrh75X1cNR1D7_FcY9zMnHP8iPO4M5RCRjy6nZY0TY/"&amp;"edit#gid=0"",""Table 1: Study characteristics!B4:B171"")))&gt;0
),
""Include""
)"),"Exclude")</f>
        <v>Exclude</v>
      </c>
      <c r="G1717" s="5" t="str">
        <f>IFERROR(__xludf.DUMMYFUNCTION("IFS(
D1717=""Exclude"",
FILTER(IMPORTRANGE(""https://docs.google.com/spreadsheets/d/1BJSV3WBYJGRhQ6zExamkszQ5VutGIcaQqmbD9ZTVXMQ/edit#gid=1251630045"",""articles_with_PRISMA_reasons!AB2:AB2113""), $A1717=IMPORTRANGE(""https://docs.google.com/spreadsheets/"&amp;"d/1BJSV3WBYJGRhQ6zExamkszQ5VutGIcaQqmbD9ZTVXMQ/edit#gid=1251630045"",""articles_with_PRISMA_reasons!B2:B2113"")),
E1717=""Exclude"",
FILTER(IMPORTRANGE(""https://docs.google.com/spreadsheets/d/1qpEmbGH0JjaJbUdp21-y2cPbobDbMjr09BbtdKROZWc/edit#gid=14448656"&amp;"54"",""articles_with_PRISMA_reasons!Z2:Z2113""), $A1717=IMPORTRANGE(""https://docs.google.com/spreadsheets/d/1qpEmbGH0JjaJbUdp21-y2cPbobDbMjr09BbtdKROZWc/edit#gid=1444865654"",""articles_with_PRISMA_reasons!B2:B2113"")),F1717
=""Include"",FILTER(IMPORTRAN"&amp;"GE(""https://docs.google.com/spreadsheets/d/1kGrh75X1cNR1D7_FcY9zMnHP8iPO4M5RCRjy6nZY0TY/edit#gid=0"",""Table 1: Study characteristics!A4:A171""), $A1717=IMPORTRANGE(""https://docs.google.com/spreadsheets/d/1kGrh75X1cNR1D7_FcY9zMnHP8iPO4M5RCRjy6nZY0TY/edi"&amp;"t#gid=0"",""Table 1: Study characteristics!B4:B171""))
)"),"wrong population")</f>
        <v>wrong population</v>
      </c>
    </row>
    <row r="1718">
      <c r="A1718" s="4" t="str">
        <f>IFERROR(__xludf.DUMMYFUNCTION("""COMPUTED_VALUE"""),"Somatosensory evoked potentials to median nerve stimulation in meningomyelocele: What is occurring in the hindbrain and its connections during growth?")</f>
        <v>Somatosensory evoked potentials to median nerve stimulation in meningomyelocele: What is occurring in the hindbrain and its connections during growth?</v>
      </c>
      <c r="B1718" s="5" t="str">
        <f>IFERROR(__xludf.DUMMYFUNCTION("LEFT(FILTER(IMPORTRANGE(""https://docs.google.com/spreadsheets/d/1BJSV3WBYJGRhQ6zExamkszQ5VutGIcaQqmbD9ZTVXMQ/edit#gid=1251630045"",""articles_with_PRISMA_reasons!K2:K2113""), $A1718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$A1718=IMPORTRANGE(""https://docs.google.com/spreadsheets/d/1BJSV3WBYJGRhQ6zExamkszQ5VutGIcaQqmbD9ZTVXMQ/edit#gid=1251630045"",""articles_with_PRISMA_reasons!B2:B2113"")))-1)"),"Nishimura")</f>
        <v>Nishimura</v>
      </c>
      <c r="C1718" s="6">
        <f>IFERROR(__xludf.DUMMYFUNCTION("FILTER(IMPORTRANGE(""https://docs.google.com/spreadsheets/d/1BJSV3WBYJGRhQ6zExamkszQ5VutGIcaQqmbD9ZTVXMQ/edit#gid=1251630045"",""articles_with_PRISMA_reasons!C2:C2113""), $A1718=IMPORTRANGE(""https://docs.google.com/spreadsheets/d/1BJSV3WBYJGRhQ6zExamkszQ"&amp;"5VutGIcaQqmbD9ZTVXMQ/edit#gid=1251630045"",""articles_with_PRISMA_reasons!B2:B2113""))"),1996.0)</f>
        <v>1996</v>
      </c>
      <c r="D1718" s="5" t="str">
        <f>IFERROR(__xludf.DUMMYFUNCTION("IFS(AND(
FILTER(IMPORTRANGE(""https://docs.google.com/spreadsheets/d/1BJSV3WBYJGRhQ6zExamkszQ5VutGIcaQqmbD9ZTVXMQ/edit#gid=1251630045"",""articles_with_PRISMA_reasons!Y2:Y2113""), $A1718=IMPORTRANGE(""https://docs.google.com/spreadsheets/d/1BJSV3WBYJGRhQ6"&amp;"zExamkszQ5VutGIcaQqmbD9ZTVXMQ/edit#gid=1251630045"",""articles_with_PRISMA_reasons!B2:B2113""))&gt;=2,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$A1718=IMPORTRANGE(""https://docs.google.com/spreadsheets/d/1BJSV3WBYJGRhQ6zExamkszQ5VutGIcaQqmbD9ZTVXMQ/edit#gid=1251630045"",""articles_with_PRISMA_reasons!B2:B2113""))&lt;2),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$A1718=IMPORTRANGE(""https://docs.google.com/spreadsheets/d/1BJSV3WBYJGRhQ6zExamkszQ5VutGIcaQqmbD9ZTVXMQ/edit#gid=1251630045"",""a"&amp;"rticles_with_PRISMA_reasons!B2:B2113""))&lt;2,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$A1718=IMPORTRANGE(""https://docs.google"&amp;".com/spreadsheets/d/1BJSV3WBYJGRhQ6zExamkszQ5VutGIcaQqmbD9ZTVXMQ/edit#gid=1251630045"",""articles_with_PRISMA_reasons!B2:B2113""))&gt;=2),
""Exclude""
)"),"Exclude")</f>
        <v>Exclude</v>
      </c>
      <c r="E1718" s="5" t="str">
        <f>IFERROR(__xludf.DUMMYFUNCTION("IFS(
D1718=""Exclude"",""Exclude"",
AND(
FILTER(IMPORTRANGE(""https://docs.google.com/spreadsheets/d/1qpEmbGH0JjaJbUdp21-y2cPbobDbMjr09BbtdKROZWc/edit#gid=1444865654"",""articles_with_PRISMA_reasons!W2:W2113""), $A1718=IMPORTRANGE(""https://docs.google.co"&amp;"m/spreadsheets/d/1qpEmbGH0JjaJbUdp21-y2cPbobDbMjr09BbtdKROZWc/edit#gid=1444865654"",""articles_with_PRISMA_reasons!B2:B2113""))&gt;=2,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$A1718=IMPORTRANGE(""https://docs.google.com/spreadsheets/d/1qpEmbGH0JjaJbUdp21-y2cPbobDbMjr09BbtdKROZWc/edit#gid=1444865654"",""articles_with_PRISMA_reasons!B2:B2113""))&lt;2),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$A1718=IMPORTRANGE(""https://docs.google.com/spreadsheets/d/1qpEmbGH0JjaJbUdp21-y2cPbobDbMjr09Bbtd"&amp;"KROZWc/edit#gid=1444865654"",""articles_with_PRISMA_reasons!B2:B2113""))&lt;2,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$A1718=I"&amp;"MPORTRANGE(""https://docs.google.com/spreadsheets/d/1qpEmbGH0JjaJbUdp21-y2cPbobDbMjr09BbtdKROZWc/edit#gid=1444865654"",""articles_with_PRISMA_reasons!B2:B2113""))&gt;=2),
""Exclude""
)"),"Exclude")</f>
        <v>Exclude</v>
      </c>
      <c r="F1718" s="5" t="str">
        <f>IFERROR(__xludf.DUMMYFUNCTION("IFS(
E1718=""Exclude"",""Exclude"",
AND(
COUNTIF(
IMPORTRANGE(""https://docs.google.com/spreadsheets/d/1kGrh75X1cNR1D7_FcY9zMnHP8iPO4M5RCRjy6nZY0TY/edit#gid=0"",""Table 1: Study characteristics!B4:B171""),A1718)&gt;0,
COUNTIF(Studies!$A$2:$A$85,FILTER(IMPORT"&amp;"RANGE(""https://docs.google.com/spreadsheets/d/1kGrh75X1cNR1D7_FcY9zMnHP8iPO4M5RCRjy6nZY0TY/edit#gid=0"",""Table 1: Study characteristics!A4:A171""), $A1718=IMPORTRANGE(""https://docs.google.com/spreadsheets/d/1kGrh75X1cNR1D7_FcY9zMnHP8iPO4M5RCRjy6nZY0TY/"&amp;"edit#gid=0"",""Table 1: Study characteristics!B4:B171"")))&gt;0
),
""Include""
)"),"Exclude")</f>
        <v>Exclude</v>
      </c>
      <c r="G1718" s="5" t="str">
        <f>IFERROR(__xludf.DUMMYFUNCTION("IFS(
D1718=""Exclude"",
FILTER(IMPORTRANGE(""https://docs.google.com/spreadsheets/d/1BJSV3WBYJGRhQ6zExamkszQ5VutGIcaQqmbD9ZTVXMQ/edit#gid=1251630045"",""articles_with_PRISMA_reasons!AB2:AB2113""), $A1718=IMPORTRANGE(""https://docs.google.com/spreadsheets/"&amp;"d/1BJSV3WBYJGRhQ6zExamkszQ5VutGIcaQqmbD9ZTVXMQ/edit#gid=1251630045"",""articles_with_PRISMA_reasons!B2:B2113"")),
E1718=""Exclude"",
FILTER(IMPORTRANGE(""https://docs.google.com/spreadsheets/d/1qpEmbGH0JjaJbUdp21-y2cPbobDbMjr09BbtdKROZWc/edit#gid=14448656"&amp;"54"",""articles_with_PRISMA_reasons!Z2:Z2113""), $A1718=IMPORTRANGE(""https://docs.google.com/spreadsheets/d/1qpEmbGH0JjaJbUdp21-y2cPbobDbMjr09BbtdKROZWc/edit#gid=1444865654"",""articles_with_PRISMA_reasons!B2:B2113"")),F1718
=""Include"",FILTER(IMPORTRAN"&amp;"GE(""https://docs.google.com/spreadsheets/d/1kGrh75X1cNR1D7_FcY9zMnHP8iPO4M5RCRjy6nZY0TY/edit#gid=0"",""Table 1: Study characteristics!A4:A171""), $A1718=IMPORTRANGE(""https://docs.google.com/spreadsheets/d/1kGrh75X1cNR1D7_FcY9zMnHP8iPO4M5RCRjy6nZY0TY/edi"&amp;"t#gid=0"",""Table 1: Study characteristics!B4:B171""))
)"),"background article")</f>
        <v>background article</v>
      </c>
    </row>
    <row r="1719">
      <c r="A1719" s="4" t="str">
        <f>IFERROR(__xludf.DUMMYFUNCTION("""COMPUTED_VALUE"""),"Sonographic evaluation of fetal CNS: Technical and interpretive pitfalls")</f>
        <v>Sonographic evaluation of fetal CNS: Technical and interpretive pitfalls</v>
      </c>
      <c r="B1719" s="5" t="str">
        <f>IFERROR(__xludf.DUMMYFUNCTION("LEFT(FILTER(IMPORTRANGE(""https://docs.google.com/spreadsheets/d/1BJSV3WBYJGRhQ6zExamkszQ5VutGIcaQqmbD9ZTVXMQ/edit#gid=1251630045"",""articles_with_PRISMA_reasons!K2:K2113""), $A1719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$A1719=IMPORTRANGE(""https://docs.google.com/spreadsheets/d/1BJSV3WBYJGRhQ6zExamkszQ5VutGIcaQqmbD9ZTVXMQ/edit#gid=1251630045"",""articles_with_PRISMA_reasons!B2:B2113"")))-1)"),"Hertzberg")</f>
        <v>Hertzberg</v>
      </c>
      <c r="C1719" s="6">
        <f>IFERROR(__xludf.DUMMYFUNCTION("FILTER(IMPORTRANGE(""https://docs.google.com/spreadsheets/d/1BJSV3WBYJGRhQ6zExamkszQ5VutGIcaQqmbD9ZTVXMQ/edit#gid=1251630045"",""articles_with_PRISMA_reasons!C2:C2113""), $A1719=IMPORTRANGE(""https://docs.google.com/spreadsheets/d/1BJSV3WBYJGRhQ6zExamkszQ"&amp;"5VutGIcaQqmbD9ZTVXMQ/edit#gid=1251630045"",""articles_with_PRISMA_reasons!B2:B2113""))"),1999.0)</f>
        <v>1999</v>
      </c>
      <c r="D1719" s="5" t="str">
        <f>IFERROR(__xludf.DUMMYFUNCTION("IFS(AND(
FILTER(IMPORTRANGE(""https://docs.google.com/spreadsheets/d/1BJSV3WBYJGRhQ6zExamkszQ5VutGIcaQqmbD9ZTVXMQ/edit#gid=1251630045"",""articles_with_PRISMA_reasons!Y2:Y2113""), $A1719=IMPORTRANGE(""https://docs.google.com/spreadsheets/d/1BJSV3WBYJGRhQ6"&amp;"zExamkszQ5VutGIcaQqmbD9ZTVXMQ/edit#gid=1251630045"",""articles_with_PRISMA_reasons!B2:B2113""))&gt;=2,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$A1719=IMPORTRANGE(""https://docs.google.com/spreadsheets/d/1BJSV3WBYJGRhQ6zExamkszQ5VutGIcaQqmbD9ZTVXMQ/edit#gid=1251630045"",""articles_with_PRISMA_reasons!B2:B2113""))&lt;2),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$A1719=IMPORTRANGE(""https://docs.google.com/spreadsheets/d/1BJSV3WBYJGRhQ6zExamkszQ5VutGIcaQqmbD9ZTVXMQ/edit#gid=1251630045"",""a"&amp;"rticles_with_PRISMA_reasons!B2:B2113""))&lt;2,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$A1719=IMPORTRANGE(""https://docs.google"&amp;".com/spreadsheets/d/1BJSV3WBYJGRhQ6zExamkszQ5VutGIcaQqmbD9ZTVXMQ/edit#gid=1251630045"",""articles_with_PRISMA_reasons!B2:B2113""))&gt;=2),
""Exclude""
)"),"Exclude")</f>
        <v>Exclude</v>
      </c>
      <c r="E1719" s="5" t="str">
        <f>IFERROR(__xludf.DUMMYFUNCTION("IFS(
D1719=""Exclude"",""Exclude"",
AND(
FILTER(IMPORTRANGE(""https://docs.google.com/spreadsheets/d/1qpEmbGH0JjaJbUdp21-y2cPbobDbMjr09BbtdKROZWc/edit#gid=1444865654"",""articles_with_PRISMA_reasons!W2:W2113""), $A1719=IMPORTRANGE(""https://docs.google.co"&amp;"m/spreadsheets/d/1qpEmbGH0JjaJbUdp21-y2cPbobDbMjr09BbtdKROZWc/edit#gid=1444865654"",""articles_with_PRISMA_reasons!B2:B2113""))&gt;=2,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$A1719=IMPORTRANGE(""https://docs.google.com/spreadsheets/d/1qpEmbGH0JjaJbUdp21-y2cPbobDbMjr09BbtdKROZWc/edit#gid=1444865654"",""articles_with_PRISMA_reasons!B2:B2113""))&lt;2),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$A1719=IMPORTRANGE(""https://docs.google.com/spreadsheets/d/1qpEmbGH0JjaJbUdp21-y2cPbobDbMjr09Bbtd"&amp;"KROZWc/edit#gid=1444865654"",""articles_with_PRISMA_reasons!B2:B2113""))&lt;2,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$A1719=I"&amp;"MPORTRANGE(""https://docs.google.com/spreadsheets/d/1qpEmbGH0JjaJbUdp21-y2cPbobDbMjr09BbtdKROZWc/edit#gid=1444865654"",""articles_with_PRISMA_reasons!B2:B2113""))&gt;=2),
""Exclude""
)"),"Exclude")</f>
        <v>Exclude</v>
      </c>
      <c r="F1719" s="5" t="str">
        <f>IFERROR(__xludf.DUMMYFUNCTION("IFS(
E1719=""Exclude"",""Exclude"",
AND(
COUNTIF(
IMPORTRANGE(""https://docs.google.com/spreadsheets/d/1kGrh75X1cNR1D7_FcY9zMnHP8iPO4M5RCRjy6nZY0TY/edit#gid=0"",""Table 1: Study characteristics!B4:B171""),A1719)&gt;0,
COUNTIF(Studies!$A$2:$A$85,FILTER(IMPORT"&amp;"RANGE(""https://docs.google.com/spreadsheets/d/1kGrh75X1cNR1D7_FcY9zMnHP8iPO4M5RCRjy6nZY0TY/edit#gid=0"",""Table 1: Study characteristics!A4:A171""), $A1719=IMPORTRANGE(""https://docs.google.com/spreadsheets/d/1kGrh75X1cNR1D7_FcY9zMnHP8iPO4M5RCRjy6nZY0TY/"&amp;"edit#gid=0"",""Table 1: Study characteristics!B4:B171"")))&gt;0
),
""Include""
)"),"Exclude")</f>
        <v>Exclude</v>
      </c>
      <c r="G1719" s="5" t="str">
        <f>IFERROR(__xludf.DUMMYFUNCTION("IFS(
D1719=""Exclude"",
FILTER(IMPORTRANGE(""https://docs.google.com/spreadsheets/d/1BJSV3WBYJGRhQ6zExamkszQ5VutGIcaQqmbD9ZTVXMQ/edit#gid=1251630045"",""articles_with_PRISMA_reasons!AB2:AB2113""), $A1719=IMPORTRANGE(""https://docs.google.com/spreadsheets/"&amp;"d/1BJSV3WBYJGRhQ6zExamkszQ5VutGIcaQqmbD9ZTVXMQ/edit#gid=1251630045"",""articles_with_PRISMA_reasons!B2:B2113"")),
E1719=""Exclude"",
FILTER(IMPORTRANGE(""https://docs.google.com/spreadsheets/d/1qpEmbGH0JjaJbUdp21-y2cPbobDbMjr09BbtdKROZWc/edit#gid=14448656"&amp;"54"",""articles_with_PRISMA_reasons!Z2:Z2113""), $A1719=IMPORTRANGE(""https://docs.google.com/spreadsheets/d/1qpEmbGH0JjaJbUdp21-y2cPbobDbMjr09BbtdKROZWc/edit#gid=1444865654"",""articles_with_PRISMA_reasons!B2:B2113"")),F1719
=""Include"",FILTER(IMPORTRAN"&amp;"GE(""https://docs.google.com/spreadsheets/d/1kGrh75X1cNR1D7_FcY9zMnHP8iPO4M5RCRjy6nZY0TY/edit#gid=0"",""Table 1: Study characteristics!A4:A171""), $A1719=IMPORTRANGE(""https://docs.google.com/spreadsheets/d/1kGrh75X1cNR1D7_FcY9zMnHP8iPO4M5RCRjy6nZY0TY/edi"&amp;"t#gid=0"",""Table 1: Study characteristics!B4:B171""))
)"),"wrong population")</f>
        <v>wrong population</v>
      </c>
    </row>
    <row r="1720">
      <c r="A1720" s="4" t="str">
        <f>IFERROR(__xludf.DUMMYFUNCTION("""COMPUTED_VALUE"""),"Sonographic findings in hydrocephalus, especially in children with meningomyelocele")</f>
        <v>Sonographic findings in hydrocephalus, especially in children with meningomyelocele</v>
      </c>
      <c r="B1720" s="5" t="str">
        <f>IFERROR(__xludf.DUMMYFUNCTION("LEFT(FILTER(IMPORTRANGE(""https://docs.google.com/spreadsheets/d/1BJSV3WBYJGRhQ6zExamkszQ5VutGIcaQqmbD9ZTVXMQ/edit#gid=1251630045"",""articles_with_PRISMA_reasons!K2:K2113""), $A1720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$A1720=IMPORTRANGE(""https://docs.google.com/spreadsheets/d/1BJSV3WBYJGRhQ6zExamkszQ5VutGIcaQqmbD9ZTVXMQ/edit#gid=1251630045"",""articles_with_PRISMA_reasons!B2:B2113"")))-1)"),"Pfister")</f>
        <v>Pfister</v>
      </c>
      <c r="C1720" s="6">
        <f>IFERROR(__xludf.DUMMYFUNCTION("FILTER(IMPORTRANGE(""https://docs.google.com/spreadsheets/d/1BJSV3WBYJGRhQ6zExamkszQ5VutGIcaQqmbD9ZTVXMQ/edit#gid=1251630045"",""articles_with_PRISMA_reasons!C2:C2113""), $A1720=IMPORTRANGE(""https://docs.google.com/spreadsheets/d/1BJSV3WBYJGRhQ6zExamkszQ"&amp;"5VutGIcaQqmbD9ZTVXMQ/edit#gid=1251630045"",""articles_with_PRISMA_reasons!B2:B2113""))"),1983.0)</f>
        <v>1983</v>
      </c>
      <c r="D1720" s="5" t="str">
        <f>IFERROR(__xludf.DUMMYFUNCTION("IFS(AND(
FILTER(IMPORTRANGE(""https://docs.google.com/spreadsheets/d/1BJSV3WBYJGRhQ6zExamkszQ5VutGIcaQqmbD9ZTVXMQ/edit#gid=1251630045"",""articles_with_PRISMA_reasons!Y2:Y2113""), $A1720=IMPORTRANGE(""https://docs.google.com/spreadsheets/d/1BJSV3WBYJGRhQ6"&amp;"zExamkszQ5VutGIcaQqmbD9ZTVXMQ/edit#gid=1251630045"",""articles_with_PRISMA_reasons!B2:B2113""))&gt;=2,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$A1720=IMPORTRANGE(""https://docs.google.com/spreadsheets/d/1BJSV3WBYJGRhQ6zExamkszQ5VutGIcaQqmbD9ZTVXMQ/edit#gid=1251630045"",""articles_with_PRISMA_reasons!B2:B2113""))&lt;2),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$A1720=IMPORTRANGE(""https://docs.google.com/spreadsheets/d/1BJSV3WBYJGRhQ6zExamkszQ5VutGIcaQqmbD9ZTVXMQ/edit#gid=1251630045"",""a"&amp;"rticles_with_PRISMA_reasons!B2:B2113""))&lt;2,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$A1720=IMPORTRANGE(""https://docs.google"&amp;".com/spreadsheets/d/1BJSV3WBYJGRhQ6zExamkszQ5VutGIcaQqmbD9ZTVXMQ/edit#gid=1251630045"",""articles_with_PRISMA_reasons!B2:B2113""))&gt;=2),
""Exclude""
)"),"Exclude")</f>
        <v>Exclude</v>
      </c>
      <c r="E1720" s="5" t="str">
        <f>IFERROR(__xludf.DUMMYFUNCTION("IFS(
D1720=""Exclude"",""Exclude"",
AND(
FILTER(IMPORTRANGE(""https://docs.google.com/spreadsheets/d/1qpEmbGH0JjaJbUdp21-y2cPbobDbMjr09BbtdKROZWc/edit#gid=1444865654"",""articles_with_PRISMA_reasons!W2:W2113""), $A1720=IMPORTRANGE(""https://docs.google.co"&amp;"m/spreadsheets/d/1qpEmbGH0JjaJbUdp21-y2cPbobDbMjr09BbtdKROZWc/edit#gid=1444865654"",""articles_with_PRISMA_reasons!B2:B2113""))&gt;=2,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$A1720=IMPORTRANGE(""https://docs.google.com/spreadsheets/d/1qpEmbGH0JjaJbUdp21-y2cPbobDbMjr09BbtdKROZWc/edit#gid=1444865654"",""articles_with_PRISMA_reasons!B2:B2113""))&lt;2),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$A1720=IMPORTRANGE(""https://docs.google.com/spreadsheets/d/1qpEmbGH0JjaJbUdp21-y2cPbobDbMjr09Bbtd"&amp;"KROZWc/edit#gid=1444865654"",""articles_with_PRISMA_reasons!B2:B2113""))&lt;2,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$A1720=I"&amp;"MPORTRANGE(""https://docs.google.com/spreadsheets/d/1qpEmbGH0JjaJbUdp21-y2cPbobDbMjr09BbtdKROZWc/edit#gid=1444865654"",""articles_with_PRISMA_reasons!B2:B2113""))&gt;=2),
""Exclude""
)"),"Exclude")</f>
        <v>Exclude</v>
      </c>
      <c r="F1720" s="5" t="str">
        <f>IFERROR(__xludf.DUMMYFUNCTION("IFS(
E1720=""Exclude"",""Exclude"",
AND(
COUNTIF(
IMPORTRANGE(""https://docs.google.com/spreadsheets/d/1kGrh75X1cNR1D7_FcY9zMnHP8iPO4M5RCRjy6nZY0TY/edit#gid=0"",""Table 1: Study characteristics!B4:B171""),A1720)&gt;0,
COUNTIF(Studies!$A$2:$A$85,FILTER(IMPORT"&amp;"RANGE(""https://docs.google.com/spreadsheets/d/1kGrh75X1cNR1D7_FcY9zMnHP8iPO4M5RCRjy6nZY0TY/edit#gid=0"",""Table 1: Study characteristics!A4:A171""), $A1720=IMPORTRANGE(""https://docs.google.com/spreadsheets/d/1kGrh75X1cNR1D7_FcY9zMnHP8iPO4M5RCRjy6nZY0TY/"&amp;"edit#gid=0"",""Table 1: Study characteristics!B4:B171"")))&gt;0
),
""Include""
)"),"Exclude")</f>
        <v>Exclude</v>
      </c>
      <c r="G1720" s="5" t="str">
        <f>IFERROR(__xludf.DUMMYFUNCTION("IFS(
D1720=""Exclude"",
FILTER(IMPORTRANGE(""https://docs.google.com/spreadsheets/d/1BJSV3WBYJGRhQ6zExamkszQ5VutGIcaQqmbD9ZTVXMQ/edit#gid=1251630045"",""articles_with_PRISMA_reasons!AB2:AB2113""), $A1720=IMPORTRANGE(""https://docs.google.com/spreadsheets/"&amp;"d/1BJSV3WBYJGRhQ6zExamkszQ5VutGIcaQqmbD9ZTVXMQ/edit#gid=1251630045"",""articles_with_PRISMA_reasons!B2:B2113"")),
E1720=""Exclude"",
FILTER(IMPORTRANGE(""https://docs.google.com/spreadsheets/d/1qpEmbGH0JjaJbUdp21-y2cPbobDbMjr09BbtdKROZWc/edit#gid=14448656"&amp;"54"",""articles_with_PRISMA_reasons!Z2:Z2113""), $A1720=IMPORTRANGE(""https://docs.google.com/spreadsheets/d/1qpEmbGH0JjaJbUdp21-y2cPbobDbMjr09BbtdKROZWc/edit#gid=1444865654"",""articles_with_PRISMA_reasons!B2:B2113"")),F1720
=""Include"",FILTER(IMPORTRAN"&amp;"GE(""https://docs.google.com/spreadsheets/d/1kGrh75X1cNR1D7_FcY9zMnHP8iPO4M5RCRjy6nZY0TY/edit#gid=0"",""Table 1: Study characteristics!A4:A171""), $A1720=IMPORTRANGE(""https://docs.google.com/spreadsheets/d/1kGrh75X1cNR1D7_FcY9zMnHP8iPO4M5RCRjy6nZY0TY/edi"&amp;"t#gid=0"",""Table 1: Study characteristics!B4:B171""))
)"),"wrong population")</f>
        <v>wrong population</v>
      </c>
    </row>
    <row r="1721">
      <c r="A1721" s="4" t="str">
        <f>IFERROR(__xludf.DUMMYFUNCTION("""COMPUTED_VALUE"""),"Sonographic prenatal diagnosis of central nervous system abnormalities")</f>
        <v>Sonographic prenatal diagnosis of central nervous system abnormalities</v>
      </c>
      <c r="B1721" s="5" t="str">
        <f>IFERROR(__xludf.DUMMYFUNCTION("LEFT(FILTER(IMPORTRANGE(""https://docs.google.com/spreadsheets/d/1BJSV3WBYJGRhQ6zExamkszQ5VutGIcaQqmbD9ZTVXMQ/edit#gid=1251630045"",""articles_with_PRISMA_reasons!K2:K2113""), $A1721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$A1721=IMPORTRANGE(""https://docs.google.com/spreadsheets/d/1BJSV3WBYJGRhQ6zExamkszQ5VutGIcaQqmbD9ZTVXMQ/edit#gid=1251630045"",""articles_with_PRISMA_reasons!B2:B2113"")))-1)"),"Aubry")</f>
        <v>Aubry</v>
      </c>
      <c r="C1721" s="6">
        <f>IFERROR(__xludf.DUMMYFUNCTION("FILTER(IMPORTRANGE(""https://docs.google.com/spreadsheets/d/1BJSV3WBYJGRhQ6zExamkszQ5VutGIcaQqmbD9ZTVXMQ/edit#gid=1251630045"",""articles_with_PRISMA_reasons!C2:C2113""), $A1721=IMPORTRANGE(""https://docs.google.com/spreadsheets/d/1BJSV3WBYJGRhQ6zExamkszQ"&amp;"5VutGIcaQqmbD9ZTVXMQ/edit#gid=1251630045"",""articles_with_PRISMA_reasons!B2:B2113""))"),2003.0)</f>
        <v>2003</v>
      </c>
      <c r="D1721" s="5" t="str">
        <f>IFERROR(__xludf.DUMMYFUNCTION("IFS(AND(
FILTER(IMPORTRANGE(""https://docs.google.com/spreadsheets/d/1BJSV3WBYJGRhQ6zExamkszQ5VutGIcaQqmbD9ZTVXMQ/edit#gid=1251630045"",""articles_with_PRISMA_reasons!Y2:Y2113""), $A1721=IMPORTRANGE(""https://docs.google.com/spreadsheets/d/1BJSV3WBYJGRhQ6"&amp;"zExamkszQ5VutGIcaQqmbD9ZTVXMQ/edit#gid=1251630045"",""articles_with_PRISMA_reasons!B2:B2113""))&gt;=2,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$A1721=IMPORTRANGE(""https://docs.google.com/spreadsheets/d/1BJSV3WBYJGRhQ6zExamkszQ5VutGIcaQqmbD9ZTVXMQ/edit#gid=1251630045"",""articles_with_PRISMA_reasons!B2:B2113""))&lt;2),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$A1721=IMPORTRANGE(""https://docs.google.com/spreadsheets/d/1BJSV3WBYJGRhQ6zExamkszQ5VutGIcaQqmbD9ZTVXMQ/edit#gid=1251630045"",""a"&amp;"rticles_with_PRISMA_reasons!B2:B2113""))&lt;2,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$A1721=IMPORTRANGE(""https://docs.google"&amp;".com/spreadsheets/d/1BJSV3WBYJGRhQ6zExamkszQ5VutGIcaQqmbD9ZTVXMQ/edit#gid=1251630045"",""articles_with_PRISMA_reasons!B2:B2113""))&gt;=2),
""Exclude""
)"),"Exclude")</f>
        <v>Exclude</v>
      </c>
      <c r="E1721" s="5" t="str">
        <f>IFERROR(__xludf.DUMMYFUNCTION("IFS(
D1721=""Exclude"",""Exclude"",
AND(
FILTER(IMPORTRANGE(""https://docs.google.com/spreadsheets/d/1qpEmbGH0JjaJbUdp21-y2cPbobDbMjr09BbtdKROZWc/edit#gid=1444865654"",""articles_with_PRISMA_reasons!W2:W2113""), $A1721=IMPORTRANGE(""https://docs.google.co"&amp;"m/spreadsheets/d/1qpEmbGH0JjaJbUdp21-y2cPbobDbMjr09BbtdKROZWc/edit#gid=1444865654"",""articles_with_PRISMA_reasons!B2:B2113""))&gt;=2,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$A1721=IMPORTRANGE(""https://docs.google.com/spreadsheets/d/1qpEmbGH0JjaJbUdp21-y2cPbobDbMjr09BbtdKROZWc/edit#gid=1444865654"",""articles_with_PRISMA_reasons!B2:B2113""))&lt;2),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$A1721=IMPORTRANGE(""https://docs.google.com/spreadsheets/d/1qpEmbGH0JjaJbUdp21-y2cPbobDbMjr09Bbtd"&amp;"KROZWc/edit#gid=1444865654"",""articles_with_PRISMA_reasons!B2:B2113""))&lt;2,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$A1721=I"&amp;"MPORTRANGE(""https://docs.google.com/spreadsheets/d/1qpEmbGH0JjaJbUdp21-y2cPbobDbMjr09BbtdKROZWc/edit#gid=1444865654"",""articles_with_PRISMA_reasons!B2:B2113""))&gt;=2),
""Exclude""
)"),"Exclude")</f>
        <v>Exclude</v>
      </c>
      <c r="F1721" s="5" t="str">
        <f>IFERROR(__xludf.DUMMYFUNCTION("IFS(
E1721=""Exclude"",""Exclude"",
AND(
COUNTIF(
IMPORTRANGE(""https://docs.google.com/spreadsheets/d/1kGrh75X1cNR1D7_FcY9zMnHP8iPO4M5RCRjy6nZY0TY/edit#gid=0"",""Table 1: Study characteristics!B4:B171""),A1721)&gt;0,
COUNTIF(Studies!$A$2:$A$85,FILTER(IMPORT"&amp;"RANGE(""https://docs.google.com/spreadsheets/d/1kGrh75X1cNR1D7_FcY9zMnHP8iPO4M5RCRjy6nZY0TY/edit#gid=0"",""Table 1: Study characteristics!A4:A171""), $A1721=IMPORTRANGE(""https://docs.google.com/spreadsheets/d/1kGrh75X1cNR1D7_FcY9zMnHP8iPO4M5RCRjy6nZY0TY/"&amp;"edit#gid=0"",""Table 1: Study characteristics!B4:B171"")))&gt;0
),
""Include""
)"),"Exclude")</f>
        <v>Exclude</v>
      </c>
      <c r="G1721" s="5" t="str">
        <f>IFERROR(__xludf.DUMMYFUNCTION("IFS(
D1721=""Exclude"",
FILTER(IMPORTRANGE(""https://docs.google.com/spreadsheets/d/1BJSV3WBYJGRhQ6zExamkszQ5VutGIcaQqmbD9ZTVXMQ/edit#gid=1251630045"",""articles_with_PRISMA_reasons!AB2:AB2113""), $A1721=IMPORTRANGE(""https://docs.google.com/spreadsheets/"&amp;"d/1BJSV3WBYJGRhQ6zExamkszQ5VutGIcaQqmbD9ZTVXMQ/edit#gid=1251630045"",""articles_with_PRISMA_reasons!B2:B2113"")),
E1721=""Exclude"",
FILTER(IMPORTRANGE(""https://docs.google.com/spreadsheets/d/1qpEmbGH0JjaJbUdp21-y2cPbobDbMjr09BbtdKROZWc/edit#gid=14448656"&amp;"54"",""articles_with_PRISMA_reasons!Z2:Z2113""), $A1721=IMPORTRANGE(""https://docs.google.com/spreadsheets/d/1qpEmbGH0JjaJbUdp21-y2cPbobDbMjr09BbtdKROZWc/edit#gid=1444865654"",""articles_with_PRISMA_reasons!B2:B2113"")),F1721
=""Include"",FILTER(IMPORTRAN"&amp;"GE(""https://docs.google.com/spreadsheets/d/1kGrh75X1cNR1D7_FcY9zMnHP8iPO4M5RCRjy6nZY0TY/edit#gid=0"",""Table 1: Study characteristics!A4:A171""), $A1721=IMPORTRANGE(""https://docs.google.com/spreadsheets/d/1kGrh75X1cNR1D7_FcY9zMnHP8iPO4M5RCRjy6nZY0TY/edi"&amp;"t#gid=0"",""Table 1: Study characteristics!B4:B171""))
)"),"Ante-natal intervention")</f>
        <v>Ante-natal intervention</v>
      </c>
    </row>
    <row r="1722">
      <c r="A1722" s="4" t="str">
        <f>IFERROR(__xludf.DUMMYFUNCTION("""COMPUTED_VALUE"""),"Sonographic signs of Arnold-Chiari-syndrome and hydrocephalus in children with myelomeningocele")</f>
        <v>Sonographic signs of Arnold-Chiari-syndrome and hydrocephalus in children with myelomeningocele</v>
      </c>
      <c r="B1722" s="5" t="str">
        <f>IFERROR(__xludf.DUMMYFUNCTION("LEFT(FILTER(IMPORTRANGE(""https://docs.google.com/spreadsheets/d/1BJSV3WBYJGRhQ6zExamkszQ5VutGIcaQqmbD9ZTVXMQ/edit#gid=1251630045"",""articles_with_PRISMA_reasons!K2:K2113""), $A1722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$A1722=IMPORTRANGE(""https://docs.google.com/spreadsheets/d/1BJSV3WBYJGRhQ6zExamkszQ5VutGIcaQqmbD9ZTVXMQ/edit#gid=1251630045"",""articles_with_PRISMA_reasons!B2:B2113"")))-1)"),"Deeg")</f>
        <v>Deeg</v>
      </c>
      <c r="C1722" s="6">
        <f>IFERROR(__xludf.DUMMYFUNCTION("FILTER(IMPORTRANGE(""https://docs.google.com/spreadsheets/d/1BJSV3WBYJGRhQ6zExamkszQ5VutGIcaQqmbD9ZTVXMQ/edit#gid=1251630045"",""articles_with_PRISMA_reasons!C2:C2113""), $A1722=IMPORTRANGE(""https://docs.google.com/spreadsheets/d/1BJSV3WBYJGRhQ6zExamkszQ"&amp;"5VutGIcaQqmbD9ZTVXMQ/edit#gid=1251630045"",""articles_with_PRISMA_reasons!B2:B2113""))"),1984.0)</f>
        <v>1984</v>
      </c>
      <c r="D1722" s="5" t="str">
        <f>IFERROR(__xludf.DUMMYFUNCTION("IFS(AND(
FILTER(IMPORTRANGE(""https://docs.google.com/spreadsheets/d/1BJSV3WBYJGRhQ6zExamkszQ5VutGIcaQqmbD9ZTVXMQ/edit#gid=1251630045"",""articles_with_PRISMA_reasons!Y2:Y2113""), $A1722=IMPORTRANGE(""https://docs.google.com/spreadsheets/d/1BJSV3WBYJGRhQ6"&amp;"zExamkszQ5VutGIcaQqmbD9ZTVXMQ/edit#gid=1251630045"",""articles_with_PRISMA_reasons!B2:B2113""))&gt;=2,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$A1722=IMPORTRANGE(""https://docs.google.com/spreadsheets/d/1BJSV3WBYJGRhQ6zExamkszQ5VutGIcaQqmbD9ZTVXMQ/edit#gid=1251630045"",""articles_with_PRISMA_reasons!B2:B2113""))&lt;2),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$A1722=IMPORTRANGE(""https://docs.google.com/spreadsheets/d/1BJSV3WBYJGRhQ6zExamkszQ5VutGIcaQqmbD9ZTVXMQ/edit#gid=1251630045"",""a"&amp;"rticles_with_PRISMA_reasons!B2:B2113""))&lt;2,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$A1722=IMPORTRANGE(""https://docs.google"&amp;".com/spreadsheets/d/1BJSV3WBYJGRhQ6zExamkszQ5VutGIcaQqmbD9ZTVXMQ/edit#gid=1251630045"",""articles_with_PRISMA_reasons!B2:B2113""))&gt;=2),
""Exclude""
)"),"Include")</f>
        <v>Include</v>
      </c>
      <c r="E1722" s="5" t="str">
        <f>IFERROR(__xludf.DUMMYFUNCTION("IFS(
D1722=""Exclude"",""Exclude"",
AND(
FILTER(IMPORTRANGE(""https://docs.google.com/spreadsheets/d/1qpEmbGH0JjaJbUdp21-y2cPbobDbMjr09BbtdKROZWc/edit#gid=1444865654"",""articles_with_PRISMA_reasons!W2:W2113""), $A1722=IMPORTRANGE(""https://docs.google.co"&amp;"m/spreadsheets/d/1qpEmbGH0JjaJbUdp21-y2cPbobDbMjr09BbtdKROZWc/edit#gid=1444865654"",""articles_with_PRISMA_reasons!B2:B2113""))&gt;=2,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$A1722=IMPORTRANGE(""https://docs.google.com/spreadsheets/d/1qpEmbGH0JjaJbUdp21-y2cPbobDbMjr09BbtdKROZWc/edit#gid=1444865654"",""articles_with_PRISMA_reasons!B2:B2113""))&lt;2),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$A1722=IMPORTRANGE(""https://docs.google.com/spreadsheets/d/1qpEmbGH0JjaJbUdp21-y2cPbobDbMjr09Bbtd"&amp;"KROZWc/edit#gid=1444865654"",""articles_with_PRISMA_reasons!B2:B2113""))&lt;2,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$A1722=I"&amp;"MPORTRANGE(""https://docs.google.com/spreadsheets/d/1qpEmbGH0JjaJbUdp21-y2cPbobDbMjr09BbtdKROZWc/edit#gid=1444865654"",""articles_with_PRISMA_reasons!B2:B2113""))&gt;=2),
""Exclude""
)"),"Include")</f>
        <v>Include</v>
      </c>
      <c r="F1722" s="2" t="s">
        <v>8</v>
      </c>
      <c r="G1722" s="2" t="s">
        <v>35</v>
      </c>
    </row>
    <row r="1723">
      <c r="A1723" s="4" t="str">
        <f>IFERROR(__xludf.DUMMYFUNCTION("""COMPUTED_VALUE"""),"Sonographic Signs of Fetal Neural Tube and Central Nervous System Defects")</f>
        <v>Sonographic Signs of Fetal Neural Tube and Central Nervous System Defects</v>
      </c>
      <c r="B1723" s="5" t="str">
        <f>IFERROR(__xludf.DUMMYFUNCTION("LEFT(FILTER(IMPORTRANGE(""https://docs.google.com/spreadsheets/d/1BJSV3WBYJGRhQ6zExamkszQ5VutGIcaQqmbD9ZTVXMQ/edit#gid=1251630045"",""articles_with_PRISMA_reasons!K2:K2113""), $A1723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$A1723=IMPORTRANGE(""https://docs.google.com/spreadsheets/d/1BJSV3WBYJGRhQ6zExamkszQ5VutGIcaQqmbD9ZTVXMQ/edit#gid=1251630045"",""articles_with_PRISMA_reasons!B2:B2113"")))-1)"),"Stephenson")</f>
        <v>Stephenson</v>
      </c>
      <c r="C1723" s="6">
        <f>IFERROR(__xludf.DUMMYFUNCTION("FILTER(IMPORTRANGE(""https://docs.google.com/spreadsheets/d/1BJSV3WBYJGRhQ6zExamkszQ5VutGIcaQqmbD9ZTVXMQ/edit#gid=1251630045"",""articles_with_PRISMA_reasons!C2:C2113""), $A1723=IMPORTRANGE(""https://docs.google.com/spreadsheets/d/1BJSV3WBYJGRhQ6zExamkszQ"&amp;"5VutGIcaQqmbD9ZTVXMQ/edit#gid=1251630045"",""articles_with_PRISMA_reasons!B2:B2113""))"),2003.0)</f>
        <v>2003</v>
      </c>
      <c r="D1723" s="5" t="str">
        <f>IFERROR(__xludf.DUMMYFUNCTION("IFS(AND(
FILTER(IMPORTRANGE(""https://docs.google.com/spreadsheets/d/1BJSV3WBYJGRhQ6zExamkszQ5VutGIcaQqmbD9ZTVXMQ/edit#gid=1251630045"",""articles_with_PRISMA_reasons!Y2:Y2113""), $A1723=IMPORTRANGE(""https://docs.google.com/spreadsheets/d/1BJSV3WBYJGRhQ6"&amp;"zExamkszQ5VutGIcaQqmbD9ZTVXMQ/edit#gid=1251630045"",""articles_with_PRISMA_reasons!B2:B2113""))&gt;=2,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$A1723=IMPORTRANGE(""https://docs.google.com/spreadsheets/d/1BJSV3WBYJGRhQ6zExamkszQ5VutGIcaQqmbD9ZTVXMQ/edit#gid=1251630045"",""articles_with_PRISMA_reasons!B2:B2113""))&lt;2),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$A1723=IMPORTRANGE(""https://docs.google.com/spreadsheets/d/1BJSV3WBYJGRhQ6zExamkszQ5VutGIcaQqmbD9ZTVXMQ/edit#gid=1251630045"",""a"&amp;"rticles_with_PRISMA_reasons!B2:B2113""))&lt;2,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$A1723=IMPORTRANGE(""https://docs.google"&amp;".com/spreadsheets/d/1BJSV3WBYJGRhQ6zExamkszQ5VutGIcaQqmbD9ZTVXMQ/edit#gid=1251630045"",""articles_with_PRISMA_reasons!B2:B2113""))&gt;=2),
""Exclude""
)"),"Exclude")</f>
        <v>Exclude</v>
      </c>
      <c r="E1723" s="5" t="str">
        <f>IFERROR(__xludf.DUMMYFUNCTION("IFS(
D1723=""Exclude"",""Exclude"",
AND(
FILTER(IMPORTRANGE(""https://docs.google.com/spreadsheets/d/1qpEmbGH0JjaJbUdp21-y2cPbobDbMjr09BbtdKROZWc/edit#gid=1444865654"",""articles_with_PRISMA_reasons!W2:W2113""), $A1723=IMPORTRANGE(""https://docs.google.co"&amp;"m/spreadsheets/d/1qpEmbGH0JjaJbUdp21-y2cPbobDbMjr09BbtdKROZWc/edit#gid=1444865654"",""articles_with_PRISMA_reasons!B2:B2113""))&gt;=2,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$A1723=IMPORTRANGE(""https://docs.google.com/spreadsheets/d/1qpEmbGH0JjaJbUdp21-y2cPbobDbMjr09BbtdKROZWc/edit#gid=1444865654"",""articles_with_PRISMA_reasons!B2:B2113""))&lt;2),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$A1723=IMPORTRANGE(""https://docs.google.com/spreadsheets/d/1qpEmbGH0JjaJbUdp21-y2cPbobDbMjr09Bbtd"&amp;"KROZWc/edit#gid=1444865654"",""articles_with_PRISMA_reasons!B2:B2113""))&lt;2,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$A1723=I"&amp;"MPORTRANGE(""https://docs.google.com/spreadsheets/d/1qpEmbGH0JjaJbUdp21-y2cPbobDbMjr09BbtdKROZWc/edit#gid=1444865654"",""articles_with_PRISMA_reasons!B2:B2113""))&gt;=2),
""Exclude""
)"),"Exclude")</f>
        <v>Exclude</v>
      </c>
      <c r="F1723" s="5" t="str">
        <f>IFERROR(__xludf.DUMMYFUNCTION("IFS(
E1723=""Exclude"",""Exclude"",
AND(
COUNTIF(
IMPORTRANGE(""https://docs.google.com/spreadsheets/d/1kGrh75X1cNR1D7_FcY9zMnHP8iPO4M5RCRjy6nZY0TY/edit#gid=0"",""Table 1: Study characteristics!B4:B171""),A1723)&gt;0,
COUNTIF(Studies!$A$2:$A$85,FILTER(IMPORT"&amp;"RANGE(""https://docs.google.com/spreadsheets/d/1kGrh75X1cNR1D7_FcY9zMnHP8iPO4M5RCRjy6nZY0TY/edit#gid=0"",""Table 1: Study characteristics!A4:A171""), $A1723=IMPORTRANGE(""https://docs.google.com/spreadsheets/d/1kGrh75X1cNR1D7_FcY9zMnHP8iPO4M5RCRjy6nZY0TY/"&amp;"edit#gid=0"",""Table 1: Study characteristics!B4:B171"")))&gt;0
),
""Include""
)"),"Exclude")</f>
        <v>Exclude</v>
      </c>
      <c r="G1723" s="5" t="str">
        <f>IFERROR(__xludf.DUMMYFUNCTION("IFS(
D1723=""Exclude"",
FILTER(IMPORTRANGE(""https://docs.google.com/spreadsheets/d/1BJSV3WBYJGRhQ6zExamkszQ5VutGIcaQqmbD9ZTVXMQ/edit#gid=1251630045"",""articles_with_PRISMA_reasons!AB2:AB2113""), $A1723=IMPORTRANGE(""https://docs.google.com/spreadsheets/"&amp;"d/1BJSV3WBYJGRhQ6zExamkszQ5VutGIcaQqmbD9ZTVXMQ/edit#gid=1251630045"",""articles_with_PRISMA_reasons!B2:B2113"")),
E1723=""Exclude"",
FILTER(IMPORTRANGE(""https://docs.google.com/spreadsheets/d/1qpEmbGH0JjaJbUdp21-y2cPbobDbMjr09BbtdKROZWc/edit#gid=14448656"&amp;"54"",""articles_with_PRISMA_reasons!Z2:Z2113""), $A1723=IMPORTRANGE(""https://docs.google.com/spreadsheets/d/1qpEmbGH0JjaJbUdp21-y2cPbobDbMjr09BbtdKROZWc/edit#gid=1444865654"",""articles_with_PRISMA_reasons!B2:B2113"")),F1723
=""Include"",FILTER(IMPORTRAN"&amp;"GE(""https://docs.google.com/spreadsheets/d/1kGrh75X1cNR1D7_FcY9zMnHP8iPO4M5RCRjy6nZY0TY/edit#gid=0"",""Table 1: Study characteristics!A4:A171""), $A1723=IMPORTRANGE(""https://docs.google.com/spreadsheets/d/1kGrh75X1cNR1D7_FcY9zMnHP8iPO4M5RCRjy6nZY0TY/edi"&amp;"t#gid=0"",""Table 1: Study characteristics!B4:B171""))
)"),"wrong population")</f>
        <v>wrong population</v>
      </c>
    </row>
    <row r="1724">
      <c r="A1724" s="4" t="str">
        <f>IFERROR(__xludf.DUMMYFUNCTION("""COMPUTED_VALUE"""),"Sonography in obstetrics")</f>
        <v>Sonography in obstetrics</v>
      </c>
      <c r="B1724" s="5" t="str">
        <f>IFERROR(__xludf.DUMMYFUNCTION("LEFT(FILTER(IMPORTRANGE(""https://docs.google.com/spreadsheets/d/1BJSV3WBYJGRhQ6zExamkszQ5VutGIcaQqmbD9ZTVXMQ/edit#gid=1251630045"",""articles_with_PRISMA_reasons!K2:K2113""), $A1724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$A1724=IMPORTRANGE(""https://docs.google.com/spreadsheets/d/1BJSV3WBYJGRhQ6zExamkszQ5VutGIcaQqmbD9ZTVXMQ/edit#gid=1251630045"",""articles_with_PRISMA_reasons!B2:B2113"")))-1)"),"S and ers")</f>
        <v>S and ers</v>
      </c>
      <c r="C1724" s="6">
        <f>IFERROR(__xludf.DUMMYFUNCTION("FILTER(IMPORTRANGE(""https://docs.google.com/spreadsheets/d/1BJSV3WBYJGRhQ6zExamkszQ5VutGIcaQqmbD9ZTVXMQ/edit#gid=1251630045"",""articles_with_PRISMA_reasons!C2:C2113""), $A1724=IMPORTRANGE(""https://docs.google.com/spreadsheets/d/1BJSV3WBYJGRhQ6zExamkszQ"&amp;"5VutGIcaQqmbD9ZTVXMQ/edit#gid=1251630045"",""articles_with_PRISMA_reasons!B2:B2113""))"),1975.0)</f>
        <v>1975</v>
      </c>
      <c r="D1724" s="5" t="str">
        <f>IFERROR(__xludf.DUMMYFUNCTION("IFS(AND(
FILTER(IMPORTRANGE(""https://docs.google.com/spreadsheets/d/1BJSV3WBYJGRhQ6zExamkszQ5VutGIcaQqmbD9ZTVXMQ/edit#gid=1251630045"",""articles_with_PRISMA_reasons!Y2:Y2113""), $A1724=IMPORTRANGE(""https://docs.google.com/spreadsheets/d/1BJSV3WBYJGRhQ6"&amp;"zExamkszQ5VutGIcaQqmbD9ZTVXMQ/edit#gid=1251630045"",""articles_with_PRISMA_reasons!B2:B2113""))&gt;=2,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$A1724=IMPORTRANGE(""https://docs.google.com/spreadsheets/d/1BJSV3WBYJGRhQ6zExamkszQ5VutGIcaQqmbD9ZTVXMQ/edit#gid=1251630045"",""articles_with_PRISMA_reasons!B2:B2113""))&lt;2),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$A1724=IMPORTRANGE(""https://docs.google.com/spreadsheets/d/1BJSV3WBYJGRhQ6zExamkszQ5VutGIcaQqmbD9ZTVXMQ/edit#gid=1251630045"",""a"&amp;"rticles_with_PRISMA_reasons!B2:B2113""))&lt;2,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$A1724=IMPORTRANGE(""https://docs.google"&amp;".com/spreadsheets/d/1BJSV3WBYJGRhQ6zExamkszQ5VutGIcaQqmbD9ZTVXMQ/edit#gid=1251630045"",""articles_with_PRISMA_reasons!B2:B2113""))&gt;=2),
""Exclude""
)"),"Exclude")</f>
        <v>Exclude</v>
      </c>
      <c r="E1724" s="5" t="str">
        <f>IFERROR(__xludf.DUMMYFUNCTION("IFS(
D1724=""Exclude"",""Exclude"",
AND(
FILTER(IMPORTRANGE(""https://docs.google.com/spreadsheets/d/1qpEmbGH0JjaJbUdp21-y2cPbobDbMjr09BbtdKROZWc/edit#gid=1444865654"",""articles_with_PRISMA_reasons!W2:W2113""), $A1724=IMPORTRANGE(""https://docs.google.co"&amp;"m/spreadsheets/d/1qpEmbGH0JjaJbUdp21-y2cPbobDbMjr09BbtdKROZWc/edit#gid=1444865654"",""articles_with_PRISMA_reasons!B2:B2113""))&gt;=2,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$A1724=IMPORTRANGE(""https://docs.google.com/spreadsheets/d/1qpEmbGH0JjaJbUdp21-y2cPbobDbMjr09BbtdKROZWc/edit#gid=1444865654"",""articles_with_PRISMA_reasons!B2:B2113""))&lt;2),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$A1724=IMPORTRANGE(""https://docs.google.com/spreadsheets/d/1qpEmbGH0JjaJbUdp21-y2cPbobDbMjr09Bbtd"&amp;"KROZWc/edit#gid=1444865654"",""articles_with_PRISMA_reasons!B2:B2113""))&lt;2,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$A1724=I"&amp;"MPORTRANGE(""https://docs.google.com/spreadsheets/d/1qpEmbGH0JjaJbUdp21-y2cPbobDbMjr09BbtdKROZWc/edit#gid=1444865654"",""articles_with_PRISMA_reasons!B2:B2113""))&gt;=2),
""Exclude""
)"),"Exclude")</f>
        <v>Exclude</v>
      </c>
      <c r="F1724" s="5" t="str">
        <f>IFERROR(__xludf.DUMMYFUNCTION("IFS(
E1724=""Exclude"",""Exclude"",
AND(
COUNTIF(
IMPORTRANGE(""https://docs.google.com/spreadsheets/d/1kGrh75X1cNR1D7_FcY9zMnHP8iPO4M5RCRjy6nZY0TY/edit#gid=0"",""Table 1: Study characteristics!B4:B171""),A1724)&gt;0,
COUNTIF(Studies!$A$2:$A$85,FILTER(IMPORT"&amp;"RANGE(""https://docs.google.com/spreadsheets/d/1kGrh75X1cNR1D7_FcY9zMnHP8iPO4M5RCRjy6nZY0TY/edit#gid=0"",""Table 1: Study characteristics!A4:A171""), $A1724=IMPORTRANGE(""https://docs.google.com/spreadsheets/d/1kGrh75X1cNR1D7_FcY9zMnHP8iPO4M5RCRjy6nZY0TY/"&amp;"edit#gid=0"",""Table 1: Study characteristics!B4:B171"")))&gt;0
),
""Include""
)"),"Exclude")</f>
        <v>Exclude</v>
      </c>
      <c r="G1724" s="5" t="str">
        <f>IFERROR(__xludf.DUMMYFUNCTION("IFS(
D1724=""Exclude"",
FILTER(IMPORTRANGE(""https://docs.google.com/spreadsheets/d/1BJSV3WBYJGRhQ6zExamkszQ5VutGIcaQqmbD9ZTVXMQ/edit#gid=1251630045"",""articles_with_PRISMA_reasons!AB2:AB2113""), $A1724=IMPORTRANGE(""https://docs.google.com/spreadsheets/"&amp;"d/1BJSV3WBYJGRhQ6zExamkszQ5VutGIcaQqmbD9ZTVXMQ/edit#gid=1251630045"",""articles_with_PRISMA_reasons!B2:B2113"")),
E1724=""Exclude"",
FILTER(IMPORTRANGE(""https://docs.google.com/spreadsheets/d/1qpEmbGH0JjaJbUdp21-y2cPbobDbMjr09BbtdKROZWc/edit#gid=14448656"&amp;"54"",""articles_with_PRISMA_reasons!Z2:Z2113""), $A1724=IMPORTRANGE(""https://docs.google.com/spreadsheets/d/1qpEmbGH0JjaJbUdp21-y2cPbobDbMjr09BbtdKROZWc/edit#gid=1444865654"",""articles_with_PRISMA_reasons!B2:B2113"")),F1724
=""Include"",FILTER(IMPORTRAN"&amp;"GE(""https://docs.google.com/spreadsheets/d/1kGrh75X1cNR1D7_FcY9zMnHP8iPO4M5RCRjy6nZY0TY/edit#gid=0"",""Table 1: Study characteristics!A4:A171""), $A1724=IMPORTRANGE(""https://docs.google.com/spreadsheets/d/1kGrh75X1cNR1D7_FcY9zMnHP8iPO4M5RCRjy6nZY0TY/edi"&amp;"t#gid=0"",""Table 1: Study characteristics!B4:B171""))
)"),"background article")</f>
        <v>background article</v>
      </c>
    </row>
    <row r="1725">
      <c r="A1725" s="4" t="str">
        <f>IFERROR(__xludf.DUMMYFUNCTION("""COMPUTED_VALUE"""),"Sound spectrographic cry analysis of infants with hydrocephalus")</f>
        <v>Sound spectrographic cry analysis of infants with hydrocephalus</v>
      </c>
      <c r="B1725" s="5" t="str">
        <f>IFERROR(__xludf.DUMMYFUNCTION("LEFT(FILTER(IMPORTRANGE(""https://docs.google.com/spreadsheets/d/1BJSV3WBYJGRhQ6zExamkszQ5VutGIcaQqmbD9ZTVXMQ/edit#gid=1251630045"",""articles_with_PRISMA_reasons!K2:K2113""), $A1725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$A1725=IMPORTRANGE(""https://docs.google.com/spreadsheets/d/1BJSV3WBYJGRhQ6zExamkszQ5VutGIcaQqmbD9ZTVXMQ/edit#gid=1251630045"",""articles_with_PRISMA_reasons!B2:B2113"")))-1)"),"Michelsson")</f>
        <v>Michelsson</v>
      </c>
      <c r="C1725" s="6" t="str">
        <f>IFERROR(__xludf.DUMMYFUNCTION("FILTER(IMPORTRANGE(""https://docs.google.com/spreadsheets/d/1BJSV3WBYJGRhQ6zExamkszQ5VutGIcaQqmbD9ZTVXMQ/edit#gid=1251630045"",""articles_with_PRISMA_reasons!C2:C2113""), $A1725=IMPORTRANGE(""https://docs.google.com/spreadsheets/d/1BJSV3WBYJGRhQ6zExamkszQ"&amp;"5VutGIcaQqmbD9ZTVXMQ/edit#gid=1251630045"",""articles_with_PRISMA_reasons!B2:B2113""))"),"Jan")</f>
        <v>Jan</v>
      </c>
      <c r="D1725" s="5" t="str">
        <f>IFERROR(__xludf.DUMMYFUNCTION("IFS(AND(
FILTER(IMPORTRANGE(""https://docs.google.com/spreadsheets/d/1BJSV3WBYJGRhQ6zExamkszQ5VutGIcaQqmbD9ZTVXMQ/edit#gid=1251630045"",""articles_with_PRISMA_reasons!Y2:Y2113""), $A1725=IMPORTRANGE(""https://docs.google.com/spreadsheets/d/1BJSV3WBYJGRhQ6"&amp;"zExamkszQ5VutGIcaQqmbD9ZTVXMQ/edit#gid=1251630045"",""articles_with_PRISMA_reasons!B2:B2113""))&gt;=2,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$A1725=IMPORTRANGE(""https://docs.google.com/spreadsheets/d/1BJSV3WBYJGRhQ6zExamkszQ5VutGIcaQqmbD9ZTVXMQ/edit#gid=1251630045"",""articles_with_PRISMA_reasons!B2:B2113""))&lt;2),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$A1725=IMPORTRANGE(""https://docs.google.com/spreadsheets/d/1BJSV3WBYJGRhQ6zExamkszQ5VutGIcaQqmbD9ZTVXMQ/edit#gid=1251630045"",""a"&amp;"rticles_with_PRISMA_reasons!B2:B2113""))&lt;2,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$A1725=IMPORTRANGE(""https://docs.google"&amp;".com/spreadsheets/d/1BJSV3WBYJGRhQ6zExamkszQ5VutGIcaQqmbD9ZTVXMQ/edit#gid=1251630045"",""articles_with_PRISMA_reasons!B2:B2113""))&gt;=2),
""Exclude""
)"),"Exclude")</f>
        <v>Exclude</v>
      </c>
      <c r="E1725" s="5" t="str">
        <f>IFERROR(__xludf.DUMMYFUNCTION("IFS(
D1725=""Exclude"",""Exclude"",
AND(
FILTER(IMPORTRANGE(""https://docs.google.com/spreadsheets/d/1qpEmbGH0JjaJbUdp21-y2cPbobDbMjr09BbtdKROZWc/edit#gid=1444865654"",""articles_with_PRISMA_reasons!W2:W2113""), $A1725=IMPORTRANGE(""https://docs.google.co"&amp;"m/spreadsheets/d/1qpEmbGH0JjaJbUdp21-y2cPbobDbMjr09BbtdKROZWc/edit#gid=1444865654"",""articles_with_PRISMA_reasons!B2:B2113""))&gt;=2,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$A1725=IMPORTRANGE(""https://docs.google.com/spreadsheets/d/1qpEmbGH0JjaJbUdp21-y2cPbobDbMjr09BbtdKROZWc/edit#gid=1444865654"",""articles_with_PRISMA_reasons!B2:B2113""))&lt;2),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$A1725=IMPORTRANGE(""https://docs.google.com/spreadsheets/d/1qpEmbGH0JjaJbUdp21-y2cPbobDbMjr09Bbtd"&amp;"KROZWc/edit#gid=1444865654"",""articles_with_PRISMA_reasons!B2:B2113""))&lt;2,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$A1725=I"&amp;"MPORTRANGE(""https://docs.google.com/spreadsheets/d/1qpEmbGH0JjaJbUdp21-y2cPbobDbMjr09BbtdKROZWc/edit#gid=1444865654"",""articles_with_PRISMA_reasons!B2:B2113""))&gt;=2),
""Exclude""
)"),"Exclude")</f>
        <v>Exclude</v>
      </c>
      <c r="F1725" s="5" t="str">
        <f>IFERROR(__xludf.DUMMYFUNCTION("IFS(
E1725=""Exclude"",""Exclude"",
AND(
COUNTIF(
IMPORTRANGE(""https://docs.google.com/spreadsheets/d/1kGrh75X1cNR1D7_FcY9zMnHP8iPO4M5RCRjy6nZY0TY/edit#gid=0"",""Table 1: Study characteristics!B4:B171""),A1725)&gt;0,
COUNTIF(Studies!$A$2:$A$85,FILTER(IMPORT"&amp;"RANGE(""https://docs.google.com/spreadsheets/d/1kGrh75X1cNR1D7_FcY9zMnHP8iPO4M5RCRjy6nZY0TY/edit#gid=0"",""Table 1: Study characteristics!A4:A171""), $A1725=IMPORTRANGE(""https://docs.google.com/spreadsheets/d/1kGrh75X1cNR1D7_FcY9zMnHP8iPO4M5RCRjy6nZY0TY/"&amp;"edit#gid=0"",""Table 1: Study characteristics!B4:B171"")))&gt;0
),
""Include""
)"),"Exclude")</f>
        <v>Exclude</v>
      </c>
      <c r="G1725" s="5" t="str">
        <f>IFERROR(__xludf.DUMMYFUNCTION("IFS(
D1725=""Exclude"",
FILTER(IMPORTRANGE(""https://docs.google.com/spreadsheets/d/1BJSV3WBYJGRhQ6zExamkszQ5VutGIcaQqmbD9ZTVXMQ/edit#gid=1251630045"",""articles_with_PRISMA_reasons!AB2:AB2113""), $A1725=IMPORTRANGE(""https://docs.google.com/spreadsheets/"&amp;"d/1BJSV3WBYJGRhQ6zExamkszQ5VutGIcaQqmbD9ZTVXMQ/edit#gid=1251630045"",""articles_with_PRISMA_reasons!B2:B2113"")),
E1725=""Exclude"",
FILTER(IMPORTRANGE(""https://docs.google.com/spreadsheets/d/1qpEmbGH0JjaJbUdp21-y2cPbobDbMjr09BbtdKROZWc/edit#gid=14448656"&amp;"54"",""articles_with_PRISMA_reasons!Z2:Z2113""), $A1725=IMPORTRANGE(""https://docs.google.com/spreadsheets/d/1qpEmbGH0JjaJbUdp21-y2cPbobDbMjr09BbtdKROZWc/edit#gid=1444865654"",""articles_with_PRISMA_reasons!B2:B2113"")),F1725
=""Include"",FILTER(IMPORTRAN"&amp;"GE(""https://docs.google.com/spreadsheets/d/1kGrh75X1cNR1D7_FcY9zMnHP8iPO4M5RCRjy6nZY0TY/edit#gid=0"",""Table 1: Study characteristics!A4:A171""), $A1725=IMPORTRANGE(""https://docs.google.com/spreadsheets/d/1kGrh75X1cNR1D7_FcY9zMnHP8iPO4M5RCRjy6nZY0TY/edi"&amp;"t#gid=0"",""Table 1: Study characteristics!B4:B171""))
)"),"Duplicate")</f>
        <v>Duplicate</v>
      </c>
    </row>
    <row r="1726">
      <c r="A1726" s="4" t="str">
        <f>IFERROR(__xludf.DUMMYFUNCTION("""COMPUTED_VALUE"""),"Space-based inhibition of return in children with spina bifida")</f>
        <v>Space-based inhibition of return in children with spina bifida</v>
      </c>
      <c r="B1726" s="5" t="str">
        <f>IFERROR(__xludf.DUMMYFUNCTION("LEFT(FILTER(IMPORTRANGE(""https://docs.google.com/spreadsheets/d/1BJSV3WBYJGRhQ6zExamkszQ5VutGIcaQqmbD9ZTVXMQ/edit#gid=1251630045"",""articles_with_PRISMA_reasons!K2:K2113""), $A1726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$A1726=IMPORTRANGE(""https://docs.google.com/spreadsheets/d/1BJSV3WBYJGRhQ6zExamkszQ5VutGIcaQqmbD9ZTVXMQ/edit#gid=1251630045"",""articles_with_PRISMA_reasons!B2:B2113"")))-1)"),"Dennis")</f>
        <v>Dennis</v>
      </c>
      <c r="C1726" s="6">
        <f>IFERROR(__xludf.DUMMYFUNCTION("FILTER(IMPORTRANGE(""https://docs.google.com/spreadsheets/d/1BJSV3WBYJGRhQ6zExamkszQ5VutGIcaQqmbD9ZTVXMQ/edit#gid=1251630045"",""articles_with_PRISMA_reasons!C2:C2113""), $A1726=IMPORTRANGE(""https://docs.google.com/spreadsheets/d/1BJSV3WBYJGRhQ6zExamkszQ"&amp;"5VutGIcaQqmbD9ZTVXMQ/edit#gid=1251630045"",""articles_with_PRISMA_reasons!B2:B2113""))"),2005.0)</f>
        <v>2005</v>
      </c>
      <c r="D1726" s="5" t="str">
        <f>IFERROR(__xludf.DUMMYFUNCTION("IFS(AND(
FILTER(IMPORTRANGE(""https://docs.google.com/spreadsheets/d/1BJSV3WBYJGRhQ6zExamkszQ5VutGIcaQqmbD9ZTVXMQ/edit#gid=1251630045"",""articles_with_PRISMA_reasons!Y2:Y2113""), $A1726=IMPORTRANGE(""https://docs.google.com/spreadsheets/d/1BJSV3WBYJGRhQ6"&amp;"zExamkszQ5VutGIcaQqmbD9ZTVXMQ/edit#gid=1251630045"",""articles_with_PRISMA_reasons!B2:B2113""))&gt;=2,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$A1726=IMPORTRANGE(""https://docs.google.com/spreadsheets/d/1BJSV3WBYJGRhQ6zExamkszQ5VutGIcaQqmbD9ZTVXMQ/edit#gid=1251630045"",""articles_with_PRISMA_reasons!B2:B2113""))&lt;2),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$A1726=IMPORTRANGE(""https://docs.google.com/spreadsheets/d/1BJSV3WBYJGRhQ6zExamkszQ5VutGIcaQqmbD9ZTVXMQ/edit#gid=1251630045"",""a"&amp;"rticles_with_PRISMA_reasons!B2:B2113""))&lt;2,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$A1726=IMPORTRANGE(""https://docs.google"&amp;".com/spreadsheets/d/1BJSV3WBYJGRhQ6zExamkszQ5VutGIcaQqmbD9ZTVXMQ/edit#gid=1251630045"",""articles_with_PRISMA_reasons!B2:B2113""))&gt;=2),
""Exclude""
)"),"Exclude")</f>
        <v>Exclude</v>
      </c>
      <c r="E1726" s="5" t="str">
        <f>IFERROR(__xludf.DUMMYFUNCTION("IFS(
D1726=""Exclude"",""Exclude"",
AND(
FILTER(IMPORTRANGE(""https://docs.google.com/spreadsheets/d/1qpEmbGH0JjaJbUdp21-y2cPbobDbMjr09BbtdKROZWc/edit#gid=1444865654"",""articles_with_PRISMA_reasons!W2:W2113""), $A1726=IMPORTRANGE(""https://docs.google.co"&amp;"m/spreadsheets/d/1qpEmbGH0JjaJbUdp21-y2cPbobDbMjr09BbtdKROZWc/edit#gid=1444865654"",""articles_with_PRISMA_reasons!B2:B2113""))&gt;=2,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$A1726=IMPORTRANGE(""https://docs.google.com/spreadsheets/d/1qpEmbGH0JjaJbUdp21-y2cPbobDbMjr09BbtdKROZWc/edit#gid=1444865654"",""articles_with_PRISMA_reasons!B2:B2113""))&lt;2),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$A1726=IMPORTRANGE(""https://docs.google.com/spreadsheets/d/1qpEmbGH0JjaJbUdp21-y2cPbobDbMjr09Bbtd"&amp;"KROZWc/edit#gid=1444865654"",""articles_with_PRISMA_reasons!B2:B2113""))&lt;2,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$A1726=I"&amp;"MPORTRANGE(""https://docs.google.com/spreadsheets/d/1qpEmbGH0JjaJbUdp21-y2cPbobDbMjr09BbtdKROZWc/edit#gid=1444865654"",""articles_with_PRISMA_reasons!B2:B2113""))&gt;=2),
""Exclude""
)"),"Exclude")</f>
        <v>Exclude</v>
      </c>
      <c r="F1726" s="5" t="str">
        <f>IFERROR(__xludf.DUMMYFUNCTION("IFS(
E1726=""Exclude"",""Exclude"",
AND(
COUNTIF(
IMPORTRANGE(""https://docs.google.com/spreadsheets/d/1kGrh75X1cNR1D7_FcY9zMnHP8iPO4M5RCRjy6nZY0TY/edit#gid=0"",""Table 1: Study characteristics!B4:B171""),A1726)&gt;0,
COUNTIF(Studies!$A$2:$A$85,FILTER(IMPORT"&amp;"RANGE(""https://docs.google.com/spreadsheets/d/1kGrh75X1cNR1D7_FcY9zMnHP8iPO4M5RCRjy6nZY0TY/edit#gid=0"",""Table 1: Study characteristics!A4:A171""), $A1726=IMPORTRANGE(""https://docs.google.com/spreadsheets/d/1kGrh75X1cNR1D7_FcY9zMnHP8iPO4M5RCRjy6nZY0TY/"&amp;"edit#gid=0"",""Table 1: Study characteristics!B4:B171"")))&gt;0
),
""Include""
)"),"Exclude")</f>
        <v>Exclude</v>
      </c>
      <c r="G1726" s="5" t="str">
        <f>IFERROR(__xludf.DUMMYFUNCTION("IFS(
D1726=""Exclude"",
FILTER(IMPORTRANGE(""https://docs.google.com/spreadsheets/d/1BJSV3WBYJGRhQ6zExamkszQ5VutGIcaQqmbD9ZTVXMQ/edit#gid=1251630045"",""articles_with_PRISMA_reasons!AB2:AB2113""), $A1726=IMPORTRANGE(""https://docs.google.com/spreadsheets/"&amp;"d/1BJSV3WBYJGRhQ6zExamkszQ5VutGIcaQqmbD9ZTVXMQ/edit#gid=1251630045"",""articles_with_PRISMA_reasons!B2:B2113"")),
E1726=""Exclude"",
FILTER(IMPORTRANGE(""https://docs.google.com/spreadsheets/d/1qpEmbGH0JjaJbUdp21-y2cPbobDbMjr09BbtdKROZWc/edit#gid=14448656"&amp;"54"",""articles_with_PRISMA_reasons!Z2:Z2113""), $A1726=IMPORTRANGE(""https://docs.google.com/spreadsheets/d/1qpEmbGH0JjaJbUdp21-y2cPbobDbMjr09BbtdKROZWc/edit#gid=1444865654"",""articles_with_PRISMA_reasons!B2:B2113"")),F1726
=""Include"",FILTER(IMPORTRAN"&amp;"GE(""https://docs.google.com/spreadsheets/d/1kGrh75X1cNR1D7_FcY9zMnHP8iPO4M5RCRjy6nZY0TY/edit#gid=0"",""Table 1: Study characteristics!A4:A171""), $A1726=IMPORTRANGE(""https://docs.google.com/spreadsheets/d/1kGrh75X1cNR1D7_FcY9zMnHP8iPO4M5RCRjy6nZY0TY/edi"&amp;"t#gid=0"",""Table 1: Study characteristics!B4:B171""))
)"),"Duplicate")</f>
        <v>Duplicate</v>
      </c>
    </row>
    <row r="1727">
      <c r="A1727" s="4" t="str">
        <f>IFERROR(__xludf.DUMMYFUNCTION("""COMPUTED_VALUE"""),"Spina bifida")</f>
        <v>Spina bifida</v>
      </c>
      <c r="B1727" s="5" t="str">
        <f>IFERROR(__xludf.DUMMYFUNCTION("LEFT(FILTER(IMPORTRANGE(""https://docs.google.com/spreadsheets/d/1BJSV3WBYJGRhQ6zExamkszQ5VutGIcaQqmbD9ZTVXMQ/edit#gid=1251630045"",""articles_with_PRISMA_reasons!K2:K2113""), $A1727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$A1727=IMPORTRANGE(""https://docs.google.com/spreadsheets/d/1BJSV3WBYJGRhQ6zExamkszQ5VutGIcaQqmbD9ZTVXMQ/edit#gid=1251630045"",""articles_with_PRISMA_reasons!B2:B2113"")))-1)"),"Bremer")</f>
        <v>Bremer</v>
      </c>
      <c r="C1727" s="3">
        <v>2003.0</v>
      </c>
      <c r="D1727" s="5" t="str">
        <f>IFERROR(__xludf.DUMMYFUNCTION("IFS(AND(
FILTER(IMPORTRANGE(""https://docs.google.com/spreadsheets/d/1BJSV3WBYJGRhQ6zExamkszQ5VutGIcaQqmbD9ZTVXMQ/edit#gid=1251630045"",""articles_with_PRISMA_reasons!Y2:Y2113""), $A1727=IMPORTRANGE(""https://docs.google.com/spreadsheets/d/1BJSV3WBYJGRhQ6"&amp;"zExamkszQ5VutGIcaQqmbD9ZTVXMQ/edit#gid=1251630045"",""articles_with_PRISMA_reasons!B2:B2113""))&gt;=2,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$A1727=IMPORTRANGE(""https://docs.google.com/spreadsheets/d/1BJSV3WBYJGRhQ6zExamkszQ5VutGIcaQqmbD9ZTVXMQ/edit#gid=1251630045"",""articles_with_PRISMA_reasons!B2:B2113""))&lt;2),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$A1727=IMPORTRANGE(""https://docs.google.com/spreadsheets/d/1BJSV3WBYJGRhQ6zExamkszQ5VutGIcaQqmbD9ZTVXMQ/edit#gid=1251630045"",""a"&amp;"rticles_with_PRISMA_reasons!B2:B2113""))&lt;2,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$A1727=IMPORTRANGE(""https://docs.google"&amp;".com/spreadsheets/d/1BJSV3WBYJGRhQ6zExamkszQ5VutGIcaQqmbD9ZTVXMQ/edit#gid=1251630045"",""articles_with_PRISMA_reasons!B2:B2113""))&gt;=2),
""Exclude""
)"),"Exclude")</f>
        <v>Exclude</v>
      </c>
      <c r="E1727" s="5" t="str">
        <f>IFERROR(__xludf.DUMMYFUNCTION("IFS(
D1727=""Exclude"",""Exclude"",
AND(
FILTER(IMPORTRANGE(""https://docs.google.com/spreadsheets/d/1qpEmbGH0JjaJbUdp21-y2cPbobDbMjr09BbtdKROZWc/edit#gid=1444865654"",""articles_with_PRISMA_reasons!W2:W2113""), $A1727=IMPORTRANGE(""https://docs.google.co"&amp;"m/spreadsheets/d/1qpEmbGH0JjaJbUdp21-y2cPbobDbMjr09BbtdKROZWc/edit#gid=1444865654"",""articles_with_PRISMA_reasons!B2:B2113""))&gt;=2,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$A1727=IMPORTRANGE(""https://docs.google.com/spreadsheets/d/1qpEmbGH0JjaJbUdp21-y2cPbobDbMjr09BbtdKROZWc/edit#gid=1444865654"",""articles_with_PRISMA_reasons!B2:B2113""))&lt;2),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$A1727=IMPORTRANGE(""https://docs.google.com/spreadsheets/d/1qpEmbGH0JjaJbUdp21-y2cPbobDbMjr09Bbtd"&amp;"KROZWc/edit#gid=1444865654"",""articles_with_PRISMA_reasons!B2:B2113""))&lt;2,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$A1727=I"&amp;"MPORTRANGE(""https://docs.google.com/spreadsheets/d/1qpEmbGH0JjaJbUdp21-y2cPbobDbMjr09BbtdKROZWc/edit#gid=1444865654"",""articles_with_PRISMA_reasons!B2:B2113""))&gt;=2),
""Exclude""
)"),"Exclude")</f>
        <v>Exclude</v>
      </c>
      <c r="F1727" s="5" t="str">
        <f>IFERROR(__xludf.DUMMYFUNCTION("IFS(
E1727=""Exclude"",""Exclude"",
AND(
COUNTIF(
IMPORTRANGE(""https://docs.google.com/spreadsheets/d/1kGrh75X1cNR1D7_FcY9zMnHP8iPO4M5RCRjy6nZY0TY/edit#gid=0"",""Table 1: Study characteristics!B4:B171""),A1727)&gt;0,
COUNTIF(Studies!$A$2:$A$85,FILTER(IMPORT"&amp;"RANGE(""https://docs.google.com/spreadsheets/d/1kGrh75X1cNR1D7_FcY9zMnHP8iPO4M5RCRjy6nZY0TY/edit#gid=0"",""Table 1: Study characteristics!A4:A171""), $A1727=IMPORTRANGE(""https://docs.google.com/spreadsheets/d/1kGrh75X1cNR1D7_FcY9zMnHP8iPO4M5RCRjy6nZY0TY/"&amp;"edit#gid=0"",""Table 1: Study characteristics!B4:B171"")))&gt;0
),
""Include""
)"),"Exclude")</f>
        <v>Exclude</v>
      </c>
      <c r="G1727" s="5" t="s">
        <v>15</v>
      </c>
    </row>
    <row r="1728">
      <c r="A1728" s="4" t="str">
        <f>IFERROR(__xludf.DUMMYFUNCTION("""COMPUTED_VALUE"""),"Spina bifida")</f>
        <v>Spina bifida</v>
      </c>
      <c r="B1728" s="2" t="s">
        <v>40</v>
      </c>
      <c r="C1728" s="3">
        <v>2015.0</v>
      </c>
      <c r="D1728" s="5" t="str">
        <f>IFERROR(__xludf.DUMMYFUNCTION("IFS(AND(
FILTER(IMPORTRANGE(""https://docs.google.com/spreadsheets/d/1BJSV3WBYJGRhQ6zExamkszQ5VutGIcaQqmbD9ZTVXMQ/edit#gid=1251630045"",""articles_with_PRISMA_reasons!Y2:Y2113""), $A1728=IMPORTRANGE(""https://docs.google.com/spreadsheets/d/1BJSV3WBYJGRhQ6"&amp;"zExamkszQ5VutGIcaQqmbD9ZTVXMQ/edit#gid=1251630045"",""articles_with_PRISMA_reasons!B2:B2113""))&gt;=2,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$A1728=IMPORTRANGE(""https://docs.google.com/spreadsheets/d/1BJSV3WBYJGRhQ6zExamkszQ5VutGIcaQqmbD9ZTVXMQ/edit#gid=1251630045"",""articles_with_PRISMA_reasons!B2:B2113""))&lt;2),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$A1728=IMPORTRANGE(""https://docs.google.com/spreadsheets/d/1BJSV3WBYJGRhQ6zExamkszQ5VutGIcaQqmbD9ZTVXMQ/edit#gid=1251630045"",""a"&amp;"rticles_with_PRISMA_reasons!B2:B2113""))&lt;2,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$A1728=IMPORTRANGE(""https://docs.google"&amp;".com/spreadsheets/d/1BJSV3WBYJGRhQ6zExamkszQ5VutGIcaQqmbD9ZTVXMQ/edit#gid=1251630045"",""articles_with_PRISMA_reasons!B2:B2113""))&gt;=2),
""Exclude""
)"),"Exclude")</f>
        <v>Exclude</v>
      </c>
      <c r="E1728" s="5" t="str">
        <f>IFERROR(__xludf.DUMMYFUNCTION("IFS(
D1728=""Exclude"",""Exclude"",
AND(
FILTER(IMPORTRANGE(""https://docs.google.com/spreadsheets/d/1qpEmbGH0JjaJbUdp21-y2cPbobDbMjr09BbtdKROZWc/edit#gid=1444865654"",""articles_with_PRISMA_reasons!W2:W2113""), $A1728=IMPORTRANGE(""https://docs.google.co"&amp;"m/spreadsheets/d/1qpEmbGH0JjaJbUdp21-y2cPbobDbMjr09BbtdKROZWc/edit#gid=1444865654"",""articles_with_PRISMA_reasons!B2:B2113""))&gt;=2,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$A1728=IMPORTRANGE(""https://docs.google.com/spreadsheets/d/1qpEmbGH0JjaJbUdp21-y2cPbobDbMjr09BbtdKROZWc/edit#gid=1444865654"",""articles_with_PRISMA_reasons!B2:B2113""))&lt;2),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$A1728=IMPORTRANGE(""https://docs.google.com/spreadsheets/d/1qpEmbGH0JjaJbUdp21-y2cPbobDbMjr09Bbtd"&amp;"KROZWc/edit#gid=1444865654"",""articles_with_PRISMA_reasons!B2:B2113""))&lt;2,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$A1728=I"&amp;"MPORTRANGE(""https://docs.google.com/spreadsheets/d/1qpEmbGH0JjaJbUdp21-y2cPbobDbMjr09BbtdKROZWc/edit#gid=1444865654"",""articles_with_PRISMA_reasons!B2:B2113""))&gt;=2),
""Exclude""
)"),"Exclude")</f>
        <v>Exclude</v>
      </c>
      <c r="F1728" s="5" t="str">
        <f>IFERROR(__xludf.DUMMYFUNCTION("IFS(
E1728=""Exclude"",""Exclude"",
AND(
COUNTIF(
IMPORTRANGE(""https://docs.google.com/spreadsheets/d/1kGrh75X1cNR1D7_FcY9zMnHP8iPO4M5RCRjy6nZY0TY/edit#gid=0"",""Table 1: Study characteristics!B4:B171""),A1728)&gt;0,
COUNTIF(Studies!$A$2:$A$85,FILTER(IMPORT"&amp;"RANGE(""https://docs.google.com/spreadsheets/d/1kGrh75X1cNR1D7_FcY9zMnHP8iPO4M5RCRjy6nZY0TY/edit#gid=0"",""Table 1: Study characteristics!A4:A171""), $A1728=IMPORTRANGE(""https://docs.google.com/spreadsheets/d/1kGrh75X1cNR1D7_FcY9zMnHP8iPO4M5RCRjy6nZY0TY/"&amp;"edit#gid=0"",""Table 1: Study characteristics!B4:B171"")))&gt;0
),
""Include""
)"),"Exclude")</f>
        <v>Exclude</v>
      </c>
      <c r="G1728" s="5" t="s">
        <v>7</v>
      </c>
    </row>
    <row r="1729">
      <c r="A1729" s="4" t="str">
        <f>IFERROR(__xludf.DUMMYFUNCTION("""COMPUTED_VALUE"""),"Spina bifida and myelomeningocele")</f>
        <v>Spina bifida and myelomeningocele</v>
      </c>
      <c r="B1729" s="5" t="str">
        <f>IFERROR(__xludf.DUMMYFUNCTION("LEFT(FILTER(IMPORTRANGE(""https://docs.google.com/spreadsheets/d/1BJSV3WBYJGRhQ6zExamkszQ5VutGIcaQqmbD9ZTVXMQ/edit#gid=1251630045"",""articles_with_PRISMA_reasons!K2:K2113""), $A1729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$A1729=IMPORTRANGE(""https://docs.google.com/spreadsheets/d/1BJSV3WBYJGRhQ6zExamkszQ5VutGIcaQqmbD9ZTVXMQ/edit#gid=1251630045"",""articles_with_PRISMA_reasons!B2:B2113"")))-1)"),"Austin")</f>
        <v>Austin</v>
      </c>
      <c r="C1729" s="6">
        <f>IFERROR(__xludf.DUMMYFUNCTION("FILTER(IMPORTRANGE(""https://docs.google.com/spreadsheets/d/1BJSV3WBYJGRhQ6zExamkszQ5VutGIcaQqmbD9ZTVXMQ/edit#gid=1251630045"",""articles_with_PRISMA_reasons!C2:C2113""), $A1729=IMPORTRANGE(""https://docs.google.com/spreadsheets/d/1BJSV3WBYJGRhQ6zExamkszQ"&amp;"5VutGIcaQqmbD9ZTVXMQ/edit#gid=1251630045"",""articles_with_PRISMA_reasons!B2:B2113""))"),1972.0)</f>
        <v>1972</v>
      </c>
      <c r="D1729" s="5" t="str">
        <f>IFERROR(__xludf.DUMMYFUNCTION("IFS(AND(
FILTER(IMPORTRANGE(""https://docs.google.com/spreadsheets/d/1BJSV3WBYJGRhQ6zExamkszQ5VutGIcaQqmbD9ZTVXMQ/edit#gid=1251630045"",""articles_with_PRISMA_reasons!Y2:Y2113""), $A1729=IMPORTRANGE(""https://docs.google.com/spreadsheets/d/1BJSV3WBYJGRhQ6"&amp;"zExamkszQ5VutGIcaQqmbD9ZTVXMQ/edit#gid=1251630045"",""articles_with_PRISMA_reasons!B2:B2113""))&gt;=2,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$A1729=IMPORTRANGE(""https://docs.google.com/spreadsheets/d/1BJSV3WBYJGRhQ6zExamkszQ5VutGIcaQqmbD9ZTVXMQ/edit#gid=1251630045"",""articles_with_PRISMA_reasons!B2:B2113""))&lt;2),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$A1729=IMPORTRANGE(""https://docs.google.com/spreadsheets/d/1BJSV3WBYJGRhQ6zExamkszQ5VutGIcaQqmbD9ZTVXMQ/edit#gid=1251630045"",""a"&amp;"rticles_with_PRISMA_reasons!B2:B2113""))&lt;2,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$A1729=IMPORTRANGE(""https://docs.google"&amp;".com/spreadsheets/d/1BJSV3WBYJGRhQ6zExamkszQ5VutGIcaQqmbD9ZTVXMQ/edit#gid=1251630045"",""articles_with_PRISMA_reasons!B2:B2113""))&gt;=2),
""Exclude""
)"),"Exclude")</f>
        <v>Exclude</v>
      </c>
      <c r="E1729" s="5" t="str">
        <f>IFERROR(__xludf.DUMMYFUNCTION("IFS(
D1729=""Exclude"",""Exclude"",
AND(
FILTER(IMPORTRANGE(""https://docs.google.com/spreadsheets/d/1qpEmbGH0JjaJbUdp21-y2cPbobDbMjr09BbtdKROZWc/edit#gid=1444865654"",""articles_with_PRISMA_reasons!W2:W2113""), $A1729=IMPORTRANGE(""https://docs.google.co"&amp;"m/spreadsheets/d/1qpEmbGH0JjaJbUdp21-y2cPbobDbMjr09BbtdKROZWc/edit#gid=1444865654"",""articles_with_PRISMA_reasons!B2:B2113""))&gt;=2,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$A1729=IMPORTRANGE(""https://docs.google.com/spreadsheets/d/1qpEmbGH0JjaJbUdp21-y2cPbobDbMjr09BbtdKROZWc/edit#gid=1444865654"",""articles_with_PRISMA_reasons!B2:B2113""))&lt;2),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$A1729=IMPORTRANGE(""https://docs.google.com/spreadsheets/d/1qpEmbGH0JjaJbUdp21-y2cPbobDbMjr09Bbtd"&amp;"KROZWc/edit#gid=1444865654"",""articles_with_PRISMA_reasons!B2:B2113""))&lt;2,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$A1729=I"&amp;"MPORTRANGE(""https://docs.google.com/spreadsheets/d/1qpEmbGH0JjaJbUdp21-y2cPbobDbMjr09BbtdKROZWc/edit#gid=1444865654"",""articles_with_PRISMA_reasons!B2:B2113""))&gt;=2),
""Exclude""
)"),"Exclude")</f>
        <v>Exclude</v>
      </c>
      <c r="F1729" s="5" t="str">
        <f>IFERROR(__xludf.DUMMYFUNCTION("IFS(
E1729=""Exclude"",""Exclude"",
AND(
COUNTIF(
IMPORTRANGE(""https://docs.google.com/spreadsheets/d/1kGrh75X1cNR1D7_FcY9zMnHP8iPO4M5RCRjy6nZY0TY/edit#gid=0"",""Table 1: Study characteristics!B4:B171""),A1729)&gt;0,
COUNTIF(Studies!$A$2:$A$85,FILTER(IMPORT"&amp;"RANGE(""https://docs.google.com/spreadsheets/d/1kGrh75X1cNR1D7_FcY9zMnHP8iPO4M5RCRjy6nZY0TY/edit#gid=0"",""Table 1: Study characteristics!A4:A171""), $A1729=IMPORTRANGE(""https://docs.google.com/spreadsheets/d/1kGrh75X1cNR1D7_FcY9zMnHP8iPO4M5RCRjy6nZY0TY/"&amp;"edit#gid=0"",""Table 1: Study characteristics!B4:B171"")))&gt;0
),
""Include""
)"),"Exclude")</f>
        <v>Exclude</v>
      </c>
      <c r="G1729" s="5" t="str">
        <f>IFERROR(__xludf.DUMMYFUNCTION("IFS(
D1729=""Exclude"",
FILTER(IMPORTRANGE(""https://docs.google.com/spreadsheets/d/1BJSV3WBYJGRhQ6zExamkszQ5VutGIcaQqmbD9ZTVXMQ/edit#gid=1251630045"",""articles_with_PRISMA_reasons!AB2:AB2113""), $A1729=IMPORTRANGE(""https://docs.google.com/spreadsheets/"&amp;"d/1BJSV3WBYJGRhQ6zExamkszQ5VutGIcaQqmbD9ZTVXMQ/edit#gid=1251630045"",""articles_with_PRISMA_reasons!B2:B2113"")),
E1729=""Exclude"",
FILTER(IMPORTRANGE(""https://docs.google.com/spreadsheets/d/1qpEmbGH0JjaJbUdp21-y2cPbobDbMjr09BbtdKROZWc/edit#gid=14448656"&amp;"54"",""articles_with_PRISMA_reasons!Z2:Z2113""), $A1729=IMPORTRANGE(""https://docs.google.com/spreadsheets/d/1qpEmbGH0JjaJbUdp21-y2cPbobDbMjr09BbtdKROZWc/edit#gid=1444865654"",""articles_with_PRISMA_reasons!B2:B2113"")),F1729
=""Include"",FILTER(IMPORTRAN"&amp;"GE(""https://docs.google.com/spreadsheets/d/1kGrh75X1cNR1D7_FcY9zMnHP8iPO4M5RCRjy6nZY0TY/edit#gid=0"",""Table 1: Study characteristics!A4:A171""), $A1729=IMPORTRANGE(""https://docs.google.com/spreadsheets/d/1kGrh75X1cNR1D7_FcY9zMnHP8iPO4M5RCRjy6nZY0TY/edi"&amp;"t#gid=0"",""Table 1: Study characteristics!B4:B171""))
)"),"wrong study design")</f>
        <v>wrong study design</v>
      </c>
    </row>
    <row r="1730">
      <c r="A1730" s="4" t="str">
        <f>IFERROR(__xludf.DUMMYFUNCTION("""COMPUTED_VALUE"""),"Spina bifida and other neural tube defects")</f>
        <v>Spina bifida and other neural tube defects</v>
      </c>
      <c r="B1730" s="5" t="str">
        <f>IFERROR(__xludf.DUMMYFUNCTION("LEFT(FILTER(IMPORTRANGE(""https://docs.google.com/spreadsheets/d/1BJSV3WBYJGRhQ6zExamkszQ5VutGIcaQqmbD9ZTVXMQ/edit#gid=1251630045"",""articles_with_PRISMA_reasons!K2:K2113""), $A1730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$A1730=IMPORTRANGE(""https://docs.google.com/spreadsheets/d/1BJSV3WBYJGRhQ6zExamkszQ5VutGIcaQqmbD9ZTVXMQ/edit#gid=1251630045"",""articles_with_PRISMA_reasons!B2:B2113"")))-1)"),"Northrup")</f>
        <v>Northrup</v>
      </c>
      <c r="C1730" s="6">
        <f>IFERROR(__xludf.DUMMYFUNCTION("FILTER(IMPORTRANGE(""https://docs.google.com/spreadsheets/d/1BJSV3WBYJGRhQ6zExamkszQ5VutGIcaQqmbD9ZTVXMQ/edit#gid=1251630045"",""articles_with_PRISMA_reasons!C2:C2113""), $A1730=IMPORTRANGE(""https://docs.google.com/spreadsheets/d/1BJSV3WBYJGRhQ6zExamkszQ"&amp;"5VutGIcaQqmbD9ZTVXMQ/edit#gid=1251630045"",""articles_with_PRISMA_reasons!B2:B2113""))"),2000.0)</f>
        <v>2000</v>
      </c>
      <c r="D1730" s="5" t="str">
        <f>IFERROR(__xludf.DUMMYFUNCTION("IFS(AND(
FILTER(IMPORTRANGE(""https://docs.google.com/spreadsheets/d/1BJSV3WBYJGRhQ6zExamkszQ5VutGIcaQqmbD9ZTVXMQ/edit#gid=1251630045"",""articles_with_PRISMA_reasons!Y2:Y2113""), $A1730=IMPORTRANGE(""https://docs.google.com/spreadsheets/d/1BJSV3WBYJGRhQ6"&amp;"zExamkszQ5VutGIcaQqmbD9ZTVXMQ/edit#gid=1251630045"",""articles_with_PRISMA_reasons!B2:B2113""))&gt;=2,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$A1730=IMPORTRANGE(""https://docs.google.com/spreadsheets/d/1BJSV3WBYJGRhQ6zExamkszQ5VutGIcaQqmbD9ZTVXMQ/edit#gid=1251630045"",""articles_with_PRISMA_reasons!B2:B2113""))&lt;2),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$A1730=IMPORTRANGE(""https://docs.google.com/spreadsheets/d/1BJSV3WBYJGRhQ6zExamkszQ5VutGIcaQqmbD9ZTVXMQ/edit#gid=1251630045"",""a"&amp;"rticles_with_PRISMA_reasons!B2:B2113""))&lt;2,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$A1730=IMPORTRANGE(""https://docs.google"&amp;".com/spreadsheets/d/1BJSV3WBYJGRhQ6zExamkszQ5VutGIcaQqmbD9ZTVXMQ/edit#gid=1251630045"",""articles_with_PRISMA_reasons!B2:B2113""))&gt;=2),
""Exclude""
)"),"Exclude")</f>
        <v>Exclude</v>
      </c>
      <c r="E1730" s="5" t="str">
        <f>IFERROR(__xludf.DUMMYFUNCTION("IFS(
D1730=""Exclude"",""Exclude"",
AND(
FILTER(IMPORTRANGE(""https://docs.google.com/spreadsheets/d/1qpEmbGH0JjaJbUdp21-y2cPbobDbMjr09BbtdKROZWc/edit#gid=1444865654"",""articles_with_PRISMA_reasons!W2:W2113""), $A1730=IMPORTRANGE(""https://docs.google.co"&amp;"m/spreadsheets/d/1qpEmbGH0JjaJbUdp21-y2cPbobDbMjr09BbtdKROZWc/edit#gid=1444865654"",""articles_with_PRISMA_reasons!B2:B2113""))&gt;=2,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$A1730=IMPORTRANGE(""https://docs.google.com/spreadsheets/d/1qpEmbGH0JjaJbUdp21-y2cPbobDbMjr09BbtdKROZWc/edit#gid=1444865654"",""articles_with_PRISMA_reasons!B2:B2113""))&lt;2),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$A1730=IMPORTRANGE(""https://docs.google.com/spreadsheets/d/1qpEmbGH0JjaJbUdp21-y2cPbobDbMjr09Bbtd"&amp;"KROZWc/edit#gid=1444865654"",""articles_with_PRISMA_reasons!B2:B2113""))&lt;2,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$A1730=I"&amp;"MPORTRANGE(""https://docs.google.com/spreadsheets/d/1qpEmbGH0JjaJbUdp21-y2cPbobDbMjr09BbtdKROZWc/edit#gid=1444865654"",""articles_with_PRISMA_reasons!B2:B2113""))&gt;=2),
""Exclude""
)"),"Exclude")</f>
        <v>Exclude</v>
      </c>
      <c r="F1730" s="5" t="str">
        <f>IFERROR(__xludf.DUMMYFUNCTION("IFS(
E1730=""Exclude"",""Exclude"",
AND(
COUNTIF(
IMPORTRANGE(""https://docs.google.com/spreadsheets/d/1kGrh75X1cNR1D7_FcY9zMnHP8iPO4M5RCRjy6nZY0TY/edit#gid=0"",""Table 1: Study characteristics!B4:B171""),A1730)&gt;0,
COUNTIF(Studies!$A$2:$A$85,FILTER(IMPORT"&amp;"RANGE(""https://docs.google.com/spreadsheets/d/1kGrh75X1cNR1D7_FcY9zMnHP8iPO4M5RCRjy6nZY0TY/edit#gid=0"",""Table 1: Study characteristics!A4:A171""), $A1730=IMPORTRANGE(""https://docs.google.com/spreadsheets/d/1kGrh75X1cNR1D7_FcY9zMnHP8iPO4M5RCRjy6nZY0TY/"&amp;"edit#gid=0"",""Table 1: Study characteristics!B4:B171"")))&gt;0
),
""Include""
)"),"Exclude")</f>
        <v>Exclude</v>
      </c>
      <c r="G1730" s="5" t="str">
        <f>IFERROR(__xludf.DUMMYFUNCTION("IFS(
D1730=""Exclude"",
FILTER(IMPORTRANGE(""https://docs.google.com/spreadsheets/d/1BJSV3WBYJGRhQ6zExamkszQ5VutGIcaQqmbD9ZTVXMQ/edit#gid=1251630045"",""articles_with_PRISMA_reasons!AB2:AB2113""), $A1730=IMPORTRANGE(""https://docs.google.com/spreadsheets/"&amp;"d/1BJSV3WBYJGRhQ6zExamkszQ5VutGIcaQqmbD9ZTVXMQ/edit#gid=1251630045"",""articles_with_PRISMA_reasons!B2:B2113"")),
E1730=""Exclude"",
FILTER(IMPORTRANGE(""https://docs.google.com/spreadsheets/d/1qpEmbGH0JjaJbUdp21-y2cPbobDbMjr09BbtdKROZWc/edit#gid=14448656"&amp;"54"",""articles_with_PRISMA_reasons!Z2:Z2113""), $A1730=IMPORTRANGE(""https://docs.google.com/spreadsheets/d/1qpEmbGH0JjaJbUdp21-y2cPbobDbMjr09BbtdKROZWc/edit#gid=1444865654"",""articles_with_PRISMA_reasons!B2:B2113"")),F1730
=""Include"",FILTER(IMPORTRAN"&amp;"GE(""https://docs.google.com/spreadsheets/d/1kGrh75X1cNR1D7_FcY9zMnHP8iPO4M5RCRjy6nZY0TY/edit#gid=0"",""Table 1: Study characteristics!A4:A171""), $A1730=IMPORTRANGE(""https://docs.google.com/spreadsheets/d/1kGrh75X1cNR1D7_FcY9zMnHP8iPO4M5RCRjy6nZY0TY/edi"&amp;"t#gid=0"",""Table 1: Study characteristics!B4:B171""))
)"),"wrong study design")</f>
        <v>wrong study design</v>
      </c>
    </row>
    <row r="1731">
      <c r="A1731" s="4" t="str">
        <f>IFERROR(__xludf.DUMMYFUNCTION("""COMPUTED_VALUE"""),"Spina bifida aperta in southern Iran, 15 years experience")</f>
        <v>Spina bifida aperta in southern Iran, 15 years experience</v>
      </c>
      <c r="B1731" s="5" t="str">
        <f>IFERROR(__xludf.DUMMYFUNCTION("LEFT(FILTER(IMPORTRANGE(""https://docs.google.com/spreadsheets/d/1BJSV3WBYJGRhQ6zExamkszQ5VutGIcaQqmbD9ZTVXMQ/edit#gid=1251630045"",""articles_with_PRISMA_reasons!K2:K2113""), $A1731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$A1731=IMPORTRANGE(""https://docs.google.com/spreadsheets/d/1BJSV3WBYJGRhQ6zExamkszQ5VutGIcaQqmbD9ZTVXMQ/edit#gid=1251630045"",""articles_with_PRISMA_reasons!B2:B2113"")))-1)"),"S.M")</f>
        <v>S.M</v>
      </c>
      <c r="C1731" s="6">
        <f>IFERROR(__xludf.DUMMYFUNCTION("FILTER(IMPORTRANGE(""https://docs.google.com/spreadsheets/d/1BJSV3WBYJGRhQ6zExamkszQ5VutGIcaQqmbD9ZTVXMQ/edit#gid=1251630045"",""articles_with_PRISMA_reasons!C2:C2113""), $A1731=IMPORTRANGE(""https://docs.google.com/spreadsheets/d/1BJSV3WBYJGRhQ6zExamkszQ"&amp;"5VutGIcaQqmbD9ZTVXMQ/edit#gid=1251630045"",""articles_with_PRISMA_reasons!B2:B2113""))"),2007.0)</f>
        <v>2007</v>
      </c>
      <c r="D1731" s="5" t="str">
        <f>IFERROR(__xludf.DUMMYFUNCTION("IFS(AND(
FILTER(IMPORTRANGE(""https://docs.google.com/spreadsheets/d/1BJSV3WBYJGRhQ6zExamkszQ5VutGIcaQqmbD9ZTVXMQ/edit#gid=1251630045"",""articles_with_PRISMA_reasons!Y2:Y2113""), $A1731=IMPORTRANGE(""https://docs.google.com/spreadsheets/d/1BJSV3WBYJGRhQ6"&amp;"zExamkszQ5VutGIcaQqmbD9ZTVXMQ/edit#gid=1251630045"",""articles_with_PRISMA_reasons!B2:B2113""))&gt;=2,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$A1731=IMPORTRANGE(""https://docs.google.com/spreadsheets/d/1BJSV3WBYJGRhQ6zExamkszQ5VutGIcaQqmbD9ZTVXMQ/edit#gid=1251630045"",""articles_with_PRISMA_reasons!B2:B2113""))&lt;2),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$A1731=IMPORTRANGE(""https://docs.google.com/spreadsheets/d/1BJSV3WBYJGRhQ6zExamkszQ5VutGIcaQqmbD9ZTVXMQ/edit#gid=1251630045"",""a"&amp;"rticles_with_PRISMA_reasons!B2:B2113""))&lt;2,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$A1731=IMPORTRANGE(""https://docs.google"&amp;".com/spreadsheets/d/1BJSV3WBYJGRhQ6zExamkszQ5VutGIcaQqmbD9ZTVXMQ/edit#gid=1251630045"",""articles_with_PRISMA_reasons!B2:B2113""))&gt;=2),
""Exclude""
)"),"Include")</f>
        <v>Include</v>
      </c>
      <c r="E1731" s="5" t="str">
        <f>IFERROR(__xludf.DUMMYFUNCTION("IFS(
D1731=""Exclude"",""Exclude"",
AND(
FILTER(IMPORTRANGE(""https://docs.google.com/spreadsheets/d/1qpEmbGH0JjaJbUdp21-y2cPbobDbMjr09BbtdKROZWc/edit#gid=1444865654"",""articles_with_PRISMA_reasons!W2:W2113""), $A1731=IMPORTRANGE(""https://docs.google.co"&amp;"m/spreadsheets/d/1qpEmbGH0JjaJbUdp21-y2cPbobDbMjr09BbtdKROZWc/edit#gid=1444865654"",""articles_with_PRISMA_reasons!B2:B2113""))&gt;=2,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$A1731=IMPORTRANGE(""https://docs.google.com/spreadsheets/d/1qpEmbGH0JjaJbUdp21-y2cPbobDbMjr09BbtdKROZWc/edit#gid=1444865654"",""articles_with_PRISMA_reasons!B2:B2113""))&lt;2),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$A1731=IMPORTRANGE(""https://docs.google.com/spreadsheets/d/1qpEmbGH0JjaJbUdp21-y2cPbobDbMjr09Bbtd"&amp;"KROZWc/edit#gid=1444865654"",""articles_with_PRISMA_reasons!B2:B2113""))&lt;2,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$A1731=I"&amp;"MPORTRANGE(""https://docs.google.com/spreadsheets/d/1qpEmbGH0JjaJbUdp21-y2cPbobDbMjr09BbtdKROZWc/edit#gid=1444865654"",""articles_with_PRISMA_reasons!B2:B2113""))&gt;=2),
""Exclude""
)"),"Include")</f>
        <v>Include</v>
      </c>
      <c r="F1731" s="5" t="str">
        <f>IFERROR(__xludf.DUMMYFUNCTION("IFS(
E1731=""Exclude"",""Exclude"",
AND(
COUNTIF(
IMPORTRANGE(""https://docs.google.com/spreadsheets/d/1kGrh75X1cNR1D7_FcY9zMnHP8iPO4M5RCRjy6nZY0TY/edit#gid=0"",""Table 1: Study characteristics!B4:B171""),A1731)&gt;0,
COUNTIF(Studies!$A$2:$A$85,FILTER(IMPORT"&amp;"RANGE(""https://docs.google.com/spreadsheets/d/1kGrh75X1cNR1D7_FcY9zMnHP8iPO4M5RCRjy6nZY0TY/edit#gid=0"",""Table 1: Study characteristics!A4:A171""), $A1731=IMPORTRANGE(""https://docs.google.com/spreadsheets/d/1kGrh75X1cNR1D7_FcY9zMnHP8iPO4M5RCRjy6nZY0TY/"&amp;"edit#gid=0"",""Table 1: Study characteristics!B4:B171"")))&gt;0
),
""Include""
)"),"Include")</f>
        <v>Include</v>
      </c>
      <c r="G1731" s="5" t="str">
        <f>IFERROR(__xludf.DUMMYFUNCTION("IFS(
D1731=""Exclude"",
FILTER(IMPORTRANGE(""https://docs.google.com/spreadsheets/d/1BJSV3WBYJGRhQ6zExamkszQ5VutGIcaQqmbD9ZTVXMQ/edit#gid=1251630045"",""articles_with_PRISMA_reasons!AB2:AB2113""), $A1731=IMPORTRANGE(""https://docs.google.com/spreadsheets/"&amp;"d/1BJSV3WBYJGRhQ6zExamkszQ5VutGIcaQqmbD9ZTVXMQ/edit#gid=1251630045"",""articles_with_PRISMA_reasons!B2:B2113"")),
E1731=""Exclude"",
FILTER(IMPORTRANGE(""https://docs.google.com/spreadsheets/d/1qpEmbGH0JjaJbUdp21-y2cPbobDbMjr09BbtdKROZWc/edit#gid=14448656"&amp;"54"",""articles_with_PRISMA_reasons!Z2:Z2113""), $A1731=IMPORTRANGE(""https://docs.google.com/spreadsheets/d/1qpEmbGH0JjaJbUdp21-y2cPbobDbMjr09BbtdKROZWc/edit#gid=1444865654"",""articles_with_PRISMA_reasons!B2:B2113"")),F1731
=""Include"",FILTER(IMPORTRAN"&amp;"GE(""https://docs.google.com/spreadsheets/d/1kGrh75X1cNR1D7_FcY9zMnHP8iPO4M5RCRjy6nZY0TY/edit#gid=0"",""Table 1: Study characteristics!A4:A171""), $A1731=IMPORTRANGE(""https://docs.google.com/spreadsheets/d/1kGrh75X1cNR1D7_FcY9zMnHP8iPO4M5RCRjy6nZY0TY/edi"&amp;"t#gid=0"",""Table 1: Study characteristics!B4:B171""))
)"),"ID 135")</f>
        <v>ID 135</v>
      </c>
    </row>
    <row r="1732">
      <c r="A1732" s="4" t="str">
        <f>IFERROR(__xludf.DUMMYFUNCTION("""COMPUTED_VALUE"""),"Spina bifida children's scores on the Wechsler Intelligence Scale for Children")</f>
        <v>Spina bifida children's scores on the Wechsler Intelligence Scale for Children</v>
      </c>
      <c r="B1732" s="5" t="str">
        <f>IFERROR(__xludf.DUMMYFUNCTION("LEFT(FILTER(IMPORTRANGE(""https://docs.google.com/spreadsheets/d/1BJSV3WBYJGRhQ6zExamkszQ5VutGIcaQqmbD9ZTVXMQ/edit#gid=1251630045"",""articles_with_PRISMA_reasons!K2:K2113""), $A1732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$A1732=IMPORTRANGE(""https://docs.google.com/spreadsheets/d/1BJSV3WBYJGRhQ6zExamkszQ5VutGIcaQqmbD9ZTVXMQ/edit#gid=1251630045"",""articles_with_PRISMA_reasons!B2:B2113"")))-1)"),"Tew")</f>
        <v>Tew</v>
      </c>
      <c r="C1732" s="6">
        <f>IFERROR(__xludf.DUMMYFUNCTION("FILTER(IMPORTRANGE(""https://docs.google.com/spreadsheets/d/1BJSV3WBYJGRhQ6zExamkszQ5VutGIcaQqmbD9ZTVXMQ/edit#gid=1251630045"",""articles_with_PRISMA_reasons!C2:C2113""), $A1732=IMPORTRANGE(""https://docs.google.com/spreadsheets/d/1BJSV3WBYJGRhQ6zExamkszQ"&amp;"5VutGIcaQqmbD9ZTVXMQ/edit#gid=1251630045"",""articles_with_PRISMA_reasons!B2:B2113""))"),1977.0)</f>
        <v>1977</v>
      </c>
      <c r="D1732" s="5" t="str">
        <f>IFERROR(__xludf.DUMMYFUNCTION("IFS(AND(
FILTER(IMPORTRANGE(""https://docs.google.com/spreadsheets/d/1BJSV3WBYJGRhQ6zExamkszQ5VutGIcaQqmbD9ZTVXMQ/edit#gid=1251630045"",""articles_with_PRISMA_reasons!Y2:Y2113""), $A1732=IMPORTRANGE(""https://docs.google.com/spreadsheets/d/1BJSV3WBYJGRhQ6"&amp;"zExamkszQ5VutGIcaQqmbD9ZTVXMQ/edit#gid=1251630045"",""articles_with_PRISMA_reasons!B2:B2113""))&gt;=2,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$A1732=IMPORTRANGE(""https://docs.google.com/spreadsheets/d/1BJSV3WBYJGRhQ6zExamkszQ5VutGIcaQqmbD9ZTVXMQ/edit#gid=1251630045"",""articles_with_PRISMA_reasons!B2:B2113""))&lt;2),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$A1732=IMPORTRANGE(""https://docs.google.com/spreadsheets/d/1BJSV3WBYJGRhQ6zExamkszQ5VutGIcaQqmbD9ZTVXMQ/edit#gid=1251630045"",""a"&amp;"rticles_with_PRISMA_reasons!B2:B2113""))&lt;2,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$A1732=IMPORTRANGE(""https://docs.google"&amp;".com/spreadsheets/d/1BJSV3WBYJGRhQ6zExamkszQ5VutGIcaQqmbD9ZTVXMQ/edit#gid=1251630045"",""articles_with_PRISMA_reasons!B2:B2113""))&gt;=2),
""Exclude""
)"),"Exclude")</f>
        <v>Exclude</v>
      </c>
      <c r="E1732" s="5" t="str">
        <f>IFERROR(__xludf.DUMMYFUNCTION("IFS(
D1732=""Exclude"",""Exclude"",
AND(
FILTER(IMPORTRANGE(""https://docs.google.com/spreadsheets/d/1qpEmbGH0JjaJbUdp21-y2cPbobDbMjr09BbtdKROZWc/edit#gid=1444865654"",""articles_with_PRISMA_reasons!W2:W2113""), $A1732=IMPORTRANGE(""https://docs.google.co"&amp;"m/spreadsheets/d/1qpEmbGH0JjaJbUdp21-y2cPbobDbMjr09BbtdKROZWc/edit#gid=1444865654"",""articles_with_PRISMA_reasons!B2:B2113""))&gt;=2,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$A1732=IMPORTRANGE(""https://docs.google.com/spreadsheets/d/1qpEmbGH0JjaJbUdp21-y2cPbobDbMjr09BbtdKROZWc/edit#gid=1444865654"",""articles_with_PRISMA_reasons!B2:B2113""))&lt;2),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$A1732=IMPORTRANGE(""https://docs.google.com/spreadsheets/d/1qpEmbGH0JjaJbUdp21-y2cPbobDbMjr09Bbtd"&amp;"KROZWc/edit#gid=1444865654"",""articles_with_PRISMA_reasons!B2:B2113""))&lt;2,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$A1732=I"&amp;"MPORTRANGE(""https://docs.google.com/spreadsheets/d/1qpEmbGH0JjaJbUdp21-y2cPbobDbMjr09BbtdKROZWc/edit#gid=1444865654"",""articles_with_PRISMA_reasons!B2:B2113""))&gt;=2),
""Exclude""
)"),"Exclude")</f>
        <v>Exclude</v>
      </c>
      <c r="F1732" s="5" t="str">
        <f>IFERROR(__xludf.DUMMYFUNCTION("IFS(
E1732=""Exclude"",""Exclude"",
AND(
COUNTIF(
IMPORTRANGE(""https://docs.google.com/spreadsheets/d/1kGrh75X1cNR1D7_FcY9zMnHP8iPO4M5RCRjy6nZY0TY/edit#gid=0"",""Table 1: Study characteristics!B4:B171""),A1732)&gt;0,
COUNTIF(Studies!$A$2:$A$85,FILTER(IMPORT"&amp;"RANGE(""https://docs.google.com/spreadsheets/d/1kGrh75X1cNR1D7_FcY9zMnHP8iPO4M5RCRjy6nZY0TY/edit#gid=0"",""Table 1: Study characteristics!A4:A171""), $A1732=IMPORTRANGE(""https://docs.google.com/spreadsheets/d/1kGrh75X1cNR1D7_FcY9zMnHP8iPO4M5RCRjy6nZY0TY/"&amp;"edit#gid=0"",""Table 1: Study characteristics!B4:B171"")))&gt;0
),
""Include""
)"),"Exclude")</f>
        <v>Exclude</v>
      </c>
      <c r="G1732" s="5" t="str">
        <f>IFERROR(__xludf.DUMMYFUNCTION("IFS(
D1732=""Exclude"",
FILTER(IMPORTRANGE(""https://docs.google.com/spreadsheets/d/1BJSV3WBYJGRhQ6zExamkszQ5VutGIcaQqmbD9ZTVXMQ/edit#gid=1251630045"",""articles_with_PRISMA_reasons!AB2:AB2113""), $A1732=IMPORTRANGE(""https://docs.google.com/spreadsheets/"&amp;"d/1BJSV3WBYJGRhQ6zExamkszQ5VutGIcaQqmbD9ZTVXMQ/edit#gid=1251630045"",""articles_with_PRISMA_reasons!B2:B2113"")),
E1732=""Exclude"",
FILTER(IMPORTRANGE(""https://docs.google.com/spreadsheets/d/1qpEmbGH0JjaJbUdp21-y2cPbobDbMjr09BbtdKROZWc/edit#gid=14448656"&amp;"54"",""articles_with_PRISMA_reasons!Z2:Z2113""), $A1732=IMPORTRANGE(""https://docs.google.com/spreadsheets/d/1qpEmbGH0JjaJbUdp21-y2cPbobDbMjr09BbtdKROZWc/edit#gid=1444865654"",""articles_with_PRISMA_reasons!B2:B2113"")),F1732
=""Include"",FILTER(IMPORTRAN"&amp;"GE(""https://docs.google.com/spreadsheets/d/1kGrh75X1cNR1D7_FcY9zMnHP8iPO4M5RCRjy6nZY0TY/edit#gid=0"",""Table 1: Study characteristics!A4:A171""), $A1732=IMPORTRANGE(""https://docs.google.com/spreadsheets/d/1kGrh75X1cNR1D7_FcY9zMnHP8iPO4M5RCRjy6nZY0TY/edi"&amp;"t#gid=0"",""Table 1: Study characteristics!B4:B171""))
)"),"wrong population")</f>
        <v>wrong population</v>
      </c>
    </row>
    <row r="1733">
      <c r="A1733" s="4" t="str">
        <f>IFERROR(__xludf.DUMMYFUNCTION("""COMPUTED_VALUE"""),"Spina Bifida Cystica; features and early postoperative outcomes an experience in Kampala")</f>
        <v>Spina Bifida Cystica; features and early postoperative outcomes an experience in Kampala</v>
      </c>
      <c r="B1733" s="5" t="str">
        <f>IFERROR(__xludf.DUMMYFUNCTION("LEFT(FILTER(IMPORTRANGE(""https://docs.google.com/spreadsheets/d/1BJSV3WBYJGRhQ6zExamkszQ5VutGIcaQqmbD9ZTVXMQ/edit#gid=1251630045"",""articles_with_PRISMA_reasons!K2:K2113""), $A1733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$A1733=IMPORTRANGE(""https://docs.google.com/spreadsheets/d/1BJSV3WBYJGRhQ6zExamkszQ5VutGIcaQqmbD9ZTVXMQ/edit#gid=1251630045"",""articles_with_PRISMA_reasons!B2:B2113"")))-1)"),"Byabato")</f>
        <v>Byabato</v>
      </c>
      <c r="C1733" s="6">
        <f>IFERROR(__xludf.DUMMYFUNCTION("FILTER(IMPORTRANGE(""https://docs.google.com/spreadsheets/d/1BJSV3WBYJGRhQ6zExamkszQ5VutGIcaQqmbD9ZTVXMQ/edit#gid=1251630045"",""articles_with_PRISMA_reasons!C2:C2113""), $A1733=IMPORTRANGE(""https://docs.google.com/spreadsheets/d/1BJSV3WBYJGRhQ6zExamkszQ"&amp;"5VutGIcaQqmbD9ZTVXMQ/edit#gid=1251630045"",""articles_with_PRISMA_reasons!B2:B2113""))"),2012.0)</f>
        <v>2012</v>
      </c>
      <c r="D1733" s="5" t="str">
        <f>IFERROR(__xludf.DUMMYFUNCTION("IFS(AND(
FILTER(IMPORTRANGE(""https://docs.google.com/spreadsheets/d/1BJSV3WBYJGRhQ6zExamkszQ5VutGIcaQqmbD9ZTVXMQ/edit#gid=1251630045"",""articles_with_PRISMA_reasons!Y2:Y2113""), $A1733=IMPORTRANGE(""https://docs.google.com/spreadsheets/d/1BJSV3WBYJGRhQ6"&amp;"zExamkszQ5VutGIcaQqmbD9ZTVXMQ/edit#gid=1251630045"",""articles_with_PRISMA_reasons!B2:B2113""))&gt;=2,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$A1733=IMPORTRANGE(""https://docs.google.com/spreadsheets/d/1BJSV3WBYJGRhQ6zExamkszQ5VutGIcaQqmbD9ZTVXMQ/edit#gid=1251630045"",""articles_with_PRISMA_reasons!B2:B2113""))&lt;2),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$A1733=IMPORTRANGE(""https://docs.google.com/spreadsheets/d/1BJSV3WBYJGRhQ6zExamkszQ5VutGIcaQqmbD9ZTVXMQ/edit#gid=1251630045"",""a"&amp;"rticles_with_PRISMA_reasons!B2:B2113""))&lt;2,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$A1733=IMPORTRANGE(""https://docs.google"&amp;".com/spreadsheets/d/1BJSV3WBYJGRhQ6zExamkszQ5VutGIcaQqmbD9ZTVXMQ/edit#gid=1251630045"",""articles_with_PRISMA_reasons!B2:B2113""))&gt;=2),
""Exclude""
)"),"Include")</f>
        <v>Include</v>
      </c>
      <c r="E1733" s="5" t="str">
        <f>IFERROR(__xludf.DUMMYFUNCTION("IFS(
D1733=""Exclude"",""Exclude"",
AND(
FILTER(IMPORTRANGE(""https://docs.google.com/spreadsheets/d/1qpEmbGH0JjaJbUdp21-y2cPbobDbMjr09BbtdKROZWc/edit#gid=1444865654"",""articles_with_PRISMA_reasons!W2:W2113""), $A1733=IMPORTRANGE(""https://docs.google.co"&amp;"m/spreadsheets/d/1qpEmbGH0JjaJbUdp21-y2cPbobDbMjr09BbtdKROZWc/edit#gid=1444865654"",""articles_with_PRISMA_reasons!B2:B2113""))&gt;=2,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$A1733=IMPORTRANGE(""https://docs.google.com/spreadsheets/d/1qpEmbGH0JjaJbUdp21-y2cPbobDbMjr09BbtdKROZWc/edit#gid=1444865654"",""articles_with_PRISMA_reasons!B2:B2113""))&lt;2),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$A1733=IMPORTRANGE(""https://docs.google.com/spreadsheets/d/1qpEmbGH0JjaJbUdp21-y2cPbobDbMjr09Bbtd"&amp;"KROZWc/edit#gid=1444865654"",""articles_with_PRISMA_reasons!B2:B2113""))&lt;2,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$A1733=I"&amp;"MPORTRANGE(""https://docs.google.com/spreadsheets/d/1qpEmbGH0JjaJbUdp21-y2cPbobDbMjr09BbtdKROZWc/edit#gid=1444865654"",""articles_with_PRISMA_reasons!B2:B2113""))&gt;=2),
""Exclude""
)"),"Include")</f>
        <v>Include</v>
      </c>
      <c r="F1733" s="2" t="s">
        <v>8</v>
      </c>
      <c r="G1733" s="2" t="s">
        <v>41</v>
      </c>
    </row>
    <row r="1734">
      <c r="A1734" s="4" t="str">
        <f>IFERROR(__xludf.DUMMYFUNCTION("""COMPUTED_VALUE"""),"Spina bifida cystica: Selective management in Zaria, Nigeria")</f>
        <v>Spina bifida cystica: Selective management in Zaria, Nigeria</v>
      </c>
      <c r="B1734" s="5" t="str">
        <f>IFERROR(__xludf.DUMMYFUNCTION("LEFT(FILTER(IMPORTRANGE(""https://docs.google.com/spreadsheets/d/1BJSV3WBYJGRhQ6zExamkszQ5VutGIcaQqmbD9ZTVXMQ/edit#gid=1251630045"",""articles_with_PRISMA_reasons!K2:K2113""), $A1734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$A1734=IMPORTRANGE(""https://docs.google.com/spreadsheets/d/1BJSV3WBYJGRhQ6zExamkszQ5VutGIcaQqmbD9ZTVXMQ/edit#gid=1251630045"",""articles_with_PRISMA_reasons!B2:B2113"")))-1)"),"Shehu")</f>
        <v>Shehu</v>
      </c>
      <c r="C1734" s="6">
        <f>IFERROR(__xludf.DUMMYFUNCTION("FILTER(IMPORTRANGE(""https://docs.google.com/spreadsheets/d/1BJSV3WBYJGRhQ6zExamkszQ5VutGIcaQqmbD9ZTVXMQ/edit#gid=1251630045"",""articles_with_PRISMA_reasons!C2:C2113""), $A1734=IMPORTRANGE(""https://docs.google.com/spreadsheets/d/1BJSV3WBYJGRhQ6zExamkszQ"&amp;"5VutGIcaQqmbD9ZTVXMQ/edit#gid=1251630045"",""articles_with_PRISMA_reasons!B2:B2113""))"),2000.0)</f>
        <v>2000</v>
      </c>
      <c r="D1734" s="5" t="str">
        <f>IFERROR(__xludf.DUMMYFUNCTION("IFS(AND(
FILTER(IMPORTRANGE(""https://docs.google.com/spreadsheets/d/1BJSV3WBYJGRhQ6zExamkszQ5VutGIcaQqmbD9ZTVXMQ/edit#gid=1251630045"",""articles_with_PRISMA_reasons!Y2:Y2113""), $A1734=IMPORTRANGE(""https://docs.google.com/spreadsheets/d/1BJSV3WBYJGRhQ6"&amp;"zExamkszQ5VutGIcaQqmbD9ZTVXMQ/edit#gid=1251630045"",""articles_with_PRISMA_reasons!B2:B2113""))&gt;=2,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$A1734=IMPORTRANGE(""https://docs.google.com/spreadsheets/d/1BJSV3WBYJGRhQ6zExamkszQ5VutGIcaQqmbD9ZTVXMQ/edit#gid=1251630045"",""articles_with_PRISMA_reasons!B2:B2113""))&lt;2),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$A1734=IMPORTRANGE(""https://docs.google.com/spreadsheets/d/1BJSV3WBYJGRhQ6zExamkszQ5VutGIcaQqmbD9ZTVXMQ/edit#gid=1251630045"",""a"&amp;"rticles_with_PRISMA_reasons!B2:B2113""))&lt;2,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$A1734=IMPORTRANGE(""https://docs.google"&amp;".com/spreadsheets/d/1BJSV3WBYJGRhQ6zExamkszQ5VutGIcaQqmbD9ZTVXMQ/edit#gid=1251630045"",""articles_with_PRISMA_reasons!B2:B2113""))&gt;=2),
""Exclude""
)"),"Include")</f>
        <v>Include</v>
      </c>
      <c r="E1734" s="5" t="str">
        <f>IFERROR(__xludf.DUMMYFUNCTION("IFS(
D1734=""Exclude"",""Exclude"",
AND(
FILTER(IMPORTRANGE(""https://docs.google.com/spreadsheets/d/1qpEmbGH0JjaJbUdp21-y2cPbobDbMjr09BbtdKROZWc/edit#gid=1444865654"",""articles_with_PRISMA_reasons!W2:W2113""), $A1734=IMPORTRANGE(""https://docs.google.co"&amp;"m/spreadsheets/d/1qpEmbGH0JjaJbUdp21-y2cPbobDbMjr09BbtdKROZWc/edit#gid=1444865654"",""articles_with_PRISMA_reasons!B2:B2113""))&gt;=2,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$A1734=IMPORTRANGE(""https://docs.google.com/spreadsheets/d/1qpEmbGH0JjaJbUdp21-y2cPbobDbMjr09BbtdKROZWc/edit#gid=1444865654"",""articles_with_PRISMA_reasons!B2:B2113""))&lt;2),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$A1734=IMPORTRANGE(""https://docs.google.com/spreadsheets/d/1qpEmbGH0JjaJbUdp21-y2cPbobDbMjr09Bbtd"&amp;"KROZWc/edit#gid=1444865654"",""articles_with_PRISMA_reasons!B2:B2113""))&lt;2,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$A1734=I"&amp;"MPORTRANGE(""https://docs.google.com/spreadsheets/d/1qpEmbGH0JjaJbUdp21-y2cPbobDbMjr09BbtdKROZWc/edit#gid=1444865654"",""articles_with_PRISMA_reasons!B2:B2113""))&gt;=2),
""Exclude""
)"),"Exclude")</f>
        <v>Exclude</v>
      </c>
      <c r="F1734" s="5" t="str">
        <f>IFERROR(__xludf.DUMMYFUNCTION("IFS(
E1734=""Exclude"",""Exclude"",
AND(
COUNTIF(
IMPORTRANGE(""https://docs.google.com/spreadsheets/d/1kGrh75X1cNR1D7_FcY9zMnHP8iPO4M5RCRjy6nZY0TY/edit#gid=0"",""Table 1: Study characteristics!B4:B171""),A1734)&gt;0,
COUNTIF(Studies!$A$2:$A$85,FILTER(IMPORT"&amp;"RANGE(""https://docs.google.com/spreadsheets/d/1kGrh75X1cNR1D7_FcY9zMnHP8iPO4M5RCRjy6nZY0TY/edit#gid=0"",""Table 1: Study characteristics!A4:A171""), $A1734=IMPORTRANGE(""https://docs.google.com/spreadsheets/d/1kGrh75X1cNR1D7_FcY9zMnHP8iPO4M5RCRjy6nZY0TY/"&amp;"edit#gid=0"",""Table 1: Study characteristics!B4:B171"")))&gt;0
),
""Include""
)"),"Exclude")</f>
        <v>Exclude</v>
      </c>
      <c r="G1734" s="5" t="str">
        <f>IFERROR(__xludf.DUMMYFUNCTION("IFS(
D1734=""Exclude"",
FILTER(IMPORTRANGE(""https://docs.google.com/spreadsheets/d/1BJSV3WBYJGRhQ6zExamkszQ5VutGIcaQqmbD9ZTVXMQ/edit#gid=1251630045"",""articles_with_PRISMA_reasons!AB2:AB2113""), $A1734=IMPORTRANGE(""https://docs.google.com/spreadsheets/"&amp;"d/1BJSV3WBYJGRhQ6zExamkszQ5VutGIcaQqmbD9ZTVXMQ/edit#gid=1251630045"",""articles_with_PRISMA_reasons!B2:B2113"")),
E1734=""Exclude"",
FILTER(IMPORTRANGE(""https://docs.google.com/spreadsheets/d/1qpEmbGH0JjaJbUdp21-y2cPbobDbMjr09BbtdKROZWc/edit#gid=14448656"&amp;"54"",""articles_with_PRISMA_reasons!Z2:Z2113""), $A1734=IMPORTRANGE(""https://docs.google.com/spreadsheets/d/1qpEmbGH0JjaJbUdp21-y2cPbobDbMjr09BbtdKROZWc/edit#gid=1444865654"",""articles_with_PRISMA_reasons!B2:B2113"")),F1734
=""Include"",FILTER(IMPORTRAN"&amp;"GE(""https://docs.google.com/spreadsheets/d/1kGrh75X1cNR1D7_FcY9zMnHP8iPO4M5RCRjy6nZY0TY/edit#gid=0"",""Table 1: Study characteristics!A4:A171""), $A1734=IMPORTRANGE(""https://docs.google.com/spreadsheets/d/1kGrh75X1cNR1D7_FcY9zMnHP8iPO4M5RCRjy6nZY0TY/edi"&amp;"t#gid=0"",""Table 1: Study characteristics!B4:B171""))
)"),"wrong population")</f>
        <v>wrong population</v>
      </c>
    </row>
    <row r="1735">
      <c r="A1735" s="4" t="str">
        <f>IFERROR(__xludf.DUMMYFUNCTION("""COMPUTED_VALUE"""),"Spina bifida cystica: selective management of Zaria, Nigeria")</f>
        <v>Spina bifida cystica: selective management of Zaria, Nigeria</v>
      </c>
      <c r="B1735" s="5" t="str">
        <f>IFERROR(__xludf.DUMMYFUNCTION("LEFT(FILTER(IMPORTRANGE(""https://docs.google.com/spreadsheets/d/1BJSV3WBYJGRhQ6zExamkszQ5VutGIcaQqmbD9ZTVXMQ/edit#gid=1251630045"",""articles_with_PRISMA_reasons!K2:K2113""), $A1735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$A1735=IMPORTRANGE(""https://docs.google.com/spreadsheets/d/1BJSV3WBYJGRhQ6zExamkszQ5VutGIcaQqmbD9ZTVXMQ/edit#gid=1251630045"",""articles_with_PRISMA_reasons!B2:B2113"")))-1)"),"Shehu")</f>
        <v>Shehu</v>
      </c>
      <c r="C1735" s="6">
        <f>IFERROR(__xludf.DUMMYFUNCTION("FILTER(IMPORTRANGE(""https://docs.google.com/spreadsheets/d/1BJSV3WBYJGRhQ6zExamkszQ5VutGIcaQqmbD9ZTVXMQ/edit#gid=1251630045"",""articles_with_PRISMA_reasons!C2:C2113""), $A1735=IMPORTRANGE(""https://docs.google.com/spreadsheets/d/1BJSV3WBYJGRhQ6zExamkszQ"&amp;"5VutGIcaQqmbD9ZTVXMQ/edit#gid=1251630045"",""articles_with_PRISMA_reasons!B2:B2113""))"),2000.0)</f>
        <v>2000</v>
      </c>
      <c r="D1735" s="5" t="str">
        <f>IFERROR(__xludf.DUMMYFUNCTION("IFS(AND(
FILTER(IMPORTRANGE(""https://docs.google.com/spreadsheets/d/1BJSV3WBYJGRhQ6zExamkszQ5VutGIcaQqmbD9ZTVXMQ/edit#gid=1251630045"",""articles_with_PRISMA_reasons!Y2:Y2113""), $A1735=IMPORTRANGE(""https://docs.google.com/spreadsheets/d/1BJSV3WBYJGRhQ6"&amp;"zExamkszQ5VutGIcaQqmbD9ZTVXMQ/edit#gid=1251630045"",""articles_with_PRISMA_reasons!B2:B2113""))&gt;=2,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$A1735=IMPORTRANGE(""https://docs.google.com/spreadsheets/d/1BJSV3WBYJGRhQ6zExamkszQ5VutGIcaQqmbD9ZTVXMQ/edit#gid=1251630045"",""articles_with_PRISMA_reasons!B2:B2113""))&lt;2),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$A1735=IMPORTRANGE(""https://docs.google.com/spreadsheets/d/1BJSV3WBYJGRhQ6zExamkszQ5VutGIcaQqmbD9ZTVXMQ/edit#gid=1251630045"",""a"&amp;"rticles_with_PRISMA_reasons!B2:B2113""))&lt;2,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$A1735=IMPORTRANGE(""https://docs.google"&amp;".com/spreadsheets/d/1BJSV3WBYJGRhQ6zExamkszQ5VutGIcaQqmbD9ZTVXMQ/edit#gid=1251630045"",""articles_with_PRISMA_reasons!B2:B2113""))&gt;=2),
""Exclude""
)"),"Exclude")</f>
        <v>Exclude</v>
      </c>
      <c r="E1735" s="5" t="str">
        <f>IFERROR(__xludf.DUMMYFUNCTION("IFS(
D1735=""Exclude"",""Exclude"",
AND(
FILTER(IMPORTRANGE(""https://docs.google.com/spreadsheets/d/1qpEmbGH0JjaJbUdp21-y2cPbobDbMjr09BbtdKROZWc/edit#gid=1444865654"",""articles_with_PRISMA_reasons!W2:W2113""), $A1735=IMPORTRANGE(""https://docs.google.co"&amp;"m/spreadsheets/d/1qpEmbGH0JjaJbUdp21-y2cPbobDbMjr09BbtdKROZWc/edit#gid=1444865654"",""articles_with_PRISMA_reasons!B2:B2113""))&gt;=2,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$A1735=IMPORTRANGE(""https://docs.google.com/spreadsheets/d/1qpEmbGH0JjaJbUdp21-y2cPbobDbMjr09BbtdKROZWc/edit#gid=1444865654"",""articles_with_PRISMA_reasons!B2:B2113""))&lt;2),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$A1735=IMPORTRANGE(""https://docs.google.com/spreadsheets/d/1qpEmbGH0JjaJbUdp21-y2cPbobDbMjr09Bbtd"&amp;"KROZWc/edit#gid=1444865654"",""articles_with_PRISMA_reasons!B2:B2113""))&lt;2,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$A1735=I"&amp;"MPORTRANGE(""https://docs.google.com/spreadsheets/d/1qpEmbGH0JjaJbUdp21-y2cPbobDbMjr09BbtdKROZWc/edit#gid=1444865654"",""articles_with_PRISMA_reasons!B2:B2113""))&gt;=2),
""Exclude""
)"),"Exclude")</f>
        <v>Exclude</v>
      </c>
      <c r="F1735" s="5" t="str">
        <f>IFERROR(__xludf.DUMMYFUNCTION("IFS(
E1735=""Exclude"",""Exclude"",
AND(
COUNTIF(
IMPORTRANGE(""https://docs.google.com/spreadsheets/d/1kGrh75X1cNR1D7_FcY9zMnHP8iPO4M5RCRjy6nZY0TY/edit#gid=0"",""Table 1: Study characteristics!B4:B171""),A1735)&gt;0,
COUNTIF(Studies!$A$2:$A$85,FILTER(IMPORT"&amp;"RANGE(""https://docs.google.com/spreadsheets/d/1kGrh75X1cNR1D7_FcY9zMnHP8iPO4M5RCRjy6nZY0TY/edit#gid=0"",""Table 1: Study characteristics!A4:A171""), $A1735=IMPORTRANGE(""https://docs.google.com/spreadsheets/d/1kGrh75X1cNR1D7_FcY9zMnHP8iPO4M5RCRjy6nZY0TY/"&amp;"edit#gid=0"",""Table 1: Study characteristics!B4:B171"")))&gt;0
),
""Include""
)"),"Exclude")</f>
        <v>Exclude</v>
      </c>
      <c r="G1735" s="5" t="str">
        <f>IFERROR(__xludf.DUMMYFUNCTION("IFS(
D1735=""Exclude"",
FILTER(IMPORTRANGE(""https://docs.google.com/spreadsheets/d/1BJSV3WBYJGRhQ6zExamkszQ5VutGIcaQqmbD9ZTVXMQ/edit#gid=1251630045"",""articles_with_PRISMA_reasons!AB2:AB2113""), $A1735=IMPORTRANGE(""https://docs.google.com/spreadsheets/"&amp;"d/1BJSV3WBYJGRhQ6zExamkszQ5VutGIcaQqmbD9ZTVXMQ/edit#gid=1251630045"",""articles_with_PRISMA_reasons!B2:B2113"")),
E1735=""Exclude"",
FILTER(IMPORTRANGE(""https://docs.google.com/spreadsheets/d/1qpEmbGH0JjaJbUdp21-y2cPbobDbMjr09BbtdKROZWc/edit#gid=14448656"&amp;"54"",""articles_with_PRISMA_reasons!Z2:Z2113""), $A1735=IMPORTRANGE(""https://docs.google.com/spreadsheets/d/1qpEmbGH0JjaJbUdp21-y2cPbobDbMjr09BbtdKROZWc/edit#gid=1444865654"",""articles_with_PRISMA_reasons!B2:B2113"")),F1735
=""Include"",FILTER(IMPORTRAN"&amp;"GE(""https://docs.google.com/spreadsheets/d/1kGrh75X1cNR1D7_FcY9zMnHP8iPO4M5RCRjy6nZY0TY/edit#gid=0"",""Table 1: Study characteristics!A4:A171""), $A1735=IMPORTRANGE(""https://docs.google.com/spreadsheets/d/1kGrh75X1cNR1D7_FcY9zMnHP8iPO4M5RCRjy6nZY0TY/edi"&amp;"t#gid=0"",""Table 1: Study characteristics!B4:B171""))
)"),"duplicate")</f>
        <v>duplicate</v>
      </c>
    </row>
    <row r="1736">
      <c r="A1736" s="4" t="str">
        <f>IFERROR(__xludf.DUMMYFUNCTION("""COMPUTED_VALUE"""),"Spina bifida cystica. I. Incidence, causes and prevention")</f>
        <v>Spina bifida cystica. I. Incidence, causes and prevention</v>
      </c>
      <c r="B1736" s="5" t="str">
        <f>IFERROR(__xludf.DUMMYFUNCTION("LEFT(FILTER(IMPORTRANGE(""https://docs.google.com/spreadsheets/d/1BJSV3WBYJGRhQ6zExamkszQ5VutGIcaQqmbD9ZTVXMQ/edit#gid=1251630045"",""articles_with_PRISMA_reasons!K2:K2113""), $A1736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$A1736=IMPORTRANGE(""https://docs.google.com/spreadsheets/d/1BJSV3WBYJGRhQ6zExamkszQ5VutGIcaQqmbD9ZTVXMQ/edit#gid=1251630045"",""articles_with_PRISMA_reasons!B2:B2113"")))-1)"),"Lorber")</f>
        <v>Lorber</v>
      </c>
      <c r="C1736" s="6" t="str">
        <f>IFERROR(__xludf.DUMMYFUNCTION("FILTER(IMPORTRANGE(""https://docs.google.com/spreadsheets/d/1BJSV3WBYJGRhQ6zExamkszQ5VutGIcaQqmbD9ZTVXMQ/edit#gid=1251630045"",""articles_with_PRISMA_reasons!C2:C2113""), $A1736=IMPORTRANGE(""https://docs.google.com/spreadsheets/d/1BJSV3WBYJGRhQ6zExamkszQ"&amp;"5VutGIcaQqmbD9ZTVXMQ/edit#gid=1251630045"",""articles_with_PRISMA_reasons!B2:B2113""))"),"Dec")</f>
        <v>Dec</v>
      </c>
      <c r="D1736" s="5" t="str">
        <f>IFERROR(__xludf.DUMMYFUNCTION("IFS(AND(
FILTER(IMPORTRANGE(""https://docs.google.com/spreadsheets/d/1BJSV3WBYJGRhQ6zExamkszQ5VutGIcaQqmbD9ZTVXMQ/edit#gid=1251630045"",""articles_with_PRISMA_reasons!Y2:Y2113""), $A1736=IMPORTRANGE(""https://docs.google.com/spreadsheets/d/1BJSV3WBYJGRhQ6"&amp;"zExamkszQ5VutGIcaQqmbD9ZTVXMQ/edit#gid=1251630045"",""articles_with_PRISMA_reasons!B2:B2113""))&gt;=2,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$A1736=IMPORTRANGE(""https://docs.google.com/spreadsheets/d/1BJSV3WBYJGRhQ6zExamkszQ5VutGIcaQqmbD9ZTVXMQ/edit#gid=1251630045"",""articles_with_PRISMA_reasons!B2:B2113""))&lt;2),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$A1736=IMPORTRANGE(""https://docs.google.com/spreadsheets/d/1BJSV3WBYJGRhQ6zExamkszQ5VutGIcaQqmbD9ZTVXMQ/edit#gid=1251630045"",""a"&amp;"rticles_with_PRISMA_reasons!B2:B2113""))&lt;2,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$A1736=IMPORTRANGE(""https://docs.google"&amp;".com/spreadsheets/d/1BJSV3WBYJGRhQ6zExamkszQ5VutGIcaQqmbD9ZTVXMQ/edit#gid=1251630045"",""articles_with_PRISMA_reasons!B2:B2113""))&gt;=2),
""Exclude""
)"),"Exclude")</f>
        <v>Exclude</v>
      </c>
      <c r="E1736" s="5" t="str">
        <f>IFERROR(__xludf.DUMMYFUNCTION("IFS(
D1736=""Exclude"",""Exclude"",
AND(
FILTER(IMPORTRANGE(""https://docs.google.com/spreadsheets/d/1qpEmbGH0JjaJbUdp21-y2cPbobDbMjr09BbtdKROZWc/edit#gid=1444865654"",""articles_with_PRISMA_reasons!W2:W2113""), $A1736=IMPORTRANGE(""https://docs.google.co"&amp;"m/spreadsheets/d/1qpEmbGH0JjaJbUdp21-y2cPbobDbMjr09BbtdKROZWc/edit#gid=1444865654"",""articles_with_PRISMA_reasons!B2:B2113""))&gt;=2,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$A1736=IMPORTRANGE(""https://docs.google.com/spreadsheets/d/1qpEmbGH0JjaJbUdp21-y2cPbobDbMjr09BbtdKROZWc/edit#gid=1444865654"",""articles_with_PRISMA_reasons!B2:B2113""))&lt;2),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$A1736=IMPORTRANGE(""https://docs.google.com/spreadsheets/d/1qpEmbGH0JjaJbUdp21-y2cPbobDbMjr09Bbtd"&amp;"KROZWc/edit#gid=1444865654"",""articles_with_PRISMA_reasons!B2:B2113""))&lt;2,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$A1736=I"&amp;"MPORTRANGE(""https://docs.google.com/spreadsheets/d/1qpEmbGH0JjaJbUdp21-y2cPbobDbMjr09BbtdKROZWc/edit#gid=1444865654"",""articles_with_PRISMA_reasons!B2:B2113""))&gt;=2),
""Exclude""
)"),"Exclude")</f>
        <v>Exclude</v>
      </c>
      <c r="F1736" s="5" t="str">
        <f>IFERROR(__xludf.DUMMYFUNCTION("IFS(
E1736=""Exclude"",""Exclude"",
AND(
COUNTIF(
IMPORTRANGE(""https://docs.google.com/spreadsheets/d/1kGrh75X1cNR1D7_FcY9zMnHP8iPO4M5RCRjy6nZY0TY/edit#gid=0"",""Table 1: Study characteristics!B4:B171""),A1736)&gt;0,
COUNTIF(Studies!$A$2:$A$85,FILTER(IMPORT"&amp;"RANGE(""https://docs.google.com/spreadsheets/d/1kGrh75X1cNR1D7_FcY9zMnHP8iPO4M5RCRjy6nZY0TY/edit#gid=0"",""Table 1: Study characteristics!A4:A171""), $A1736=IMPORTRANGE(""https://docs.google.com/spreadsheets/d/1kGrh75X1cNR1D7_FcY9zMnHP8iPO4M5RCRjy6nZY0TY/"&amp;"edit#gid=0"",""Table 1: Study characteristics!B4:B171"")))&gt;0
),
""Include""
)"),"Exclude")</f>
        <v>Exclude</v>
      </c>
      <c r="G1736" s="5" t="str">
        <f>IFERROR(__xludf.DUMMYFUNCTION("IFS(
D1736=""Exclude"",
FILTER(IMPORTRANGE(""https://docs.google.com/spreadsheets/d/1BJSV3WBYJGRhQ6zExamkszQ5VutGIcaQqmbD9ZTVXMQ/edit#gid=1251630045"",""articles_with_PRISMA_reasons!AB2:AB2113""), $A1736=IMPORTRANGE(""https://docs.google.com/spreadsheets/"&amp;"d/1BJSV3WBYJGRhQ6zExamkszQ5VutGIcaQqmbD9ZTVXMQ/edit#gid=1251630045"",""articles_with_PRISMA_reasons!B2:B2113"")),
E1736=""Exclude"",
FILTER(IMPORTRANGE(""https://docs.google.com/spreadsheets/d/1qpEmbGH0JjaJbUdp21-y2cPbobDbMjr09BbtdKROZWc/edit#gid=14448656"&amp;"54"",""articles_with_PRISMA_reasons!Z2:Z2113""), $A1736=IMPORTRANGE(""https://docs.google.com/spreadsheets/d/1qpEmbGH0JjaJbUdp21-y2cPbobDbMjr09BbtdKROZWc/edit#gid=1444865654"",""articles_with_PRISMA_reasons!B2:B2113"")),F1736
=""Include"",FILTER(IMPORTRAN"&amp;"GE(""https://docs.google.com/spreadsheets/d/1kGrh75X1cNR1D7_FcY9zMnHP8iPO4M5RCRjy6nZY0TY/edit#gid=0"",""Table 1: Study characteristics!A4:A171""), $A1736=IMPORTRANGE(""https://docs.google.com/spreadsheets/d/1kGrh75X1cNR1D7_FcY9zMnHP8iPO4M5RCRjy6nZY0TY/edi"&amp;"t#gid=0"",""Table 1: Study characteristics!B4:B171""))
)"),"Duplicate")</f>
        <v>Duplicate</v>
      </c>
    </row>
    <row r="1737">
      <c r="A1737" s="4" t="str">
        <f>IFERROR(__xludf.DUMMYFUNCTION("""COMPUTED_VALUE"""),"Spina bifida today: Problems adults face")</f>
        <v>Spina bifida today: Problems adults face</v>
      </c>
      <c r="B1737" s="5" t="str">
        <f>IFERROR(__xludf.DUMMYFUNCTION("LEFT(FILTER(IMPORTRANGE(""https://docs.google.com/spreadsheets/d/1BJSV3WBYJGRhQ6zExamkszQ5VutGIcaQqmbD9ZTVXMQ/edit#gid=1251630045"",""articles_with_PRISMA_reasons!K2:K2113""), $A1737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$A1737=IMPORTRANGE(""https://docs.google.com/spreadsheets/d/1BJSV3WBYJGRhQ6zExamkszQ5VutGIcaQqmbD9ZTVXMQ/edit#gid=1251630045"",""articles_with_PRISMA_reasons!B2:B2113"")))-1)"),"McLone")</f>
        <v>McLone</v>
      </c>
      <c r="C1737" s="6">
        <f>IFERROR(__xludf.DUMMYFUNCTION("FILTER(IMPORTRANGE(""https://docs.google.com/spreadsheets/d/1BJSV3WBYJGRhQ6zExamkszQ5VutGIcaQqmbD9ZTVXMQ/edit#gid=1251630045"",""articles_with_PRISMA_reasons!C2:C2113""), $A1737=IMPORTRANGE(""https://docs.google.com/spreadsheets/d/1BJSV3WBYJGRhQ6zExamkszQ"&amp;"5VutGIcaQqmbD9ZTVXMQ/edit#gid=1251630045"",""articles_with_PRISMA_reasons!B2:B2113""))"),1989.0)</f>
        <v>1989</v>
      </c>
      <c r="D1737" s="5" t="str">
        <f>IFERROR(__xludf.DUMMYFUNCTION("IFS(AND(
FILTER(IMPORTRANGE(""https://docs.google.com/spreadsheets/d/1BJSV3WBYJGRhQ6zExamkszQ5VutGIcaQqmbD9ZTVXMQ/edit#gid=1251630045"",""articles_with_PRISMA_reasons!Y2:Y2113""), $A1737=IMPORTRANGE(""https://docs.google.com/spreadsheets/d/1BJSV3WBYJGRhQ6"&amp;"zExamkszQ5VutGIcaQqmbD9ZTVXMQ/edit#gid=1251630045"",""articles_with_PRISMA_reasons!B2:B2113""))&gt;=2,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$A1737=IMPORTRANGE(""https://docs.google.com/spreadsheets/d/1BJSV3WBYJGRhQ6zExamkszQ5VutGIcaQqmbD9ZTVXMQ/edit#gid=1251630045"",""articles_with_PRISMA_reasons!B2:B2113""))&lt;2),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$A1737=IMPORTRANGE(""https://docs.google.com/spreadsheets/d/1BJSV3WBYJGRhQ6zExamkszQ5VutGIcaQqmbD9ZTVXMQ/edit#gid=1251630045"",""a"&amp;"rticles_with_PRISMA_reasons!B2:B2113""))&lt;2,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$A1737=IMPORTRANGE(""https://docs.google"&amp;".com/spreadsheets/d/1BJSV3WBYJGRhQ6zExamkszQ5VutGIcaQqmbD9ZTVXMQ/edit#gid=1251630045"",""articles_with_PRISMA_reasons!B2:B2113""))&gt;=2),
""Exclude""
)"),"Exclude")</f>
        <v>Exclude</v>
      </c>
      <c r="E1737" s="5" t="str">
        <f>IFERROR(__xludf.DUMMYFUNCTION("IFS(
D1737=""Exclude"",""Exclude"",
AND(
FILTER(IMPORTRANGE(""https://docs.google.com/spreadsheets/d/1qpEmbGH0JjaJbUdp21-y2cPbobDbMjr09BbtdKROZWc/edit#gid=1444865654"",""articles_with_PRISMA_reasons!W2:W2113""), $A1737=IMPORTRANGE(""https://docs.google.co"&amp;"m/spreadsheets/d/1qpEmbGH0JjaJbUdp21-y2cPbobDbMjr09BbtdKROZWc/edit#gid=1444865654"",""articles_with_PRISMA_reasons!B2:B2113""))&gt;=2,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$A1737=IMPORTRANGE(""https://docs.google.com/spreadsheets/d/1qpEmbGH0JjaJbUdp21-y2cPbobDbMjr09BbtdKROZWc/edit#gid=1444865654"",""articles_with_PRISMA_reasons!B2:B2113""))&lt;2),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$A1737=IMPORTRANGE(""https://docs.google.com/spreadsheets/d/1qpEmbGH0JjaJbUdp21-y2cPbobDbMjr09Bbtd"&amp;"KROZWc/edit#gid=1444865654"",""articles_with_PRISMA_reasons!B2:B2113""))&lt;2,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$A1737=I"&amp;"MPORTRANGE(""https://docs.google.com/spreadsheets/d/1qpEmbGH0JjaJbUdp21-y2cPbobDbMjr09BbtdKROZWc/edit#gid=1444865654"",""articles_with_PRISMA_reasons!B2:B2113""))&gt;=2),
""Exclude""
)"),"Exclude")</f>
        <v>Exclude</v>
      </c>
      <c r="F1737" s="5" t="str">
        <f>IFERROR(__xludf.DUMMYFUNCTION("IFS(
E1737=""Exclude"",""Exclude"",
AND(
COUNTIF(
IMPORTRANGE(""https://docs.google.com/spreadsheets/d/1kGrh75X1cNR1D7_FcY9zMnHP8iPO4M5RCRjy6nZY0TY/edit#gid=0"",""Table 1: Study characteristics!B4:B171""),A1737)&gt;0,
COUNTIF(Studies!$A$2:$A$85,FILTER(IMPORT"&amp;"RANGE(""https://docs.google.com/spreadsheets/d/1kGrh75X1cNR1D7_FcY9zMnHP8iPO4M5RCRjy6nZY0TY/edit#gid=0"",""Table 1: Study characteristics!A4:A171""), $A1737=IMPORTRANGE(""https://docs.google.com/spreadsheets/d/1kGrh75X1cNR1D7_FcY9zMnHP8iPO4M5RCRjy6nZY0TY/"&amp;"edit#gid=0"",""Table 1: Study characteristics!B4:B171"")))&gt;0
),
""Include""
)"),"Exclude")</f>
        <v>Exclude</v>
      </c>
      <c r="G1737" s="5" t="str">
        <f>IFERROR(__xludf.DUMMYFUNCTION("IFS(
D1737=""Exclude"",
FILTER(IMPORTRANGE(""https://docs.google.com/spreadsheets/d/1BJSV3WBYJGRhQ6zExamkszQ5VutGIcaQqmbD9ZTVXMQ/edit#gid=1251630045"",""articles_with_PRISMA_reasons!AB2:AB2113""), $A1737=IMPORTRANGE(""https://docs.google.com/spreadsheets/"&amp;"d/1BJSV3WBYJGRhQ6zExamkszQ5VutGIcaQqmbD9ZTVXMQ/edit#gid=1251630045"",""articles_with_PRISMA_reasons!B2:B2113"")),
E1737=""Exclude"",
FILTER(IMPORTRANGE(""https://docs.google.com/spreadsheets/d/1qpEmbGH0JjaJbUdp21-y2cPbobDbMjr09BbtdKROZWc/edit#gid=14448656"&amp;"54"",""articles_with_PRISMA_reasons!Z2:Z2113""), $A1737=IMPORTRANGE(""https://docs.google.com/spreadsheets/d/1qpEmbGH0JjaJbUdp21-y2cPbobDbMjr09BbtdKROZWc/edit#gid=1444865654"",""articles_with_PRISMA_reasons!B2:B2113"")),F1737
=""Include"",FILTER(IMPORTRAN"&amp;"GE(""https://docs.google.com/spreadsheets/d/1kGrh75X1cNR1D7_FcY9zMnHP8iPO4M5RCRjy6nZY0TY/edit#gid=0"",""Table 1: Study characteristics!A4:A171""), $A1737=IMPORTRANGE(""https://docs.google.com/spreadsheets/d/1kGrh75X1cNR1D7_FcY9zMnHP8iPO4M5RCRjy6nZY0TY/edi"&amp;"t#gid=0"",""Table 1: Study characteristics!B4:B171""))
)"),"wrong population")</f>
        <v>wrong population</v>
      </c>
    </row>
    <row r="1738">
      <c r="A1738" s="4" t="str">
        <f>IFERROR(__xludf.DUMMYFUNCTION("""COMPUTED_VALUE"""),"SPINA BIFIDA WITH MYELOMENINGOCELE: EVALUATION OF REHABILITATION POTENTIAL")</f>
        <v>SPINA BIFIDA WITH MYELOMENINGOCELE: EVALUATION OF REHABILITATION POTENTIAL</v>
      </c>
      <c r="B1738" s="5" t="str">
        <f>IFERROR(__xludf.DUMMYFUNCTION("LEFT(FILTER(IMPORTRANGE(""https://docs.google.com/spreadsheets/d/1BJSV3WBYJGRhQ6zExamkszQ5VutGIcaQqmbD9ZTVXMQ/edit#gid=1251630045"",""articles_with_PRISMA_reasons!K2:K2113""), $A1738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$A1738=IMPORTRANGE(""https://docs.google.com/spreadsheets/d/1BJSV3WBYJGRhQ6zExamkszQ5VutGIcaQqmbD9ZTVXMQ/edit#gid=1251630045"",""articles_with_PRISMA_reasons!B2:B2113"")))-1)"),"Badell-Ribera")</f>
        <v>Badell-Ribera</v>
      </c>
      <c r="C1738" s="6">
        <f>IFERROR(__xludf.DUMMYFUNCTION("FILTER(IMPORTRANGE(""https://docs.google.com/spreadsheets/d/1BJSV3WBYJGRhQ6zExamkszQ5VutGIcaQqmbD9ZTVXMQ/edit#gid=1251630045"",""articles_with_PRISMA_reasons!C2:C2113""), $A1738=IMPORTRANGE(""https://docs.google.com/spreadsheets/d/1BJSV3WBYJGRhQ6zExamkszQ"&amp;"5VutGIcaQqmbD9ZTVXMQ/edit#gid=1251630045"",""articles_with_PRISMA_reasons!B2:B2113""))"),1964.0)</f>
        <v>1964</v>
      </c>
      <c r="D1738" s="5" t="str">
        <f>IFERROR(__xludf.DUMMYFUNCTION("IFS(AND(
FILTER(IMPORTRANGE(""https://docs.google.com/spreadsheets/d/1BJSV3WBYJGRhQ6zExamkszQ5VutGIcaQqmbD9ZTVXMQ/edit#gid=1251630045"",""articles_with_PRISMA_reasons!Y2:Y2113""), $A1738=IMPORTRANGE(""https://docs.google.com/spreadsheets/d/1BJSV3WBYJGRhQ6"&amp;"zExamkszQ5VutGIcaQqmbD9ZTVXMQ/edit#gid=1251630045"",""articles_with_PRISMA_reasons!B2:B2113""))&gt;=2,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$A1738=IMPORTRANGE(""https://docs.google.com/spreadsheets/d/1BJSV3WBYJGRhQ6zExamkszQ5VutGIcaQqmbD9ZTVXMQ/edit#gid=1251630045"",""articles_with_PRISMA_reasons!B2:B2113""))&lt;2),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$A1738=IMPORTRANGE(""https://docs.google.com/spreadsheets/d/1BJSV3WBYJGRhQ6zExamkszQ5VutGIcaQqmbD9ZTVXMQ/edit#gid=1251630045"",""a"&amp;"rticles_with_PRISMA_reasons!B2:B2113""))&lt;2,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$A1738=IMPORTRANGE(""https://docs.google"&amp;".com/spreadsheets/d/1BJSV3WBYJGRhQ6zExamkszQ5VutGIcaQqmbD9ZTVXMQ/edit#gid=1251630045"",""articles_with_PRISMA_reasons!B2:B2113""))&gt;=2),
""Exclude""
)"),"Exclude")</f>
        <v>Exclude</v>
      </c>
      <c r="E1738" s="5" t="str">
        <f>IFERROR(__xludf.DUMMYFUNCTION("IFS(
D1738=""Exclude"",""Exclude"",
AND(
FILTER(IMPORTRANGE(""https://docs.google.com/spreadsheets/d/1qpEmbGH0JjaJbUdp21-y2cPbobDbMjr09BbtdKROZWc/edit#gid=1444865654"",""articles_with_PRISMA_reasons!W2:W2113""), $A1738=IMPORTRANGE(""https://docs.google.co"&amp;"m/spreadsheets/d/1qpEmbGH0JjaJbUdp21-y2cPbobDbMjr09BbtdKROZWc/edit#gid=1444865654"",""articles_with_PRISMA_reasons!B2:B2113""))&gt;=2,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$A1738=IMPORTRANGE(""https://docs.google.com/spreadsheets/d/1qpEmbGH0JjaJbUdp21-y2cPbobDbMjr09BbtdKROZWc/edit#gid=1444865654"",""articles_with_PRISMA_reasons!B2:B2113""))&lt;2),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$A1738=IMPORTRANGE(""https://docs.google.com/spreadsheets/d/1qpEmbGH0JjaJbUdp21-y2cPbobDbMjr09Bbtd"&amp;"KROZWc/edit#gid=1444865654"",""articles_with_PRISMA_reasons!B2:B2113""))&lt;2,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$A1738=I"&amp;"MPORTRANGE(""https://docs.google.com/spreadsheets/d/1qpEmbGH0JjaJbUdp21-y2cPbobDbMjr09BbtdKROZWc/edit#gid=1444865654"",""articles_with_PRISMA_reasons!B2:B2113""))&gt;=2),
""Exclude""
)"),"Exclude")</f>
        <v>Exclude</v>
      </c>
      <c r="F1738" s="5" t="str">
        <f>IFERROR(__xludf.DUMMYFUNCTION("IFS(
E1738=""Exclude"",""Exclude"",
AND(
COUNTIF(
IMPORTRANGE(""https://docs.google.com/spreadsheets/d/1kGrh75X1cNR1D7_FcY9zMnHP8iPO4M5RCRjy6nZY0TY/edit#gid=0"",""Table 1: Study characteristics!B4:B171""),A1738)&gt;0,
COUNTIF(Studies!$A$2:$A$85,FILTER(IMPORT"&amp;"RANGE(""https://docs.google.com/spreadsheets/d/1kGrh75X1cNR1D7_FcY9zMnHP8iPO4M5RCRjy6nZY0TY/edit#gid=0"",""Table 1: Study characteristics!A4:A171""), $A1738=IMPORTRANGE(""https://docs.google.com/spreadsheets/d/1kGrh75X1cNR1D7_FcY9zMnHP8iPO4M5RCRjy6nZY0TY/"&amp;"edit#gid=0"",""Table 1: Study characteristics!B4:B171"")))&gt;0
),
""Include""
)"),"Exclude")</f>
        <v>Exclude</v>
      </c>
      <c r="G1738" s="5" t="str">
        <f>IFERROR(__xludf.DUMMYFUNCTION("IFS(
D1738=""Exclude"",
FILTER(IMPORTRANGE(""https://docs.google.com/spreadsheets/d/1BJSV3WBYJGRhQ6zExamkszQ5VutGIcaQqmbD9ZTVXMQ/edit#gid=1251630045"",""articles_with_PRISMA_reasons!AB2:AB2113""), $A1738=IMPORTRANGE(""https://docs.google.com/spreadsheets/"&amp;"d/1BJSV3WBYJGRhQ6zExamkszQ5VutGIcaQqmbD9ZTVXMQ/edit#gid=1251630045"",""articles_with_PRISMA_reasons!B2:B2113"")),
E1738=""Exclude"",
FILTER(IMPORTRANGE(""https://docs.google.com/spreadsheets/d/1qpEmbGH0JjaJbUdp21-y2cPbobDbMjr09BbtdKROZWc/edit#gid=14448656"&amp;"54"",""articles_with_PRISMA_reasons!Z2:Z2113""), $A1738=IMPORTRANGE(""https://docs.google.com/spreadsheets/d/1qpEmbGH0JjaJbUdp21-y2cPbobDbMjr09BbtdKROZWc/edit#gid=1444865654"",""articles_with_PRISMA_reasons!B2:B2113"")),F1738
=""Include"",FILTER(IMPORTRAN"&amp;"GE(""https://docs.google.com/spreadsheets/d/1kGrh75X1cNR1D7_FcY9zMnHP8iPO4M5RCRjy6nZY0TY/edit#gid=0"",""Table 1: Study characteristics!A4:A171""), $A1738=IMPORTRANGE(""https://docs.google.com/spreadsheets/d/1kGrh75X1cNR1D7_FcY9zMnHP8iPO4M5RCRjy6nZY0TY/edi"&amp;"t#gid=0"",""Table 1: Study characteristics!B4:B171""))
)"),"wrong study design")</f>
        <v>wrong study design</v>
      </c>
    </row>
    <row r="1739">
      <c r="A1739" s="4" t="str">
        <f>IFERROR(__xludf.DUMMYFUNCTION("""COMPUTED_VALUE"""),"Spina bifida--a follow-up study of neonates born from 1991 to 2001")</f>
        <v>Spina bifida--a follow-up study of neonates born from 1991 to 2001</v>
      </c>
      <c r="B1739" s="5" t="str">
        <f>IFERROR(__xludf.DUMMYFUNCTION("LEFT(FILTER(IMPORTRANGE(""https://docs.google.com/spreadsheets/d/1BJSV3WBYJGRhQ6zExamkszQ5VutGIcaQqmbD9ZTVXMQ/edit#gid=1251630045"",""articles_with_PRISMA_reasons!K2:K2113""), $A1739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$A1739=IMPORTRANGE(""https://docs.google.com/spreadsheets/d/1BJSV3WBYJGRhQ6zExamkszQ5VutGIcaQqmbD9ZTVXMQ/edit#gid=1251630045"",""articles_with_PRISMA_reasons!B2:B2113"")))-1)"),"Preis")</f>
        <v>Preis</v>
      </c>
      <c r="C1739" s="6">
        <f>IFERROR(__xludf.DUMMYFUNCTION("FILTER(IMPORTRANGE(""https://docs.google.com/spreadsheets/d/1BJSV3WBYJGRhQ6zExamkszQ5VutGIcaQqmbD9ZTVXMQ/edit#gid=1251630045"",""articles_with_PRISMA_reasons!C2:C2113""), $A1739=IMPORTRANGE(""https://docs.google.com/spreadsheets/d/1BJSV3WBYJGRhQ6zExamkszQ"&amp;"5VutGIcaQqmbD9ZTVXMQ/edit#gid=1251630045"",""articles_with_PRISMA_reasons!B2:B2113""))"),2005.0)</f>
        <v>2005</v>
      </c>
      <c r="D1739" s="5" t="str">
        <f>IFERROR(__xludf.DUMMYFUNCTION("IFS(AND(
FILTER(IMPORTRANGE(""https://docs.google.com/spreadsheets/d/1BJSV3WBYJGRhQ6zExamkszQ5VutGIcaQqmbD9ZTVXMQ/edit#gid=1251630045"",""articles_with_PRISMA_reasons!Y2:Y2113""), $A1739=IMPORTRANGE(""https://docs.google.com/spreadsheets/d/1BJSV3WBYJGRhQ6"&amp;"zExamkszQ5VutGIcaQqmbD9ZTVXMQ/edit#gid=1251630045"",""articles_with_PRISMA_reasons!B2:B2113""))&gt;=2,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$A1739=IMPORTRANGE(""https://docs.google.com/spreadsheets/d/1BJSV3WBYJGRhQ6zExamkszQ5VutGIcaQqmbD9ZTVXMQ/edit#gid=1251630045"",""articles_with_PRISMA_reasons!B2:B2113""))&lt;2),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$A1739=IMPORTRANGE(""https://docs.google.com/spreadsheets/d/1BJSV3WBYJGRhQ6zExamkszQ5VutGIcaQqmbD9ZTVXMQ/edit#gid=1251630045"",""a"&amp;"rticles_with_PRISMA_reasons!B2:B2113""))&lt;2,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$A1739=IMPORTRANGE(""https://docs.google"&amp;".com/spreadsheets/d/1BJSV3WBYJGRhQ6zExamkszQ5VutGIcaQqmbD9ZTVXMQ/edit#gid=1251630045"",""articles_with_PRISMA_reasons!B2:B2113""))&gt;=2),
""Exclude""
)"),"Exclude")</f>
        <v>Exclude</v>
      </c>
      <c r="E1739" s="5" t="str">
        <f>IFERROR(__xludf.DUMMYFUNCTION("IFS(
D1739=""Exclude"",""Exclude"",
AND(
FILTER(IMPORTRANGE(""https://docs.google.com/spreadsheets/d/1qpEmbGH0JjaJbUdp21-y2cPbobDbMjr09BbtdKROZWc/edit#gid=1444865654"",""articles_with_PRISMA_reasons!W2:W2113""), $A1739=IMPORTRANGE(""https://docs.google.co"&amp;"m/spreadsheets/d/1qpEmbGH0JjaJbUdp21-y2cPbobDbMjr09BbtdKROZWc/edit#gid=1444865654"",""articles_with_PRISMA_reasons!B2:B2113""))&gt;=2,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$A1739=IMPORTRANGE(""https://docs.google.com/spreadsheets/d/1qpEmbGH0JjaJbUdp21-y2cPbobDbMjr09BbtdKROZWc/edit#gid=1444865654"",""articles_with_PRISMA_reasons!B2:B2113""))&lt;2),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$A1739=IMPORTRANGE(""https://docs.google.com/spreadsheets/d/1qpEmbGH0JjaJbUdp21-y2cPbobDbMjr09Bbtd"&amp;"KROZWc/edit#gid=1444865654"",""articles_with_PRISMA_reasons!B2:B2113""))&lt;2,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$A1739=I"&amp;"MPORTRANGE(""https://docs.google.com/spreadsheets/d/1qpEmbGH0JjaJbUdp21-y2cPbobDbMjr09BbtdKROZWc/edit#gid=1444865654"",""articles_with_PRISMA_reasons!B2:B2113""))&gt;=2),
""Exclude""
)"),"Exclude")</f>
        <v>Exclude</v>
      </c>
      <c r="F1739" s="5" t="str">
        <f>IFERROR(__xludf.DUMMYFUNCTION("IFS(
E1739=""Exclude"",""Exclude"",
AND(
COUNTIF(
IMPORTRANGE(""https://docs.google.com/spreadsheets/d/1kGrh75X1cNR1D7_FcY9zMnHP8iPO4M5RCRjy6nZY0TY/edit#gid=0"",""Table 1: Study characteristics!B4:B171""),A1739)&gt;0,
COUNTIF(Studies!$A$2:$A$85,FILTER(IMPORT"&amp;"RANGE(""https://docs.google.com/spreadsheets/d/1kGrh75X1cNR1D7_FcY9zMnHP8iPO4M5RCRjy6nZY0TY/edit#gid=0"",""Table 1: Study characteristics!A4:A171""), $A1739=IMPORTRANGE(""https://docs.google.com/spreadsheets/d/1kGrh75X1cNR1D7_FcY9zMnHP8iPO4M5RCRjy6nZY0TY/"&amp;"edit#gid=0"",""Table 1: Study characteristics!B4:B171"")))&gt;0
),
""Include""
)"),"Exclude")</f>
        <v>Exclude</v>
      </c>
      <c r="G1739" s="5" t="str">
        <f>IFERROR(__xludf.DUMMYFUNCTION("IFS(
D1739=""Exclude"",
FILTER(IMPORTRANGE(""https://docs.google.com/spreadsheets/d/1BJSV3WBYJGRhQ6zExamkszQ5VutGIcaQqmbD9ZTVXMQ/edit#gid=1251630045"",""articles_with_PRISMA_reasons!AB2:AB2113""), $A1739=IMPORTRANGE(""https://docs.google.com/spreadsheets/"&amp;"d/1BJSV3WBYJGRhQ6zExamkszQ5VutGIcaQqmbD9ZTVXMQ/edit#gid=1251630045"",""articles_with_PRISMA_reasons!B2:B2113"")),
E1739=""Exclude"",
FILTER(IMPORTRANGE(""https://docs.google.com/spreadsheets/d/1qpEmbGH0JjaJbUdp21-y2cPbobDbMjr09BbtdKROZWc/edit#gid=14448656"&amp;"54"",""articles_with_PRISMA_reasons!Z2:Z2113""), $A1739=IMPORTRANGE(""https://docs.google.com/spreadsheets/d/1qpEmbGH0JjaJbUdp21-y2cPbobDbMjr09BbtdKROZWc/edit#gid=1444865654"",""articles_with_PRISMA_reasons!B2:B2113"")),F1739
=""Include"",FILTER(IMPORTRAN"&amp;"GE(""https://docs.google.com/spreadsheets/d/1kGrh75X1cNR1D7_FcY9zMnHP8iPO4M5RCRjy6nZY0TY/edit#gid=0"",""Table 1: Study characteristics!A4:A171""), $A1739=IMPORTRANGE(""https://docs.google.com/spreadsheets/d/1kGrh75X1cNR1D7_FcY9zMnHP8iPO4M5RCRjy6nZY0TY/edi"&amp;"t#gid=0"",""Table 1: Study characteristics!B4:B171""))
)"),"wrong population")</f>
        <v>wrong population</v>
      </c>
    </row>
    <row r="1740">
      <c r="A1740" s="4" t="str">
        <f>IFERROR(__xludf.DUMMYFUNCTION("""COMPUTED_VALUE"""),"Spina bifida-ultrasonographic diagnosis in first and second trimesters")</f>
        <v>Spina bifida-ultrasonographic diagnosis in first and second trimesters</v>
      </c>
      <c r="B1740" s="5" t="str">
        <f>IFERROR(__xludf.DUMMYFUNCTION("LEFT(FILTER(IMPORTRANGE(""https://docs.google.com/spreadsheets/d/1BJSV3WBYJGRhQ6zExamkszQ5VutGIcaQqmbD9ZTVXMQ/edit#gid=1251630045"",""articles_with_PRISMA_reasons!K2:K2113""), $A1740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$A1740=IMPORTRANGE(""https://docs.google.com/spreadsheets/d/1BJSV3WBYJGRhQ6zExamkszQ5VutGIcaQqmbD9ZTVXMQ/edit#gid=1251630045"",""articles_with_PRISMA_reasons!B2:B2113"")))-1)"),"Sarno")</f>
        <v>Sarno</v>
      </c>
      <c r="C1740" s="6">
        <f>IFERROR(__xludf.DUMMYFUNCTION("FILTER(IMPORTRANGE(""https://docs.google.com/spreadsheets/d/1BJSV3WBYJGRhQ6zExamkszQ5VutGIcaQqmbD9ZTVXMQ/edit#gid=1251630045"",""articles_with_PRISMA_reasons!C2:C2113""), $A1740=IMPORTRANGE(""https://docs.google.com/spreadsheets/d/1BJSV3WBYJGRhQ6zExamkszQ"&amp;"5VutGIcaQqmbD9ZTVXMQ/edit#gid=1251630045"",""articles_with_PRISMA_reasons!B2:B2113""))"),2017.0)</f>
        <v>2017</v>
      </c>
      <c r="D1740" s="5" t="str">
        <f>IFERROR(__xludf.DUMMYFUNCTION("IFS(AND(
FILTER(IMPORTRANGE(""https://docs.google.com/spreadsheets/d/1BJSV3WBYJGRhQ6zExamkszQ5VutGIcaQqmbD9ZTVXMQ/edit#gid=1251630045"",""articles_with_PRISMA_reasons!Y2:Y2113""), $A1740=IMPORTRANGE(""https://docs.google.com/spreadsheets/d/1BJSV3WBYJGRhQ6"&amp;"zExamkszQ5VutGIcaQqmbD9ZTVXMQ/edit#gid=1251630045"",""articles_with_PRISMA_reasons!B2:B2113""))&gt;=2,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$A1740=IMPORTRANGE(""https://docs.google.com/spreadsheets/d/1BJSV3WBYJGRhQ6zExamkszQ5VutGIcaQqmbD9ZTVXMQ/edit#gid=1251630045"",""articles_with_PRISMA_reasons!B2:B2113""))&lt;2),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$A1740=IMPORTRANGE(""https://docs.google.com/spreadsheets/d/1BJSV3WBYJGRhQ6zExamkszQ5VutGIcaQqmbD9ZTVXMQ/edit#gid=1251630045"",""a"&amp;"rticles_with_PRISMA_reasons!B2:B2113""))&lt;2,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$A1740=IMPORTRANGE(""https://docs.google"&amp;".com/spreadsheets/d/1BJSV3WBYJGRhQ6zExamkszQ5VutGIcaQqmbD9ZTVXMQ/edit#gid=1251630045"",""articles_with_PRISMA_reasons!B2:B2113""))&gt;=2),
""Exclude""
)"),"Exclude")</f>
        <v>Exclude</v>
      </c>
      <c r="E1740" s="5" t="str">
        <f>IFERROR(__xludf.DUMMYFUNCTION("IFS(
D1740=""Exclude"",""Exclude"",
AND(
FILTER(IMPORTRANGE(""https://docs.google.com/spreadsheets/d/1qpEmbGH0JjaJbUdp21-y2cPbobDbMjr09BbtdKROZWc/edit#gid=1444865654"",""articles_with_PRISMA_reasons!W2:W2113""), $A1740=IMPORTRANGE(""https://docs.google.co"&amp;"m/spreadsheets/d/1qpEmbGH0JjaJbUdp21-y2cPbobDbMjr09BbtdKROZWc/edit#gid=1444865654"",""articles_with_PRISMA_reasons!B2:B2113""))&gt;=2,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$A1740=IMPORTRANGE(""https://docs.google.com/spreadsheets/d/1qpEmbGH0JjaJbUdp21-y2cPbobDbMjr09BbtdKROZWc/edit#gid=1444865654"",""articles_with_PRISMA_reasons!B2:B2113""))&lt;2),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$A1740=IMPORTRANGE(""https://docs.google.com/spreadsheets/d/1qpEmbGH0JjaJbUdp21-y2cPbobDbMjr09Bbtd"&amp;"KROZWc/edit#gid=1444865654"",""articles_with_PRISMA_reasons!B2:B2113""))&lt;2,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$A1740=I"&amp;"MPORTRANGE(""https://docs.google.com/spreadsheets/d/1qpEmbGH0JjaJbUdp21-y2cPbobDbMjr09BbtdKROZWc/edit#gid=1444865654"",""articles_with_PRISMA_reasons!B2:B2113""))&gt;=2),
""Exclude""
)"),"Exclude")</f>
        <v>Exclude</v>
      </c>
      <c r="F1740" s="5" t="str">
        <f>IFERROR(__xludf.DUMMYFUNCTION("IFS(
E1740=""Exclude"",""Exclude"",
AND(
COUNTIF(
IMPORTRANGE(""https://docs.google.com/spreadsheets/d/1kGrh75X1cNR1D7_FcY9zMnHP8iPO4M5RCRjy6nZY0TY/edit#gid=0"",""Table 1: Study characteristics!B4:B171""),A1740)&gt;0,
COUNTIF(Studies!$A$2:$A$85,FILTER(IMPORT"&amp;"RANGE(""https://docs.google.com/spreadsheets/d/1kGrh75X1cNR1D7_FcY9zMnHP8iPO4M5RCRjy6nZY0TY/edit#gid=0"",""Table 1: Study characteristics!A4:A171""), $A1740=IMPORTRANGE(""https://docs.google.com/spreadsheets/d/1kGrh75X1cNR1D7_FcY9zMnHP8iPO4M5RCRjy6nZY0TY/"&amp;"edit#gid=0"",""Table 1: Study characteristics!B4:B171"")))&gt;0
),
""Include""
)"),"Exclude")</f>
        <v>Exclude</v>
      </c>
      <c r="G1740" s="5" t="str">
        <f>IFERROR(__xludf.DUMMYFUNCTION("IFS(
D1740=""Exclude"",
FILTER(IMPORTRANGE(""https://docs.google.com/spreadsheets/d/1BJSV3WBYJGRhQ6zExamkszQ5VutGIcaQqmbD9ZTVXMQ/edit#gid=1251630045"",""articles_with_PRISMA_reasons!AB2:AB2113""), $A1740=IMPORTRANGE(""https://docs.google.com/spreadsheets/"&amp;"d/1BJSV3WBYJGRhQ6zExamkszQ5VutGIcaQqmbD9ZTVXMQ/edit#gid=1251630045"",""articles_with_PRISMA_reasons!B2:B2113"")),
E1740=""Exclude"",
FILTER(IMPORTRANGE(""https://docs.google.com/spreadsheets/d/1qpEmbGH0JjaJbUdp21-y2cPbobDbMjr09BbtdKROZWc/edit#gid=14448656"&amp;"54"",""articles_with_PRISMA_reasons!Z2:Z2113""), $A1740=IMPORTRANGE(""https://docs.google.com/spreadsheets/d/1qpEmbGH0JjaJbUdp21-y2cPbobDbMjr09BbtdKROZWc/edit#gid=1444865654"",""articles_with_PRISMA_reasons!B2:B2113"")),F1740
=""Include"",FILTER(IMPORTRAN"&amp;"GE(""https://docs.google.com/spreadsheets/d/1kGrh75X1cNR1D7_FcY9zMnHP8iPO4M5RCRjy6nZY0TY/edit#gid=0"",""Table 1: Study characteristics!A4:A171""), $A1740=IMPORTRANGE(""https://docs.google.com/spreadsheets/d/1kGrh75X1cNR1D7_FcY9zMnHP8iPO4M5RCRjy6nZY0TY/edi"&amp;"t#gid=0"",""Table 1: Study characteristics!B4:B171""))
)"),"wrong publication type")</f>
        <v>wrong publication type</v>
      </c>
    </row>
    <row r="1741">
      <c r="A1741" s="4" t="str">
        <f>IFERROR(__xludf.DUMMYFUNCTION("""COMPUTED_VALUE"""),"Spina bifida: a multidisciplinary perspective on a many-faceted condition")</f>
        <v>Spina bifida: a multidisciplinary perspective on a many-faceted condition</v>
      </c>
      <c r="B1741" s="5" t="str">
        <f>IFERROR(__xludf.DUMMYFUNCTION("LEFT(FILTER(IMPORTRANGE(""https://docs.google.com/spreadsheets/d/1BJSV3WBYJGRhQ6zExamkszQ5VutGIcaQqmbD9ZTVXMQ/edit#gid=1251630045"",""articles_with_PRISMA_reasons!K2:K2113""), $A1741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$A1741=IMPORTRANGE(""https://docs.google.com/spreadsheets/d/1BJSV3WBYJGRhQ6zExamkszQ5VutGIcaQqmbD9ZTVXMQ/edit#gid=1251630045"",""articles_with_PRISMA_reasons!B2:B2113"")))-1)"),"Fieggen")</f>
        <v>Fieggen</v>
      </c>
      <c r="C1741" s="6">
        <f>IFERROR(__xludf.DUMMYFUNCTION("FILTER(IMPORTRANGE(""https://docs.google.com/spreadsheets/d/1BJSV3WBYJGRhQ6zExamkszQ5VutGIcaQqmbD9ZTVXMQ/edit#gid=1251630045"",""articles_with_PRISMA_reasons!C2:C2113""), $A1741=IMPORTRANGE(""https://docs.google.com/spreadsheets/d/1BJSV3WBYJGRhQ6zExamkszQ"&amp;"5VutGIcaQqmbD9ZTVXMQ/edit#gid=1251630045"",""articles_with_PRISMA_reasons!B2:B2113""))"),2014.0)</f>
        <v>2014</v>
      </c>
      <c r="D1741" s="5" t="str">
        <f>IFERROR(__xludf.DUMMYFUNCTION("IFS(AND(
FILTER(IMPORTRANGE(""https://docs.google.com/spreadsheets/d/1BJSV3WBYJGRhQ6zExamkszQ5VutGIcaQqmbD9ZTVXMQ/edit#gid=1251630045"",""articles_with_PRISMA_reasons!Y2:Y2113""), $A1741=IMPORTRANGE(""https://docs.google.com/spreadsheets/d/1BJSV3WBYJGRhQ6"&amp;"zExamkszQ5VutGIcaQqmbD9ZTVXMQ/edit#gid=1251630045"",""articles_with_PRISMA_reasons!B2:B2113""))&gt;=2,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$A1741=IMPORTRANGE(""https://docs.google.com/spreadsheets/d/1BJSV3WBYJGRhQ6zExamkszQ5VutGIcaQqmbD9ZTVXMQ/edit#gid=1251630045"",""articles_with_PRISMA_reasons!B2:B2113""))&lt;2),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$A1741=IMPORTRANGE(""https://docs.google.com/spreadsheets/d/1BJSV3WBYJGRhQ6zExamkszQ5VutGIcaQqmbD9ZTVXMQ/edit#gid=1251630045"",""a"&amp;"rticles_with_PRISMA_reasons!B2:B2113""))&lt;2,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$A1741=IMPORTRANGE(""https://docs.google"&amp;".com/spreadsheets/d/1BJSV3WBYJGRhQ6zExamkszQ5VutGIcaQqmbD9ZTVXMQ/edit#gid=1251630045"",""articles_with_PRISMA_reasons!B2:B2113""))&gt;=2),
""Exclude""
)"),"Exclude")</f>
        <v>Exclude</v>
      </c>
      <c r="E1741" s="5" t="str">
        <f>IFERROR(__xludf.DUMMYFUNCTION("IFS(
D1741=""Exclude"",""Exclude"",
AND(
FILTER(IMPORTRANGE(""https://docs.google.com/spreadsheets/d/1qpEmbGH0JjaJbUdp21-y2cPbobDbMjr09BbtdKROZWc/edit#gid=1444865654"",""articles_with_PRISMA_reasons!W2:W2113""), $A1741=IMPORTRANGE(""https://docs.google.co"&amp;"m/spreadsheets/d/1qpEmbGH0JjaJbUdp21-y2cPbobDbMjr09BbtdKROZWc/edit#gid=1444865654"",""articles_with_PRISMA_reasons!B2:B2113""))&gt;=2,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$A1741=IMPORTRANGE(""https://docs.google.com/spreadsheets/d/1qpEmbGH0JjaJbUdp21-y2cPbobDbMjr09BbtdKROZWc/edit#gid=1444865654"",""articles_with_PRISMA_reasons!B2:B2113""))&lt;2),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$A1741=IMPORTRANGE(""https://docs.google.com/spreadsheets/d/1qpEmbGH0JjaJbUdp21-y2cPbobDbMjr09Bbtd"&amp;"KROZWc/edit#gid=1444865654"",""articles_with_PRISMA_reasons!B2:B2113""))&lt;2,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$A1741=I"&amp;"MPORTRANGE(""https://docs.google.com/spreadsheets/d/1qpEmbGH0JjaJbUdp21-y2cPbobDbMjr09BbtdKROZWc/edit#gid=1444865654"",""articles_with_PRISMA_reasons!B2:B2113""))&gt;=2),
""Exclude""
)"),"Exclude")</f>
        <v>Exclude</v>
      </c>
      <c r="F1741" s="5" t="str">
        <f>IFERROR(__xludf.DUMMYFUNCTION("IFS(
E1741=""Exclude"",""Exclude"",
AND(
COUNTIF(
IMPORTRANGE(""https://docs.google.com/spreadsheets/d/1kGrh75X1cNR1D7_FcY9zMnHP8iPO4M5RCRjy6nZY0TY/edit#gid=0"",""Table 1: Study characteristics!B4:B171""),A1741)&gt;0,
COUNTIF(Studies!$A$2:$A$85,FILTER(IMPORT"&amp;"RANGE(""https://docs.google.com/spreadsheets/d/1kGrh75X1cNR1D7_FcY9zMnHP8iPO4M5RCRjy6nZY0TY/edit#gid=0"",""Table 1: Study characteristics!A4:A171""), $A1741=IMPORTRANGE(""https://docs.google.com/spreadsheets/d/1kGrh75X1cNR1D7_FcY9zMnHP8iPO4M5RCRjy6nZY0TY/"&amp;"edit#gid=0"",""Table 1: Study characteristics!B4:B171"")))&gt;0
),
""Include""
)"),"Exclude")</f>
        <v>Exclude</v>
      </c>
      <c r="G1741" s="5" t="str">
        <f>IFERROR(__xludf.DUMMYFUNCTION("IFS(
D1741=""Exclude"",
FILTER(IMPORTRANGE(""https://docs.google.com/spreadsheets/d/1BJSV3WBYJGRhQ6zExamkszQ5VutGIcaQqmbD9ZTVXMQ/edit#gid=1251630045"",""articles_with_PRISMA_reasons!AB2:AB2113""), $A1741=IMPORTRANGE(""https://docs.google.com/spreadsheets/"&amp;"d/1BJSV3WBYJGRhQ6zExamkszQ5VutGIcaQqmbD9ZTVXMQ/edit#gid=1251630045"",""articles_with_PRISMA_reasons!B2:B2113"")),
E1741=""Exclude"",
FILTER(IMPORTRANGE(""https://docs.google.com/spreadsheets/d/1qpEmbGH0JjaJbUdp21-y2cPbobDbMjr09BbtdKROZWc/edit#gid=14448656"&amp;"54"",""articles_with_PRISMA_reasons!Z2:Z2113""), $A1741=IMPORTRANGE(""https://docs.google.com/spreadsheets/d/1qpEmbGH0JjaJbUdp21-y2cPbobDbMjr09BbtdKROZWc/edit#gid=1444865654"",""articles_with_PRISMA_reasons!B2:B2113"")),F1741
=""Include"",FILTER(IMPORTRAN"&amp;"GE(""https://docs.google.com/spreadsheets/d/1kGrh75X1cNR1D7_FcY9zMnHP8iPO4M5RCRjy6nZY0TY/edit#gid=0"",""Table 1: Study characteristics!A4:A171""), $A1741=IMPORTRANGE(""https://docs.google.com/spreadsheets/d/1kGrh75X1cNR1D7_FcY9zMnHP8iPO4M5RCRjy6nZY0TY/edi"&amp;"t#gid=0"",""Table 1: Study characteristics!B4:B171""))
)"),"wrong population")</f>
        <v>wrong population</v>
      </c>
    </row>
    <row r="1742">
      <c r="A1742" s="4" t="str">
        <f>IFERROR(__xludf.DUMMYFUNCTION("""COMPUTED_VALUE"""),"Spina bifida: family therapy")</f>
        <v>Spina bifida: family therapy</v>
      </c>
      <c r="B1742" s="5" t="str">
        <f>IFERROR(__xludf.DUMMYFUNCTION("LEFT(FILTER(IMPORTRANGE(""https://docs.google.com/spreadsheets/d/1BJSV3WBYJGRhQ6zExamkszQ5VutGIcaQqmbD9ZTVXMQ/edit#gid=1251630045"",""articles_with_PRISMA_reasons!K2:K2113""), $A1742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$A1742=IMPORTRANGE(""https://docs.google.com/spreadsheets/d/1BJSV3WBYJGRhQ6zExamkszQ5VutGIcaQqmbD9ZTVXMQ/edit#gid=1251630045"",""articles_with_PRISMA_reasons!B2:B2113"")))-1)"),"Blodgett")</f>
        <v>Blodgett</v>
      </c>
      <c r="C1742" s="6">
        <f>IFERROR(__xludf.DUMMYFUNCTION("FILTER(IMPORTRANGE(""https://docs.google.com/spreadsheets/d/1BJSV3WBYJGRhQ6zExamkszQ5VutGIcaQqmbD9ZTVXMQ/edit#gid=1251630045"",""articles_with_PRISMA_reasons!C2:C2113""), $A1742=IMPORTRANGE(""https://docs.google.com/spreadsheets/d/1BJSV3WBYJGRhQ6zExamkszQ"&amp;"5VutGIcaQqmbD9ZTVXMQ/edit#gid=1251630045"",""articles_with_PRISMA_reasons!B2:B2113""))"),1988.0)</f>
        <v>1988</v>
      </c>
      <c r="D1742" s="5" t="str">
        <f>IFERROR(__xludf.DUMMYFUNCTION("IFS(AND(
FILTER(IMPORTRANGE(""https://docs.google.com/spreadsheets/d/1BJSV3WBYJGRhQ6zExamkszQ5VutGIcaQqmbD9ZTVXMQ/edit#gid=1251630045"",""articles_with_PRISMA_reasons!Y2:Y2113""), $A1742=IMPORTRANGE(""https://docs.google.com/spreadsheets/d/1BJSV3WBYJGRhQ6"&amp;"zExamkszQ5VutGIcaQqmbD9ZTVXMQ/edit#gid=1251630045"",""articles_with_PRISMA_reasons!B2:B2113""))&gt;=2,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$A1742=IMPORTRANGE(""https://docs.google.com/spreadsheets/d/1BJSV3WBYJGRhQ6zExamkszQ5VutGIcaQqmbD9ZTVXMQ/edit#gid=1251630045"",""articles_with_PRISMA_reasons!B2:B2113""))&lt;2),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$A1742=IMPORTRANGE(""https://docs.google.com/spreadsheets/d/1BJSV3WBYJGRhQ6zExamkszQ5VutGIcaQqmbD9ZTVXMQ/edit#gid=1251630045"",""a"&amp;"rticles_with_PRISMA_reasons!B2:B2113""))&lt;2,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$A1742=IMPORTRANGE(""https://docs.google"&amp;".com/spreadsheets/d/1BJSV3WBYJGRhQ6zExamkszQ5VutGIcaQqmbD9ZTVXMQ/edit#gid=1251630045"",""articles_with_PRISMA_reasons!B2:B2113""))&gt;=2),
""Exclude""
)"),"Exclude")</f>
        <v>Exclude</v>
      </c>
      <c r="E1742" s="5" t="str">
        <f>IFERROR(__xludf.DUMMYFUNCTION("IFS(
D1742=""Exclude"",""Exclude"",
AND(
FILTER(IMPORTRANGE(""https://docs.google.com/spreadsheets/d/1qpEmbGH0JjaJbUdp21-y2cPbobDbMjr09BbtdKROZWc/edit#gid=1444865654"",""articles_with_PRISMA_reasons!W2:W2113""), $A1742=IMPORTRANGE(""https://docs.google.co"&amp;"m/spreadsheets/d/1qpEmbGH0JjaJbUdp21-y2cPbobDbMjr09BbtdKROZWc/edit#gid=1444865654"",""articles_with_PRISMA_reasons!B2:B2113""))&gt;=2,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$A1742=IMPORTRANGE(""https://docs.google.com/spreadsheets/d/1qpEmbGH0JjaJbUdp21-y2cPbobDbMjr09BbtdKROZWc/edit#gid=1444865654"",""articles_with_PRISMA_reasons!B2:B2113""))&lt;2),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$A1742=IMPORTRANGE(""https://docs.google.com/spreadsheets/d/1qpEmbGH0JjaJbUdp21-y2cPbobDbMjr09Bbtd"&amp;"KROZWc/edit#gid=1444865654"",""articles_with_PRISMA_reasons!B2:B2113""))&lt;2,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$A1742=I"&amp;"MPORTRANGE(""https://docs.google.com/spreadsheets/d/1qpEmbGH0JjaJbUdp21-y2cPbobDbMjr09BbtdKROZWc/edit#gid=1444865654"",""articles_with_PRISMA_reasons!B2:B2113""))&gt;=2),
""Exclude""
)"),"Exclude")</f>
        <v>Exclude</v>
      </c>
      <c r="F1742" s="5" t="str">
        <f>IFERROR(__xludf.DUMMYFUNCTION("IFS(
E1742=""Exclude"",""Exclude"",
AND(
COUNTIF(
IMPORTRANGE(""https://docs.google.com/spreadsheets/d/1kGrh75X1cNR1D7_FcY9zMnHP8iPO4M5RCRjy6nZY0TY/edit#gid=0"",""Table 1: Study characteristics!B4:B171""),A1742)&gt;0,
COUNTIF(Studies!$A$2:$A$85,FILTER(IMPORT"&amp;"RANGE(""https://docs.google.com/spreadsheets/d/1kGrh75X1cNR1D7_FcY9zMnHP8iPO4M5RCRjy6nZY0TY/edit#gid=0"",""Table 1: Study characteristics!A4:A171""), $A1742=IMPORTRANGE(""https://docs.google.com/spreadsheets/d/1kGrh75X1cNR1D7_FcY9zMnHP8iPO4M5RCRjy6nZY0TY/"&amp;"edit#gid=0"",""Table 1: Study characteristics!B4:B171"")))&gt;0
),
""Include""
)"),"Exclude")</f>
        <v>Exclude</v>
      </c>
      <c r="G1742" s="5" t="str">
        <f>IFERROR(__xludf.DUMMYFUNCTION("IFS(
D1742=""Exclude"",
FILTER(IMPORTRANGE(""https://docs.google.com/spreadsheets/d/1BJSV3WBYJGRhQ6zExamkszQ5VutGIcaQqmbD9ZTVXMQ/edit#gid=1251630045"",""articles_with_PRISMA_reasons!AB2:AB2113""), $A1742=IMPORTRANGE(""https://docs.google.com/spreadsheets/"&amp;"d/1BJSV3WBYJGRhQ6zExamkszQ5VutGIcaQqmbD9ZTVXMQ/edit#gid=1251630045"",""articles_with_PRISMA_reasons!B2:B2113"")),
E1742=""Exclude"",
FILTER(IMPORTRANGE(""https://docs.google.com/spreadsheets/d/1qpEmbGH0JjaJbUdp21-y2cPbobDbMjr09BbtdKROZWc/edit#gid=14448656"&amp;"54"",""articles_with_PRISMA_reasons!Z2:Z2113""), $A1742=IMPORTRANGE(""https://docs.google.com/spreadsheets/d/1qpEmbGH0JjaJbUdp21-y2cPbobDbMjr09BbtdKROZWc/edit#gid=1444865654"",""articles_with_PRISMA_reasons!B2:B2113"")),F1742
=""Include"",FILTER(IMPORTRAN"&amp;"GE(""https://docs.google.com/spreadsheets/d/1kGrh75X1cNR1D7_FcY9zMnHP8iPO4M5RCRjy6nZY0TY/edit#gid=0"",""Table 1: Study characteristics!A4:A171""), $A1742=IMPORTRANGE(""https://docs.google.com/spreadsheets/d/1kGrh75X1cNR1D7_FcY9zMnHP8iPO4M5RCRjy6nZY0TY/edi"&amp;"t#gid=0"",""Table 1: Study characteristics!B4:B171""))
)"),"wrong study design")</f>
        <v>wrong study design</v>
      </c>
    </row>
    <row r="1743">
      <c r="A1743" s="4" t="str">
        <f>IFERROR(__xludf.DUMMYFUNCTION("""COMPUTED_VALUE"""),"Spina bifida: the best possible start")</f>
        <v>Spina bifida: the best possible start</v>
      </c>
      <c r="B1743" s="5" t="str">
        <f>IFERROR(__xludf.DUMMYFUNCTION("LEFT(FILTER(IMPORTRANGE(""https://docs.google.com/spreadsheets/d/1BJSV3WBYJGRhQ6zExamkszQ5VutGIcaQqmbD9ZTVXMQ/edit#gid=1251630045"",""articles_with_PRISMA_reasons!K2:K2113""), $A1743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$A1743=IMPORTRANGE(""https://docs.google.com/spreadsheets/d/1BJSV3WBYJGRhQ6zExamkszQ5VutGIcaQqmbD9ZTVXMQ/edit#gid=1251630045"",""articles_with_PRISMA_reasons!B2:B2113"")))-1)"),"Thorns")</f>
        <v>Thorns</v>
      </c>
      <c r="C1743" s="6" t="str">
        <f>IFERROR(__xludf.DUMMYFUNCTION("FILTER(IMPORTRANGE(""https://docs.google.com/spreadsheets/d/1BJSV3WBYJGRhQ6zExamkszQ5VutGIcaQqmbD9ZTVXMQ/edit#gid=1251630045"",""articles_with_PRISMA_reasons!C2:C2113""), $A1743=IMPORTRANGE(""https://docs.google.com/spreadsheets/d/1BJSV3WBYJGRhQ6zExamkszQ"&amp;"5VutGIcaQqmbD9ZTVXMQ/edit#gid=1251630045"",""articles_with_PRISMA_reasons!B2:B2113""))"),"Jun")</f>
        <v>Jun</v>
      </c>
      <c r="D1743" s="5" t="str">
        <f>IFERROR(__xludf.DUMMYFUNCTION("IFS(AND(
FILTER(IMPORTRANGE(""https://docs.google.com/spreadsheets/d/1BJSV3WBYJGRhQ6zExamkszQ5VutGIcaQqmbD9ZTVXMQ/edit#gid=1251630045"",""articles_with_PRISMA_reasons!Y2:Y2113""), $A1743=IMPORTRANGE(""https://docs.google.com/spreadsheets/d/1BJSV3WBYJGRhQ6"&amp;"zExamkszQ5VutGIcaQqmbD9ZTVXMQ/edit#gid=1251630045"",""articles_with_PRISMA_reasons!B2:B2113""))&gt;=2,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$A1743=IMPORTRANGE(""https://docs.google.com/spreadsheets/d/1BJSV3WBYJGRhQ6zExamkszQ5VutGIcaQqmbD9ZTVXMQ/edit#gid=1251630045"",""articles_with_PRISMA_reasons!B2:B2113""))&lt;2),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$A1743=IMPORTRANGE(""https://docs.google.com/spreadsheets/d/1BJSV3WBYJGRhQ6zExamkszQ5VutGIcaQqmbD9ZTVXMQ/edit#gid=1251630045"",""a"&amp;"rticles_with_PRISMA_reasons!B2:B2113""))&lt;2,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$A1743=IMPORTRANGE(""https://docs.google"&amp;".com/spreadsheets/d/1BJSV3WBYJGRhQ6zExamkszQ5VutGIcaQqmbD9ZTVXMQ/edit#gid=1251630045"",""articles_with_PRISMA_reasons!B2:B2113""))&gt;=2),
""Exclude""
)"),"Exclude")</f>
        <v>Exclude</v>
      </c>
      <c r="E1743" s="5" t="str">
        <f>IFERROR(__xludf.DUMMYFUNCTION("IFS(
D1743=""Exclude"",""Exclude"",
AND(
FILTER(IMPORTRANGE(""https://docs.google.com/spreadsheets/d/1qpEmbGH0JjaJbUdp21-y2cPbobDbMjr09BbtdKROZWc/edit#gid=1444865654"",""articles_with_PRISMA_reasons!W2:W2113""), $A1743=IMPORTRANGE(""https://docs.google.co"&amp;"m/spreadsheets/d/1qpEmbGH0JjaJbUdp21-y2cPbobDbMjr09BbtdKROZWc/edit#gid=1444865654"",""articles_with_PRISMA_reasons!B2:B2113""))&gt;=2,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$A1743=IMPORTRANGE(""https://docs.google.com/spreadsheets/d/1qpEmbGH0JjaJbUdp21-y2cPbobDbMjr09BbtdKROZWc/edit#gid=1444865654"",""articles_with_PRISMA_reasons!B2:B2113""))&lt;2),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$A1743=IMPORTRANGE(""https://docs.google.com/spreadsheets/d/1qpEmbGH0JjaJbUdp21-y2cPbobDbMjr09Bbtd"&amp;"KROZWc/edit#gid=1444865654"",""articles_with_PRISMA_reasons!B2:B2113""))&lt;2,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$A1743=I"&amp;"MPORTRANGE(""https://docs.google.com/spreadsheets/d/1qpEmbGH0JjaJbUdp21-y2cPbobDbMjr09BbtdKROZWc/edit#gid=1444865654"",""articles_with_PRISMA_reasons!B2:B2113""))&gt;=2),
""Exclude""
)"),"Exclude")</f>
        <v>Exclude</v>
      </c>
      <c r="F1743" s="5" t="str">
        <f>IFERROR(__xludf.DUMMYFUNCTION("IFS(
E1743=""Exclude"",""Exclude"",
AND(
COUNTIF(
IMPORTRANGE(""https://docs.google.com/spreadsheets/d/1kGrh75X1cNR1D7_FcY9zMnHP8iPO4M5RCRjy6nZY0TY/edit#gid=0"",""Table 1: Study characteristics!B4:B171""),A1743)&gt;0,
COUNTIF(Studies!$A$2:$A$85,FILTER(IMPORT"&amp;"RANGE(""https://docs.google.com/spreadsheets/d/1kGrh75X1cNR1D7_FcY9zMnHP8iPO4M5RCRjy6nZY0TY/edit#gid=0"",""Table 1: Study characteristics!A4:A171""), $A1743=IMPORTRANGE(""https://docs.google.com/spreadsheets/d/1kGrh75X1cNR1D7_FcY9zMnHP8iPO4M5RCRjy6nZY0TY/"&amp;"edit#gid=0"",""Table 1: Study characteristics!B4:B171"")))&gt;0
),
""Include""
)"),"Exclude")</f>
        <v>Exclude</v>
      </c>
      <c r="G1743" s="5" t="str">
        <f>IFERROR(__xludf.DUMMYFUNCTION("IFS(
D1743=""Exclude"",
FILTER(IMPORTRANGE(""https://docs.google.com/spreadsheets/d/1BJSV3WBYJGRhQ6zExamkszQ5VutGIcaQqmbD9ZTVXMQ/edit#gid=1251630045"",""articles_with_PRISMA_reasons!AB2:AB2113""), $A1743=IMPORTRANGE(""https://docs.google.com/spreadsheets/"&amp;"d/1BJSV3WBYJGRhQ6zExamkszQ5VutGIcaQqmbD9ZTVXMQ/edit#gid=1251630045"",""articles_with_PRISMA_reasons!B2:B2113"")),
E1743=""Exclude"",
FILTER(IMPORTRANGE(""https://docs.google.com/spreadsheets/d/1qpEmbGH0JjaJbUdp21-y2cPbobDbMjr09BbtdKROZWc/edit#gid=14448656"&amp;"54"",""articles_with_PRISMA_reasons!Z2:Z2113""), $A1743=IMPORTRANGE(""https://docs.google.com/spreadsheets/d/1qpEmbGH0JjaJbUdp21-y2cPbobDbMjr09BbtdKROZWc/edit#gid=1444865654"",""articles_with_PRISMA_reasons!B2:B2113"")),F1743
=""Include"",FILTER(IMPORTRAN"&amp;"GE(""https://docs.google.com/spreadsheets/d/1kGrh75X1cNR1D7_FcY9zMnHP8iPO4M5RCRjy6nZY0TY/edit#gid=0"",""Table 1: Study characteristics!A4:A171""), $A1743=IMPORTRANGE(""https://docs.google.com/spreadsheets/d/1kGrh75X1cNR1D7_FcY9zMnHP8iPO4M5RCRjy6nZY0TY/edi"&amp;"t#gid=0"",""Table 1: Study characteristics!B4:B171""))
)"),"Duplicate")</f>
        <v>Duplicate</v>
      </c>
    </row>
    <row r="1744">
      <c r="A1744" s="4" t="str">
        <f>IFERROR(__xludf.DUMMYFUNCTION("""COMPUTED_VALUE"""),"Spinal Dysraphia, Chiari 2 Malformation, Unified Theory, and Advances in Fetoscopic Repair")</f>
        <v>Spinal Dysraphia, Chiari 2 Malformation, Unified Theory, and Advances in Fetoscopic Repair</v>
      </c>
      <c r="B1744" s="5" t="str">
        <f>IFERROR(__xludf.DUMMYFUNCTION("LEFT(FILTER(IMPORTRANGE(""https://docs.google.com/spreadsheets/d/1BJSV3WBYJGRhQ6zExamkszQ5VutGIcaQqmbD9ZTVXMQ/edit#gid=1251630045"",""articles_with_PRISMA_reasons!K2:K2113""), $A1744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$A1744=IMPORTRANGE(""https://docs.google.com/spreadsheets/d/1BJSV3WBYJGRhQ6zExamkszQ5VutGIcaQqmbD9ZTVXMQ/edit#gid=1251630045"",""articles_with_PRISMA_reasons!B2:B2113"")))-1)"),"Miller")</f>
        <v>Miller</v>
      </c>
      <c r="C1744" s="6">
        <f>IFERROR(__xludf.DUMMYFUNCTION("FILTER(IMPORTRANGE(""https://docs.google.com/spreadsheets/d/1BJSV3WBYJGRhQ6zExamkszQ5VutGIcaQqmbD9ZTVXMQ/edit#gid=1251630045"",""articles_with_PRISMA_reasons!C2:C2113""), $A1744=IMPORTRANGE(""https://docs.google.com/spreadsheets/d/1BJSV3WBYJGRhQ6zExamkszQ"&amp;"5VutGIcaQqmbD9ZTVXMQ/edit#gid=1251630045"",""articles_with_PRISMA_reasons!B2:B2113""))"),2019.0)</f>
        <v>2019</v>
      </c>
      <c r="D1744" s="5" t="str">
        <f>IFERROR(__xludf.DUMMYFUNCTION("IFS(AND(
FILTER(IMPORTRANGE(""https://docs.google.com/spreadsheets/d/1BJSV3WBYJGRhQ6zExamkszQ5VutGIcaQqmbD9ZTVXMQ/edit#gid=1251630045"",""articles_with_PRISMA_reasons!Y2:Y2113""), $A1744=IMPORTRANGE(""https://docs.google.com/spreadsheets/d/1BJSV3WBYJGRhQ6"&amp;"zExamkszQ5VutGIcaQqmbD9ZTVXMQ/edit#gid=1251630045"",""articles_with_PRISMA_reasons!B2:B2113""))&gt;=2,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$A1744=IMPORTRANGE(""https://docs.google.com/spreadsheets/d/1BJSV3WBYJGRhQ6zExamkszQ5VutGIcaQqmbD9ZTVXMQ/edit#gid=1251630045"",""articles_with_PRISMA_reasons!B2:B2113""))&lt;2),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$A1744=IMPORTRANGE(""https://docs.google.com/spreadsheets/d/1BJSV3WBYJGRhQ6zExamkszQ5VutGIcaQqmbD9ZTVXMQ/edit#gid=1251630045"",""a"&amp;"rticles_with_PRISMA_reasons!B2:B2113""))&lt;2,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$A1744=IMPORTRANGE(""https://docs.google"&amp;".com/spreadsheets/d/1BJSV3WBYJGRhQ6zExamkszQ5VutGIcaQqmbD9ZTVXMQ/edit#gid=1251630045"",""articles_with_PRISMA_reasons!B2:B2113""))&gt;=2),
""Exclude""
)"),"Exclude")</f>
        <v>Exclude</v>
      </c>
      <c r="E1744" s="5" t="str">
        <f>IFERROR(__xludf.DUMMYFUNCTION("IFS(
D1744=""Exclude"",""Exclude"",
AND(
FILTER(IMPORTRANGE(""https://docs.google.com/spreadsheets/d/1qpEmbGH0JjaJbUdp21-y2cPbobDbMjr09BbtdKROZWc/edit#gid=1444865654"",""articles_with_PRISMA_reasons!W2:W2113""), $A1744=IMPORTRANGE(""https://docs.google.co"&amp;"m/spreadsheets/d/1qpEmbGH0JjaJbUdp21-y2cPbobDbMjr09BbtdKROZWc/edit#gid=1444865654"",""articles_with_PRISMA_reasons!B2:B2113""))&gt;=2,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$A1744=IMPORTRANGE(""https://docs.google.com/spreadsheets/d/1qpEmbGH0JjaJbUdp21-y2cPbobDbMjr09BbtdKROZWc/edit#gid=1444865654"",""articles_with_PRISMA_reasons!B2:B2113""))&lt;2),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$A1744=IMPORTRANGE(""https://docs.google.com/spreadsheets/d/1qpEmbGH0JjaJbUdp21-y2cPbobDbMjr09Bbtd"&amp;"KROZWc/edit#gid=1444865654"",""articles_with_PRISMA_reasons!B2:B2113""))&lt;2,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$A1744=I"&amp;"MPORTRANGE(""https://docs.google.com/spreadsheets/d/1qpEmbGH0JjaJbUdp21-y2cPbobDbMjr09BbtdKROZWc/edit#gid=1444865654"",""articles_with_PRISMA_reasons!B2:B2113""))&gt;=2),
""Exclude""
)"),"Exclude")</f>
        <v>Exclude</v>
      </c>
      <c r="F1744" s="5" t="str">
        <f>IFERROR(__xludf.DUMMYFUNCTION("IFS(
E1744=""Exclude"",""Exclude"",
AND(
COUNTIF(
IMPORTRANGE(""https://docs.google.com/spreadsheets/d/1kGrh75X1cNR1D7_FcY9zMnHP8iPO4M5RCRjy6nZY0TY/edit#gid=0"",""Table 1: Study characteristics!B4:B171""),A1744)&gt;0,
COUNTIF(Studies!$A$2:$A$85,FILTER(IMPORT"&amp;"RANGE(""https://docs.google.com/spreadsheets/d/1kGrh75X1cNR1D7_FcY9zMnHP8iPO4M5RCRjy6nZY0TY/edit#gid=0"",""Table 1: Study characteristics!A4:A171""), $A1744=IMPORTRANGE(""https://docs.google.com/spreadsheets/d/1kGrh75X1cNR1D7_FcY9zMnHP8iPO4M5RCRjy6nZY0TY/"&amp;"edit#gid=0"",""Table 1: Study characteristics!B4:B171"")))&gt;0
),
""Include""
)"),"Exclude")</f>
        <v>Exclude</v>
      </c>
      <c r="G1744" s="5" t="str">
        <f>IFERROR(__xludf.DUMMYFUNCTION("IFS(
D1744=""Exclude"",
FILTER(IMPORTRANGE(""https://docs.google.com/spreadsheets/d/1BJSV3WBYJGRhQ6zExamkszQ5VutGIcaQqmbD9ZTVXMQ/edit#gid=1251630045"",""articles_with_PRISMA_reasons!AB2:AB2113""), $A1744=IMPORTRANGE(""https://docs.google.com/spreadsheets/"&amp;"d/1BJSV3WBYJGRhQ6zExamkszQ5VutGIcaQqmbD9ZTVXMQ/edit#gid=1251630045"",""articles_with_PRISMA_reasons!B2:B2113"")),
E1744=""Exclude"",
FILTER(IMPORTRANGE(""https://docs.google.com/spreadsheets/d/1qpEmbGH0JjaJbUdp21-y2cPbobDbMjr09BbtdKROZWc/edit#gid=14448656"&amp;"54"",""articles_with_PRISMA_reasons!Z2:Z2113""), $A1744=IMPORTRANGE(""https://docs.google.com/spreadsheets/d/1qpEmbGH0JjaJbUdp21-y2cPbobDbMjr09BbtdKROZWc/edit#gid=1444865654"",""articles_with_PRISMA_reasons!B2:B2113"")),F1744
=""Include"",FILTER(IMPORTRAN"&amp;"GE(""https://docs.google.com/spreadsheets/d/1kGrh75X1cNR1D7_FcY9zMnHP8iPO4M5RCRjy6nZY0TY/edit#gid=0"",""Table 1: Study characteristics!A4:A171""), $A1744=IMPORTRANGE(""https://docs.google.com/spreadsheets/d/1kGrh75X1cNR1D7_FcY9zMnHP8iPO4M5RCRjy6nZY0TY/edi"&amp;"t#gid=0"",""Table 1: Study characteristics!B4:B171""))
)"),"wrong population")</f>
        <v>wrong population</v>
      </c>
    </row>
    <row r="1745">
      <c r="A1745" s="4" t="str">
        <f>IFERROR(__xludf.DUMMYFUNCTION("""COMPUTED_VALUE"""),"Spinal dysraphic anomalies; classification, presentation and management")</f>
        <v>Spinal dysraphic anomalies; classification, presentation and management</v>
      </c>
      <c r="B1745" s="5" t="str">
        <f>IFERROR(__xludf.DUMMYFUNCTION("LEFT(FILTER(IMPORTRANGE(""https://docs.google.com/spreadsheets/d/1BJSV3WBYJGRhQ6zExamkszQ5VutGIcaQqmbD9ZTVXMQ/edit#gid=1251630045"",""articles_with_PRISMA_reasons!K2:K2113""), $A1745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$A1745=IMPORTRANGE(""https://docs.google.com/spreadsheets/d/1BJSV3WBYJGRhQ6zExamkszQ5VutGIcaQqmbD9ZTVXMQ/edit#gid=1251630045"",""articles_with_PRISMA_reasons!B2:B2113"")))-1)"),"Thompson")</f>
        <v>Thompson</v>
      </c>
      <c r="C1745" s="6">
        <f>IFERROR(__xludf.DUMMYFUNCTION("FILTER(IMPORTRANGE(""https://docs.google.com/spreadsheets/d/1BJSV3WBYJGRhQ6zExamkszQ5VutGIcaQqmbD9ZTVXMQ/edit#gid=1251630045"",""articles_with_PRISMA_reasons!C2:C2113""), $A1745=IMPORTRANGE(""https://docs.google.com/spreadsheets/d/1BJSV3WBYJGRhQ6zExamkszQ"&amp;"5VutGIcaQqmbD9ZTVXMQ/edit#gid=1251630045"",""articles_with_PRISMA_reasons!B2:B2113""))"),2014.0)</f>
        <v>2014</v>
      </c>
      <c r="D1745" s="5" t="str">
        <f>IFERROR(__xludf.DUMMYFUNCTION("IFS(AND(
FILTER(IMPORTRANGE(""https://docs.google.com/spreadsheets/d/1BJSV3WBYJGRhQ6zExamkszQ5VutGIcaQqmbD9ZTVXMQ/edit#gid=1251630045"",""articles_with_PRISMA_reasons!Y2:Y2113""), $A1745=IMPORTRANGE(""https://docs.google.com/spreadsheets/d/1BJSV3WBYJGRhQ6"&amp;"zExamkszQ5VutGIcaQqmbD9ZTVXMQ/edit#gid=1251630045"",""articles_with_PRISMA_reasons!B2:B2113""))&gt;=2,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$A1745=IMPORTRANGE(""https://docs.google.com/spreadsheets/d/1BJSV3WBYJGRhQ6zExamkszQ5VutGIcaQqmbD9ZTVXMQ/edit#gid=1251630045"",""articles_with_PRISMA_reasons!B2:B2113""))&lt;2),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$A1745=IMPORTRANGE(""https://docs.google.com/spreadsheets/d/1BJSV3WBYJGRhQ6zExamkszQ5VutGIcaQqmbD9ZTVXMQ/edit#gid=1251630045"",""a"&amp;"rticles_with_PRISMA_reasons!B2:B2113""))&lt;2,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$A1745=IMPORTRANGE(""https://docs.google"&amp;".com/spreadsheets/d/1BJSV3WBYJGRhQ6zExamkszQ5VutGIcaQqmbD9ZTVXMQ/edit#gid=1251630045"",""articles_with_PRISMA_reasons!B2:B2113""))&gt;=2),
""Exclude""
)"),"Exclude")</f>
        <v>Exclude</v>
      </c>
      <c r="E1745" s="5" t="str">
        <f>IFERROR(__xludf.DUMMYFUNCTION("IFS(
D1745=""Exclude"",""Exclude"",
AND(
FILTER(IMPORTRANGE(""https://docs.google.com/spreadsheets/d/1qpEmbGH0JjaJbUdp21-y2cPbobDbMjr09BbtdKROZWc/edit#gid=1444865654"",""articles_with_PRISMA_reasons!W2:W2113""), $A1745=IMPORTRANGE(""https://docs.google.co"&amp;"m/spreadsheets/d/1qpEmbGH0JjaJbUdp21-y2cPbobDbMjr09BbtdKROZWc/edit#gid=1444865654"",""articles_with_PRISMA_reasons!B2:B2113""))&gt;=2,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$A1745=IMPORTRANGE(""https://docs.google.com/spreadsheets/d/1qpEmbGH0JjaJbUdp21-y2cPbobDbMjr09BbtdKROZWc/edit#gid=1444865654"",""articles_with_PRISMA_reasons!B2:B2113""))&lt;2),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$A1745=IMPORTRANGE(""https://docs.google.com/spreadsheets/d/1qpEmbGH0JjaJbUdp21-y2cPbobDbMjr09Bbtd"&amp;"KROZWc/edit#gid=1444865654"",""articles_with_PRISMA_reasons!B2:B2113""))&lt;2,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$A1745=I"&amp;"MPORTRANGE(""https://docs.google.com/spreadsheets/d/1qpEmbGH0JjaJbUdp21-y2cPbobDbMjr09BbtdKROZWc/edit#gid=1444865654"",""articles_with_PRISMA_reasons!B2:B2113""))&gt;=2),
""Exclude""
)"),"Exclude")</f>
        <v>Exclude</v>
      </c>
      <c r="F1745" s="5" t="str">
        <f>IFERROR(__xludf.DUMMYFUNCTION("IFS(
E1745=""Exclude"",""Exclude"",
AND(
COUNTIF(
IMPORTRANGE(""https://docs.google.com/spreadsheets/d/1kGrh75X1cNR1D7_FcY9zMnHP8iPO4M5RCRjy6nZY0TY/edit#gid=0"",""Table 1: Study characteristics!B4:B171""),A1745)&gt;0,
COUNTIF(Studies!$A$2:$A$85,FILTER(IMPORT"&amp;"RANGE(""https://docs.google.com/spreadsheets/d/1kGrh75X1cNR1D7_FcY9zMnHP8iPO4M5RCRjy6nZY0TY/edit#gid=0"",""Table 1: Study characteristics!A4:A171""), $A1745=IMPORTRANGE(""https://docs.google.com/spreadsheets/d/1kGrh75X1cNR1D7_FcY9zMnHP8iPO4M5RCRjy6nZY0TY/"&amp;"edit#gid=0"",""Table 1: Study characteristics!B4:B171"")))&gt;0
),
""Include""
)"),"Exclude")</f>
        <v>Exclude</v>
      </c>
      <c r="G1745" s="5" t="str">
        <f>IFERROR(__xludf.DUMMYFUNCTION("IFS(
D1745=""Exclude"",
FILTER(IMPORTRANGE(""https://docs.google.com/spreadsheets/d/1BJSV3WBYJGRhQ6zExamkszQ5VutGIcaQqmbD9ZTVXMQ/edit#gid=1251630045"",""articles_with_PRISMA_reasons!AB2:AB2113""), $A1745=IMPORTRANGE(""https://docs.google.com/spreadsheets/"&amp;"d/1BJSV3WBYJGRhQ6zExamkszQ5VutGIcaQqmbD9ZTVXMQ/edit#gid=1251630045"",""articles_with_PRISMA_reasons!B2:B2113"")),
E1745=""Exclude"",
FILTER(IMPORTRANGE(""https://docs.google.com/spreadsheets/d/1qpEmbGH0JjaJbUdp21-y2cPbobDbMjr09BbtdKROZWc/edit#gid=14448656"&amp;"54"",""articles_with_PRISMA_reasons!Z2:Z2113""), $A1745=IMPORTRANGE(""https://docs.google.com/spreadsheets/d/1qpEmbGH0JjaJbUdp21-y2cPbobDbMjr09BbtdKROZWc/edit#gid=1444865654"",""articles_with_PRISMA_reasons!B2:B2113"")),F1745
=""Include"",FILTER(IMPORTRAN"&amp;"GE(""https://docs.google.com/spreadsheets/d/1kGrh75X1cNR1D7_FcY9zMnHP8iPO4M5RCRjy6nZY0TY/edit#gid=0"",""Table 1: Study characteristics!A4:A171""), $A1745=IMPORTRANGE(""https://docs.google.com/spreadsheets/d/1kGrh75X1cNR1D7_FcY9zMnHP8iPO4M5RCRjy6nZY0TY/edi"&amp;"t#gid=0"",""Table 1: Study characteristics!B4:B171""))
)"),"wrong population")</f>
        <v>wrong population</v>
      </c>
    </row>
    <row r="1746">
      <c r="A1746" s="4" t="str">
        <f>IFERROR(__xludf.DUMMYFUNCTION("""COMPUTED_VALUE"""),"Spinal dysraphism in the last two decades: What i have seen during the era of dynamic advancement")</f>
        <v>Spinal dysraphism in the last two decades: What i have seen during the era of dynamic advancement</v>
      </c>
      <c r="B1746" s="5" t="str">
        <f>IFERROR(__xludf.DUMMYFUNCTION("LEFT(FILTER(IMPORTRANGE(""https://docs.google.com/spreadsheets/d/1BJSV3WBYJGRhQ6zExamkszQ5VutGIcaQqmbD9ZTVXMQ/edit#gid=1251630045"",""articles_with_PRISMA_reasons!K2:K2113""), $A1746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$A1746=IMPORTRANGE(""https://docs.google.com/spreadsheets/d/1BJSV3WBYJGRhQ6zExamkszQ5VutGIcaQqmbD9ZTVXMQ/edit#gid=1251630045"",""articles_with_PRISMA_reasons!B2:B2113"")))-1)"),"Wang")</f>
        <v>Wang</v>
      </c>
      <c r="C1746" s="6">
        <f>IFERROR(__xludf.DUMMYFUNCTION("FILTER(IMPORTRANGE(""https://docs.google.com/spreadsheets/d/1BJSV3WBYJGRhQ6zExamkszQ5VutGIcaQqmbD9ZTVXMQ/edit#gid=1251630045"",""articles_with_PRISMA_reasons!C2:C2113""), $A1746=IMPORTRANGE(""https://docs.google.com/spreadsheets/d/1BJSV3WBYJGRhQ6zExamkszQ"&amp;"5VutGIcaQqmbD9ZTVXMQ/edit#gid=1251630045"",""articles_with_PRISMA_reasons!B2:B2113""))"),2020.0)</f>
        <v>2020</v>
      </c>
      <c r="D1746" s="5" t="str">
        <f>IFERROR(__xludf.DUMMYFUNCTION("IFS(AND(
FILTER(IMPORTRANGE(""https://docs.google.com/spreadsheets/d/1BJSV3WBYJGRhQ6zExamkszQ5VutGIcaQqmbD9ZTVXMQ/edit#gid=1251630045"",""articles_with_PRISMA_reasons!Y2:Y2113""), $A1746=IMPORTRANGE(""https://docs.google.com/spreadsheets/d/1BJSV3WBYJGRhQ6"&amp;"zExamkszQ5VutGIcaQqmbD9ZTVXMQ/edit#gid=1251630045"",""articles_with_PRISMA_reasons!B2:B2113""))&gt;=2,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$A1746=IMPORTRANGE(""https://docs.google.com/spreadsheets/d/1BJSV3WBYJGRhQ6zExamkszQ5VutGIcaQqmbD9ZTVXMQ/edit#gid=1251630045"",""articles_with_PRISMA_reasons!B2:B2113""))&lt;2),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$A1746=IMPORTRANGE(""https://docs.google.com/spreadsheets/d/1BJSV3WBYJGRhQ6zExamkszQ5VutGIcaQqmbD9ZTVXMQ/edit#gid=1251630045"",""a"&amp;"rticles_with_PRISMA_reasons!B2:B2113""))&lt;2,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$A1746=IMPORTRANGE(""https://docs.google"&amp;".com/spreadsheets/d/1BJSV3WBYJGRhQ6zExamkszQ5VutGIcaQqmbD9ZTVXMQ/edit#gid=1251630045"",""articles_with_PRISMA_reasons!B2:B2113""))&gt;=2),
""Exclude""
)"),"Exclude")</f>
        <v>Exclude</v>
      </c>
      <c r="E1746" s="5" t="str">
        <f>IFERROR(__xludf.DUMMYFUNCTION("IFS(
D1746=""Exclude"",""Exclude"",
AND(
FILTER(IMPORTRANGE(""https://docs.google.com/spreadsheets/d/1qpEmbGH0JjaJbUdp21-y2cPbobDbMjr09BbtdKROZWc/edit#gid=1444865654"",""articles_with_PRISMA_reasons!W2:W2113""), $A1746=IMPORTRANGE(""https://docs.google.co"&amp;"m/spreadsheets/d/1qpEmbGH0JjaJbUdp21-y2cPbobDbMjr09BbtdKROZWc/edit#gid=1444865654"",""articles_with_PRISMA_reasons!B2:B2113""))&gt;=2,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$A1746=IMPORTRANGE(""https://docs.google.com/spreadsheets/d/1qpEmbGH0JjaJbUdp21-y2cPbobDbMjr09BbtdKROZWc/edit#gid=1444865654"",""articles_with_PRISMA_reasons!B2:B2113""))&lt;2),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$A1746=IMPORTRANGE(""https://docs.google.com/spreadsheets/d/1qpEmbGH0JjaJbUdp21-y2cPbobDbMjr09Bbtd"&amp;"KROZWc/edit#gid=1444865654"",""articles_with_PRISMA_reasons!B2:B2113""))&lt;2,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$A1746=I"&amp;"MPORTRANGE(""https://docs.google.com/spreadsheets/d/1qpEmbGH0JjaJbUdp21-y2cPbobDbMjr09BbtdKROZWc/edit#gid=1444865654"",""articles_with_PRISMA_reasons!B2:B2113""))&gt;=2),
""Exclude""
)"),"Exclude")</f>
        <v>Exclude</v>
      </c>
      <c r="F1746" s="5" t="str">
        <f>IFERROR(__xludf.DUMMYFUNCTION("IFS(
E1746=""Exclude"",""Exclude"",
AND(
COUNTIF(
IMPORTRANGE(""https://docs.google.com/spreadsheets/d/1kGrh75X1cNR1D7_FcY9zMnHP8iPO4M5RCRjy6nZY0TY/edit#gid=0"",""Table 1: Study characteristics!B4:B171""),A1746)&gt;0,
COUNTIF(Studies!$A$2:$A$85,FILTER(IMPORT"&amp;"RANGE(""https://docs.google.com/spreadsheets/d/1kGrh75X1cNR1D7_FcY9zMnHP8iPO4M5RCRjy6nZY0TY/edit#gid=0"",""Table 1: Study characteristics!A4:A171""), $A1746=IMPORTRANGE(""https://docs.google.com/spreadsheets/d/1kGrh75X1cNR1D7_FcY9zMnHP8iPO4M5RCRjy6nZY0TY/"&amp;"edit#gid=0"",""Table 1: Study characteristics!B4:B171"")))&gt;0
),
""Include""
)"),"Exclude")</f>
        <v>Exclude</v>
      </c>
      <c r="G1746" s="5" t="str">
        <f>IFERROR(__xludf.DUMMYFUNCTION("IFS(
D1746=""Exclude"",
FILTER(IMPORTRANGE(""https://docs.google.com/spreadsheets/d/1BJSV3WBYJGRhQ6zExamkszQ5VutGIcaQqmbD9ZTVXMQ/edit#gid=1251630045"",""articles_with_PRISMA_reasons!AB2:AB2113""), $A1746=IMPORTRANGE(""https://docs.google.com/spreadsheets/"&amp;"d/1BJSV3WBYJGRhQ6zExamkszQ5VutGIcaQqmbD9ZTVXMQ/edit#gid=1251630045"",""articles_with_PRISMA_reasons!B2:B2113"")),
E1746=""Exclude"",
FILTER(IMPORTRANGE(""https://docs.google.com/spreadsheets/d/1qpEmbGH0JjaJbUdp21-y2cPbobDbMjr09BbtdKROZWc/edit#gid=14448656"&amp;"54"",""articles_with_PRISMA_reasons!Z2:Z2113""), $A1746=IMPORTRANGE(""https://docs.google.com/spreadsheets/d/1qpEmbGH0JjaJbUdp21-y2cPbobDbMjr09BbtdKROZWc/edit#gid=1444865654"",""articles_with_PRISMA_reasons!B2:B2113"")),F1746
=""Include"",FILTER(IMPORTRAN"&amp;"GE(""https://docs.google.com/spreadsheets/d/1kGrh75X1cNR1D7_FcY9zMnHP8iPO4M5RCRjy6nZY0TY/edit#gid=0"",""Table 1: Study characteristics!A4:A171""), $A1746=IMPORTRANGE(""https://docs.google.com/spreadsheets/d/1kGrh75X1cNR1D7_FcY9zMnHP8iPO4M5RCRjy6nZY0TY/edi"&amp;"t#gid=0"",""Table 1: Study characteristics!B4:B171""))
)"),"wrong study design")</f>
        <v>wrong study design</v>
      </c>
    </row>
    <row r="1747">
      <c r="A1747" s="4" t="str">
        <f>IFERROR(__xludf.DUMMYFUNCTION("""COMPUTED_VALUE"""),"Spinal dysraphism-histopathological study of 45 cases")</f>
        <v>Spinal dysraphism-histopathological study of 45 cases</v>
      </c>
      <c r="B1747" s="5" t="str">
        <f>IFERROR(__xludf.DUMMYFUNCTION("LEFT(FILTER(IMPORTRANGE(""https://docs.google.com/spreadsheets/d/1BJSV3WBYJGRhQ6zExamkszQ5VutGIcaQqmbD9ZTVXMQ/edit#gid=1251630045"",""articles_with_PRISMA_reasons!K2:K2113""), $A1747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$A1747=IMPORTRANGE(""https://docs.google.com/spreadsheets/d/1BJSV3WBYJGRhQ6zExamkszQ5VutGIcaQqmbD9ZTVXMQ/edit#gid=1251630045"",""articles_with_PRISMA_reasons!B2:B2113"")))-1)"),"S and hya")</f>
        <v>S and hya</v>
      </c>
      <c r="C1747" s="6">
        <f>IFERROR(__xludf.DUMMYFUNCTION("FILTER(IMPORTRANGE(""https://docs.google.com/spreadsheets/d/1BJSV3WBYJGRhQ6zExamkszQ5VutGIcaQqmbD9ZTVXMQ/edit#gid=1251630045"",""articles_with_PRISMA_reasons!C2:C2113""), $A1747=IMPORTRANGE(""https://docs.google.com/spreadsheets/d/1BJSV3WBYJGRhQ6zExamkszQ"&amp;"5VutGIcaQqmbD9ZTVXMQ/edit#gid=1251630045"",""articles_with_PRISMA_reasons!B2:B2113""))"),2021.0)</f>
        <v>2021</v>
      </c>
      <c r="D1747" s="5" t="str">
        <f>IFERROR(__xludf.DUMMYFUNCTION("IFS(AND(
FILTER(IMPORTRANGE(""https://docs.google.com/spreadsheets/d/1BJSV3WBYJGRhQ6zExamkszQ5VutGIcaQqmbD9ZTVXMQ/edit#gid=1251630045"",""articles_with_PRISMA_reasons!Y2:Y2113""), $A1747=IMPORTRANGE(""https://docs.google.com/spreadsheets/d/1BJSV3WBYJGRhQ6"&amp;"zExamkszQ5VutGIcaQqmbD9ZTVXMQ/edit#gid=1251630045"",""articles_with_PRISMA_reasons!B2:B2113""))&gt;=2,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$A1747=IMPORTRANGE(""https://docs.google.com/spreadsheets/d/1BJSV3WBYJGRhQ6zExamkszQ5VutGIcaQqmbD9ZTVXMQ/edit#gid=1251630045"",""articles_with_PRISMA_reasons!B2:B2113""))&lt;2),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$A1747=IMPORTRANGE(""https://docs.google.com/spreadsheets/d/1BJSV3WBYJGRhQ6zExamkszQ5VutGIcaQqmbD9ZTVXMQ/edit#gid=1251630045"",""a"&amp;"rticles_with_PRISMA_reasons!B2:B2113""))&lt;2,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$A1747=IMPORTRANGE(""https://docs.google"&amp;".com/spreadsheets/d/1BJSV3WBYJGRhQ6zExamkszQ5VutGIcaQqmbD9ZTVXMQ/edit#gid=1251630045"",""articles_with_PRISMA_reasons!B2:B2113""))&gt;=2),
""Exclude""
)"),"Exclude")</f>
        <v>Exclude</v>
      </c>
      <c r="E1747" s="5" t="str">
        <f>IFERROR(__xludf.DUMMYFUNCTION("IFS(
D1747=""Exclude"",""Exclude"",
AND(
FILTER(IMPORTRANGE(""https://docs.google.com/spreadsheets/d/1qpEmbGH0JjaJbUdp21-y2cPbobDbMjr09BbtdKROZWc/edit#gid=1444865654"",""articles_with_PRISMA_reasons!W2:W2113""), $A1747=IMPORTRANGE(""https://docs.google.co"&amp;"m/spreadsheets/d/1qpEmbGH0JjaJbUdp21-y2cPbobDbMjr09BbtdKROZWc/edit#gid=1444865654"",""articles_with_PRISMA_reasons!B2:B2113""))&gt;=2,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$A1747=IMPORTRANGE(""https://docs.google.com/spreadsheets/d/1qpEmbGH0JjaJbUdp21-y2cPbobDbMjr09BbtdKROZWc/edit#gid=1444865654"",""articles_with_PRISMA_reasons!B2:B2113""))&lt;2),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$A1747=IMPORTRANGE(""https://docs.google.com/spreadsheets/d/1qpEmbGH0JjaJbUdp21-y2cPbobDbMjr09Bbtd"&amp;"KROZWc/edit#gid=1444865654"",""articles_with_PRISMA_reasons!B2:B2113""))&lt;2,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$A1747=I"&amp;"MPORTRANGE(""https://docs.google.com/spreadsheets/d/1qpEmbGH0JjaJbUdp21-y2cPbobDbMjr09BbtdKROZWc/edit#gid=1444865654"",""articles_with_PRISMA_reasons!B2:B2113""))&gt;=2),
""Exclude""
)"),"Exclude")</f>
        <v>Exclude</v>
      </c>
      <c r="F1747" s="5" t="str">
        <f>IFERROR(__xludf.DUMMYFUNCTION("IFS(
E1747=""Exclude"",""Exclude"",
AND(
COUNTIF(
IMPORTRANGE(""https://docs.google.com/spreadsheets/d/1kGrh75X1cNR1D7_FcY9zMnHP8iPO4M5RCRjy6nZY0TY/edit#gid=0"",""Table 1: Study characteristics!B4:B171""),A1747)&gt;0,
COUNTIF(Studies!$A$2:$A$85,FILTER(IMPORT"&amp;"RANGE(""https://docs.google.com/spreadsheets/d/1kGrh75X1cNR1D7_FcY9zMnHP8iPO4M5RCRjy6nZY0TY/edit#gid=0"",""Table 1: Study characteristics!A4:A171""), $A1747=IMPORTRANGE(""https://docs.google.com/spreadsheets/d/1kGrh75X1cNR1D7_FcY9zMnHP8iPO4M5RCRjy6nZY0TY/"&amp;"edit#gid=0"",""Table 1: Study characteristics!B4:B171"")))&gt;0
),
""Include""
)"),"Exclude")</f>
        <v>Exclude</v>
      </c>
      <c r="G1747" s="5" t="str">
        <f>IFERROR(__xludf.DUMMYFUNCTION("IFS(
D1747=""Exclude"",
FILTER(IMPORTRANGE(""https://docs.google.com/spreadsheets/d/1BJSV3WBYJGRhQ6zExamkszQ5VutGIcaQqmbD9ZTVXMQ/edit#gid=1251630045"",""articles_with_PRISMA_reasons!AB2:AB2113""), $A1747=IMPORTRANGE(""https://docs.google.com/spreadsheets/"&amp;"d/1BJSV3WBYJGRhQ6zExamkszQ5VutGIcaQqmbD9ZTVXMQ/edit#gid=1251630045"",""articles_with_PRISMA_reasons!B2:B2113"")),
E1747=""Exclude"",
FILTER(IMPORTRANGE(""https://docs.google.com/spreadsheets/d/1qpEmbGH0JjaJbUdp21-y2cPbobDbMjr09BbtdKROZWc/edit#gid=14448656"&amp;"54"",""articles_with_PRISMA_reasons!Z2:Z2113""), $A1747=IMPORTRANGE(""https://docs.google.com/spreadsheets/d/1qpEmbGH0JjaJbUdp21-y2cPbobDbMjr09BbtdKROZWc/edit#gid=1444865654"",""articles_with_PRISMA_reasons!B2:B2113"")),F1747
=""Include"",FILTER(IMPORTRAN"&amp;"GE(""https://docs.google.com/spreadsheets/d/1kGrh75X1cNR1D7_FcY9zMnHP8iPO4M5RCRjy6nZY0TY/edit#gid=0"",""Table 1: Study characteristics!A4:A171""), $A1747=IMPORTRANGE(""https://docs.google.com/spreadsheets/d/1kGrh75X1cNR1D7_FcY9zMnHP8iPO4M5RCRjy6nZY0TY/edi"&amp;"t#gid=0"",""Table 1: Study characteristics!B4:B171""))
)"),"wrong population")</f>
        <v>wrong population</v>
      </c>
    </row>
    <row r="1748">
      <c r="A1748" s="4" t="str">
        <f>IFERROR(__xludf.DUMMYFUNCTION("""COMPUTED_VALUE"""),"Spinal dysraphism: A review of clinical manifestations and surgical treatment options")</f>
        <v>Spinal dysraphism: A review of clinical manifestations and surgical treatment options</v>
      </c>
      <c r="B1748" s="5" t="str">
        <f>IFERROR(__xludf.DUMMYFUNCTION("LEFT(FILTER(IMPORTRANGE(""https://docs.google.com/spreadsheets/d/1BJSV3WBYJGRhQ6zExamkszQ5VutGIcaQqmbD9ZTVXMQ/edit#gid=1251630045"",""articles_with_PRISMA_reasons!K2:K2113""), $A1748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$A1748=IMPORTRANGE(""https://docs.google.com/spreadsheets/d/1BJSV3WBYJGRhQ6zExamkszQ5VutGIcaQqmbD9ZTVXMQ/edit#gid=1251630045"",""articles_with_PRISMA_reasons!B2:B2113"")))-1)"),"Sweet")</f>
        <v>Sweet</v>
      </c>
      <c r="C1748" s="6">
        <f>IFERROR(__xludf.DUMMYFUNCTION("FILTER(IMPORTRANGE(""https://docs.google.com/spreadsheets/d/1BJSV3WBYJGRhQ6zExamkszQ5VutGIcaQqmbD9ZTVXMQ/edit#gid=1251630045"",""articles_with_PRISMA_reasons!C2:C2113""), $A1748=IMPORTRANGE(""https://docs.google.com/spreadsheets/d/1BJSV3WBYJGRhQ6zExamkszQ"&amp;"5VutGIcaQqmbD9ZTVXMQ/edit#gid=1251630045"",""articles_with_PRISMA_reasons!B2:B2113""))"),2005.0)</f>
        <v>2005</v>
      </c>
      <c r="D1748" s="5" t="str">
        <f>IFERROR(__xludf.DUMMYFUNCTION("IFS(AND(
FILTER(IMPORTRANGE(""https://docs.google.com/spreadsheets/d/1BJSV3WBYJGRhQ6zExamkszQ5VutGIcaQqmbD9ZTVXMQ/edit#gid=1251630045"",""articles_with_PRISMA_reasons!Y2:Y2113""), $A1748=IMPORTRANGE(""https://docs.google.com/spreadsheets/d/1BJSV3WBYJGRhQ6"&amp;"zExamkszQ5VutGIcaQqmbD9ZTVXMQ/edit#gid=1251630045"",""articles_with_PRISMA_reasons!B2:B2113""))&gt;=2,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$A1748=IMPORTRANGE(""https://docs.google.com/spreadsheets/d/1BJSV3WBYJGRhQ6zExamkszQ5VutGIcaQqmbD9ZTVXMQ/edit#gid=1251630045"",""articles_with_PRISMA_reasons!B2:B2113""))&lt;2),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$A1748=IMPORTRANGE(""https://docs.google.com/spreadsheets/d/1BJSV3WBYJGRhQ6zExamkszQ5VutGIcaQqmbD9ZTVXMQ/edit#gid=1251630045"",""a"&amp;"rticles_with_PRISMA_reasons!B2:B2113""))&lt;2,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$A1748=IMPORTRANGE(""https://docs.google"&amp;".com/spreadsheets/d/1BJSV3WBYJGRhQ6zExamkszQ5VutGIcaQqmbD9ZTVXMQ/edit#gid=1251630045"",""articles_with_PRISMA_reasons!B2:B2113""))&gt;=2),
""Exclude""
)"),"Exclude")</f>
        <v>Exclude</v>
      </c>
      <c r="E1748" s="5" t="str">
        <f>IFERROR(__xludf.DUMMYFUNCTION("IFS(
D1748=""Exclude"",""Exclude"",
AND(
FILTER(IMPORTRANGE(""https://docs.google.com/spreadsheets/d/1qpEmbGH0JjaJbUdp21-y2cPbobDbMjr09BbtdKROZWc/edit#gid=1444865654"",""articles_with_PRISMA_reasons!W2:W2113""), $A1748=IMPORTRANGE(""https://docs.google.co"&amp;"m/spreadsheets/d/1qpEmbGH0JjaJbUdp21-y2cPbobDbMjr09BbtdKROZWc/edit#gid=1444865654"",""articles_with_PRISMA_reasons!B2:B2113""))&gt;=2,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$A1748=IMPORTRANGE(""https://docs.google.com/spreadsheets/d/1qpEmbGH0JjaJbUdp21-y2cPbobDbMjr09BbtdKROZWc/edit#gid=1444865654"",""articles_with_PRISMA_reasons!B2:B2113""))&lt;2),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$A1748=IMPORTRANGE(""https://docs.google.com/spreadsheets/d/1qpEmbGH0JjaJbUdp21-y2cPbobDbMjr09Bbtd"&amp;"KROZWc/edit#gid=1444865654"",""articles_with_PRISMA_reasons!B2:B2113""))&lt;2,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$A1748=I"&amp;"MPORTRANGE(""https://docs.google.com/spreadsheets/d/1qpEmbGH0JjaJbUdp21-y2cPbobDbMjr09BbtdKROZWc/edit#gid=1444865654"",""articles_with_PRISMA_reasons!B2:B2113""))&gt;=2),
""Exclude""
)"),"Exclude")</f>
        <v>Exclude</v>
      </c>
      <c r="F1748" s="5" t="str">
        <f>IFERROR(__xludf.DUMMYFUNCTION("IFS(
E1748=""Exclude"",""Exclude"",
AND(
COUNTIF(
IMPORTRANGE(""https://docs.google.com/spreadsheets/d/1kGrh75X1cNR1D7_FcY9zMnHP8iPO4M5RCRjy6nZY0TY/edit#gid=0"",""Table 1: Study characteristics!B4:B171""),A1748)&gt;0,
COUNTIF(Studies!$A$2:$A$85,FILTER(IMPORT"&amp;"RANGE(""https://docs.google.com/spreadsheets/d/1kGrh75X1cNR1D7_FcY9zMnHP8iPO4M5RCRjy6nZY0TY/edit#gid=0"",""Table 1: Study characteristics!A4:A171""), $A1748=IMPORTRANGE(""https://docs.google.com/spreadsheets/d/1kGrh75X1cNR1D7_FcY9zMnHP8iPO4M5RCRjy6nZY0TY/"&amp;"edit#gid=0"",""Table 1: Study characteristics!B4:B171"")))&gt;0
),
""Include""
)"),"Exclude")</f>
        <v>Exclude</v>
      </c>
      <c r="G1748" s="5" t="str">
        <f>IFERROR(__xludf.DUMMYFUNCTION("IFS(
D1748=""Exclude"",
FILTER(IMPORTRANGE(""https://docs.google.com/spreadsheets/d/1BJSV3WBYJGRhQ6zExamkszQ5VutGIcaQqmbD9ZTVXMQ/edit#gid=1251630045"",""articles_with_PRISMA_reasons!AB2:AB2113""), $A1748=IMPORTRANGE(""https://docs.google.com/spreadsheets/"&amp;"d/1BJSV3WBYJGRhQ6zExamkszQ5VutGIcaQqmbD9ZTVXMQ/edit#gid=1251630045"",""articles_with_PRISMA_reasons!B2:B2113"")),
E1748=""Exclude"",
FILTER(IMPORTRANGE(""https://docs.google.com/spreadsheets/d/1qpEmbGH0JjaJbUdp21-y2cPbobDbMjr09BbtdKROZWc/edit#gid=14448656"&amp;"54"",""articles_with_PRISMA_reasons!Z2:Z2113""), $A1748=IMPORTRANGE(""https://docs.google.com/spreadsheets/d/1qpEmbGH0JjaJbUdp21-y2cPbobDbMjr09BbtdKROZWc/edit#gid=1444865654"",""articles_with_PRISMA_reasons!B2:B2113"")),F1748
=""Include"",FILTER(IMPORTRAN"&amp;"GE(""https://docs.google.com/spreadsheets/d/1kGrh75X1cNR1D7_FcY9zMnHP8iPO4M5RCRjy6nZY0TY/edit#gid=0"",""Table 1: Study characteristics!A4:A171""), $A1748=IMPORTRANGE(""https://docs.google.com/spreadsheets/d/1kGrh75X1cNR1D7_FcY9zMnHP8iPO4M5RCRjy6nZY0TY/edi"&amp;"t#gid=0"",""Table 1: Study characteristics!B4:B171""))
)"),"wrong study design")</f>
        <v>wrong study design</v>
      </c>
    </row>
    <row r="1749">
      <c r="A1749" s="4" t="str">
        <f>IFERROR(__xludf.DUMMYFUNCTION("""COMPUTED_VALUE"""),"Spinal dysraphism: Experience with 250 cases operated upon")</f>
        <v>Spinal dysraphism: Experience with 250 cases operated upon</v>
      </c>
      <c r="B1749" s="5" t="str">
        <f>IFERROR(__xludf.DUMMYFUNCTION("LEFT(FILTER(IMPORTRANGE(""https://docs.google.com/spreadsheets/d/1BJSV3WBYJGRhQ6zExamkszQ5VutGIcaQqmbD9ZTVXMQ/edit#gid=1251630045"",""articles_with_PRISMA_reasons!K2:K2113""), $A1749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$A1749=IMPORTRANGE(""https://docs.google.com/spreadsheets/d/1BJSV3WBYJGRhQ6zExamkszQ5VutGIcaQqmbD9ZTVXMQ/edit#gid=1251630045"",""articles_with_PRISMA_reasons!B2:B2113"")))-1)"),"Assaad")</f>
        <v>Assaad</v>
      </c>
      <c r="C1749" s="6">
        <f>IFERROR(__xludf.DUMMYFUNCTION("FILTER(IMPORTRANGE(""https://docs.google.com/spreadsheets/d/1BJSV3WBYJGRhQ6zExamkszQ5VutGIcaQqmbD9ZTVXMQ/edit#gid=1251630045"",""articles_with_PRISMA_reasons!C2:C2113""), $A1749=IMPORTRANGE(""https://docs.google.com/spreadsheets/d/1BJSV3WBYJGRhQ6zExamkszQ"&amp;"5VutGIcaQqmbD9ZTVXMQ/edit#gid=1251630045"",""articles_with_PRISMA_reasons!B2:B2113""))"),1989.0)</f>
        <v>1989</v>
      </c>
      <c r="D1749" s="5" t="str">
        <f>IFERROR(__xludf.DUMMYFUNCTION("IFS(AND(
FILTER(IMPORTRANGE(""https://docs.google.com/spreadsheets/d/1BJSV3WBYJGRhQ6zExamkszQ5VutGIcaQqmbD9ZTVXMQ/edit#gid=1251630045"",""articles_with_PRISMA_reasons!Y2:Y2113""), $A1749=IMPORTRANGE(""https://docs.google.com/spreadsheets/d/1BJSV3WBYJGRhQ6"&amp;"zExamkszQ5VutGIcaQqmbD9ZTVXMQ/edit#gid=1251630045"",""articles_with_PRISMA_reasons!B2:B2113""))&gt;=2,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$A1749=IMPORTRANGE(""https://docs.google.com/spreadsheets/d/1BJSV3WBYJGRhQ6zExamkszQ5VutGIcaQqmbD9ZTVXMQ/edit#gid=1251630045"",""articles_with_PRISMA_reasons!B2:B2113""))&lt;2),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$A1749=IMPORTRANGE(""https://docs.google.com/spreadsheets/d/1BJSV3WBYJGRhQ6zExamkszQ5VutGIcaQqmbD9ZTVXMQ/edit#gid=1251630045"",""a"&amp;"rticles_with_PRISMA_reasons!B2:B2113""))&lt;2,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$A1749=IMPORTRANGE(""https://docs.google"&amp;".com/spreadsheets/d/1BJSV3WBYJGRhQ6zExamkszQ5VutGIcaQqmbD9ZTVXMQ/edit#gid=1251630045"",""articles_with_PRISMA_reasons!B2:B2113""))&gt;=2),
""Exclude""
)"),"Include")</f>
        <v>Include</v>
      </c>
      <c r="E1749" s="5" t="str">
        <f>IFERROR(__xludf.DUMMYFUNCTION("IFS(
D1749=""Exclude"",""Exclude"",
AND(
FILTER(IMPORTRANGE(""https://docs.google.com/spreadsheets/d/1qpEmbGH0JjaJbUdp21-y2cPbobDbMjr09BbtdKROZWc/edit#gid=1444865654"",""articles_with_PRISMA_reasons!W2:W2113""), $A1749=IMPORTRANGE(""https://docs.google.co"&amp;"m/spreadsheets/d/1qpEmbGH0JjaJbUdp21-y2cPbobDbMjr09BbtdKROZWc/edit#gid=1444865654"",""articles_with_PRISMA_reasons!B2:B2113""))&gt;=2,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$A1749=IMPORTRANGE(""https://docs.google.com/spreadsheets/d/1qpEmbGH0JjaJbUdp21-y2cPbobDbMjr09BbtdKROZWc/edit#gid=1444865654"",""articles_with_PRISMA_reasons!B2:B2113""))&lt;2),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$A1749=IMPORTRANGE(""https://docs.google.com/spreadsheets/d/1qpEmbGH0JjaJbUdp21-y2cPbobDbMjr09Bbtd"&amp;"KROZWc/edit#gid=1444865654"",""articles_with_PRISMA_reasons!B2:B2113""))&lt;2,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$A1749=I"&amp;"MPORTRANGE(""https://docs.google.com/spreadsheets/d/1qpEmbGH0JjaJbUdp21-y2cPbobDbMjr09BbtdKROZWc/edit#gid=1444865654"",""articles_with_PRISMA_reasons!B2:B2113""))&gt;=2),
""Exclude""
)"),"Include")</f>
        <v>Include</v>
      </c>
      <c r="F1749" s="2" t="s">
        <v>8</v>
      </c>
      <c r="G1749" s="2" t="s">
        <v>17</v>
      </c>
    </row>
    <row r="1750">
      <c r="A1750" s="4" t="str">
        <f>IFERROR(__xludf.DUMMYFUNCTION("""COMPUTED_VALUE"""),"Spinal dysraphism: Trends in Northern India")</f>
        <v>Spinal dysraphism: Trends in Northern India</v>
      </c>
      <c r="B1750" s="5" t="str">
        <f>IFERROR(__xludf.DUMMYFUNCTION("LEFT(FILTER(IMPORTRANGE(""https://docs.google.com/spreadsheets/d/1BJSV3WBYJGRhQ6zExamkszQ5VutGIcaQqmbD9ZTVXMQ/edit#gid=1251630045"",""articles_with_PRISMA_reasons!K2:K2113""), $A1750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$A1750=IMPORTRANGE(""https://docs.google.com/spreadsheets/d/1BJSV3WBYJGRhQ6zExamkszQ5VutGIcaQqmbD9ZTVXMQ/edit#gid=1251630045"",""articles_with_PRISMA_reasons!B2:B2113"")))-1)"),"Singh")</f>
        <v>Singh</v>
      </c>
      <c r="C1750" s="6">
        <f>IFERROR(__xludf.DUMMYFUNCTION("FILTER(IMPORTRANGE(""https://docs.google.com/spreadsheets/d/1BJSV3WBYJGRhQ6zExamkszQ5VutGIcaQqmbD9ZTVXMQ/edit#gid=1251630045"",""articles_with_PRISMA_reasons!C2:C2113""), $A1750=IMPORTRANGE(""https://docs.google.com/spreadsheets/d/1BJSV3WBYJGRhQ6zExamkszQ"&amp;"5VutGIcaQqmbD9ZTVXMQ/edit#gid=1251630045"",""articles_with_PRISMA_reasons!B2:B2113""))"),2003.0)</f>
        <v>2003</v>
      </c>
      <c r="D1750" s="5" t="str">
        <f>IFERROR(__xludf.DUMMYFUNCTION("IFS(AND(
FILTER(IMPORTRANGE(""https://docs.google.com/spreadsheets/d/1BJSV3WBYJGRhQ6zExamkszQ5VutGIcaQqmbD9ZTVXMQ/edit#gid=1251630045"",""articles_with_PRISMA_reasons!Y2:Y2113""), $A1750=IMPORTRANGE(""https://docs.google.com/spreadsheets/d/1BJSV3WBYJGRhQ6"&amp;"zExamkszQ5VutGIcaQqmbD9ZTVXMQ/edit#gid=1251630045"",""articles_with_PRISMA_reasons!B2:B2113""))&gt;=2,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$A1750=IMPORTRANGE(""https://docs.google.com/spreadsheets/d/1BJSV3WBYJGRhQ6zExamkszQ5VutGIcaQqmbD9ZTVXMQ/edit#gid=1251630045"",""articles_with_PRISMA_reasons!B2:B2113""))&lt;2),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$A1750=IMPORTRANGE(""https://docs.google.com/spreadsheets/d/1BJSV3WBYJGRhQ6zExamkszQ5VutGIcaQqmbD9ZTVXMQ/edit#gid=1251630045"",""a"&amp;"rticles_with_PRISMA_reasons!B2:B2113""))&lt;2,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$A1750=IMPORTRANGE(""https://docs.google"&amp;".com/spreadsheets/d/1BJSV3WBYJGRhQ6zExamkszQ5VutGIcaQqmbD9ZTVXMQ/edit#gid=1251630045"",""articles_with_PRISMA_reasons!B2:B2113""))&gt;=2),
""Exclude""
)"),"Exclude")</f>
        <v>Exclude</v>
      </c>
      <c r="E1750" s="5" t="str">
        <f>IFERROR(__xludf.DUMMYFUNCTION("IFS(
D1750=""Exclude"",""Exclude"",
AND(
FILTER(IMPORTRANGE(""https://docs.google.com/spreadsheets/d/1qpEmbGH0JjaJbUdp21-y2cPbobDbMjr09BbtdKROZWc/edit#gid=1444865654"",""articles_with_PRISMA_reasons!W2:W2113""), $A1750=IMPORTRANGE(""https://docs.google.co"&amp;"m/spreadsheets/d/1qpEmbGH0JjaJbUdp21-y2cPbobDbMjr09BbtdKROZWc/edit#gid=1444865654"",""articles_with_PRISMA_reasons!B2:B2113""))&gt;=2,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$A1750=IMPORTRANGE(""https://docs.google.com/spreadsheets/d/1qpEmbGH0JjaJbUdp21-y2cPbobDbMjr09BbtdKROZWc/edit#gid=1444865654"",""articles_with_PRISMA_reasons!B2:B2113""))&lt;2),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$A1750=IMPORTRANGE(""https://docs.google.com/spreadsheets/d/1qpEmbGH0JjaJbUdp21-y2cPbobDbMjr09Bbtd"&amp;"KROZWc/edit#gid=1444865654"",""articles_with_PRISMA_reasons!B2:B2113""))&lt;2,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$A1750=I"&amp;"MPORTRANGE(""https://docs.google.com/spreadsheets/d/1qpEmbGH0JjaJbUdp21-y2cPbobDbMjr09BbtdKROZWc/edit#gid=1444865654"",""articles_with_PRISMA_reasons!B2:B2113""))&gt;=2),
""Exclude""
)"),"Exclude")</f>
        <v>Exclude</v>
      </c>
      <c r="F1750" s="5" t="str">
        <f>IFERROR(__xludf.DUMMYFUNCTION("IFS(
E1750=""Exclude"",""Exclude"",
AND(
COUNTIF(
IMPORTRANGE(""https://docs.google.com/spreadsheets/d/1kGrh75X1cNR1D7_FcY9zMnHP8iPO4M5RCRjy6nZY0TY/edit#gid=0"",""Table 1: Study characteristics!B4:B171""),A1750)&gt;0,
COUNTIF(Studies!$A$2:$A$85,FILTER(IMPORT"&amp;"RANGE(""https://docs.google.com/spreadsheets/d/1kGrh75X1cNR1D7_FcY9zMnHP8iPO4M5RCRjy6nZY0TY/edit#gid=0"",""Table 1: Study characteristics!A4:A171""), $A1750=IMPORTRANGE(""https://docs.google.com/spreadsheets/d/1kGrh75X1cNR1D7_FcY9zMnHP8iPO4M5RCRjy6nZY0TY/"&amp;"edit#gid=0"",""Table 1: Study characteristics!B4:B171"")))&gt;0
),
""Include""
)"),"Exclude")</f>
        <v>Exclude</v>
      </c>
      <c r="G1750" s="5" t="str">
        <f>IFERROR(__xludf.DUMMYFUNCTION("IFS(
D1750=""Exclude"",
FILTER(IMPORTRANGE(""https://docs.google.com/spreadsheets/d/1BJSV3WBYJGRhQ6zExamkszQ5VutGIcaQqmbD9ZTVXMQ/edit#gid=1251630045"",""articles_with_PRISMA_reasons!AB2:AB2113""), $A1750=IMPORTRANGE(""https://docs.google.com/spreadsheets/"&amp;"d/1BJSV3WBYJGRhQ6zExamkszQ5VutGIcaQqmbD9ZTVXMQ/edit#gid=1251630045"",""articles_with_PRISMA_reasons!B2:B2113"")),
E1750=""Exclude"",
FILTER(IMPORTRANGE(""https://docs.google.com/spreadsheets/d/1qpEmbGH0JjaJbUdp21-y2cPbobDbMjr09BbtdKROZWc/edit#gid=14448656"&amp;"54"",""articles_with_PRISMA_reasons!Z2:Z2113""), $A1750=IMPORTRANGE(""https://docs.google.com/spreadsheets/d/1qpEmbGH0JjaJbUdp21-y2cPbobDbMjr09BbtdKROZWc/edit#gid=1444865654"",""articles_with_PRISMA_reasons!B2:B2113"")),F1750
=""Include"",FILTER(IMPORTRAN"&amp;"GE(""https://docs.google.com/spreadsheets/d/1kGrh75X1cNR1D7_FcY9zMnHP8iPO4M5RCRjy6nZY0TY/edit#gid=0"",""Table 1: Study characteristics!A4:A171""), $A1750=IMPORTRANGE(""https://docs.google.com/spreadsheets/d/1kGrh75X1cNR1D7_FcY9zMnHP8iPO4M5RCRjy6nZY0TY/edi"&amp;"t#gid=0"",""Table 1: Study characteristics!B4:B171""))
)"),"wrong population")</f>
        <v>wrong population</v>
      </c>
    </row>
    <row r="1751">
      <c r="A1751" s="4" t="str">
        <f>IFERROR(__xludf.DUMMYFUNCTION("""COMPUTED_VALUE"""),"Spinal dysraphisms in the parturient: Implications for perioperative anaesthetic care and labour analgesia")</f>
        <v>Spinal dysraphisms in the parturient: Implications for perioperative anaesthetic care and labour analgesia</v>
      </c>
      <c r="B1751" s="5" t="str">
        <f>IFERROR(__xludf.DUMMYFUNCTION("LEFT(FILTER(IMPORTRANGE(""https://docs.google.com/spreadsheets/d/1BJSV3WBYJGRhQ6zExamkszQ5VutGIcaQqmbD9ZTVXMQ/edit#gid=1251630045"",""articles_with_PRISMA_reasons!K2:K2113""), $A1751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$A1751=IMPORTRANGE(""https://docs.google.com/spreadsheets/d/1BJSV3WBYJGRhQ6zExamkszQ5VutGIcaQqmbD9ZTVXMQ/edit#gid=1251630045"",""articles_with_PRISMA_reasons!B2:B2113"")))-1)"),"Murphy")</f>
        <v>Murphy</v>
      </c>
      <c r="C1751" s="6">
        <f>IFERROR(__xludf.DUMMYFUNCTION("FILTER(IMPORTRANGE(""https://docs.google.com/spreadsheets/d/1BJSV3WBYJGRhQ6zExamkszQ5VutGIcaQqmbD9ZTVXMQ/edit#gid=1251630045"",""articles_with_PRISMA_reasons!C2:C2113""), $A1751=IMPORTRANGE(""https://docs.google.com/spreadsheets/d/1BJSV3WBYJGRhQ6zExamkszQ"&amp;"5VutGIcaQqmbD9ZTVXMQ/edit#gid=1251630045"",""articles_with_PRISMA_reasons!B2:B2113""))"),2015.0)</f>
        <v>2015</v>
      </c>
      <c r="D1751" s="5" t="str">
        <f>IFERROR(__xludf.DUMMYFUNCTION("IFS(AND(
FILTER(IMPORTRANGE(""https://docs.google.com/spreadsheets/d/1BJSV3WBYJGRhQ6zExamkszQ5VutGIcaQqmbD9ZTVXMQ/edit#gid=1251630045"",""articles_with_PRISMA_reasons!Y2:Y2113""), $A1751=IMPORTRANGE(""https://docs.google.com/spreadsheets/d/1BJSV3WBYJGRhQ6"&amp;"zExamkszQ5VutGIcaQqmbD9ZTVXMQ/edit#gid=1251630045"",""articles_with_PRISMA_reasons!B2:B2113""))&gt;=2,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$A1751=IMPORTRANGE(""https://docs.google.com/spreadsheets/d/1BJSV3WBYJGRhQ6zExamkszQ5VutGIcaQqmbD9ZTVXMQ/edit#gid=1251630045"",""articles_with_PRISMA_reasons!B2:B2113""))&lt;2),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$A1751=IMPORTRANGE(""https://docs.google.com/spreadsheets/d/1BJSV3WBYJGRhQ6zExamkszQ5VutGIcaQqmbD9ZTVXMQ/edit#gid=1251630045"",""a"&amp;"rticles_with_PRISMA_reasons!B2:B2113""))&lt;2,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$A1751=IMPORTRANGE(""https://docs.google"&amp;".com/spreadsheets/d/1BJSV3WBYJGRhQ6zExamkszQ5VutGIcaQqmbD9ZTVXMQ/edit#gid=1251630045"",""articles_with_PRISMA_reasons!B2:B2113""))&gt;=2),
""Exclude""
)"),"Exclude")</f>
        <v>Exclude</v>
      </c>
      <c r="E1751" s="5" t="str">
        <f>IFERROR(__xludf.DUMMYFUNCTION("IFS(
D1751=""Exclude"",""Exclude"",
AND(
FILTER(IMPORTRANGE(""https://docs.google.com/spreadsheets/d/1qpEmbGH0JjaJbUdp21-y2cPbobDbMjr09BbtdKROZWc/edit#gid=1444865654"",""articles_with_PRISMA_reasons!W2:W2113""), $A1751=IMPORTRANGE(""https://docs.google.co"&amp;"m/spreadsheets/d/1qpEmbGH0JjaJbUdp21-y2cPbobDbMjr09BbtdKROZWc/edit#gid=1444865654"",""articles_with_PRISMA_reasons!B2:B2113""))&gt;=2,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$A1751=IMPORTRANGE(""https://docs.google.com/spreadsheets/d/1qpEmbGH0JjaJbUdp21-y2cPbobDbMjr09BbtdKROZWc/edit#gid=1444865654"",""articles_with_PRISMA_reasons!B2:B2113""))&lt;2),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$A1751=IMPORTRANGE(""https://docs.google.com/spreadsheets/d/1qpEmbGH0JjaJbUdp21-y2cPbobDbMjr09Bbtd"&amp;"KROZWc/edit#gid=1444865654"",""articles_with_PRISMA_reasons!B2:B2113""))&lt;2,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$A1751=I"&amp;"MPORTRANGE(""https://docs.google.com/spreadsheets/d/1qpEmbGH0JjaJbUdp21-y2cPbobDbMjr09BbtdKROZWc/edit#gid=1444865654"",""articles_with_PRISMA_reasons!B2:B2113""))&gt;=2),
""Exclude""
)"),"Exclude")</f>
        <v>Exclude</v>
      </c>
      <c r="F1751" s="5" t="str">
        <f>IFERROR(__xludf.DUMMYFUNCTION("IFS(
E1751=""Exclude"",""Exclude"",
AND(
COUNTIF(
IMPORTRANGE(""https://docs.google.com/spreadsheets/d/1kGrh75X1cNR1D7_FcY9zMnHP8iPO4M5RCRjy6nZY0TY/edit#gid=0"",""Table 1: Study characteristics!B4:B171""),A1751)&gt;0,
COUNTIF(Studies!$A$2:$A$85,FILTER(IMPORT"&amp;"RANGE(""https://docs.google.com/spreadsheets/d/1kGrh75X1cNR1D7_FcY9zMnHP8iPO4M5RCRjy6nZY0TY/edit#gid=0"",""Table 1: Study characteristics!A4:A171""), $A1751=IMPORTRANGE(""https://docs.google.com/spreadsheets/d/1kGrh75X1cNR1D7_FcY9zMnHP8iPO4M5RCRjy6nZY0TY/"&amp;"edit#gid=0"",""Table 1: Study characteristics!B4:B171"")))&gt;0
),
""Include""
)"),"Exclude")</f>
        <v>Exclude</v>
      </c>
      <c r="G1751" s="5" t="str">
        <f>IFERROR(__xludf.DUMMYFUNCTION("IFS(
D1751=""Exclude"",
FILTER(IMPORTRANGE(""https://docs.google.com/spreadsheets/d/1BJSV3WBYJGRhQ6zExamkszQ5VutGIcaQqmbD9ZTVXMQ/edit#gid=1251630045"",""articles_with_PRISMA_reasons!AB2:AB2113""), $A1751=IMPORTRANGE(""https://docs.google.com/spreadsheets/"&amp;"d/1BJSV3WBYJGRhQ6zExamkszQ5VutGIcaQqmbD9ZTVXMQ/edit#gid=1251630045"",""articles_with_PRISMA_reasons!B2:B2113"")),
E1751=""Exclude"",
FILTER(IMPORTRANGE(""https://docs.google.com/spreadsheets/d/1qpEmbGH0JjaJbUdp21-y2cPbobDbMjr09BbtdKROZWc/edit#gid=14448656"&amp;"54"",""articles_with_PRISMA_reasons!Z2:Z2113""), $A1751=IMPORTRANGE(""https://docs.google.com/spreadsheets/d/1qpEmbGH0JjaJbUdp21-y2cPbobDbMjr09BbtdKROZWc/edit#gid=1444865654"",""articles_with_PRISMA_reasons!B2:B2113"")),F1751
=""Include"",FILTER(IMPORTRAN"&amp;"GE(""https://docs.google.com/spreadsheets/d/1kGrh75X1cNR1D7_FcY9zMnHP8iPO4M5RCRjy6nZY0TY/edit#gid=0"",""Table 1: Study characteristics!A4:A171""), $A1751=IMPORTRANGE(""https://docs.google.com/spreadsheets/d/1kGrh75X1cNR1D7_FcY9zMnHP8iPO4M5RCRjy6nZY0TY/edi"&amp;"t#gid=0"",""Table 1: Study characteristics!B4:B171""))
)"),"background article")</f>
        <v>background article</v>
      </c>
    </row>
    <row r="1752">
      <c r="A1752" s="4" t="str">
        <f>IFERROR(__xludf.DUMMYFUNCTION("""COMPUTED_VALUE"""),"Spinal hamartoma associated with spinal dysraphism")</f>
        <v>Spinal hamartoma associated with spinal dysraphism</v>
      </c>
      <c r="B1752" s="5" t="str">
        <f>IFERROR(__xludf.DUMMYFUNCTION("LEFT(FILTER(IMPORTRANGE(""https://docs.google.com/spreadsheets/d/1BJSV3WBYJGRhQ6zExamkszQ5VutGIcaQqmbD9ZTVXMQ/edit#gid=1251630045"",""articles_with_PRISMA_reasons!K2:K2113""), $A1752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$A1752=IMPORTRANGE(""https://docs.google.com/spreadsheets/d/1BJSV3WBYJGRhQ6zExamkszQ5VutGIcaQqmbD9ZTVXMQ/edit#gid=1251630045"",""articles_with_PRISMA_reasons!B2:B2113"")))-1)"),"Takeyama")</f>
        <v>Takeyama</v>
      </c>
      <c r="C1752" s="6">
        <f>IFERROR(__xludf.DUMMYFUNCTION("FILTER(IMPORTRANGE(""https://docs.google.com/spreadsheets/d/1BJSV3WBYJGRhQ6zExamkszQ5VutGIcaQqmbD9ZTVXMQ/edit#gid=1251630045"",""articles_with_PRISMA_reasons!C2:C2113""), $A1752=IMPORTRANGE(""https://docs.google.com/spreadsheets/d/1BJSV3WBYJGRhQ6zExamkszQ"&amp;"5VutGIcaQqmbD9ZTVXMQ/edit#gid=1251630045"",""articles_with_PRISMA_reasons!B2:B2113""))"),2006.0)</f>
        <v>2006</v>
      </c>
      <c r="D1752" s="5" t="str">
        <f>IFERROR(__xludf.DUMMYFUNCTION("IFS(AND(
FILTER(IMPORTRANGE(""https://docs.google.com/spreadsheets/d/1BJSV3WBYJGRhQ6zExamkszQ5VutGIcaQqmbD9ZTVXMQ/edit#gid=1251630045"",""articles_with_PRISMA_reasons!Y2:Y2113""), $A1752=IMPORTRANGE(""https://docs.google.com/spreadsheets/d/1BJSV3WBYJGRhQ6"&amp;"zExamkszQ5VutGIcaQqmbD9ZTVXMQ/edit#gid=1251630045"",""articles_with_PRISMA_reasons!B2:B2113""))&gt;=2,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$A1752=IMPORTRANGE(""https://docs.google.com/spreadsheets/d/1BJSV3WBYJGRhQ6zExamkszQ5VutGIcaQqmbD9ZTVXMQ/edit#gid=1251630045"",""articles_with_PRISMA_reasons!B2:B2113""))&lt;2),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$A1752=IMPORTRANGE(""https://docs.google.com/spreadsheets/d/1BJSV3WBYJGRhQ6zExamkszQ5VutGIcaQqmbD9ZTVXMQ/edit#gid=1251630045"",""a"&amp;"rticles_with_PRISMA_reasons!B2:B2113""))&lt;2,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$A1752=IMPORTRANGE(""https://docs.google"&amp;".com/spreadsheets/d/1BJSV3WBYJGRhQ6zExamkszQ5VutGIcaQqmbD9ZTVXMQ/edit#gid=1251630045"",""articles_with_PRISMA_reasons!B2:B2113""))&gt;=2),
""Exclude""
)"),"Exclude")</f>
        <v>Exclude</v>
      </c>
      <c r="E1752" s="5" t="str">
        <f>IFERROR(__xludf.DUMMYFUNCTION("IFS(
D1752=""Exclude"",""Exclude"",
AND(
FILTER(IMPORTRANGE(""https://docs.google.com/spreadsheets/d/1qpEmbGH0JjaJbUdp21-y2cPbobDbMjr09BbtdKROZWc/edit#gid=1444865654"",""articles_with_PRISMA_reasons!W2:W2113""), $A1752=IMPORTRANGE(""https://docs.google.co"&amp;"m/spreadsheets/d/1qpEmbGH0JjaJbUdp21-y2cPbobDbMjr09BbtdKROZWc/edit#gid=1444865654"",""articles_with_PRISMA_reasons!B2:B2113""))&gt;=2,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$A1752=IMPORTRANGE(""https://docs.google.com/spreadsheets/d/1qpEmbGH0JjaJbUdp21-y2cPbobDbMjr09BbtdKROZWc/edit#gid=1444865654"",""articles_with_PRISMA_reasons!B2:B2113""))&lt;2),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$A1752=IMPORTRANGE(""https://docs.google.com/spreadsheets/d/1qpEmbGH0JjaJbUdp21-y2cPbobDbMjr09Bbtd"&amp;"KROZWc/edit#gid=1444865654"",""articles_with_PRISMA_reasons!B2:B2113""))&lt;2,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$A1752=I"&amp;"MPORTRANGE(""https://docs.google.com/spreadsheets/d/1qpEmbGH0JjaJbUdp21-y2cPbobDbMjr09BbtdKROZWc/edit#gid=1444865654"",""articles_with_PRISMA_reasons!B2:B2113""))&gt;=2),
""Exclude""
)"),"Exclude")</f>
        <v>Exclude</v>
      </c>
      <c r="F1752" s="5" t="str">
        <f>IFERROR(__xludf.DUMMYFUNCTION("IFS(
E1752=""Exclude"",""Exclude"",
AND(
COUNTIF(
IMPORTRANGE(""https://docs.google.com/spreadsheets/d/1kGrh75X1cNR1D7_FcY9zMnHP8iPO4M5RCRjy6nZY0TY/edit#gid=0"",""Table 1: Study characteristics!B4:B171""),A1752)&gt;0,
COUNTIF(Studies!$A$2:$A$85,FILTER(IMPORT"&amp;"RANGE(""https://docs.google.com/spreadsheets/d/1kGrh75X1cNR1D7_FcY9zMnHP8iPO4M5RCRjy6nZY0TY/edit#gid=0"",""Table 1: Study characteristics!A4:A171""), $A1752=IMPORTRANGE(""https://docs.google.com/spreadsheets/d/1kGrh75X1cNR1D7_FcY9zMnHP8iPO4M5RCRjy6nZY0TY/"&amp;"edit#gid=0"",""Table 1: Study characteristics!B4:B171"")))&gt;0
),
""Include""
)"),"Exclude")</f>
        <v>Exclude</v>
      </c>
      <c r="G1752" s="5" t="str">
        <f>IFERROR(__xludf.DUMMYFUNCTION("IFS(
D1752=""Exclude"",
FILTER(IMPORTRANGE(""https://docs.google.com/spreadsheets/d/1BJSV3WBYJGRhQ6zExamkszQ5VutGIcaQqmbD9ZTVXMQ/edit#gid=1251630045"",""articles_with_PRISMA_reasons!AB2:AB2113""), $A1752=IMPORTRANGE(""https://docs.google.com/spreadsheets/"&amp;"d/1BJSV3WBYJGRhQ6zExamkszQ5VutGIcaQqmbD9ZTVXMQ/edit#gid=1251630045"",""articles_with_PRISMA_reasons!B2:B2113"")),
E1752=""Exclude"",
FILTER(IMPORTRANGE(""https://docs.google.com/spreadsheets/d/1qpEmbGH0JjaJbUdp21-y2cPbobDbMjr09BbtdKROZWc/edit#gid=14448656"&amp;"54"",""articles_with_PRISMA_reasons!Z2:Z2113""), $A1752=IMPORTRANGE(""https://docs.google.com/spreadsheets/d/1qpEmbGH0JjaJbUdp21-y2cPbobDbMjr09BbtdKROZWc/edit#gid=1444865654"",""articles_with_PRISMA_reasons!B2:B2113"")),F1752
=""Include"",FILTER(IMPORTRAN"&amp;"GE(""https://docs.google.com/spreadsheets/d/1kGrh75X1cNR1D7_FcY9zMnHP8iPO4M5RCRjy6nZY0TY/edit#gid=0"",""Table 1: Study characteristics!A4:A171""), $A1752=IMPORTRANGE(""https://docs.google.com/spreadsheets/d/1kGrh75X1cNR1D7_FcY9zMnHP8iPO4M5RCRjy6nZY0TY/edi"&amp;"t#gid=0"",""Table 1: Study characteristics!B4:B171""))
)"),"wrong population")</f>
        <v>wrong population</v>
      </c>
    </row>
    <row r="1753">
      <c r="A1753" s="4" t="str">
        <f>IFERROR(__xludf.DUMMYFUNCTION("""COMPUTED_VALUE"""),"Spinal lesion level in spina bifida: a source of neural and cognitive heterogeneity")</f>
        <v>Spinal lesion level in spina bifida: a source of neural and cognitive heterogeneity</v>
      </c>
      <c r="B1753" s="5" t="str">
        <f>IFERROR(__xludf.DUMMYFUNCTION("LEFT(FILTER(IMPORTRANGE(""https://docs.google.com/spreadsheets/d/1BJSV3WBYJGRhQ6zExamkszQ5VutGIcaQqmbD9ZTVXMQ/edit#gid=1251630045"",""articles_with_PRISMA_reasons!K2:K2113""), $A1753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$A1753=IMPORTRANGE(""https://docs.google.com/spreadsheets/d/1BJSV3WBYJGRhQ6zExamkszQ5VutGIcaQqmbD9ZTVXMQ/edit#gid=1251630045"",""articles_with_PRISMA_reasons!B2:B2113"")))-1)"),"Fletcher")</f>
        <v>Fletcher</v>
      </c>
      <c r="C1753" s="6" t="str">
        <f>IFERROR(__xludf.DUMMYFUNCTION("FILTER(IMPORTRANGE(""https://docs.google.com/spreadsheets/d/1BJSV3WBYJGRhQ6zExamkszQ5VutGIcaQqmbD9ZTVXMQ/edit#gid=1251630045"",""articles_with_PRISMA_reasons!C2:C2113""), $A1753=IMPORTRANGE(""https://docs.google.com/spreadsheets/d/1BJSV3WBYJGRhQ6zExamkszQ"&amp;"5VutGIcaQqmbD9ZTVXMQ/edit#gid=1251630045"",""articles_with_PRISMA_reasons!B2:B2113""))"),"Apr")</f>
        <v>Apr</v>
      </c>
      <c r="D1753" s="5" t="str">
        <f>IFERROR(__xludf.DUMMYFUNCTION("IFS(AND(
FILTER(IMPORTRANGE(""https://docs.google.com/spreadsheets/d/1BJSV3WBYJGRhQ6zExamkszQ5VutGIcaQqmbD9ZTVXMQ/edit#gid=1251630045"",""articles_with_PRISMA_reasons!Y2:Y2113""), $A1753=IMPORTRANGE(""https://docs.google.com/spreadsheets/d/1BJSV3WBYJGRhQ6"&amp;"zExamkszQ5VutGIcaQqmbD9ZTVXMQ/edit#gid=1251630045"",""articles_with_PRISMA_reasons!B2:B2113""))&gt;=2,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$A1753=IMPORTRANGE(""https://docs.google.com/spreadsheets/d/1BJSV3WBYJGRhQ6zExamkszQ5VutGIcaQqmbD9ZTVXMQ/edit#gid=1251630045"",""articles_with_PRISMA_reasons!B2:B2113""))&lt;2),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$A1753=IMPORTRANGE(""https://docs.google.com/spreadsheets/d/1BJSV3WBYJGRhQ6zExamkszQ5VutGIcaQqmbD9ZTVXMQ/edit#gid=1251630045"",""a"&amp;"rticles_with_PRISMA_reasons!B2:B2113""))&lt;2,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$A1753=IMPORTRANGE(""https://docs.google"&amp;".com/spreadsheets/d/1BJSV3WBYJGRhQ6zExamkszQ5VutGIcaQqmbD9ZTVXMQ/edit#gid=1251630045"",""articles_with_PRISMA_reasons!B2:B2113""))&gt;=2),
""Exclude""
)"),"Exclude")</f>
        <v>Exclude</v>
      </c>
      <c r="E1753" s="5" t="str">
        <f>IFERROR(__xludf.DUMMYFUNCTION("IFS(
D1753=""Exclude"",""Exclude"",
AND(
FILTER(IMPORTRANGE(""https://docs.google.com/spreadsheets/d/1qpEmbGH0JjaJbUdp21-y2cPbobDbMjr09BbtdKROZWc/edit#gid=1444865654"",""articles_with_PRISMA_reasons!W2:W2113""), $A1753=IMPORTRANGE(""https://docs.google.co"&amp;"m/spreadsheets/d/1qpEmbGH0JjaJbUdp21-y2cPbobDbMjr09BbtdKROZWc/edit#gid=1444865654"",""articles_with_PRISMA_reasons!B2:B2113""))&gt;=2,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$A1753=IMPORTRANGE(""https://docs.google.com/spreadsheets/d/1qpEmbGH0JjaJbUdp21-y2cPbobDbMjr09BbtdKROZWc/edit#gid=1444865654"",""articles_with_PRISMA_reasons!B2:B2113""))&lt;2),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$A1753=IMPORTRANGE(""https://docs.google.com/spreadsheets/d/1qpEmbGH0JjaJbUdp21-y2cPbobDbMjr09Bbtd"&amp;"KROZWc/edit#gid=1444865654"",""articles_with_PRISMA_reasons!B2:B2113""))&lt;2,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$A1753=I"&amp;"MPORTRANGE(""https://docs.google.com/spreadsheets/d/1qpEmbGH0JjaJbUdp21-y2cPbobDbMjr09BbtdKROZWc/edit#gid=1444865654"",""articles_with_PRISMA_reasons!B2:B2113""))&gt;=2),
""Exclude""
)"),"Exclude")</f>
        <v>Exclude</v>
      </c>
      <c r="F1753" s="5" t="str">
        <f>IFERROR(__xludf.DUMMYFUNCTION("IFS(
E1753=""Exclude"",""Exclude"",
AND(
COUNTIF(
IMPORTRANGE(""https://docs.google.com/spreadsheets/d/1kGrh75X1cNR1D7_FcY9zMnHP8iPO4M5RCRjy6nZY0TY/edit#gid=0"",""Table 1: Study characteristics!B4:B171""),A1753)&gt;0,
COUNTIF(Studies!$A$2:$A$85,FILTER(IMPORT"&amp;"RANGE(""https://docs.google.com/spreadsheets/d/1kGrh75X1cNR1D7_FcY9zMnHP8iPO4M5RCRjy6nZY0TY/edit#gid=0"",""Table 1: Study characteristics!A4:A171""), $A1753=IMPORTRANGE(""https://docs.google.com/spreadsheets/d/1kGrh75X1cNR1D7_FcY9zMnHP8iPO4M5RCRjy6nZY0TY/"&amp;"edit#gid=0"",""Table 1: Study characteristics!B4:B171"")))&gt;0
),
""Include""
)"),"Exclude")</f>
        <v>Exclude</v>
      </c>
      <c r="G1753" s="5" t="str">
        <f>IFERROR(__xludf.DUMMYFUNCTION("IFS(
D1753=""Exclude"",
FILTER(IMPORTRANGE(""https://docs.google.com/spreadsheets/d/1BJSV3WBYJGRhQ6zExamkszQ5VutGIcaQqmbD9ZTVXMQ/edit#gid=1251630045"",""articles_with_PRISMA_reasons!AB2:AB2113""), $A1753=IMPORTRANGE(""https://docs.google.com/spreadsheets/"&amp;"d/1BJSV3WBYJGRhQ6zExamkszQ5VutGIcaQqmbD9ZTVXMQ/edit#gid=1251630045"",""articles_with_PRISMA_reasons!B2:B2113"")),
E1753=""Exclude"",
FILTER(IMPORTRANGE(""https://docs.google.com/spreadsheets/d/1qpEmbGH0JjaJbUdp21-y2cPbobDbMjr09BbtdKROZWc/edit#gid=14448656"&amp;"54"",""articles_with_PRISMA_reasons!Z2:Z2113""), $A1753=IMPORTRANGE(""https://docs.google.com/spreadsheets/d/1qpEmbGH0JjaJbUdp21-y2cPbobDbMjr09BbtdKROZWc/edit#gid=1444865654"",""articles_with_PRISMA_reasons!B2:B2113"")),F1753
=""Include"",FILTER(IMPORTRAN"&amp;"GE(""https://docs.google.com/spreadsheets/d/1kGrh75X1cNR1D7_FcY9zMnHP8iPO4M5RCRjy6nZY0TY/edit#gid=0"",""Table 1: Study characteristics!A4:A171""), $A1753=IMPORTRANGE(""https://docs.google.com/spreadsheets/d/1kGrh75X1cNR1D7_FcY9zMnHP8iPO4M5RCRjy6nZY0TY/edi"&amp;"t#gid=0"",""Table 1: Study characteristics!B4:B171""))
)"),"Duplicate")</f>
        <v>Duplicate</v>
      </c>
    </row>
    <row r="1754">
      <c r="A1754" s="4" t="str">
        <f>IFERROR(__xludf.DUMMYFUNCTION("""COMPUTED_VALUE"""),"Split cord malformation (SCM) in paediatric patients: Outcome of 19 cases")</f>
        <v>Split cord malformation (SCM) in paediatric patients: Outcome of 19 cases</v>
      </c>
      <c r="B1754" s="5" t="str">
        <f>IFERROR(__xludf.DUMMYFUNCTION("LEFT(FILTER(IMPORTRANGE(""https://docs.google.com/spreadsheets/d/1BJSV3WBYJGRhQ6zExamkszQ5VutGIcaQqmbD9ZTVXMQ/edit#gid=1251630045"",""articles_with_PRISMA_reasons!K2:K2113""), $A1754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$A1754=IMPORTRANGE(""https://docs.google.com/spreadsheets/d/1BJSV3WBYJGRhQ6zExamkszQ5VutGIcaQqmbD9ZTVXMQ/edit#gid=1251630045"",""articles_with_PRISMA_reasons!B2:B2113"")))-1)"),"Kumar")</f>
        <v>Kumar</v>
      </c>
      <c r="C1754" s="6">
        <f>IFERROR(__xludf.DUMMYFUNCTION("FILTER(IMPORTRANGE(""https://docs.google.com/spreadsheets/d/1BJSV3WBYJGRhQ6zExamkszQ5VutGIcaQqmbD9ZTVXMQ/edit#gid=1251630045"",""articles_with_PRISMA_reasons!C2:C2113""), $A1754=IMPORTRANGE(""https://docs.google.com/spreadsheets/d/1BJSV3WBYJGRhQ6zExamkszQ"&amp;"5VutGIcaQqmbD9ZTVXMQ/edit#gid=1251630045"",""articles_with_PRISMA_reasons!B2:B2113""))"),2001.0)</f>
        <v>2001</v>
      </c>
      <c r="D1754" s="5" t="str">
        <f>IFERROR(__xludf.DUMMYFUNCTION("IFS(AND(
FILTER(IMPORTRANGE(""https://docs.google.com/spreadsheets/d/1BJSV3WBYJGRhQ6zExamkszQ5VutGIcaQqmbD9ZTVXMQ/edit#gid=1251630045"",""articles_with_PRISMA_reasons!Y2:Y2113""), $A1754=IMPORTRANGE(""https://docs.google.com/spreadsheets/d/1BJSV3WBYJGRhQ6"&amp;"zExamkszQ5VutGIcaQqmbD9ZTVXMQ/edit#gid=1251630045"",""articles_with_PRISMA_reasons!B2:B2113""))&gt;=2,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$A1754=IMPORTRANGE(""https://docs.google.com/spreadsheets/d/1BJSV3WBYJGRhQ6zExamkszQ5VutGIcaQqmbD9ZTVXMQ/edit#gid=1251630045"",""articles_with_PRISMA_reasons!B2:B2113""))&lt;2),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$A1754=IMPORTRANGE(""https://docs.google.com/spreadsheets/d/1BJSV3WBYJGRhQ6zExamkszQ5VutGIcaQqmbD9ZTVXMQ/edit#gid=1251630045"",""a"&amp;"rticles_with_PRISMA_reasons!B2:B2113""))&lt;2,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$A1754=IMPORTRANGE(""https://docs.google"&amp;".com/spreadsheets/d/1BJSV3WBYJGRhQ6zExamkszQ5VutGIcaQqmbD9ZTVXMQ/edit#gid=1251630045"",""articles_with_PRISMA_reasons!B2:B2113""))&gt;=2),
""Exclude""
)"),"Exclude")</f>
        <v>Exclude</v>
      </c>
      <c r="E1754" s="5" t="str">
        <f>IFERROR(__xludf.DUMMYFUNCTION("IFS(
D1754=""Exclude"",""Exclude"",
AND(
FILTER(IMPORTRANGE(""https://docs.google.com/spreadsheets/d/1qpEmbGH0JjaJbUdp21-y2cPbobDbMjr09BbtdKROZWc/edit#gid=1444865654"",""articles_with_PRISMA_reasons!W2:W2113""), $A1754=IMPORTRANGE(""https://docs.google.co"&amp;"m/spreadsheets/d/1qpEmbGH0JjaJbUdp21-y2cPbobDbMjr09BbtdKROZWc/edit#gid=1444865654"",""articles_with_PRISMA_reasons!B2:B2113""))&gt;=2,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$A1754=IMPORTRANGE(""https://docs.google.com/spreadsheets/d/1qpEmbGH0JjaJbUdp21-y2cPbobDbMjr09BbtdKROZWc/edit#gid=1444865654"",""articles_with_PRISMA_reasons!B2:B2113""))&lt;2),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$A1754=IMPORTRANGE(""https://docs.google.com/spreadsheets/d/1qpEmbGH0JjaJbUdp21-y2cPbobDbMjr09Bbtd"&amp;"KROZWc/edit#gid=1444865654"",""articles_with_PRISMA_reasons!B2:B2113""))&lt;2,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$A1754=I"&amp;"MPORTRANGE(""https://docs.google.com/spreadsheets/d/1qpEmbGH0JjaJbUdp21-y2cPbobDbMjr09BbtdKROZWc/edit#gid=1444865654"",""articles_with_PRISMA_reasons!B2:B2113""))&gt;=2),
""Exclude""
)"),"Exclude")</f>
        <v>Exclude</v>
      </c>
      <c r="F1754" s="5" t="str">
        <f>IFERROR(__xludf.DUMMYFUNCTION("IFS(
E1754=""Exclude"",""Exclude"",
AND(
COUNTIF(
IMPORTRANGE(""https://docs.google.com/spreadsheets/d/1kGrh75X1cNR1D7_FcY9zMnHP8iPO4M5RCRjy6nZY0TY/edit#gid=0"",""Table 1: Study characteristics!B4:B171""),A1754)&gt;0,
COUNTIF(Studies!$A$2:$A$85,FILTER(IMPORT"&amp;"RANGE(""https://docs.google.com/spreadsheets/d/1kGrh75X1cNR1D7_FcY9zMnHP8iPO4M5RCRjy6nZY0TY/edit#gid=0"",""Table 1: Study characteristics!A4:A171""), $A1754=IMPORTRANGE(""https://docs.google.com/spreadsheets/d/1kGrh75X1cNR1D7_FcY9zMnHP8iPO4M5RCRjy6nZY0TY/"&amp;"edit#gid=0"",""Table 1: Study characteristics!B4:B171"")))&gt;0
),
""Include""
)"),"Exclude")</f>
        <v>Exclude</v>
      </c>
      <c r="G1754" s="5" t="str">
        <f>IFERROR(__xludf.DUMMYFUNCTION("IFS(
D1754=""Exclude"",
FILTER(IMPORTRANGE(""https://docs.google.com/spreadsheets/d/1BJSV3WBYJGRhQ6zExamkszQ5VutGIcaQqmbD9ZTVXMQ/edit#gid=1251630045"",""articles_with_PRISMA_reasons!AB2:AB2113""), $A1754=IMPORTRANGE(""https://docs.google.com/spreadsheets/"&amp;"d/1BJSV3WBYJGRhQ6zExamkszQ5VutGIcaQqmbD9ZTVXMQ/edit#gid=1251630045"",""articles_with_PRISMA_reasons!B2:B2113"")),
E1754=""Exclude"",
FILTER(IMPORTRANGE(""https://docs.google.com/spreadsheets/d/1qpEmbGH0JjaJbUdp21-y2cPbobDbMjr09BbtdKROZWc/edit#gid=14448656"&amp;"54"",""articles_with_PRISMA_reasons!Z2:Z2113""), $A1754=IMPORTRANGE(""https://docs.google.com/spreadsheets/d/1qpEmbGH0JjaJbUdp21-y2cPbobDbMjr09BbtdKROZWc/edit#gid=1444865654"",""articles_with_PRISMA_reasons!B2:B2113"")),F1754
=""Include"",FILTER(IMPORTRAN"&amp;"GE(""https://docs.google.com/spreadsheets/d/1kGrh75X1cNR1D7_FcY9zMnHP8iPO4M5RCRjy6nZY0TY/edit#gid=0"",""Table 1: Study characteristics!A4:A171""), $A1754=IMPORTRANGE(""https://docs.google.com/spreadsheets/d/1kGrh75X1cNR1D7_FcY9zMnHP8iPO4M5RCRjy6nZY0TY/edi"&amp;"t#gid=0"",""Table 1: Study characteristics!B4:B171""))
)"),"wrong population")</f>
        <v>wrong population</v>
      </c>
    </row>
    <row r="1755">
      <c r="A1755" s="4" t="str">
        <f>IFERROR(__xludf.DUMMYFUNCTION("""COMPUTED_VALUE"""),"Split notochord syndrome with dorsal enteric fistula in a male neonate: A case report")</f>
        <v>Split notochord syndrome with dorsal enteric fistula in a male neonate: A case report</v>
      </c>
      <c r="B1755" s="5" t="str">
        <f>IFERROR(__xludf.DUMMYFUNCTION("LEFT(FILTER(IMPORTRANGE(""https://docs.google.com/spreadsheets/d/1BJSV3WBYJGRhQ6zExamkszQ5VutGIcaQqmbD9ZTVXMQ/edit#gid=1251630045"",""articles_with_PRISMA_reasons!K2:K2113""), $A1755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$A1755=IMPORTRANGE(""https://docs.google.com/spreadsheets/d/1BJSV3WBYJGRhQ6zExamkszQ5VutGIcaQqmbD9ZTVXMQ/edit#gid=1251630045"",""articles_with_PRISMA_reasons!B2:B2113"")))-1)"),"Ghritlaharey")</f>
        <v>Ghritlaharey</v>
      </c>
      <c r="C1755" s="6">
        <f>IFERROR(__xludf.DUMMYFUNCTION("FILTER(IMPORTRANGE(""https://docs.google.com/spreadsheets/d/1BJSV3WBYJGRhQ6zExamkszQ5VutGIcaQqmbD9ZTVXMQ/edit#gid=1251630045"",""articles_with_PRISMA_reasons!C2:C2113""), $A1755=IMPORTRANGE(""https://docs.google.com/spreadsheets/d/1BJSV3WBYJGRhQ6zExamkszQ"&amp;"5VutGIcaQqmbD9ZTVXMQ/edit#gid=1251630045"",""articles_with_PRISMA_reasons!B2:B2113""))"),2009.0)</f>
        <v>2009</v>
      </c>
      <c r="D1755" s="5" t="str">
        <f>IFERROR(__xludf.DUMMYFUNCTION("IFS(AND(
FILTER(IMPORTRANGE(""https://docs.google.com/spreadsheets/d/1BJSV3WBYJGRhQ6zExamkszQ5VutGIcaQqmbD9ZTVXMQ/edit#gid=1251630045"",""articles_with_PRISMA_reasons!Y2:Y2113""), $A1755=IMPORTRANGE(""https://docs.google.com/spreadsheets/d/1BJSV3WBYJGRhQ6"&amp;"zExamkszQ5VutGIcaQqmbD9ZTVXMQ/edit#gid=1251630045"",""articles_with_PRISMA_reasons!B2:B2113""))&gt;=2,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$A1755=IMPORTRANGE(""https://docs.google.com/spreadsheets/d/1BJSV3WBYJGRhQ6zExamkszQ5VutGIcaQqmbD9ZTVXMQ/edit#gid=1251630045"",""articles_with_PRISMA_reasons!B2:B2113""))&lt;2),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$A1755=IMPORTRANGE(""https://docs.google.com/spreadsheets/d/1BJSV3WBYJGRhQ6zExamkszQ5VutGIcaQqmbD9ZTVXMQ/edit#gid=1251630045"",""a"&amp;"rticles_with_PRISMA_reasons!B2:B2113""))&lt;2,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$A1755=IMPORTRANGE(""https://docs.google"&amp;".com/spreadsheets/d/1BJSV3WBYJGRhQ6zExamkszQ5VutGIcaQqmbD9ZTVXMQ/edit#gid=1251630045"",""articles_with_PRISMA_reasons!B2:B2113""))&gt;=2),
""Exclude""
)"),"Exclude")</f>
        <v>Exclude</v>
      </c>
      <c r="E1755" s="5" t="str">
        <f>IFERROR(__xludf.DUMMYFUNCTION("IFS(
D1755=""Exclude"",""Exclude"",
AND(
FILTER(IMPORTRANGE(""https://docs.google.com/spreadsheets/d/1qpEmbGH0JjaJbUdp21-y2cPbobDbMjr09BbtdKROZWc/edit#gid=1444865654"",""articles_with_PRISMA_reasons!W2:W2113""), $A1755=IMPORTRANGE(""https://docs.google.co"&amp;"m/spreadsheets/d/1qpEmbGH0JjaJbUdp21-y2cPbobDbMjr09BbtdKROZWc/edit#gid=1444865654"",""articles_with_PRISMA_reasons!B2:B2113""))&gt;=2,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$A1755=IMPORTRANGE(""https://docs.google.com/spreadsheets/d/1qpEmbGH0JjaJbUdp21-y2cPbobDbMjr09BbtdKROZWc/edit#gid=1444865654"",""articles_with_PRISMA_reasons!B2:B2113""))&lt;2),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$A1755=IMPORTRANGE(""https://docs.google.com/spreadsheets/d/1qpEmbGH0JjaJbUdp21-y2cPbobDbMjr09Bbtd"&amp;"KROZWc/edit#gid=1444865654"",""articles_with_PRISMA_reasons!B2:B2113""))&lt;2,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$A1755=I"&amp;"MPORTRANGE(""https://docs.google.com/spreadsheets/d/1qpEmbGH0JjaJbUdp21-y2cPbobDbMjr09BbtdKROZWc/edit#gid=1444865654"",""articles_with_PRISMA_reasons!B2:B2113""))&gt;=2),
""Exclude""
)"),"Exclude")</f>
        <v>Exclude</v>
      </c>
      <c r="F1755" s="5" t="str">
        <f>IFERROR(__xludf.DUMMYFUNCTION("IFS(
E1755=""Exclude"",""Exclude"",
AND(
COUNTIF(
IMPORTRANGE(""https://docs.google.com/spreadsheets/d/1kGrh75X1cNR1D7_FcY9zMnHP8iPO4M5RCRjy6nZY0TY/edit#gid=0"",""Table 1: Study characteristics!B4:B171""),A1755)&gt;0,
COUNTIF(Studies!$A$2:$A$85,FILTER(IMPORT"&amp;"RANGE(""https://docs.google.com/spreadsheets/d/1kGrh75X1cNR1D7_FcY9zMnHP8iPO4M5RCRjy6nZY0TY/edit#gid=0"",""Table 1: Study characteristics!A4:A171""), $A1755=IMPORTRANGE(""https://docs.google.com/spreadsheets/d/1kGrh75X1cNR1D7_FcY9zMnHP8iPO4M5RCRjy6nZY0TY/"&amp;"edit#gid=0"",""Table 1: Study characteristics!B4:B171"")))&gt;0
),
""Include""
)"),"Exclude")</f>
        <v>Exclude</v>
      </c>
      <c r="G1755" s="5" t="str">
        <f>IFERROR(__xludf.DUMMYFUNCTION("IFS(
D1755=""Exclude"",
FILTER(IMPORTRANGE(""https://docs.google.com/spreadsheets/d/1BJSV3WBYJGRhQ6zExamkszQ5VutGIcaQqmbD9ZTVXMQ/edit#gid=1251630045"",""articles_with_PRISMA_reasons!AB2:AB2113""), $A1755=IMPORTRANGE(""https://docs.google.com/spreadsheets/"&amp;"d/1BJSV3WBYJGRhQ6zExamkszQ5VutGIcaQqmbD9ZTVXMQ/edit#gid=1251630045"",""articles_with_PRISMA_reasons!B2:B2113"")),
E1755=""Exclude"",
FILTER(IMPORTRANGE(""https://docs.google.com/spreadsheets/d/1qpEmbGH0JjaJbUdp21-y2cPbobDbMjr09BbtdKROZWc/edit#gid=14448656"&amp;"54"",""articles_with_PRISMA_reasons!Z2:Z2113""), $A1755=IMPORTRANGE(""https://docs.google.com/spreadsheets/d/1qpEmbGH0JjaJbUdp21-y2cPbobDbMjr09BbtdKROZWc/edit#gid=1444865654"",""articles_with_PRISMA_reasons!B2:B2113"")),F1755
=""Include"",FILTER(IMPORTRAN"&amp;"GE(""https://docs.google.com/spreadsheets/d/1kGrh75X1cNR1D7_FcY9zMnHP8iPO4M5RCRjy6nZY0TY/edit#gid=0"",""Table 1: Study characteristics!A4:A171""), $A1755=IMPORTRANGE(""https://docs.google.com/spreadsheets/d/1kGrh75X1cNR1D7_FcY9zMnHP8iPO4M5RCRjy6nZY0TY/edi"&amp;"t#gid=0"",""Table 1: Study characteristics!B4:B171""))
)"),"wrong publication type")</f>
        <v>wrong publication type</v>
      </c>
    </row>
    <row r="1756">
      <c r="A1756" s="4" t="str">
        <f>IFERROR(__xludf.DUMMYFUNCTION("""COMPUTED_VALUE"""),"Spondylocostal dysostosis and acute cholangitis in pediatrics emergency room")</f>
        <v>Spondylocostal dysostosis and acute cholangitis in pediatrics emergency room</v>
      </c>
      <c r="B1756" s="5" t="str">
        <f>IFERROR(__xludf.DUMMYFUNCTION("LEFT(FILTER(IMPORTRANGE(""https://docs.google.com/spreadsheets/d/1BJSV3WBYJGRhQ6zExamkszQ5VutGIcaQqmbD9ZTVXMQ/edit#gid=1251630045"",""articles_with_PRISMA_reasons!K2:K2113""), $A1756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$A1756=IMPORTRANGE(""https://docs.google.com/spreadsheets/d/1BJSV3WBYJGRhQ6zExamkszQ5VutGIcaQqmbD9ZTVXMQ/edit#gid=1251630045"",""articles_with_PRISMA_reasons!B2:B2113"")))-1)"),"Aviles-Martinez")</f>
        <v>Aviles-Martinez</v>
      </c>
      <c r="C1756" s="6">
        <f>IFERROR(__xludf.DUMMYFUNCTION("FILTER(IMPORTRANGE(""https://docs.google.com/spreadsheets/d/1BJSV3WBYJGRhQ6zExamkszQ5VutGIcaQqmbD9ZTVXMQ/edit#gid=1251630045"",""articles_with_PRISMA_reasons!C2:C2113""), $A1756=IMPORTRANGE(""https://docs.google.com/spreadsheets/d/1BJSV3WBYJGRhQ6zExamkszQ"&amp;"5VutGIcaQqmbD9ZTVXMQ/edit#gid=1251630045"",""articles_with_PRISMA_reasons!B2:B2113""))"),2016.0)</f>
        <v>2016</v>
      </c>
      <c r="D1756" s="5" t="str">
        <f>IFERROR(__xludf.DUMMYFUNCTION("IFS(AND(
FILTER(IMPORTRANGE(""https://docs.google.com/spreadsheets/d/1BJSV3WBYJGRhQ6zExamkszQ5VutGIcaQqmbD9ZTVXMQ/edit#gid=1251630045"",""articles_with_PRISMA_reasons!Y2:Y2113""), $A1756=IMPORTRANGE(""https://docs.google.com/spreadsheets/d/1BJSV3WBYJGRhQ6"&amp;"zExamkszQ5VutGIcaQqmbD9ZTVXMQ/edit#gid=1251630045"",""articles_with_PRISMA_reasons!B2:B2113""))&gt;=2,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$A1756=IMPORTRANGE(""https://docs.google.com/spreadsheets/d/1BJSV3WBYJGRhQ6zExamkszQ5VutGIcaQqmbD9ZTVXMQ/edit#gid=1251630045"",""articles_with_PRISMA_reasons!B2:B2113""))&lt;2),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$A1756=IMPORTRANGE(""https://docs.google.com/spreadsheets/d/1BJSV3WBYJGRhQ6zExamkszQ5VutGIcaQqmbD9ZTVXMQ/edit#gid=1251630045"",""a"&amp;"rticles_with_PRISMA_reasons!B2:B2113""))&lt;2,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$A1756=IMPORTRANGE(""https://docs.google"&amp;".com/spreadsheets/d/1BJSV3WBYJGRhQ6zExamkszQ5VutGIcaQqmbD9ZTVXMQ/edit#gid=1251630045"",""articles_with_PRISMA_reasons!B2:B2113""))&gt;=2),
""Exclude""
)"),"Exclude")</f>
        <v>Exclude</v>
      </c>
      <c r="E1756" s="5" t="str">
        <f>IFERROR(__xludf.DUMMYFUNCTION("IFS(
D1756=""Exclude"",""Exclude"",
AND(
FILTER(IMPORTRANGE(""https://docs.google.com/spreadsheets/d/1qpEmbGH0JjaJbUdp21-y2cPbobDbMjr09BbtdKROZWc/edit#gid=1444865654"",""articles_with_PRISMA_reasons!W2:W2113""), $A1756=IMPORTRANGE(""https://docs.google.co"&amp;"m/spreadsheets/d/1qpEmbGH0JjaJbUdp21-y2cPbobDbMjr09BbtdKROZWc/edit#gid=1444865654"",""articles_with_PRISMA_reasons!B2:B2113""))&gt;=2,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$A1756=IMPORTRANGE(""https://docs.google.com/spreadsheets/d/1qpEmbGH0JjaJbUdp21-y2cPbobDbMjr09BbtdKROZWc/edit#gid=1444865654"",""articles_with_PRISMA_reasons!B2:B2113""))&lt;2),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$A1756=IMPORTRANGE(""https://docs.google.com/spreadsheets/d/1qpEmbGH0JjaJbUdp21-y2cPbobDbMjr09Bbtd"&amp;"KROZWc/edit#gid=1444865654"",""articles_with_PRISMA_reasons!B2:B2113""))&lt;2,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$A1756=I"&amp;"MPORTRANGE(""https://docs.google.com/spreadsheets/d/1qpEmbGH0JjaJbUdp21-y2cPbobDbMjr09BbtdKROZWc/edit#gid=1444865654"",""articles_with_PRISMA_reasons!B2:B2113""))&gt;=2),
""Exclude""
)"),"Exclude")</f>
        <v>Exclude</v>
      </c>
      <c r="F1756" s="5" t="str">
        <f>IFERROR(__xludf.DUMMYFUNCTION("IFS(
E1756=""Exclude"",""Exclude"",
AND(
COUNTIF(
IMPORTRANGE(""https://docs.google.com/spreadsheets/d/1kGrh75X1cNR1D7_FcY9zMnHP8iPO4M5RCRjy6nZY0TY/edit#gid=0"",""Table 1: Study characteristics!B4:B171""),A1756)&gt;0,
COUNTIF(Studies!$A$2:$A$85,FILTER(IMPORT"&amp;"RANGE(""https://docs.google.com/spreadsheets/d/1kGrh75X1cNR1D7_FcY9zMnHP8iPO4M5RCRjy6nZY0TY/edit#gid=0"",""Table 1: Study characteristics!A4:A171""), $A1756=IMPORTRANGE(""https://docs.google.com/spreadsheets/d/1kGrh75X1cNR1D7_FcY9zMnHP8iPO4M5RCRjy6nZY0TY/"&amp;"edit#gid=0"",""Table 1: Study characteristics!B4:B171"")))&gt;0
),
""Include""
)"),"Exclude")</f>
        <v>Exclude</v>
      </c>
      <c r="G1756" s="5" t="str">
        <f>IFERROR(__xludf.DUMMYFUNCTION("IFS(
D1756=""Exclude"",
FILTER(IMPORTRANGE(""https://docs.google.com/spreadsheets/d/1BJSV3WBYJGRhQ6zExamkszQ5VutGIcaQqmbD9ZTVXMQ/edit#gid=1251630045"",""articles_with_PRISMA_reasons!AB2:AB2113""), $A1756=IMPORTRANGE(""https://docs.google.com/spreadsheets/"&amp;"d/1BJSV3WBYJGRhQ6zExamkszQ5VutGIcaQqmbD9ZTVXMQ/edit#gid=1251630045"",""articles_with_PRISMA_reasons!B2:B2113"")),
E1756=""Exclude"",
FILTER(IMPORTRANGE(""https://docs.google.com/spreadsheets/d/1qpEmbGH0JjaJbUdp21-y2cPbobDbMjr09BbtdKROZWc/edit#gid=14448656"&amp;"54"",""articles_with_PRISMA_reasons!Z2:Z2113""), $A1756=IMPORTRANGE(""https://docs.google.com/spreadsheets/d/1qpEmbGH0JjaJbUdp21-y2cPbobDbMjr09BbtdKROZWc/edit#gid=1444865654"",""articles_with_PRISMA_reasons!B2:B2113"")),F1756
=""Include"",FILTER(IMPORTRAN"&amp;"GE(""https://docs.google.com/spreadsheets/d/1kGrh75X1cNR1D7_FcY9zMnHP8iPO4M5RCRjy6nZY0TY/edit#gid=0"",""Table 1: Study characteristics!A4:A171""), $A1756=IMPORTRANGE(""https://docs.google.com/spreadsheets/d/1kGrh75X1cNR1D7_FcY9zMnHP8iPO4M5RCRjy6nZY0TY/edi"&amp;"t#gid=0"",""Table 1: Study characteristics!B4:B171""))
)"),"wrong study design")</f>
        <v>wrong study design</v>
      </c>
    </row>
    <row r="1757">
      <c r="A1757" s="4" t="str">
        <f>IFERROR(__xludf.DUMMYFUNCTION("""COMPUTED_VALUE"""),"Spondylocostal dysostosis associated with diaphragmatic hernia and neural tube defects")</f>
        <v>Spondylocostal dysostosis associated with diaphragmatic hernia and neural tube defects</v>
      </c>
      <c r="B1757" s="5" t="str">
        <f>IFERROR(__xludf.DUMMYFUNCTION("LEFT(FILTER(IMPORTRANGE(""https://docs.google.com/spreadsheets/d/1BJSV3WBYJGRhQ6zExamkszQ5VutGIcaQqmbD9ZTVXMQ/edit#gid=1251630045"",""articles_with_PRISMA_reasons!K2:K2113""), $A1757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$A1757=IMPORTRANGE(""https://docs.google.com/spreadsheets/d/1BJSV3WBYJGRhQ6zExamkszQ5VutGIcaQqmbD9ZTVXMQ/edit#gid=1251630045"",""articles_with_PRISMA_reasons!B2:B2113"")))-1)"),"Cetinkaya")</f>
        <v>Cetinkaya</v>
      </c>
      <c r="C1757" s="6">
        <f>IFERROR(__xludf.DUMMYFUNCTION("FILTER(IMPORTRANGE(""https://docs.google.com/spreadsheets/d/1BJSV3WBYJGRhQ6zExamkszQ5VutGIcaQqmbD9ZTVXMQ/edit#gid=1251630045"",""articles_with_PRISMA_reasons!C2:C2113""), $A1757=IMPORTRANGE(""https://docs.google.com/spreadsheets/d/1BJSV3WBYJGRhQ6zExamkszQ"&amp;"5VutGIcaQqmbD9ZTVXMQ/edit#gid=1251630045"",""articles_with_PRISMA_reasons!B2:B2113""))"),2008.0)</f>
        <v>2008</v>
      </c>
      <c r="D1757" s="5" t="str">
        <f>IFERROR(__xludf.DUMMYFUNCTION("IFS(AND(
FILTER(IMPORTRANGE(""https://docs.google.com/spreadsheets/d/1BJSV3WBYJGRhQ6zExamkszQ5VutGIcaQqmbD9ZTVXMQ/edit#gid=1251630045"",""articles_with_PRISMA_reasons!Y2:Y2113""), $A1757=IMPORTRANGE(""https://docs.google.com/spreadsheets/d/1BJSV3WBYJGRhQ6"&amp;"zExamkszQ5VutGIcaQqmbD9ZTVXMQ/edit#gid=1251630045"",""articles_with_PRISMA_reasons!B2:B2113""))&gt;=2,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$A1757=IMPORTRANGE(""https://docs.google.com/spreadsheets/d/1BJSV3WBYJGRhQ6zExamkszQ5VutGIcaQqmbD9ZTVXMQ/edit#gid=1251630045"",""articles_with_PRISMA_reasons!B2:B2113""))&lt;2),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$A1757=IMPORTRANGE(""https://docs.google.com/spreadsheets/d/1BJSV3WBYJGRhQ6zExamkszQ5VutGIcaQqmbD9ZTVXMQ/edit#gid=1251630045"",""a"&amp;"rticles_with_PRISMA_reasons!B2:B2113""))&lt;2,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$A1757=IMPORTRANGE(""https://docs.google"&amp;".com/spreadsheets/d/1BJSV3WBYJGRhQ6zExamkszQ5VutGIcaQqmbD9ZTVXMQ/edit#gid=1251630045"",""articles_with_PRISMA_reasons!B2:B2113""))&gt;=2),
""Exclude""
)"),"Exclude")</f>
        <v>Exclude</v>
      </c>
      <c r="E1757" s="5" t="str">
        <f>IFERROR(__xludf.DUMMYFUNCTION("IFS(
D1757=""Exclude"",""Exclude"",
AND(
FILTER(IMPORTRANGE(""https://docs.google.com/spreadsheets/d/1qpEmbGH0JjaJbUdp21-y2cPbobDbMjr09BbtdKROZWc/edit#gid=1444865654"",""articles_with_PRISMA_reasons!W2:W2113""), $A1757=IMPORTRANGE(""https://docs.google.co"&amp;"m/spreadsheets/d/1qpEmbGH0JjaJbUdp21-y2cPbobDbMjr09BbtdKROZWc/edit#gid=1444865654"",""articles_with_PRISMA_reasons!B2:B2113""))&gt;=2,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$A1757=IMPORTRANGE(""https://docs.google.com/spreadsheets/d/1qpEmbGH0JjaJbUdp21-y2cPbobDbMjr09BbtdKROZWc/edit#gid=1444865654"",""articles_with_PRISMA_reasons!B2:B2113""))&lt;2),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$A1757=IMPORTRANGE(""https://docs.google.com/spreadsheets/d/1qpEmbGH0JjaJbUdp21-y2cPbobDbMjr09Bbtd"&amp;"KROZWc/edit#gid=1444865654"",""articles_with_PRISMA_reasons!B2:B2113""))&lt;2,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$A1757=I"&amp;"MPORTRANGE(""https://docs.google.com/spreadsheets/d/1qpEmbGH0JjaJbUdp21-y2cPbobDbMjr09BbtdKROZWc/edit#gid=1444865654"",""articles_with_PRISMA_reasons!B2:B2113""))&gt;=2),
""Exclude""
)"),"Exclude")</f>
        <v>Exclude</v>
      </c>
      <c r="F1757" s="5" t="str">
        <f>IFERROR(__xludf.DUMMYFUNCTION("IFS(
E1757=""Exclude"",""Exclude"",
AND(
COUNTIF(
IMPORTRANGE(""https://docs.google.com/spreadsheets/d/1kGrh75X1cNR1D7_FcY9zMnHP8iPO4M5RCRjy6nZY0TY/edit#gid=0"",""Table 1: Study characteristics!B4:B171""),A1757)&gt;0,
COUNTIF(Studies!$A$2:$A$85,FILTER(IMPORT"&amp;"RANGE(""https://docs.google.com/spreadsheets/d/1kGrh75X1cNR1D7_FcY9zMnHP8iPO4M5RCRjy6nZY0TY/edit#gid=0"",""Table 1: Study characteristics!A4:A171""), $A1757=IMPORTRANGE(""https://docs.google.com/spreadsheets/d/1kGrh75X1cNR1D7_FcY9zMnHP8iPO4M5RCRjy6nZY0TY/"&amp;"edit#gid=0"",""Table 1: Study characteristics!B4:B171"")))&gt;0
),
""Include""
)"),"Exclude")</f>
        <v>Exclude</v>
      </c>
      <c r="G1757" s="5" t="str">
        <f>IFERROR(__xludf.DUMMYFUNCTION("IFS(
D1757=""Exclude"",
FILTER(IMPORTRANGE(""https://docs.google.com/spreadsheets/d/1BJSV3WBYJGRhQ6zExamkszQ5VutGIcaQqmbD9ZTVXMQ/edit#gid=1251630045"",""articles_with_PRISMA_reasons!AB2:AB2113""), $A1757=IMPORTRANGE(""https://docs.google.com/spreadsheets/"&amp;"d/1BJSV3WBYJGRhQ6zExamkszQ5VutGIcaQqmbD9ZTVXMQ/edit#gid=1251630045"",""articles_with_PRISMA_reasons!B2:B2113"")),
E1757=""Exclude"",
FILTER(IMPORTRANGE(""https://docs.google.com/spreadsheets/d/1qpEmbGH0JjaJbUdp21-y2cPbobDbMjr09BbtdKROZWc/edit#gid=14448656"&amp;"54"",""articles_with_PRISMA_reasons!Z2:Z2113""), $A1757=IMPORTRANGE(""https://docs.google.com/spreadsheets/d/1qpEmbGH0JjaJbUdp21-y2cPbobDbMjr09BbtdKROZWc/edit#gid=1444865654"",""articles_with_PRISMA_reasons!B2:B2113"")),F1757
=""Include"",FILTER(IMPORTRAN"&amp;"GE(""https://docs.google.com/spreadsheets/d/1kGrh75X1cNR1D7_FcY9zMnHP8iPO4M5RCRjy6nZY0TY/edit#gid=0"",""Table 1: Study characteristics!A4:A171""), $A1757=IMPORTRANGE(""https://docs.google.com/spreadsheets/d/1kGrh75X1cNR1D7_FcY9zMnHP8iPO4M5RCRjy6nZY0TY/edi"&amp;"t#gid=0"",""Table 1: Study characteristics!B4:B171""))
)"),"wrong study design")</f>
        <v>wrong study design</v>
      </c>
    </row>
    <row r="1758">
      <c r="A1758" s="4" t="str">
        <f>IFERROR(__xludf.DUMMYFUNCTION("""COMPUTED_VALUE"""),"Spontaneous closure of myelomeningocele")</f>
        <v>Spontaneous closure of myelomeningocele</v>
      </c>
      <c r="B1758" s="5" t="str">
        <f>IFERROR(__xludf.DUMMYFUNCTION("LEFT(FILTER(IMPORTRANGE(""https://docs.google.com/spreadsheets/d/1BJSV3WBYJGRhQ6zExamkszQ5VutGIcaQqmbD9ZTVXMQ/edit#gid=1251630045"",""articles_with_PRISMA_reasons!K2:K2113""), $A1758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$A1758=IMPORTRANGE(""https://docs.google.com/spreadsheets/d/1BJSV3WBYJGRhQ6zExamkszQ5VutGIcaQqmbD9ZTVXMQ/edit#gid=1251630045"",""articles_with_PRISMA_reasons!B2:B2113"")))-1)"),"Schulz")</f>
        <v>Schulz</v>
      </c>
      <c r="C1758" s="6">
        <f>IFERROR(__xludf.DUMMYFUNCTION("FILTER(IMPORTRANGE(""https://docs.google.com/spreadsheets/d/1BJSV3WBYJGRhQ6zExamkszQ5VutGIcaQqmbD9ZTVXMQ/edit#gid=1251630045"",""articles_with_PRISMA_reasons!C2:C2113""), $A1758=IMPORTRANGE(""https://docs.google.com/spreadsheets/d/1BJSV3WBYJGRhQ6zExamkszQ"&amp;"5VutGIcaQqmbD9ZTVXMQ/edit#gid=1251630045"",""articles_with_PRISMA_reasons!B2:B2113""))"),2020.0)</f>
        <v>2020</v>
      </c>
      <c r="D1758" s="5" t="str">
        <f>IFERROR(__xludf.DUMMYFUNCTION("IFS(AND(
FILTER(IMPORTRANGE(""https://docs.google.com/spreadsheets/d/1BJSV3WBYJGRhQ6zExamkszQ5VutGIcaQqmbD9ZTVXMQ/edit#gid=1251630045"",""articles_with_PRISMA_reasons!Y2:Y2113""), $A1758=IMPORTRANGE(""https://docs.google.com/spreadsheets/d/1BJSV3WBYJGRhQ6"&amp;"zExamkszQ5VutGIcaQqmbD9ZTVXMQ/edit#gid=1251630045"",""articles_with_PRISMA_reasons!B2:B2113""))&gt;=2,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$A1758=IMPORTRANGE(""https://docs.google.com/spreadsheets/d/1BJSV3WBYJGRhQ6zExamkszQ5VutGIcaQqmbD9ZTVXMQ/edit#gid=1251630045"",""articles_with_PRISMA_reasons!B2:B2113""))&lt;2),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$A1758=IMPORTRANGE(""https://docs.google.com/spreadsheets/d/1BJSV3WBYJGRhQ6zExamkszQ5VutGIcaQqmbD9ZTVXMQ/edit#gid=1251630045"",""a"&amp;"rticles_with_PRISMA_reasons!B2:B2113""))&lt;2,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$A1758=IMPORTRANGE(""https://docs.google"&amp;".com/spreadsheets/d/1BJSV3WBYJGRhQ6zExamkszQ5VutGIcaQqmbD9ZTVXMQ/edit#gid=1251630045"",""articles_with_PRISMA_reasons!B2:B2113""))&gt;=2),
""Exclude""
)"),"Exclude")</f>
        <v>Exclude</v>
      </c>
      <c r="E1758" s="5" t="str">
        <f>IFERROR(__xludf.DUMMYFUNCTION("IFS(
D1758=""Exclude"",""Exclude"",
AND(
FILTER(IMPORTRANGE(""https://docs.google.com/spreadsheets/d/1qpEmbGH0JjaJbUdp21-y2cPbobDbMjr09BbtdKROZWc/edit#gid=1444865654"",""articles_with_PRISMA_reasons!W2:W2113""), $A1758=IMPORTRANGE(""https://docs.google.co"&amp;"m/spreadsheets/d/1qpEmbGH0JjaJbUdp21-y2cPbobDbMjr09BbtdKROZWc/edit#gid=1444865654"",""articles_with_PRISMA_reasons!B2:B2113""))&gt;=2,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$A1758=IMPORTRANGE(""https://docs.google.com/spreadsheets/d/1qpEmbGH0JjaJbUdp21-y2cPbobDbMjr09BbtdKROZWc/edit#gid=1444865654"",""articles_with_PRISMA_reasons!B2:B2113""))&lt;2),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$A1758=IMPORTRANGE(""https://docs.google.com/spreadsheets/d/1qpEmbGH0JjaJbUdp21-y2cPbobDbMjr09Bbtd"&amp;"KROZWc/edit#gid=1444865654"",""articles_with_PRISMA_reasons!B2:B2113""))&lt;2,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$A1758=I"&amp;"MPORTRANGE(""https://docs.google.com/spreadsheets/d/1qpEmbGH0JjaJbUdp21-y2cPbobDbMjr09BbtdKROZWc/edit#gid=1444865654"",""articles_with_PRISMA_reasons!B2:B2113""))&gt;=2),
""Exclude""
)"),"Exclude")</f>
        <v>Exclude</v>
      </c>
      <c r="F1758" s="5" t="str">
        <f>IFERROR(__xludf.DUMMYFUNCTION("IFS(
E1758=""Exclude"",""Exclude"",
AND(
COUNTIF(
IMPORTRANGE(""https://docs.google.com/spreadsheets/d/1kGrh75X1cNR1D7_FcY9zMnHP8iPO4M5RCRjy6nZY0TY/edit#gid=0"",""Table 1: Study characteristics!B4:B171""),A1758)&gt;0,
COUNTIF(Studies!$A$2:$A$85,FILTER(IMPORT"&amp;"RANGE(""https://docs.google.com/spreadsheets/d/1kGrh75X1cNR1D7_FcY9zMnHP8iPO4M5RCRjy6nZY0TY/edit#gid=0"",""Table 1: Study characteristics!A4:A171""), $A1758=IMPORTRANGE(""https://docs.google.com/spreadsheets/d/1kGrh75X1cNR1D7_FcY9zMnHP8iPO4M5RCRjy6nZY0TY/"&amp;"edit#gid=0"",""Table 1: Study characteristics!B4:B171"")))&gt;0
),
""Include""
)"),"Exclude")</f>
        <v>Exclude</v>
      </c>
      <c r="G1758" s="5" t="str">
        <f>IFERROR(__xludf.DUMMYFUNCTION("IFS(
D1758=""Exclude"",
FILTER(IMPORTRANGE(""https://docs.google.com/spreadsheets/d/1BJSV3WBYJGRhQ6zExamkszQ5VutGIcaQqmbD9ZTVXMQ/edit#gid=1251630045"",""articles_with_PRISMA_reasons!AB2:AB2113""), $A1758=IMPORTRANGE(""https://docs.google.com/spreadsheets/"&amp;"d/1BJSV3WBYJGRhQ6zExamkszQ5VutGIcaQqmbD9ZTVXMQ/edit#gid=1251630045"",""articles_with_PRISMA_reasons!B2:B2113"")),
E1758=""Exclude"",
FILTER(IMPORTRANGE(""https://docs.google.com/spreadsheets/d/1qpEmbGH0JjaJbUdp21-y2cPbobDbMjr09BbtdKROZWc/edit#gid=14448656"&amp;"54"",""articles_with_PRISMA_reasons!Z2:Z2113""), $A1758=IMPORTRANGE(""https://docs.google.com/spreadsheets/d/1qpEmbGH0JjaJbUdp21-y2cPbobDbMjr09BbtdKROZWc/edit#gid=1444865654"",""articles_with_PRISMA_reasons!B2:B2113"")),F1758
=""Include"",FILTER(IMPORTRAN"&amp;"GE(""https://docs.google.com/spreadsheets/d/1kGrh75X1cNR1D7_FcY9zMnHP8iPO4M5RCRjy6nZY0TY/edit#gid=0"",""Table 1: Study characteristics!A4:A171""), $A1758=IMPORTRANGE(""https://docs.google.com/spreadsheets/d/1kGrh75X1cNR1D7_FcY9zMnHP8iPO4M5RCRjy6nZY0TY/edi"&amp;"t#gid=0"",""Table 1: Study characteristics!B4:B171""))
)"),"wrong study design")</f>
        <v>wrong study design</v>
      </c>
    </row>
    <row r="1759">
      <c r="A1759" s="4" t="str">
        <f>IFERROR(__xludf.DUMMYFUNCTION("""COMPUTED_VALUE"""),"Spontaneous Extrusion of Ventriculoperitoneal Shunt Catheter through the Right Lumbar Region: A Case Report and Review of the Literature")</f>
        <v>Spontaneous Extrusion of Ventriculoperitoneal Shunt Catheter through the Right Lumbar Region: A Case Report and Review of the Literature</v>
      </c>
      <c r="B1759" s="5" t="str">
        <f>IFERROR(__xludf.DUMMYFUNCTION("LEFT(FILTER(IMPORTRANGE(""https://docs.google.com/spreadsheets/d/1BJSV3WBYJGRhQ6zExamkszQ5VutGIcaQqmbD9ZTVXMQ/edit#gid=1251630045"",""articles_with_PRISMA_reasons!K2:K2113""), $A1759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$A1759=IMPORTRANGE(""https://docs.google.com/spreadsheets/d/1BJSV3WBYJGRhQ6zExamkszQ5VutGIcaQqmbD9ZTVXMQ/edit#gid=1251630045"",""articles_with_PRISMA_reasons!B2:B2113"")))-1)"),"Oktay")</f>
        <v>Oktay</v>
      </c>
      <c r="C1759" s="6">
        <f>IFERROR(__xludf.DUMMYFUNCTION("FILTER(IMPORTRANGE(""https://docs.google.com/spreadsheets/d/1BJSV3WBYJGRhQ6zExamkszQ5VutGIcaQqmbD9ZTVXMQ/edit#gid=1251630045"",""articles_with_PRISMA_reasons!C2:C2113""), $A1759=IMPORTRANGE(""https://docs.google.com/spreadsheets/d/1BJSV3WBYJGRhQ6zExamkszQ"&amp;"5VutGIcaQqmbD9ZTVXMQ/edit#gid=1251630045"",""articles_with_PRISMA_reasons!B2:B2113""))"),2015.0)</f>
        <v>2015</v>
      </c>
      <c r="D1759" s="5" t="str">
        <f>IFERROR(__xludf.DUMMYFUNCTION("IFS(AND(
FILTER(IMPORTRANGE(""https://docs.google.com/spreadsheets/d/1BJSV3WBYJGRhQ6zExamkszQ5VutGIcaQqmbD9ZTVXMQ/edit#gid=1251630045"",""articles_with_PRISMA_reasons!Y2:Y2113""), $A1759=IMPORTRANGE(""https://docs.google.com/spreadsheets/d/1BJSV3WBYJGRhQ6"&amp;"zExamkszQ5VutGIcaQqmbD9ZTVXMQ/edit#gid=1251630045"",""articles_with_PRISMA_reasons!B2:B2113""))&gt;=2,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$A1759=IMPORTRANGE(""https://docs.google.com/spreadsheets/d/1BJSV3WBYJGRhQ6zExamkszQ5VutGIcaQqmbD9ZTVXMQ/edit#gid=1251630045"",""articles_with_PRISMA_reasons!B2:B2113""))&lt;2),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$A1759=IMPORTRANGE(""https://docs.google.com/spreadsheets/d/1BJSV3WBYJGRhQ6zExamkszQ5VutGIcaQqmbD9ZTVXMQ/edit#gid=1251630045"",""a"&amp;"rticles_with_PRISMA_reasons!B2:B2113""))&lt;2,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$A1759=IMPORTRANGE(""https://docs.google"&amp;".com/spreadsheets/d/1BJSV3WBYJGRhQ6zExamkszQ5VutGIcaQqmbD9ZTVXMQ/edit#gid=1251630045"",""articles_with_PRISMA_reasons!B2:B2113""))&gt;=2),
""Exclude""
)"),"Exclude")</f>
        <v>Exclude</v>
      </c>
      <c r="E1759" s="5" t="str">
        <f>IFERROR(__xludf.DUMMYFUNCTION("IFS(
D1759=""Exclude"",""Exclude"",
AND(
FILTER(IMPORTRANGE(""https://docs.google.com/spreadsheets/d/1qpEmbGH0JjaJbUdp21-y2cPbobDbMjr09BbtdKROZWc/edit#gid=1444865654"",""articles_with_PRISMA_reasons!W2:W2113""), $A1759=IMPORTRANGE(""https://docs.google.co"&amp;"m/spreadsheets/d/1qpEmbGH0JjaJbUdp21-y2cPbobDbMjr09BbtdKROZWc/edit#gid=1444865654"",""articles_with_PRISMA_reasons!B2:B2113""))&gt;=2,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$A1759=IMPORTRANGE(""https://docs.google.com/spreadsheets/d/1qpEmbGH0JjaJbUdp21-y2cPbobDbMjr09BbtdKROZWc/edit#gid=1444865654"",""articles_with_PRISMA_reasons!B2:B2113""))&lt;2),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$A1759=IMPORTRANGE(""https://docs.google.com/spreadsheets/d/1qpEmbGH0JjaJbUdp21-y2cPbobDbMjr09Bbtd"&amp;"KROZWc/edit#gid=1444865654"",""articles_with_PRISMA_reasons!B2:B2113""))&lt;2,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$A1759=I"&amp;"MPORTRANGE(""https://docs.google.com/spreadsheets/d/1qpEmbGH0JjaJbUdp21-y2cPbobDbMjr09BbtdKROZWc/edit#gid=1444865654"",""articles_with_PRISMA_reasons!B2:B2113""))&gt;=2),
""Exclude""
)"),"Exclude")</f>
        <v>Exclude</v>
      </c>
      <c r="F1759" s="5" t="str">
        <f>IFERROR(__xludf.DUMMYFUNCTION("IFS(
E1759=""Exclude"",""Exclude"",
AND(
COUNTIF(
IMPORTRANGE(""https://docs.google.com/spreadsheets/d/1kGrh75X1cNR1D7_FcY9zMnHP8iPO4M5RCRjy6nZY0TY/edit#gid=0"",""Table 1: Study characteristics!B4:B171""),A1759)&gt;0,
COUNTIF(Studies!$A$2:$A$85,FILTER(IMPORT"&amp;"RANGE(""https://docs.google.com/spreadsheets/d/1kGrh75X1cNR1D7_FcY9zMnHP8iPO4M5RCRjy6nZY0TY/edit#gid=0"",""Table 1: Study characteristics!A4:A171""), $A1759=IMPORTRANGE(""https://docs.google.com/spreadsheets/d/1kGrh75X1cNR1D7_FcY9zMnHP8iPO4M5RCRjy6nZY0TY/"&amp;"edit#gid=0"",""Table 1: Study characteristics!B4:B171"")))&gt;0
),
""Include""
)"),"Exclude")</f>
        <v>Exclude</v>
      </c>
      <c r="G1759" s="5" t="str">
        <f>IFERROR(__xludf.DUMMYFUNCTION("IFS(
D1759=""Exclude"",
FILTER(IMPORTRANGE(""https://docs.google.com/spreadsheets/d/1BJSV3WBYJGRhQ6zExamkszQ5VutGIcaQqmbD9ZTVXMQ/edit#gid=1251630045"",""articles_with_PRISMA_reasons!AB2:AB2113""), $A1759=IMPORTRANGE(""https://docs.google.com/spreadsheets/"&amp;"d/1BJSV3WBYJGRhQ6zExamkszQ5VutGIcaQqmbD9ZTVXMQ/edit#gid=1251630045"",""articles_with_PRISMA_reasons!B2:B2113"")),
E1759=""Exclude"",
FILTER(IMPORTRANGE(""https://docs.google.com/spreadsheets/d/1qpEmbGH0JjaJbUdp21-y2cPbobDbMjr09BbtdKROZWc/edit#gid=14448656"&amp;"54"",""articles_with_PRISMA_reasons!Z2:Z2113""), $A1759=IMPORTRANGE(""https://docs.google.com/spreadsheets/d/1qpEmbGH0JjaJbUdp21-y2cPbobDbMjr09BbtdKROZWc/edit#gid=1444865654"",""articles_with_PRISMA_reasons!B2:B2113"")),F1759
=""Include"",FILTER(IMPORTRAN"&amp;"GE(""https://docs.google.com/spreadsheets/d/1kGrh75X1cNR1D7_FcY9zMnHP8iPO4M5RCRjy6nZY0TY/edit#gid=0"",""Table 1: Study characteristics!A4:A171""), $A1759=IMPORTRANGE(""https://docs.google.com/spreadsheets/d/1kGrh75X1cNR1D7_FcY9zMnHP8iPO4M5RCRjy6nZY0TY/edi"&amp;"t#gid=0"",""Table 1: Study characteristics!B4:B171""))
)"),"wrong publication type")</f>
        <v>wrong publication type</v>
      </c>
    </row>
    <row r="1760">
      <c r="A1760" s="4" t="str">
        <f>IFERROR(__xludf.DUMMYFUNCTION("""COMPUTED_VALUE"""),"Spontaneous pneumocephalus in a newborn infant with myelomeningocele and hydromyelia")</f>
        <v>Spontaneous pneumocephalus in a newborn infant with myelomeningocele and hydromyelia</v>
      </c>
      <c r="B1760" s="5" t="str">
        <f>IFERROR(__xludf.DUMMYFUNCTION("LEFT(FILTER(IMPORTRANGE(""https://docs.google.com/spreadsheets/d/1BJSV3WBYJGRhQ6zExamkszQ5VutGIcaQqmbD9ZTVXMQ/edit#gid=1251630045"",""articles_with_PRISMA_reasons!K2:K2113""), $A1760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$A1760=IMPORTRANGE(""https://docs.google.com/spreadsheets/d/1BJSV3WBYJGRhQ6zExamkszQ5VutGIcaQqmbD9ZTVXMQ/edit#gid=1251630045"",""articles_with_PRISMA_reasons!B2:B2113"")))-1)"),"Trawoger")</f>
        <v>Trawoger</v>
      </c>
      <c r="C1760" s="6">
        <f>IFERROR(__xludf.DUMMYFUNCTION("FILTER(IMPORTRANGE(""https://docs.google.com/spreadsheets/d/1BJSV3WBYJGRhQ6zExamkszQ5VutGIcaQqmbD9ZTVXMQ/edit#gid=1251630045"",""articles_with_PRISMA_reasons!C2:C2113""), $A1760=IMPORTRANGE(""https://docs.google.com/spreadsheets/d/1BJSV3WBYJGRhQ6zExamkszQ"&amp;"5VutGIcaQqmbD9ZTVXMQ/edit#gid=1251630045"",""articles_with_PRISMA_reasons!B2:B2113""))"),1994.0)</f>
        <v>1994</v>
      </c>
      <c r="D1760" s="5" t="str">
        <f>IFERROR(__xludf.DUMMYFUNCTION("IFS(AND(
FILTER(IMPORTRANGE(""https://docs.google.com/spreadsheets/d/1BJSV3WBYJGRhQ6zExamkszQ5VutGIcaQqmbD9ZTVXMQ/edit#gid=1251630045"",""articles_with_PRISMA_reasons!Y2:Y2113""), $A1760=IMPORTRANGE(""https://docs.google.com/spreadsheets/d/1BJSV3WBYJGRhQ6"&amp;"zExamkszQ5VutGIcaQqmbD9ZTVXMQ/edit#gid=1251630045"",""articles_with_PRISMA_reasons!B2:B2113""))&gt;=2,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$A1760=IMPORTRANGE(""https://docs.google.com/spreadsheets/d/1BJSV3WBYJGRhQ6zExamkszQ5VutGIcaQqmbD9ZTVXMQ/edit#gid=1251630045"",""articles_with_PRISMA_reasons!B2:B2113""))&lt;2),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$A1760=IMPORTRANGE(""https://docs.google.com/spreadsheets/d/1BJSV3WBYJGRhQ6zExamkszQ5VutGIcaQqmbD9ZTVXMQ/edit#gid=1251630045"",""a"&amp;"rticles_with_PRISMA_reasons!B2:B2113""))&lt;2,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$A1760=IMPORTRANGE(""https://docs.google"&amp;".com/spreadsheets/d/1BJSV3WBYJGRhQ6zExamkszQ5VutGIcaQqmbD9ZTVXMQ/edit#gid=1251630045"",""articles_with_PRISMA_reasons!B2:B2113""))&gt;=2),
""Exclude""
)"),"Exclude")</f>
        <v>Exclude</v>
      </c>
      <c r="E1760" s="5" t="str">
        <f>IFERROR(__xludf.DUMMYFUNCTION("IFS(
D1760=""Exclude"",""Exclude"",
AND(
FILTER(IMPORTRANGE(""https://docs.google.com/spreadsheets/d/1qpEmbGH0JjaJbUdp21-y2cPbobDbMjr09BbtdKROZWc/edit#gid=1444865654"",""articles_with_PRISMA_reasons!W2:W2113""), $A1760=IMPORTRANGE(""https://docs.google.co"&amp;"m/spreadsheets/d/1qpEmbGH0JjaJbUdp21-y2cPbobDbMjr09BbtdKROZWc/edit#gid=1444865654"",""articles_with_PRISMA_reasons!B2:B2113""))&gt;=2,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$A1760=IMPORTRANGE(""https://docs.google.com/spreadsheets/d/1qpEmbGH0JjaJbUdp21-y2cPbobDbMjr09BbtdKROZWc/edit#gid=1444865654"",""articles_with_PRISMA_reasons!B2:B2113""))&lt;2),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$A1760=IMPORTRANGE(""https://docs.google.com/spreadsheets/d/1qpEmbGH0JjaJbUdp21-y2cPbobDbMjr09Bbtd"&amp;"KROZWc/edit#gid=1444865654"",""articles_with_PRISMA_reasons!B2:B2113""))&lt;2,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$A1760=I"&amp;"MPORTRANGE(""https://docs.google.com/spreadsheets/d/1qpEmbGH0JjaJbUdp21-y2cPbobDbMjr09BbtdKROZWc/edit#gid=1444865654"",""articles_with_PRISMA_reasons!B2:B2113""))&gt;=2),
""Exclude""
)"),"Exclude")</f>
        <v>Exclude</v>
      </c>
      <c r="F1760" s="5" t="str">
        <f>IFERROR(__xludf.DUMMYFUNCTION("IFS(
E1760=""Exclude"",""Exclude"",
AND(
COUNTIF(
IMPORTRANGE(""https://docs.google.com/spreadsheets/d/1kGrh75X1cNR1D7_FcY9zMnHP8iPO4M5RCRjy6nZY0TY/edit#gid=0"",""Table 1: Study characteristics!B4:B171""),A1760)&gt;0,
COUNTIF(Studies!$A$2:$A$85,FILTER(IMPORT"&amp;"RANGE(""https://docs.google.com/spreadsheets/d/1kGrh75X1cNR1D7_FcY9zMnHP8iPO4M5RCRjy6nZY0TY/edit#gid=0"",""Table 1: Study characteristics!A4:A171""), $A1760=IMPORTRANGE(""https://docs.google.com/spreadsheets/d/1kGrh75X1cNR1D7_FcY9zMnHP8iPO4M5RCRjy6nZY0TY/"&amp;"edit#gid=0"",""Table 1: Study characteristics!B4:B171"")))&gt;0
),
""Include""
)"),"Exclude")</f>
        <v>Exclude</v>
      </c>
      <c r="G1760" s="5" t="str">
        <f>IFERROR(__xludf.DUMMYFUNCTION("IFS(
D1760=""Exclude"",
FILTER(IMPORTRANGE(""https://docs.google.com/spreadsheets/d/1BJSV3WBYJGRhQ6zExamkszQ5VutGIcaQqmbD9ZTVXMQ/edit#gid=1251630045"",""articles_with_PRISMA_reasons!AB2:AB2113""), $A1760=IMPORTRANGE(""https://docs.google.com/spreadsheets/"&amp;"d/1BJSV3WBYJGRhQ6zExamkszQ5VutGIcaQqmbD9ZTVXMQ/edit#gid=1251630045"",""articles_with_PRISMA_reasons!B2:B2113"")),
E1760=""Exclude"",
FILTER(IMPORTRANGE(""https://docs.google.com/spreadsheets/d/1qpEmbGH0JjaJbUdp21-y2cPbobDbMjr09BbtdKROZWc/edit#gid=14448656"&amp;"54"",""articles_with_PRISMA_reasons!Z2:Z2113""), $A1760=IMPORTRANGE(""https://docs.google.com/spreadsheets/d/1qpEmbGH0JjaJbUdp21-y2cPbobDbMjr09BbtdKROZWc/edit#gid=1444865654"",""articles_with_PRISMA_reasons!B2:B2113"")),F1760
=""Include"",FILTER(IMPORTRAN"&amp;"GE(""https://docs.google.com/spreadsheets/d/1kGrh75X1cNR1D7_FcY9zMnHP8iPO4M5RCRjy6nZY0TY/edit#gid=0"",""Table 1: Study characteristics!A4:A171""), $A1760=IMPORTRANGE(""https://docs.google.com/spreadsheets/d/1kGrh75X1cNR1D7_FcY9zMnHP8iPO4M5RCRjy6nZY0TY/edi"&amp;"t#gid=0"",""Table 1: Study characteristics!B4:B171""))
)"),"wrong study design")</f>
        <v>wrong study design</v>
      </c>
    </row>
    <row r="1761">
      <c r="A1761" s="4" t="str">
        <f>IFERROR(__xludf.DUMMYFUNCTION("""COMPUTED_VALUE"""),"Spontaneous third ventriculostomy in patients undergoing fetal surgery for myelomeningocele correction")</f>
        <v>Spontaneous third ventriculostomy in patients undergoing fetal surgery for myelomeningocele correction</v>
      </c>
      <c r="B1761" s="5" t="str">
        <f>IFERROR(__xludf.DUMMYFUNCTION("LEFT(FILTER(IMPORTRANGE(""https://docs.google.com/spreadsheets/d/1BJSV3WBYJGRhQ6zExamkszQ5VutGIcaQqmbD9ZTVXMQ/edit#gid=1251630045"",""articles_with_PRISMA_reasons!K2:K2113""), $A1761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$A1761=IMPORTRANGE(""https://docs.google.com/spreadsheets/d/1BJSV3WBYJGRhQ6zExamkszQ5VutGIcaQqmbD9ZTVXMQ/edit#gid=1251630045"",""articles_with_PRISMA_reasons!B2:B2113"")))-1)"),"de Oliveira Sampaio Vasconcelos e Sa")</f>
        <v>de Oliveira Sampaio Vasconcelos e Sa</v>
      </c>
      <c r="C1761" s="6">
        <f>IFERROR(__xludf.DUMMYFUNCTION("FILTER(IMPORTRANGE(""https://docs.google.com/spreadsheets/d/1BJSV3WBYJGRhQ6zExamkszQ5VutGIcaQqmbD9ZTVXMQ/edit#gid=1251630045"",""articles_with_PRISMA_reasons!C2:C2113""), $A1761=IMPORTRANGE(""https://docs.google.com/spreadsheets/d/1BJSV3WBYJGRhQ6zExamkszQ"&amp;"5VutGIcaQqmbD9ZTVXMQ/edit#gid=1251630045"",""articles_with_PRISMA_reasons!B2:B2113""))"),2021.0)</f>
        <v>2021</v>
      </c>
      <c r="D1761" s="5" t="str">
        <f>IFERROR(__xludf.DUMMYFUNCTION("IFS(AND(
FILTER(IMPORTRANGE(""https://docs.google.com/spreadsheets/d/1BJSV3WBYJGRhQ6zExamkszQ5VutGIcaQqmbD9ZTVXMQ/edit#gid=1251630045"",""articles_with_PRISMA_reasons!Y2:Y2113""), $A1761=IMPORTRANGE(""https://docs.google.com/spreadsheets/d/1BJSV3WBYJGRhQ6"&amp;"zExamkszQ5VutGIcaQqmbD9ZTVXMQ/edit#gid=1251630045"",""articles_with_PRISMA_reasons!B2:B2113""))&gt;=2,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$A1761=IMPORTRANGE(""https://docs.google.com/spreadsheets/d/1BJSV3WBYJGRhQ6zExamkszQ5VutGIcaQqmbD9ZTVXMQ/edit#gid=1251630045"",""articles_with_PRISMA_reasons!B2:B2113""))&lt;2),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$A1761=IMPORTRANGE(""https://docs.google.com/spreadsheets/d/1BJSV3WBYJGRhQ6zExamkszQ5VutGIcaQqmbD9ZTVXMQ/edit#gid=1251630045"",""a"&amp;"rticles_with_PRISMA_reasons!B2:B2113""))&lt;2,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$A1761=IMPORTRANGE(""https://docs.google"&amp;".com/spreadsheets/d/1BJSV3WBYJGRhQ6zExamkszQ5VutGIcaQqmbD9ZTVXMQ/edit#gid=1251630045"",""articles_with_PRISMA_reasons!B2:B2113""))&gt;=2),
""Exclude""
)"),"Exclude")</f>
        <v>Exclude</v>
      </c>
      <c r="E1761" s="5" t="str">
        <f>IFERROR(__xludf.DUMMYFUNCTION("IFS(
D1761=""Exclude"",""Exclude"",
AND(
FILTER(IMPORTRANGE(""https://docs.google.com/spreadsheets/d/1qpEmbGH0JjaJbUdp21-y2cPbobDbMjr09BbtdKROZWc/edit#gid=1444865654"",""articles_with_PRISMA_reasons!W2:W2113""), $A1761=IMPORTRANGE(""https://docs.google.co"&amp;"m/spreadsheets/d/1qpEmbGH0JjaJbUdp21-y2cPbobDbMjr09BbtdKROZWc/edit#gid=1444865654"",""articles_with_PRISMA_reasons!B2:B2113""))&gt;=2,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$A1761=IMPORTRANGE(""https://docs.google.com/spreadsheets/d/1qpEmbGH0JjaJbUdp21-y2cPbobDbMjr09BbtdKROZWc/edit#gid=1444865654"",""articles_with_PRISMA_reasons!B2:B2113""))&lt;2),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$A1761=IMPORTRANGE(""https://docs.google.com/spreadsheets/d/1qpEmbGH0JjaJbUdp21-y2cPbobDbMjr09Bbtd"&amp;"KROZWc/edit#gid=1444865654"",""articles_with_PRISMA_reasons!B2:B2113""))&lt;2,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$A1761=I"&amp;"MPORTRANGE(""https://docs.google.com/spreadsheets/d/1qpEmbGH0JjaJbUdp21-y2cPbobDbMjr09BbtdKROZWc/edit#gid=1444865654"",""articles_with_PRISMA_reasons!B2:B2113""))&gt;=2),
""Exclude""
)"),"Exclude")</f>
        <v>Exclude</v>
      </c>
      <c r="F1761" s="5" t="str">
        <f>IFERROR(__xludf.DUMMYFUNCTION("IFS(
E1761=""Exclude"",""Exclude"",
AND(
COUNTIF(
IMPORTRANGE(""https://docs.google.com/spreadsheets/d/1kGrh75X1cNR1D7_FcY9zMnHP8iPO4M5RCRjy6nZY0TY/edit#gid=0"",""Table 1: Study characteristics!B4:B171""),A1761)&gt;0,
COUNTIF(Studies!$A$2:$A$85,FILTER(IMPORT"&amp;"RANGE(""https://docs.google.com/spreadsheets/d/1kGrh75X1cNR1D7_FcY9zMnHP8iPO4M5RCRjy6nZY0TY/edit#gid=0"",""Table 1: Study characteristics!A4:A171""), $A1761=IMPORTRANGE(""https://docs.google.com/spreadsheets/d/1kGrh75X1cNR1D7_FcY9zMnHP8iPO4M5RCRjy6nZY0TY/"&amp;"edit#gid=0"",""Table 1: Study characteristics!B4:B171"")))&gt;0
),
""Include""
)"),"Exclude")</f>
        <v>Exclude</v>
      </c>
      <c r="G1761" s="5" t="str">
        <f>IFERROR(__xludf.DUMMYFUNCTION("IFS(
D1761=""Exclude"",
FILTER(IMPORTRANGE(""https://docs.google.com/spreadsheets/d/1BJSV3WBYJGRhQ6zExamkszQ5VutGIcaQqmbD9ZTVXMQ/edit#gid=1251630045"",""articles_with_PRISMA_reasons!AB2:AB2113""), $A1761=IMPORTRANGE(""https://docs.google.com/spreadsheets/"&amp;"d/1BJSV3WBYJGRhQ6zExamkszQ5VutGIcaQqmbD9ZTVXMQ/edit#gid=1251630045"",""articles_with_PRISMA_reasons!B2:B2113"")),
E1761=""Exclude"",
FILTER(IMPORTRANGE(""https://docs.google.com/spreadsheets/d/1qpEmbGH0JjaJbUdp21-y2cPbobDbMjr09BbtdKROZWc/edit#gid=14448656"&amp;"54"",""articles_with_PRISMA_reasons!Z2:Z2113""), $A1761=IMPORTRANGE(""https://docs.google.com/spreadsheets/d/1qpEmbGH0JjaJbUdp21-y2cPbobDbMjr09BbtdKROZWc/edit#gid=1444865654"",""articles_with_PRISMA_reasons!B2:B2113"")),F1761
=""Include"",FILTER(IMPORTRAN"&amp;"GE(""https://docs.google.com/spreadsheets/d/1kGrh75X1cNR1D7_FcY9zMnHP8iPO4M5RCRjy6nZY0TY/edit#gid=0"",""Table 1: Study characteristics!A4:A171""), $A1761=IMPORTRANGE(""https://docs.google.com/spreadsheets/d/1kGrh75X1cNR1D7_FcY9zMnHP8iPO4M5RCRjy6nZY0TY/edi"&amp;"t#gid=0"",""Table 1: Study characteristics!B4:B171""))
)"),"wrong population")</f>
        <v>wrong population</v>
      </c>
    </row>
    <row r="1762">
      <c r="A1762" s="4" t="str">
        <f>IFERROR(__xludf.DUMMYFUNCTION("""COMPUTED_VALUE"""),"Sport Participation by Physically and Cognitively Challenged Young Athletes")</f>
        <v>Sport Participation by Physically and Cognitively Challenged Young Athletes</v>
      </c>
      <c r="B1762" s="5" t="str">
        <f>IFERROR(__xludf.DUMMYFUNCTION("LEFT(FILTER(IMPORTRANGE(""https://docs.google.com/spreadsheets/d/1BJSV3WBYJGRhQ6zExamkszQ5VutGIcaQqmbD9ZTVXMQ/edit#gid=1251630045"",""articles_with_PRISMA_reasons!K2:K2113""), $A1762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$A1762=IMPORTRANGE(""https://docs.google.com/spreadsheets/d/1BJSV3WBYJGRhQ6zExamkszQ5VutGIcaQqmbD9ZTVXMQ/edit#gid=1251630045"",""articles_with_PRISMA_reasons!B2:B2113"")))-1)"),"Patel")</f>
        <v>Patel</v>
      </c>
      <c r="C1762" s="6">
        <f>IFERROR(__xludf.DUMMYFUNCTION("FILTER(IMPORTRANGE(""https://docs.google.com/spreadsheets/d/1BJSV3WBYJGRhQ6zExamkszQ5VutGIcaQqmbD9ZTVXMQ/edit#gid=1251630045"",""articles_with_PRISMA_reasons!C2:C2113""), $A1762=IMPORTRANGE(""https://docs.google.com/spreadsheets/d/1BJSV3WBYJGRhQ6zExamkszQ"&amp;"5VutGIcaQqmbD9ZTVXMQ/edit#gid=1251630045"",""articles_with_PRISMA_reasons!B2:B2113""))"),2010.0)</f>
        <v>2010</v>
      </c>
      <c r="D1762" s="5" t="str">
        <f>IFERROR(__xludf.DUMMYFUNCTION("IFS(AND(
FILTER(IMPORTRANGE(""https://docs.google.com/spreadsheets/d/1BJSV3WBYJGRhQ6zExamkszQ5VutGIcaQqmbD9ZTVXMQ/edit#gid=1251630045"",""articles_with_PRISMA_reasons!Y2:Y2113""), $A1762=IMPORTRANGE(""https://docs.google.com/spreadsheets/d/1BJSV3WBYJGRhQ6"&amp;"zExamkszQ5VutGIcaQqmbD9ZTVXMQ/edit#gid=1251630045"",""articles_with_PRISMA_reasons!B2:B2113""))&gt;=2,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$A1762=IMPORTRANGE(""https://docs.google.com/spreadsheets/d/1BJSV3WBYJGRhQ6zExamkszQ5VutGIcaQqmbD9ZTVXMQ/edit#gid=1251630045"",""articles_with_PRISMA_reasons!B2:B2113""))&lt;2),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$A1762=IMPORTRANGE(""https://docs.google.com/spreadsheets/d/1BJSV3WBYJGRhQ6zExamkszQ5VutGIcaQqmbD9ZTVXMQ/edit#gid=1251630045"",""a"&amp;"rticles_with_PRISMA_reasons!B2:B2113""))&lt;2,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$A1762=IMPORTRANGE(""https://docs.google"&amp;".com/spreadsheets/d/1BJSV3WBYJGRhQ6zExamkszQ5VutGIcaQqmbD9ZTVXMQ/edit#gid=1251630045"",""articles_with_PRISMA_reasons!B2:B2113""))&gt;=2),
""Exclude""
)"),"Exclude")</f>
        <v>Exclude</v>
      </c>
      <c r="E1762" s="5" t="str">
        <f>IFERROR(__xludf.DUMMYFUNCTION("IFS(
D1762=""Exclude"",""Exclude"",
AND(
FILTER(IMPORTRANGE(""https://docs.google.com/spreadsheets/d/1qpEmbGH0JjaJbUdp21-y2cPbobDbMjr09BbtdKROZWc/edit#gid=1444865654"",""articles_with_PRISMA_reasons!W2:W2113""), $A1762=IMPORTRANGE(""https://docs.google.co"&amp;"m/spreadsheets/d/1qpEmbGH0JjaJbUdp21-y2cPbobDbMjr09BbtdKROZWc/edit#gid=1444865654"",""articles_with_PRISMA_reasons!B2:B2113""))&gt;=2,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$A1762=IMPORTRANGE(""https://docs.google.com/spreadsheets/d/1qpEmbGH0JjaJbUdp21-y2cPbobDbMjr09BbtdKROZWc/edit#gid=1444865654"",""articles_with_PRISMA_reasons!B2:B2113""))&lt;2),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$A1762=IMPORTRANGE(""https://docs.google.com/spreadsheets/d/1qpEmbGH0JjaJbUdp21-y2cPbobDbMjr09Bbtd"&amp;"KROZWc/edit#gid=1444865654"",""articles_with_PRISMA_reasons!B2:B2113""))&lt;2,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$A1762=I"&amp;"MPORTRANGE(""https://docs.google.com/spreadsheets/d/1qpEmbGH0JjaJbUdp21-y2cPbobDbMjr09BbtdKROZWc/edit#gid=1444865654"",""articles_with_PRISMA_reasons!B2:B2113""))&gt;=2),
""Exclude""
)"),"Exclude")</f>
        <v>Exclude</v>
      </c>
      <c r="F1762" s="5" t="str">
        <f>IFERROR(__xludf.DUMMYFUNCTION("IFS(
E1762=""Exclude"",""Exclude"",
AND(
COUNTIF(
IMPORTRANGE(""https://docs.google.com/spreadsheets/d/1kGrh75X1cNR1D7_FcY9zMnHP8iPO4M5RCRjy6nZY0TY/edit#gid=0"",""Table 1: Study characteristics!B4:B171""),A1762)&gt;0,
COUNTIF(Studies!$A$2:$A$85,FILTER(IMPORT"&amp;"RANGE(""https://docs.google.com/spreadsheets/d/1kGrh75X1cNR1D7_FcY9zMnHP8iPO4M5RCRjy6nZY0TY/edit#gid=0"",""Table 1: Study characteristics!A4:A171""), $A1762=IMPORTRANGE(""https://docs.google.com/spreadsheets/d/1kGrh75X1cNR1D7_FcY9zMnHP8iPO4M5RCRjy6nZY0TY/"&amp;"edit#gid=0"",""Table 1: Study characteristics!B4:B171"")))&gt;0
),
""Include""
)"),"Exclude")</f>
        <v>Exclude</v>
      </c>
      <c r="G1762" s="5" t="str">
        <f>IFERROR(__xludf.DUMMYFUNCTION("IFS(
D1762=""Exclude"",
FILTER(IMPORTRANGE(""https://docs.google.com/spreadsheets/d/1BJSV3WBYJGRhQ6zExamkszQ5VutGIcaQqmbD9ZTVXMQ/edit#gid=1251630045"",""articles_with_PRISMA_reasons!AB2:AB2113""), $A1762=IMPORTRANGE(""https://docs.google.com/spreadsheets/"&amp;"d/1BJSV3WBYJGRhQ6zExamkszQ5VutGIcaQqmbD9ZTVXMQ/edit#gid=1251630045"",""articles_with_PRISMA_reasons!B2:B2113"")),
E1762=""Exclude"",
FILTER(IMPORTRANGE(""https://docs.google.com/spreadsheets/d/1qpEmbGH0JjaJbUdp21-y2cPbobDbMjr09BbtdKROZWc/edit#gid=14448656"&amp;"54"",""articles_with_PRISMA_reasons!Z2:Z2113""), $A1762=IMPORTRANGE(""https://docs.google.com/spreadsheets/d/1qpEmbGH0JjaJbUdp21-y2cPbobDbMjr09BbtdKROZWc/edit#gid=1444865654"",""articles_with_PRISMA_reasons!B2:B2113"")),F1762
=""Include"",FILTER(IMPORTRAN"&amp;"GE(""https://docs.google.com/spreadsheets/d/1kGrh75X1cNR1D7_FcY9zMnHP8iPO4M5RCRjy6nZY0TY/edit#gid=0"",""Table 1: Study characteristics!A4:A171""), $A1762=IMPORTRANGE(""https://docs.google.com/spreadsheets/d/1kGrh75X1cNR1D7_FcY9zMnHP8iPO4M5RCRjy6nZY0TY/edi"&amp;"t#gid=0"",""Table 1: Study characteristics!B4:B171""))
)"),"wrong study design")</f>
        <v>wrong study design</v>
      </c>
    </row>
    <row r="1763">
      <c r="A1763" s="4" t="str">
        <f>IFERROR(__xludf.DUMMYFUNCTION("""COMPUTED_VALUE"""),"Sports participation in adolescents and young adults with myelomeningocele and its role in total physical activity behaviour and fitness")</f>
        <v>Sports participation in adolescents and young adults with myelomeningocele and its role in total physical activity behaviour and fitness</v>
      </c>
      <c r="B1763" s="2" t="s">
        <v>42</v>
      </c>
      <c r="C1763" s="6">
        <f>IFERROR(__xludf.DUMMYFUNCTION("FILTER(IMPORTRANGE(""https://docs.google.com/spreadsheets/d/1BJSV3WBYJGRhQ6zExamkszQ5VutGIcaQqmbD9ZTVXMQ/edit#gid=1251630045"",""articles_with_PRISMA_reasons!C2:C2113""), $A1763=IMPORTRANGE(""https://docs.google.com/spreadsheets/d/1BJSV3WBYJGRhQ6zExamkszQ"&amp;"5VutGIcaQqmbD9ZTVXMQ/edit#gid=1251630045"",""articles_with_PRISMA_reasons!B2:B2113""))"),2008.0)</f>
        <v>2008</v>
      </c>
      <c r="D1763" s="5" t="str">
        <f>IFERROR(__xludf.DUMMYFUNCTION("IFS(AND(
FILTER(IMPORTRANGE(""https://docs.google.com/spreadsheets/d/1BJSV3WBYJGRhQ6zExamkszQ5VutGIcaQqmbD9ZTVXMQ/edit#gid=1251630045"",""articles_with_PRISMA_reasons!Y2:Y2113""), $A1763=IMPORTRANGE(""https://docs.google.com/spreadsheets/d/1BJSV3WBYJGRhQ6"&amp;"zExamkszQ5VutGIcaQqmbD9ZTVXMQ/edit#gid=1251630045"",""articles_with_PRISMA_reasons!B2:B2113""))&gt;=2,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$A1763=IMPORTRANGE(""https://docs.google.com/spreadsheets/d/1BJSV3WBYJGRhQ6zExamkszQ5VutGIcaQqmbD9ZTVXMQ/edit#gid=1251630045"",""articles_with_PRISMA_reasons!B2:B2113""))&lt;2),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$A1763=IMPORTRANGE(""https://docs.google.com/spreadsheets/d/1BJSV3WBYJGRhQ6zExamkszQ5VutGIcaQqmbD9ZTVXMQ/edit#gid=1251630045"",""a"&amp;"rticles_with_PRISMA_reasons!B2:B2113""))&lt;2,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$A1763=IMPORTRANGE(""https://docs.google"&amp;".com/spreadsheets/d/1BJSV3WBYJGRhQ6zExamkszQ5VutGIcaQqmbD9ZTVXMQ/edit#gid=1251630045"",""articles_with_PRISMA_reasons!B2:B2113""))&gt;=2),
""Exclude""
)"),"Exclude")</f>
        <v>Exclude</v>
      </c>
      <c r="E1763" s="5" t="str">
        <f>IFERROR(__xludf.DUMMYFUNCTION("IFS(
D1763=""Exclude"",""Exclude"",
AND(
FILTER(IMPORTRANGE(""https://docs.google.com/spreadsheets/d/1qpEmbGH0JjaJbUdp21-y2cPbobDbMjr09BbtdKROZWc/edit#gid=1444865654"",""articles_with_PRISMA_reasons!W2:W2113""), $A1763=IMPORTRANGE(""https://docs.google.co"&amp;"m/spreadsheets/d/1qpEmbGH0JjaJbUdp21-y2cPbobDbMjr09BbtdKROZWc/edit#gid=1444865654"",""articles_with_PRISMA_reasons!B2:B2113""))&gt;=2,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$A1763=IMPORTRANGE(""https://docs.google.com/spreadsheets/d/1qpEmbGH0JjaJbUdp21-y2cPbobDbMjr09BbtdKROZWc/edit#gid=1444865654"",""articles_with_PRISMA_reasons!B2:B2113""))&lt;2),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$A1763=IMPORTRANGE(""https://docs.google.com/spreadsheets/d/1qpEmbGH0JjaJbUdp21-y2cPbobDbMjr09Bbtd"&amp;"KROZWc/edit#gid=1444865654"",""articles_with_PRISMA_reasons!B2:B2113""))&lt;2,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$A1763=I"&amp;"MPORTRANGE(""https://docs.google.com/spreadsheets/d/1qpEmbGH0JjaJbUdp21-y2cPbobDbMjr09BbtdKROZWc/edit#gid=1444865654"",""articles_with_PRISMA_reasons!B2:B2113""))&gt;=2),
""Exclude""
)"),"Exclude")</f>
        <v>Exclude</v>
      </c>
      <c r="F1763" s="5" t="str">
        <f>IFERROR(__xludf.DUMMYFUNCTION("IFS(
E1763=""Exclude"",""Exclude"",
AND(
COUNTIF(
IMPORTRANGE(""https://docs.google.com/spreadsheets/d/1kGrh75X1cNR1D7_FcY9zMnHP8iPO4M5RCRjy6nZY0TY/edit#gid=0"",""Table 1: Study characteristics!B4:B171""),A1763)&gt;0,
COUNTIF(Studies!$A$2:$A$85,FILTER(IMPORT"&amp;"RANGE(""https://docs.google.com/spreadsheets/d/1kGrh75X1cNR1D7_FcY9zMnHP8iPO4M5RCRjy6nZY0TY/edit#gid=0"",""Table 1: Study characteristics!A4:A171""), $A1763=IMPORTRANGE(""https://docs.google.com/spreadsheets/d/1kGrh75X1cNR1D7_FcY9zMnHP8iPO4M5RCRjy6nZY0TY/"&amp;"edit#gid=0"",""Table 1: Study characteristics!B4:B171"")))&gt;0
),
""Include""
)"),"Exclude")</f>
        <v>Exclude</v>
      </c>
      <c r="G1763" s="5" t="str">
        <f>IFERROR(__xludf.DUMMYFUNCTION("IFS(
D1763=""Exclude"",
FILTER(IMPORTRANGE(""https://docs.google.com/spreadsheets/d/1BJSV3WBYJGRhQ6zExamkszQ5VutGIcaQqmbD9ZTVXMQ/edit#gid=1251630045"",""articles_with_PRISMA_reasons!AB2:AB2113""), $A1763=IMPORTRANGE(""https://docs.google.com/spreadsheets/"&amp;"d/1BJSV3WBYJGRhQ6zExamkszQ5VutGIcaQqmbD9ZTVXMQ/edit#gid=1251630045"",""articles_with_PRISMA_reasons!B2:B2113"")),
E1763=""Exclude"",
FILTER(IMPORTRANGE(""https://docs.google.com/spreadsheets/d/1qpEmbGH0JjaJbUdp21-y2cPbobDbMjr09BbtdKROZWc/edit#gid=14448656"&amp;"54"",""articles_with_PRISMA_reasons!Z2:Z2113""), $A1763=IMPORTRANGE(""https://docs.google.com/spreadsheets/d/1qpEmbGH0JjaJbUdp21-y2cPbobDbMjr09BbtdKROZWc/edit#gid=1444865654"",""articles_with_PRISMA_reasons!B2:B2113"")),F1763
=""Include"",FILTER(IMPORTRAN"&amp;"GE(""https://docs.google.com/spreadsheets/d/1kGrh75X1cNR1D7_FcY9zMnHP8iPO4M5RCRjy6nZY0TY/edit#gid=0"",""Table 1: Study characteristics!A4:A171""), $A1763=IMPORTRANGE(""https://docs.google.com/spreadsheets/d/1kGrh75X1cNR1D7_FcY9zMnHP8iPO4M5RCRjy6nZY0TY/edi"&amp;"t#gid=0"",""Table 1: Study characteristics!B4:B171""))
)"),"wrong study design")</f>
        <v>wrong study design</v>
      </c>
    </row>
    <row r="1764">
      <c r="A1764" s="4" t="str">
        <f>IFERROR(__xludf.DUMMYFUNCTION("""COMPUTED_VALUE"""),"Spreading of ventriculo-peritoneal shunt complications over time: An analysis of 210 patients and 388 procedures covering a period of seven years")</f>
        <v>Spreading of ventriculo-peritoneal shunt complications over time: An analysis of 210 patients and 388 procedures covering a period of seven years</v>
      </c>
      <c r="B1764" s="5" t="str">
        <f>IFERROR(__xludf.DUMMYFUNCTION("LEFT(FILTER(IMPORTRANGE(""https://docs.google.com/spreadsheets/d/1BJSV3WBYJGRhQ6zExamkszQ5VutGIcaQqmbD9ZTVXMQ/edit#gid=1251630045"",""articles_with_PRISMA_reasons!K2:K2113""), $A1764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$A1764=IMPORTRANGE(""https://docs.google.com/spreadsheets/d/1BJSV3WBYJGRhQ6zExamkszQ5VutGIcaQqmbD9ZTVXMQ/edit#gid=1251630045"",""articles_with_PRISMA_reasons!B2:B2113"")))-1)"),"Erdincler")</f>
        <v>Erdincler</v>
      </c>
      <c r="C1764" s="6">
        <f>IFERROR(__xludf.DUMMYFUNCTION("FILTER(IMPORTRANGE(""https://docs.google.com/spreadsheets/d/1BJSV3WBYJGRhQ6zExamkszQ5VutGIcaQqmbD9ZTVXMQ/edit#gid=1251630045"",""articles_with_PRISMA_reasons!C2:C2113""), $A1764=IMPORTRANGE(""https://docs.google.com/spreadsheets/d/1BJSV3WBYJGRhQ6zExamkszQ"&amp;"5VutGIcaQqmbD9ZTVXMQ/edit#gid=1251630045"",""articles_with_PRISMA_reasons!B2:B2113""))"),1998.0)</f>
        <v>1998</v>
      </c>
      <c r="D1764" s="5" t="str">
        <f>IFERROR(__xludf.DUMMYFUNCTION("IFS(AND(
FILTER(IMPORTRANGE(""https://docs.google.com/spreadsheets/d/1BJSV3WBYJGRhQ6zExamkszQ5VutGIcaQqmbD9ZTVXMQ/edit#gid=1251630045"",""articles_with_PRISMA_reasons!Y2:Y2113""), $A1764=IMPORTRANGE(""https://docs.google.com/spreadsheets/d/1BJSV3WBYJGRhQ6"&amp;"zExamkszQ5VutGIcaQqmbD9ZTVXMQ/edit#gid=1251630045"",""articles_with_PRISMA_reasons!B2:B2113""))&gt;=2,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$A1764=IMPORTRANGE(""https://docs.google.com/spreadsheets/d/1BJSV3WBYJGRhQ6zExamkszQ5VutGIcaQqmbD9ZTVXMQ/edit#gid=1251630045"",""articles_with_PRISMA_reasons!B2:B2113""))&lt;2),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$A1764=IMPORTRANGE(""https://docs.google.com/spreadsheets/d/1BJSV3WBYJGRhQ6zExamkszQ5VutGIcaQqmbD9ZTVXMQ/edit#gid=1251630045"",""a"&amp;"rticles_with_PRISMA_reasons!B2:B2113""))&lt;2,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$A1764=IMPORTRANGE(""https://docs.google"&amp;".com/spreadsheets/d/1BJSV3WBYJGRhQ6zExamkszQ5VutGIcaQqmbD9ZTVXMQ/edit#gid=1251630045"",""articles_with_PRISMA_reasons!B2:B2113""))&gt;=2),
""Exclude""
)"),"Exclude")</f>
        <v>Exclude</v>
      </c>
      <c r="E1764" s="5" t="str">
        <f>IFERROR(__xludf.DUMMYFUNCTION("IFS(
D1764=""Exclude"",""Exclude"",
AND(
FILTER(IMPORTRANGE(""https://docs.google.com/spreadsheets/d/1qpEmbGH0JjaJbUdp21-y2cPbobDbMjr09BbtdKROZWc/edit#gid=1444865654"",""articles_with_PRISMA_reasons!W2:W2113""), $A1764=IMPORTRANGE(""https://docs.google.co"&amp;"m/spreadsheets/d/1qpEmbGH0JjaJbUdp21-y2cPbobDbMjr09BbtdKROZWc/edit#gid=1444865654"",""articles_with_PRISMA_reasons!B2:B2113""))&gt;=2,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$A1764=IMPORTRANGE(""https://docs.google.com/spreadsheets/d/1qpEmbGH0JjaJbUdp21-y2cPbobDbMjr09BbtdKROZWc/edit#gid=1444865654"",""articles_with_PRISMA_reasons!B2:B2113""))&lt;2),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$A1764=IMPORTRANGE(""https://docs.google.com/spreadsheets/d/1qpEmbGH0JjaJbUdp21-y2cPbobDbMjr09Bbtd"&amp;"KROZWc/edit#gid=1444865654"",""articles_with_PRISMA_reasons!B2:B2113""))&lt;2,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$A1764=I"&amp;"MPORTRANGE(""https://docs.google.com/spreadsheets/d/1qpEmbGH0JjaJbUdp21-y2cPbobDbMjr09BbtdKROZWc/edit#gid=1444865654"",""articles_with_PRISMA_reasons!B2:B2113""))&gt;=2),
""Exclude""
)"),"Exclude")</f>
        <v>Exclude</v>
      </c>
      <c r="F1764" s="5" t="str">
        <f>IFERROR(__xludf.DUMMYFUNCTION("IFS(
E1764=""Exclude"",""Exclude"",
AND(
COUNTIF(
IMPORTRANGE(""https://docs.google.com/spreadsheets/d/1kGrh75X1cNR1D7_FcY9zMnHP8iPO4M5RCRjy6nZY0TY/edit#gid=0"",""Table 1: Study characteristics!B4:B171""),A1764)&gt;0,
COUNTIF(Studies!$A$2:$A$85,FILTER(IMPORT"&amp;"RANGE(""https://docs.google.com/spreadsheets/d/1kGrh75X1cNR1D7_FcY9zMnHP8iPO4M5RCRjy6nZY0TY/edit#gid=0"",""Table 1: Study characteristics!A4:A171""), $A1764=IMPORTRANGE(""https://docs.google.com/spreadsheets/d/1kGrh75X1cNR1D7_FcY9zMnHP8iPO4M5RCRjy6nZY0TY/"&amp;"edit#gid=0"",""Table 1: Study characteristics!B4:B171"")))&gt;0
),
""Include""
)"),"Exclude")</f>
        <v>Exclude</v>
      </c>
      <c r="G1764" s="5" t="str">
        <f>IFERROR(__xludf.DUMMYFUNCTION("IFS(
D1764=""Exclude"",
FILTER(IMPORTRANGE(""https://docs.google.com/spreadsheets/d/1BJSV3WBYJGRhQ6zExamkszQ5VutGIcaQqmbD9ZTVXMQ/edit#gid=1251630045"",""articles_with_PRISMA_reasons!AB2:AB2113""), $A1764=IMPORTRANGE(""https://docs.google.com/spreadsheets/"&amp;"d/1BJSV3WBYJGRhQ6zExamkszQ5VutGIcaQqmbD9ZTVXMQ/edit#gid=1251630045"",""articles_with_PRISMA_reasons!B2:B2113"")),
E1764=""Exclude"",
FILTER(IMPORTRANGE(""https://docs.google.com/spreadsheets/d/1qpEmbGH0JjaJbUdp21-y2cPbobDbMjr09BbtdKROZWc/edit#gid=14448656"&amp;"54"",""articles_with_PRISMA_reasons!Z2:Z2113""), $A1764=IMPORTRANGE(""https://docs.google.com/spreadsheets/d/1qpEmbGH0JjaJbUdp21-y2cPbobDbMjr09BbtdKROZWc/edit#gid=1444865654"",""articles_with_PRISMA_reasons!B2:B2113"")),F1764
=""Include"",FILTER(IMPORTRAN"&amp;"GE(""https://docs.google.com/spreadsheets/d/1kGrh75X1cNR1D7_FcY9zMnHP8iPO4M5RCRjy6nZY0TY/edit#gid=0"",""Table 1: Study characteristics!A4:A171""), $A1764=IMPORTRANGE(""https://docs.google.com/spreadsheets/d/1kGrh75X1cNR1D7_FcY9zMnHP8iPO4M5RCRjy6nZY0TY/edi"&amp;"t#gid=0"",""Table 1: Study characteristics!B4:B171""))
)"),"wrong population")</f>
        <v>wrong population</v>
      </c>
    </row>
    <row r="1765">
      <c r="A1765" s="4" t="str">
        <f>IFERROR(__xludf.DUMMYFUNCTION("""COMPUTED_VALUE"""),"Sprengel's deformity and spinal dysraphism: Connecting the shoulder and the spine")</f>
        <v>Sprengel's deformity and spinal dysraphism: Connecting the shoulder and the spine</v>
      </c>
      <c r="B1765" s="5" t="str">
        <f>IFERROR(__xludf.DUMMYFUNCTION("LEFT(FILTER(IMPORTRANGE(""https://docs.google.com/spreadsheets/d/1BJSV3WBYJGRhQ6zExamkszQ5VutGIcaQqmbD9ZTVXMQ/edit#gid=1251630045"",""articles_with_PRISMA_reasons!K2:K2113""), $A1765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$A1765=IMPORTRANGE(""https://docs.google.com/spreadsheets/d/1BJSV3WBYJGRhQ6zExamkszQ5VutGIcaQqmbD9ZTVXMQ/edit#gid=1251630045"",""articles_with_PRISMA_reasons!B2:B2113"")))-1)"),"Van Aalst")</f>
        <v>Van Aalst</v>
      </c>
      <c r="C1765" s="6">
        <f>IFERROR(__xludf.DUMMYFUNCTION("FILTER(IMPORTRANGE(""https://docs.google.com/spreadsheets/d/1BJSV3WBYJGRhQ6zExamkszQ5VutGIcaQqmbD9ZTVXMQ/edit#gid=1251630045"",""articles_with_PRISMA_reasons!C2:C2113""), $A1765=IMPORTRANGE(""https://docs.google.com/spreadsheets/d/1BJSV3WBYJGRhQ6zExamkszQ"&amp;"5VutGIcaQqmbD9ZTVXMQ/edit#gid=1251630045"",""articles_with_PRISMA_reasons!B2:B2113""))"),2013.0)</f>
        <v>2013</v>
      </c>
      <c r="D1765" s="5" t="str">
        <f>IFERROR(__xludf.DUMMYFUNCTION("IFS(AND(
FILTER(IMPORTRANGE(""https://docs.google.com/spreadsheets/d/1BJSV3WBYJGRhQ6zExamkszQ5VutGIcaQqmbD9ZTVXMQ/edit#gid=1251630045"",""articles_with_PRISMA_reasons!Y2:Y2113""), $A1765=IMPORTRANGE(""https://docs.google.com/spreadsheets/d/1BJSV3WBYJGRhQ6"&amp;"zExamkszQ5VutGIcaQqmbD9ZTVXMQ/edit#gid=1251630045"",""articles_with_PRISMA_reasons!B2:B2113""))&gt;=2,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$A1765=IMPORTRANGE(""https://docs.google.com/spreadsheets/d/1BJSV3WBYJGRhQ6zExamkszQ5VutGIcaQqmbD9ZTVXMQ/edit#gid=1251630045"",""articles_with_PRISMA_reasons!B2:B2113""))&lt;2),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$A1765=IMPORTRANGE(""https://docs.google.com/spreadsheets/d/1BJSV3WBYJGRhQ6zExamkszQ5VutGIcaQqmbD9ZTVXMQ/edit#gid=1251630045"",""a"&amp;"rticles_with_PRISMA_reasons!B2:B2113""))&lt;2,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$A1765=IMPORTRANGE(""https://docs.google"&amp;".com/spreadsheets/d/1BJSV3WBYJGRhQ6zExamkszQ5VutGIcaQqmbD9ZTVXMQ/edit#gid=1251630045"",""articles_with_PRISMA_reasons!B2:B2113""))&gt;=2),
""Exclude""
)"),"Exclude")</f>
        <v>Exclude</v>
      </c>
      <c r="E1765" s="5" t="str">
        <f>IFERROR(__xludf.DUMMYFUNCTION("IFS(
D1765=""Exclude"",""Exclude"",
AND(
FILTER(IMPORTRANGE(""https://docs.google.com/spreadsheets/d/1qpEmbGH0JjaJbUdp21-y2cPbobDbMjr09BbtdKROZWc/edit#gid=1444865654"",""articles_with_PRISMA_reasons!W2:W2113""), $A1765=IMPORTRANGE(""https://docs.google.co"&amp;"m/spreadsheets/d/1qpEmbGH0JjaJbUdp21-y2cPbobDbMjr09BbtdKROZWc/edit#gid=1444865654"",""articles_with_PRISMA_reasons!B2:B2113""))&gt;=2,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$A1765=IMPORTRANGE(""https://docs.google.com/spreadsheets/d/1qpEmbGH0JjaJbUdp21-y2cPbobDbMjr09BbtdKROZWc/edit#gid=1444865654"",""articles_with_PRISMA_reasons!B2:B2113""))&lt;2),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$A1765=IMPORTRANGE(""https://docs.google.com/spreadsheets/d/1qpEmbGH0JjaJbUdp21-y2cPbobDbMjr09Bbtd"&amp;"KROZWc/edit#gid=1444865654"",""articles_with_PRISMA_reasons!B2:B2113""))&lt;2,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$A1765=I"&amp;"MPORTRANGE(""https://docs.google.com/spreadsheets/d/1qpEmbGH0JjaJbUdp21-y2cPbobDbMjr09BbtdKROZWc/edit#gid=1444865654"",""articles_with_PRISMA_reasons!B2:B2113""))&gt;=2),
""Exclude""
)"),"Exclude")</f>
        <v>Exclude</v>
      </c>
      <c r="F1765" s="5" t="str">
        <f>IFERROR(__xludf.DUMMYFUNCTION("IFS(
E1765=""Exclude"",""Exclude"",
AND(
COUNTIF(
IMPORTRANGE(""https://docs.google.com/spreadsheets/d/1kGrh75X1cNR1D7_FcY9zMnHP8iPO4M5RCRjy6nZY0TY/edit#gid=0"",""Table 1: Study characteristics!B4:B171""),A1765)&gt;0,
COUNTIF(Studies!$A$2:$A$85,FILTER(IMPORT"&amp;"RANGE(""https://docs.google.com/spreadsheets/d/1kGrh75X1cNR1D7_FcY9zMnHP8iPO4M5RCRjy6nZY0TY/edit#gid=0"",""Table 1: Study characteristics!A4:A171""), $A1765=IMPORTRANGE(""https://docs.google.com/spreadsheets/d/1kGrh75X1cNR1D7_FcY9zMnHP8iPO4M5RCRjy6nZY0TY/"&amp;"edit#gid=0"",""Table 1: Study characteristics!B4:B171"")))&gt;0
),
""Include""
)"),"Exclude")</f>
        <v>Exclude</v>
      </c>
      <c r="G1765" s="5" t="str">
        <f>IFERROR(__xludf.DUMMYFUNCTION("IFS(
D1765=""Exclude"",
FILTER(IMPORTRANGE(""https://docs.google.com/spreadsheets/d/1BJSV3WBYJGRhQ6zExamkszQ5VutGIcaQqmbD9ZTVXMQ/edit#gid=1251630045"",""articles_with_PRISMA_reasons!AB2:AB2113""), $A1765=IMPORTRANGE(""https://docs.google.com/spreadsheets/"&amp;"d/1BJSV3WBYJGRhQ6zExamkszQ5VutGIcaQqmbD9ZTVXMQ/edit#gid=1251630045"",""articles_with_PRISMA_reasons!B2:B2113"")),
E1765=""Exclude"",
FILTER(IMPORTRANGE(""https://docs.google.com/spreadsheets/d/1qpEmbGH0JjaJbUdp21-y2cPbobDbMjr09BbtdKROZWc/edit#gid=14448656"&amp;"54"",""articles_with_PRISMA_reasons!Z2:Z2113""), $A1765=IMPORTRANGE(""https://docs.google.com/spreadsheets/d/1qpEmbGH0JjaJbUdp21-y2cPbobDbMjr09BbtdKROZWc/edit#gid=1444865654"",""articles_with_PRISMA_reasons!B2:B2113"")),F1765
=""Include"",FILTER(IMPORTRAN"&amp;"GE(""https://docs.google.com/spreadsheets/d/1kGrh75X1cNR1D7_FcY9zMnHP8iPO4M5RCRjy6nZY0TY/edit#gid=0"",""Table 1: Study characteristics!A4:A171""), $A1765=IMPORTRANGE(""https://docs.google.com/spreadsheets/d/1kGrh75X1cNR1D7_FcY9zMnHP8iPO4M5RCRjy6nZY0TY/edi"&amp;"t#gid=0"",""Table 1: Study characteristics!B4:B171""))
)"),"wrong population")</f>
        <v>wrong population</v>
      </c>
    </row>
    <row r="1766">
      <c r="A1766" s="4" t="str">
        <f>IFERROR(__xludf.DUMMYFUNCTION("""COMPUTED_VALUE"""),"Spring-Assisted Distraction Osteogenesis for the Treatment of Shunt-Induced Craniosynostosis")</f>
        <v>Spring-Assisted Distraction Osteogenesis for the Treatment of Shunt-Induced Craniosynostosis</v>
      </c>
      <c r="B1766" s="5" t="str">
        <f>IFERROR(__xludf.DUMMYFUNCTION("LEFT(FILTER(IMPORTRANGE(""https://docs.google.com/spreadsheets/d/1BJSV3WBYJGRhQ6zExamkszQ5VutGIcaQqmbD9ZTVXMQ/edit#gid=1251630045"",""articles_with_PRISMA_reasons!K2:K2113""), $A1766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$A1766=IMPORTRANGE(""https://docs.google.com/spreadsheets/d/1BJSV3WBYJGRhQ6zExamkszQ5VutGIcaQqmbD9ZTVXMQ/edit#gid=1251630045"",""articles_with_PRISMA_reasons!B2:B2113"")))-1)"),"Yan")</f>
        <v>Yan</v>
      </c>
      <c r="C1766" s="6">
        <f>IFERROR(__xludf.DUMMYFUNCTION("FILTER(IMPORTRANGE(""https://docs.google.com/spreadsheets/d/1BJSV3WBYJGRhQ6zExamkszQ5VutGIcaQqmbD9ZTVXMQ/edit#gid=1251630045"",""articles_with_PRISMA_reasons!C2:C2113""), $A1766=IMPORTRANGE(""https://docs.google.com/spreadsheets/d/1BJSV3WBYJGRhQ6zExamkszQ"&amp;"5VutGIcaQqmbD9ZTVXMQ/edit#gid=1251630045"",""articles_with_PRISMA_reasons!B2:B2113""))"),2020.0)</f>
        <v>2020</v>
      </c>
      <c r="D1766" s="5" t="str">
        <f>IFERROR(__xludf.DUMMYFUNCTION("IFS(AND(
FILTER(IMPORTRANGE(""https://docs.google.com/spreadsheets/d/1BJSV3WBYJGRhQ6zExamkszQ5VutGIcaQqmbD9ZTVXMQ/edit#gid=1251630045"",""articles_with_PRISMA_reasons!Y2:Y2113""), $A1766=IMPORTRANGE(""https://docs.google.com/spreadsheets/d/1BJSV3WBYJGRhQ6"&amp;"zExamkszQ5VutGIcaQqmbD9ZTVXMQ/edit#gid=1251630045"",""articles_with_PRISMA_reasons!B2:B2113""))&gt;=2,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$A1766=IMPORTRANGE(""https://docs.google.com/spreadsheets/d/1BJSV3WBYJGRhQ6zExamkszQ5VutGIcaQqmbD9ZTVXMQ/edit#gid=1251630045"",""articles_with_PRISMA_reasons!B2:B2113""))&lt;2),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$A1766=IMPORTRANGE(""https://docs.google.com/spreadsheets/d/1BJSV3WBYJGRhQ6zExamkszQ5VutGIcaQqmbD9ZTVXMQ/edit#gid=1251630045"",""a"&amp;"rticles_with_PRISMA_reasons!B2:B2113""))&lt;2,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$A1766=IMPORTRANGE(""https://docs.google"&amp;".com/spreadsheets/d/1BJSV3WBYJGRhQ6zExamkszQ5VutGIcaQqmbD9ZTVXMQ/edit#gid=1251630045"",""articles_with_PRISMA_reasons!B2:B2113""))&gt;=2),
""Exclude""
)"),"Exclude")</f>
        <v>Exclude</v>
      </c>
      <c r="E1766" s="5" t="str">
        <f>IFERROR(__xludf.DUMMYFUNCTION("IFS(
D1766=""Exclude"",""Exclude"",
AND(
FILTER(IMPORTRANGE(""https://docs.google.com/spreadsheets/d/1qpEmbGH0JjaJbUdp21-y2cPbobDbMjr09BbtdKROZWc/edit#gid=1444865654"",""articles_with_PRISMA_reasons!W2:W2113""), $A1766=IMPORTRANGE(""https://docs.google.co"&amp;"m/spreadsheets/d/1qpEmbGH0JjaJbUdp21-y2cPbobDbMjr09BbtdKROZWc/edit#gid=1444865654"",""articles_with_PRISMA_reasons!B2:B2113""))&gt;=2,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$A1766=IMPORTRANGE(""https://docs.google.com/spreadsheets/d/1qpEmbGH0JjaJbUdp21-y2cPbobDbMjr09BbtdKROZWc/edit#gid=1444865654"",""articles_with_PRISMA_reasons!B2:B2113""))&lt;2),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$A1766=IMPORTRANGE(""https://docs.google.com/spreadsheets/d/1qpEmbGH0JjaJbUdp21-y2cPbobDbMjr09Bbtd"&amp;"KROZWc/edit#gid=1444865654"",""articles_with_PRISMA_reasons!B2:B2113""))&lt;2,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$A1766=I"&amp;"MPORTRANGE(""https://docs.google.com/spreadsheets/d/1qpEmbGH0JjaJbUdp21-y2cPbobDbMjr09BbtdKROZWc/edit#gid=1444865654"",""articles_with_PRISMA_reasons!B2:B2113""))&gt;=2),
""Exclude""
)"),"Exclude")</f>
        <v>Exclude</v>
      </c>
      <c r="F1766" s="5" t="str">
        <f>IFERROR(__xludf.DUMMYFUNCTION("IFS(
E1766=""Exclude"",""Exclude"",
AND(
COUNTIF(
IMPORTRANGE(""https://docs.google.com/spreadsheets/d/1kGrh75X1cNR1D7_FcY9zMnHP8iPO4M5RCRjy6nZY0TY/edit#gid=0"",""Table 1: Study characteristics!B4:B171""),A1766)&gt;0,
COUNTIF(Studies!$A$2:$A$85,FILTER(IMPORT"&amp;"RANGE(""https://docs.google.com/spreadsheets/d/1kGrh75X1cNR1D7_FcY9zMnHP8iPO4M5RCRjy6nZY0TY/edit#gid=0"",""Table 1: Study characteristics!A4:A171""), $A1766=IMPORTRANGE(""https://docs.google.com/spreadsheets/d/1kGrh75X1cNR1D7_FcY9zMnHP8iPO4M5RCRjy6nZY0TY/"&amp;"edit#gid=0"",""Table 1: Study characteristics!B4:B171"")))&gt;0
),
""Include""
)"),"Exclude")</f>
        <v>Exclude</v>
      </c>
      <c r="G1766" s="5" t="str">
        <f>IFERROR(__xludf.DUMMYFUNCTION("IFS(
D1766=""Exclude"",
FILTER(IMPORTRANGE(""https://docs.google.com/spreadsheets/d/1BJSV3WBYJGRhQ6zExamkszQ5VutGIcaQqmbD9ZTVXMQ/edit#gid=1251630045"",""articles_with_PRISMA_reasons!AB2:AB2113""), $A1766=IMPORTRANGE(""https://docs.google.com/spreadsheets/"&amp;"d/1BJSV3WBYJGRhQ6zExamkszQ5VutGIcaQqmbD9ZTVXMQ/edit#gid=1251630045"",""articles_with_PRISMA_reasons!B2:B2113"")),
E1766=""Exclude"",
FILTER(IMPORTRANGE(""https://docs.google.com/spreadsheets/d/1qpEmbGH0JjaJbUdp21-y2cPbobDbMjr09BbtdKROZWc/edit#gid=14448656"&amp;"54"",""articles_with_PRISMA_reasons!Z2:Z2113""), $A1766=IMPORTRANGE(""https://docs.google.com/spreadsheets/d/1qpEmbGH0JjaJbUdp21-y2cPbobDbMjr09BbtdKROZWc/edit#gid=1444865654"",""articles_with_PRISMA_reasons!B2:B2113"")),F1766
=""Include"",FILTER(IMPORTRAN"&amp;"GE(""https://docs.google.com/spreadsheets/d/1kGrh75X1cNR1D7_FcY9zMnHP8iPO4M5RCRjy6nZY0TY/edit#gid=0"",""Table 1: Study characteristics!A4:A171""), $A1766=IMPORTRANGE(""https://docs.google.com/spreadsheets/d/1kGrh75X1cNR1D7_FcY9zMnHP8iPO4M5RCRjy6nZY0TY/edi"&amp;"t#gid=0"",""Table 1: Study characteristics!B4:B171""))
)"),"wrong study design")</f>
        <v>wrong study design</v>
      </c>
    </row>
    <row r="1767">
      <c r="A1767" s="4" t="str">
        <f>IFERROR(__xludf.DUMMYFUNCTION("""COMPUTED_VALUE"""),"Squamous cell carcinoma and meningomyelocele")</f>
        <v>Squamous cell carcinoma and meningomyelocele</v>
      </c>
      <c r="B1767" s="5" t="str">
        <f>IFERROR(__xludf.DUMMYFUNCTION("LEFT(FILTER(IMPORTRANGE(""https://docs.google.com/spreadsheets/d/1BJSV3WBYJGRhQ6zExamkszQ5VutGIcaQqmbD9ZTVXMQ/edit#gid=1251630045"",""articles_with_PRISMA_reasons!K2:K2113""), $A1767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$A1767=IMPORTRANGE(""https://docs.google.com/spreadsheets/d/1BJSV3WBYJGRhQ6zExamkszQ5VutGIcaQqmbD9ZTVXMQ/edit#gid=1251630045"",""articles_with_PRISMA_reasons!B2:B2113"")))-1)"),"Chadduck")</f>
        <v>Chadduck</v>
      </c>
      <c r="C1767" s="6">
        <f>IFERROR(__xludf.DUMMYFUNCTION("FILTER(IMPORTRANGE(""https://docs.google.com/spreadsheets/d/1BJSV3WBYJGRhQ6zExamkszQ5VutGIcaQqmbD9ZTVXMQ/edit#gid=1251630045"",""articles_with_PRISMA_reasons!C2:C2113""), $A1767=IMPORTRANGE(""https://docs.google.com/spreadsheets/d/1BJSV3WBYJGRhQ6zExamkszQ"&amp;"5VutGIcaQqmbD9ZTVXMQ/edit#gid=1251630045"",""articles_with_PRISMA_reasons!B2:B2113""))"),1984.0)</f>
        <v>1984</v>
      </c>
      <c r="D1767" s="5" t="str">
        <f>IFERROR(__xludf.DUMMYFUNCTION("IFS(AND(
FILTER(IMPORTRANGE(""https://docs.google.com/spreadsheets/d/1BJSV3WBYJGRhQ6zExamkszQ5VutGIcaQqmbD9ZTVXMQ/edit#gid=1251630045"",""articles_with_PRISMA_reasons!Y2:Y2113""), $A1767=IMPORTRANGE(""https://docs.google.com/spreadsheets/d/1BJSV3WBYJGRhQ6"&amp;"zExamkszQ5VutGIcaQqmbD9ZTVXMQ/edit#gid=1251630045"",""articles_with_PRISMA_reasons!B2:B2113""))&gt;=2,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$A1767=IMPORTRANGE(""https://docs.google.com/spreadsheets/d/1BJSV3WBYJGRhQ6zExamkszQ5VutGIcaQqmbD9ZTVXMQ/edit#gid=1251630045"",""articles_with_PRISMA_reasons!B2:B2113""))&lt;2),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$A1767=IMPORTRANGE(""https://docs.google.com/spreadsheets/d/1BJSV3WBYJGRhQ6zExamkszQ5VutGIcaQqmbD9ZTVXMQ/edit#gid=1251630045"",""a"&amp;"rticles_with_PRISMA_reasons!B2:B2113""))&lt;2,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$A1767=IMPORTRANGE(""https://docs.google"&amp;".com/spreadsheets/d/1BJSV3WBYJGRhQ6zExamkszQ5VutGIcaQqmbD9ZTVXMQ/edit#gid=1251630045"",""articles_with_PRISMA_reasons!B2:B2113""))&gt;=2),
""Exclude""
)"),"Exclude")</f>
        <v>Exclude</v>
      </c>
      <c r="E1767" s="5" t="str">
        <f>IFERROR(__xludf.DUMMYFUNCTION("IFS(
D1767=""Exclude"",""Exclude"",
AND(
FILTER(IMPORTRANGE(""https://docs.google.com/spreadsheets/d/1qpEmbGH0JjaJbUdp21-y2cPbobDbMjr09BbtdKROZWc/edit#gid=1444865654"",""articles_with_PRISMA_reasons!W2:W2113""), $A1767=IMPORTRANGE(""https://docs.google.co"&amp;"m/spreadsheets/d/1qpEmbGH0JjaJbUdp21-y2cPbobDbMjr09BbtdKROZWc/edit#gid=1444865654"",""articles_with_PRISMA_reasons!B2:B2113""))&gt;=2,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$A1767=IMPORTRANGE(""https://docs.google.com/spreadsheets/d/1qpEmbGH0JjaJbUdp21-y2cPbobDbMjr09BbtdKROZWc/edit#gid=1444865654"",""articles_with_PRISMA_reasons!B2:B2113""))&lt;2),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$A1767=IMPORTRANGE(""https://docs.google.com/spreadsheets/d/1qpEmbGH0JjaJbUdp21-y2cPbobDbMjr09Bbtd"&amp;"KROZWc/edit#gid=1444865654"",""articles_with_PRISMA_reasons!B2:B2113""))&lt;2,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$A1767=I"&amp;"MPORTRANGE(""https://docs.google.com/spreadsheets/d/1qpEmbGH0JjaJbUdp21-y2cPbobDbMjr09BbtdKROZWc/edit#gid=1444865654"",""articles_with_PRISMA_reasons!B2:B2113""))&gt;=2),
""Exclude""
)"),"Exclude")</f>
        <v>Exclude</v>
      </c>
      <c r="F1767" s="5" t="str">
        <f>IFERROR(__xludf.DUMMYFUNCTION("IFS(
E1767=""Exclude"",""Exclude"",
AND(
COUNTIF(
IMPORTRANGE(""https://docs.google.com/spreadsheets/d/1kGrh75X1cNR1D7_FcY9zMnHP8iPO4M5RCRjy6nZY0TY/edit#gid=0"",""Table 1: Study characteristics!B4:B171""),A1767)&gt;0,
COUNTIF(Studies!$A$2:$A$85,FILTER(IMPORT"&amp;"RANGE(""https://docs.google.com/spreadsheets/d/1kGrh75X1cNR1D7_FcY9zMnHP8iPO4M5RCRjy6nZY0TY/edit#gid=0"",""Table 1: Study characteristics!A4:A171""), $A1767=IMPORTRANGE(""https://docs.google.com/spreadsheets/d/1kGrh75X1cNR1D7_FcY9zMnHP8iPO4M5RCRjy6nZY0TY/"&amp;"edit#gid=0"",""Table 1: Study characteristics!B4:B171"")))&gt;0
),
""Include""
)"),"Exclude")</f>
        <v>Exclude</v>
      </c>
      <c r="G1767" s="5" t="str">
        <f>IFERROR(__xludf.DUMMYFUNCTION("IFS(
D1767=""Exclude"",
FILTER(IMPORTRANGE(""https://docs.google.com/spreadsheets/d/1BJSV3WBYJGRhQ6zExamkszQ5VutGIcaQqmbD9ZTVXMQ/edit#gid=1251630045"",""articles_with_PRISMA_reasons!AB2:AB2113""), $A1767=IMPORTRANGE(""https://docs.google.com/spreadsheets/"&amp;"d/1BJSV3WBYJGRhQ6zExamkszQ5VutGIcaQqmbD9ZTVXMQ/edit#gid=1251630045"",""articles_with_PRISMA_reasons!B2:B2113"")),
E1767=""Exclude"",
FILTER(IMPORTRANGE(""https://docs.google.com/spreadsheets/d/1qpEmbGH0JjaJbUdp21-y2cPbobDbMjr09BbtdKROZWc/edit#gid=14448656"&amp;"54"",""articles_with_PRISMA_reasons!Z2:Z2113""), $A1767=IMPORTRANGE(""https://docs.google.com/spreadsheets/d/1qpEmbGH0JjaJbUdp21-y2cPbobDbMjr09BbtdKROZWc/edit#gid=1444865654"",""articles_with_PRISMA_reasons!B2:B2113"")),F1767
=""Include"",FILTER(IMPORTRAN"&amp;"GE(""https://docs.google.com/spreadsheets/d/1kGrh75X1cNR1D7_FcY9zMnHP8iPO4M5RCRjy6nZY0TY/edit#gid=0"",""Table 1: Study characteristics!A4:A171""), $A1767=IMPORTRANGE(""https://docs.google.com/spreadsheets/d/1kGrh75X1cNR1D7_FcY9zMnHP8iPO4M5RCRjy6nZY0TY/edi"&amp;"t#gid=0"",""Table 1: Study characteristics!B4:B171""))
)"),"wrong publication type")</f>
        <v>wrong publication type</v>
      </c>
    </row>
    <row r="1768">
      <c r="A1768" s="4" t="str">
        <f>IFERROR(__xludf.DUMMYFUNCTION("""COMPUTED_VALUE"""),"Staphylococcus aureus Central Nervous System Infections in Children")</f>
        <v>Staphylococcus aureus Central Nervous System Infections in Children</v>
      </c>
      <c r="B1768" s="5" t="str">
        <f>IFERROR(__xludf.DUMMYFUNCTION("LEFT(FILTER(IMPORTRANGE(""https://docs.google.com/spreadsheets/d/1BJSV3WBYJGRhQ6zExamkszQ5VutGIcaQqmbD9ZTVXMQ/edit#gid=1251630045"",""articles_with_PRISMA_reasons!K2:K2113""), $A1768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$A1768=IMPORTRANGE(""https://docs.google.com/spreadsheets/d/1BJSV3WBYJGRhQ6zExamkszQ5VutGIcaQqmbD9ZTVXMQ/edit#gid=1251630045"",""articles_with_PRISMA_reasons!B2:B2113"")))-1)"),"Vallejo")</f>
        <v>Vallejo</v>
      </c>
      <c r="C1768" s="6">
        <f>IFERROR(__xludf.DUMMYFUNCTION("FILTER(IMPORTRANGE(""https://docs.google.com/spreadsheets/d/1BJSV3WBYJGRhQ6zExamkszQ5VutGIcaQqmbD9ZTVXMQ/edit#gid=1251630045"",""articles_with_PRISMA_reasons!C2:C2113""), $A1768=IMPORTRANGE(""https://docs.google.com/spreadsheets/d/1BJSV3WBYJGRhQ6zExamkszQ"&amp;"5VutGIcaQqmbD9ZTVXMQ/edit#gid=1251630045"",""articles_with_PRISMA_reasons!B2:B2113""))"),2017.0)</f>
        <v>2017</v>
      </c>
      <c r="D1768" s="5" t="str">
        <f>IFERROR(__xludf.DUMMYFUNCTION("IFS(AND(
FILTER(IMPORTRANGE(""https://docs.google.com/spreadsheets/d/1BJSV3WBYJGRhQ6zExamkszQ5VutGIcaQqmbD9ZTVXMQ/edit#gid=1251630045"",""articles_with_PRISMA_reasons!Y2:Y2113""), $A1768=IMPORTRANGE(""https://docs.google.com/spreadsheets/d/1BJSV3WBYJGRhQ6"&amp;"zExamkszQ5VutGIcaQqmbD9ZTVXMQ/edit#gid=1251630045"",""articles_with_PRISMA_reasons!B2:B2113""))&gt;=2,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$A1768=IMPORTRANGE(""https://docs.google.com/spreadsheets/d/1BJSV3WBYJGRhQ6zExamkszQ5VutGIcaQqmbD9ZTVXMQ/edit#gid=1251630045"",""articles_with_PRISMA_reasons!B2:B2113""))&lt;2),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$A1768=IMPORTRANGE(""https://docs.google.com/spreadsheets/d/1BJSV3WBYJGRhQ6zExamkszQ5VutGIcaQqmbD9ZTVXMQ/edit#gid=1251630045"",""a"&amp;"rticles_with_PRISMA_reasons!B2:B2113""))&lt;2,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$A1768=IMPORTRANGE(""https://docs.google"&amp;".com/spreadsheets/d/1BJSV3WBYJGRhQ6zExamkszQ5VutGIcaQqmbD9ZTVXMQ/edit#gid=1251630045"",""articles_with_PRISMA_reasons!B2:B2113""))&gt;=2),
""Exclude""
)"),"Exclude")</f>
        <v>Exclude</v>
      </c>
      <c r="E1768" s="5" t="str">
        <f>IFERROR(__xludf.DUMMYFUNCTION("IFS(
D1768=""Exclude"",""Exclude"",
AND(
FILTER(IMPORTRANGE(""https://docs.google.com/spreadsheets/d/1qpEmbGH0JjaJbUdp21-y2cPbobDbMjr09BbtdKROZWc/edit#gid=1444865654"",""articles_with_PRISMA_reasons!W2:W2113""), $A1768=IMPORTRANGE(""https://docs.google.co"&amp;"m/spreadsheets/d/1qpEmbGH0JjaJbUdp21-y2cPbobDbMjr09BbtdKROZWc/edit#gid=1444865654"",""articles_with_PRISMA_reasons!B2:B2113""))&gt;=2,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$A1768=IMPORTRANGE(""https://docs.google.com/spreadsheets/d/1qpEmbGH0JjaJbUdp21-y2cPbobDbMjr09BbtdKROZWc/edit#gid=1444865654"",""articles_with_PRISMA_reasons!B2:B2113""))&lt;2),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$A1768=IMPORTRANGE(""https://docs.google.com/spreadsheets/d/1qpEmbGH0JjaJbUdp21-y2cPbobDbMjr09Bbtd"&amp;"KROZWc/edit#gid=1444865654"",""articles_with_PRISMA_reasons!B2:B2113""))&lt;2,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$A1768=I"&amp;"MPORTRANGE(""https://docs.google.com/spreadsheets/d/1qpEmbGH0JjaJbUdp21-y2cPbobDbMjr09BbtdKROZWc/edit#gid=1444865654"",""articles_with_PRISMA_reasons!B2:B2113""))&gt;=2),
""Exclude""
)"),"Exclude")</f>
        <v>Exclude</v>
      </c>
      <c r="F1768" s="5" t="str">
        <f>IFERROR(__xludf.DUMMYFUNCTION("IFS(
E1768=""Exclude"",""Exclude"",
AND(
COUNTIF(
IMPORTRANGE(""https://docs.google.com/spreadsheets/d/1kGrh75X1cNR1D7_FcY9zMnHP8iPO4M5RCRjy6nZY0TY/edit#gid=0"",""Table 1: Study characteristics!B4:B171""),A1768)&gt;0,
COUNTIF(Studies!$A$2:$A$85,FILTER(IMPORT"&amp;"RANGE(""https://docs.google.com/spreadsheets/d/1kGrh75X1cNR1D7_FcY9zMnHP8iPO4M5RCRjy6nZY0TY/edit#gid=0"",""Table 1: Study characteristics!A4:A171""), $A1768=IMPORTRANGE(""https://docs.google.com/spreadsheets/d/1kGrh75X1cNR1D7_FcY9zMnHP8iPO4M5RCRjy6nZY0TY/"&amp;"edit#gid=0"",""Table 1: Study characteristics!B4:B171"")))&gt;0
),
""Include""
)"),"Exclude")</f>
        <v>Exclude</v>
      </c>
      <c r="G1768" s="5" t="str">
        <f>IFERROR(__xludf.DUMMYFUNCTION("IFS(
D1768=""Exclude"",
FILTER(IMPORTRANGE(""https://docs.google.com/spreadsheets/d/1BJSV3WBYJGRhQ6zExamkszQ5VutGIcaQqmbD9ZTVXMQ/edit#gid=1251630045"",""articles_with_PRISMA_reasons!AB2:AB2113""), $A1768=IMPORTRANGE(""https://docs.google.com/spreadsheets/"&amp;"d/1BJSV3WBYJGRhQ6zExamkszQ5VutGIcaQqmbD9ZTVXMQ/edit#gid=1251630045"",""articles_with_PRISMA_reasons!B2:B2113"")),
E1768=""Exclude"",
FILTER(IMPORTRANGE(""https://docs.google.com/spreadsheets/d/1qpEmbGH0JjaJbUdp21-y2cPbobDbMjr09BbtdKROZWc/edit#gid=14448656"&amp;"54"",""articles_with_PRISMA_reasons!Z2:Z2113""), $A1768=IMPORTRANGE(""https://docs.google.com/spreadsheets/d/1qpEmbGH0JjaJbUdp21-y2cPbobDbMjr09BbtdKROZWc/edit#gid=1444865654"",""articles_with_PRISMA_reasons!B2:B2113"")),F1768
=""Include"",FILTER(IMPORTRAN"&amp;"GE(""https://docs.google.com/spreadsheets/d/1kGrh75X1cNR1D7_FcY9zMnHP8iPO4M5RCRjy6nZY0TY/edit#gid=0"",""Table 1: Study characteristics!A4:A171""), $A1768=IMPORTRANGE(""https://docs.google.com/spreadsheets/d/1kGrh75X1cNR1D7_FcY9zMnHP8iPO4M5RCRjy6nZY0TY/edi"&amp;"t#gid=0"",""Table 1: Study characteristics!B4:B171""))
)"),"wrong population")</f>
        <v>wrong population</v>
      </c>
    </row>
    <row r="1769">
      <c r="A1769" s="4" t="str">
        <f>IFERROR(__xludf.DUMMYFUNCTION("""COMPUTED_VALUE"""),"State of the art in translating experimental myelomeningocele research to the bedside")</f>
        <v>State of the art in translating experimental myelomeningocele research to the bedside</v>
      </c>
      <c r="B1769" s="5" t="str">
        <f>IFERROR(__xludf.DUMMYFUNCTION("LEFT(FILTER(IMPORTRANGE(""https://docs.google.com/spreadsheets/d/1BJSV3WBYJGRhQ6zExamkszQ5VutGIcaQqmbD9ZTVXMQ/edit#gid=1251630045"",""articles_with_PRISMA_reasons!K2:K2113""), $A1769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$A1769=IMPORTRANGE(""https://docs.google.com/spreadsheets/d/1BJSV3WBYJGRhQ6zExamkszQ5VutGIcaQqmbD9ZTVXMQ/edit#gid=1251630045"",""articles_with_PRISMA_reasons!B2:B2113"")))-1)"),"Sbragia")</f>
        <v>Sbragia</v>
      </c>
      <c r="C1769" s="6">
        <f>IFERROR(__xludf.DUMMYFUNCTION("FILTER(IMPORTRANGE(""https://docs.google.com/spreadsheets/d/1BJSV3WBYJGRhQ6zExamkszQ5VutGIcaQqmbD9ZTVXMQ/edit#gid=1251630045"",""articles_with_PRISMA_reasons!C2:C2113""), $A1769=IMPORTRANGE(""https://docs.google.com/spreadsheets/d/1BJSV3WBYJGRhQ6zExamkszQ"&amp;"5VutGIcaQqmbD9ZTVXMQ/edit#gid=1251630045"",""articles_with_PRISMA_reasons!B2:B2113""))"),2021.0)</f>
        <v>2021</v>
      </c>
      <c r="D1769" s="5" t="str">
        <f>IFERROR(__xludf.DUMMYFUNCTION("IFS(AND(
FILTER(IMPORTRANGE(""https://docs.google.com/spreadsheets/d/1BJSV3WBYJGRhQ6zExamkszQ5VutGIcaQqmbD9ZTVXMQ/edit#gid=1251630045"",""articles_with_PRISMA_reasons!Y2:Y2113""), $A1769=IMPORTRANGE(""https://docs.google.com/spreadsheets/d/1BJSV3WBYJGRhQ6"&amp;"zExamkszQ5VutGIcaQqmbD9ZTVXMQ/edit#gid=1251630045"",""articles_with_PRISMA_reasons!B2:B2113""))&gt;=2,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$A1769=IMPORTRANGE(""https://docs.google.com/spreadsheets/d/1BJSV3WBYJGRhQ6zExamkszQ5VutGIcaQqmbD9ZTVXMQ/edit#gid=1251630045"",""articles_with_PRISMA_reasons!B2:B2113""))&lt;2),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$A1769=IMPORTRANGE(""https://docs.google.com/spreadsheets/d/1BJSV3WBYJGRhQ6zExamkszQ5VutGIcaQqmbD9ZTVXMQ/edit#gid=1251630045"",""a"&amp;"rticles_with_PRISMA_reasons!B2:B2113""))&lt;2,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$A1769=IMPORTRANGE(""https://docs.google"&amp;".com/spreadsheets/d/1BJSV3WBYJGRhQ6zExamkszQ5VutGIcaQqmbD9ZTVXMQ/edit#gid=1251630045"",""articles_with_PRISMA_reasons!B2:B2113""))&gt;=2),
""Exclude""
)"),"Exclude")</f>
        <v>Exclude</v>
      </c>
      <c r="E1769" s="5" t="str">
        <f>IFERROR(__xludf.DUMMYFUNCTION("IFS(
D1769=""Exclude"",""Exclude"",
AND(
FILTER(IMPORTRANGE(""https://docs.google.com/spreadsheets/d/1qpEmbGH0JjaJbUdp21-y2cPbobDbMjr09BbtdKROZWc/edit#gid=1444865654"",""articles_with_PRISMA_reasons!W2:W2113""), $A1769=IMPORTRANGE(""https://docs.google.co"&amp;"m/spreadsheets/d/1qpEmbGH0JjaJbUdp21-y2cPbobDbMjr09BbtdKROZWc/edit#gid=1444865654"",""articles_with_PRISMA_reasons!B2:B2113""))&gt;=2,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$A1769=IMPORTRANGE(""https://docs.google.com/spreadsheets/d/1qpEmbGH0JjaJbUdp21-y2cPbobDbMjr09BbtdKROZWc/edit#gid=1444865654"",""articles_with_PRISMA_reasons!B2:B2113""))&lt;2),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$A1769=IMPORTRANGE(""https://docs.google.com/spreadsheets/d/1qpEmbGH0JjaJbUdp21-y2cPbobDbMjr09Bbtd"&amp;"KROZWc/edit#gid=1444865654"",""articles_with_PRISMA_reasons!B2:B2113""))&lt;2,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$A1769=I"&amp;"MPORTRANGE(""https://docs.google.com/spreadsheets/d/1qpEmbGH0JjaJbUdp21-y2cPbobDbMjr09BbtdKROZWc/edit#gid=1444865654"",""articles_with_PRISMA_reasons!B2:B2113""))&gt;=2),
""Exclude""
)"),"Exclude")</f>
        <v>Exclude</v>
      </c>
      <c r="F1769" s="5" t="str">
        <f>IFERROR(__xludf.DUMMYFUNCTION("IFS(
E1769=""Exclude"",""Exclude"",
AND(
COUNTIF(
IMPORTRANGE(""https://docs.google.com/spreadsheets/d/1kGrh75X1cNR1D7_FcY9zMnHP8iPO4M5RCRjy6nZY0TY/edit#gid=0"",""Table 1: Study characteristics!B4:B171""),A1769)&gt;0,
COUNTIF(Studies!$A$2:$A$85,FILTER(IMPORT"&amp;"RANGE(""https://docs.google.com/spreadsheets/d/1kGrh75X1cNR1D7_FcY9zMnHP8iPO4M5RCRjy6nZY0TY/edit#gid=0"",""Table 1: Study characteristics!A4:A171""), $A1769=IMPORTRANGE(""https://docs.google.com/spreadsheets/d/1kGrh75X1cNR1D7_FcY9zMnHP8iPO4M5RCRjy6nZY0TY/"&amp;"edit#gid=0"",""Table 1: Study characteristics!B4:B171"")))&gt;0
),
""Include""
)"),"Exclude")</f>
        <v>Exclude</v>
      </c>
      <c r="G1769" s="5" t="str">
        <f>IFERROR(__xludf.DUMMYFUNCTION("IFS(
D1769=""Exclude"",
FILTER(IMPORTRANGE(""https://docs.google.com/spreadsheets/d/1BJSV3WBYJGRhQ6zExamkszQ5VutGIcaQqmbD9ZTVXMQ/edit#gid=1251630045"",""articles_with_PRISMA_reasons!AB2:AB2113""), $A1769=IMPORTRANGE(""https://docs.google.com/spreadsheets/"&amp;"d/1BJSV3WBYJGRhQ6zExamkszQ5VutGIcaQqmbD9ZTVXMQ/edit#gid=1251630045"",""articles_with_PRISMA_reasons!B2:B2113"")),
E1769=""Exclude"",
FILTER(IMPORTRANGE(""https://docs.google.com/spreadsheets/d/1qpEmbGH0JjaJbUdp21-y2cPbobDbMjr09BbtdKROZWc/edit#gid=14448656"&amp;"54"",""articles_with_PRISMA_reasons!Z2:Z2113""), $A1769=IMPORTRANGE(""https://docs.google.com/spreadsheets/d/1qpEmbGH0JjaJbUdp21-y2cPbobDbMjr09BbtdKROZWc/edit#gid=1444865654"",""articles_with_PRISMA_reasons!B2:B2113"")),F1769
=""Include"",FILTER(IMPORTRAN"&amp;"GE(""https://docs.google.com/spreadsheets/d/1kGrh75X1cNR1D7_FcY9zMnHP8iPO4M5RCRjy6nZY0TY/edit#gid=0"",""Table 1: Study characteristics!A4:A171""), $A1769=IMPORTRANGE(""https://docs.google.com/spreadsheets/d/1kGrh75X1cNR1D7_FcY9zMnHP8iPO4M5RCRjy6nZY0TY/edi"&amp;"t#gid=0"",""Table 1: Study characteristics!B4:B171""))
)"),"wrong study design")</f>
        <v>wrong study design</v>
      </c>
    </row>
    <row r="1770">
      <c r="A1770" s="4" t="str">
        <f>IFERROR(__xludf.DUMMYFUNCTION("""COMPUTED_VALUE"""),"Status of a group of spina bifida children not managed by early surgery")</f>
        <v>Status of a group of spina bifida children not managed by early surgery</v>
      </c>
      <c r="B1770" s="5" t="str">
        <f>IFERROR(__xludf.DUMMYFUNCTION("LEFT(FILTER(IMPORTRANGE(""https://docs.google.com/spreadsheets/d/1BJSV3WBYJGRhQ6zExamkszQ5VutGIcaQqmbD9ZTVXMQ/edit#gid=1251630045"",""articles_with_PRISMA_reasons!K2:K2113""), $A1770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$A1770=IMPORTRANGE(""https://docs.google.com/spreadsheets/d/1BJSV3WBYJGRhQ6zExamkszQ5VutGIcaQqmbD9ZTVXMQ/edit#gid=1251630045"",""articles_with_PRISMA_reasons!B2:B2113"")))-1)"),"Guiney")</f>
        <v>Guiney</v>
      </c>
      <c r="C1770" s="6" t="str">
        <f>IFERROR(__xludf.DUMMYFUNCTION("FILTER(IMPORTRANGE(""https://docs.google.com/spreadsheets/d/1BJSV3WBYJGRhQ6zExamkszQ5VutGIcaQqmbD9ZTVXMQ/edit#gid=1251630045"",""articles_with_PRISMA_reasons!C2:C2113""), $A1770=IMPORTRANGE(""https://docs.google.com/spreadsheets/d/1BJSV3WBYJGRhQ6zExamkszQ"&amp;"5VutGIcaQqmbD9ZTVXMQ/edit#gid=1251630045"",""articles_with_PRISMA_reasons!B2:B2113""))"),"Dec")</f>
        <v>Dec</v>
      </c>
      <c r="D1770" s="5" t="str">
        <f>IFERROR(__xludf.DUMMYFUNCTION("IFS(AND(
FILTER(IMPORTRANGE(""https://docs.google.com/spreadsheets/d/1BJSV3WBYJGRhQ6zExamkszQ5VutGIcaQqmbD9ZTVXMQ/edit#gid=1251630045"",""articles_with_PRISMA_reasons!Y2:Y2113""), $A1770=IMPORTRANGE(""https://docs.google.com/spreadsheets/d/1BJSV3WBYJGRhQ6"&amp;"zExamkszQ5VutGIcaQqmbD9ZTVXMQ/edit#gid=1251630045"",""articles_with_PRISMA_reasons!B2:B2113""))&gt;=2,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$A1770=IMPORTRANGE(""https://docs.google.com/spreadsheets/d/1BJSV3WBYJGRhQ6zExamkszQ5VutGIcaQqmbD9ZTVXMQ/edit#gid=1251630045"",""articles_with_PRISMA_reasons!B2:B2113""))&lt;2),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$A1770=IMPORTRANGE(""https://docs.google.com/spreadsheets/d/1BJSV3WBYJGRhQ6zExamkszQ5VutGIcaQqmbD9ZTVXMQ/edit#gid=1251630045"",""a"&amp;"rticles_with_PRISMA_reasons!B2:B2113""))&lt;2,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$A1770=IMPORTRANGE(""https://docs.google"&amp;".com/spreadsheets/d/1BJSV3WBYJGRhQ6zExamkszQ5VutGIcaQqmbD9ZTVXMQ/edit#gid=1251630045"",""articles_with_PRISMA_reasons!B2:B2113""))&gt;=2),
""Exclude""
)"),"Exclude")</f>
        <v>Exclude</v>
      </c>
      <c r="E1770" s="5" t="str">
        <f>IFERROR(__xludf.DUMMYFUNCTION("IFS(
D1770=""Exclude"",""Exclude"",
AND(
FILTER(IMPORTRANGE(""https://docs.google.com/spreadsheets/d/1qpEmbGH0JjaJbUdp21-y2cPbobDbMjr09BbtdKROZWc/edit#gid=1444865654"",""articles_with_PRISMA_reasons!W2:W2113""), $A1770=IMPORTRANGE(""https://docs.google.co"&amp;"m/spreadsheets/d/1qpEmbGH0JjaJbUdp21-y2cPbobDbMjr09BbtdKROZWc/edit#gid=1444865654"",""articles_with_PRISMA_reasons!B2:B2113""))&gt;=2,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$A1770=IMPORTRANGE(""https://docs.google.com/spreadsheets/d/1qpEmbGH0JjaJbUdp21-y2cPbobDbMjr09BbtdKROZWc/edit#gid=1444865654"",""articles_with_PRISMA_reasons!B2:B2113""))&lt;2),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$A1770=IMPORTRANGE(""https://docs.google.com/spreadsheets/d/1qpEmbGH0JjaJbUdp21-y2cPbobDbMjr09Bbtd"&amp;"KROZWc/edit#gid=1444865654"",""articles_with_PRISMA_reasons!B2:B2113""))&lt;2,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$A1770=I"&amp;"MPORTRANGE(""https://docs.google.com/spreadsheets/d/1qpEmbGH0JjaJbUdp21-y2cPbobDbMjr09BbtdKROZWc/edit#gid=1444865654"",""articles_with_PRISMA_reasons!B2:B2113""))&gt;=2),
""Exclude""
)"),"Exclude")</f>
        <v>Exclude</v>
      </c>
      <c r="F1770" s="5" t="str">
        <f>IFERROR(__xludf.DUMMYFUNCTION("IFS(
E1770=""Exclude"",""Exclude"",
AND(
COUNTIF(
IMPORTRANGE(""https://docs.google.com/spreadsheets/d/1kGrh75X1cNR1D7_FcY9zMnHP8iPO4M5RCRjy6nZY0TY/edit#gid=0"",""Table 1: Study characteristics!B4:B171""),A1770)&gt;0,
COUNTIF(Studies!$A$2:$A$85,FILTER(IMPORT"&amp;"RANGE(""https://docs.google.com/spreadsheets/d/1kGrh75X1cNR1D7_FcY9zMnHP8iPO4M5RCRjy6nZY0TY/edit#gid=0"",""Table 1: Study characteristics!A4:A171""), $A1770=IMPORTRANGE(""https://docs.google.com/spreadsheets/d/1kGrh75X1cNR1D7_FcY9zMnHP8iPO4M5RCRjy6nZY0TY/"&amp;"edit#gid=0"",""Table 1: Study characteristics!B4:B171"")))&gt;0
),
""Include""
)"),"Exclude")</f>
        <v>Exclude</v>
      </c>
      <c r="G1770" s="5" t="str">
        <f>IFERROR(__xludf.DUMMYFUNCTION("IFS(
D1770=""Exclude"",
FILTER(IMPORTRANGE(""https://docs.google.com/spreadsheets/d/1BJSV3WBYJGRhQ6zExamkszQ5VutGIcaQqmbD9ZTVXMQ/edit#gid=1251630045"",""articles_with_PRISMA_reasons!AB2:AB2113""), $A1770=IMPORTRANGE(""https://docs.google.com/spreadsheets/"&amp;"d/1BJSV3WBYJGRhQ6zExamkszQ5VutGIcaQqmbD9ZTVXMQ/edit#gid=1251630045"",""articles_with_PRISMA_reasons!B2:B2113"")),
E1770=""Exclude"",
FILTER(IMPORTRANGE(""https://docs.google.com/spreadsheets/d/1qpEmbGH0JjaJbUdp21-y2cPbobDbMjr09BbtdKROZWc/edit#gid=14448656"&amp;"54"",""articles_with_PRISMA_reasons!Z2:Z2113""), $A1770=IMPORTRANGE(""https://docs.google.com/spreadsheets/d/1qpEmbGH0JjaJbUdp21-y2cPbobDbMjr09BbtdKROZWc/edit#gid=1444865654"",""articles_with_PRISMA_reasons!B2:B2113"")),F1770
=""Include"",FILTER(IMPORTRAN"&amp;"GE(""https://docs.google.com/spreadsheets/d/1kGrh75X1cNR1D7_FcY9zMnHP8iPO4M5RCRjy6nZY0TY/edit#gid=0"",""Table 1: Study characteristics!A4:A171""), $A1770=IMPORTRANGE(""https://docs.google.com/spreadsheets/d/1kGrh75X1cNR1D7_FcY9zMnHP8iPO4M5RCRjy6nZY0TY/edi"&amp;"t#gid=0"",""Table 1: Study characteristics!B4:B171""))
)"),"Duplicate")</f>
        <v>Duplicate</v>
      </c>
    </row>
    <row r="1771">
      <c r="A1771" s="4" t="str">
        <f>IFERROR(__xludf.DUMMYFUNCTION("""COMPUTED_VALUE"""),"Stenogyria - Not only in Chiari II malformation")</f>
        <v>Stenogyria - Not only in Chiari II malformation</v>
      </c>
      <c r="B1771" s="5" t="str">
        <f>IFERROR(__xludf.DUMMYFUNCTION("LEFT(FILTER(IMPORTRANGE(""https://docs.google.com/spreadsheets/d/1BJSV3WBYJGRhQ6zExamkszQ5VutGIcaQqmbD9ZTVXMQ/edit#gid=1251630045"",""articles_with_PRISMA_reasons!K2:K2113""), $A1771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$A1771=IMPORTRANGE(""https://docs.google.com/spreadsheets/d/1BJSV3WBYJGRhQ6zExamkszQ5VutGIcaQqmbD9ZTVXMQ/edit#gid=1251630045"",""articles_with_PRISMA_reasons!B2:B2113"")))-1)"),"Bekiesinska-Figatowska")</f>
        <v>Bekiesinska-Figatowska</v>
      </c>
      <c r="C1771" s="6">
        <f>IFERROR(__xludf.DUMMYFUNCTION("FILTER(IMPORTRANGE(""https://docs.google.com/spreadsheets/d/1BJSV3WBYJGRhQ6zExamkszQ5VutGIcaQqmbD9ZTVXMQ/edit#gid=1251630045"",""articles_with_PRISMA_reasons!C2:C2113""), $A1771=IMPORTRANGE(""https://docs.google.com/spreadsheets/d/1BJSV3WBYJGRhQ6zExamkszQ"&amp;"5VutGIcaQqmbD9ZTVXMQ/edit#gid=1251630045"",""articles_with_PRISMA_reasons!B2:B2113""))"),2014.0)</f>
        <v>2014</v>
      </c>
      <c r="D1771" s="5" t="str">
        <f>IFERROR(__xludf.DUMMYFUNCTION("IFS(AND(
FILTER(IMPORTRANGE(""https://docs.google.com/spreadsheets/d/1BJSV3WBYJGRhQ6zExamkszQ5VutGIcaQqmbD9ZTVXMQ/edit#gid=1251630045"",""articles_with_PRISMA_reasons!Y2:Y2113""), $A1771=IMPORTRANGE(""https://docs.google.com/spreadsheets/d/1BJSV3WBYJGRhQ6"&amp;"zExamkszQ5VutGIcaQqmbD9ZTVXMQ/edit#gid=1251630045"",""articles_with_PRISMA_reasons!B2:B2113""))&gt;=2,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$A1771=IMPORTRANGE(""https://docs.google.com/spreadsheets/d/1BJSV3WBYJGRhQ6zExamkszQ5VutGIcaQqmbD9ZTVXMQ/edit#gid=1251630045"",""articles_with_PRISMA_reasons!B2:B2113""))&lt;2),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$A1771=IMPORTRANGE(""https://docs.google.com/spreadsheets/d/1BJSV3WBYJGRhQ6zExamkszQ5VutGIcaQqmbD9ZTVXMQ/edit#gid=1251630045"",""a"&amp;"rticles_with_PRISMA_reasons!B2:B2113""))&lt;2,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$A1771=IMPORTRANGE(""https://docs.google"&amp;".com/spreadsheets/d/1BJSV3WBYJGRhQ6zExamkszQ5VutGIcaQqmbD9ZTVXMQ/edit#gid=1251630045"",""articles_with_PRISMA_reasons!B2:B2113""))&gt;=2),
""Exclude""
)"),"Exclude")</f>
        <v>Exclude</v>
      </c>
      <c r="E1771" s="5" t="str">
        <f>IFERROR(__xludf.DUMMYFUNCTION("IFS(
D1771=""Exclude"",""Exclude"",
AND(
FILTER(IMPORTRANGE(""https://docs.google.com/spreadsheets/d/1qpEmbGH0JjaJbUdp21-y2cPbobDbMjr09BbtdKROZWc/edit#gid=1444865654"",""articles_with_PRISMA_reasons!W2:W2113""), $A1771=IMPORTRANGE(""https://docs.google.co"&amp;"m/spreadsheets/d/1qpEmbGH0JjaJbUdp21-y2cPbobDbMjr09BbtdKROZWc/edit#gid=1444865654"",""articles_with_PRISMA_reasons!B2:B2113""))&gt;=2,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$A1771=IMPORTRANGE(""https://docs.google.com/spreadsheets/d/1qpEmbGH0JjaJbUdp21-y2cPbobDbMjr09BbtdKROZWc/edit#gid=1444865654"",""articles_with_PRISMA_reasons!B2:B2113""))&lt;2),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$A1771=IMPORTRANGE(""https://docs.google.com/spreadsheets/d/1qpEmbGH0JjaJbUdp21-y2cPbobDbMjr09Bbtd"&amp;"KROZWc/edit#gid=1444865654"",""articles_with_PRISMA_reasons!B2:B2113""))&lt;2,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$A1771=I"&amp;"MPORTRANGE(""https://docs.google.com/spreadsheets/d/1qpEmbGH0JjaJbUdp21-y2cPbobDbMjr09BbtdKROZWc/edit#gid=1444865654"",""articles_with_PRISMA_reasons!B2:B2113""))&gt;=2),
""Exclude""
)"),"Exclude")</f>
        <v>Exclude</v>
      </c>
      <c r="F1771" s="5" t="str">
        <f>IFERROR(__xludf.DUMMYFUNCTION("IFS(
E1771=""Exclude"",""Exclude"",
AND(
COUNTIF(
IMPORTRANGE(""https://docs.google.com/spreadsheets/d/1kGrh75X1cNR1D7_FcY9zMnHP8iPO4M5RCRjy6nZY0TY/edit#gid=0"",""Table 1: Study characteristics!B4:B171""),A1771)&gt;0,
COUNTIF(Studies!$A$2:$A$85,FILTER(IMPORT"&amp;"RANGE(""https://docs.google.com/spreadsheets/d/1kGrh75X1cNR1D7_FcY9zMnHP8iPO4M5RCRjy6nZY0TY/edit#gid=0"",""Table 1: Study characteristics!A4:A171""), $A1771=IMPORTRANGE(""https://docs.google.com/spreadsheets/d/1kGrh75X1cNR1D7_FcY9zMnHP8iPO4M5RCRjy6nZY0TY/"&amp;"edit#gid=0"",""Table 1: Study characteristics!B4:B171"")))&gt;0
),
""Include""
)"),"Exclude")</f>
        <v>Exclude</v>
      </c>
      <c r="G1771" s="5" t="str">
        <f>IFERROR(__xludf.DUMMYFUNCTION("IFS(
D1771=""Exclude"",
FILTER(IMPORTRANGE(""https://docs.google.com/spreadsheets/d/1BJSV3WBYJGRhQ6zExamkszQ5VutGIcaQqmbD9ZTVXMQ/edit#gid=1251630045"",""articles_with_PRISMA_reasons!AB2:AB2113""), $A1771=IMPORTRANGE(""https://docs.google.com/spreadsheets/"&amp;"d/1BJSV3WBYJGRhQ6zExamkszQ5VutGIcaQqmbD9ZTVXMQ/edit#gid=1251630045"",""articles_with_PRISMA_reasons!B2:B2113"")),
E1771=""Exclude"",
FILTER(IMPORTRANGE(""https://docs.google.com/spreadsheets/d/1qpEmbGH0JjaJbUdp21-y2cPbobDbMjr09BbtdKROZWc/edit#gid=14448656"&amp;"54"",""articles_with_PRISMA_reasons!Z2:Z2113""), $A1771=IMPORTRANGE(""https://docs.google.com/spreadsheets/d/1qpEmbGH0JjaJbUdp21-y2cPbobDbMjr09BbtdKROZWc/edit#gid=1444865654"",""articles_with_PRISMA_reasons!B2:B2113"")),F1771
=""Include"",FILTER(IMPORTRAN"&amp;"GE(""https://docs.google.com/spreadsheets/d/1kGrh75X1cNR1D7_FcY9zMnHP8iPO4M5RCRjy6nZY0TY/edit#gid=0"",""Table 1: Study characteristics!A4:A171""), $A1771=IMPORTRANGE(""https://docs.google.com/spreadsheets/d/1kGrh75X1cNR1D7_FcY9zMnHP8iPO4M5RCRjy6nZY0TY/edi"&amp;"t#gid=0"",""Table 1: Study characteristics!B4:B171""))
)"),"wrong population")</f>
        <v>wrong population</v>
      </c>
    </row>
    <row r="1772">
      <c r="A1772" s="4" t="str">
        <f>IFERROR(__xludf.DUMMYFUNCTION("""COMPUTED_VALUE"""),"Stenotrophomonas maltophilia meningitis in a paediatric patient following neurosurgery")</f>
        <v>Stenotrophomonas maltophilia meningitis in a paediatric patient following neurosurgery</v>
      </c>
      <c r="B1772" s="5" t="str">
        <f>IFERROR(__xludf.DUMMYFUNCTION("LEFT(FILTER(IMPORTRANGE(""https://docs.google.com/spreadsheets/d/1BJSV3WBYJGRhQ6zExamkszQ5VutGIcaQqmbD9ZTVXMQ/edit#gid=1251630045"",""articles_with_PRISMA_reasons!K2:K2113""), $A1772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$A1772=IMPORTRANGE(""https://docs.google.com/spreadsheets/d/1BJSV3WBYJGRhQ6zExamkszQ5VutGIcaQqmbD9ZTVXMQ/edit#gid=1251630045"",""articles_with_PRISMA_reasons!B2:B2113"")))-1)"),"T and el")</f>
        <v>T and el</v>
      </c>
      <c r="C1772" s="6">
        <f>IFERROR(__xludf.DUMMYFUNCTION("FILTER(IMPORTRANGE(""https://docs.google.com/spreadsheets/d/1BJSV3WBYJGRhQ6zExamkszQ5VutGIcaQqmbD9ZTVXMQ/edit#gid=1251630045"",""articles_with_PRISMA_reasons!C2:C2113""), $A1772=IMPORTRANGE(""https://docs.google.com/spreadsheets/d/1BJSV3WBYJGRhQ6zExamkszQ"&amp;"5VutGIcaQqmbD9ZTVXMQ/edit#gid=1251630045"",""articles_with_PRISMA_reasons!B2:B2113""))"),2015.0)</f>
        <v>2015</v>
      </c>
      <c r="D1772" s="5" t="str">
        <f>IFERROR(__xludf.DUMMYFUNCTION("IFS(AND(
FILTER(IMPORTRANGE(""https://docs.google.com/spreadsheets/d/1BJSV3WBYJGRhQ6zExamkszQ5VutGIcaQqmbD9ZTVXMQ/edit#gid=1251630045"",""articles_with_PRISMA_reasons!Y2:Y2113""), $A1772=IMPORTRANGE(""https://docs.google.com/spreadsheets/d/1BJSV3WBYJGRhQ6"&amp;"zExamkszQ5VutGIcaQqmbD9ZTVXMQ/edit#gid=1251630045"",""articles_with_PRISMA_reasons!B2:B2113""))&gt;=2,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$A1772=IMPORTRANGE(""https://docs.google.com/spreadsheets/d/1BJSV3WBYJGRhQ6zExamkszQ5VutGIcaQqmbD9ZTVXMQ/edit#gid=1251630045"",""articles_with_PRISMA_reasons!B2:B2113""))&lt;2),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$A1772=IMPORTRANGE(""https://docs.google.com/spreadsheets/d/1BJSV3WBYJGRhQ6zExamkszQ5VutGIcaQqmbD9ZTVXMQ/edit#gid=1251630045"",""a"&amp;"rticles_with_PRISMA_reasons!B2:B2113""))&lt;2,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$A1772=IMPORTRANGE(""https://docs.google"&amp;".com/spreadsheets/d/1BJSV3WBYJGRhQ6zExamkszQ5VutGIcaQqmbD9ZTVXMQ/edit#gid=1251630045"",""articles_with_PRISMA_reasons!B2:B2113""))&gt;=2),
""Exclude""
)"),"Exclude")</f>
        <v>Exclude</v>
      </c>
      <c r="E1772" s="5" t="str">
        <f>IFERROR(__xludf.DUMMYFUNCTION("IFS(
D1772=""Exclude"",""Exclude"",
AND(
FILTER(IMPORTRANGE(""https://docs.google.com/spreadsheets/d/1qpEmbGH0JjaJbUdp21-y2cPbobDbMjr09BbtdKROZWc/edit#gid=1444865654"",""articles_with_PRISMA_reasons!W2:W2113""), $A1772=IMPORTRANGE(""https://docs.google.co"&amp;"m/spreadsheets/d/1qpEmbGH0JjaJbUdp21-y2cPbobDbMjr09BbtdKROZWc/edit#gid=1444865654"",""articles_with_PRISMA_reasons!B2:B2113""))&gt;=2,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$A1772=IMPORTRANGE(""https://docs.google.com/spreadsheets/d/1qpEmbGH0JjaJbUdp21-y2cPbobDbMjr09BbtdKROZWc/edit#gid=1444865654"",""articles_with_PRISMA_reasons!B2:B2113""))&lt;2),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$A1772=IMPORTRANGE(""https://docs.google.com/spreadsheets/d/1qpEmbGH0JjaJbUdp21-y2cPbobDbMjr09Bbtd"&amp;"KROZWc/edit#gid=1444865654"",""articles_with_PRISMA_reasons!B2:B2113""))&lt;2,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$A1772=I"&amp;"MPORTRANGE(""https://docs.google.com/spreadsheets/d/1qpEmbGH0JjaJbUdp21-y2cPbobDbMjr09BbtdKROZWc/edit#gid=1444865654"",""articles_with_PRISMA_reasons!B2:B2113""))&gt;=2),
""Exclude""
)"),"Exclude")</f>
        <v>Exclude</v>
      </c>
      <c r="F1772" s="5" t="str">
        <f>IFERROR(__xludf.DUMMYFUNCTION("IFS(
E1772=""Exclude"",""Exclude"",
AND(
COUNTIF(
IMPORTRANGE(""https://docs.google.com/spreadsheets/d/1kGrh75X1cNR1D7_FcY9zMnHP8iPO4M5RCRjy6nZY0TY/edit#gid=0"",""Table 1: Study characteristics!B4:B171""),A1772)&gt;0,
COUNTIF(Studies!$A$2:$A$85,FILTER(IMPORT"&amp;"RANGE(""https://docs.google.com/spreadsheets/d/1kGrh75X1cNR1D7_FcY9zMnHP8iPO4M5RCRjy6nZY0TY/edit#gid=0"",""Table 1: Study characteristics!A4:A171""), $A1772=IMPORTRANGE(""https://docs.google.com/spreadsheets/d/1kGrh75X1cNR1D7_FcY9zMnHP8iPO4M5RCRjy6nZY0TY/"&amp;"edit#gid=0"",""Table 1: Study characteristics!B4:B171"")))&gt;0
),
""Include""
)"),"Exclude")</f>
        <v>Exclude</v>
      </c>
      <c r="G1772" s="5" t="str">
        <f>IFERROR(__xludf.DUMMYFUNCTION("IFS(
D1772=""Exclude"",
FILTER(IMPORTRANGE(""https://docs.google.com/spreadsheets/d/1BJSV3WBYJGRhQ6zExamkszQ5VutGIcaQqmbD9ZTVXMQ/edit#gid=1251630045"",""articles_with_PRISMA_reasons!AB2:AB2113""), $A1772=IMPORTRANGE(""https://docs.google.com/spreadsheets/"&amp;"d/1BJSV3WBYJGRhQ6zExamkszQ5VutGIcaQqmbD9ZTVXMQ/edit#gid=1251630045"",""articles_with_PRISMA_reasons!B2:B2113"")),
E1772=""Exclude"",
FILTER(IMPORTRANGE(""https://docs.google.com/spreadsheets/d/1qpEmbGH0JjaJbUdp21-y2cPbobDbMjr09BbtdKROZWc/edit#gid=14448656"&amp;"54"",""articles_with_PRISMA_reasons!Z2:Z2113""), $A1772=IMPORTRANGE(""https://docs.google.com/spreadsheets/d/1qpEmbGH0JjaJbUdp21-y2cPbobDbMjr09BbtdKROZWc/edit#gid=1444865654"",""articles_with_PRISMA_reasons!B2:B2113"")),F1772
=""Include"",FILTER(IMPORTRAN"&amp;"GE(""https://docs.google.com/spreadsheets/d/1kGrh75X1cNR1D7_FcY9zMnHP8iPO4M5RCRjy6nZY0TY/edit#gid=0"",""Table 1: Study characteristics!A4:A171""), $A1772=IMPORTRANGE(""https://docs.google.com/spreadsheets/d/1kGrh75X1cNR1D7_FcY9zMnHP8iPO4M5RCRjy6nZY0TY/edi"&amp;"t#gid=0"",""Table 1: Study characteristics!B4:B171""))
)"),"wrong study design")</f>
        <v>wrong study design</v>
      </c>
    </row>
    <row r="1773">
      <c r="A1773" s="4" t="str">
        <f>IFERROR(__xludf.DUMMYFUNCTION("""COMPUTED_VALUE"""),"Stereotactic neuroendoscopic management of hydrocephalus: a three-year follow-up and analysis of Malaysian children with aqueduct stenosis")</f>
        <v>Stereotactic neuroendoscopic management of hydrocephalus: a three-year follow-up and analysis of Malaysian children with aqueduct stenosis</v>
      </c>
      <c r="B1773" s="5" t="str">
        <f>IFERROR(__xludf.DUMMYFUNCTION("LEFT(FILTER(IMPORTRANGE(""https://docs.google.com/spreadsheets/d/1BJSV3WBYJGRhQ6zExamkszQ5VutGIcaQqmbD9ZTVXMQ/edit#gid=1251630045"",""articles_with_PRISMA_reasons!K2:K2113""), $A1773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$A1773=IMPORTRANGE(""https://docs.google.com/spreadsheets/d/1BJSV3WBYJGRhQ6zExamkszQ5VutGIcaQqmbD9ZTVXMQ/edit#gid=1251630045"",""articles_with_PRISMA_reasons!B2:B2113"")))-1)"),"Abdullah")</f>
        <v>Abdullah</v>
      </c>
      <c r="C1773" s="6">
        <f>IFERROR(__xludf.DUMMYFUNCTION("FILTER(IMPORTRANGE(""https://docs.google.com/spreadsheets/d/1BJSV3WBYJGRhQ6zExamkszQ5VutGIcaQqmbD9ZTVXMQ/edit#gid=1251630045"",""articles_with_PRISMA_reasons!C2:C2113""), $A1773=IMPORTRANGE(""https://docs.google.com/spreadsheets/d/1BJSV3WBYJGRhQ6zExamkszQ"&amp;"5VutGIcaQqmbD9ZTVXMQ/edit#gid=1251630045"",""articles_with_PRISMA_reasons!B2:B2113""))"),2001.0)</f>
        <v>2001</v>
      </c>
      <c r="D1773" s="5" t="str">
        <f>IFERROR(__xludf.DUMMYFUNCTION("IFS(AND(
FILTER(IMPORTRANGE(""https://docs.google.com/spreadsheets/d/1BJSV3WBYJGRhQ6zExamkszQ5VutGIcaQqmbD9ZTVXMQ/edit#gid=1251630045"",""articles_with_PRISMA_reasons!Y2:Y2113""), $A1773=IMPORTRANGE(""https://docs.google.com/spreadsheets/d/1BJSV3WBYJGRhQ6"&amp;"zExamkszQ5VutGIcaQqmbD9ZTVXMQ/edit#gid=1251630045"",""articles_with_PRISMA_reasons!B2:B2113""))&gt;=2,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$A1773=IMPORTRANGE(""https://docs.google.com/spreadsheets/d/1BJSV3WBYJGRhQ6zExamkszQ5VutGIcaQqmbD9ZTVXMQ/edit#gid=1251630045"",""articles_with_PRISMA_reasons!B2:B2113""))&lt;2),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$A1773=IMPORTRANGE(""https://docs.google.com/spreadsheets/d/1BJSV3WBYJGRhQ6zExamkszQ5VutGIcaQqmbD9ZTVXMQ/edit#gid=1251630045"",""a"&amp;"rticles_with_PRISMA_reasons!B2:B2113""))&lt;2,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$A1773=IMPORTRANGE(""https://docs.google"&amp;".com/spreadsheets/d/1BJSV3WBYJGRhQ6zExamkszQ5VutGIcaQqmbD9ZTVXMQ/edit#gid=1251630045"",""articles_with_PRISMA_reasons!B2:B2113""))&gt;=2),
""Exclude""
)"),"Include")</f>
        <v>Include</v>
      </c>
      <c r="E1773" s="5" t="str">
        <f>IFERROR(__xludf.DUMMYFUNCTION("IFS(
D1773=""Exclude"",""Exclude"",
AND(
FILTER(IMPORTRANGE(""https://docs.google.com/spreadsheets/d/1qpEmbGH0JjaJbUdp21-y2cPbobDbMjr09BbtdKROZWc/edit#gid=1444865654"",""articles_with_PRISMA_reasons!W2:W2113""), $A1773=IMPORTRANGE(""https://docs.google.co"&amp;"m/spreadsheets/d/1qpEmbGH0JjaJbUdp21-y2cPbobDbMjr09BbtdKROZWc/edit#gid=1444865654"",""articles_with_PRISMA_reasons!B2:B2113""))&gt;=2,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$A1773=IMPORTRANGE(""https://docs.google.com/spreadsheets/d/1qpEmbGH0JjaJbUdp21-y2cPbobDbMjr09BbtdKROZWc/edit#gid=1444865654"",""articles_with_PRISMA_reasons!B2:B2113""))&lt;2),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$A1773=IMPORTRANGE(""https://docs.google.com/spreadsheets/d/1qpEmbGH0JjaJbUdp21-y2cPbobDbMjr09Bbtd"&amp;"KROZWc/edit#gid=1444865654"",""articles_with_PRISMA_reasons!B2:B2113""))&lt;2,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$A1773=I"&amp;"MPORTRANGE(""https://docs.google.com/spreadsheets/d/1qpEmbGH0JjaJbUdp21-y2cPbobDbMjr09BbtdKROZWc/edit#gid=1444865654"",""articles_with_PRISMA_reasons!B2:B2113""))&gt;=2),
""Exclude""
)"),"Exclude")</f>
        <v>Exclude</v>
      </c>
      <c r="F1773" s="5" t="str">
        <f>IFERROR(__xludf.DUMMYFUNCTION("IFS(
E1773=""Exclude"",""Exclude"",
AND(
COUNTIF(
IMPORTRANGE(""https://docs.google.com/spreadsheets/d/1kGrh75X1cNR1D7_FcY9zMnHP8iPO4M5RCRjy6nZY0TY/edit#gid=0"",""Table 1: Study characteristics!B4:B171""),A1773)&gt;0,
COUNTIF(Studies!$A$2:$A$85,FILTER(IMPORT"&amp;"RANGE(""https://docs.google.com/spreadsheets/d/1kGrh75X1cNR1D7_FcY9zMnHP8iPO4M5RCRjy6nZY0TY/edit#gid=0"",""Table 1: Study characteristics!A4:A171""), $A1773=IMPORTRANGE(""https://docs.google.com/spreadsheets/d/1kGrh75X1cNR1D7_FcY9zMnHP8iPO4M5RCRjy6nZY0TY/"&amp;"edit#gid=0"",""Table 1: Study characteristics!B4:B171"")))&gt;0
),
""Include""
)"),"Exclude")</f>
        <v>Exclude</v>
      </c>
      <c r="G1773" s="5" t="str">
        <f>IFERROR(__xludf.DUMMYFUNCTION("IFS(
D1773=""Exclude"",
FILTER(IMPORTRANGE(""https://docs.google.com/spreadsheets/d/1BJSV3WBYJGRhQ6zExamkszQ5VutGIcaQqmbD9ZTVXMQ/edit#gid=1251630045"",""articles_with_PRISMA_reasons!AB2:AB2113""), $A1773=IMPORTRANGE(""https://docs.google.com/spreadsheets/"&amp;"d/1BJSV3WBYJGRhQ6zExamkszQ5VutGIcaQqmbD9ZTVXMQ/edit#gid=1251630045"",""articles_with_PRISMA_reasons!B2:B2113"")),
E1773=""Exclude"",
FILTER(IMPORTRANGE(""https://docs.google.com/spreadsheets/d/1qpEmbGH0JjaJbUdp21-y2cPbobDbMjr09BbtdKROZWc/edit#gid=14448656"&amp;"54"",""articles_with_PRISMA_reasons!Z2:Z2113""), $A1773=IMPORTRANGE(""https://docs.google.com/spreadsheets/d/1qpEmbGH0JjaJbUdp21-y2cPbobDbMjr09BbtdKROZWc/edit#gid=1444865654"",""articles_with_PRISMA_reasons!B2:B2113"")),F1773
=""Include"",FILTER(IMPORTRAN"&amp;"GE(""https://docs.google.com/spreadsheets/d/1kGrh75X1cNR1D7_FcY9zMnHP8iPO4M5RCRjy6nZY0TY/edit#gid=0"",""Table 1: Study characteristics!A4:A171""), $A1773=IMPORTRANGE(""https://docs.google.com/spreadsheets/d/1kGrh75X1cNR1D7_FcY9zMnHP8iPO4M5RCRjy6nZY0TY/edi"&amp;"t#gid=0"",""Table 1: Study characteristics!B4:B171""))
)"),"wrong population")</f>
        <v>wrong population</v>
      </c>
    </row>
    <row r="1774">
      <c r="A1774" s="4" t="str">
        <f>IFERROR(__xludf.DUMMYFUNCTION("""COMPUTED_VALUE"""),"Strabismus and meningomyelocele")</f>
        <v>Strabismus and meningomyelocele</v>
      </c>
      <c r="B1774" s="5" t="str">
        <f>IFERROR(__xludf.DUMMYFUNCTION("LEFT(FILTER(IMPORTRANGE(""https://docs.google.com/spreadsheets/d/1BJSV3WBYJGRhQ6zExamkszQ5VutGIcaQqmbD9ZTVXMQ/edit#gid=1251630045"",""articles_with_PRISMA_reasons!K2:K2113""), $A1774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$A1774=IMPORTRANGE(""https://docs.google.com/spreadsheets/d/1BJSV3WBYJGRhQ6zExamkszQ5VutGIcaQqmbD9ZTVXMQ/edit#gid=1251630045"",""articles_with_PRISMA_reasons!B2:B2113"")))-1)"),"Houtman")</f>
        <v>Houtman</v>
      </c>
      <c r="C1774" s="6">
        <f>IFERROR(__xludf.DUMMYFUNCTION("FILTER(IMPORTRANGE(""https://docs.google.com/spreadsheets/d/1BJSV3WBYJGRhQ6zExamkszQ5VutGIcaQqmbD9ZTVXMQ/edit#gid=1251630045"",""articles_with_PRISMA_reasons!C2:C2113""), $A1774=IMPORTRANGE(""https://docs.google.com/spreadsheets/d/1BJSV3WBYJGRhQ6zExamkszQ"&amp;"5VutGIcaQqmbD9ZTVXMQ/edit#gid=1251630045"",""articles_with_PRISMA_reasons!B2:B2113""))"),1981.0)</f>
        <v>1981</v>
      </c>
      <c r="D1774" s="5" t="str">
        <f>IFERROR(__xludf.DUMMYFUNCTION("IFS(AND(
FILTER(IMPORTRANGE(""https://docs.google.com/spreadsheets/d/1BJSV3WBYJGRhQ6zExamkszQ5VutGIcaQqmbD9ZTVXMQ/edit#gid=1251630045"",""articles_with_PRISMA_reasons!Y2:Y2113""), $A1774=IMPORTRANGE(""https://docs.google.com/spreadsheets/d/1BJSV3WBYJGRhQ6"&amp;"zExamkszQ5VutGIcaQqmbD9ZTVXMQ/edit#gid=1251630045"",""articles_with_PRISMA_reasons!B2:B2113""))&gt;=2,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$A1774=IMPORTRANGE(""https://docs.google.com/spreadsheets/d/1BJSV3WBYJGRhQ6zExamkszQ5VutGIcaQqmbD9ZTVXMQ/edit#gid=1251630045"",""articles_with_PRISMA_reasons!B2:B2113""))&lt;2),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$A1774=IMPORTRANGE(""https://docs.google.com/spreadsheets/d/1BJSV3WBYJGRhQ6zExamkszQ5VutGIcaQqmbD9ZTVXMQ/edit#gid=1251630045"",""a"&amp;"rticles_with_PRISMA_reasons!B2:B2113""))&lt;2,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$A1774=IMPORTRANGE(""https://docs.google"&amp;".com/spreadsheets/d/1BJSV3WBYJGRhQ6zExamkszQ5VutGIcaQqmbD9ZTVXMQ/edit#gid=1251630045"",""articles_with_PRISMA_reasons!B2:B2113""))&gt;=2),
""Exclude""
)"),"Exclude")</f>
        <v>Exclude</v>
      </c>
      <c r="E1774" s="5" t="str">
        <f>IFERROR(__xludf.DUMMYFUNCTION("IFS(
D1774=""Exclude"",""Exclude"",
AND(
FILTER(IMPORTRANGE(""https://docs.google.com/spreadsheets/d/1qpEmbGH0JjaJbUdp21-y2cPbobDbMjr09BbtdKROZWc/edit#gid=1444865654"",""articles_with_PRISMA_reasons!W2:W2113""), $A1774=IMPORTRANGE(""https://docs.google.co"&amp;"m/spreadsheets/d/1qpEmbGH0JjaJbUdp21-y2cPbobDbMjr09BbtdKROZWc/edit#gid=1444865654"",""articles_with_PRISMA_reasons!B2:B2113""))&gt;=2,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$A1774=IMPORTRANGE(""https://docs.google.com/spreadsheets/d/1qpEmbGH0JjaJbUdp21-y2cPbobDbMjr09BbtdKROZWc/edit#gid=1444865654"",""articles_with_PRISMA_reasons!B2:B2113""))&lt;2),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$A1774=IMPORTRANGE(""https://docs.google.com/spreadsheets/d/1qpEmbGH0JjaJbUdp21-y2cPbobDbMjr09Bbtd"&amp;"KROZWc/edit#gid=1444865654"",""articles_with_PRISMA_reasons!B2:B2113""))&lt;2,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$A1774=I"&amp;"MPORTRANGE(""https://docs.google.com/spreadsheets/d/1qpEmbGH0JjaJbUdp21-y2cPbobDbMjr09BbtdKROZWc/edit#gid=1444865654"",""articles_with_PRISMA_reasons!B2:B2113""))&gt;=2),
""Exclude""
)"),"Exclude")</f>
        <v>Exclude</v>
      </c>
      <c r="F1774" s="5" t="str">
        <f>IFERROR(__xludf.DUMMYFUNCTION("IFS(
E1774=""Exclude"",""Exclude"",
AND(
COUNTIF(
IMPORTRANGE(""https://docs.google.com/spreadsheets/d/1kGrh75X1cNR1D7_FcY9zMnHP8iPO4M5RCRjy6nZY0TY/edit#gid=0"",""Table 1: Study characteristics!B4:B171""),A1774)&gt;0,
COUNTIF(Studies!$A$2:$A$85,FILTER(IMPORT"&amp;"RANGE(""https://docs.google.com/spreadsheets/d/1kGrh75X1cNR1D7_FcY9zMnHP8iPO4M5RCRjy6nZY0TY/edit#gid=0"",""Table 1: Study characteristics!A4:A171""), $A1774=IMPORTRANGE(""https://docs.google.com/spreadsheets/d/1kGrh75X1cNR1D7_FcY9zMnHP8iPO4M5RCRjy6nZY0TY/"&amp;"edit#gid=0"",""Table 1: Study characteristics!B4:B171"")))&gt;0
),
""Include""
)"),"Exclude")</f>
        <v>Exclude</v>
      </c>
      <c r="G1774" s="5" t="str">
        <f>IFERROR(__xludf.DUMMYFUNCTION("IFS(
D1774=""Exclude"",
FILTER(IMPORTRANGE(""https://docs.google.com/spreadsheets/d/1BJSV3WBYJGRhQ6zExamkszQ5VutGIcaQqmbD9ZTVXMQ/edit#gid=1251630045"",""articles_with_PRISMA_reasons!AB2:AB2113""), $A1774=IMPORTRANGE(""https://docs.google.com/spreadsheets/"&amp;"d/1BJSV3WBYJGRhQ6zExamkszQ5VutGIcaQqmbD9ZTVXMQ/edit#gid=1251630045"",""articles_with_PRISMA_reasons!B2:B2113"")),
E1774=""Exclude"",
FILTER(IMPORTRANGE(""https://docs.google.com/spreadsheets/d/1qpEmbGH0JjaJbUdp21-y2cPbobDbMjr09BbtdKROZWc/edit#gid=14448656"&amp;"54"",""articles_with_PRISMA_reasons!Z2:Z2113""), $A1774=IMPORTRANGE(""https://docs.google.com/spreadsheets/d/1qpEmbGH0JjaJbUdp21-y2cPbobDbMjr09BbtdKROZWc/edit#gid=1444865654"",""articles_with_PRISMA_reasons!B2:B2113"")),F1774
=""Include"",FILTER(IMPORTRAN"&amp;"GE(""https://docs.google.com/spreadsheets/d/1kGrh75X1cNR1D7_FcY9zMnHP8iPO4M5RCRjy6nZY0TY/edit#gid=0"",""Table 1: Study characteristics!A4:A171""), $A1774=IMPORTRANGE(""https://docs.google.com/spreadsheets/d/1kGrh75X1cNR1D7_FcY9zMnHP8iPO4M5RCRjy6nZY0TY/edi"&amp;"t#gid=0"",""Table 1: Study characteristics!B4:B171""))
)"),"wrong population")</f>
        <v>wrong population</v>
      </c>
    </row>
    <row r="1775">
      <c r="A1775" s="4" t="str">
        <f>IFERROR(__xludf.DUMMYFUNCTION("""COMPUTED_VALUE"""),"Strabismus associated with meningomyelocele")</f>
        <v>Strabismus associated with meningomyelocele</v>
      </c>
      <c r="B1775" s="5" t="str">
        <f>IFERROR(__xludf.DUMMYFUNCTION("LEFT(FILTER(IMPORTRANGE(""https://docs.google.com/spreadsheets/d/1BJSV3WBYJGRhQ6zExamkszQ5VutGIcaQqmbD9ZTVXMQ/edit#gid=1251630045"",""articles_with_PRISMA_reasons!K2:K2113""), $A1775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$A1775=IMPORTRANGE(""https://docs.google.com/spreadsheets/d/1BJSV3WBYJGRhQ6zExamkszQ5VutGIcaQqmbD9ZTVXMQ/edit#gid=1251630045"",""articles_with_PRISMA_reasons!B2:B2113"")))-1)"),"Biglan")</f>
        <v>Biglan</v>
      </c>
      <c r="C1775" s="6">
        <f>IFERROR(__xludf.DUMMYFUNCTION("FILTER(IMPORTRANGE(""https://docs.google.com/spreadsheets/d/1BJSV3WBYJGRhQ6zExamkszQ5VutGIcaQqmbD9ZTVXMQ/edit#gid=1251630045"",""articles_with_PRISMA_reasons!C2:C2113""), $A1775=IMPORTRANGE(""https://docs.google.com/spreadsheets/d/1BJSV3WBYJGRhQ6zExamkszQ"&amp;"5VutGIcaQqmbD9ZTVXMQ/edit#gid=1251630045"",""articles_with_PRISMA_reasons!B2:B2113""))"),1995.0)</f>
        <v>1995</v>
      </c>
      <c r="D1775" s="5" t="str">
        <f>IFERROR(__xludf.DUMMYFUNCTION("IFS(AND(
FILTER(IMPORTRANGE(""https://docs.google.com/spreadsheets/d/1BJSV3WBYJGRhQ6zExamkszQ5VutGIcaQqmbD9ZTVXMQ/edit#gid=1251630045"",""articles_with_PRISMA_reasons!Y2:Y2113""), $A1775=IMPORTRANGE(""https://docs.google.com/spreadsheets/d/1BJSV3WBYJGRhQ6"&amp;"zExamkszQ5VutGIcaQqmbD9ZTVXMQ/edit#gid=1251630045"",""articles_with_PRISMA_reasons!B2:B2113""))&gt;=2,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$A1775=IMPORTRANGE(""https://docs.google.com/spreadsheets/d/1BJSV3WBYJGRhQ6zExamkszQ5VutGIcaQqmbD9ZTVXMQ/edit#gid=1251630045"",""articles_with_PRISMA_reasons!B2:B2113""))&lt;2),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$A1775=IMPORTRANGE(""https://docs.google.com/spreadsheets/d/1BJSV3WBYJGRhQ6zExamkszQ5VutGIcaQqmbD9ZTVXMQ/edit#gid=1251630045"",""a"&amp;"rticles_with_PRISMA_reasons!B2:B2113""))&lt;2,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$A1775=IMPORTRANGE(""https://docs.google"&amp;".com/spreadsheets/d/1BJSV3WBYJGRhQ6zExamkszQ5VutGIcaQqmbD9ZTVXMQ/edit#gid=1251630045"",""articles_with_PRISMA_reasons!B2:B2113""))&gt;=2),
""Exclude""
)"),"Exclude")</f>
        <v>Exclude</v>
      </c>
      <c r="E1775" s="5" t="str">
        <f>IFERROR(__xludf.DUMMYFUNCTION("IFS(
D1775=""Exclude"",""Exclude"",
AND(
FILTER(IMPORTRANGE(""https://docs.google.com/spreadsheets/d/1qpEmbGH0JjaJbUdp21-y2cPbobDbMjr09BbtdKROZWc/edit#gid=1444865654"",""articles_with_PRISMA_reasons!W2:W2113""), $A1775=IMPORTRANGE(""https://docs.google.co"&amp;"m/spreadsheets/d/1qpEmbGH0JjaJbUdp21-y2cPbobDbMjr09BbtdKROZWc/edit#gid=1444865654"",""articles_with_PRISMA_reasons!B2:B2113""))&gt;=2,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$A1775=IMPORTRANGE(""https://docs.google.com/spreadsheets/d/1qpEmbGH0JjaJbUdp21-y2cPbobDbMjr09BbtdKROZWc/edit#gid=1444865654"",""articles_with_PRISMA_reasons!B2:B2113""))&lt;2),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$A1775=IMPORTRANGE(""https://docs.google.com/spreadsheets/d/1qpEmbGH0JjaJbUdp21-y2cPbobDbMjr09Bbtd"&amp;"KROZWc/edit#gid=1444865654"",""articles_with_PRISMA_reasons!B2:B2113""))&lt;2,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$A1775=I"&amp;"MPORTRANGE(""https://docs.google.com/spreadsheets/d/1qpEmbGH0JjaJbUdp21-y2cPbobDbMjr09BbtdKROZWc/edit#gid=1444865654"",""articles_with_PRISMA_reasons!B2:B2113""))&gt;=2),
""Exclude""
)"),"Exclude")</f>
        <v>Exclude</v>
      </c>
      <c r="F1775" s="5" t="str">
        <f>IFERROR(__xludf.DUMMYFUNCTION("IFS(
E1775=""Exclude"",""Exclude"",
AND(
COUNTIF(
IMPORTRANGE(""https://docs.google.com/spreadsheets/d/1kGrh75X1cNR1D7_FcY9zMnHP8iPO4M5RCRjy6nZY0TY/edit#gid=0"",""Table 1: Study characteristics!B4:B171""),A1775)&gt;0,
COUNTIF(Studies!$A$2:$A$85,FILTER(IMPORT"&amp;"RANGE(""https://docs.google.com/spreadsheets/d/1kGrh75X1cNR1D7_FcY9zMnHP8iPO4M5RCRjy6nZY0TY/edit#gid=0"",""Table 1: Study characteristics!A4:A171""), $A1775=IMPORTRANGE(""https://docs.google.com/spreadsheets/d/1kGrh75X1cNR1D7_FcY9zMnHP8iPO4M5RCRjy6nZY0TY/"&amp;"edit#gid=0"",""Table 1: Study characteristics!B4:B171"")))&gt;0
),
""Include""
)"),"Exclude")</f>
        <v>Exclude</v>
      </c>
      <c r="G1775" s="5" t="str">
        <f>IFERROR(__xludf.DUMMYFUNCTION("IFS(
D1775=""Exclude"",
FILTER(IMPORTRANGE(""https://docs.google.com/spreadsheets/d/1BJSV3WBYJGRhQ6zExamkszQ5VutGIcaQqmbD9ZTVXMQ/edit#gid=1251630045"",""articles_with_PRISMA_reasons!AB2:AB2113""), $A1775=IMPORTRANGE(""https://docs.google.com/spreadsheets/"&amp;"d/1BJSV3WBYJGRhQ6zExamkszQ5VutGIcaQqmbD9ZTVXMQ/edit#gid=1251630045"",""articles_with_PRISMA_reasons!B2:B2113"")),
E1775=""Exclude"",
FILTER(IMPORTRANGE(""https://docs.google.com/spreadsheets/d/1qpEmbGH0JjaJbUdp21-y2cPbobDbMjr09BbtdKROZWc/edit#gid=14448656"&amp;"54"",""articles_with_PRISMA_reasons!Z2:Z2113""), $A1775=IMPORTRANGE(""https://docs.google.com/spreadsheets/d/1qpEmbGH0JjaJbUdp21-y2cPbobDbMjr09BbtdKROZWc/edit#gid=1444865654"",""articles_with_PRISMA_reasons!B2:B2113"")),F1775
=""Include"",FILTER(IMPORTRAN"&amp;"GE(""https://docs.google.com/spreadsheets/d/1kGrh75X1cNR1D7_FcY9zMnHP8iPO4M5RCRjy6nZY0TY/edit#gid=0"",""Table 1: Study characteristics!A4:A171""), $A1775=IMPORTRANGE(""https://docs.google.com/spreadsheets/d/1kGrh75X1cNR1D7_FcY9zMnHP8iPO4M5RCRjy6nZY0TY/edi"&amp;"t#gid=0"",""Table 1: Study characteristics!B4:B171""))
)"),"wrong population")</f>
        <v>wrong population</v>
      </c>
    </row>
    <row r="1776">
      <c r="A1776" s="4" t="str">
        <f>IFERROR(__xludf.DUMMYFUNCTION("""COMPUTED_VALUE"""),"Strategies and dental care in the treatment of patients with myelomeningocele")</f>
        <v>Strategies and dental care in the treatment of patients with myelomeningocele</v>
      </c>
      <c r="B1776" s="5" t="str">
        <f>IFERROR(__xludf.DUMMYFUNCTION("LEFT(FILTER(IMPORTRANGE(""https://docs.google.com/spreadsheets/d/1BJSV3WBYJGRhQ6zExamkszQ5VutGIcaQqmbD9ZTVXMQ/edit#gid=1251630045"",""articles_with_PRISMA_reasons!K2:K2113""), $A1776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$A1776=IMPORTRANGE(""https://docs.google.com/spreadsheets/d/1BJSV3WBYJGRhQ6zExamkszQ5VutGIcaQqmbD9ZTVXMQ/edit#gid=1251630045"",""articles_with_PRISMA_reasons!B2:B2113"")))-1)"),"Bignardi")</f>
        <v>Bignardi</v>
      </c>
      <c r="C1776" s="6">
        <f>IFERROR(__xludf.DUMMYFUNCTION("FILTER(IMPORTRANGE(""https://docs.google.com/spreadsheets/d/1BJSV3WBYJGRhQ6zExamkszQ5VutGIcaQqmbD9ZTVXMQ/edit#gid=1251630045"",""articles_with_PRISMA_reasons!C2:C2113""), $A1776=IMPORTRANGE(""https://docs.google.com/spreadsheets/d/1BJSV3WBYJGRhQ6zExamkszQ"&amp;"5VutGIcaQqmbD9ZTVXMQ/edit#gid=1251630045"",""articles_with_PRISMA_reasons!B2:B2113""))"),2018.0)</f>
        <v>2018</v>
      </c>
      <c r="D1776" s="5" t="str">
        <f>IFERROR(__xludf.DUMMYFUNCTION("IFS(AND(
FILTER(IMPORTRANGE(""https://docs.google.com/spreadsheets/d/1BJSV3WBYJGRhQ6zExamkszQ5VutGIcaQqmbD9ZTVXMQ/edit#gid=1251630045"",""articles_with_PRISMA_reasons!Y2:Y2113""), $A1776=IMPORTRANGE(""https://docs.google.com/spreadsheets/d/1BJSV3WBYJGRhQ6"&amp;"zExamkszQ5VutGIcaQqmbD9ZTVXMQ/edit#gid=1251630045"",""articles_with_PRISMA_reasons!B2:B2113""))&gt;=2,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$A1776=IMPORTRANGE(""https://docs.google.com/spreadsheets/d/1BJSV3WBYJGRhQ6zExamkszQ5VutGIcaQqmbD9ZTVXMQ/edit#gid=1251630045"",""articles_with_PRISMA_reasons!B2:B2113""))&lt;2),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$A1776=IMPORTRANGE(""https://docs.google.com/spreadsheets/d/1BJSV3WBYJGRhQ6zExamkszQ5VutGIcaQqmbD9ZTVXMQ/edit#gid=1251630045"",""a"&amp;"rticles_with_PRISMA_reasons!B2:B2113""))&lt;2,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$A1776=IMPORTRANGE(""https://docs.google"&amp;".com/spreadsheets/d/1BJSV3WBYJGRhQ6zExamkszQ5VutGIcaQqmbD9ZTVXMQ/edit#gid=1251630045"",""articles_with_PRISMA_reasons!B2:B2113""))&gt;=2),
""Exclude""
)"),"Exclude")</f>
        <v>Exclude</v>
      </c>
      <c r="E1776" s="5" t="str">
        <f>IFERROR(__xludf.DUMMYFUNCTION("IFS(
D1776=""Exclude"",""Exclude"",
AND(
FILTER(IMPORTRANGE(""https://docs.google.com/spreadsheets/d/1qpEmbGH0JjaJbUdp21-y2cPbobDbMjr09BbtdKROZWc/edit#gid=1444865654"",""articles_with_PRISMA_reasons!W2:W2113""), $A1776=IMPORTRANGE(""https://docs.google.co"&amp;"m/spreadsheets/d/1qpEmbGH0JjaJbUdp21-y2cPbobDbMjr09BbtdKROZWc/edit#gid=1444865654"",""articles_with_PRISMA_reasons!B2:B2113""))&gt;=2,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$A1776=IMPORTRANGE(""https://docs.google.com/spreadsheets/d/1qpEmbGH0JjaJbUdp21-y2cPbobDbMjr09BbtdKROZWc/edit#gid=1444865654"",""articles_with_PRISMA_reasons!B2:B2113""))&lt;2),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$A1776=IMPORTRANGE(""https://docs.google.com/spreadsheets/d/1qpEmbGH0JjaJbUdp21-y2cPbobDbMjr09Bbtd"&amp;"KROZWc/edit#gid=1444865654"",""articles_with_PRISMA_reasons!B2:B2113""))&lt;2,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$A1776=I"&amp;"MPORTRANGE(""https://docs.google.com/spreadsheets/d/1qpEmbGH0JjaJbUdp21-y2cPbobDbMjr09BbtdKROZWc/edit#gid=1444865654"",""articles_with_PRISMA_reasons!B2:B2113""))&gt;=2),
""Exclude""
)"),"Exclude")</f>
        <v>Exclude</v>
      </c>
      <c r="F1776" s="5" t="str">
        <f>IFERROR(__xludf.DUMMYFUNCTION("IFS(
E1776=""Exclude"",""Exclude"",
AND(
COUNTIF(
IMPORTRANGE(""https://docs.google.com/spreadsheets/d/1kGrh75X1cNR1D7_FcY9zMnHP8iPO4M5RCRjy6nZY0TY/edit#gid=0"",""Table 1: Study characteristics!B4:B171""),A1776)&gt;0,
COUNTIF(Studies!$A$2:$A$85,FILTER(IMPORT"&amp;"RANGE(""https://docs.google.com/spreadsheets/d/1kGrh75X1cNR1D7_FcY9zMnHP8iPO4M5RCRjy6nZY0TY/edit#gid=0"",""Table 1: Study characteristics!A4:A171""), $A1776=IMPORTRANGE(""https://docs.google.com/spreadsheets/d/1kGrh75X1cNR1D7_FcY9zMnHP8iPO4M5RCRjy6nZY0TY/"&amp;"edit#gid=0"",""Table 1: Study characteristics!B4:B171"")))&gt;0
),
""Include""
)"),"Exclude")</f>
        <v>Exclude</v>
      </c>
      <c r="G1776" s="5" t="str">
        <f>IFERROR(__xludf.DUMMYFUNCTION("IFS(
D1776=""Exclude"",
FILTER(IMPORTRANGE(""https://docs.google.com/spreadsheets/d/1BJSV3WBYJGRhQ6zExamkszQ5VutGIcaQqmbD9ZTVXMQ/edit#gid=1251630045"",""articles_with_PRISMA_reasons!AB2:AB2113""), $A1776=IMPORTRANGE(""https://docs.google.com/spreadsheets/"&amp;"d/1BJSV3WBYJGRhQ6zExamkszQ5VutGIcaQqmbD9ZTVXMQ/edit#gid=1251630045"",""articles_with_PRISMA_reasons!B2:B2113"")),
E1776=""Exclude"",
FILTER(IMPORTRANGE(""https://docs.google.com/spreadsheets/d/1qpEmbGH0JjaJbUdp21-y2cPbobDbMjr09BbtdKROZWc/edit#gid=14448656"&amp;"54"",""articles_with_PRISMA_reasons!Z2:Z2113""), $A1776=IMPORTRANGE(""https://docs.google.com/spreadsheets/d/1qpEmbGH0JjaJbUdp21-y2cPbobDbMjr09BbtdKROZWc/edit#gid=1444865654"",""articles_with_PRISMA_reasons!B2:B2113"")),F1776
=""Include"",FILTER(IMPORTRAN"&amp;"GE(""https://docs.google.com/spreadsheets/d/1kGrh75X1cNR1D7_FcY9zMnHP8iPO4M5RCRjy6nZY0TY/edit#gid=0"",""Table 1: Study characteristics!A4:A171""), $A1776=IMPORTRANGE(""https://docs.google.com/spreadsheets/d/1kGrh75X1cNR1D7_FcY9zMnHP8iPO4M5RCRjy6nZY0TY/edi"&amp;"t#gid=0"",""Table 1: Study characteristics!B4:B171""))
)"),"wrong study design")</f>
        <v>wrong study design</v>
      </c>
    </row>
    <row r="1777">
      <c r="A1777" s="4" t="str">
        <f>IFERROR(__xludf.DUMMYFUNCTION("""COMPUTED_VALUE"""),"Stress transient hypertrophic cardiomyopathy and B-type natriuretic peptide role")</f>
        <v>Stress transient hypertrophic cardiomyopathy and B-type natriuretic peptide role</v>
      </c>
      <c r="B1777" s="5" t="str">
        <f>IFERROR(__xludf.DUMMYFUNCTION("LEFT(FILTER(IMPORTRANGE(""https://docs.google.com/spreadsheets/d/1BJSV3WBYJGRhQ6zExamkszQ5VutGIcaQqmbD9ZTVXMQ/edit#gid=1251630045"",""articles_with_PRISMA_reasons!K2:K2113""), $A1777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$A1777=IMPORTRANGE(""https://docs.google.com/spreadsheets/d/1BJSV3WBYJGRhQ6zExamkszQ5VutGIcaQqmbD9ZTVXMQ/edit#gid=1251630045"",""articles_with_PRISMA_reasons!B2:B2113"")))-1)"),"Yanez")</f>
        <v>Yanez</v>
      </c>
      <c r="C1777" s="6">
        <f>IFERROR(__xludf.DUMMYFUNCTION("FILTER(IMPORTRANGE(""https://docs.google.com/spreadsheets/d/1BJSV3WBYJGRhQ6zExamkszQ5VutGIcaQqmbD9ZTVXMQ/edit#gid=1251630045"",""articles_with_PRISMA_reasons!C2:C2113""), $A1777=IMPORTRANGE(""https://docs.google.com/spreadsheets/d/1BJSV3WBYJGRhQ6zExamkszQ"&amp;"5VutGIcaQqmbD9ZTVXMQ/edit#gid=1251630045"",""articles_with_PRISMA_reasons!B2:B2113""))"),2013.0)</f>
        <v>2013</v>
      </c>
      <c r="D1777" s="5" t="str">
        <f>IFERROR(__xludf.DUMMYFUNCTION("IFS(AND(
FILTER(IMPORTRANGE(""https://docs.google.com/spreadsheets/d/1BJSV3WBYJGRhQ6zExamkszQ5VutGIcaQqmbD9ZTVXMQ/edit#gid=1251630045"",""articles_with_PRISMA_reasons!Y2:Y2113""), $A1777=IMPORTRANGE(""https://docs.google.com/spreadsheets/d/1BJSV3WBYJGRhQ6"&amp;"zExamkszQ5VutGIcaQqmbD9ZTVXMQ/edit#gid=1251630045"",""articles_with_PRISMA_reasons!B2:B2113""))&gt;=2,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$A1777=IMPORTRANGE(""https://docs.google.com/spreadsheets/d/1BJSV3WBYJGRhQ6zExamkszQ5VutGIcaQqmbD9ZTVXMQ/edit#gid=1251630045"",""articles_with_PRISMA_reasons!B2:B2113""))&lt;2),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$A1777=IMPORTRANGE(""https://docs.google.com/spreadsheets/d/1BJSV3WBYJGRhQ6zExamkszQ5VutGIcaQqmbD9ZTVXMQ/edit#gid=1251630045"",""a"&amp;"rticles_with_PRISMA_reasons!B2:B2113""))&lt;2,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$A1777=IMPORTRANGE(""https://docs.google"&amp;".com/spreadsheets/d/1BJSV3WBYJGRhQ6zExamkszQ5VutGIcaQqmbD9ZTVXMQ/edit#gid=1251630045"",""articles_with_PRISMA_reasons!B2:B2113""))&gt;=2),
""Exclude""
)"),"Exclude")</f>
        <v>Exclude</v>
      </c>
      <c r="E1777" s="5" t="str">
        <f>IFERROR(__xludf.DUMMYFUNCTION("IFS(
D1777=""Exclude"",""Exclude"",
AND(
FILTER(IMPORTRANGE(""https://docs.google.com/spreadsheets/d/1qpEmbGH0JjaJbUdp21-y2cPbobDbMjr09BbtdKROZWc/edit#gid=1444865654"",""articles_with_PRISMA_reasons!W2:W2113""), $A1777=IMPORTRANGE(""https://docs.google.co"&amp;"m/spreadsheets/d/1qpEmbGH0JjaJbUdp21-y2cPbobDbMjr09BbtdKROZWc/edit#gid=1444865654"",""articles_with_PRISMA_reasons!B2:B2113""))&gt;=2,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$A1777=IMPORTRANGE(""https://docs.google.com/spreadsheets/d/1qpEmbGH0JjaJbUdp21-y2cPbobDbMjr09BbtdKROZWc/edit#gid=1444865654"",""articles_with_PRISMA_reasons!B2:B2113""))&lt;2),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$A1777=IMPORTRANGE(""https://docs.google.com/spreadsheets/d/1qpEmbGH0JjaJbUdp21-y2cPbobDbMjr09Bbtd"&amp;"KROZWc/edit#gid=1444865654"",""articles_with_PRISMA_reasons!B2:B2113""))&lt;2,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$A1777=I"&amp;"MPORTRANGE(""https://docs.google.com/spreadsheets/d/1qpEmbGH0JjaJbUdp21-y2cPbobDbMjr09BbtdKROZWc/edit#gid=1444865654"",""articles_with_PRISMA_reasons!B2:B2113""))&gt;=2),
""Exclude""
)"),"Exclude")</f>
        <v>Exclude</v>
      </c>
      <c r="F1777" s="5" t="str">
        <f>IFERROR(__xludf.DUMMYFUNCTION("IFS(
E1777=""Exclude"",""Exclude"",
AND(
COUNTIF(
IMPORTRANGE(""https://docs.google.com/spreadsheets/d/1kGrh75X1cNR1D7_FcY9zMnHP8iPO4M5RCRjy6nZY0TY/edit#gid=0"",""Table 1: Study characteristics!B4:B171""),A1777)&gt;0,
COUNTIF(Studies!$A$2:$A$85,FILTER(IMPORT"&amp;"RANGE(""https://docs.google.com/spreadsheets/d/1kGrh75X1cNR1D7_FcY9zMnHP8iPO4M5RCRjy6nZY0TY/edit#gid=0"",""Table 1: Study characteristics!A4:A171""), $A1777=IMPORTRANGE(""https://docs.google.com/spreadsheets/d/1kGrh75X1cNR1D7_FcY9zMnHP8iPO4M5RCRjy6nZY0TY/"&amp;"edit#gid=0"",""Table 1: Study characteristics!B4:B171"")))&gt;0
),
""Include""
)"),"Exclude")</f>
        <v>Exclude</v>
      </c>
      <c r="G1777" s="5" t="str">
        <f>IFERROR(__xludf.DUMMYFUNCTION("IFS(
D1777=""Exclude"",
FILTER(IMPORTRANGE(""https://docs.google.com/spreadsheets/d/1BJSV3WBYJGRhQ6zExamkszQ5VutGIcaQqmbD9ZTVXMQ/edit#gid=1251630045"",""articles_with_PRISMA_reasons!AB2:AB2113""), $A1777=IMPORTRANGE(""https://docs.google.com/spreadsheets/"&amp;"d/1BJSV3WBYJGRhQ6zExamkszQ5VutGIcaQqmbD9ZTVXMQ/edit#gid=1251630045"",""articles_with_PRISMA_reasons!B2:B2113"")),
E1777=""Exclude"",
FILTER(IMPORTRANGE(""https://docs.google.com/spreadsheets/d/1qpEmbGH0JjaJbUdp21-y2cPbobDbMjr09BbtdKROZWc/edit#gid=14448656"&amp;"54"",""articles_with_PRISMA_reasons!Z2:Z2113""), $A1777=IMPORTRANGE(""https://docs.google.com/spreadsheets/d/1qpEmbGH0JjaJbUdp21-y2cPbobDbMjr09BbtdKROZWc/edit#gid=1444865654"",""articles_with_PRISMA_reasons!B2:B2113"")),F1777
=""Include"",FILTER(IMPORTRAN"&amp;"GE(""https://docs.google.com/spreadsheets/d/1kGrh75X1cNR1D7_FcY9zMnHP8iPO4M5RCRjy6nZY0TY/edit#gid=0"",""Table 1: Study characteristics!A4:A171""), $A1777=IMPORTRANGE(""https://docs.google.com/spreadsheets/d/1kGrh75X1cNR1D7_FcY9zMnHP8iPO4M5RCRjy6nZY0TY/edi"&amp;"t#gid=0"",""Table 1: Study characteristics!B4:B171""))
)"),"wrong population")</f>
        <v>wrong population</v>
      </c>
    </row>
    <row r="1778">
      <c r="A1778" s="4" t="str">
        <f>IFERROR(__xludf.DUMMYFUNCTION("""COMPUTED_VALUE"""),"Stridor accompanying red man's syndrome following perioperative administration of vancomycin")</f>
        <v>Stridor accompanying red man's syndrome following perioperative administration of vancomycin</v>
      </c>
      <c r="B1778" s="5" t="str">
        <f>IFERROR(__xludf.DUMMYFUNCTION("LEFT(FILTER(IMPORTRANGE(""https://docs.google.com/spreadsheets/d/1BJSV3WBYJGRhQ6zExamkszQ5VutGIcaQqmbD9ZTVXMQ/edit#gid=1251630045"",""articles_with_PRISMA_reasons!K2:K2113""), $A1778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$A1778=IMPORTRANGE(""https://docs.google.com/spreadsheets/d/1BJSV3WBYJGRhQ6zExamkszQ5VutGIcaQqmbD9ZTVXMQ/edit#gid=1251630045"",""articles_with_PRISMA_reasons!B2:B2113"")))-1)"),"Apuya")</f>
        <v>Apuya</v>
      </c>
      <c r="C1778" s="6">
        <f>IFERROR(__xludf.DUMMYFUNCTION("FILTER(IMPORTRANGE(""https://docs.google.com/spreadsheets/d/1BJSV3WBYJGRhQ6zExamkszQ5VutGIcaQqmbD9ZTVXMQ/edit#gid=1251630045"",""articles_with_PRISMA_reasons!C2:C2113""), $A1778=IMPORTRANGE(""https://docs.google.com/spreadsheets/d/1BJSV3WBYJGRhQ6zExamkszQ"&amp;"5VutGIcaQqmbD9ZTVXMQ/edit#gid=1251630045"",""articles_with_PRISMA_reasons!B2:B2113""))"),2009.0)</f>
        <v>2009</v>
      </c>
      <c r="D1778" s="5" t="str">
        <f>IFERROR(__xludf.DUMMYFUNCTION("IFS(AND(
FILTER(IMPORTRANGE(""https://docs.google.com/spreadsheets/d/1BJSV3WBYJGRhQ6zExamkszQ5VutGIcaQqmbD9ZTVXMQ/edit#gid=1251630045"",""articles_with_PRISMA_reasons!Y2:Y2113""), $A1778=IMPORTRANGE(""https://docs.google.com/spreadsheets/d/1BJSV3WBYJGRhQ6"&amp;"zExamkszQ5VutGIcaQqmbD9ZTVXMQ/edit#gid=1251630045"",""articles_with_PRISMA_reasons!B2:B2113""))&gt;=2,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$A1778=IMPORTRANGE(""https://docs.google.com/spreadsheets/d/1BJSV3WBYJGRhQ6zExamkszQ5VutGIcaQqmbD9ZTVXMQ/edit#gid=1251630045"",""articles_with_PRISMA_reasons!B2:B2113""))&lt;2),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$A1778=IMPORTRANGE(""https://docs.google.com/spreadsheets/d/1BJSV3WBYJGRhQ6zExamkszQ5VutGIcaQqmbD9ZTVXMQ/edit#gid=1251630045"",""a"&amp;"rticles_with_PRISMA_reasons!B2:B2113""))&lt;2,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$A1778=IMPORTRANGE(""https://docs.google"&amp;".com/spreadsheets/d/1BJSV3WBYJGRhQ6zExamkszQ5VutGIcaQqmbD9ZTVXMQ/edit#gid=1251630045"",""articles_with_PRISMA_reasons!B2:B2113""))&gt;=2),
""Exclude""
)"),"Exclude")</f>
        <v>Exclude</v>
      </c>
      <c r="E1778" s="5" t="str">
        <f>IFERROR(__xludf.DUMMYFUNCTION("IFS(
D1778=""Exclude"",""Exclude"",
AND(
FILTER(IMPORTRANGE(""https://docs.google.com/spreadsheets/d/1qpEmbGH0JjaJbUdp21-y2cPbobDbMjr09BbtdKROZWc/edit#gid=1444865654"",""articles_with_PRISMA_reasons!W2:W2113""), $A1778=IMPORTRANGE(""https://docs.google.co"&amp;"m/spreadsheets/d/1qpEmbGH0JjaJbUdp21-y2cPbobDbMjr09BbtdKROZWc/edit#gid=1444865654"",""articles_with_PRISMA_reasons!B2:B2113""))&gt;=2,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$A1778=IMPORTRANGE(""https://docs.google.com/spreadsheets/d/1qpEmbGH0JjaJbUdp21-y2cPbobDbMjr09BbtdKROZWc/edit#gid=1444865654"",""articles_with_PRISMA_reasons!B2:B2113""))&lt;2),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$A1778=IMPORTRANGE(""https://docs.google.com/spreadsheets/d/1qpEmbGH0JjaJbUdp21-y2cPbobDbMjr09Bbtd"&amp;"KROZWc/edit#gid=1444865654"",""articles_with_PRISMA_reasons!B2:B2113""))&lt;2,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$A1778=I"&amp;"MPORTRANGE(""https://docs.google.com/spreadsheets/d/1qpEmbGH0JjaJbUdp21-y2cPbobDbMjr09BbtdKROZWc/edit#gid=1444865654"",""articles_with_PRISMA_reasons!B2:B2113""))&gt;=2),
""Exclude""
)"),"Exclude")</f>
        <v>Exclude</v>
      </c>
      <c r="F1778" s="5" t="str">
        <f>IFERROR(__xludf.DUMMYFUNCTION("IFS(
E1778=""Exclude"",""Exclude"",
AND(
COUNTIF(
IMPORTRANGE(""https://docs.google.com/spreadsheets/d/1kGrh75X1cNR1D7_FcY9zMnHP8iPO4M5RCRjy6nZY0TY/edit#gid=0"",""Table 1: Study characteristics!B4:B171""),A1778)&gt;0,
COUNTIF(Studies!$A$2:$A$85,FILTER(IMPORT"&amp;"RANGE(""https://docs.google.com/spreadsheets/d/1kGrh75X1cNR1D7_FcY9zMnHP8iPO4M5RCRjy6nZY0TY/edit#gid=0"",""Table 1: Study characteristics!A4:A171""), $A1778=IMPORTRANGE(""https://docs.google.com/spreadsheets/d/1kGrh75X1cNR1D7_FcY9zMnHP8iPO4M5RCRjy6nZY0TY/"&amp;"edit#gid=0"",""Table 1: Study characteristics!B4:B171"")))&gt;0
),
""Include""
)"),"Exclude")</f>
        <v>Exclude</v>
      </c>
      <c r="G1778" s="5" t="str">
        <f>IFERROR(__xludf.DUMMYFUNCTION("IFS(
D1778=""Exclude"",
FILTER(IMPORTRANGE(""https://docs.google.com/spreadsheets/d/1BJSV3WBYJGRhQ6zExamkszQ5VutGIcaQqmbD9ZTVXMQ/edit#gid=1251630045"",""articles_with_PRISMA_reasons!AB2:AB2113""), $A1778=IMPORTRANGE(""https://docs.google.com/spreadsheets/"&amp;"d/1BJSV3WBYJGRhQ6zExamkszQ5VutGIcaQqmbD9ZTVXMQ/edit#gid=1251630045"",""articles_with_PRISMA_reasons!B2:B2113"")),
E1778=""Exclude"",
FILTER(IMPORTRANGE(""https://docs.google.com/spreadsheets/d/1qpEmbGH0JjaJbUdp21-y2cPbobDbMjr09BbtdKROZWc/edit#gid=14448656"&amp;"54"",""articles_with_PRISMA_reasons!Z2:Z2113""), $A1778=IMPORTRANGE(""https://docs.google.com/spreadsheets/d/1qpEmbGH0JjaJbUdp21-y2cPbobDbMjr09BbtdKROZWc/edit#gid=1444865654"",""articles_with_PRISMA_reasons!B2:B2113"")),F1778
=""Include"",FILTER(IMPORTRAN"&amp;"GE(""https://docs.google.com/spreadsheets/d/1kGrh75X1cNR1D7_FcY9zMnHP8iPO4M5RCRjy6nZY0TY/edit#gid=0"",""Table 1: Study characteristics!A4:A171""), $A1778=IMPORTRANGE(""https://docs.google.com/spreadsheets/d/1kGrh75X1cNR1D7_FcY9zMnHP8iPO4M5RCRjy6nZY0TY/edi"&amp;"t#gid=0"",""Table 1: Study characteristics!B4:B171""))
)"),"wrong study design")</f>
        <v>wrong study design</v>
      </c>
    </row>
    <row r="1779">
      <c r="A1779" s="4" t="str">
        <f>IFERROR(__xludf.DUMMYFUNCTION("""COMPUTED_VALUE"""),"Stridor at birth predicts poor outcome in neonates with myelomeningocele")</f>
        <v>Stridor at birth predicts poor outcome in neonates with myelomeningocele</v>
      </c>
      <c r="B1779" s="5" t="str">
        <f>IFERROR(__xludf.DUMMYFUNCTION("LEFT(FILTER(IMPORTRANGE(""https://docs.google.com/spreadsheets/d/1BJSV3WBYJGRhQ6zExamkszQ5VutGIcaQqmbD9ZTVXMQ/edit#gid=1251630045"",""articles_with_PRISMA_reasons!K2:K2113""), $A1779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$A1779=IMPORTRANGE(""https://docs.google.com/spreadsheets/d/1BJSV3WBYJGRhQ6zExamkszQ5VutGIcaQqmbD9ZTVXMQ/edit#gid=1251630045"",""articles_with_PRISMA_reasons!B2:B2113"")))-1)"),"Ocal")</f>
        <v>Ocal</v>
      </c>
      <c r="C1779" s="6">
        <f>IFERROR(__xludf.DUMMYFUNCTION("FILTER(IMPORTRANGE(""https://docs.google.com/spreadsheets/d/1BJSV3WBYJGRhQ6zExamkszQ5VutGIcaQqmbD9ZTVXMQ/edit#gid=1251630045"",""articles_with_PRISMA_reasons!C2:C2113""), $A1779=IMPORTRANGE(""https://docs.google.com/spreadsheets/d/1BJSV3WBYJGRhQ6zExamkszQ"&amp;"5VutGIcaQqmbD9ZTVXMQ/edit#gid=1251630045"",""articles_with_PRISMA_reasons!B2:B2113""))"),2012.0)</f>
        <v>2012</v>
      </c>
      <c r="D1779" s="5" t="str">
        <f>IFERROR(__xludf.DUMMYFUNCTION("IFS(AND(
FILTER(IMPORTRANGE(""https://docs.google.com/spreadsheets/d/1BJSV3WBYJGRhQ6zExamkszQ5VutGIcaQqmbD9ZTVXMQ/edit#gid=1251630045"",""articles_with_PRISMA_reasons!Y2:Y2113""), $A1779=IMPORTRANGE(""https://docs.google.com/spreadsheets/d/1BJSV3WBYJGRhQ6"&amp;"zExamkszQ5VutGIcaQqmbD9ZTVXMQ/edit#gid=1251630045"",""articles_with_PRISMA_reasons!B2:B2113""))&gt;=2,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$A1779=IMPORTRANGE(""https://docs.google.com/spreadsheets/d/1BJSV3WBYJGRhQ6zExamkszQ5VutGIcaQqmbD9ZTVXMQ/edit#gid=1251630045"",""articles_with_PRISMA_reasons!B2:B2113""))&lt;2),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$A1779=IMPORTRANGE(""https://docs.google.com/spreadsheets/d/1BJSV3WBYJGRhQ6zExamkszQ5VutGIcaQqmbD9ZTVXMQ/edit#gid=1251630045"",""a"&amp;"rticles_with_PRISMA_reasons!B2:B2113""))&lt;2,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$A1779=IMPORTRANGE(""https://docs.google"&amp;".com/spreadsheets/d/1BJSV3WBYJGRhQ6zExamkszQ5VutGIcaQqmbD9ZTVXMQ/edit#gid=1251630045"",""articles_with_PRISMA_reasons!B2:B2113""))&gt;=2),
""Exclude""
)"),"Exclude")</f>
        <v>Exclude</v>
      </c>
      <c r="E1779" s="5" t="str">
        <f>IFERROR(__xludf.DUMMYFUNCTION("IFS(
D1779=""Exclude"",""Exclude"",
AND(
FILTER(IMPORTRANGE(""https://docs.google.com/spreadsheets/d/1qpEmbGH0JjaJbUdp21-y2cPbobDbMjr09BbtdKROZWc/edit#gid=1444865654"",""articles_with_PRISMA_reasons!W2:W2113""), $A1779=IMPORTRANGE(""https://docs.google.co"&amp;"m/spreadsheets/d/1qpEmbGH0JjaJbUdp21-y2cPbobDbMjr09BbtdKROZWc/edit#gid=1444865654"",""articles_with_PRISMA_reasons!B2:B2113""))&gt;=2,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$A1779=IMPORTRANGE(""https://docs.google.com/spreadsheets/d/1qpEmbGH0JjaJbUdp21-y2cPbobDbMjr09BbtdKROZWc/edit#gid=1444865654"",""articles_with_PRISMA_reasons!B2:B2113""))&lt;2),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$A1779=IMPORTRANGE(""https://docs.google.com/spreadsheets/d/1qpEmbGH0JjaJbUdp21-y2cPbobDbMjr09Bbtd"&amp;"KROZWc/edit#gid=1444865654"",""articles_with_PRISMA_reasons!B2:B2113""))&lt;2,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$A1779=I"&amp;"MPORTRANGE(""https://docs.google.com/spreadsheets/d/1qpEmbGH0JjaJbUdp21-y2cPbobDbMjr09BbtdKROZWc/edit#gid=1444865654"",""articles_with_PRISMA_reasons!B2:B2113""))&gt;=2),
""Exclude""
)"),"Exclude")</f>
        <v>Exclude</v>
      </c>
      <c r="F1779" s="5" t="str">
        <f>IFERROR(__xludf.DUMMYFUNCTION("IFS(
E1779=""Exclude"",""Exclude"",
AND(
COUNTIF(
IMPORTRANGE(""https://docs.google.com/spreadsheets/d/1kGrh75X1cNR1D7_FcY9zMnHP8iPO4M5RCRjy6nZY0TY/edit#gid=0"",""Table 1: Study characteristics!B4:B171""),A1779)&gt;0,
COUNTIF(Studies!$A$2:$A$85,FILTER(IMPORT"&amp;"RANGE(""https://docs.google.com/spreadsheets/d/1kGrh75X1cNR1D7_FcY9zMnHP8iPO4M5RCRjy6nZY0TY/edit#gid=0"",""Table 1: Study characteristics!A4:A171""), $A1779=IMPORTRANGE(""https://docs.google.com/spreadsheets/d/1kGrh75X1cNR1D7_FcY9zMnHP8iPO4M5RCRjy6nZY0TY/"&amp;"edit#gid=0"",""Table 1: Study characteristics!B4:B171"")))&gt;0
),
""Include""
)"),"Exclude")</f>
        <v>Exclude</v>
      </c>
      <c r="G1779" s="5" t="str">
        <f>IFERROR(__xludf.DUMMYFUNCTION("IFS(
D1779=""Exclude"",
FILTER(IMPORTRANGE(""https://docs.google.com/spreadsheets/d/1BJSV3WBYJGRhQ6zExamkszQ5VutGIcaQqmbD9ZTVXMQ/edit#gid=1251630045"",""articles_with_PRISMA_reasons!AB2:AB2113""), $A1779=IMPORTRANGE(""https://docs.google.com/spreadsheets/"&amp;"d/1BJSV3WBYJGRhQ6zExamkszQ5VutGIcaQqmbD9ZTVXMQ/edit#gid=1251630045"",""articles_with_PRISMA_reasons!B2:B2113"")),
E1779=""Exclude"",
FILTER(IMPORTRANGE(""https://docs.google.com/spreadsheets/d/1qpEmbGH0JjaJbUdp21-y2cPbobDbMjr09BbtdKROZWc/edit#gid=14448656"&amp;"54"",""articles_with_PRISMA_reasons!Z2:Z2113""), $A1779=IMPORTRANGE(""https://docs.google.com/spreadsheets/d/1qpEmbGH0JjaJbUdp21-y2cPbobDbMjr09BbtdKROZWc/edit#gid=1444865654"",""articles_with_PRISMA_reasons!B2:B2113"")),F1779
=""Include"",FILTER(IMPORTRAN"&amp;"GE(""https://docs.google.com/spreadsheets/d/1kGrh75X1cNR1D7_FcY9zMnHP8iPO4M5RCRjy6nZY0TY/edit#gid=0"",""Table 1: Study characteristics!A4:A171""), $A1779=IMPORTRANGE(""https://docs.google.com/spreadsheets/d/1kGrh75X1cNR1D7_FcY9zMnHP8iPO4M5RCRjy6nZY0TY/edi"&amp;"t#gid=0"",""Table 1: Study characteristics!B4:B171""))
)"),"wrong population")</f>
        <v>wrong population</v>
      </c>
    </row>
    <row r="1780">
      <c r="A1780" s="4" t="str">
        <f>IFERROR(__xludf.DUMMYFUNCTION("""COMPUTED_VALUE"""),"Stridor in children: Is airway always the cause?")</f>
        <v>Stridor in children: Is airway always the cause?</v>
      </c>
      <c r="B1780" s="5" t="str">
        <f>IFERROR(__xludf.DUMMYFUNCTION("LEFT(FILTER(IMPORTRANGE(""https://docs.google.com/spreadsheets/d/1BJSV3WBYJGRhQ6zExamkszQ5VutGIcaQqmbD9ZTVXMQ/edit#gid=1251630045"",""articles_with_PRISMA_reasons!K2:K2113""), $A1780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$A1780=IMPORTRANGE(""https://docs.google.com/spreadsheets/d/1BJSV3WBYJGRhQ6zExamkszQ5VutGIcaQqmbD9ZTVXMQ/edit#gid=1251630045"",""articles_with_PRISMA_reasons!B2:B2113"")))-1)"),"Gupta")</f>
        <v>Gupta</v>
      </c>
      <c r="C1780" s="6">
        <f>IFERROR(__xludf.DUMMYFUNCTION("FILTER(IMPORTRANGE(""https://docs.google.com/spreadsheets/d/1BJSV3WBYJGRhQ6zExamkszQ5VutGIcaQqmbD9ZTVXMQ/edit#gid=1251630045"",""articles_with_PRISMA_reasons!C2:C2113""), $A1780=IMPORTRANGE(""https://docs.google.com/spreadsheets/d/1BJSV3WBYJGRhQ6zExamkszQ"&amp;"5VutGIcaQqmbD9ZTVXMQ/edit#gid=1251630045"",""articles_with_PRISMA_reasons!B2:B2113""))"),2014.0)</f>
        <v>2014</v>
      </c>
      <c r="D1780" s="5" t="str">
        <f>IFERROR(__xludf.DUMMYFUNCTION("IFS(AND(
FILTER(IMPORTRANGE(""https://docs.google.com/spreadsheets/d/1BJSV3WBYJGRhQ6zExamkszQ5VutGIcaQqmbD9ZTVXMQ/edit#gid=1251630045"",""articles_with_PRISMA_reasons!Y2:Y2113""), $A1780=IMPORTRANGE(""https://docs.google.com/spreadsheets/d/1BJSV3WBYJGRhQ6"&amp;"zExamkszQ5VutGIcaQqmbD9ZTVXMQ/edit#gid=1251630045"",""articles_with_PRISMA_reasons!B2:B2113""))&gt;=2,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$A1780=IMPORTRANGE(""https://docs.google.com/spreadsheets/d/1BJSV3WBYJGRhQ6zExamkszQ5VutGIcaQqmbD9ZTVXMQ/edit#gid=1251630045"",""articles_with_PRISMA_reasons!B2:B2113""))&lt;2),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$A1780=IMPORTRANGE(""https://docs.google.com/spreadsheets/d/1BJSV3WBYJGRhQ6zExamkszQ5VutGIcaQqmbD9ZTVXMQ/edit#gid=1251630045"",""a"&amp;"rticles_with_PRISMA_reasons!B2:B2113""))&lt;2,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$A1780=IMPORTRANGE(""https://docs.google"&amp;".com/spreadsheets/d/1BJSV3WBYJGRhQ6zExamkszQ5VutGIcaQqmbD9ZTVXMQ/edit#gid=1251630045"",""articles_with_PRISMA_reasons!B2:B2113""))&gt;=2),
""Exclude""
)"),"Exclude")</f>
        <v>Exclude</v>
      </c>
      <c r="E1780" s="5" t="str">
        <f>IFERROR(__xludf.DUMMYFUNCTION("IFS(
D1780=""Exclude"",""Exclude"",
AND(
FILTER(IMPORTRANGE(""https://docs.google.com/spreadsheets/d/1qpEmbGH0JjaJbUdp21-y2cPbobDbMjr09BbtdKROZWc/edit#gid=1444865654"",""articles_with_PRISMA_reasons!W2:W2113""), $A1780=IMPORTRANGE(""https://docs.google.co"&amp;"m/spreadsheets/d/1qpEmbGH0JjaJbUdp21-y2cPbobDbMjr09BbtdKROZWc/edit#gid=1444865654"",""articles_with_PRISMA_reasons!B2:B2113""))&gt;=2,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$A1780=IMPORTRANGE(""https://docs.google.com/spreadsheets/d/1qpEmbGH0JjaJbUdp21-y2cPbobDbMjr09BbtdKROZWc/edit#gid=1444865654"",""articles_with_PRISMA_reasons!B2:B2113""))&lt;2),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$A1780=IMPORTRANGE(""https://docs.google.com/spreadsheets/d/1qpEmbGH0JjaJbUdp21-y2cPbobDbMjr09Bbtd"&amp;"KROZWc/edit#gid=1444865654"",""articles_with_PRISMA_reasons!B2:B2113""))&lt;2,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$A1780=I"&amp;"MPORTRANGE(""https://docs.google.com/spreadsheets/d/1qpEmbGH0JjaJbUdp21-y2cPbobDbMjr09BbtdKROZWc/edit#gid=1444865654"",""articles_with_PRISMA_reasons!B2:B2113""))&gt;=2),
""Exclude""
)"),"Exclude")</f>
        <v>Exclude</v>
      </c>
      <c r="F1780" s="5" t="str">
        <f>IFERROR(__xludf.DUMMYFUNCTION("IFS(
E1780=""Exclude"",""Exclude"",
AND(
COUNTIF(
IMPORTRANGE(""https://docs.google.com/spreadsheets/d/1kGrh75X1cNR1D7_FcY9zMnHP8iPO4M5RCRjy6nZY0TY/edit#gid=0"",""Table 1: Study characteristics!B4:B171""),A1780)&gt;0,
COUNTIF(Studies!$A$2:$A$85,FILTER(IMPORT"&amp;"RANGE(""https://docs.google.com/spreadsheets/d/1kGrh75X1cNR1D7_FcY9zMnHP8iPO4M5RCRjy6nZY0TY/edit#gid=0"",""Table 1: Study characteristics!A4:A171""), $A1780=IMPORTRANGE(""https://docs.google.com/spreadsheets/d/1kGrh75X1cNR1D7_FcY9zMnHP8iPO4M5RCRjy6nZY0TY/"&amp;"edit#gid=0"",""Table 1: Study characteristics!B4:B171"")))&gt;0
),
""Include""
)"),"Exclude")</f>
        <v>Exclude</v>
      </c>
      <c r="G1780" s="5" t="str">
        <f>IFERROR(__xludf.DUMMYFUNCTION("IFS(
D1780=""Exclude"",
FILTER(IMPORTRANGE(""https://docs.google.com/spreadsheets/d/1BJSV3WBYJGRhQ6zExamkszQ5VutGIcaQqmbD9ZTVXMQ/edit#gid=1251630045"",""articles_with_PRISMA_reasons!AB2:AB2113""), $A1780=IMPORTRANGE(""https://docs.google.com/spreadsheets/"&amp;"d/1BJSV3WBYJGRhQ6zExamkszQ5VutGIcaQqmbD9ZTVXMQ/edit#gid=1251630045"",""articles_with_PRISMA_reasons!B2:B2113"")),
E1780=""Exclude"",
FILTER(IMPORTRANGE(""https://docs.google.com/spreadsheets/d/1qpEmbGH0JjaJbUdp21-y2cPbobDbMjr09BbtdKROZWc/edit#gid=14448656"&amp;"54"",""articles_with_PRISMA_reasons!Z2:Z2113""), $A1780=IMPORTRANGE(""https://docs.google.com/spreadsheets/d/1qpEmbGH0JjaJbUdp21-y2cPbobDbMjr09BbtdKROZWc/edit#gid=1444865654"",""articles_with_PRISMA_reasons!B2:B2113"")),F1780
=""Include"",FILTER(IMPORTRAN"&amp;"GE(""https://docs.google.com/spreadsheets/d/1kGrh75X1cNR1D7_FcY9zMnHP8iPO4M5RCRjy6nZY0TY/edit#gid=0"",""Table 1: Study characteristics!A4:A171""), $A1780=IMPORTRANGE(""https://docs.google.com/spreadsheets/d/1kGrh75X1cNR1D7_FcY9zMnHP8iPO4M5RCRjy6nZY0TY/edi"&amp;"t#gid=0"",""Table 1: Study characteristics!B4:B171""))
)"),"wrong study design")</f>
        <v>wrong study design</v>
      </c>
    </row>
    <row r="1781">
      <c r="A1781" s="4" t="str">
        <f>IFERROR(__xludf.DUMMYFUNCTION("""COMPUTED_VALUE"""),"Stridor, myelomeningocele, and hydrocephalus in a child")</f>
        <v>Stridor, myelomeningocele, and hydrocephalus in a child</v>
      </c>
      <c r="B1781" s="5" t="str">
        <f>IFERROR(__xludf.DUMMYFUNCTION("LEFT(FILTER(IMPORTRANGE(""https://docs.google.com/spreadsheets/d/1BJSV3WBYJGRhQ6zExamkszQ5VutGIcaQqmbD9ZTVXMQ/edit#gid=1251630045"",""articles_with_PRISMA_reasons!K2:K2113""), $A1781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$A1781=IMPORTRANGE(""https://docs.google.com/spreadsheets/d/1BJSV3WBYJGRhQ6zExamkszQ5VutGIcaQqmbD9ZTVXMQ/edit#gid=1251630045"",""articles_with_PRISMA_reasons!B2:B2113"")))-1)"),"Adeloye")</f>
        <v>Adeloye</v>
      </c>
      <c r="C1781" s="6">
        <f>IFERROR(__xludf.DUMMYFUNCTION("FILTER(IMPORTRANGE(""https://docs.google.com/spreadsheets/d/1BJSV3WBYJGRhQ6zExamkszQ5VutGIcaQqmbD9ZTVXMQ/edit#gid=1251630045"",""articles_with_PRISMA_reasons!C2:C2113""), $A1781=IMPORTRANGE(""https://docs.google.com/spreadsheets/d/1BJSV3WBYJGRhQ6zExamkszQ"&amp;"5VutGIcaQqmbD9ZTVXMQ/edit#gid=1251630045"",""articles_with_PRISMA_reasons!B2:B2113""))"),1970.0)</f>
        <v>1970</v>
      </c>
      <c r="D1781" s="5" t="str">
        <f>IFERROR(__xludf.DUMMYFUNCTION("IFS(AND(
FILTER(IMPORTRANGE(""https://docs.google.com/spreadsheets/d/1BJSV3WBYJGRhQ6zExamkszQ5VutGIcaQqmbD9ZTVXMQ/edit#gid=1251630045"",""articles_with_PRISMA_reasons!Y2:Y2113""), $A1781=IMPORTRANGE(""https://docs.google.com/spreadsheets/d/1BJSV3WBYJGRhQ6"&amp;"zExamkszQ5VutGIcaQqmbD9ZTVXMQ/edit#gid=1251630045"",""articles_with_PRISMA_reasons!B2:B2113""))&gt;=2,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$A1781=IMPORTRANGE(""https://docs.google.com/spreadsheets/d/1BJSV3WBYJGRhQ6zExamkszQ5VutGIcaQqmbD9ZTVXMQ/edit#gid=1251630045"",""articles_with_PRISMA_reasons!B2:B2113""))&lt;2),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$A1781=IMPORTRANGE(""https://docs.google.com/spreadsheets/d/1BJSV3WBYJGRhQ6zExamkszQ5VutGIcaQqmbD9ZTVXMQ/edit#gid=1251630045"",""a"&amp;"rticles_with_PRISMA_reasons!B2:B2113""))&lt;2,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$A1781=IMPORTRANGE(""https://docs.google"&amp;".com/spreadsheets/d/1BJSV3WBYJGRhQ6zExamkszQ5VutGIcaQqmbD9ZTVXMQ/edit#gid=1251630045"",""articles_with_PRISMA_reasons!B2:B2113""))&gt;=2),
""Exclude""
)"),"Exclude")</f>
        <v>Exclude</v>
      </c>
      <c r="E1781" s="5" t="str">
        <f>IFERROR(__xludf.DUMMYFUNCTION("IFS(
D1781=""Exclude"",""Exclude"",
AND(
FILTER(IMPORTRANGE(""https://docs.google.com/spreadsheets/d/1qpEmbGH0JjaJbUdp21-y2cPbobDbMjr09BbtdKROZWc/edit#gid=1444865654"",""articles_with_PRISMA_reasons!W2:W2113""), $A1781=IMPORTRANGE(""https://docs.google.co"&amp;"m/spreadsheets/d/1qpEmbGH0JjaJbUdp21-y2cPbobDbMjr09BbtdKROZWc/edit#gid=1444865654"",""articles_with_PRISMA_reasons!B2:B2113""))&gt;=2,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$A1781=IMPORTRANGE(""https://docs.google.com/spreadsheets/d/1qpEmbGH0JjaJbUdp21-y2cPbobDbMjr09BbtdKROZWc/edit#gid=1444865654"",""articles_with_PRISMA_reasons!B2:B2113""))&lt;2),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$A1781=IMPORTRANGE(""https://docs.google.com/spreadsheets/d/1qpEmbGH0JjaJbUdp21-y2cPbobDbMjr09Bbtd"&amp;"KROZWc/edit#gid=1444865654"",""articles_with_PRISMA_reasons!B2:B2113""))&lt;2,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$A1781=I"&amp;"MPORTRANGE(""https://docs.google.com/spreadsheets/d/1qpEmbGH0JjaJbUdp21-y2cPbobDbMjr09BbtdKROZWc/edit#gid=1444865654"",""articles_with_PRISMA_reasons!B2:B2113""))&gt;=2),
""Exclude""
)"),"Exclude")</f>
        <v>Exclude</v>
      </c>
      <c r="F1781" s="5" t="str">
        <f>IFERROR(__xludf.DUMMYFUNCTION("IFS(
E1781=""Exclude"",""Exclude"",
AND(
COUNTIF(
IMPORTRANGE(""https://docs.google.com/spreadsheets/d/1kGrh75X1cNR1D7_FcY9zMnHP8iPO4M5RCRjy6nZY0TY/edit#gid=0"",""Table 1: Study characteristics!B4:B171""),A1781)&gt;0,
COUNTIF(Studies!$A$2:$A$85,FILTER(IMPORT"&amp;"RANGE(""https://docs.google.com/spreadsheets/d/1kGrh75X1cNR1D7_FcY9zMnHP8iPO4M5RCRjy6nZY0TY/edit#gid=0"",""Table 1: Study characteristics!A4:A171""), $A1781=IMPORTRANGE(""https://docs.google.com/spreadsheets/d/1kGrh75X1cNR1D7_FcY9zMnHP8iPO4M5RCRjy6nZY0TY/"&amp;"edit#gid=0"",""Table 1: Study characteristics!B4:B171"")))&gt;0
),
""Include""
)"),"Exclude")</f>
        <v>Exclude</v>
      </c>
      <c r="G1781" s="5" t="str">
        <f>IFERROR(__xludf.DUMMYFUNCTION("IFS(
D1781=""Exclude"",
FILTER(IMPORTRANGE(""https://docs.google.com/spreadsheets/d/1BJSV3WBYJGRhQ6zExamkszQ5VutGIcaQqmbD9ZTVXMQ/edit#gid=1251630045"",""articles_with_PRISMA_reasons!AB2:AB2113""), $A1781=IMPORTRANGE(""https://docs.google.com/spreadsheets/"&amp;"d/1BJSV3WBYJGRhQ6zExamkszQ5VutGIcaQqmbD9ZTVXMQ/edit#gid=1251630045"",""articles_with_PRISMA_reasons!B2:B2113"")),
E1781=""Exclude"",
FILTER(IMPORTRANGE(""https://docs.google.com/spreadsheets/d/1qpEmbGH0JjaJbUdp21-y2cPbobDbMjr09BbtdKROZWc/edit#gid=14448656"&amp;"54"",""articles_with_PRISMA_reasons!Z2:Z2113""), $A1781=IMPORTRANGE(""https://docs.google.com/spreadsheets/d/1qpEmbGH0JjaJbUdp21-y2cPbobDbMjr09BbtdKROZWc/edit#gid=1444865654"",""articles_with_PRISMA_reasons!B2:B2113"")),F1781
=""Include"",FILTER(IMPORTRAN"&amp;"GE(""https://docs.google.com/spreadsheets/d/1kGrh75X1cNR1D7_FcY9zMnHP8iPO4M5RCRjy6nZY0TY/edit#gid=0"",""Table 1: Study characteristics!A4:A171""), $A1781=IMPORTRANGE(""https://docs.google.com/spreadsheets/d/1kGrh75X1cNR1D7_FcY9zMnHP8iPO4M5RCRjy6nZY0TY/edi"&amp;"t#gid=0"",""Table 1: Study characteristics!B4:B171""))
)"),"wrong study design")</f>
        <v>wrong study design</v>
      </c>
    </row>
    <row r="1782">
      <c r="A1782" s="4" t="str">
        <f>IFERROR(__xludf.DUMMYFUNCTION("""COMPUTED_VALUE"""),"Subacute bacterial endocarditis and subsequent shunt nephritis from ventriculoatrial shunting 14 years after shunt implantation")</f>
        <v>Subacute bacterial endocarditis and subsequent shunt nephritis from ventriculoatrial shunting 14 years after shunt implantation</v>
      </c>
      <c r="B1782" s="5" t="str">
        <f>IFERROR(__xludf.DUMMYFUNCTION("LEFT(FILTER(IMPORTRANGE(""https://docs.google.com/spreadsheets/d/1BJSV3WBYJGRhQ6zExamkszQ5VutGIcaQqmbD9ZTVXMQ/edit#gid=1251630045"",""articles_with_PRISMA_reasons!K2:K2113""), $A1782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$A1782=IMPORTRANGE(""https://docs.google.com/spreadsheets/d/1BJSV3WBYJGRhQ6zExamkszQ5VutGIcaQqmbD9ZTVXMQ/edit#gid=1251630045"",""articles_with_PRISMA_reasons!B2:B2113"")))-1)"),"Burstrom")</f>
        <v>Burstrom</v>
      </c>
      <c r="C1782" s="6">
        <f>IFERROR(__xludf.DUMMYFUNCTION("FILTER(IMPORTRANGE(""https://docs.google.com/spreadsheets/d/1BJSV3WBYJGRhQ6zExamkszQ5VutGIcaQqmbD9ZTVXMQ/edit#gid=1251630045"",""articles_with_PRISMA_reasons!C2:C2113""), $A1782=IMPORTRANGE(""https://docs.google.com/spreadsheets/d/1BJSV3WBYJGRhQ6zExamkszQ"&amp;"5VutGIcaQqmbD9ZTVXMQ/edit#gid=1251630045"",""articles_with_PRISMA_reasons!B2:B2113""))"),2014.0)</f>
        <v>2014</v>
      </c>
      <c r="D1782" s="5" t="str">
        <f>IFERROR(__xludf.DUMMYFUNCTION("IFS(AND(
FILTER(IMPORTRANGE(""https://docs.google.com/spreadsheets/d/1BJSV3WBYJGRhQ6zExamkszQ5VutGIcaQqmbD9ZTVXMQ/edit#gid=1251630045"",""articles_with_PRISMA_reasons!Y2:Y2113""), $A1782=IMPORTRANGE(""https://docs.google.com/spreadsheets/d/1BJSV3WBYJGRhQ6"&amp;"zExamkszQ5VutGIcaQqmbD9ZTVXMQ/edit#gid=1251630045"",""articles_with_PRISMA_reasons!B2:B2113""))&gt;=2,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$A1782=IMPORTRANGE(""https://docs.google.com/spreadsheets/d/1BJSV3WBYJGRhQ6zExamkszQ5VutGIcaQqmbD9ZTVXMQ/edit#gid=1251630045"",""articles_with_PRISMA_reasons!B2:B2113""))&lt;2),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$A1782=IMPORTRANGE(""https://docs.google.com/spreadsheets/d/1BJSV3WBYJGRhQ6zExamkszQ5VutGIcaQqmbD9ZTVXMQ/edit#gid=1251630045"",""a"&amp;"rticles_with_PRISMA_reasons!B2:B2113""))&lt;2,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$A1782=IMPORTRANGE(""https://docs.google"&amp;".com/spreadsheets/d/1BJSV3WBYJGRhQ6zExamkszQ5VutGIcaQqmbD9ZTVXMQ/edit#gid=1251630045"",""articles_with_PRISMA_reasons!B2:B2113""))&gt;=2),
""Exclude""
)"),"Exclude")</f>
        <v>Exclude</v>
      </c>
      <c r="E1782" s="5" t="str">
        <f>IFERROR(__xludf.DUMMYFUNCTION("IFS(
D1782=""Exclude"",""Exclude"",
AND(
FILTER(IMPORTRANGE(""https://docs.google.com/spreadsheets/d/1qpEmbGH0JjaJbUdp21-y2cPbobDbMjr09BbtdKROZWc/edit#gid=1444865654"",""articles_with_PRISMA_reasons!W2:W2113""), $A1782=IMPORTRANGE(""https://docs.google.co"&amp;"m/spreadsheets/d/1qpEmbGH0JjaJbUdp21-y2cPbobDbMjr09BbtdKROZWc/edit#gid=1444865654"",""articles_with_PRISMA_reasons!B2:B2113""))&gt;=2,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$A1782=IMPORTRANGE(""https://docs.google.com/spreadsheets/d/1qpEmbGH0JjaJbUdp21-y2cPbobDbMjr09BbtdKROZWc/edit#gid=1444865654"",""articles_with_PRISMA_reasons!B2:B2113""))&lt;2),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$A1782=IMPORTRANGE(""https://docs.google.com/spreadsheets/d/1qpEmbGH0JjaJbUdp21-y2cPbobDbMjr09Bbtd"&amp;"KROZWc/edit#gid=1444865654"",""articles_with_PRISMA_reasons!B2:B2113""))&lt;2,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$A1782=I"&amp;"MPORTRANGE(""https://docs.google.com/spreadsheets/d/1qpEmbGH0JjaJbUdp21-y2cPbobDbMjr09BbtdKROZWc/edit#gid=1444865654"",""articles_with_PRISMA_reasons!B2:B2113""))&gt;=2),
""Exclude""
)"),"Exclude")</f>
        <v>Exclude</v>
      </c>
      <c r="F1782" s="5" t="str">
        <f>IFERROR(__xludf.DUMMYFUNCTION("IFS(
E1782=""Exclude"",""Exclude"",
AND(
COUNTIF(
IMPORTRANGE(""https://docs.google.com/spreadsheets/d/1kGrh75X1cNR1D7_FcY9zMnHP8iPO4M5RCRjy6nZY0TY/edit#gid=0"",""Table 1: Study characteristics!B4:B171""),A1782)&gt;0,
COUNTIF(Studies!$A$2:$A$85,FILTER(IMPORT"&amp;"RANGE(""https://docs.google.com/spreadsheets/d/1kGrh75X1cNR1D7_FcY9zMnHP8iPO4M5RCRjy6nZY0TY/edit#gid=0"",""Table 1: Study characteristics!A4:A171""), $A1782=IMPORTRANGE(""https://docs.google.com/spreadsheets/d/1kGrh75X1cNR1D7_FcY9zMnHP8iPO4M5RCRjy6nZY0TY/"&amp;"edit#gid=0"",""Table 1: Study characteristics!B4:B171"")))&gt;0
),
""Include""
)"),"Exclude")</f>
        <v>Exclude</v>
      </c>
      <c r="G1782" s="5" t="str">
        <f>IFERROR(__xludf.DUMMYFUNCTION("IFS(
D1782=""Exclude"",
FILTER(IMPORTRANGE(""https://docs.google.com/spreadsheets/d/1BJSV3WBYJGRhQ6zExamkszQ5VutGIcaQqmbD9ZTVXMQ/edit#gid=1251630045"",""articles_with_PRISMA_reasons!AB2:AB2113""), $A1782=IMPORTRANGE(""https://docs.google.com/spreadsheets/"&amp;"d/1BJSV3WBYJGRhQ6zExamkszQ5VutGIcaQqmbD9ZTVXMQ/edit#gid=1251630045"",""articles_with_PRISMA_reasons!B2:B2113"")),
E1782=""Exclude"",
FILTER(IMPORTRANGE(""https://docs.google.com/spreadsheets/d/1qpEmbGH0JjaJbUdp21-y2cPbobDbMjr09BbtdKROZWc/edit#gid=14448656"&amp;"54"",""articles_with_PRISMA_reasons!Z2:Z2113""), $A1782=IMPORTRANGE(""https://docs.google.com/spreadsheets/d/1qpEmbGH0JjaJbUdp21-y2cPbobDbMjr09BbtdKROZWc/edit#gid=1444865654"",""articles_with_PRISMA_reasons!B2:B2113"")),F1782
=""Include"",FILTER(IMPORTRAN"&amp;"GE(""https://docs.google.com/spreadsheets/d/1kGrh75X1cNR1D7_FcY9zMnHP8iPO4M5RCRjy6nZY0TY/edit#gid=0"",""Table 1: Study characteristics!A4:A171""), $A1782=IMPORTRANGE(""https://docs.google.com/spreadsheets/d/1kGrh75X1cNR1D7_FcY9zMnHP8iPO4M5RCRjy6nZY0TY/edi"&amp;"t#gid=0"",""Table 1: Study characteristics!B4:B171""))
)"),"wrong study design")</f>
        <v>wrong study design</v>
      </c>
    </row>
    <row r="1783">
      <c r="A1783" s="4" t="str">
        <f>IFERROR(__xludf.DUMMYFUNCTION("""COMPUTED_VALUE"""),"Subepicranial hydroma (false meningocele)")</f>
        <v>Subepicranial hydroma (false meningocele)</v>
      </c>
      <c r="B1783" s="5" t="str">
        <f>IFERROR(__xludf.DUMMYFUNCTION("LEFT(FILTER(IMPORTRANGE(""https://docs.google.com/spreadsheets/d/1BJSV3WBYJGRhQ6zExamkszQ5VutGIcaQqmbD9ZTVXMQ/edit#gid=1251630045"",""articles_with_PRISMA_reasons!K2:K2113""), $A1783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$A1783=IMPORTRANGE(""https://docs.google.com/spreadsheets/d/1BJSV3WBYJGRhQ6zExamkszQ5VutGIcaQqmbD9ZTVXMQ/edit#gid=1251630045"",""articles_with_PRISMA_reasons!B2:B2113"")))-1)"),"Solomon")</f>
        <v>Solomon</v>
      </c>
      <c r="C1783" s="6">
        <f>IFERROR(__xludf.DUMMYFUNCTION("FILTER(IMPORTRANGE(""https://docs.google.com/spreadsheets/d/1BJSV3WBYJGRhQ6zExamkszQ5VutGIcaQqmbD9ZTVXMQ/edit#gid=1251630045"",""articles_with_PRISMA_reasons!C2:C2113""), $A1783=IMPORTRANGE(""https://docs.google.com/spreadsheets/d/1BJSV3WBYJGRhQ6zExamkszQ"&amp;"5VutGIcaQqmbD9ZTVXMQ/edit#gid=1251630045"",""articles_with_PRISMA_reasons!B2:B2113""))"),1949.0)</f>
        <v>1949</v>
      </c>
      <c r="D1783" s="5" t="str">
        <f>IFERROR(__xludf.DUMMYFUNCTION("IFS(AND(
FILTER(IMPORTRANGE(""https://docs.google.com/spreadsheets/d/1BJSV3WBYJGRhQ6zExamkszQ5VutGIcaQqmbD9ZTVXMQ/edit#gid=1251630045"",""articles_with_PRISMA_reasons!Y2:Y2113""), $A1783=IMPORTRANGE(""https://docs.google.com/spreadsheets/d/1BJSV3WBYJGRhQ6"&amp;"zExamkszQ5VutGIcaQqmbD9ZTVXMQ/edit#gid=1251630045"",""articles_with_PRISMA_reasons!B2:B2113""))&gt;=2,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$A1783=IMPORTRANGE(""https://docs.google.com/spreadsheets/d/1BJSV3WBYJGRhQ6zExamkszQ5VutGIcaQqmbD9ZTVXMQ/edit#gid=1251630045"",""articles_with_PRISMA_reasons!B2:B2113""))&lt;2),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$A1783=IMPORTRANGE(""https://docs.google.com/spreadsheets/d/1BJSV3WBYJGRhQ6zExamkszQ5VutGIcaQqmbD9ZTVXMQ/edit#gid=1251630045"",""a"&amp;"rticles_with_PRISMA_reasons!B2:B2113""))&lt;2,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$A1783=IMPORTRANGE(""https://docs.google"&amp;".com/spreadsheets/d/1BJSV3WBYJGRhQ6zExamkszQ5VutGIcaQqmbD9ZTVXMQ/edit#gid=1251630045"",""articles_with_PRISMA_reasons!B2:B2113""))&gt;=2),
""Exclude""
)"),"Exclude")</f>
        <v>Exclude</v>
      </c>
      <c r="E1783" s="5" t="str">
        <f>IFERROR(__xludf.DUMMYFUNCTION("IFS(
D1783=""Exclude"",""Exclude"",
AND(
FILTER(IMPORTRANGE(""https://docs.google.com/spreadsheets/d/1qpEmbGH0JjaJbUdp21-y2cPbobDbMjr09BbtdKROZWc/edit#gid=1444865654"",""articles_with_PRISMA_reasons!W2:W2113""), $A1783=IMPORTRANGE(""https://docs.google.co"&amp;"m/spreadsheets/d/1qpEmbGH0JjaJbUdp21-y2cPbobDbMjr09BbtdKROZWc/edit#gid=1444865654"",""articles_with_PRISMA_reasons!B2:B2113""))&gt;=2,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$A1783=IMPORTRANGE(""https://docs.google.com/spreadsheets/d/1qpEmbGH0JjaJbUdp21-y2cPbobDbMjr09BbtdKROZWc/edit#gid=1444865654"",""articles_with_PRISMA_reasons!B2:B2113""))&lt;2),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$A1783=IMPORTRANGE(""https://docs.google.com/spreadsheets/d/1qpEmbGH0JjaJbUdp21-y2cPbobDbMjr09Bbtd"&amp;"KROZWc/edit#gid=1444865654"",""articles_with_PRISMA_reasons!B2:B2113""))&lt;2,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$A1783=I"&amp;"MPORTRANGE(""https://docs.google.com/spreadsheets/d/1qpEmbGH0JjaJbUdp21-y2cPbobDbMjr09BbtdKROZWc/edit#gid=1444865654"",""articles_with_PRISMA_reasons!B2:B2113""))&gt;=2),
""Exclude""
)"),"Exclude")</f>
        <v>Exclude</v>
      </c>
      <c r="F1783" s="5" t="str">
        <f>IFERROR(__xludf.DUMMYFUNCTION("IFS(
E1783=""Exclude"",""Exclude"",
AND(
COUNTIF(
IMPORTRANGE(""https://docs.google.com/spreadsheets/d/1kGrh75X1cNR1D7_FcY9zMnHP8iPO4M5RCRjy6nZY0TY/edit#gid=0"",""Table 1: Study characteristics!B4:B171""),A1783)&gt;0,
COUNTIF(Studies!$A$2:$A$85,FILTER(IMPORT"&amp;"RANGE(""https://docs.google.com/spreadsheets/d/1kGrh75X1cNR1D7_FcY9zMnHP8iPO4M5RCRjy6nZY0TY/edit#gid=0"",""Table 1: Study characteristics!A4:A171""), $A1783=IMPORTRANGE(""https://docs.google.com/spreadsheets/d/1kGrh75X1cNR1D7_FcY9zMnHP8iPO4M5RCRjy6nZY0TY/"&amp;"edit#gid=0"",""Table 1: Study characteristics!B4:B171"")))&gt;0
),
""Include""
)"),"Exclude")</f>
        <v>Exclude</v>
      </c>
      <c r="G1783" s="5" t="str">
        <f>IFERROR(__xludf.DUMMYFUNCTION("IFS(
D1783=""Exclude"",
FILTER(IMPORTRANGE(""https://docs.google.com/spreadsheets/d/1BJSV3WBYJGRhQ6zExamkszQ5VutGIcaQqmbD9ZTVXMQ/edit#gid=1251630045"",""articles_with_PRISMA_reasons!AB2:AB2113""), $A1783=IMPORTRANGE(""https://docs.google.com/spreadsheets/"&amp;"d/1BJSV3WBYJGRhQ6zExamkszQ5VutGIcaQqmbD9ZTVXMQ/edit#gid=1251630045"",""articles_with_PRISMA_reasons!B2:B2113"")),
E1783=""Exclude"",
FILTER(IMPORTRANGE(""https://docs.google.com/spreadsheets/d/1qpEmbGH0JjaJbUdp21-y2cPbobDbMjr09BbtdKROZWc/edit#gid=14448656"&amp;"54"",""articles_with_PRISMA_reasons!Z2:Z2113""), $A1783=IMPORTRANGE(""https://docs.google.com/spreadsheets/d/1qpEmbGH0JjaJbUdp21-y2cPbobDbMjr09BbtdKROZWc/edit#gid=1444865654"",""articles_with_PRISMA_reasons!B2:B2113"")),F1783
=""Include"",FILTER(IMPORTRAN"&amp;"GE(""https://docs.google.com/spreadsheets/d/1kGrh75X1cNR1D7_FcY9zMnHP8iPO4M5RCRjy6nZY0TY/edit#gid=0"",""Table 1: Study characteristics!A4:A171""), $A1783=IMPORTRANGE(""https://docs.google.com/spreadsheets/d/1kGrh75X1cNR1D7_FcY9zMnHP8iPO4M5RCRjy6nZY0TY/edi"&amp;"t#gid=0"",""Table 1: Study characteristics!B4:B171""))
)"),"wrong population")</f>
        <v>wrong population</v>
      </c>
    </row>
    <row r="1784">
      <c r="A1784" s="4" t="str">
        <f>IFERROR(__xludf.DUMMYFUNCTION("""COMPUTED_VALUE"""),"Subspecialty pediatric neurosurgery training: a skill-based training model for neurosurgeons in low-resourced health systems")</f>
        <v>Subspecialty pediatric neurosurgery training: a skill-based training model for neurosurgeons in low-resourced health systems</v>
      </c>
      <c r="B1784" s="5" t="str">
        <f>IFERROR(__xludf.DUMMYFUNCTION("LEFT(FILTER(IMPORTRANGE(""https://docs.google.com/spreadsheets/d/1BJSV3WBYJGRhQ6zExamkszQ5VutGIcaQqmbD9ZTVXMQ/edit#gid=1251630045"",""articles_with_PRISMA_reasons!K2:K2113""), $A1784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$A1784=IMPORTRANGE(""https://docs.google.com/spreadsheets/d/1BJSV3WBYJGRhQ6zExamkszQ5VutGIcaQqmbD9ZTVXMQ/edit#gid=1251630045"",""articles_with_PRISMA_reasons!B2:B2113"")))-1)"),"Bow")</f>
        <v>Bow</v>
      </c>
      <c r="C1784" s="6">
        <f>IFERROR(__xludf.DUMMYFUNCTION("FILTER(IMPORTRANGE(""https://docs.google.com/spreadsheets/d/1BJSV3WBYJGRhQ6zExamkszQ5VutGIcaQqmbD9ZTVXMQ/edit#gid=1251630045"",""articles_with_PRISMA_reasons!C2:C2113""), $A1784=IMPORTRANGE(""https://docs.google.com/spreadsheets/d/1BJSV3WBYJGRhQ6zExamkszQ"&amp;"5VutGIcaQqmbD9ZTVXMQ/edit#gid=1251630045"",""articles_with_PRISMA_reasons!B2:B2113""))"),2018.0)</f>
        <v>2018</v>
      </c>
      <c r="D1784" s="5" t="str">
        <f>IFERROR(__xludf.DUMMYFUNCTION("IFS(AND(
FILTER(IMPORTRANGE(""https://docs.google.com/spreadsheets/d/1BJSV3WBYJGRhQ6zExamkszQ5VutGIcaQqmbD9ZTVXMQ/edit#gid=1251630045"",""articles_with_PRISMA_reasons!Y2:Y2113""), $A1784=IMPORTRANGE(""https://docs.google.com/spreadsheets/d/1BJSV3WBYJGRhQ6"&amp;"zExamkszQ5VutGIcaQqmbD9ZTVXMQ/edit#gid=1251630045"",""articles_with_PRISMA_reasons!B2:B2113""))&gt;=2,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$A1784=IMPORTRANGE(""https://docs.google.com/spreadsheets/d/1BJSV3WBYJGRhQ6zExamkszQ5VutGIcaQqmbD9ZTVXMQ/edit#gid=1251630045"",""articles_with_PRISMA_reasons!B2:B2113""))&lt;2),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$A1784=IMPORTRANGE(""https://docs.google.com/spreadsheets/d/1BJSV3WBYJGRhQ6zExamkszQ5VutGIcaQqmbD9ZTVXMQ/edit#gid=1251630045"",""a"&amp;"rticles_with_PRISMA_reasons!B2:B2113""))&lt;2,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$A1784=IMPORTRANGE(""https://docs.google"&amp;".com/spreadsheets/d/1BJSV3WBYJGRhQ6zExamkszQ5VutGIcaQqmbD9ZTVXMQ/edit#gid=1251630045"",""articles_with_PRISMA_reasons!B2:B2113""))&gt;=2),
""Exclude""
)"),"Exclude")</f>
        <v>Exclude</v>
      </c>
      <c r="E1784" s="5" t="str">
        <f>IFERROR(__xludf.DUMMYFUNCTION("IFS(
D1784=""Exclude"",""Exclude"",
AND(
FILTER(IMPORTRANGE(""https://docs.google.com/spreadsheets/d/1qpEmbGH0JjaJbUdp21-y2cPbobDbMjr09BbtdKROZWc/edit#gid=1444865654"",""articles_with_PRISMA_reasons!W2:W2113""), $A1784=IMPORTRANGE(""https://docs.google.co"&amp;"m/spreadsheets/d/1qpEmbGH0JjaJbUdp21-y2cPbobDbMjr09BbtdKROZWc/edit#gid=1444865654"",""articles_with_PRISMA_reasons!B2:B2113""))&gt;=2,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$A1784=IMPORTRANGE(""https://docs.google.com/spreadsheets/d/1qpEmbGH0JjaJbUdp21-y2cPbobDbMjr09BbtdKROZWc/edit#gid=1444865654"",""articles_with_PRISMA_reasons!B2:B2113""))&lt;2),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$A1784=IMPORTRANGE(""https://docs.google.com/spreadsheets/d/1qpEmbGH0JjaJbUdp21-y2cPbobDbMjr09Bbtd"&amp;"KROZWc/edit#gid=1444865654"",""articles_with_PRISMA_reasons!B2:B2113""))&lt;2,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$A1784=I"&amp;"MPORTRANGE(""https://docs.google.com/spreadsheets/d/1qpEmbGH0JjaJbUdp21-y2cPbobDbMjr09BbtdKROZWc/edit#gid=1444865654"",""articles_with_PRISMA_reasons!B2:B2113""))&gt;=2),
""Exclude""
)"),"Exclude")</f>
        <v>Exclude</v>
      </c>
      <c r="F1784" s="5" t="str">
        <f>IFERROR(__xludf.DUMMYFUNCTION("IFS(
E1784=""Exclude"",""Exclude"",
AND(
COUNTIF(
IMPORTRANGE(""https://docs.google.com/spreadsheets/d/1kGrh75X1cNR1D7_FcY9zMnHP8iPO4M5RCRjy6nZY0TY/edit#gid=0"",""Table 1: Study characteristics!B4:B171""),A1784)&gt;0,
COUNTIF(Studies!$A$2:$A$85,FILTER(IMPORT"&amp;"RANGE(""https://docs.google.com/spreadsheets/d/1kGrh75X1cNR1D7_FcY9zMnHP8iPO4M5RCRjy6nZY0TY/edit#gid=0"",""Table 1: Study characteristics!A4:A171""), $A1784=IMPORTRANGE(""https://docs.google.com/spreadsheets/d/1kGrh75X1cNR1D7_FcY9zMnHP8iPO4M5RCRjy6nZY0TY/"&amp;"edit#gid=0"",""Table 1: Study characteristics!B4:B171"")))&gt;0
),
""Include""
)"),"Exclude")</f>
        <v>Exclude</v>
      </c>
      <c r="G1784" s="5" t="str">
        <f>IFERROR(__xludf.DUMMYFUNCTION("IFS(
D1784=""Exclude"",
FILTER(IMPORTRANGE(""https://docs.google.com/spreadsheets/d/1BJSV3WBYJGRhQ6zExamkszQ5VutGIcaQqmbD9ZTVXMQ/edit#gid=1251630045"",""articles_with_PRISMA_reasons!AB2:AB2113""), $A1784=IMPORTRANGE(""https://docs.google.com/spreadsheets/"&amp;"d/1BJSV3WBYJGRhQ6zExamkszQ5VutGIcaQqmbD9ZTVXMQ/edit#gid=1251630045"",""articles_with_PRISMA_reasons!B2:B2113"")),
E1784=""Exclude"",
FILTER(IMPORTRANGE(""https://docs.google.com/spreadsheets/d/1qpEmbGH0JjaJbUdp21-y2cPbobDbMjr09BbtdKROZWc/edit#gid=14448656"&amp;"54"",""articles_with_PRISMA_reasons!Z2:Z2113""), $A1784=IMPORTRANGE(""https://docs.google.com/spreadsheets/d/1qpEmbGH0JjaJbUdp21-y2cPbobDbMjr09BbtdKROZWc/edit#gid=1444865654"",""articles_with_PRISMA_reasons!B2:B2113"")),F1784
=""Include"",FILTER(IMPORTRAN"&amp;"GE(""https://docs.google.com/spreadsheets/d/1kGrh75X1cNR1D7_FcY9zMnHP8iPO4M5RCRjy6nZY0TY/edit#gid=0"",""Table 1: Study characteristics!A4:A171""), $A1784=IMPORTRANGE(""https://docs.google.com/spreadsheets/d/1kGrh75X1cNR1D7_FcY9zMnHP8iPO4M5RCRjy6nZY0TY/edi"&amp;"t#gid=0"",""Table 1: Study characteristics!B4:B171""))
)"),"wrong study design")</f>
        <v>wrong study design</v>
      </c>
    </row>
    <row r="1785">
      <c r="A1785" s="4" t="str">
        <f>IFERROR(__xludf.DUMMYFUNCTION("""COMPUTED_VALUE"""),"Success of endoscopic third ventriculostomy in children less than 2 years of age")</f>
        <v>Success of endoscopic third ventriculostomy in children less than 2 years of age</v>
      </c>
      <c r="B1785" s="5" t="str">
        <f>IFERROR(__xludf.DUMMYFUNCTION("LEFT(FILTER(IMPORTRANGE(""https://docs.google.com/spreadsheets/d/1BJSV3WBYJGRhQ6zExamkszQ5VutGIcaQqmbD9ZTVXMQ/edit#gid=1251630045"",""articles_with_PRISMA_reasons!K2:K2113""), $A1785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$A1785=IMPORTRANGE(""https://docs.google.com/spreadsheets/d/1BJSV3WBYJGRhQ6zExamkszQ5VutGIcaQqmbD9ZTVXMQ/edit#gid=1251630045"",""articles_with_PRISMA_reasons!B2:B2113"")))-1)"),"Etus")</f>
        <v>Etus</v>
      </c>
      <c r="C1785" s="6">
        <f>IFERROR(__xludf.DUMMYFUNCTION("FILTER(IMPORTRANGE(""https://docs.google.com/spreadsheets/d/1BJSV3WBYJGRhQ6zExamkszQ5VutGIcaQqmbD9ZTVXMQ/edit#gid=1251630045"",""articles_with_PRISMA_reasons!C2:C2113""), $A1785=IMPORTRANGE(""https://docs.google.com/spreadsheets/d/1BJSV3WBYJGRhQ6zExamkszQ"&amp;"5VutGIcaQqmbD9ZTVXMQ/edit#gid=1251630045"",""articles_with_PRISMA_reasons!B2:B2113""))"),2005.0)</f>
        <v>2005</v>
      </c>
      <c r="D1785" s="5" t="str">
        <f>IFERROR(__xludf.DUMMYFUNCTION("IFS(AND(
FILTER(IMPORTRANGE(""https://docs.google.com/spreadsheets/d/1BJSV3WBYJGRhQ6zExamkszQ5VutGIcaQqmbD9ZTVXMQ/edit#gid=1251630045"",""articles_with_PRISMA_reasons!Y2:Y2113""), $A1785=IMPORTRANGE(""https://docs.google.com/spreadsheets/d/1BJSV3WBYJGRhQ6"&amp;"zExamkszQ5VutGIcaQqmbD9ZTVXMQ/edit#gid=1251630045"",""articles_with_PRISMA_reasons!B2:B2113""))&gt;=2,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$A1785=IMPORTRANGE(""https://docs.google.com/spreadsheets/d/1BJSV3WBYJGRhQ6zExamkszQ5VutGIcaQqmbD9ZTVXMQ/edit#gid=1251630045"",""articles_with_PRISMA_reasons!B2:B2113""))&lt;2),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$A1785=IMPORTRANGE(""https://docs.google.com/spreadsheets/d/1BJSV3WBYJGRhQ6zExamkszQ5VutGIcaQqmbD9ZTVXMQ/edit#gid=1251630045"",""a"&amp;"rticles_with_PRISMA_reasons!B2:B2113""))&lt;2,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$A1785=IMPORTRANGE(""https://docs.google"&amp;".com/spreadsheets/d/1BJSV3WBYJGRhQ6zExamkszQ5VutGIcaQqmbD9ZTVXMQ/edit#gid=1251630045"",""articles_with_PRISMA_reasons!B2:B2113""))&gt;=2),
""Exclude""
)"),"Include")</f>
        <v>Include</v>
      </c>
      <c r="E1785" s="5" t="str">
        <f>IFERROR(__xludf.DUMMYFUNCTION("IFS(
D1785=""Exclude"",""Exclude"",
AND(
FILTER(IMPORTRANGE(""https://docs.google.com/spreadsheets/d/1qpEmbGH0JjaJbUdp21-y2cPbobDbMjr09BbtdKROZWc/edit#gid=1444865654"",""articles_with_PRISMA_reasons!W2:W2113""), $A1785=IMPORTRANGE(""https://docs.google.co"&amp;"m/spreadsheets/d/1qpEmbGH0JjaJbUdp21-y2cPbobDbMjr09BbtdKROZWc/edit#gid=1444865654"",""articles_with_PRISMA_reasons!B2:B2113""))&gt;=2,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$A1785=IMPORTRANGE(""https://docs.google.com/spreadsheets/d/1qpEmbGH0JjaJbUdp21-y2cPbobDbMjr09BbtdKROZWc/edit#gid=1444865654"",""articles_with_PRISMA_reasons!B2:B2113""))&lt;2),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$A1785=IMPORTRANGE(""https://docs.google.com/spreadsheets/d/1qpEmbGH0JjaJbUdp21-y2cPbobDbMjr09Bbtd"&amp;"KROZWc/edit#gid=1444865654"",""articles_with_PRISMA_reasons!B2:B2113""))&lt;2,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$A1785=I"&amp;"MPORTRANGE(""https://docs.google.com/spreadsheets/d/1qpEmbGH0JjaJbUdp21-y2cPbobDbMjr09BbtdKROZWc/edit#gid=1444865654"",""articles_with_PRISMA_reasons!B2:B2113""))&gt;=2),
""Exclude""
)"),"Include")</f>
        <v>Include</v>
      </c>
      <c r="F1785" s="2" t="s">
        <v>8</v>
      </c>
      <c r="G1785" s="2" t="s">
        <v>16</v>
      </c>
    </row>
    <row r="1786">
      <c r="A1786" s="4" t="str">
        <f>IFERROR(__xludf.DUMMYFUNCTION("""COMPUTED_VALUE"""),"Successful developmental outcome in intrauterine myelomeningocele repair")</f>
        <v>Successful developmental outcome in intrauterine myelomeningocele repair</v>
      </c>
      <c r="B1786" s="5" t="str">
        <f>IFERROR(__xludf.DUMMYFUNCTION("LEFT(FILTER(IMPORTRANGE(""https://docs.google.com/spreadsheets/d/1BJSV3WBYJGRhQ6zExamkszQ5VutGIcaQqmbD9ZTVXMQ/edit#gid=1251630045"",""articles_with_PRISMA_reasons!K2:K2113""), $A1786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$A1786=IMPORTRANGE(""https://docs.google.com/spreadsheets/d/1BJSV3WBYJGRhQ6zExamkszQ5VutGIcaQqmbD9ZTVXMQ/edit#gid=1251630045"",""articles_with_PRISMA_reasons!B2:B2113"")))-1)"),"Zambelli")</f>
        <v>Zambelli</v>
      </c>
      <c r="C1786" s="6">
        <f>IFERROR(__xludf.DUMMYFUNCTION("FILTER(IMPORTRANGE(""https://docs.google.com/spreadsheets/d/1BJSV3WBYJGRhQ6zExamkszQ5VutGIcaQqmbD9ZTVXMQ/edit#gid=1251630045"",""articles_with_PRISMA_reasons!C2:C2113""), $A1786=IMPORTRANGE(""https://docs.google.com/spreadsheets/d/1BJSV3WBYJGRhQ6zExamkszQ"&amp;"5VutGIcaQqmbD9ZTVXMQ/edit#gid=1251630045"",""articles_with_PRISMA_reasons!B2:B2113""))"),2007.0)</f>
        <v>2007</v>
      </c>
      <c r="D1786" s="5" t="str">
        <f>IFERROR(__xludf.DUMMYFUNCTION("IFS(AND(
FILTER(IMPORTRANGE(""https://docs.google.com/spreadsheets/d/1BJSV3WBYJGRhQ6zExamkszQ5VutGIcaQqmbD9ZTVXMQ/edit#gid=1251630045"",""articles_with_PRISMA_reasons!Y2:Y2113""), $A1786=IMPORTRANGE(""https://docs.google.com/spreadsheets/d/1BJSV3WBYJGRhQ6"&amp;"zExamkszQ5VutGIcaQqmbD9ZTVXMQ/edit#gid=1251630045"",""articles_with_PRISMA_reasons!B2:B2113""))&gt;=2,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$A1786=IMPORTRANGE(""https://docs.google.com/spreadsheets/d/1BJSV3WBYJGRhQ6zExamkszQ5VutGIcaQqmbD9ZTVXMQ/edit#gid=1251630045"",""articles_with_PRISMA_reasons!B2:B2113""))&lt;2),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$A1786=IMPORTRANGE(""https://docs.google.com/spreadsheets/d/1BJSV3WBYJGRhQ6zExamkszQ5VutGIcaQqmbD9ZTVXMQ/edit#gid=1251630045"",""a"&amp;"rticles_with_PRISMA_reasons!B2:B2113""))&lt;2,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$A1786=IMPORTRANGE(""https://docs.google"&amp;".com/spreadsheets/d/1BJSV3WBYJGRhQ6zExamkszQ5VutGIcaQqmbD9ZTVXMQ/edit#gid=1251630045"",""articles_with_PRISMA_reasons!B2:B2113""))&gt;=2),
""Exclude""
)"),"Exclude")</f>
        <v>Exclude</v>
      </c>
      <c r="E1786" s="5" t="str">
        <f>IFERROR(__xludf.DUMMYFUNCTION("IFS(
D1786=""Exclude"",""Exclude"",
AND(
FILTER(IMPORTRANGE(""https://docs.google.com/spreadsheets/d/1qpEmbGH0JjaJbUdp21-y2cPbobDbMjr09BbtdKROZWc/edit#gid=1444865654"",""articles_with_PRISMA_reasons!W2:W2113""), $A1786=IMPORTRANGE(""https://docs.google.co"&amp;"m/spreadsheets/d/1qpEmbGH0JjaJbUdp21-y2cPbobDbMjr09BbtdKROZWc/edit#gid=1444865654"",""articles_with_PRISMA_reasons!B2:B2113""))&gt;=2,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$A1786=IMPORTRANGE(""https://docs.google.com/spreadsheets/d/1qpEmbGH0JjaJbUdp21-y2cPbobDbMjr09BbtdKROZWc/edit#gid=1444865654"",""articles_with_PRISMA_reasons!B2:B2113""))&lt;2),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$A1786=IMPORTRANGE(""https://docs.google.com/spreadsheets/d/1qpEmbGH0JjaJbUdp21-y2cPbobDbMjr09Bbtd"&amp;"KROZWc/edit#gid=1444865654"",""articles_with_PRISMA_reasons!B2:B2113""))&lt;2,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$A1786=I"&amp;"MPORTRANGE(""https://docs.google.com/spreadsheets/d/1qpEmbGH0JjaJbUdp21-y2cPbobDbMjr09BbtdKROZWc/edit#gid=1444865654"",""articles_with_PRISMA_reasons!B2:B2113""))&gt;=2),
""Exclude""
)"),"Exclude")</f>
        <v>Exclude</v>
      </c>
      <c r="F1786" s="5" t="str">
        <f>IFERROR(__xludf.DUMMYFUNCTION("IFS(
E1786=""Exclude"",""Exclude"",
AND(
COUNTIF(
IMPORTRANGE(""https://docs.google.com/spreadsheets/d/1kGrh75X1cNR1D7_FcY9zMnHP8iPO4M5RCRjy6nZY0TY/edit#gid=0"",""Table 1: Study characteristics!B4:B171""),A1786)&gt;0,
COUNTIF(Studies!$A$2:$A$85,FILTER(IMPORT"&amp;"RANGE(""https://docs.google.com/spreadsheets/d/1kGrh75X1cNR1D7_FcY9zMnHP8iPO4M5RCRjy6nZY0TY/edit#gid=0"",""Table 1: Study characteristics!A4:A171""), $A1786=IMPORTRANGE(""https://docs.google.com/spreadsheets/d/1kGrh75X1cNR1D7_FcY9zMnHP8iPO4M5RCRjy6nZY0TY/"&amp;"edit#gid=0"",""Table 1: Study characteristics!B4:B171"")))&gt;0
),
""Include""
)"),"Exclude")</f>
        <v>Exclude</v>
      </c>
      <c r="G1786" s="5" t="str">
        <f>IFERROR(__xludf.DUMMYFUNCTION("IFS(
D1786=""Exclude"",
FILTER(IMPORTRANGE(""https://docs.google.com/spreadsheets/d/1BJSV3WBYJGRhQ6zExamkszQ5VutGIcaQqmbD9ZTVXMQ/edit#gid=1251630045"",""articles_with_PRISMA_reasons!AB2:AB2113""), $A1786=IMPORTRANGE(""https://docs.google.com/spreadsheets/"&amp;"d/1BJSV3WBYJGRhQ6zExamkszQ5VutGIcaQqmbD9ZTVXMQ/edit#gid=1251630045"",""articles_with_PRISMA_reasons!B2:B2113"")),
E1786=""Exclude"",
FILTER(IMPORTRANGE(""https://docs.google.com/spreadsheets/d/1qpEmbGH0JjaJbUdp21-y2cPbobDbMjr09BbtdKROZWc/edit#gid=14448656"&amp;"54"",""articles_with_PRISMA_reasons!Z2:Z2113""), $A1786=IMPORTRANGE(""https://docs.google.com/spreadsheets/d/1qpEmbGH0JjaJbUdp21-y2cPbobDbMjr09BbtdKROZWc/edit#gid=1444865654"",""articles_with_PRISMA_reasons!B2:B2113"")),F1786
=""Include"",FILTER(IMPORTRAN"&amp;"GE(""https://docs.google.com/spreadsheets/d/1kGrh75X1cNR1D7_FcY9zMnHP8iPO4M5RCRjy6nZY0TY/edit#gid=0"",""Table 1: Study characteristics!A4:A171""), $A1786=IMPORTRANGE(""https://docs.google.com/spreadsheets/d/1kGrh75X1cNR1D7_FcY9zMnHP8iPO4M5RCRjy6nZY0TY/edi"&amp;"t#gid=0"",""Table 1: Study characteristics!B4:B171""))
)"),"wrong publication type")</f>
        <v>wrong publication type</v>
      </c>
    </row>
    <row r="1787">
      <c r="A1787" s="4" t="str">
        <f>IFERROR(__xludf.DUMMYFUNCTION("""COMPUTED_VALUE"""),"Successful management of a small infant born with a large meningomyelocele using a temporary artificial dermis")</f>
        <v>Successful management of a small infant born with a large meningomyelocele using a temporary artificial dermis</v>
      </c>
      <c r="B1787" s="5" t="str">
        <f>IFERROR(__xludf.DUMMYFUNCTION("LEFT(FILTER(IMPORTRANGE(""https://docs.google.com/spreadsheets/d/1BJSV3WBYJGRhQ6zExamkszQ5VutGIcaQqmbD9ZTVXMQ/edit#gid=1251630045"",""articles_with_PRISMA_reasons!K2:K2113""), $A1787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$A1787=IMPORTRANGE(""https://docs.google.com/spreadsheets/d/1BJSV3WBYJGRhQ6zExamkszQ5VutGIcaQqmbD9ZTVXMQ/edit#gid=1251630045"",""articles_with_PRISMA_reasons!B2:B2113"")))-1)"),"Kikuchi")</f>
        <v>Kikuchi</v>
      </c>
      <c r="C1787" s="6">
        <f>IFERROR(__xludf.DUMMYFUNCTION("FILTER(IMPORTRANGE(""https://docs.google.com/spreadsheets/d/1BJSV3WBYJGRhQ6zExamkszQ5VutGIcaQqmbD9ZTVXMQ/edit#gid=1251630045"",""articles_with_PRISMA_reasons!C2:C2113""), $A1787=IMPORTRANGE(""https://docs.google.com/spreadsheets/d/1BJSV3WBYJGRhQ6zExamkszQ"&amp;"5VutGIcaQqmbD9ZTVXMQ/edit#gid=1251630045"",""articles_with_PRISMA_reasons!B2:B2113""))"),2005.0)</f>
        <v>2005</v>
      </c>
      <c r="D1787" s="5" t="str">
        <f>IFERROR(__xludf.DUMMYFUNCTION("IFS(AND(
FILTER(IMPORTRANGE(""https://docs.google.com/spreadsheets/d/1BJSV3WBYJGRhQ6zExamkszQ5VutGIcaQqmbD9ZTVXMQ/edit#gid=1251630045"",""articles_with_PRISMA_reasons!Y2:Y2113""), $A1787=IMPORTRANGE(""https://docs.google.com/spreadsheets/d/1BJSV3WBYJGRhQ6"&amp;"zExamkszQ5VutGIcaQqmbD9ZTVXMQ/edit#gid=1251630045"",""articles_with_PRISMA_reasons!B2:B2113""))&gt;=2,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$A1787=IMPORTRANGE(""https://docs.google.com/spreadsheets/d/1BJSV3WBYJGRhQ6zExamkszQ5VutGIcaQqmbD9ZTVXMQ/edit#gid=1251630045"",""articles_with_PRISMA_reasons!B2:B2113""))&lt;2),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$A1787=IMPORTRANGE(""https://docs.google.com/spreadsheets/d/1BJSV3WBYJGRhQ6zExamkszQ5VutGIcaQqmbD9ZTVXMQ/edit#gid=1251630045"",""a"&amp;"rticles_with_PRISMA_reasons!B2:B2113""))&lt;2,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$A1787=IMPORTRANGE(""https://docs.google"&amp;".com/spreadsheets/d/1BJSV3WBYJGRhQ6zExamkszQ5VutGIcaQqmbD9ZTVXMQ/edit#gid=1251630045"",""articles_with_PRISMA_reasons!B2:B2113""))&gt;=2),
""Exclude""
)"),"Exclude")</f>
        <v>Exclude</v>
      </c>
      <c r="E1787" s="5" t="str">
        <f>IFERROR(__xludf.DUMMYFUNCTION("IFS(
D1787=""Exclude"",""Exclude"",
AND(
FILTER(IMPORTRANGE(""https://docs.google.com/spreadsheets/d/1qpEmbGH0JjaJbUdp21-y2cPbobDbMjr09BbtdKROZWc/edit#gid=1444865654"",""articles_with_PRISMA_reasons!W2:W2113""), $A1787=IMPORTRANGE(""https://docs.google.co"&amp;"m/spreadsheets/d/1qpEmbGH0JjaJbUdp21-y2cPbobDbMjr09BbtdKROZWc/edit#gid=1444865654"",""articles_with_PRISMA_reasons!B2:B2113""))&gt;=2,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$A1787=IMPORTRANGE(""https://docs.google.com/spreadsheets/d/1qpEmbGH0JjaJbUdp21-y2cPbobDbMjr09BbtdKROZWc/edit#gid=1444865654"",""articles_with_PRISMA_reasons!B2:B2113""))&lt;2),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$A1787=IMPORTRANGE(""https://docs.google.com/spreadsheets/d/1qpEmbGH0JjaJbUdp21-y2cPbobDbMjr09Bbtd"&amp;"KROZWc/edit#gid=1444865654"",""articles_with_PRISMA_reasons!B2:B2113""))&lt;2,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$A1787=I"&amp;"MPORTRANGE(""https://docs.google.com/spreadsheets/d/1qpEmbGH0JjaJbUdp21-y2cPbobDbMjr09BbtdKROZWc/edit#gid=1444865654"",""articles_with_PRISMA_reasons!B2:B2113""))&gt;=2),
""Exclude""
)"),"Exclude")</f>
        <v>Exclude</v>
      </c>
      <c r="F1787" s="5" t="str">
        <f>IFERROR(__xludf.DUMMYFUNCTION("IFS(
E1787=""Exclude"",""Exclude"",
AND(
COUNTIF(
IMPORTRANGE(""https://docs.google.com/spreadsheets/d/1kGrh75X1cNR1D7_FcY9zMnHP8iPO4M5RCRjy6nZY0TY/edit#gid=0"",""Table 1: Study characteristics!B4:B171""),A1787)&gt;0,
COUNTIF(Studies!$A$2:$A$85,FILTER(IMPORT"&amp;"RANGE(""https://docs.google.com/spreadsheets/d/1kGrh75X1cNR1D7_FcY9zMnHP8iPO4M5RCRjy6nZY0TY/edit#gid=0"",""Table 1: Study characteristics!A4:A171""), $A1787=IMPORTRANGE(""https://docs.google.com/spreadsheets/d/1kGrh75X1cNR1D7_FcY9zMnHP8iPO4M5RCRjy6nZY0TY/"&amp;"edit#gid=0"",""Table 1: Study characteristics!B4:B171"")))&gt;0
),
""Include""
)"),"Exclude")</f>
        <v>Exclude</v>
      </c>
      <c r="G1787" s="5" t="str">
        <f>IFERROR(__xludf.DUMMYFUNCTION("IFS(
D1787=""Exclude"",
FILTER(IMPORTRANGE(""https://docs.google.com/spreadsheets/d/1BJSV3WBYJGRhQ6zExamkszQ5VutGIcaQqmbD9ZTVXMQ/edit#gid=1251630045"",""articles_with_PRISMA_reasons!AB2:AB2113""), $A1787=IMPORTRANGE(""https://docs.google.com/spreadsheets/"&amp;"d/1BJSV3WBYJGRhQ6zExamkszQ5VutGIcaQqmbD9ZTVXMQ/edit#gid=1251630045"",""articles_with_PRISMA_reasons!B2:B2113"")),
E1787=""Exclude"",
FILTER(IMPORTRANGE(""https://docs.google.com/spreadsheets/d/1qpEmbGH0JjaJbUdp21-y2cPbobDbMjr09BbtdKROZWc/edit#gid=14448656"&amp;"54"",""articles_with_PRISMA_reasons!Z2:Z2113""), $A1787=IMPORTRANGE(""https://docs.google.com/spreadsheets/d/1qpEmbGH0JjaJbUdp21-y2cPbobDbMjr09BbtdKROZWc/edit#gid=1444865654"",""articles_with_PRISMA_reasons!B2:B2113"")),F1787
=""Include"",FILTER(IMPORTRAN"&amp;"GE(""https://docs.google.com/spreadsheets/d/1kGrh75X1cNR1D7_FcY9zMnHP8iPO4M5RCRjy6nZY0TY/edit#gid=0"",""Table 1: Study characteristics!A4:A171""), $A1787=IMPORTRANGE(""https://docs.google.com/spreadsheets/d/1kGrh75X1cNR1D7_FcY9zMnHP8iPO4M5RCRjy6nZY0TY/edi"&amp;"t#gid=0"",""Table 1: Study characteristics!B4:B171""))
)"),"wrong study design")</f>
        <v>wrong study design</v>
      </c>
    </row>
    <row r="1788">
      <c r="A1788" s="4" t="str">
        <f>IFERROR(__xludf.DUMMYFUNCTION("""COMPUTED_VALUE"""),"Successful ventricle to direct heart shunt placement as a salvage cerebrospinal fluid diversion technique - Case report")</f>
        <v>Successful ventricle to direct heart shunt placement as a salvage cerebrospinal fluid diversion technique - Case report</v>
      </c>
      <c r="B1788" s="5" t="str">
        <f>IFERROR(__xludf.DUMMYFUNCTION("LEFT(FILTER(IMPORTRANGE(""https://docs.google.com/spreadsheets/d/1BJSV3WBYJGRhQ6zExamkszQ5VutGIcaQqmbD9ZTVXMQ/edit#gid=1251630045"",""articles_with_PRISMA_reasons!K2:K2113""), $A1788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$A1788=IMPORTRANGE(""https://docs.google.com/spreadsheets/d/1BJSV3WBYJGRhQ6zExamkszQ5VutGIcaQqmbD9ZTVXMQ/edit#gid=1251630045"",""articles_with_PRISMA_reasons!B2:B2113"")))-1)"),"Thompson")</f>
        <v>Thompson</v>
      </c>
      <c r="C1788" s="6">
        <f>IFERROR(__xludf.DUMMYFUNCTION("FILTER(IMPORTRANGE(""https://docs.google.com/spreadsheets/d/1BJSV3WBYJGRhQ6zExamkszQ5VutGIcaQqmbD9ZTVXMQ/edit#gid=1251630045"",""articles_with_PRISMA_reasons!C2:C2113""), $A1788=IMPORTRANGE(""https://docs.google.com/spreadsheets/d/1BJSV3WBYJGRhQ6zExamkszQ"&amp;"5VutGIcaQqmbD9ZTVXMQ/edit#gid=1251630045"",""articles_with_PRISMA_reasons!B2:B2113""))"),2009.0)</f>
        <v>2009</v>
      </c>
      <c r="D1788" s="5" t="str">
        <f>IFERROR(__xludf.DUMMYFUNCTION("IFS(AND(
FILTER(IMPORTRANGE(""https://docs.google.com/spreadsheets/d/1BJSV3WBYJGRhQ6zExamkszQ5VutGIcaQqmbD9ZTVXMQ/edit#gid=1251630045"",""articles_with_PRISMA_reasons!Y2:Y2113""), $A1788=IMPORTRANGE(""https://docs.google.com/spreadsheets/d/1BJSV3WBYJGRhQ6"&amp;"zExamkszQ5VutGIcaQqmbD9ZTVXMQ/edit#gid=1251630045"",""articles_with_PRISMA_reasons!B2:B2113""))&gt;=2,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$A1788=IMPORTRANGE(""https://docs.google.com/spreadsheets/d/1BJSV3WBYJGRhQ6zExamkszQ5VutGIcaQqmbD9ZTVXMQ/edit#gid=1251630045"",""articles_with_PRISMA_reasons!B2:B2113""))&lt;2),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$A1788=IMPORTRANGE(""https://docs.google.com/spreadsheets/d/1BJSV3WBYJGRhQ6zExamkszQ5VutGIcaQqmbD9ZTVXMQ/edit#gid=1251630045"",""a"&amp;"rticles_with_PRISMA_reasons!B2:B2113""))&lt;2,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$A1788=IMPORTRANGE(""https://docs.google"&amp;".com/spreadsheets/d/1BJSV3WBYJGRhQ6zExamkszQ5VutGIcaQqmbD9ZTVXMQ/edit#gid=1251630045"",""articles_with_PRISMA_reasons!B2:B2113""))&gt;=2),
""Exclude""
)"),"Exclude")</f>
        <v>Exclude</v>
      </c>
      <c r="E1788" s="5" t="str">
        <f>IFERROR(__xludf.DUMMYFUNCTION("IFS(
D1788=""Exclude"",""Exclude"",
AND(
FILTER(IMPORTRANGE(""https://docs.google.com/spreadsheets/d/1qpEmbGH0JjaJbUdp21-y2cPbobDbMjr09BbtdKROZWc/edit#gid=1444865654"",""articles_with_PRISMA_reasons!W2:W2113""), $A1788=IMPORTRANGE(""https://docs.google.co"&amp;"m/spreadsheets/d/1qpEmbGH0JjaJbUdp21-y2cPbobDbMjr09BbtdKROZWc/edit#gid=1444865654"",""articles_with_PRISMA_reasons!B2:B2113""))&gt;=2,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$A1788=IMPORTRANGE(""https://docs.google.com/spreadsheets/d/1qpEmbGH0JjaJbUdp21-y2cPbobDbMjr09BbtdKROZWc/edit#gid=1444865654"",""articles_with_PRISMA_reasons!B2:B2113""))&lt;2),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$A1788=IMPORTRANGE(""https://docs.google.com/spreadsheets/d/1qpEmbGH0JjaJbUdp21-y2cPbobDbMjr09Bbtd"&amp;"KROZWc/edit#gid=1444865654"",""articles_with_PRISMA_reasons!B2:B2113""))&lt;2,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$A1788=I"&amp;"MPORTRANGE(""https://docs.google.com/spreadsheets/d/1qpEmbGH0JjaJbUdp21-y2cPbobDbMjr09BbtdKROZWc/edit#gid=1444865654"",""articles_with_PRISMA_reasons!B2:B2113""))&gt;=2),
""Exclude""
)"),"Exclude")</f>
        <v>Exclude</v>
      </c>
      <c r="F1788" s="5" t="str">
        <f>IFERROR(__xludf.DUMMYFUNCTION("IFS(
E1788=""Exclude"",""Exclude"",
AND(
COUNTIF(
IMPORTRANGE(""https://docs.google.com/spreadsheets/d/1kGrh75X1cNR1D7_FcY9zMnHP8iPO4M5RCRjy6nZY0TY/edit#gid=0"",""Table 1: Study characteristics!B4:B171""),A1788)&gt;0,
COUNTIF(Studies!$A$2:$A$85,FILTER(IMPORT"&amp;"RANGE(""https://docs.google.com/spreadsheets/d/1kGrh75X1cNR1D7_FcY9zMnHP8iPO4M5RCRjy6nZY0TY/edit#gid=0"",""Table 1: Study characteristics!A4:A171""), $A1788=IMPORTRANGE(""https://docs.google.com/spreadsheets/d/1kGrh75X1cNR1D7_FcY9zMnHP8iPO4M5RCRjy6nZY0TY/"&amp;"edit#gid=0"",""Table 1: Study characteristics!B4:B171"")))&gt;0
),
""Include""
)"),"Exclude")</f>
        <v>Exclude</v>
      </c>
      <c r="G1788" s="5" t="str">
        <f>IFERROR(__xludf.DUMMYFUNCTION("IFS(
D1788=""Exclude"",
FILTER(IMPORTRANGE(""https://docs.google.com/spreadsheets/d/1BJSV3WBYJGRhQ6zExamkszQ5VutGIcaQqmbD9ZTVXMQ/edit#gid=1251630045"",""articles_with_PRISMA_reasons!AB2:AB2113""), $A1788=IMPORTRANGE(""https://docs.google.com/spreadsheets/"&amp;"d/1BJSV3WBYJGRhQ6zExamkszQ5VutGIcaQqmbD9ZTVXMQ/edit#gid=1251630045"",""articles_with_PRISMA_reasons!B2:B2113"")),
E1788=""Exclude"",
FILTER(IMPORTRANGE(""https://docs.google.com/spreadsheets/d/1qpEmbGH0JjaJbUdp21-y2cPbobDbMjr09BbtdKROZWc/edit#gid=14448656"&amp;"54"",""articles_with_PRISMA_reasons!Z2:Z2113""), $A1788=IMPORTRANGE(""https://docs.google.com/spreadsheets/d/1qpEmbGH0JjaJbUdp21-y2cPbobDbMjr09BbtdKROZWc/edit#gid=1444865654"",""articles_with_PRISMA_reasons!B2:B2113"")),F1788
=""Include"",FILTER(IMPORTRAN"&amp;"GE(""https://docs.google.com/spreadsheets/d/1kGrh75X1cNR1D7_FcY9zMnHP8iPO4M5RCRjy6nZY0TY/edit#gid=0"",""Table 1: Study characteristics!A4:A171""), $A1788=IMPORTRANGE(""https://docs.google.com/spreadsheets/d/1kGrh75X1cNR1D7_FcY9zMnHP8iPO4M5RCRjy6nZY0TY/edi"&amp;"t#gid=0"",""Table 1: Study characteristics!B4:B171""))
)"),"wrong publication type")</f>
        <v>wrong publication type</v>
      </c>
    </row>
    <row r="1789">
      <c r="A1789" s="4" t="str">
        <f>IFERROR(__xludf.DUMMYFUNCTION("""COMPUTED_VALUE"""),"Sudden death in hydrocephalic spina bifida aperta patients")</f>
        <v>Sudden death in hydrocephalic spina bifida aperta patients</v>
      </c>
      <c r="B1789" s="5" t="str">
        <f>IFERROR(__xludf.DUMMYFUNCTION("LEFT(FILTER(IMPORTRANGE(""https://docs.google.com/spreadsheets/d/1BJSV3WBYJGRhQ6zExamkszQ5VutGIcaQqmbD9ZTVXMQ/edit#gid=1251630045"",""articles_with_PRISMA_reasons!K2:K2113""), $A1789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$A1789=IMPORTRANGE(""https://docs.google.com/spreadsheets/d/1BJSV3WBYJGRhQ6zExamkszQ5VutGIcaQqmbD9ZTVXMQ/edit#gid=1251630045"",""articles_with_PRISMA_reasons!B2:B2113"")))-1)"),"Staal")</f>
        <v>Staal</v>
      </c>
      <c r="C1789" s="6">
        <f>IFERROR(__xludf.DUMMYFUNCTION("FILTER(IMPORTRANGE(""https://docs.google.com/spreadsheets/d/1BJSV3WBYJGRhQ6zExamkszQ5VutGIcaQqmbD9ZTVXMQ/edit#gid=1251630045"",""articles_with_PRISMA_reasons!C2:C2113""), $A1789=IMPORTRANGE(""https://docs.google.com/spreadsheets/d/1BJSV3WBYJGRhQ6zExamkszQ"&amp;"5VutGIcaQqmbD9ZTVXMQ/edit#gid=1251630045"",""articles_with_PRISMA_reasons!B2:B2113""))"),1987.0)</f>
        <v>1987</v>
      </c>
      <c r="D1789" s="5" t="str">
        <f>IFERROR(__xludf.DUMMYFUNCTION("IFS(AND(
FILTER(IMPORTRANGE(""https://docs.google.com/spreadsheets/d/1BJSV3WBYJGRhQ6zExamkszQ5VutGIcaQqmbD9ZTVXMQ/edit#gid=1251630045"",""articles_with_PRISMA_reasons!Y2:Y2113""), $A1789=IMPORTRANGE(""https://docs.google.com/spreadsheets/d/1BJSV3WBYJGRhQ6"&amp;"zExamkszQ5VutGIcaQqmbD9ZTVXMQ/edit#gid=1251630045"",""articles_with_PRISMA_reasons!B2:B2113""))&gt;=2,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$A1789=IMPORTRANGE(""https://docs.google.com/spreadsheets/d/1BJSV3WBYJGRhQ6zExamkszQ5VutGIcaQqmbD9ZTVXMQ/edit#gid=1251630045"",""articles_with_PRISMA_reasons!B2:B2113""))&lt;2),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$A1789=IMPORTRANGE(""https://docs.google.com/spreadsheets/d/1BJSV3WBYJGRhQ6zExamkszQ5VutGIcaQqmbD9ZTVXMQ/edit#gid=1251630045"",""a"&amp;"rticles_with_PRISMA_reasons!B2:B2113""))&lt;2,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$A1789=IMPORTRANGE(""https://docs.google"&amp;".com/spreadsheets/d/1BJSV3WBYJGRhQ6zExamkszQ5VutGIcaQqmbD9ZTVXMQ/edit#gid=1251630045"",""articles_with_PRISMA_reasons!B2:B2113""))&gt;=2),
""Exclude""
)"),"Exclude")</f>
        <v>Exclude</v>
      </c>
      <c r="E1789" s="5" t="str">
        <f>IFERROR(__xludf.DUMMYFUNCTION("IFS(
D1789=""Exclude"",""Exclude"",
AND(
FILTER(IMPORTRANGE(""https://docs.google.com/spreadsheets/d/1qpEmbGH0JjaJbUdp21-y2cPbobDbMjr09BbtdKROZWc/edit#gid=1444865654"",""articles_with_PRISMA_reasons!W2:W2113""), $A1789=IMPORTRANGE(""https://docs.google.co"&amp;"m/spreadsheets/d/1qpEmbGH0JjaJbUdp21-y2cPbobDbMjr09BbtdKROZWc/edit#gid=1444865654"",""articles_with_PRISMA_reasons!B2:B2113""))&gt;=2,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$A1789=IMPORTRANGE(""https://docs.google.com/spreadsheets/d/1qpEmbGH0JjaJbUdp21-y2cPbobDbMjr09BbtdKROZWc/edit#gid=1444865654"",""articles_with_PRISMA_reasons!B2:B2113""))&lt;2),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$A1789=IMPORTRANGE(""https://docs.google.com/spreadsheets/d/1qpEmbGH0JjaJbUdp21-y2cPbobDbMjr09Bbtd"&amp;"KROZWc/edit#gid=1444865654"",""articles_with_PRISMA_reasons!B2:B2113""))&lt;2,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$A1789=I"&amp;"MPORTRANGE(""https://docs.google.com/spreadsheets/d/1qpEmbGH0JjaJbUdp21-y2cPbobDbMjr09BbtdKROZWc/edit#gid=1444865654"",""articles_with_PRISMA_reasons!B2:B2113""))&gt;=2),
""Exclude""
)"),"Exclude")</f>
        <v>Exclude</v>
      </c>
      <c r="F1789" s="5" t="str">
        <f>IFERROR(__xludf.DUMMYFUNCTION("IFS(
E1789=""Exclude"",""Exclude"",
AND(
COUNTIF(
IMPORTRANGE(""https://docs.google.com/spreadsheets/d/1kGrh75X1cNR1D7_FcY9zMnHP8iPO4M5RCRjy6nZY0TY/edit#gid=0"",""Table 1: Study characteristics!B4:B171""),A1789)&gt;0,
COUNTIF(Studies!$A$2:$A$85,FILTER(IMPORT"&amp;"RANGE(""https://docs.google.com/spreadsheets/d/1kGrh75X1cNR1D7_FcY9zMnHP8iPO4M5RCRjy6nZY0TY/edit#gid=0"",""Table 1: Study characteristics!A4:A171""), $A1789=IMPORTRANGE(""https://docs.google.com/spreadsheets/d/1kGrh75X1cNR1D7_FcY9zMnHP8iPO4M5RCRjy6nZY0TY/"&amp;"edit#gid=0"",""Table 1: Study characteristics!B4:B171"")))&gt;0
),
""Include""
)"),"Exclude")</f>
        <v>Exclude</v>
      </c>
      <c r="G1789" s="5" t="str">
        <f>IFERROR(__xludf.DUMMYFUNCTION("IFS(
D1789=""Exclude"",
FILTER(IMPORTRANGE(""https://docs.google.com/spreadsheets/d/1BJSV3WBYJGRhQ6zExamkszQ5VutGIcaQqmbD9ZTVXMQ/edit#gid=1251630045"",""articles_with_PRISMA_reasons!AB2:AB2113""), $A1789=IMPORTRANGE(""https://docs.google.com/spreadsheets/"&amp;"d/1BJSV3WBYJGRhQ6zExamkszQ5VutGIcaQqmbD9ZTVXMQ/edit#gid=1251630045"",""articles_with_PRISMA_reasons!B2:B2113"")),
E1789=""Exclude"",
FILTER(IMPORTRANGE(""https://docs.google.com/spreadsheets/d/1qpEmbGH0JjaJbUdp21-y2cPbobDbMjr09BbtdKROZWc/edit#gid=14448656"&amp;"54"",""articles_with_PRISMA_reasons!Z2:Z2113""), $A1789=IMPORTRANGE(""https://docs.google.com/spreadsheets/d/1qpEmbGH0JjaJbUdp21-y2cPbobDbMjr09BbtdKROZWc/edit#gid=1444865654"",""articles_with_PRISMA_reasons!B2:B2113"")),F1789
=""Include"",FILTER(IMPORTRAN"&amp;"GE(""https://docs.google.com/spreadsheets/d/1kGrh75X1cNR1D7_FcY9zMnHP8iPO4M5RCRjy6nZY0TY/edit#gid=0"",""Table 1: Study characteristics!A4:A171""), $A1789=IMPORTRANGE(""https://docs.google.com/spreadsheets/d/1kGrh75X1cNR1D7_FcY9zMnHP8iPO4M5RCRjy6nZY0TY/edi"&amp;"t#gid=0"",""Table 1: Study characteristics!B4:B171""))
)"),"wrong population")</f>
        <v>wrong population</v>
      </c>
    </row>
    <row r="1790">
      <c r="A1790" s="4" t="str">
        <f>IFERROR(__xludf.DUMMYFUNCTION("""COMPUTED_VALUE"""),"Sugammadex given for rocuronium-induced neuromuscular blockade in infants: a retrospective study")</f>
        <v>Sugammadex given for rocuronium-induced neuromuscular blockade in infants: a retrospective study</v>
      </c>
      <c r="B1790" s="5" t="str">
        <f>IFERROR(__xludf.DUMMYFUNCTION("LEFT(FILTER(IMPORTRANGE(""https://docs.google.com/spreadsheets/d/1BJSV3WBYJGRhQ6zExamkszQ5VutGIcaQqmbD9ZTVXMQ/edit#gid=1251630045"",""articles_with_PRISMA_reasons!K2:K2113""), $A1790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$A1790=IMPORTRANGE(""https://docs.google.com/spreadsheets/d/1BJSV3WBYJGRhQ6zExamkszQ5VutGIcaQqmbD9ZTVXMQ/edit#gid=1251630045"",""articles_with_PRISMA_reasons!B2:B2113"")))-1)"),"Ozmete")</f>
        <v>Ozmete</v>
      </c>
      <c r="C1790" s="6">
        <f>IFERROR(__xludf.DUMMYFUNCTION("FILTER(IMPORTRANGE(""https://docs.google.com/spreadsheets/d/1BJSV3WBYJGRhQ6zExamkszQ5VutGIcaQqmbD9ZTVXMQ/edit#gid=1251630045"",""articles_with_PRISMA_reasons!C2:C2113""), $A1790=IMPORTRANGE(""https://docs.google.com/spreadsheets/d/1BJSV3WBYJGRhQ6zExamkszQ"&amp;"5VutGIcaQqmbD9ZTVXMQ/edit#gid=1251630045"",""articles_with_PRISMA_reasons!B2:B2113""))"),2016.0)</f>
        <v>2016</v>
      </c>
      <c r="D1790" s="5" t="str">
        <f>IFERROR(__xludf.DUMMYFUNCTION("IFS(AND(
FILTER(IMPORTRANGE(""https://docs.google.com/spreadsheets/d/1BJSV3WBYJGRhQ6zExamkszQ5VutGIcaQqmbD9ZTVXMQ/edit#gid=1251630045"",""articles_with_PRISMA_reasons!Y2:Y2113""), $A1790=IMPORTRANGE(""https://docs.google.com/spreadsheets/d/1BJSV3WBYJGRhQ6"&amp;"zExamkszQ5VutGIcaQqmbD9ZTVXMQ/edit#gid=1251630045"",""articles_with_PRISMA_reasons!B2:B2113""))&gt;=2,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$A1790=IMPORTRANGE(""https://docs.google.com/spreadsheets/d/1BJSV3WBYJGRhQ6zExamkszQ5VutGIcaQqmbD9ZTVXMQ/edit#gid=1251630045"",""articles_with_PRISMA_reasons!B2:B2113""))&lt;2),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$A1790=IMPORTRANGE(""https://docs.google.com/spreadsheets/d/1BJSV3WBYJGRhQ6zExamkszQ5VutGIcaQqmbD9ZTVXMQ/edit#gid=1251630045"",""a"&amp;"rticles_with_PRISMA_reasons!B2:B2113""))&lt;2,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$A1790=IMPORTRANGE(""https://docs.google"&amp;".com/spreadsheets/d/1BJSV3WBYJGRhQ6zExamkszQ5VutGIcaQqmbD9ZTVXMQ/edit#gid=1251630045"",""articles_with_PRISMA_reasons!B2:B2113""))&gt;=2),
""Exclude""
)"),"Exclude")</f>
        <v>Exclude</v>
      </c>
      <c r="E1790" s="5" t="str">
        <f>IFERROR(__xludf.DUMMYFUNCTION("IFS(
D1790=""Exclude"",""Exclude"",
AND(
FILTER(IMPORTRANGE(""https://docs.google.com/spreadsheets/d/1qpEmbGH0JjaJbUdp21-y2cPbobDbMjr09BbtdKROZWc/edit#gid=1444865654"",""articles_with_PRISMA_reasons!W2:W2113""), $A1790=IMPORTRANGE(""https://docs.google.co"&amp;"m/spreadsheets/d/1qpEmbGH0JjaJbUdp21-y2cPbobDbMjr09BbtdKROZWc/edit#gid=1444865654"",""articles_with_PRISMA_reasons!B2:B2113""))&gt;=2,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$A1790=IMPORTRANGE(""https://docs.google.com/spreadsheets/d/1qpEmbGH0JjaJbUdp21-y2cPbobDbMjr09BbtdKROZWc/edit#gid=1444865654"",""articles_with_PRISMA_reasons!B2:B2113""))&lt;2),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$A1790=IMPORTRANGE(""https://docs.google.com/spreadsheets/d/1qpEmbGH0JjaJbUdp21-y2cPbobDbMjr09Bbtd"&amp;"KROZWc/edit#gid=1444865654"",""articles_with_PRISMA_reasons!B2:B2113""))&lt;2,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$A1790=I"&amp;"MPORTRANGE(""https://docs.google.com/spreadsheets/d/1qpEmbGH0JjaJbUdp21-y2cPbobDbMjr09BbtdKROZWc/edit#gid=1444865654"",""articles_with_PRISMA_reasons!B2:B2113""))&gt;=2),
""Exclude""
)"),"Exclude")</f>
        <v>Exclude</v>
      </c>
      <c r="F1790" s="5" t="str">
        <f>IFERROR(__xludf.DUMMYFUNCTION("IFS(
E1790=""Exclude"",""Exclude"",
AND(
COUNTIF(
IMPORTRANGE(""https://docs.google.com/spreadsheets/d/1kGrh75X1cNR1D7_FcY9zMnHP8iPO4M5RCRjy6nZY0TY/edit#gid=0"",""Table 1: Study characteristics!B4:B171""),A1790)&gt;0,
COUNTIF(Studies!$A$2:$A$85,FILTER(IMPORT"&amp;"RANGE(""https://docs.google.com/spreadsheets/d/1kGrh75X1cNR1D7_FcY9zMnHP8iPO4M5RCRjy6nZY0TY/edit#gid=0"",""Table 1: Study characteristics!A4:A171""), $A1790=IMPORTRANGE(""https://docs.google.com/spreadsheets/d/1kGrh75X1cNR1D7_FcY9zMnHP8iPO4M5RCRjy6nZY0TY/"&amp;"edit#gid=0"",""Table 1: Study characteristics!B4:B171"")))&gt;0
),
""Include""
)"),"Exclude")</f>
        <v>Exclude</v>
      </c>
      <c r="G1790" s="5" t="str">
        <f>IFERROR(__xludf.DUMMYFUNCTION("IFS(
D1790=""Exclude"",
FILTER(IMPORTRANGE(""https://docs.google.com/spreadsheets/d/1BJSV3WBYJGRhQ6zExamkszQ5VutGIcaQqmbD9ZTVXMQ/edit#gid=1251630045"",""articles_with_PRISMA_reasons!AB2:AB2113""), $A1790=IMPORTRANGE(""https://docs.google.com/spreadsheets/"&amp;"d/1BJSV3WBYJGRhQ6zExamkszQ5VutGIcaQqmbD9ZTVXMQ/edit#gid=1251630045"",""articles_with_PRISMA_reasons!B2:B2113"")),
E1790=""Exclude"",
FILTER(IMPORTRANGE(""https://docs.google.com/spreadsheets/d/1qpEmbGH0JjaJbUdp21-y2cPbobDbMjr09BbtdKROZWc/edit#gid=14448656"&amp;"54"",""articles_with_PRISMA_reasons!Z2:Z2113""), $A1790=IMPORTRANGE(""https://docs.google.com/spreadsheets/d/1qpEmbGH0JjaJbUdp21-y2cPbobDbMjr09BbtdKROZWc/edit#gid=1444865654"",""articles_with_PRISMA_reasons!B2:B2113"")),F1790
=""Include"",FILTER(IMPORTRAN"&amp;"GE(""https://docs.google.com/spreadsheets/d/1kGrh75X1cNR1D7_FcY9zMnHP8iPO4M5RCRjy6nZY0TY/edit#gid=0"",""Table 1: Study characteristics!A4:A171""), $A1790=IMPORTRANGE(""https://docs.google.com/spreadsheets/d/1kGrh75X1cNR1D7_FcY9zMnHP8iPO4M5RCRjy6nZY0TY/edi"&amp;"t#gid=0"",""Table 1: Study characteristics!B4:B171""))
)"),"wrong population")</f>
        <v>wrong population</v>
      </c>
    </row>
    <row r="1791">
      <c r="A1791" s="4" t="str">
        <f>IFERROR(__xludf.DUMMYFUNCTION("""COMPUTED_VALUE"""),"Supratentorial abnormalities in the Chiari II malformation, I: The ventricular ""point""")</f>
        <v>Supratentorial abnormalities in the Chiari II malformation, I: The ventricular "point"</v>
      </c>
      <c r="B1791" s="5" t="str">
        <f>IFERROR(__xludf.DUMMYFUNCTION("LEFT(FILTER(IMPORTRANGE(""https://docs.google.com/spreadsheets/d/1BJSV3WBYJGRhQ6zExamkszQ5VutGIcaQqmbD9ZTVXMQ/edit#gid=1251630045"",""articles_with_PRISMA_reasons!K2:K2113""), $A1791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$A1791=IMPORTRANGE(""https://docs.google.com/spreadsheets/d/1BJSV3WBYJGRhQ6zExamkszQ5VutGIcaQqmbD9ZTVXMQ/edit#gid=1251630045"",""articles_with_PRISMA_reasons!B2:B2113"")))-1)"),"Callen")</f>
        <v>Callen</v>
      </c>
      <c r="C1791" s="6">
        <f>IFERROR(__xludf.DUMMYFUNCTION("FILTER(IMPORTRANGE(""https://docs.google.com/spreadsheets/d/1BJSV3WBYJGRhQ6zExamkszQ5VutGIcaQqmbD9ZTVXMQ/edit#gid=1251630045"",""articles_with_PRISMA_reasons!C2:C2113""), $A1791=IMPORTRANGE(""https://docs.google.com/spreadsheets/d/1BJSV3WBYJGRhQ6zExamkszQ"&amp;"5VutGIcaQqmbD9ZTVXMQ/edit#gid=1251630045"",""articles_with_PRISMA_reasons!B2:B2113""))"),2008.0)</f>
        <v>2008</v>
      </c>
      <c r="D1791" s="5" t="str">
        <f>IFERROR(__xludf.DUMMYFUNCTION("IFS(AND(
FILTER(IMPORTRANGE(""https://docs.google.com/spreadsheets/d/1BJSV3WBYJGRhQ6zExamkszQ5VutGIcaQqmbD9ZTVXMQ/edit#gid=1251630045"",""articles_with_PRISMA_reasons!Y2:Y2113""), $A1791=IMPORTRANGE(""https://docs.google.com/spreadsheets/d/1BJSV3WBYJGRhQ6"&amp;"zExamkszQ5VutGIcaQqmbD9ZTVXMQ/edit#gid=1251630045"",""articles_with_PRISMA_reasons!B2:B2113""))&gt;=2,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$A1791=IMPORTRANGE(""https://docs.google.com/spreadsheets/d/1BJSV3WBYJGRhQ6zExamkszQ5VutGIcaQqmbD9ZTVXMQ/edit#gid=1251630045"",""articles_with_PRISMA_reasons!B2:B2113""))&lt;2),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$A1791=IMPORTRANGE(""https://docs.google.com/spreadsheets/d/1BJSV3WBYJGRhQ6zExamkszQ5VutGIcaQqmbD9ZTVXMQ/edit#gid=1251630045"",""a"&amp;"rticles_with_PRISMA_reasons!B2:B2113""))&lt;2,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$A1791=IMPORTRANGE(""https://docs.google"&amp;".com/spreadsheets/d/1BJSV3WBYJGRhQ6zExamkszQ5VutGIcaQqmbD9ZTVXMQ/edit#gid=1251630045"",""articles_with_PRISMA_reasons!B2:B2113""))&gt;=2),
""Exclude""
)"),"Exclude")</f>
        <v>Exclude</v>
      </c>
      <c r="E1791" s="5" t="str">
        <f>IFERROR(__xludf.DUMMYFUNCTION("IFS(
D1791=""Exclude"",""Exclude"",
AND(
FILTER(IMPORTRANGE(""https://docs.google.com/spreadsheets/d/1qpEmbGH0JjaJbUdp21-y2cPbobDbMjr09BbtdKROZWc/edit#gid=1444865654"",""articles_with_PRISMA_reasons!W2:W2113""), $A1791=IMPORTRANGE(""https://docs.google.co"&amp;"m/spreadsheets/d/1qpEmbGH0JjaJbUdp21-y2cPbobDbMjr09BbtdKROZWc/edit#gid=1444865654"",""articles_with_PRISMA_reasons!B2:B2113""))&gt;=2,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$A1791=IMPORTRANGE(""https://docs.google.com/spreadsheets/d/1qpEmbGH0JjaJbUdp21-y2cPbobDbMjr09BbtdKROZWc/edit#gid=1444865654"",""articles_with_PRISMA_reasons!B2:B2113""))&lt;2),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$A1791=IMPORTRANGE(""https://docs.google.com/spreadsheets/d/1qpEmbGH0JjaJbUdp21-y2cPbobDbMjr09Bbtd"&amp;"KROZWc/edit#gid=1444865654"",""articles_with_PRISMA_reasons!B2:B2113""))&lt;2,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$A1791=I"&amp;"MPORTRANGE(""https://docs.google.com/spreadsheets/d/1qpEmbGH0JjaJbUdp21-y2cPbobDbMjr09BbtdKROZWc/edit#gid=1444865654"",""articles_with_PRISMA_reasons!B2:B2113""))&gt;=2),
""Exclude""
)"),"Exclude")</f>
        <v>Exclude</v>
      </c>
      <c r="F1791" s="5" t="str">
        <f>IFERROR(__xludf.DUMMYFUNCTION("IFS(
E1791=""Exclude"",""Exclude"",
AND(
COUNTIF(
IMPORTRANGE(""https://docs.google.com/spreadsheets/d/1kGrh75X1cNR1D7_FcY9zMnHP8iPO4M5RCRjy6nZY0TY/edit#gid=0"",""Table 1: Study characteristics!B4:B171""),A1791)&gt;0,
COUNTIF(Studies!$A$2:$A$85,FILTER(IMPORT"&amp;"RANGE(""https://docs.google.com/spreadsheets/d/1kGrh75X1cNR1D7_FcY9zMnHP8iPO4M5RCRjy6nZY0TY/edit#gid=0"",""Table 1: Study characteristics!A4:A171""), $A1791=IMPORTRANGE(""https://docs.google.com/spreadsheets/d/1kGrh75X1cNR1D7_FcY9zMnHP8iPO4M5RCRjy6nZY0TY/"&amp;"edit#gid=0"",""Table 1: Study characteristics!B4:B171"")))&gt;0
),
""Include""
)"),"Exclude")</f>
        <v>Exclude</v>
      </c>
      <c r="G1791" s="5" t="str">
        <f>IFERROR(__xludf.DUMMYFUNCTION("IFS(
D1791=""Exclude"",
FILTER(IMPORTRANGE(""https://docs.google.com/spreadsheets/d/1BJSV3WBYJGRhQ6zExamkszQ5VutGIcaQqmbD9ZTVXMQ/edit#gid=1251630045"",""articles_with_PRISMA_reasons!AB2:AB2113""), $A1791=IMPORTRANGE(""https://docs.google.com/spreadsheets/"&amp;"d/1BJSV3WBYJGRhQ6zExamkszQ5VutGIcaQqmbD9ZTVXMQ/edit#gid=1251630045"",""articles_with_PRISMA_reasons!B2:B2113"")),
E1791=""Exclude"",
FILTER(IMPORTRANGE(""https://docs.google.com/spreadsheets/d/1qpEmbGH0JjaJbUdp21-y2cPbobDbMjr09BbtdKROZWc/edit#gid=14448656"&amp;"54"",""articles_with_PRISMA_reasons!Z2:Z2113""), $A1791=IMPORTRANGE(""https://docs.google.com/spreadsheets/d/1qpEmbGH0JjaJbUdp21-y2cPbobDbMjr09BbtdKROZWc/edit#gid=1444865654"",""articles_with_PRISMA_reasons!B2:B2113"")),F1791
=""Include"",FILTER(IMPORTRAN"&amp;"GE(""https://docs.google.com/spreadsheets/d/1kGrh75X1cNR1D7_FcY9zMnHP8iPO4M5RCRjy6nZY0TY/edit#gid=0"",""Table 1: Study characteristics!A4:A171""), $A1791=IMPORTRANGE(""https://docs.google.com/spreadsheets/d/1kGrh75X1cNR1D7_FcY9zMnHP8iPO4M5RCRjy6nZY0TY/edi"&amp;"t#gid=0"",""Table 1: Study characteristics!B4:B171""))
)"),"wrong population")</f>
        <v>wrong population</v>
      </c>
    </row>
    <row r="1792">
      <c r="A1792" s="4" t="str">
        <f>IFERROR(__xludf.DUMMYFUNCTION("""COMPUTED_VALUE"""),"Supratentorial abnormalities in the Chiari II malformation, III: The interhemispheric cyst")</f>
        <v>Supratentorial abnormalities in the Chiari II malformation, III: The interhemispheric cyst</v>
      </c>
      <c r="B1792" s="5" t="str">
        <f>IFERROR(__xludf.DUMMYFUNCTION("LEFT(FILTER(IMPORTRANGE(""https://docs.google.com/spreadsheets/d/1BJSV3WBYJGRhQ6zExamkszQ5VutGIcaQqmbD9ZTVXMQ/edit#gid=1251630045"",""articles_with_PRISMA_reasons!K2:K2113""), $A1792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$A1792=IMPORTRANGE(""https://docs.google.com/spreadsheets/d/1BJSV3WBYJGRhQ6zExamkszQ5VutGIcaQqmbD9ZTVXMQ/edit#gid=1251630045"",""articles_with_PRISMA_reasons!B2:B2113"")))-1)"),"Wong")</f>
        <v>Wong</v>
      </c>
      <c r="C1792" s="6">
        <f>IFERROR(__xludf.DUMMYFUNCTION("FILTER(IMPORTRANGE(""https://docs.google.com/spreadsheets/d/1BJSV3WBYJGRhQ6zExamkszQ5VutGIcaQqmbD9ZTVXMQ/edit#gid=1251630045"",""articles_with_PRISMA_reasons!C2:C2113""), $A1792=IMPORTRANGE(""https://docs.google.com/spreadsheets/d/1BJSV3WBYJGRhQ6zExamkszQ"&amp;"5VutGIcaQqmbD9ZTVXMQ/edit#gid=1251630045"",""articles_with_PRISMA_reasons!B2:B2113""))"),2009.0)</f>
        <v>2009</v>
      </c>
      <c r="D1792" s="5" t="str">
        <f>IFERROR(__xludf.DUMMYFUNCTION("IFS(AND(
FILTER(IMPORTRANGE(""https://docs.google.com/spreadsheets/d/1BJSV3WBYJGRhQ6zExamkszQ5VutGIcaQqmbD9ZTVXMQ/edit#gid=1251630045"",""articles_with_PRISMA_reasons!Y2:Y2113""), $A1792=IMPORTRANGE(""https://docs.google.com/spreadsheets/d/1BJSV3WBYJGRhQ6"&amp;"zExamkszQ5VutGIcaQqmbD9ZTVXMQ/edit#gid=1251630045"",""articles_with_PRISMA_reasons!B2:B2113""))&gt;=2,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$A1792=IMPORTRANGE(""https://docs.google.com/spreadsheets/d/1BJSV3WBYJGRhQ6zExamkszQ5VutGIcaQqmbD9ZTVXMQ/edit#gid=1251630045"",""articles_with_PRISMA_reasons!B2:B2113""))&lt;2),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$A1792=IMPORTRANGE(""https://docs.google.com/spreadsheets/d/1BJSV3WBYJGRhQ6zExamkszQ5VutGIcaQqmbD9ZTVXMQ/edit#gid=1251630045"",""a"&amp;"rticles_with_PRISMA_reasons!B2:B2113""))&lt;2,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$A1792=IMPORTRANGE(""https://docs.google"&amp;".com/spreadsheets/d/1BJSV3WBYJGRhQ6zExamkszQ5VutGIcaQqmbD9ZTVXMQ/edit#gid=1251630045"",""articles_with_PRISMA_reasons!B2:B2113""))&gt;=2),
""Exclude""
)"),"Exclude")</f>
        <v>Exclude</v>
      </c>
      <c r="E1792" s="5" t="str">
        <f>IFERROR(__xludf.DUMMYFUNCTION("IFS(
D1792=""Exclude"",""Exclude"",
AND(
FILTER(IMPORTRANGE(""https://docs.google.com/spreadsheets/d/1qpEmbGH0JjaJbUdp21-y2cPbobDbMjr09BbtdKROZWc/edit#gid=1444865654"",""articles_with_PRISMA_reasons!W2:W2113""), $A1792=IMPORTRANGE(""https://docs.google.co"&amp;"m/spreadsheets/d/1qpEmbGH0JjaJbUdp21-y2cPbobDbMjr09BbtdKROZWc/edit#gid=1444865654"",""articles_with_PRISMA_reasons!B2:B2113""))&gt;=2,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$A1792=IMPORTRANGE(""https://docs.google.com/spreadsheets/d/1qpEmbGH0JjaJbUdp21-y2cPbobDbMjr09BbtdKROZWc/edit#gid=1444865654"",""articles_with_PRISMA_reasons!B2:B2113""))&lt;2),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$A1792=IMPORTRANGE(""https://docs.google.com/spreadsheets/d/1qpEmbGH0JjaJbUdp21-y2cPbobDbMjr09Bbtd"&amp;"KROZWc/edit#gid=1444865654"",""articles_with_PRISMA_reasons!B2:B2113""))&lt;2,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$A1792=I"&amp;"MPORTRANGE(""https://docs.google.com/spreadsheets/d/1qpEmbGH0JjaJbUdp21-y2cPbobDbMjr09BbtdKROZWc/edit#gid=1444865654"",""articles_with_PRISMA_reasons!B2:B2113""))&gt;=2),
""Exclude""
)"),"Exclude")</f>
        <v>Exclude</v>
      </c>
      <c r="F1792" s="5" t="str">
        <f>IFERROR(__xludf.DUMMYFUNCTION("IFS(
E1792=""Exclude"",""Exclude"",
AND(
COUNTIF(
IMPORTRANGE(""https://docs.google.com/spreadsheets/d/1kGrh75X1cNR1D7_FcY9zMnHP8iPO4M5RCRjy6nZY0TY/edit#gid=0"",""Table 1: Study characteristics!B4:B171""),A1792)&gt;0,
COUNTIF(Studies!$A$2:$A$85,FILTER(IMPORT"&amp;"RANGE(""https://docs.google.com/spreadsheets/d/1kGrh75X1cNR1D7_FcY9zMnHP8iPO4M5RCRjy6nZY0TY/edit#gid=0"",""Table 1: Study characteristics!A4:A171""), $A1792=IMPORTRANGE(""https://docs.google.com/spreadsheets/d/1kGrh75X1cNR1D7_FcY9zMnHP8iPO4M5RCRjy6nZY0TY/"&amp;"edit#gid=0"",""Table 1: Study characteristics!B4:B171"")))&gt;0
),
""Include""
)"),"Exclude")</f>
        <v>Exclude</v>
      </c>
      <c r="G1792" s="5" t="str">
        <f>IFERROR(__xludf.DUMMYFUNCTION("IFS(
D1792=""Exclude"",
FILTER(IMPORTRANGE(""https://docs.google.com/spreadsheets/d/1BJSV3WBYJGRhQ6zExamkszQ5VutGIcaQqmbD9ZTVXMQ/edit#gid=1251630045"",""articles_with_PRISMA_reasons!AB2:AB2113""), $A1792=IMPORTRANGE(""https://docs.google.com/spreadsheets/"&amp;"d/1BJSV3WBYJGRhQ6zExamkszQ5VutGIcaQqmbD9ZTVXMQ/edit#gid=1251630045"",""articles_with_PRISMA_reasons!B2:B2113"")),
E1792=""Exclude"",
FILTER(IMPORTRANGE(""https://docs.google.com/spreadsheets/d/1qpEmbGH0JjaJbUdp21-y2cPbobDbMjr09BbtdKROZWc/edit#gid=14448656"&amp;"54"",""articles_with_PRISMA_reasons!Z2:Z2113""), $A1792=IMPORTRANGE(""https://docs.google.com/spreadsheets/d/1qpEmbGH0JjaJbUdp21-y2cPbobDbMjr09BbtdKROZWc/edit#gid=1444865654"",""articles_with_PRISMA_reasons!B2:B2113"")),F1792
=""Include"",FILTER(IMPORTRAN"&amp;"GE(""https://docs.google.com/spreadsheets/d/1kGrh75X1cNR1D7_FcY9zMnHP8iPO4M5RCRjy6nZY0TY/edit#gid=0"",""Table 1: Study characteristics!A4:A171""), $A1792=IMPORTRANGE(""https://docs.google.com/spreadsheets/d/1kGrh75X1cNR1D7_FcY9zMnHP8iPO4M5RCRjy6nZY0TY/edi"&amp;"t#gid=0"",""Table 1: Study characteristics!B4:B171""))
)"),"wrong population")</f>
        <v>wrong population</v>
      </c>
    </row>
    <row r="1793">
      <c r="A1793" s="4" t="str">
        <f>IFERROR(__xludf.DUMMYFUNCTION("""COMPUTED_VALUE"""),"Surgery of lumbar myelomeningocele in Mali")</f>
        <v>Surgery of lumbar myelomeningocele in Mali</v>
      </c>
      <c r="B1793" s="5" t="str">
        <f>IFERROR(__xludf.DUMMYFUNCTION("LEFT(FILTER(IMPORTRANGE(""https://docs.google.com/spreadsheets/d/1BJSV3WBYJGRhQ6zExamkszQ5VutGIcaQqmbD9ZTVXMQ/edit#gid=1251630045"",""articles_with_PRISMA_reasons!K2:K2113""), $A1793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$A1793=IMPORTRANGE(""https://docs.google.com/spreadsheets/d/1BJSV3WBYJGRhQ6zExamkszQ5VutGIcaQqmbD9ZTVXMQ/edit#gid=1251630045"",""articles_with_PRISMA_reasons!B2:B2113"")))-1)"),"Ariel Valera")</f>
        <v>Ariel Valera</v>
      </c>
      <c r="C1793" s="6">
        <f>IFERROR(__xludf.DUMMYFUNCTION("FILTER(IMPORTRANGE(""https://docs.google.com/spreadsheets/d/1BJSV3WBYJGRhQ6zExamkszQ5VutGIcaQqmbD9ZTVXMQ/edit#gid=1251630045"",""articles_with_PRISMA_reasons!C2:C2113""), $A1793=IMPORTRANGE(""https://docs.google.com/spreadsheets/d/1BJSV3WBYJGRhQ6zExamkszQ"&amp;"5VutGIcaQqmbD9ZTVXMQ/edit#gid=1251630045"",""articles_with_PRISMA_reasons!B2:B2113""))"),2006.0)</f>
        <v>2006</v>
      </c>
      <c r="D1793" s="5" t="str">
        <f>IFERROR(__xludf.DUMMYFUNCTION("IFS(AND(
FILTER(IMPORTRANGE(""https://docs.google.com/spreadsheets/d/1BJSV3WBYJGRhQ6zExamkszQ5VutGIcaQqmbD9ZTVXMQ/edit#gid=1251630045"",""articles_with_PRISMA_reasons!Y2:Y2113""), $A1793=IMPORTRANGE(""https://docs.google.com/spreadsheets/d/1BJSV3WBYJGRhQ6"&amp;"zExamkszQ5VutGIcaQqmbD9ZTVXMQ/edit#gid=1251630045"",""articles_with_PRISMA_reasons!B2:B2113""))&gt;=2,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$A1793=IMPORTRANGE(""https://docs.google.com/spreadsheets/d/1BJSV3WBYJGRhQ6zExamkszQ5VutGIcaQqmbD9ZTVXMQ/edit#gid=1251630045"",""articles_with_PRISMA_reasons!B2:B2113""))&lt;2),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$A1793=IMPORTRANGE(""https://docs.google.com/spreadsheets/d/1BJSV3WBYJGRhQ6zExamkszQ5VutGIcaQqmbD9ZTVXMQ/edit#gid=1251630045"",""a"&amp;"rticles_with_PRISMA_reasons!B2:B2113""))&lt;2,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$A1793=IMPORTRANGE(""https://docs.google"&amp;".com/spreadsheets/d/1BJSV3WBYJGRhQ6zExamkszQ5VutGIcaQqmbD9ZTVXMQ/edit#gid=1251630045"",""articles_with_PRISMA_reasons!B2:B2113""))&gt;=2),
""Exclude""
)"),"Include")</f>
        <v>Include</v>
      </c>
      <c r="E1793" s="5" t="str">
        <f>IFERROR(__xludf.DUMMYFUNCTION("IFS(
D1793=""Exclude"",""Exclude"",
AND(
FILTER(IMPORTRANGE(""https://docs.google.com/spreadsheets/d/1qpEmbGH0JjaJbUdp21-y2cPbobDbMjr09BbtdKROZWc/edit#gid=1444865654"",""articles_with_PRISMA_reasons!W2:W2113""), $A1793=IMPORTRANGE(""https://docs.google.co"&amp;"m/spreadsheets/d/1qpEmbGH0JjaJbUdp21-y2cPbobDbMjr09BbtdKROZWc/edit#gid=1444865654"",""articles_with_PRISMA_reasons!B2:B2113""))&gt;=2,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$A1793=IMPORTRANGE(""https://docs.google.com/spreadsheets/d/1qpEmbGH0JjaJbUdp21-y2cPbobDbMjr09BbtdKROZWc/edit#gid=1444865654"",""articles_with_PRISMA_reasons!B2:B2113""))&lt;2),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$A1793=IMPORTRANGE(""https://docs.google.com/spreadsheets/d/1qpEmbGH0JjaJbUdp21-y2cPbobDbMjr09Bbtd"&amp;"KROZWc/edit#gid=1444865654"",""articles_with_PRISMA_reasons!B2:B2113""))&lt;2,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$A1793=I"&amp;"MPORTRANGE(""https://docs.google.com/spreadsheets/d/1qpEmbGH0JjaJbUdp21-y2cPbobDbMjr09BbtdKROZWc/edit#gid=1444865654"",""articles_with_PRISMA_reasons!B2:B2113""))&gt;=2),
""Exclude""
)"),"Exclude")</f>
        <v>Exclude</v>
      </c>
      <c r="F1793" s="5" t="str">
        <f>IFERROR(__xludf.DUMMYFUNCTION("IFS(
E1793=""Exclude"",""Exclude"",
AND(
COUNTIF(
IMPORTRANGE(""https://docs.google.com/spreadsheets/d/1kGrh75X1cNR1D7_FcY9zMnHP8iPO4M5RCRjy6nZY0TY/edit#gid=0"",""Table 1: Study characteristics!B4:B171""),A1793)&gt;0,
COUNTIF(Studies!$A$2:$A$85,FILTER(IMPORT"&amp;"RANGE(""https://docs.google.com/spreadsheets/d/1kGrh75X1cNR1D7_FcY9zMnHP8iPO4M5RCRjy6nZY0TY/edit#gid=0"",""Table 1: Study characteristics!A4:A171""), $A1793=IMPORTRANGE(""https://docs.google.com/spreadsheets/d/1kGrh75X1cNR1D7_FcY9zMnHP8iPO4M5RCRjy6nZY0TY/"&amp;"edit#gid=0"",""Table 1: Study characteristics!B4:B171"")))&gt;0
),
""Include""
)"),"Exclude")</f>
        <v>Exclude</v>
      </c>
      <c r="G1793" s="5" t="str">
        <f>IFERROR(__xludf.DUMMYFUNCTION("IFS(
D1793=""Exclude"",
FILTER(IMPORTRANGE(""https://docs.google.com/spreadsheets/d/1BJSV3WBYJGRhQ6zExamkszQ5VutGIcaQqmbD9ZTVXMQ/edit#gid=1251630045"",""articles_with_PRISMA_reasons!AB2:AB2113""), $A1793=IMPORTRANGE(""https://docs.google.com/spreadsheets/"&amp;"d/1BJSV3WBYJGRhQ6zExamkszQ5VutGIcaQqmbD9ZTVXMQ/edit#gid=1251630045"",""articles_with_PRISMA_reasons!B2:B2113"")),
E1793=""Exclude"",
FILTER(IMPORTRANGE(""https://docs.google.com/spreadsheets/d/1qpEmbGH0JjaJbUdp21-y2cPbobDbMjr09BbtdKROZWc/edit#gid=14448656"&amp;"54"",""articles_with_PRISMA_reasons!Z2:Z2113""), $A1793=IMPORTRANGE(""https://docs.google.com/spreadsheets/d/1qpEmbGH0JjaJbUdp21-y2cPbobDbMjr09BbtdKROZWc/edit#gid=1444865654"",""articles_with_PRISMA_reasons!B2:B2113"")),F1793
=""Include"",FILTER(IMPORTRAN"&amp;"GE(""https://docs.google.com/spreadsheets/d/1kGrh75X1cNR1D7_FcY9zMnHP8iPO4M5RCRjy6nZY0TY/edit#gid=0"",""Table 1: Study characteristics!A4:A171""), $A1793=IMPORTRANGE(""https://docs.google.com/spreadsheets/d/1kGrh75X1cNR1D7_FcY9zMnHP8iPO4M5RCRjy6nZY0TY/edi"&amp;"t#gid=0"",""Table 1: Study characteristics!B4:B171""))
)"),"text not accessible")</f>
        <v>text not accessible</v>
      </c>
    </row>
    <row r="1794">
      <c r="A1794" s="4" t="str">
        <f>IFERROR(__xludf.DUMMYFUNCTION("""COMPUTED_VALUE"""),"Surgery without assistance in newborns and infants with hydrocephalus and neural tube defects")</f>
        <v>Surgery without assistance in newborns and infants with hydrocephalus and neural tube defects</v>
      </c>
      <c r="B1794" s="5" t="str">
        <f>IFERROR(__xludf.DUMMYFUNCTION("LEFT(FILTER(IMPORTRANGE(""https://docs.google.com/spreadsheets/d/1BJSV3WBYJGRhQ6zExamkszQ5VutGIcaQqmbD9ZTVXMQ/edit#gid=1251630045"",""articles_with_PRISMA_reasons!K2:K2113""), $A1794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$A1794=IMPORTRANGE(""https://docs.google.com/spreadsheets/d/1BJSV3WBYJGRhQ6zExamkszQ5VutGIcaQqmbD9ZTVXMQ/edit#gid=1251630045"",""articles_with_PRISMA_reasons!B2:B2113"")))-1)"),"King'ori")</f>
        <v>King'ori</v>
      </c>
      <c r="C1794" s="6">
        <f>IFERROR(__xludf.DUMMYFUNCTION("FILTER(IMPORTRANGE(""https://docs.google.com/spreadsheets/d/1BJSV3WBYJGRhQ6zExamkszQ5VutGIcaQqmbD9ZTVXMQ/edit#gid=1251630045"",""articles_with_PRISMA_reasons!C2:C2113""), $A1794=IMPORTRANGE(""https://docs.google.com/spreadsheets/d/1BJSV3WBYJGRhQ6zExamkszQ"&amp;"5VutGIcaQqmbD9ZTVXMQ/edit#gid=1251630045"",""articles_with_PRISMA_reasons!B2:B2113""))"),2008.0)</f>
        <v>2008</v>
      </c>
      <c r="D1794" s="5" t="str">
        <f>IFERROR(__xludf.DUMMYFUNCTION("IFS(AND(
FILTER(IMPORTRANGE(""https://docs.google.com/spreadsheets/d/1BJSV3WBYJGRhQ6zExamkszQ5VutGIcaQqmbD9ZTVXMQ/edit#gid=1251630045"",""articles_with_PRISMA_reasons!Y2:Y2113""), $A1794=IMPORTRANGE(""https://docs.google.com/spreadsheets/d/1BJSV3WBYJGRhQ6"&amp;"zExamkszQ5VutGIcaQqmbD9ZTVXMQ/edit#gid=1251630045"",""articles_with_PRISMA_reasons!B2:B2113""))&gt;=2,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$A1794=IMPORTRANGE(""https://docs.google.com/spreadsheets/d/1BJSV3WBYJGRhQ6zExamkszQ5VutGIcaQqmbD9ZTVXMQ/edit#gid=1251630045"",""articles_with_PRISMA_reasons!B2:B2113""))&lt;2),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$A1794=IMPORTRANGE(""https://docs.google.com/spreadsheets/d/1BJSV3WBYJGRhQ6zExamkszQ5VutGIcaQqmbD9ZTVXMQ/edit#gid=1251630045"",""a"&amp;"rticles_with_PRISMA_reasons!B2:B2113""))&lt;2,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$A1794=IMPORTRANGE(""https://docs.google"&amp;".com/spreadsheets/d/1BJSV3WBYJGRhQ6zExamkszQ5VutGIcaQqmbD9ZTVXMQ/edit#gid=1251630045"",""articles_with_PRISMA_reasons!B2:B2113""))&gt;=2),
""Exclude""
)"),"Include")</f>
        <v>Include</v>
      </c>
      <c r="E1794" s="5" t="str">
        <f>IFERROR(__xludf.DUMMYFUNCTION("IFS(
D1794=""Exclude"",""Exclude"",
AND(
FILTER(IMPORTRANGE(""https://docs.google.com/spreadsheets/d/1qpEmbGH0JjaJbUdp21-y2cPbobDbMjr09BbtdKROZWc/edit#gid=1444865654"",""articles_with_PRISMA_reasons!W2:W2113""), $A1794=IMPORTRANGE(""https://docs.google.co"&amp;"m/spreadsheets/d/1qpEmbGH0JjaJbUdp21-y2cPbobDbMjr09BbtdKROZWc/edit#gid=1444865654"",""articles_with_PRISMA_reasons!B2:B2113""))&gt;=2,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$A1794=IMPORTRANGE(""https://docs.google.com/spreadsheets/d/1qpEmbGH0JjaJbUdp21-y2cPbobDbMjr09BbtdKROZWc/edit#gid=1444865654"",""articles_with_PRISMA_reasons!B2:B2113""))&lt;2),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$A1794=IMPORTRANGE(""https://docs.google.com/spreadsheets/d/1qpEmbGH0JjaJbUdp21-y2cPbobDbMjr09Bbtd"&amp;"KROZWc/edit#gid=1444865654"",""articles_with_PRISMA_reasons!B2:B2113""))&lt;2,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$A1794=I"&amp;"MPORTRANGE(""https://docs.google.com/spreadsheets/d/1qpEmbGH0JjaJbUdp21-y2cPbobDbMjr09BbtdKROZWc/edit#gid=1444865654"",""articles_with_PRISMA_reasons!B2:B2113""))&gt;=2),
""Exclude""
)"),"Include")</f>
        <v>Include</v>
      </c>
      <c r="F1794" s="2" t="s">
        <v>8</v>
      </c>
      <c r="G1794" s="2" t="s">
        <v>17</v>
      </c>
    </row>
    <row r="1795">
      <c r="A1795" s="4" t="str">
        <f>IFERROR(__xludf.DUMMYFUNCTION("""COMPUTED_VALUE"""),"Surgical application of the keystone island flap for closure of thoracolumbar myelomeningocele defects - A case report")</f>
        <v>Surgical application of the keystone island flap for closure of thoracolumbar myelomeningocele defects - A case report</v>
      </c>
      <c r="B1795" s="5" t="str">
        <f>IFERROR(__xludf.DUMMYFUNCTION("LEFT(FILTER(IMPORTRANGE(""https://docs.google.com/spreadsheets/d/1BJSV3WBYJGRhQ6zExamkszQ5VutGIcaQqmbD9ZTVXMQ/edit#gid=1251630045"",""articles_with_PRISMA_reasons!K2:K2113""), $A1795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$A1795=IMPORTRANGE(""https://docs.google.com/spreadsheets/d/1BJSV3WBYJGRhQ6zExamkszQ5VutGIcaQqmbD9ZTVXMQ/edit#gid=1251630045"",""articles_with_PRISMA_reasons!B2:B2113"")))-1)"),"Mrad")</f>
        <v>Mrad</v>
      </c>
      <c r="C1795" s="6">
        <f>IFERROR(__xludf.DUMMYFUNCTION("FILTER(IMPORTRANGE(""https://docs.google.com/spreadsheets/d/1BJSV3WBYJGRhQ6zExamkszQ5VutGIcaQqmbD9ZTVXMQ/edit#gid=1251630045"",""articles_with_PRISMA_reasons!C2:C2113""), $A1795=IMPORTRANGE(""https://docs.google.com/spreadsheets/d/1BJSV3WBYJGRhQ6zExamkszQ"&amp;"5VutGIcaQqmbD9ZTVXMQ/edit#gid=1251630045"",""articles_with_PRISMA_reasons!B2:B2113""))"),2020.0)</f>
        <v>2020</v>
      </c>
      <c r="D1795" s="5" t="str">
        <f>IFERROR(__xludf.DUMMYFUNCTION("IFS(AND(
FILTER(IMPORTRANGE(""https://docs.google.com/spreadsheets/d/1BJSV3WBYJGRhQ6zExamkszQ5VutGIcaQqmbD9ZTVXMQ/edit#gid=1251630045"",""articles_with_PRISMA_reasons!Y2:Y2113""), $A1795=IMPORTRANGE(""https://docs.google.com/spreadsheets/d/1BJSV3WBYJGRhQ6"&amp;"zExamkszQ5VutGIcaQqmbD9ZTVXMQ/edit#gid=1251630045"",""articles_with_PRISMA_reasons!B2:B2113""))&gt;=2,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$A1795=IMPORTRANGE(""https://docs.google.com/spreadsheets/d/1BJSV3WBYJGRhQ6zExamkszQ5VutGIcaQqmbD9ZTVXMQ/edit#gid=1251630045"",""articles_with_PRISMA_reasons!B2:B2113""))&lt;2),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$A1795=IMPORTRANGE(""https://docs.google.com/spreadsheets/d/1BJSV3WBYJGRhQ6zExamkszQ5VutGIcaQqmbD9ZTVXMQ/edit#gid=1251630045"",""a"&amp;"rticles_with_PRISMA_reasons!B2:B2113""))&lt;2,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$A1795=IMPORTRANGE(""https://docs.google"&amp;".com/spreadsheets/d/1BJSV3WBYJGRhQ6zExamkszQ5VutGIcaQqmbD9ZTVXMQ/edit#gid=1251630045"",""articles_with_PRISMA_reasons!B2:B2113""))&gt;=2),
""Exclude""
)"),"Exclude")</f>
        <v>Exclude</v>
      </c>
      <c r="E1795" s="5" t="str">
        <f>IFERROR(__xludf.DUMMYFUNCTION("IFS(
D1795=""Exclude"",""Exclude"",
AND(
FILTER(IMPORTRANGE(""https://docs.google.com/spreadsheets/d/1qpEmbGH0JjaJbUdp21-y2cPbobDbMjr09BbtdKROZWc/edit#gid=1444865654"",""articles_with_PRISMA_reasons!W2:W2113""), $A1795=IMPORTRANGE(""https://docs.google.co"&amp;"m/spreadsheets/d/1qpEmbGH0JjaJbUdp21-y2cPbobDbMjr09BbtdKROZWc/edit#gid=1444865654"",""articles_with_PRISMA_reasons!B2:B2113""))&gt;=2,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$A1795=IMPORTRANGE(""https://docs.google.com/spreadsheets/d/1qpEmbGH0JjaJbUdp21-y2cPbobDbMjr09BbtdKROZWc/edit#gid=1444865654"",""articles_with_PRISMA_reasons!B2:B2113""))&lt;2),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$A1795=IMPORTRANGE(""https://docs.google.com/spreadsheets/d/1qpEmbGH0JjaJbUdp21-y2cPbobDbMjr09Bbtd"&amp;"KROZWc/edit#gid=1444865654"",""articles_with_PRISMA_reasons!B2:B2113""))&lt;2,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$A1795=I"&amp;"MPORTRANGE(""https://docs.google.com/spreadsheets/d/1qpEmbGH0JjaJbUdp21-y2cPbobDbMjr09BbtdKROZWc/edit#gid=1444865654"",""articles_with_PRISMA_reasons!B2:B2113""))&gt;=2),
""Exclude""
)"),"Exclude")</f>
        <v>Exclude</v>
      </c>
      <c r="F1795" s="5" t="str">
        <f>IFERROR(__xludf.DUMMYFUNCTION("IFS(
E1795=""Exclude"",""Exclude"",
AND(
COUNTIF(
IMPORTRANGE(""https://docs.google.com/spreadsheets/d/1kGrh75X1cNR1D7_FcY9zMnHP8iPO4M5RCRjy6nZY0TY/edit#gid=0"",""Table 1: Study characteristics!B4:B171""),A1795)&gt;0,
COUNTIF(Studies!$A$2:$A$85,FILTER(IMPORT"&amp;"RANGE(""https://docs.google.com/spreadsheets/d/1kGrh75X1cNR1D7_FcY9zMnHP8iPO4M5RCRjy6nZY0TY/edit#gid=0"",""Table 1: Study characteristics!A4:A171""), $A1795=IMPORTRANGE(""https://docs.google.com/spreadsheets/d/1kGrh75X1cNR1D7_FcY9zMnHP8iPO4M5RCRjy6nZY0TY/"&amp;"edit#gid=0"",""Table 1: Study characteristics!B4:B171"")))&gt;0
),
""Include""
)"),"Exclude")</f>
        <v>Exclude</v>
      </c>
      <c r="G1795" s="5" t="str">
        <f>IFERROR(__xludf.DUMMYFUNCTION("IFS(
D1795=""Exclude"",
FILTER(IMPORTRANGE(""https://docs.google.com/spreadsheets/d/1BJSV3WBYJGRhQ6zExamkszQ5VutGIcaQqmbD9ZTVXMQ/edit#gid=1251630045"",""articles_with_PRISMA_reasons!AB2:AB2113""), $A1795=IMPORTRANGE(""https://docs.google.com/spreadsheets/"&amp;"d/1BJSV3WBYJGRhQ6zExamkszQ5VutGIcaQqmbD9ZTVXMQ/edit#gid=1251630045"",""articles_with_PRISMA_reasons!B2:B2113"")),
E1795=""Exclude"",
FILTER(IMPORTRANGE(""https://docs.google.com/spreadsheets/d/1qpEmbGH0JjaJbUdp21-y2cPbobDbMjr09BbtdKROZWc/edit#gid=14448656"&amp;"54"",""articles_with_PRISMA_reasons!Z2:Z2113""), $A1795=IMPORTRANGE(""https://docs.google.com/spreadsheets/d/1qpEmbGH0JjaJbUdp21-y2cPbobDbMjr09BbtdKROZWc/edit#gid=1444865654"",""articles_with_PRISMA_reasons!B2:B2113"")),F1795
=""Include"",FILTER(IMPORTRAN"&amp;"GE(""https://docs.google.com/spreadsheets/d/1kGrh75X1cNR1D7_FcY9zMnHP8iPO4M5RCRjy6nZY0TY/edit#gid=0"",""Table 1: Study characteristics!A4:A171""), $A1795=IMPORTRANGE(""https://docs.google.com/spreadsheets/d/1kGrh75X1cNR1D7_FcY9zMnHP8iPO4M5RCRjy6nZY0TY/edi"&amp;"t#gid=0"",""Table 1: Study characteristics!B4:B171""))
)"),"wrong publication type")</f>
        <v>wrong publication type</v>
      </c>
    </row>
    <row r="1796">
      <c r="A1796" s="4" t="str">
        <f>IFERROR(__xludf.DUMMYFUNCTION("""COMPUTED_VALUE"""),"Surgical decompression without dural opening for symptomatic Chiari type II malformation in young infants")</f>
        <v>Surgical decompression without dural opening for symptomatic Chiari type II malformation in young infants</v>
      </c>
      <c r="B1796" s="5" t="str">
        <f>IFERROR(__xludf.DUMMYFUNCTION("LEFT(FILTER(IMPORTRANGE(""https://docs.google.com/spreadsheets/d/1BJSV3WBYJGRhQ6zExamkszQ5VutGIcaQqmbD9ZTVXMQ/edit#gid=1251630045"",""articles_with_PRISMA_reasons!K2:K2113""), $A1796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$A1796=IMPORTRANGE(""https://docs.google.com/spreadsheets/d/1BJSV3WBYJGRhQ6zExamkszQ5VutGIcaQqmbD9ZTVXMQ/edit#gid=1251630045"",""articles_with_PRISMA_reasons!B2:B2113"")))-1)"),"Ogiwara")</f>
        <v>Ogiwara</v>
      </c>
      <c r="C1796" s="6">
        <f>IFERROR(__xludf.DUMMYFUNCTION("FILTER(IMPORTRANGE(""https://docs.google.com/spreadsheets/d/1BJSV3WBYJGRhQ6zExamkszQ5VutGIcaQqmbD9ZTVXMQ/edit#gid=1251630045"",""articles_with_PRISMA_reasons!C2:C2113""), $A1796=IMPORTRANGE(""https://docs.google.com/spreadsheets/d/1BJSV3WBYJGRhQ6zExamkszQ"&amp;"5VutGIcaQqmbD9ZTVXMQ/edit#gid=1251630045"",""articles_with_PRISMA_reasons!B2:B2113""))"),2013.0)</f>
        <v>2013</v>
      </c>
      <c r="D1796" s="5" t="str">
        <f>IFERROR(__xludf.DUMMYFUNCTION("IFS(AND(
FILTER(IMPORTRANGE(""https://docs.google.com/spreadsheets/d/1BJSV3WBYJGRhQ6zExamkszQ5VutGIcaQqmbD9ZTVXMQ/edit#gid=1251630045"",""articles_with_PRISMA_reasons!Y2:Y2113""), $A1796=IMPORTRANGE(""https://docs.google.com/spreadsheets/d/1BJSV3WBYJGRhQ6"&amp;"zExamkszQ5VutGIcaQqmbD9ZTVXMQ/edit#gid=1251630045"",""articles_with_PRISMA_reasons!B2:B2113""))&gt;=2,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$A1796=IMPORTRANGE(""https://docs.google.com/spreadsheets/d/1BJSV3WBYJGRhQ6zExamkszQ5VutGIcaQqmbD9ZTVXMQ/edit#gid=1251630045"",""articles_with_PRISMA_reasons!B2:B2113""))&lt;2),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$A1796=IMPORTRANGE(""https://docs.google.com/spreadsheets/d/1BJSV3WBYJGRhQ6zExamkszQ5VutGIcaQqmbD9ZTVXMQ/edit#gid=1251630045"",""a"&amp;"rticles_with_PRISMA_reasons!B2:B2113""))&lt;2,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$A1796=IMPORTRANGE(""https://docs.google"&amp;".com/spreadsheets/d/1BJSV3WBYJGRhQ6zExamkszQ5VutGIcaQqmbD9ZTVXMQ/edit#gid=1251630045"",""articles_with_PRISMA_reasons!B2:B2113""))&gt;=2),
""Exclude""
)"),"Exclude")</f>
        <v>Exclude</v>
      </c>
      <c r="E1796" s="5" t="str">
        <f>IFERROR(__xludf.DUMMYFUNCTION("IFS(
D1796=""Exclude"",""Exclude"",
AND(
FILTER(IMPORTRANGE(""https://docs.google.com/spreadsheets/d/1qpEmbGH0JjaJbUdp21-y2cPbobDbMjr09BbtdKROZWc/edit#gid=1444865654"",""articles_with_PRISMA_reasons!W2:W2113""), $A1796=IMPORTRANGE(""https://docs.google.co"&amp;"m/spreadsheets/d/1qpEmbGH0JjaJbUdp21-y2cPbobDbMjr09BbtdKROZWc/edit#gid=1444865654"",""articles_with_PRISMA_reasons!B2:B2113""))&gt;=2,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$A1796=IMPORTRANGE(""https://docs.google.com/spreadsheets/d/1qpEmbGH0JjaJbUdp21-y2cPbobDbMjr09BbtdKROZWc/edit#gid=1444865654"",""articles_with_PRISMA_reasons!B2:B2113""))&lt;2),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$A1796=IMPORTRANGE(""https://docs.google.com/spreadsheets/d/1qpEmbGH0JjaJbUdp21-y2cPbobDbMjr09Bbtd"&amp;"KROZWc/edit#gid=1444865654"",""articles_with_PRISMA_reasons!B2:B2113""))&lt;2,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$A1796=I"&amp;"MPORTRANGE(""https://docs.google.com/spreadsheets/d/1qpEmbGH0JjaJbUdp21-y2cPbobDbMjr09BbtdKROZWc/edit#gid=1444865654"",""articles_with_PRISMA_reasons!B2:B2113""))&gt;=2),
""Exclude""
)"),"Exclude")</f>
        <v>Exclude</v>
      </c>
      <c r="F1796" s="5" t="str">
        <f>IFERROR(__xludf.DUMMYFUNCTION("IFS(
E1796=""Exclude"",""Exclude"",
AND(
COUNTIF(
IMPORTRANGE(""https://docs.google.com/spreadsheets/d/1kGrh75X1cNR1D7_FcY9zMnHP8iPO4M5RCRjy6nZY0TY/edit#gid=0"",""Table 1: Study characteristics!B4:B171""),A1796)&gt;0,
COUNTIF(Studies!$A$2:$A$85,FILTER(IMPORT"&amp;"RANGE(""https://docs.google.com/spreadsheets/d/1kGrh75X1cNR1D7_FcY9zMnHP8iPO4M5RCRjy6nZY0TY/edit#gid=0"",""Table 1: Study characteristics!A4:A171""), $A1796=IMPORTRANGE(""https://docs.google.com/spreadsheets/d/1kGrh75X1cNR1D7_FcY9zMnHP8iPO4M5RCRjy6nZY0TY/"&amp;"edit#gid=0"",""Table 1: Study characteristics!B4:B171"")))&gt;0
),
""Include""
)"),"Exclude")</f>
        <v>Exclude</v>
      </c>
      <c r="G1796" s="5" t="str">
        <f>IFERROR(__xludf.DUMMYFUNCTION("IFS(
D1796=""Exclude"",
FILTER(IMPORTRANGE(""https://docs.google.com/spreadsheets/d/1BJSV3WBYJGRhQ6zExamkszQ5VutGIcaQqmbD9ZTVXMQ/edit#gid=1251630045"",""articles_with_PRISMA_reasons!AB2:AB2113""), $A1796=IMPORTRANGE(""https://docs.google.com/spreadsheets/"&amp;"d/1BJSV3WBYJGRhQ6zExamkszQ5VutGIcaQqmbD9ZTVXMQ/edit#gid=1251630045"",""articles_with_PRISMA_reasons!B2:B2113"")),
E1796=""Exclude"",
FILTER(IMPORTRANGE(""https://docs.google.com/spreadsheets/d/1qpEmbGH0JjaJbUdp21-y2cPbobDbMjr09BbtdKROZWc/edit#gid=14448656"&amp;"54"",""articles_with_PRISMA_reasons!Z2:Z2113""), $A1796=IMPORTRANGE(""https://docs.google.com/spreadsheets/d/1qpEmbGH0JjaJbUdp21-y2cPbobDbMjr09BbtdKROZWc/edit#gid=1444865654"",""articles_with_PRISMA_reasons!B2:B2113"")),F1796
=""Include"",FILTER(IMPORTRAN"&amp;"GE(""https://docs.google.com/spreadsheets/d/1kGrh75X1cNR1D7_FcY9zMnHP8iPO4M5RCRjy6nZY0TY/edit#gid=0"",""Table 1: Study characteristics!A4:A171""), $A1796=IMPORTRANGE(""https://docs.google.com/spreadsheets/d/1kGrh75X1cNR1D7_FcY9zMnHP8iPO4M5RCRjy6nZY0TY/edi"&amp;"t#gid=0"",""Table 1: Study characteristics!B4:B171""))
)"),"wrong population")</f>
        <v>wrong population</v>
      </c>
    </row>
    <row r="1797">
      <c r="A1797" s="4" t="str">
        <f>IFERROR(__xludf.DUMMYFUNCTION("""COMPUTED_VALUE"""),"Surgical indications in severe abnormalities with reference to the expected quality of life")</f>
        <v>Surgical indications in severe abnormalities with reference to the expected quality of life</v>
      </c>
      <c r="B1797" s="5" t="str">
        <f>IFERROR(__xludf.DUMMYFUNCTION("LEFT(FILTER(IMPORTRANGE(""https://docs.google.com/spreadsheets/d/1BJSV3WBYJGRhQ6zExamkszQ5VutGIcaQqmbD9ZTVXMQ/edit#gid=1251630045"",""articles_with_PRISMA_reasons!K2:K2113""), $A1797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$A1797=IMPORTRANGE(""https://docs.google.com/spreadsheets/d/1BJSV3WBYJGRhQ6zExamkszQ5VutGIcaQqmbD9ZTVXMQ/edit#gid=1251630045"",""articles_with_PRISMA_reasons!B2:B2113"")))-1)"),"Hogner")</f>
        <v>Hogner</v>
      </c>
      <c r="C1797" s="6">
        <f>IFERROR(__xludf.DUMMYFUNCTION("FILTER(IMPORTRANGE(""https://docs.google.com/spreadsheets/d/1BJSV3WBYJGRhQ6zExamkszQ5VutGIcaQqmbD9ZTVXMQ/edit#gid=1251630045"",""articles_with_PRISMA_reasons!C2:C2113""), $A1797=IMPORTRANGE(""https://docs.google.com/spreadsheets/d/1BJSV3WBYJGRhQ6zExamkszQ"&amp;"5VutGIcaQqmbD9ZTVXMQ/edit#gid=1251630045"",""articles_with_PRISMA_reasons!B2:B2113""))"),1989.0)</f>
        <v>1989</v>
      </c>
      <c r="D1797" s="5" t="str">
        <f>IFERROR(__xludf.DUMMYFUNCTION("IFS(AND(
FILTER(IMPORTRANGE(""https://docs.google.com/spreadsheets/d/1BJSV3WBYJGRhQ6zExamkszQ5VutGIcaQqmbD9ZTVXMQ/edit#gid=1251630045"",""articles_with_PRISMA_reasons!Y2:Y2113""), $A1797=IMPORTRANGE(""https://docs.google.com/spreadsheets/d/1BJSV3WBYJGRhQ6"&amp;"zExamkszQ5VutGIcaQqmbD9ZTVXMQ/edit#gid=1251630045"",""articles_with_PRISMA_reasons!B2:B2113""))&gt;=2,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$A1797=IMPORTRANGE(""https://docs.google.com/spreadsheets/d/1BJSV3WBYJGRhQ6zExamkszQ5VutGIcaQqmbD9ZTVXMQ/edit#gid=1251630045"",""articles_with_PRISMA_reasons!B2:B2113""))&lt;2),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$A1797=IMPORTRANGE(""https://docs.google.com/spreadsheets/d/1BJSV3WBYJGRhQ6zExamkszQ5VutGIcaQqmbD9ZTVXMQ/edit#gid=1251630045"",""a"&amp;"rticles_with_PRISMA_reasons!B2:B2113""))&lt;2,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$A1797=IMPORTRANGE(""https://docs.google"&amp;".com/spreadsheets/d/1BJSV3WBYJGRhQ6zExamkszQ5VutGIcaQqmbD9ZTVXMQ/edit#gid=1251630045"",""articles_with_PRISMA_reasons!B2:B2113""))&gt;=2),
""Exclude""
)"),"Exclude")</f>
        <v>Exclude</v>
      </c>
      <c r="E1797" s="5" t="str">
        <f>IFERROR(__xludf.DUMMYFUNCTION("IFS(
D1797=""Exclude"",""Exclude"",
AND(
FILTER(IMPORTRANGE(""https://docs.google.com/spreadsheets/d/1qpEmbGH0JjaJbUdp21-y2cPbobDbMjr09BbtdKROZWc/edit#gid=1444865654"",""articles_with_PRISMA_reasons!W2:W2113""), $A1797=IMPORTRANGE(""https://docs.google.co"&amp;"m/spreadsheets/d/1qpEmbGH0JjaJbUdp21-y2cPbobDbMjr09BbtdKROZWc/edit#gid=1444865654"",""articles_with_PRISMA_reasons!B2:B2113""))&gt;=2,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$A1797=IMPORTRANGE(""https://docs.google.com/spreadsheets/d/1qpEmbGH0JjaJbUdp21-y2cPbobDbMjr09BbtdKROZWc/edit#gid=1444865654"",""articles_with_PRISMA_reasons!B2:B2113""))&lt;2),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$A1797=IMPORTRANGE(""https://docs.google.com/spreadsheets/d/1qpEmbGH0JjaJbUdp21-y2cPbobDbMjr09Bbtd"&amp;"KROZWc/edit#gid=1444865654"",""articles_with_PRISMA_reasons!B2:B2113""))&lt;2,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$A1797=I"&amp;"MPORTRANGE(""https://docs.google.com/spreadsheets/d/1qpEmbGH0JjaJbUdp21-y2cPbobDbMjr09BbtdKROZWc/edit#gid=1444865654"",""articles_with_PRISMA_reasons!B2:B2113""))&gt;=2),
""Exclude""
)"),"Exclude")</f>
        <v>Exclude</v>
      </c>
      <c r="F1797" s="5" t="str">
        <f>IFERROR(__xludf.DUMMYFUNCTION("IFS(
E1797=""Exclude"",""Exclude"",
AND(
COUNTIF(
IMPORTRANGE(""https://docs.google.com/spreadsheets/d/1kGrh75X1cNR1D7_FcY9zMnHP8iPO4M5RCRjy6nZY0TY/edit#gid=0"",""Table 1: Study characteristics!B4:B171""),A1797)&gt;0,
COUNTIF(Studies!$A$2:$A$85,FILTER(IMPORT"&amp;"RANGE(""https://docs.google.com/spreadsheets/d/1kGrh75X1cNR1D7_FcY9zMnHP8iPO4M5RCRjy6nZY0TY/edit#gid=0"",""Table 1: Study characteristics!A4:A171""), $A1797=IMPORTRANGE(""https://docs.google.com/spreadsheets/d/1kGrh75X1cNR1D7_FcY9zMnHP8iPO4M5RCRjy6nZY0TY/"&amp;"edit#gid=0"",""Table 1: Study characteristics!B4:B171"")))&gt;0
),
""Include""
)"),"Exclude")</f>
        <v>Exclude</v>
      </c>
      <c r="G1797" s="5" t="str">
        <f>IFERROR(__xludf.DUMMYFUNCTION("IFS(
D1797=""Exclude"",
FILTER(IMPORTRANGE(""https://docs.google.com/spreadsheets/d/1BJSV3WBYJGRhQ6zExamkszQ5VutGIcaQqmbD9ZTVXMQ/edit#gid=1251630045"",""articles_with_PRISMA_reasons!AB2:AB2113""), $A1797=IMPORTRANGE(""https://docs.google.com/spreadsheets/"&amp;"d/1BJSV3WBYJGRhQ6zExamkszQ5VutGIcaQqmbD9ZTVXMQ/edit#gid=1251630045"",""articles_with_PRISMA_reasons!B2:B2113"")),
E1797=""Exclude"",
FILTER(IMPORTRANGE(""https://docs.google.com/spreadsheets/d/1qpEmbGH0JjaJbUdp21-y2cPbobDbMjr09BbtdKROZWc/edit#gid=14448656"&amp;"54"",""articles_with_PRISMA_reasons!Z2:Z2113""), $A1797=IMPORTRANGE(""https://docs.google.com/spreadsheets/d/1qpEmbGH0JjaJbUdp21-y2cPbobDbMjr09BbtdKROZWc/edit#gid=1444865654"",""articles_with_PRISMA_reasons!B2:B2113"")),F1797
=""Include"",FILTER(IMPORTRAN"&amp;"GE(""https://docs.google.com/spreadsheets/d/1kGrh75X1cNR1D7_FcY9zMnHP8iPO4M5RCRjy6nZY0TY/edit#gid=0"",""Table 1: Study characteristics!A4:A171""), $A1797=IMPORTRANGE(""https://docs.google.com/spreadsheets/d/1kGrh75X1cNR1D7_FcY9zMnHP8iPO4M5RCRjy6nZY0TY/edi"&amp;"t#gid=0"",""Table 1: Study characteristics!B4:B171""))
)"),"wrong population")</f>
        <v>wrong population</v>
      </c>
    </row>
    <row r="1798">
      <c r="A1798" s="4" t="str">
        <f>IFERROR(__xludf.DUMMYFUNCTION("""COMPUTED_VALUE"""),"Surgical intervention for hydrocephalus in infancy; etiology, age and treatment data in a Dutch cohort")</f>
        <v>Surgical intervention for hydrocephalus in infancy; etiology, age and treatment data in a Dutch cohort</v>
      </c>
      <c r="B1798" s="5" t="str">
        <f>IFERROR(__xludf.DUMMYFUNCTION("LEFT(FILTER(IMPORTRANGE(""https://docs.google.com/spreadsheets/d/1BJSV3WBYJGRhQ6zExamkszQ5VutGIcaQqmbD9ZTVXMQ/edit#gid=1251630045"",""articles_with_PRISMA_reasons!K2:K2113""), $A1798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$A1798=IMPORTRANGE(""https://docs.google.com/spreadsheets/d/1BJSV3WBYJGRhQ6zExamkszQ5VutGIcaQqmbD9ZTVXMQ/edit#gid=1251630045"",""articles_with_PRISMA_reasons!B2:B2113"")))-1)"),"Holwerda")</f>
        <v>Holwerda</v>
      </c>
      <c r="C1798" s="6">
        <f>IFERROR(__xludf.DUMMYFUNCTION("FILTER(IMPORTRANGE(""https://docs.google.com/spreadsheets/d/1BJSV3WBYJGRhQ6zExamkszQ5VutGIcaQqmbD9ZTVXMQ/edit#gid=1251630045"",""articles_with_PRISMA_reasons!C2:C2113""), $A1798=IMPORTRANGE(""https://docs.google.com/spreadsheets/d/1BJSV3WBYJGRhQ6zExamkszQ"&amp;"5VutGIcaQqmbD9ZTVXMQ/edit#gid=1251630045"",""articles_with_PRISMA_reasons!B2:B2113""))"),2020.0)</f>
        <v>2020</v>
      </c>
      <c r="D1798" s="5" t="str">
        <f>IFERROR(__xludf.DUMMYFUNCTION("IFS(AND(
FILTER(IMPORTRANGE(""https://docs.google.com/spreadsheets/d/1BJSV3WBYJGRhQ6zExamkszQ5VutGIcaQqmbD9ZTVXMQ/edit#gid=1251630045"",""articles_with_PRISMA_reasons!Y2:Y2113""), $A1798=IMPORTRANGE(""https://docs.google.com/spreadsheets/d/1BJSV3WBYJGRhQ6"&amp;"zExamkszQ5VutGIcaQqmbD9ZTVXMQ/edit#gid=1251630045"",""articles_with_PRISMA_reasons!B2:B2113""))&gt;=2,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$A1798=IMPORTRANGE(""https://docs.google.com/spreadsheets/d/1BJSV3WBYJGRhQ6zExamkszQ5VutGIcaQqmbD9ZTVXMQ/edit#gid=1251630045"",""articles_with_PRISMA_reasons!B2:B2113""))&lt;2),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$A1798=IMPORTRANGE(""https://docs.google.com/spreadsheets/d/1BJSV3WBYJGRhQ6zExamkszQ5VutGIcaQqmbD9ZTVXMQ/edit#gid=1251630045"",""a"&amp;"rticles_with_PRISMA_reasons!B2:B2113""))&lt;2,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$A1798=IMPORTRANGE(""https://docs.google"&amp;".com/spreadsheets/d/1BJSV3WBYJGRhQ6zExamkszQ5VutGIcaQqmbD9ZTVXMQ/edit#gid=1251630045"",""articles_with_PRISMA_reasons!B2:B2113""))&gt;=2),
""Exclude""
)"),"Include")</f>
        <v>Include</v>
      </c>
      <c r="E1798" s="5" t="str">
        <f>IFERROR(__xludf.DUMMYFUNCTION("IFS(
D1798=""Exclude"",""Exclude"",
AND(
FILTER(IMPORTRANGE(""https://docs.google.com/spreadsheets/d/1qpEmbGH0JjaJbUdp21-y2cPbobDbMjr09BbtdKROZWc/edit#gid=1444865654"",""articles_with_PRISMA_reasons!W2:W2113""), $A1798=IMPORTRANGE(""https://docs.google.co"&amp;"m/spreadsheets/d/1qpEmbGH0JjaJbUdp21-y2cPbobDbMjr09BbtdKROZWc/edit#gid=1444865654"",""articles_with_PRISMA_reasons!B2:B2113""))&gt;=2,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$A1798=IMPORTRANGE(""https://docs.google.com/spreadsheets/d/1qpEmbGH0JjaJbUdp21-y2cPbobDbMjr09BbtdKROZWc/edit#gid=1444865654"",""articles_with_PRISMA_reasons!B2:B2113""))&lt;2),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$A1798=IMPORTRANGE(""https://docs.google.com/spreadsheets/d/1qpEmbGH0JjaJbUdp21-y2cPbobDbMjr09Bbtd"&amp;"KROZWc/edit#gid=1444865654"",""articles_with_PRISMA_reasons!B2:B2113""))&lt;2,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$A1798=I"&amp;"MPORTRANGE(""https://docs.google.com/spreadsheets/d/1qpEmbGH0JjaJbUdp21-y2cPbobDbMjr09BbtdKROZWc/edit#gid=1444865654"",""articles_with_PRISMA_reasons!B2:B2113""))&gt;=2),
""Exclude""
)"),"Include")</f>
        <v>Include</v>
      </c>
      <c r="F1798" s="2" t="s">
        <v>8</v>
      </c>
      <c r="G1798" s="2" t="s">
        <v>17</v>
      </c>
    </row>
    <row r="1799">
      <c r="A1799" s="7" t="str">
        <f>IFERROR(__xludf.DUMMYFUNCTION("""COMPUTED_VALUE"""),"Surgical management of Chiari malformation type II")</f>
        <v>Surgical management of Chiari malformation type II</v>
      </c>
      <c r="B1799" s="8" t="str">
        <f>IFERROR(__xludf.DUMMYFUNCTION("LEFT(FILTER(IMPORTRANGE(""https://docs.google.com/spreadsheets/d/1BJSV3WBYJGRhQ6zExamkszQ5VutGIcaQqmbD9ZTVXMQ/edit#gid=1251630045"",""articles_with_PRISMA_reasons!K2:K2113""), $A1799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$A1799=IMPORTRANGE(""https://docs.google.com/spreadsheets/d/1BJSV3WBYJGRhQ6zExamkszQ5VutGIcaQqmbD9ZTVXMQ/edit#gid=1251630045"",""articles_with_PRISMA_reasons!B2:B2113"")))-1)"),"Talamonti")</f>
        <v>Talamonti</v>
      </c>
      <c r="C1799" s="9">
        <f>IFERROR(__xludf.DUMMYFUNCTION("FILTER(IMPORTRANGE(""https://docs.google.com/spreadsheets/d/1BJSV3WBYJGRhQ6zExamkszQ5VutGIcaQqmbD9ZTVXMQ/edit#gid=1251630045"",""articles_with_PRISMA_reasons!C2:C2113""), $A1799=IMPORTRANGE(""https://docs.google.com/spreadsheets/d/1BJSV3WBYJGRhQ6zExamkszQ"&amp;"5VutGIcaQqmbD9ZTVXMQ/edit#gid=1251630045"",""articles_with_PRISMA_reasons!B2:B2113""))"),2020.0)</f>
        <v>2020</v>
      </c>
      <c r="D1799" s="8" t="str">
        <f>IFERROR(__xludf.DUMMYFUNCTION("IFS(AND(
FILTER(IMPORTRANGE(""https://docs.google.com/spreadsheets/d/1BJSV3WBYJGRhQ6zExamkszQ5VutGIcaQqmbD9ZTVXMQ/edit#gid=1251630045"",""articles_with_PRISMA_reasons!Y2:Y2113""), $A1799=IMPORTRANGE(""https://docs.google.com/spreadsheets/d/1BJSV3WBYJGRhQ6"&amp;"zExamkszQ5VutGIcaQqmbD9ZTVXMQ/edit#gid=1251630045"",""articles_with_PRISMA_reasons!B2:B2113""))&gt;=2,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$A1799=IMPORTRANGE(""https://docs.google.com/spreadsheets/d/1BJSV3WBYJGRhQ6zExamkszQ5VutGIcaQqmbD9ZTVXMQ/edit#gid=1251630045"",""articles_with_PRISMA_reasons!B2:B2113""))&lt;2),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$A1799=IMPORTRANGE(""https://docs.google.com/spreadsheets/d/1BJSV3WBYJGRhQ6zExamkszQ5VutGIcaQqmbD9ZTVXMQ/edit#gid=1251630045"",""a"&amp;"rticles_with_PRISMA_reasons!B2:B2113""))&lt;2,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$A1799=IMPORTRANGE(""https://docs.google"&amp;".com/spreadsheets/d/1BJSV3WBYJGRhQ6zExamkszQ5VutGIcaQqmbD9ZTVXMQ/edit#gid=1251630045"",""articles_with_PRISMA_reasons!B2:B2113""))&gt;=2),
""Exclude""
)"),"Include")</f>
        <v>Include</v>
      </c>
      <c r="E1799" s="8" t="str">
        <f>IFERROR(__xludf.DUMMYFUNCTION("IFS(
D1799=""Exclude"",""Exclude"",
AND(
FILTER(IMPORTRANGE(""https://docs.google.com/spreadsheets/d/1qpEmbGH0JjaJbUdp21-y2cPbobDbMjr09BbtdKROZWc/edit#gid=1444865654"",""articles_with_PRISMA_reasons!W2:W2113""), $A1799=IMPORTRANGE(""https://docs.google.co"&amp;"m/spreadsheets/d/1qpEmbGH0JjaJbUdp21-y2cPbobDbMjr09BbtdKROZWc/edit#gid=1444865654"",""articles_with_PRISMA_reasons!B2:B2113""))&gt;=2,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$A1799=IMPORTRANGE(""https://docs.google.com/spreadsheets/d/1qpEmbGH0JjaJbUdp21-y2cPbobDbMjr09BbtdKROZWc/edit#gid=1444865654"",""articles_with_PRISMA_reasons!B2:B2113""))&lt;2),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$A1799=IMPORTRANGE(""https://docs.google.com/spreadsheets/d/1qpEmbGH0JjaJbUdp21-y2cPbobDbMjr09Bbtd"&amp;"KROZWc/edit#gid=1444865654"",""articles_with_PRISMA_reasons!B2:B2113""))&lt;2,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$A1799=I"&amp;"MPORTRANGE(""https://docs.google.com/spreadsheets/d/1qpEmbGH0JjaJbUdp21-y2cPbobDbMjr09BbtdKROZWc/edit#gid=1444865654"",""articles_with_PRISMA_reasons!B2:B2113""))&gt;=2),
""Exclude""
)"),"Include")</f>
        <v>Include</v>
      </c>
      <c r="F1799" s="10" t="s">
        <v>8</v>
      </c>
      <c r="G1799" s="10" t="s">
        <v>17</v>
      </c>
    </row>
    <row r="1800">
      <c r="A1800" s="4" t="str">
        <f>IFERROR(__xludf.DUMMYFUNCTION("""COMPUTED_VALUE"""),"Surgical management of spinal dysraphism: Five -year experience in a central hospital")</f>
        <v>Surgical management of spinal dysraphism: Five -year experience in a central hospital</v>
      </c>
      <c r="B1800" s="5" t="str">
        <f>IFERROR(__xludf.DUMMYFUNCTION("LEFT(FILTER(IMPORTRANGE(""https://docs.google.com/spreadsheets/d/1BJSV3WBYJGRhQ6zExamkszQ5VutGIcaQqmbD9ZTVXMQ/edit#gid=1251630045"",""articles_with_PRISMA_reasons!K2:K2113""), $A1800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$A1800=IMPORTRANGE(""https://docs.google.com/spreadsheets/d/1BJSV3WBYJGRhQ6zExamkszQ5VutGIcaQqmbD9ZTVXMQ/edit#gid=1251630045"",""articles_with_PRISMA_reasons!B2:B2113"")))-1)"),"Banskota")</f>
        <v>Banskota</v>
      </c>
      <c r="C1800" s="6">
        <f>IFERROR(__xludf.DUMMYFUNCTION("FILTER(IMPORTRANGE(""https://docs.google.com/spreadsheets/d/1BJSV3WBYJGRhQ6zExamkszQ5VutGIcaQqmbD9ZTVXMQ/edit#gid=1251630045"",""articles_with_PRISMA_reasons!C2:C2113""), $A1800=IMPORTRANGE(""https://docs.google.com/spreadsheets/d/1BJSV3WBYJGRhQ6zExamkszQ"&amp;"5VutGIcaQqmbD9ZTVXMQ/edit#gid=1251630045"",""articles_with_PRISMA_reasons!B2:B2113""))"),2014.0)</f>
        <v>2014</v>
      </c>
      <c r="D1800" s="5" t="str">
        <f>IFERROR(__xludf.DUMMYFUNCTION("IFS(AND(
FILTER(IMPORTRANGE(""https://docs.google.com/spreadsheets/d/1BJSV3WBYJGRhQ6zExamkszQ5VutGIcaQqmbD9ZTVXMQ/edit#gid=1251630045"",""articles_with_PRISMA_reasons!Y2:Y2113""), $A1800=IMPORTRANGE(""https://docs.google.com/spreadsheets/d/1BJSV3WBYJGRhQ6"&amp;"zExamkszQ5VutGIcaQqmbD9ZTVXMQ/edit#gid=1251630045"",""articles_with_PRISMA_reasons!B2:B2113""))&gt;=2,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$A1800=IMPORTRANGE(""https://docs.google"&amp;".com/spreadsheets/d/1BJSV3WBYJGRhQ6zExamkszQ5VutGIcaQqmbD9ZTVXMQ/edit#gid=1251630045"",""articles_with_PRISMA_reasons!B2:B2113""))&gt;=2),
""Exclude""
)"),"Include")</f>
        <v>Include</v>
      </c>
      <c r="E1800" s="5" t="str">
        <f>IFERROR(__xludf.DUMMYFUNCTION("IFS(
D1800=""Exclude"",""Exclude"",
AND(
FILTER(IMPORTRANGE(""https://docs.google.com/spreadsheets/d/1qpEmbGH0JjaJbUdp21-y2cPbobDbMjr09BbtdKROZWc/edit#gid=1444865654"",""articles_with_PRISMA_reasons!W2:W2113""), $A1800=IMPORTRANGE(""https://docs.google.co"&amp;"m/spreadsheets/d/1qpEmbGH0JjaJbUdp21-y2cPbobDbMjr09BbtdKROZWc/edit#gid=1444865654"",""articles_with_PRISMA_reasons!B2:B2113""))&gt;=2,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$A1800=IMPORTRANGE(""https://docs.google.com/spreadsheets/d/1qpEmbGH0JjaJbUdp21-y2cPbobDbMjr09BbtdKROZWc/edit#gid=1444865654"",""articles_with_PRISMA_reasons!B2:B2113""))&lt;2),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$A1800=IMPORTRANGE(""https://docs.google.com/spreadsheets/d/1qpEmbGH0JjaJbUdp21-y2cPbobDbMjr09Bbtd"&amp;"KROZWc/edit#gid=1444865654"",""articles_with_PRISMA_reasons!B2:B2113""))&lt;2,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$A1800=I"&amp;"MPORTRANGE(""https://docs.google.com/spreadsheets/d/1qpEmbGH0JjaJbUdp21-y2cPbobDbMjr09BbtdKROZWc/edit#gid=1444865654"",""articles_with_PRISMA_reasons!B2:B2113""))&gt;=2),
""Exclude""
)"),"Exclude")</f>
        <v>Exclude</v>
      </c>
      <c r="F1800" s="5" t="str">
        <f>IFERROR(__xludf.DUMMYFUNCTION("IFS(
E1800=""Exclude"",""Exclude"",
AND(
COUNTIF(
IMPORTRANGE(""https://docs.google.com/spreadsheets/d/1kGrh75X1cNR1D7_FcY9zMnHP8iPO4M5RCRjy6nZY0TY/edit#gid=0"",""Table 1: Study characteristics!B4:B171""),A1800)&gt;0,
COUNTIF(Studies!$A$2:$A$85,FILTER(IMPORT"&amp;"RANGE(""https://docs.google.com/spreadsheets/d/1kGrh75X1cNR1D7_FcY9zMnHP8iPO4M5RCRjy6nZY0TY/edit#gid=0"",""Table 1: Study characteristics!A4:A171""), $A1800=IMPORTRANGE(""https://docs.google.com/spreadsheets/d/1kGrh75X1cNR1D7_FcY9zMnHP8iPO4M5RCRjy6nZY0TY/"&amp;"edit#gid=0"",""Table 1: Study characteristics!B4:B171"")))&gt;0
),
""Include""
)"),"Exclude")</f>
        <v>Exclude</v>
      </c>
      <c r="G1800" s="5" t="str">
        <f>IFERROR(__xludf.DUMMYFUNCTION("IFS(
D1800=""Exclude"",
FILTER(IMPORTRANGE(""https://docs.google.com/spreadsheets/d/1BJSV3WBYJGRhQ6zExamkszQ5VutGIcaQqmbD9ZTVXMQ/edit#gid=1251630045"",""articles_with_PRISMA_reasons!AB2:AB2113""), $A1800=IMPORTRANGE(""https://docs.google.com/spreadsheets/"&amp;"d/1BJSV3WBYJGRhQ6zExamkszQ5VutGIcaQqmbD9ZTVXMQ/edit#gid=1251630045"",""articles_with_PRISMA_reasons!B2:B2113"")),
E1800=""Exclude"",
FILTER(IMPORTRANGE(""https://docs.google.com/spreadsheets/d/1qpEmbGH0JjaJbUdp21-y2cPbobDbMjr09BbtdKROZWc/edit#gid=14448656"&amp;"54"",""articles_with_PRISMA_reasons!Z2:Z2113""), $A1800=IMPORTRANGE(""https://docs.google.com/spreadsheets/d/1qpEmbGH0JjaJbUdp21-y2cPbobDbMjr09BbtdKROZWc/edit#gid=1444865654"",""articles_with_PRISMA_reasons!B2:B2113"")),F1800
=""Include"",FILTER(IMPORTRAN"&amp;"GE(""https://docs.google.com/spreadsheets/d/1kGrh75X1cNR1D7_FcY9zMnHP8iPO4M5RCRjy6nZY0TY/edit#gid=0"",""Table 1: Study characteristics!A4:A171""), $A1800=IMPORTRANGE(""https://docs.google.com/spreadsheets/d/1kGrh75X1cNR1D7_FcY9zMnHP8iPO4M5RCRjy6nZY0TY/edi"&amp;"t#gid=0"",""Table 1: Study characteristics!B4:B171""))
)"),"wrong population")</f>
        <v>wrong population</v>
      </c>
    </row>
    <row r="1801">
      <c r="A1801" s="4" t="str">
        <f>IFERROR(__xludf.DUMMYFUNCTION("""COMPUTED_VALUE"""),"Surgical management of symptomatic Chiari II malformation in infants and children")</f>
        <v>Surgical management of symptomatic Chiari II malformation in infants and children</v>
      </c>
      <c r="B1801" s="5" t="str">
        <f>IFERROR(__xludf.DUMMYFUNCTION("LEFT(FILTER(IMPORTRANGE(""https://docs.google.com/spreadsheets/d/1BJSV3WBYJGRhQ6zExamkszQ5VutGIcaQqmbD9ZTVXMQ/edit#gid=1251630045"",""articles_with_PRISMA_reasons!K2:K2113""), $A1801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$A1801=IMPORTRANGE(""https://docs.google.com/spreadsheets/d/1BJSV3WBYJGRhQ6zExamkszQ5VutGIcaQqmbD9ZTVXMQ/edit#gid=1251630045"",""articles_with_PRISMA_reasons!B2:B2113"")))-1)"),"Akbari")</f>
        <v>Akbari</v>
      </c>
      <c r="C1801" s="6">
        <f>IFERROR(__xludf.DUMMYFUNCTION("FILTER(IMPORTRANGE(""https://docs.google.com/spreadsheets/d/1BJSV3WBYJGRhQ6zExamkszQ5VutGIcaQqmbD9ZTVXMQ/edit#gid=1251630045"",""articles_with_PRISMA_reasons!C2:C2113""), $A1801=IMPORTRANGE(""https://docs.google.com/spreadsheets/d/1BJSV3WBYJGRhQ6zExamkszQ"&amp;"5VutGIcaQqmbD9ZTVXMQ/edit#gid=1251630045"",""articles_with_PRISMA_reasons!B2:B2113""))"),2013.0)</f>
        <v>2013</v>
      </c>
      <c r="D1801" s="5" t="str">
        <f>IFERROR(__xludf.DUMMYFUNCTION("IFS(AND(
FILTER(IMPORTRANGE(""https://docs.google.com/spreadsheets/d/1BJSV3WBYJGRhQ6zExamkszQ5VutGIcaQqmbD9ZTVXMQ/edit#gid=1251630045"",""articles_with_PRISMA_reasons!Y2:Y2113""), $A1801=IMPORTRANGE(""https://docs.google.com/spreadsheets/d/1BJSV3WBYJGRhQ6"&amp;"zExamkszQ5VutGIcaQqmbD9ZTVXMQ/edit#gid=1251630045"",""articles_with_PRISMA_reasons!B2:B2113""))&gt;=2,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$A1801=IMPORTRANGE(""https://docs.google"&amp;".com/spreadsheets/d/1BJSV3WBYJGRhQ6zExamkszQ5VutGIcaQqmbD9ZTVXMQ/edit#gid=1251630045"",""articles_with_PRISMA_reasons!B2:B2113""))&gt;=2),
""Exclude""
)"),"Exclude")</f>
        <v>Exclude</v>
      </c>
      <c r="E1801" s="5" t="str">
        <f>IFERROR(__xludf.DUMMYFUNCTION("IFS(
D1801=""Exclude"",""Exclude"",
AND(
FILTER(IMPORTRANGE(""https://docs.google.com/spreadsheets/d/1qpEmbGH0JjaJbUdp21-y2cPbobDbMjr09BbtdKROZWc/edit#gid=1444865654"",""articles_with_PRISMA_reasons!W2:W2113""), $A1801=IMPORTRANGE(""https://docs.google.co"&amp;"m/spreadsheets/d/1qpEmbGH0JjaJbUdp21-y2cPbobDbMjr09BbtdKROZWc/edit#gid=1444865654"",""articles_with_PRISMA_reasons!B2:B2113""))&gt;=2,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$A1801=IMPORTRANGE(""https://docs.google.com/spreadsheets/d/1qpEmbGH0JjaJbUdp21-y2cPbobDbMjr09BbtdKROZWc/edit#gid=1444865654"",""articles_with_PRISMA_reasons!B2:B2113""))&lt;2),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$A1801=IMPORTRANGE(""https://docs.google.com/spreadsheets/d/1qpEmbGH0JjaJbUdp21-y2cPbobDbMjr09Bbtd"&amp;"KROZWc/edit#gid=1444865654"",""articles_with_PRISMA_reasons!B2:B2113""))&lt;2,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$A1801=I"&amp;"MPORTRANGE(""https://docs.google.com/spreadsheets/d/1qpEmbGH0JjaJbUdp21-y2cPbobDbMjr09BbtdKROZWc/edit#gid=1444865654"",""articles_with_PRISMA_reasons!B2:B2113""))&gt;=2),
""Exclude""
)"),"Exclude")</f>
        <v>Exclude</v>
      </c>
      <c r="F1801" s="5" t="str">
        <f>IFERROR(__xludf.DUMMYFUNCTION("IFS(
E1801=""Exclude"",""Exclude"",
AND(
COUNTIF(
IMPORTRANGE(""https://docs.google.com/spreadsheets/d/1kGrh75X1cNR1D7_FcY9zMnHP8iPO4M5RCRjy6nZY0TY/edit#gid=0"",""Table 1: Study characteristics!B4:B171""),A1801)&gt;0,
COUNTIF(Studies!$A$2:$A$85,FILTER(IMPORT"&amp;"RANGE(""https://docs.google.com/spreadsheets/d/1kGrh75X1cNR1D7_FcY9zMnHP8iPO4M5RCRjy6nZY0TY/edit#gid=0"",""Table 1: Study characteristics!A4:A171""), $A1801=IMPORTRANGE(""https://docs.google.com/spreadsheets/d/1kGrh75X1cNR1D7_FcY9zMnHP8iPO4M5RCRjy6nZY0TY/"&amp;"edit#gid=0"",""Table 1: Study characteristics!B4:B171"")))&gt;0
),
""Include""
)"),"Exclude")</f>
        <v>Exclude</v>
      </c>
      <c r="G1801" s="5" t="str">
        <f>IFERROR(__xludf.DUMMYFUNCTION("IFS(
D1801=""Exclude"",
FILTER(IMPORTRANGE(""https://docs.google.com/spreadsheets/d/1BJSV3WBYJGRhQ6zExamkszQ5VutGIcaQqmbD9ZTVXMQ/edit#gid=1251630045"",""articles_with_PRISMA_reasons!AB2:AB2113""), $A1801=IMPORTRANGE(""https://docs.google.com/spreadsheets/"&amp;"d/1BJSV3WBYJGRhQ6zExamkszQ5VutGIcaQqmbD9ZTVXMQ/edit#gid=1251630045"",""articles_with_PRISMA_reasons!B2:B2113"")),
E1801=""Exclude"",
FILTER(IMPORTRANGE(""https://docs.google.com/spreadsheets/d/1qpEmbGH0JjaJbUdp21-y2cPbobDbMjr09BbtdKROZWc/edit#gid=14448656"&amp;"54"",""articles_with_PRISMA_reasons!Z2:Z2113""), $A1801=IMPORTRANGE(""https://docs.google.com/spreadsheets/d/1qpEmbGH0JjaJbUdp21-y2cPbobDbMjr09BbtdKROZWc/edit#gid=1444865654"",""articles_with_PRISMA_reasons!B2:B2113"")),F1801
=""Include"",FILTER(IMPORTRAN"&amp;"GE(""https://docs.google.com/spreadsheets/d/1kGrh75X1cNR1D7_FcY9zMnHP8iPO4M5RCRjy6nZY0TY/edit#gid=0"",""Table 1: Study characteristics!A4:A171""), $A1801=IMPORTRANGE(""https://docs.google.com/spreadsheets/d/1kGrh75X1cNR1D7_FcY9zMnHP8iPO4M5RCRjy6nZY0TY/edi"&amp;"t#gid=0"",""Table 1: Study characteristics!B4:B171""))
)"),"wrong population")</f>
        <v>wrong population</v>
      </c>
    </row>
    <row r="1802">
      <c r="A1802" s="4" t="str">
        <f>IFERROR(__xludf.DUMMYFUNCTION("""COMPUTED_VALUE"""),"Surgical outcome of patients with meningomyelocele treated with a team approach")</f>
        <v>Surgical outcome of patients with meningomyelocele treated with a team approach</v>
      </c>
      <c r="B1802" s="5" t="str">
        <f>IFERROR(__xludf.DUMMYFUNCTION("LEFT(FILTER(IMPORTRANGE(""https://docs.google.com/spreadsheets/d/1BJSV3WBYJGRhQ6zExamkszQ5VutGIcaQqmbD9ZTVXMQ/edit#gid=1251630045"",""articles_with_PRISMA_reasons!K2:K2113""), $A1802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$A1802=IMPORTRANGE(""https://docs.google.com/spreadsheets/d/1BJSV3WBYJGRhQ6zExamkszQ5VutGIcaQqmbD9ZTVXMQ/edit#gid=1251630045"",""articles_with_PRISMA_reasons!B2:B2113"")))-1)"),"Ashrafzadeh")</f>
        <v>Ashrafzadeh</v>
      </c>
      <c r="C1802" s="6">
        <f>IFERROR(__xludf.DUMMYFUNCTION("FILTER(IMPORTRANGE(""https://docs.google.com/spreadsheets/d/1BJSV3WBYJGRhQ6zExamkszQ5VutGIcaQqmbD9ZTVXMQ/edit#gid=1251630045"",""articles_with_PRISMA_reasons!C2:C2113""), $A1802=IMPORTRANGE(""https://docs.google.com/spreadsheets/d/1BJSV3WBYJGRhQ6zExamkszQ"&amp;"5VutGIcaQqmbD9ZTVXMQ/edit#gid=1251630045"",""articles_with_PRISMA_reasons!B2:B2113""))"),2006.0)</f>
        <v>2006</v>
      </c>
      <c r="D1802" s="5" t="str">
        <f>IFERROR(__xludf.DUMMYFUNCTION("IFS(AND(
FILTER(IMPORTRANGE(""https://docs.google.com/spreadsheets/d/1BJSV3WBYJGRhQ6zExamkszQ5VutGIcaQqmbD9ZTVXMQ/edit#gid=1251630045"",""articles_with_PRISMA_reasons!Y2:Y2113""), $A1802=IMPORTRANGE(""https://docs.google.com/spreadsheets/d/1BJSV3WBYJGRhQ6"&amp;"zExamkszQ5VutGIcaQqmbD9ZTVXMQ/edit#gid=1251630045"",""articles_with_PRISMA_reasons!B2:B2113""))&gt;=2,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$A1802=IMPORTRANGE(""https://docs.google.com/spreadsheets/d/1BJSV3WBYJGRhQ6zExamkszQ5VutGIcaQqmbD9ZTVXMQ/edit#gid=1251630045"",""articles_with_PRISMA_reasons!B2:B2113""))&lt;2),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$A1802=IMPORTRANGE(""https://docs.google.com/spreadsheets/d/1BJSV3WBYJGRhQ6zExamkszQ5VutGIcaQqmbD9ZTVXMQ/edit#gid=1251630045"",""a"&amp;"rticles_with_PRISMA_reasons!B2:B2113""))&lt;2,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$A1802=IMPORTRANGE(""https://docs.google"&amp;".com/spreadsheets/d/1BJSV3WBYJGRhQ6zExamkszQ5VutGIcaQqmbD9ZTVXMQ/edit#gid=1251630045"",""articles_with_PRISMA_reasons!B2:B2113""))&gt;=2),
""Exclude""
)"),"Include")</f>
        <v>Include</v>
      </c>
      <c r="E1802" s="5" t="str">
        <f>IFERROR(__xludf.DUMMYFUNCTION("IFS(
D1802=""Exclude"",""Exclude"",
AND(
FILTER(IMPORTRANGE(""https://docs.google.com/spreadsheets/d/1qpEmbGH0JjaJbUdp21-y2cPbobDbMjr09BbtdKROZWc/edit#gid=1444865654"",""articles_with_PRISMA_reasons!W2:W2113""), $A1802=IMPORTRANGE(""https://docs.google.co"&amp;"m/spreadsheets/d/1qpEmbGH0JjaJbUdp21-y2cPbobDbMjr09BbtdKROZWc/edit#gid=1444865654"",""articles_with_PRISMA_reasons!B2:B2113""))&gt;=2,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$A1802=I"&amp;"MPORTRANGE(""https://docs.google.com/spreadsheets/d/1qpEmbGH0JjaJbUdp21-y2cPbobDbMjr09BbtdKROZWc/edit#gid=1444865654"",""articles_with_PRISMA_reasons!B2:B2113""))&gt;=2),
""Exclude""
)"),"Include")</f>
        <v>Include</v>
      </c>
      <c r="F1802" s="2" t="s">
        <v>8</v>
      </c>
      <c r="G1802" s="2" t="s">
        <v>17</v>
      </c>
    </row>
    <row r="1803">
      <c r="A1803" s="4" t="str">
        <f>IFERROR(__xludf.DUMMYFUNCTION("""COMPUTED_VALUE"""),"Surgical outcome of pediatric hydrocephalus treated by endoscopic III ventriculostomy: Prognostic factors and interpretation of postoperative neuroimaging")</f>
        <v>Surgical outcome of pediatric hydrocephalus treated by endoscopic III ventriculostomy: Prognostic factors and interpretation of postoperative neuroimaging</v>
      </c>
      <c r="B1803" s="5" t="str">
        <f>IFERROR(__xludf.DUMMYFUNCTION("LEFT(FILTER(IMPORTRANGE(""https://docs.google.com/spreadsheets/d/1BJSV3WBYJGRhQ6zExamkszQ5VutGIcaQqmbD9ZTVXMQ/edit#gid=1251630045"",""articles_with_PRISMA_reasons!K2:K2113""), $A1803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$A1803=IMPORTRANGE(""https://docs.google.com/spreadsheets/d/1BJSV3WBYJGRhQ6zExamkszQ5VutGIcaQqmbD9ZTVXMQ/edit#gid=1251630045"",""articles_with_PRISMA_reasons!B2:B2113"")))-1)"),"Kim")</f>
        <v>Kim</v>
      </c>
      <c r="C1803" s="6">
        <f>IFERROR(__xludf.DUMMYFUNCTION("FILTER(IMPORTRANGE(""https://docs.google.com/spreadsheets/d/1BJSV3WBYJGRhQ6zExamkszQ5VutGIcaQqmbD9ZTVXMQ/edit#gid=1251630045"",""articles_with_PRISMA_reasons!C2:C2113""), $A1803=IMPORTRANGE(""https://docs.google.com/spreadsheets/d/1BJSV3WBYJGRhQ6zExamkszQ"&amp;"5VutGIcaQqmbD9ZTVXMQ/edit#gid=1251630045"",""articles_with_PRISMA_reasons!B2:B2113""))"),2000.0)</f>
        <v>2000</v>
      </c>
      <c r="D1803" s="5" t="str">
        <f>IFERROR(__xludf.DUMMYFUNCTION("IFS(AND(
FILTER(IMPORTRANGE(""https://docs.google.com/spreadsheets/d/1BJSV3WBYJGRhQ6zExamkszQ5VutGIcaQqmbD9ZTVXMQ/edit#gid=1251630045"",""articles_with_PRISMA_reasons!Y2:Y2113""), $A1803=IMPORTRANGE(""https://docs.google.com/spreadsheets/d/1BJSV3WBYJGRhQ6"&amp;"zExamkszQ5VutGIcaQqmbD9ZTVXMQ/edit#gid=1251630045"",""articles_with_PRISMA_reasons!B2:B2113""))&gt;=2,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$A1803=IMPORTRANGE(""https://docs.google"&amp;".com/spreadsheets/d/1BJSV3WBYJGRhQ6zExamkszQ5VutGIcaQqmbD9ZTVXMQ/edit#gid=1251630045"",""articles_with_PRISMA_reasons!B2:B2113""))&gt;=2),
""Exclude""
)"),"Include")</f>
        <v>Include</v>
      </c>
      <c r="E1803" s="5" t="str">
        <f>IFERROR(__xludf.DUMMYFUNCTION("IFS(
D1803=""Exclude"",""Exclude"",
AND(
FILTER(IMPORTRANGE(""https://docs.google.com/spreadsheets/d/1qpEmbGH0JjaJbUdp21-y2cPbobDbMjr09BbtdKROZWc/edit#gid=1444865654"",""articles_with_PRISMA_reasons!W2:W2113""), $A1803=IMPORTRANGE(""https://docs.google.co"&amp;"m/spreadsheets/d/1qpEmbGH0JjaJbUdp21-y2cPbobDbMjr09BbtdKROZWc/edit#gid=1444865654"",""articles_with_PRISMA_reasons!B2:B2113""))&gt;=2,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$A1803=I"&amp;"MPORTRANGE(""https://docs.google.com/spreadsheets/d/1qpEmbGH0JjaJbUdp21-y2cPbobDbMjr09BbtdKROZWc/edit#gid=1444865654"",""articles_with_PRISMA_reasons!B2:B2113""))&gt;=2),
""Exclude""
)"),"Include")</f>
        <v>Include</v>
      </c>
      <c r="F1803" s="2" t="s">
        <v>8</v>
      </c>
      <c r="G1803" s="2" t="s">
        <v>10</v>
      </c>
    </row>
    <row r="1804">
      <c r="A1804" s="4" t="str">
        <f>IFERROR(__xludf.DUMMYFUNCTION("""COMPUTED_VALUE"""),"Surgical Outcomes after Myelomeningocele Repair in Lusaka, Zambia")</f>
        <v>Surgical Outcomes after Myelomeningocele Repair in Lusaka, Zambia</v>
      </c>
      <c r="B1804" s="5" t="str">
        <f>IFERROR(__xludf.DUMMYFUNCTION("LEFT(FILTER(IMPORTRANGE(""https://docs.google.com/spreadsheets/d/1BJSV3WBYJGRhQ6zExamkszQ5VutGIcaQqmbD9ZTVXMQ/edit#gid=1251630045"",""articles_with_PRISMA_reasons!K2:K2113""), $A1804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$A1804=IMPORTRANGE(""https://docs.google.com/spreadsheets/d/1BJSV3WBYJGRhQ6zExamkszQ5VutGIcaQqmbD9ZTVXMQ/edit#gid=1251630045"",""articles_with_PRISMA_reasons!B2:B2113"")))-1)"),"Bhebhe")</f>
        <v>Bhebhe</v>
      </c>
      <c r="C1804" s="6">
        <f>IFERROR(__xludf.DUMMYFUNCTION("FILTER(IMPORTRANGE(""https://docs.google.com/spreadsheets/d/1BJSV3WBYJGRhQ6zExamkszQ5VutGIcaQqmbD9ZTVXMQ/edit#gid=1251630045"",""articles_with_PRISMA_reasons!C2:C2113""), $A1804=IMPORTRANGE(""https://docs.google.com/spreadsheets/d/1BJSV3WBYJGRhQ6zExamkszQ"&amp;"5VutGIcaQqmbD9ZTVXMQ/edit#gid=1251630045"",""articles_with_PRISMA_reasons!B2:B2113""))"),2021.0)</f>
        <v>2021</v>
      </c>
      <c r="D1804" s="5" t="str">
        <f>IFERROR(__xludf.DUMMYFUNCTION("IFS(AND(
FILTER(IMPORTRANGE(""https://docs.google.com/spreadsheets/d/1BJSV3WBYJGRhQ6zExamkszQ5VutGIcaQqmbD9ZTVXMQ/edit#gid=1251630045"",""articles_with_PRISMA_reasons!Y2:Y2113""), $A1804=IMPORTRANGE(""https://docs.google.com/spreadsheets/d/1BJSV3WBYJGRhQ6"&amp;"zExamkszQ5VutGIcaQqmbD9ZTVXMQ/edit#gid=1251630045"",""articles_with_PRISMA_reasons!B2:B2113""))&gt;=2,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$A1804=IMPORTRANGE(""https://docs.google"&amp;".com/spreadsheets/d/1BJSV3WBYJGRhQ6zExamkszQ5VutGIcaQqmbD9ZTVXMQ/edit#gid=1251630045"",""articles_with_PRISMA_reasons!B2:B2113""))&gt;=2),
""Exclude""
)"),"Include")</f>
        <v>Include</v>
      </c>
      <c r="E1804" s="5" t="str">
        <f>IFERROR(__xludf.DUMMYFUNCTION("IFS(
D1804=""Exclude"",""Exclude"",
AND(
FILTER(IMPORTRANGE(""https://docs.google.com/spreadsheets/d/1qpEmbGH0JjaJbUdp21-y2cPbobDbMjr09BbtdKROZWc/edit#gid=1444865654"",""articles_with_PRISMA_reasons!W2:W2113""), $A1804=IMPORTRANGE(""https://docs.google.co"&amp;"m/spreadsheets/d/1qpEmbGH0JjaJbUdp21-y2cPbobDbMjr09BbtdKROZWc/edit#gid=1444865654"",""articles_with_PRISMA_reasons!B2:B2113""))&gt;=2,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$A1804=I"&amp;"MPORTRANGE(""https://docs.google.com/spreadsheets/d/1qpEmbGH0JjaJbUdp21-y2cPbobDbMjr09BbtdKROZWc/edit#gid=1444865654"",""articles_with_PRISMA_reasons!B2:B2113""))&gt;=2),
""Exclude""
)"),"Include")</f>
        <v>Include</v>
      </c>
      <c r="F1804" s="2" t="s">
        <v>8</v>
      </c>
      <c r="G1804" s="2" t="s">
        <v>17</v>
      </c>
    </row>
    <row r="1805">
      <c r="A1805" s="4" t="str">
        <f>IFERROR(__xludf.DUMMYFUNCTION("""COMPUTED_VALUE"""),"Surgical policy in large-sized myelomeningoceles concurrent with hydrocephalus")</f>
        <v>Surgical policy in large-sized myelomeningoceles concurrent with hydrocephalus</v>
      </c>
      <c r="B1805" s="5" t="str">
        <f>IFERROR(__xludf.DUMMYFUNCTION("LEFT(FILTER(IMPORTRANGE(""https://docs.google.com/spreadsheets/d/1BJSV3WBYJGRhQ6zExamkszQ5VutGIcaQqmbD9ZTVXMQ/edit#gid=1251630045"",""articles_with_PRISMA_reasons!K2:K2113""), $A1805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$A1805=IMPORTRANGE(""https://docs.google.com/spreadsheets/d/1BJSV3WBYJGRhQ6zExamkszQ5VutGIcaQqmbD9ZTVXMQ/edit#gid=1251630045"",""articles_with_PRISMA_reasons!B2:B2113"")))-1)"),"Khachatryan")</f>
        <v>Khachatryan</v>
      </c>
      <c r="C1805" s="6">
        <f>IFERROR(__xludf.DUMMYFUNCTION("FILTER(IMPORTRANGE(""https://docs.google.com/spreadsheets/d/1BJSV3WBYJGRhQ6zExamkszQ5VutGIcaQqmbD9ZTVXMQ/edit#gid=1251630045"",""articles_with_PRISMA_reasons!C2:C2113""), $A1805=IMPORTRANGE(""https://docs.google.com/spreadsheets/d/1BJSV3WBYJGRhQ6zExamkszQ"&amp;"5VutGIcaQqmbD9ZTVXMQ/edit#gid=1251630045"",""articles_with_PRISMA_reasons!B2:B2113""))"),1995.0)</f>
        <v>1995</v>
      </c>
      <c r="D1805" s="5" t="str">
        <f>IFERROR(__xludf.DUMMYFUNCTION("IFS(AND(
FILTER(IMPORTRANGE(""https://docs.google.com/spreadsheets/d/1BJSV3WBYJGRhQ6zExamkszQ5VutGIcaQqmbD9ZTVXMQ/edit#gid=1251630045"",""articles_with_PRISMA_reasons!Y2:Y2113""), $A1805=IMPORTRANGE(""https://docs.google.com/spreadsheets/d/1BJSV3WBYJGRhQ6"&amp;"zExamkszQ5VutGIcaQqmbD9ZTVXMQ/edit#gid=1251630045"",""articles_with_PRISMA_reasons!B2:B2113""))&gt;=2,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$A1805=IMPORTRANGE(""https://docs.google"&amp;".com/spreadsheets/d/1BJSV3WBYJGRhQ6zExamkszQ5VutGIcaQqmbD9ZTVXMQ/edit#gid=1251630045"",""articles_with_PRISMA_reasons!B2:B2113""))&gt;=2),
""Exclude""
)"),"Exclude")</f>
        <v>Exclude</v>
      </c>
      <c r="E1805" s="5" t="str">
        <f>IFERROR(__xludf.DUMMYFUNCTION("IFS(
D1805=""Exclude"",""Exclude"",
AND(
FILTER(IMPORTRANGE(""https://docs.google.com/spreadsheets/d/1qpEmbGH0JjaJbUdp21-y2cPbobDbMjr09BbtdKROZWc/edit#gid=1444865654"",""articles_with_PRISMA_reasons!W2:W2113""), $A1805=IMPORTRANGE(""https://docs.google.co"&amp;"m/spreadsheets/d/1qpEmbGH0JjaJbUdp21-y2cPbobDbMjr09BbtdKROZWc/edit#gid=1444865654"",""articles_with_PRISMA_reasons!B2:B2113""))&gt;=2,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$A1805=I"&amp;"MPORTRANGE(""https://docs.google.com/spreadsheets/d/1qpEmbGH0JjaJbUdp21-y2cPbobDbMjr09BbtdKROZWc/edit#gid=1444865654"",""articles_with_PRISMA_reasons!B2:B2113""))&gt;=2),
""Exclude""
)"),"Exclude")</f>
        <v>Exclude</v>
      </c>
      <c r="F1805" s="5" t="str">
        <f>IFERROR(__xludf.DUMMYFUNCTION("IFS(
E1805=""Exclude"",""Exclude"",
AND(
COUNTIF(
IMPORTRANGE(""https://docs.google.com/spreadsheets/d/1kGrh75X1cNR1D7_FcY9zMnHP8iPO4M5RCRjy6nZY0TY/edit#gid=0"",""Table 1: Study characteristics!B4:B171""),A1805)&gt;0,
COUNTIF(Studies!$A$2:$A$85,FILTER(IMPORT"&amp;"RANGE(""https://docs.google.com/spreadsheets/d/1kGrh75X1cNR1D7_FcY9zMnHP8iPO4M5RCRjy6nZY0TY/edit#gid=0"",""Table 1: Study characteristics!A4:A171""), $A1805=IMPORTRANGE(""https://docs.google.com/spreadsheets/d/1kGrh75X1cNR1D7_FcY9zMnHP8iPO4M5RCRjy6nZY0TY/"&amp;"edit#gid=0"",""Table 1: Study characteristics!B4:B171"")))&gt;0
),
""Include""
)"),"Exclude")</f>
        <v>Exclude</v>
      </c>
      <c r="G1805" s="5" t="str">
        <f>IFERROR(__xludf.DUMMYFUNCTION("IFS(
D1805=""Exclude"",
FILTER(IMPORTRANGE(""https://docs.google.com/spreadsheets/d/1BJSV3WBYJGRhQ6zExamkszQ5VutGIcaQqmbD9ZTVXMQ/edit#gid=1251630045"",""articles_with_PRISMA_reasons!AB2:AB2113""), $A1805=IMPORTRANGE(""https://docs.google.com/spreadsheets/"&amp;"d/1BJSV3WBYJGRhQ6zExamkszQ5VutGIcaQqmbD9ZTVXMQ/edit#gid=1251630045"",""articles_with_PRISMA_reasons!B2:B2113"")),
E1805=""Exclude"",
FILTER(IMPORTRANGE(""https://docs.google.com/spreadsheets/d/1qpEmbGH0JjaJbUdp21-y2cPbobDbMjr09BbtdKROZWc/edit#gid=14448656"&amp;"54"",""articles_with_PRISMA_reasons!Z2:Z2113""), $A1805=IMPORTRANGE(""https://docs.google.com/spreadsheets/d/1qpEmbGH0JjaJbUdp21-y2cPbobDbMjr09BbtdKROZWc/edit#gid=1444865654"",""articles_with_PRISMA_reasons!B2:B2113"")),F1805
=""Include"",FILTER(IMPORTRAN"&amp;"GE(""https://docs.google.com/spreadsheets/d/1kGrh75X1cNR1D7_FcY9zMnHP8iPO4M5RCRjy6nZY0TY/edit#gid=0"",""Table 1: Study characteristics!A4:A171""), $A1805=IMPORTRANGE(""https://docs.google.com/spreadsheets/d/1kGrh75X1cNR1D7_FcY9zMnHP8iPO4M5RCRjy6nZY0TY/edi"&amp;"t#gid=0"",""Table 1: Study characteristics!B4:B171""))
)"),"wrong population")</f>
        <v>wrong population</v>
      </c>
    </row>
    <row r="1806">
      <c r="A1806" s="4" t="str">
        <f>IFERROR(__xludf.DUMMYFUNCTION("""COMPUTED_VALUE"""),"Surgical procedures in spinal dysraphism: 16 Years' experience")</f>
        <v>Surgical procedures in spinal dysraphism: 16 Years' experience</v>
      </c>
      <c r="B1806" s="5" t="str">
        <f>IFERROR(__xludf.DUMMYFUNCTION("LEFT(FILTER(IMPORTRANGE(""https://docs.google.com/spreadsheets/d/1BJSV3WBYJGRhQ6zExamkszQ5VutGIcaQqmbD9ZTVXMQ/edit#gid=1251630045"",""articles_with_PRISMA_reasons!K2:K2113""), $A1806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$A1806=IMPORTRANGE(""https://docs.google.com/spreadsheets/d/1BJSV3WBYJGRhQ6zExamkszQ5VutGIcaQqmbD9ZTVXMQ/edit#gid=1251630045"",""articles_with_PRISMA_reasons!B2:B2113"")))-1)"),"Tireli")</f>
        <v>Tireli</v>
      </c>
      <c r="C1806" s="6">
        <f>IFERROR(__xludf.DUMMYFUNCTION("FILTER(IMPORTRANGE(""https://docs.google.com/spreadsheets/d/1BJSV3WBYJGRhQ6zExamkszQ5VutGIcaQqmbD9ZTVXMQ/edit#gid=1251630045"",""articles_with_PRISMA_reasons!C2:C2113""), $A1806=IMPORTRANGE(""https://docs.google.com/spreadsheets/d/1BJSV3WBYJGRhQ6zExamkszQ"&amp;"5VutGIcaQqmbD9ZTVXMQ/edit#gid=1251630045"",""articles_with_PRISMA_reasons!B2:B2113""))"),2000.0)</f>
        <v>2000</v>
      </c>
      <c r="D1806" s="5" t="str">
        <f>IFERROR(__xludf.DUMMYFUNCTION("IFS(AND(
FILTER(IMPORTRANGE(""https://docs.google.com/spreadsheets/d/1BJSV3WBYJGRhQ6zExamkszQ5VutGIcaQqmbD9ZTVXMQ/edit#gid=1251630045"",""articles_with_PRISMA_reasons!Y2:Y2113""), $A1806=IMPORTRANGE(""https://docs.google.com/spreadsheets/d/1BJSV3WBYJGRhQ6"&amp;"zExamkszQ5VutGIcaQqmbD9ZTVXMQ/edit#gid=1251630045"",""articles_with_PRISMA_reasons!B2:B2113""))&gt;=2,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$A1806=IMPORTRANGE(""https://docs.google"&amp;".com/spreadsheets/d/1BJSV3WBYJGRhQ6zExamkszQ5VutGIcaQqmbD9ZTVXMQ/edit#gid=1251630045"",""articles_with_PRISMA_reasons!B2:B2113""))&gt;=2),
""Exclude""
)"),"Exclude")</f>
        <v>Exclude</v>
      </c>
      <c r="E1806" s="5" t="str">
        <f>IFERROR(__xludf.DUMMYFUNCTION("IFS(
D1806=""Exclude"",""Exclude"",
AND(
FILTER(IMPORTRANGE(""https://docs.google.com/spreadsheets/d/1qpEmbGH0JjaJbUdp21-y2cPbobDbMjr09BbtdKROZWc/edit#gid=1444865654"",""articles_with_PRISMA_reasons!W2:W2113""), $A1806=IMPORTRANGE(""https://docs.google.co"&amp;"m/spreadsheets/d/1qpEmbGH0JjaJbUdp21-y2cPbobDbMjr09BbtdKROZWc/edit#gid=1444865654"",""articles_with_PRISMA_reasons!B2:B2113""))&gt;=2,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$A1806=I"&amp;"MPORTRANGE(""https://docs.google.com/spreadsheets/d/1qpEmbGH0JjaJbUdp21-y2cPbobDbMjr09BbtdKROZWc/edit#gid=1444865654"",""articles_with_PRISMA_reasons!B2:B2113""))&gt;=2),
""Exclude""
)"),"Exclude")</f>
        <v>Exclude</v>
      </c>
      <c r="F1806" s="5" t="str">
        <f>IFERROR(__xludf.DUMMYFUNCTION("IFS(
E1806=""Exclude"",""Exclude"",
AND(
COUNTIF(
IMPORTRANGE(""https://docs.google.com/spreadsheets/d/1kGrh75X1cNR1D7_FcY9zMnHP8iPO4M5RCRjy6nZY0TY/edit#gid=0"",""Table 1: Study characteristics!B4:B171""),A1806)&gt;0,
COUNTIF(Studies!$A$2:$A$85,FILTER(IMPORT"&amp;"RANGE(""https://docs.google.com/spreadsheets/d/1kGrh75X1cNR1D7_FcY9zMnHP8iPO4M5RCRjy6nZY0TY/edit#gid=0"",""Table 1: Study characteristics!A4:A171""), $A1806=IMPORTRANGE(""https://docs.google.com/spreadsheets/d/1kGrh75X1cNR1D7_FcY9zMnHP8iPO4M5RCRjy6nZY0TY/"&amp;"edit#gid=0"",""Table 1: Study characteristics!B4:B171"")))&gt;0
),
""Include""
)"),"Exclude")</f>
        <v>Exclude</v>
      </c>
      <c r="G1806" s="5" t="str">
        <f>IFERROR(__xludf.DUMMYFUNCTION("IFS(
D1806=""Exclude"",
FILTER(IMPORTRANGE(""https://docs.google.com/spreadsheets/d/1BJSV3WBYJGRhQ6zExamkszQ5VutGIcaQqmbD9ZTVXMQ/edit#gid=1251630045"",""articles_with_PRISMA_reasons!AB2:AB2113""), $A1806=IMPORTRANGE(""https://docs.google.com/spreadsheets/"&amp;"d/1BJSV3WBYJGRhQ6zExamkszQ5VutGIcaQqmbD9ZTVXMQ/edit#gid=1251630045"",""articles_with_PRISMA_reasons!B2:B2113"")),
E1806=""Exclude"",
FILTER(IMPORTRANGE(""https://docs.google.com/spreadsheets/d/1qpEmbGH0JjaJbUdp21-y2cPbobDbMjr09BbtdKROZWc/edit#gid=14448656"&amp;"54"",""articles_with_PRISMA_reasons!Z2:Z2113""), $A1806=IMPORTRANGE(""https://docs.google.com/spreadsheets/d/1qpEmbGH0JjaJbUdp21-y2cPbobDbMjr09BbtdKROZWc/edit#gid=1444865654"",""articles_with_PRISMA_reasons!B2:B2113"")),F1806
=""Include"",FILTER(IMPORTRAN"&amp;"GE(""https://docs.google.com/spreadsheets/d/1kGrh75X1cNR1D7_FcY9zMnHP8iPO4M5RCRjy6nZY0TY/edit#gid=0"",""Table 1: Study characteristics!A4:A171""), $A1806=IMPORTRANGE(""https://docs.google.com/spreadsheets/d/1kGrh75X1cNR1D7_FcY9zMnHP8iPO4M5RCRjy6nZY0TY/edi"&amp;"t#gid=0"",""Table 1: Study characteristics!B4:B171""))
)"),"wrong population")</f>
        <v>wrong population</v>
      </c>
    </row>
    <row r="1807">
      <c r="A1807" s="4" t="str">
        <f>IFERROR(__xludf.DUMMYFUNCTION("""COMPUTED_VALUE"""),"Surgical resource utilization after initial treatment of infant hydrocephalus: Comparing etv, early experience of etv with choroid plexus cauterization, and shunt insertion in the hydrocephalus clinical research network")</f>
        <v>Surgical resource utilization after initial treatment of infant hydrocephalus: Comparing etv, early experience of etv with choroid plexus cauterization, and shunt insertion in the hydrocephalus clinical research network</v>
      </c>
      <c r="B1807" s="5" t="str">
        <f>IFERROR(__xludf.DUMMYFUNCTION("LEFT(FILTER(IMPORTRANGE(""https://docs.google.com/spreadsheets/d/1BJSV3WBYJGRhQ6zExamkszQ5VutGIcaQqmbD9ZTVXMQ/edit#gid=1251630045"",""articles_with_PRISMA_reasons!K2:K2113""), $A1807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$A1807=IMPORTRANGE(""https://docs.google.com/spreadsheets/d/1BJSV3WBYJGRhQ6zExamkszQ5VutGIcaQqmbD9ZTVXMQ/edit#gid=1251630045"",""articles_with_PRISMA_reasons!B2:B2113"")))-1)"),"Pindrik")</f>
        <v>Pindrik</v>
      </c>
      <c r="C1807" s="6">
        <f>IFERROR(__xludf.DUMMYFUNCTION("FILTER(IMPORTRANGE(""https://docs.google.com/spreadsheets/d/1BJSV3WBYJGRhQ6zExamkszQ5VutGIcaQqmbD9ZTVXMQ/edit#gid=1251630045"",""articles_with_PRISMA_reasons!C2:C2113""), $A1807=IMPORTRANGE(""https://docs.google.com/spreadsheets/d/1BJSV3WBYJGRhQ6zExamkszQ"&amp;"5VutGIcaQqmbD9ZTVXMQ/edit#gid=1251630045"",""articles_with_PRISMA_reasons!B2:B2113""))"),2020.0)</f>
        <v>2020</v>
      </c>
      <c r="D1807" s="5" t="str">
        <f>IFERROR(__xludf.DUMMYFUNCTION("IFS(AND(
FILTER(IMPORTRANGE(""https://docs.google.com/spreadsheets/d/1BJSV3WBYJGRhQ6zExamkszQ5VutGIcaQqmbD9ZTVXMQ/edit#gid=1251630045"",""articles_with_PRISMA_reasons!Y2:Y2113""), $A1807=IMPORTRANGE(""https://docs.google.com/spreadsheets/d/1BJSV3WBYJGRhQ6"&amp;"zExamkszQ5VutGIcaQqmbD9ZTVXMQ/edit#gid=1251630045"",""articles_with_PRISMA_reasons!B2:B2113""))&gt;=2,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$A1807=IMPORTRANGE(""https://docs.google"&amp;".com/spreadsheets/d/1BJSV3WBYJGRhQ6zExamkszQ5VutGIcaQqmbD9ZTVXMQ/edit#gid=1251630045"",""articles_with_PRISMA_reasons!B2:B2113""))&gt;=2),
""Exclude""
)"),"Exclude")</f>
        <v>Exclude</v>
      </c>
      <c r="E1807" s="5" t="str">
        <f>IFERROR(__xludf.DUMMYFUNCTION("IFS(
D1807=""Exclude"",""Exclude"",
AND(
FILTER(IMPORTRANGE(""https://docs.google.com/spreadsheets/d/1qpEmbGH0JjaJbUdp21-y2cPbobDbMjr09BbtdKROZWc/edit#gid=1444865654"",""articles_with_PRISMA_reasons!W2:W2113""), $A1807=IMPORTRANGE(""https://docs.google.co"&amp;"m/spreadsheets/d/1qpEmbGH0JjaJbUdp21-y2cPbobDbMjr09BbtdKROZWc/edit#gid=1444865654"",""articles_with_PRISMA_reasons!B2:B2113""))&gt;=2,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$A1807=I"&amp;"MPORTRANGE(""https://docs.google.com/spreadsheets/d/1qpEmbGH0JjaJbUdp21-y2cPbobDbMjr09BbtdKROZWc/edit#gid=1444865654"",""articles_with_PRISMA_reasons!B2:B2113""))&gt;=2),
""Exclude""
)"),"Exclude")</f>
        <v>Exclude</v>
      </c>
      <c r="F1807" s="5" t="str">
        <f>IFERROR(__xludf.DUMMYFUNCTION("IFS(
E1807=""Exclude"",""Exclude"",
AND(
COUNTIF(
IMPORTRANGE(""https://docs.google.com/spreadsheets/d/1kGrh75X1cNR1D7_FcY9zMnHP8iPO4M5RCRjy6nZY0TY/edit#gid=0"",""Table 1: Study characteristics!B4:B171""),A1807)&gt;0,
COUNTIF(Studies!$A$2:$A$85,FILTER(IMPORT"&amp;"RANGE(""https://docs.google.com/spreadsheets/d/1kGrh75X1cNR1D7_FcY9zMnHP8iPO4M5RCRjy6nZY0TY/edit#gid=0"",""Table 1: Study characteristics!A4:A171""), $A1807=IMPORTRANGE(""https://docs.google.com/spreadsheets/d/1kGrh75X1cNR1D7_FcY9zMnHP8iPO4M5RCRjy6nZY0TY/"&amp;"edit#gid=0"",""Table 1: Study characteristics!B4:B171"")))&gt;0
),
""Include""
)"),"Exclude")</f>
        <v>Exclude</v>
      </c>
      <c r="G1807" s="5" t="str">
        <f>IFERROR(__xludf.DUMMYFUNCTION("IFS(
D1807=""Exclude"",
FILTER(IMPORTRANGE(""https://docs.google.com/spreadsheets/d/1BJSV3WBYJGRhQ6zExamkszQ5VutGIcaQqmbD9ZTVXMQ/edit#gid=1251630045"",""articles_with_PRISMA_reasons!AB2:AB2113""), $A1807=IMPORTRANGE(""https://docs.google.com/spreadsheets/"&amp;"d/1BJSV3WBYJGRhQ6zExamkszQ5VutGIcaQqmbD9ZTVXMQ/edit#gid=1251630045"",""articles_with_PRISMA_reasons!B2:B2113"")),
E1807=""Exclude"",
FILTER(IMPORTRANGE(""https://docs.google.com/spreadsheets/d/1qpEmbGH0JjaJbUdp21-y2cPbobDbMjr09BbtdKROZWc/edit#gid=14448656"&amp;"54"",""articles_with_PRISMA_reasons!Z2:Z2113""), $A1807=IMPORTRANGE(""https://docs.google.com/spreadsheets/d/1qpEmbGH0JjaJbUdp21-y2cPbobDbMjr09BbtdKROZWc/edit#gid=1444865654"",""articles_with_PRISMA_reasons!B2:B2113"")),F1807
=""Include"",FILTER(IMPORTRAN"&amp;"GE(""https://docs.google.com/spreadsheets/d/1kGrh75X1cNR1D7_FcY9zMnHP8iPO4M5RCRjy6nZY0TY/edit#gid=0"",""Table 1: Study characteristics!A4:A171""), $A1807=IMPORTRANGE(""https://docs.google.com/spreadsheets/d/1kGrh75X1cNR1D7_FcY9zMnHP8iPO4M5RCRjy6nZY0TY/edi"&amp;"t#gid=0"",""Table 1: Study characteristics!B4:B171""))
)"),"wrong population")</f>
        <v>wrong population</v>
      </c>
    </row>
    <row r="1808">
      <c r="A1808" s="4" t="str">
        <f>IFERROR(__xludf.DUMMYFUNCTION("""COMPUTED_VALUE"""),"Surgical technique of retrograde ventricle-sinus shunt is an option for the treatment of hydrocephalus in infants after surgical repair of myelomeningocele")</f>
        <v>Surgical technique of retrograde ventricle-sinus shunt is an option for the treatment of hydrocephalus in infants after surgical repair of myelomeningocele</v>
      </c>
      <c r="B1808" s="5" t="str">
        <f>IFERROR(__xludf.DUMMYFUNCTION("LEFT(FILTER(IMPORTRANGE(""https://docs.google.com/spreadsheets/d/1BJSV3WBYJGRhQ6zExamkszQ5VutGIcaQqmbD9ZTVXMQ/edit#gid=1251630045"",""articles_with_PRISMA_reasons!K2:K2113""), $A1808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$A1808=IMPORTRANGE(""https://docs.google.com/spreadsheets/d/1BJSV3WBYJGRhQ6zExamkszQ5VutGIcaQqmbD9ZTVXMQ/edit#gid=1251630045"",""articles_with_PRISMA_reasons!B2:B2113"")))-1)"),"Oliveira")</f>
        <v>Oliveira</v>
      </c>
      <c r="C1808" s="6">
        <f>IFERROR(__xludf.DUMMYFUNCTION("FILTER(IMPORTRANGE(""https://docs.google.com/spreadsheets/d/1BJSV3WBYJGRhQ6zExamkszQ5VutGIcaQqmbD9ZTVXMQ/edit#gid=1251630045"",""articles_with_PRISMA_reasons!C2:C2113""), $A1808=IMPORTRANGE(""https://docs.google.com/spreadsheets/d/1BJSV3WBYJGRhQ6zExamkszQ"&amp;"5VutGIcaQqmbD9ZTVXMQ/edit#gid=1251630045"",""articles_with_PRISMA_reasons!B2:B2113""))"),2015.0)</f>
        <v>2015</v>
      </c>
      <c r="D1808" s="5" t="str">
        <f>IFERROR(__xludf.DUMMYFUNCTION("IFS(AND(
FILTER(IMPORTRANGE(""https://docs.google.com/spreadsheets/d/1BJSV3WBYJGRhQ6zExamkszQ5VutGIcaQqmbD9ZTVXMQ/edit#gid=1251630045"",""articles_with_PRISMA_reasons!Y2:Y2113""), $A1808=IMPORTRANGE(""https://docs.google.com/spreadsheets/d/1BJSV3WBYJGRhQ6"&amp;"zExamkszQ5VutGIcaQqmbD9ZTVXMQ/edit#gid=1251630045"",""articles_with_PRISMA_reasons!B2:B2113""))&gt;=2,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$A1808=IMPORTRANGE(""https://docs.google"&amp;".com/spreadsheets/d/1BJSV3WBYJGRhQ6zExamkszQ5VutGIcaQqmbD9ZTVXMQ/edit#gid=1251630045"",""articles_with_PRISMA_reasons!B2:B2113""))&gt;=2),
""Exclude""
)"),"Include")</f>
        <v>Include</v>
      </c>
      <c r="E1808" s="5" t="str">
        <f>IFERROR(__xludf.DUMMYFUNCTION("IFS(
D1808=""Exclude"",""Exclude"",
AND(
FILTER(IMPORTRANGE(""https://docs.google.com/spreadsheets/d/1qpEmbGH0JjaJbUdp21-y2cPbobDbMjr09BbtdKROZWc/edit#gid=1444865654"",""articles_with_PRISMA_reasons!W2:W2113""), $A1808=IMPORTRANGE(""https://docs.google.co"&amp;"m/spreadsheets/d/1qpEmbGH0JjaJbUdp21-y2cPbobDbMjr09BbtdKROZWc/edit#gid=1444865654"",""articles_with_PRISMA_reasons!B2:B2113""))&gt;=2,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$A1808=I"&amp;"MPORTRANGE(""https://docs.google.com/spreadsheets/d/1qpEmbGH0JjaJbUdp21-y2cPbobDbMjr09BbtdKROZWc/edit#gid=1444865654"",""articles_with_PRISMA_reasons!B2:B2113""))&gt;=2),
""Exclude""
)"),"Include")</f>
        <v>Include</v>
      </c>
      <c r="F1808" s="5" t="str">
        <f>IFERROR(__xludf.DUMMYFUNCTION("IFS(
E1808=""Exclude"",""Exclude"",
AND(
COUNTIF(
IMPORTRANGE(""https://docs.google.com/spreadsheets/d/1kGrh75X1cNR1D7_FcY9zMnHP8iPO4M5RCRjy6nZY0TY/edit#gid=0"",""Table 1: Study characteristics!B4:B171""),A1808)&gt;0,
COUNTIF(Studies!$A$2:$A$85,FILTER(IMPORT"&amp;"RANGE(""https://docs.google.com/spreadsheets/d/1kGrh75X1cNR1D7_FcY9zMnHP8iPO4M5RCRjy6nZY0TY/edit#gid=0"",""Table 1: Study characteristics!A4:A171""), $A1808=IMPORTRANGE(""https://docs.google.com/spreadsheets/d/1kGrh75X1cNR1D7_FcY9zMnHP8iPO4M5RCRjy6nZY0TY/"&amp;"edit#gid=0"",""Table 1: Study characteristics!B4:B171"")))&gt;0
),
""Include""
)"),"Include")</f>
        <v>Include</v>
      </c>
      <c r="G1808" s="5" t="str">
        <f>IFERROR(__xludf.DUMMYFUNCTION("IFS(
D1808=""Exclude"",
FILTER(IMPORTRANGE(""https://docs.google.com/spreadsheets/d/1BJSV3WBYJGRhQ6zExamkszQ5VutGIcaQqmbD9ZTVXMQ/edit#gid=1251630045"",""articles_with_PRISMA_reasons!AB2:AB2113""), $A1808=IMPORTRANGE(""https://docs.google.com/spreadsheets/"&amp;"d/1BJSV3WBYJGRhQ6zExamkszQ5VutGIcaQqmbD9ZTVXMQ/edit#gid=1251630045"",""articles_with_PRISMA_reasons!B2:B2113"")),
E1808=""Exclude"",
FILTER(IMPORTRANGE(""https://docs.google.com/spreadsheets/d/1qpEmbGH0JjaJbUdp21-y2cPbobDbMjr09BbtdKROZWc/edit#gid=14448656"&amp;"54"",""articles_with_PRISMA_reasons!Z2:Z2113""), $A1808=IMPORTRANGE(""https://docs.google.com/spreadsheets/d/1qpEmbGH0JjaJbUdp21-y2cPbobDbMjr09BbtdKROZWc/edit#gid=1444865654"",""articles_with_PRISMA_reasons!B2:B2113"")),F1808
=""Include"",FILTER(IMPORTRAN"&amp;"GE(""https://docs.google.com/spreadsheets/d/1kGrh75X1cNR1D7_FcY9zMnHP8iPO4M5RCRjy6nZY0TY/edit#gid=0"",""Table 1: Study characteristics!A4:A171""), $A1808=IMPORTRANGE(""https://docs.google.com/spreadsheets/d/1kGrh75X1cNR1D7_FcY9zMnHP8iPO4M5RCRjy6nZY0TY/edi"&amp;"t#gid=0"",""Table 1: Study characteristics!B4:B171""))
)"),"ID 146")</f>
        <v>ID 146</v>
      </c>
    </row>
    <row r="1809">
      <c r="A1809" s="4" t="str">
        <f>IFERROR(__xludf.DUMMYFUNCTION("""COMPUTED_VALUE"""),"Surgical techniques for open fetal repair of myelomeningocele")</f>
        <v>Surgical techniques for open fetal repair of myelomeningocele</v>
      </c>
      <c r="B1809" s="5" t="str">
        <f>IFERROR(__xludf.DUMMYFUNCTION("LEFT(FILTER(IMPORTRANGE(""https://docs.google.com/spreadsheets/d/1BJSV3WBYJGRhQ6zExamkszQ5VutGIcaQqmbD9ZTVXMQ/edit#gid=1251630045"",""articles_with_PRISMA_reasons!K2:K2113""), $A1809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$A1809=IMPORTRANGE(""https://docs.google.com/spreadsheets/d/1BJSV3WBYJGRhQ6zExamkszQ5VutGIcaQqmbD9ZTVXMQ/edit#gid=1251630045"",""articles_with_PRISMA_reasons!B2:B2113"")))-1)"),"Gupta")</f>
        <v>Gupta</v>
      </c>
      <c r="C1809" s="6">
        <f>IFERROR(__xludf.DUMMYFUNCTION("FILTER(IMPORTRANGE(""https://docs.google.com/spreadsheets/d/1BJSV3WBYJGRhQ6zExamkszQ5VutGIcaQqmbD9ZTVXMQ/edit#gid=1251630045"",""articles_with_PRISMA_reasons!C2:C2113""), $A1809=IMPORTRANGE(""https://docs.google.com/spreadsheets/d/1BJSV3WBYJGRhQ6zExamkszQ"&amp;"5VutGIcaQqmbD9ZTVXMQ/edit#gid=1251630045"",""articles_with_PRISMA_reasons!B2:B2113""))"),2017.0)</f>
        <v>2017</v>
      </c>
      <c r="D1809" s="5" t="str">
        <f>IFERROR(__xludf.DUMMYFUNCTION("IFS(AND(
FILTER(IMPORTRANGE(""https://docs.google.com/spreadsheets/d/1BJSV3WBYJGRhQ6zExamkszQ5VutGIcaQqmbD9ZTVXMQ/edit#gid=1251630045"",""articles_with_PRISMA_reasons!Y2:Y2113""), $A1809=IMPORTRANGE(""https://docs.google.com/spreadsheets/d/1BJSV3WBYJGRhQ6"&amp;"zExamkszQ5VutGIcaQqmbD9ZTVXMQ/edit#gid=1251630045"",""articles_with_PRISMA_reasons!B2:B2113""))&gt;=2,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$A1809=IMPORTRANGE(""https://docs.google"&amp;".com/spreadsheets/d/1BJSV3WBYJGRhQ6zExamkszQ5VutGIcaQqmbD9ZTVXMQ/edit#gid=1251630045"",""articles_with_PRISMA_reasons!B2:B2113""))&gt;=2),
""Exclude""
)"),"Exclude")</f>
        <v>Exclude</v>
      </c>
      <c r="E1809" s="5" t="str">
        <f>IFERROR(__xludf.DUMMYFUNCTION("IFS(
D1809=""Exclude"",""Exclude"",
AND(
FILTER(IMPORTRANGE(""https://docs.google.com/spreadsheets/d/1qpEmbGH0JjaJbUdp21-y2cPbobDbMjr09BbtdKROZWc/edit#gid=1444865654"",""articles_with_PRISMA_reasons!W2:W2113""), $A1809=IMPORTRANGE(""https://docs.google.co"&amp;"m/spreadsheets/d/1qpEmbGH0JjaJbUdp21-y2cPbobDbMjr09BbtdKROZWc/edit#gid=1444865654"",""articles_with_PRISMA_reasons!B2:B2113""))&gt;=2,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$A1809=I"&amp;"MPORTRANGE(""https://docs.google.com/spreadsheets/d/1qpEmbGH0JjaJbUdp21-y2cPbobDbMjr09BbtdKROZWc/edit#gid=1444865654"",""articles_with_PRISMA_reasons!B2:B2113""))&gt;=2),
""Exclude""
)"),"Exclude")</f>
        <v>Exclude</v>
      </c>
      <c r="F1809" s="5" t="str">
        <f>IFERROR(__xludf.DUMMYFUNCTION("IFS(
E1809=""Exclude"",""Exclude"",
AND(
COUNTIF(
IMPORTRANGE(""https://docs.google.com/spreadsheets/d/1kGrh75X1cNR1D7_FcY9zMnHP8iPO4M5RCRjy6nZY0TY/edit#gid=0"",""Table 1: Study characteristics!B4:B171""),A1809)&gt;0,
COUNTIF(Studies!$A$2:$A$85,FILTER(IMPORT"&amp;"RANGE(""https://docs.google.com/spreadsheets/d/1kGrh75X1cNR1D7_FcY9zMnHP8iPO4M5RCRjy6nZY0TY/edit#gid=0"",""Table 1: Study characteristics!A4:A171""), $A1809=IMPORTRANGE(""https://docs.google.com/spreadsheets/d/1kGrh75X1cNR1D7_FcY9zMnHP8iPO4M5RCRjy6nZY0TY/"&amp;"edit#gid=0"",""Table 1: Study characteristics!B4:B171"")))&gt;0
),
""Include""
)"),"Exclude")</f>
        <v>Exclude</v>
      </c>
      <c r="G1809" s="5" t="str">
        <f>IFERROR(__xludf.DUMMYFUNCTION("IFS(
D1809=""Exclude"",
FILTER(IMPORTRANGE(""https://docs.google.com/spreadsheets/d/1BJSV3WBYJGRhQ6zExamkszQ5VutGIcaQqmbD9ZTVXMQ/edit#gid=1251630045"",""articles_with_PRISMA_reasons!AB2:AB2113""), $A1809=IMPORTRANGE(""https://docs.google.com/spreadsheets/"&amp;"d/1BJSV3WBYJGRhQ6zExamkszQ5VutGIcaQqmbD9ZTVXMQ/edit#gid=1251630045"",""articles_with_PRISMA_reasons!B2:B2113"")),
E1809=""Exclude"",
FILTER(IMPORTRANGE(""https://docs.google.com/spreadsheets/d/1qpEmbGH0JjaJbUdp21-y2cPbobDbMjr09BbtdKROZWc/edit#gid=14448656"&amp;"54"",""articles_with_PRISMA_reasons!Z2:Z2113""), $A1809=IMPORTRANGE(""https://docs.google.com/spreadsheets/d/1qpEmbGH0JjaJbUdp21-y2cPbobDbMjr09BbtdKROZWc/edit#gid=1444865654"",""articles_with_PRISMA_reasons!B2:B2113"")),F1809
=""Include"",FILTER(IMPORTRAN"&amp;"GE(""https://docs.google.com/spreadsheets/d/1kGrh75X1cNR1D7_FcY9zMnHP8iPO4M5RCRjy6nZY0TY/edit#gid=0"",""Table 1: Study characteristics!A4:A171""), $A1809=IMPORTRANGE(""https://docs.google.com/spreadsheets/d/1kGrh75X1cNR1D7_FcY9zMnHP8iPO4M5RCRjy6nZY0TY/edi"&amp;"t#gid=0"",""Table 1: Study characteristics!B4:B171""))
)"),"wrong study design")</f>
        <v>wrong study design</v>
      </c>
    </row>
    <row r="1810">
      <c r="A1810" s="4" t="str">
        <f>IFERROR(__xludf.DUMMYFUNCTION("""COMPUTED_VALUE"""),"Surgical treatment of CM2 and syringomyelia in a series of 231 myelomeningocele patients")</f>
        <v>Surgical treatment of CM2 and syringomyelia in a series of 231 myelomeningocele patients</v>
      </c>
      <c r="B1810" s="5" t="str">
        <f>IFERROR(__xludf.DUMMYFUNCTION("LEFT(FILTER(IMPORTRANGE(""https://docs.google.com/spreadsheets/d/1BJSV3WBYJGRhQ6zExamkszQ5VutGIcaQqmbD9ZTVXMQ/edit#gid=1251630045"",""articles_with_PRISMA_reasons!K2:K2113""), $A1810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$A1810=IMPORTRANGE(""https://docs.google.com/spreadsheets/d/1BJSV3WBYJGRhQ6zExamkszQ5VutGIcaQqmbD9ZTVXMQ/edit#gid=1251630045"",""articles_with_PRISMA_reasons!B2:B2113"")))-1)"),"Talamonti")</f>
        <v>Talamonti</v>
      </c>
      <c r="C1810" s="6">
        <f>IFERROR(__xludf.DUMMYFUNCTION("FILTER(IMPORTRANGE(""https://docs.google.com/spreadsheets/d/1BJSV3WBYJGRhQ6zExamkszQ5VutGIcaQqmbD9ZTVXMQ/edit#gid=1251630045"",""articles_with_PRISMA_reasons!C2:C2113""), $A1810=IMPORTRANGE(""https://docs.google.com/spreadsheets/d/1BJSV3WBYJGRhQ6zExamkszQ"&amp;"5VutGIcaQqmbD9ZTVXMQ/edit#gid=1251630045"",""articles_with_PRISMA_reasons!B2:B2113""))"),2011.0)</f>
        <v>2011</v>
      </c>
      <c r="D1810" s="5" t="str">
        <f>IFERROR(__xludf.DUMMYFUNCTION("IFS(AND(
FILTER(IMPORTRANGE(""https://docs.google.com/spreadsheets/d/1BJSV3WBYJGRhQ6zExamkszQ5VutGIcaQqmbD9ZTVXMQ/edit#gid=1251630045"",""articles_with_PRISMA_reasons!Y2:Y2113""), $A1810=IMPORTRANGE(""https://docs.google.com/spreadsheets/d/1BJSV3WBYJGRhQ6"&amp;"zExamkszQ5VutGIcaQqmbD9ZTVXMQ/edit#gid=1251630045"",""articles_with_PRISMA_reasons!B2:B2113""))&gt;=2,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$A1810=IMPORTRANGE(""https://docs.google"&amp;".com/spreadsheets/d/1BJSV3WBYJGRhQ6zExamkszQ5VutGIcaQqmbD9ZTVXMQ/edit#gid=1251630045"",""articles_with_PRISMA_reasons!B2:B2113""))&gt;=2),
""Exclude""
)"),"Include")</f>
        <v>Include</v>
      </c>
      <c r="E1810" s="5" t="str">
        <f>IFERROR(__xludf.DUMMYFUNCTION("IFS(
D1810=""Exclude"",""Exclude"",
AND(
FILTER(IMPORTRANGE(""https://docs.google.com/spreadsheets/d/1qpEmbGH0JjaJbUdp21-y2cPbobDbMjr09BbtdKROZWc/edit#gid=1444865654"",""articles_with_PRISMA_reasons!W2:W2113""), $A1810=IMPORTRANGE(""https://docs.google.co"&amp;"m/spreadsheets/d/1qpEmbGH0JjaJbUdp21-y2cPbobDbMjr09BbtdKROZWc/edit#gid=1444865654"",""articles_with_PRISMA_reasons!B2:B2113""))&gt;=2,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$A1810=I"&amp;"MPORTRANGE(""https://docs.google.com/spreadsheets/d/1qpEmbGH0JjaJbUdp21-y2cPbobDbMjr09BbtdKROZWc/edit#gid=1444865654"",""articles_with_PRISMA_reasons!B2:B2113""))&gt;=2),
""Exclude""
)"),"Exclude")</f>
        <v>Exclude</v>
      </c>
      <c r="F1810" s="5" t="str">
        <f>IFERROR(__xludf.DUMMYFUNCTION("IFS(
E1810=""Exclude"",""Exclude"",
AND(
COUNTIF(
IMPORTRANGE(""https://docs.google.com/spreadsheets/d/1kGrh75X1cNR1D7_FcY9zMnHP8iPO4M5RCRjy6nZY0TY/edit#gid=0"",""Table 1: Study characteristics!B4:B171""),A1810)&gt;0,
COUNTIF(Studies!$A$2:$A$85,FILTER(IMPORT"&amp;"RANGE(""https://docs.google.com/spreadsheets/d/1kGrh75X1cNR1D7_FcY9zMnHP8iPO4M5RCRjy6nZY0TY/edit#gid=0"",""Table 1: Study characteristics!A4:A171""), $A1810=IMPORTRANGE(""https://docs.google.com/spreadsheets/d/1kGrh75X1cNR1D7_FcY9zMnHP8iPO4M5RCRjy6nZY0TY/"&amp;"edit#gid=0"",""Table 1: Study characteristics!B4:B171"")))&gt;0
),
""Include""
)"),"Exclude")</f>
        <v>Exclude</v>
      </c>
      <c r="G1810" s="5" t="str">
        <f>IFERROR(__xludf.DUMMYFUNCTION("IFS(
D1810=""Exclude"",
FILTER(IMPORTRANGE(""https://docs.google.com/spreadsheets/d/1BJSV3WBYJGRhQ6zExamkszQ5VutGIcaQqmbD9ZTVXMQ/edit#gid=1251630045"",""articles_with_PRISMA_reasons!AB2:AB2113""), $A1810=IMPORTRANGE(""https://docs.google.com/spreadsheets/"&amp;"d/1BJSV3WBYJGRhQ6zExamkszQ5VutGIcaQqmbD9ZTVXMQ/edit#gid=1251630045"",""articles_with_PRISMA_reasons!B2:B2113"")),
E1810=""Exclude"",
FILTER(IMPORTRANGE(""https://docs.google.com/spreadsheets/d/1qpEmbGH0JjaJbUdp21-y2cPbobDbMjr09BbtdKROZWc/edit#gid=14448656"&amp;"54"",""articles_with_PRISMA_reasons!Z2:Z2113""), $A1810=IMPORTRANGE(""https://docs.google.com/spreadsheets/d/1qpEmbGH0JjaJbUdp21-y2cPbobDbMjr09BbtdKROZWc/edit#gid=1444865654"",""articles_with_PRISMA_reasons!B2:B2113"")),F1810
=""Include"",FILTER(IMPORTRAN"&amp;"GE(""https://docs.google.com/spreadsheets/d/1kGrh75X1cNR1D7_FcY9zMnHP8iPO4M5RCRjy6nZY0TY/edit#gid=0"",""Table 1: Study characteristics!A4:A171""), $A1810=IMPORTRANGE(""https://docs.google.com/spreadsheets/d/1kGrh75X1cNR1D7_FcY9zMnHP8iPO4M5RCRjy6nZY0TY/edi"&amp;"t#gid=0"",""Table 1: Study characteristics!B4:B171""))
)"),"wrong population")</f>
        <v>wrong population</v>
      </c>
    </row>
    <row r="1811">
      <c r="A1811" s="4" t="str">
        <f>IFERROR(__xludf.DUMMYFUNCTION("""COMPUTED_VALUE"""),"Surgical treatment of hydrocephalus and spinal dysraphism")</f>
        <v>Surgical treatment of hydrocephalus and spinal dysraphism</v>
      </c>
      <c r="B1811" s="5" t="str">
        <f>IFERROR(__xludf.DUMMYFUNCTION("LEFT(FILTER(IMPORTRANGE(""https://docs.google.com/spreadsheets/d/1BJSV3WBYJGRhQ6zExamkszQ5VutGIcaQqmbD9ZTVXMQ/edit#gid=1251630045"",""articles_with_PRISMA_reasons!K2:K2113""), $A1811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$A1811=IMPORTRANGE(""https://docs.google.com/spreadsheets/d/1BJSV3WBYJGRhQ6zExamkszQ5VutGIcaQqmbD9ZTVXMQ/edit#gid=1251630045"",""articles_with_PRISMA_reasons!B2:B2113"")))-1)"),"Elshani")</f>
        <v>Elshani</v>
      </c>
      <c r="C1811" s="6">
        <f>IFERROR(__xludf.DUMMYFUNCTION("FILTER(IMPORTRANGE(""https://docs.google.com/spreadsheets/d/1BJSV3WBYJGRhQ6zExamkszQ5VutGIcaQqmbD9ZTVXMQ/edit#gid=1251630045"",""articles_with_PRISMA_reasons!C2:C2113""), $A1811=IMPORTRANGE(""https://docs.google.com/spreadsheets/d/1BJSV3WBYJGRhQ6zExamkszQ"&amp;"5VutGIcaQqmbD9ZTVXMQ/edit#gid=1251630045"",""articles_with_PRISMA_reasons!B2:B2113""))"),2014.0)</f>
        <v>2014</v>
      </c>
      <c r="D1811" s="5" t="str">
        <f>IFERROR(__xludf.DUMMYFUNCTION("IFS(AND(
FILTER(IMPORTRANGE(""https://docs.google.com/spreadsheets/d/1BJSV3WBYJGRhQ6zExamkszQ5VutGIcaQqmbD9ZTVXMQ/edit#gid=1251630045"",""articles_with_PRISMA_reasons!Y2:Y2113""), $A1811=IMPORTRANGE(""https://docs.google.com/spreadsheets/d/1BJSV3WBYJGRhQ6"&amp;"zExamkszQ5VutGIcaQqmbD9ZTVXMQ/edit#gid=1251630045"",""articles_with_PRISMA_reasons!B2:B2113""))&gt;=2,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$A1811=IMPORTRANGE(""https://docs.google"&amp;".com/spreadsheets/d/1BJSV3WBYJGRhQ6zExamkszQ5VutGIcaQqmbD9ZTVXMQ/edit#gid=1251630045"",""articles_with_PRISMA_reasons!B2:B2113""))&gt;=2),
""Exclude""
)"),"Include")</f>
        <v>Include</v>
      </c>
      <c r="E1811" s="5" t="str">
        <f>IFERROR(__xludf.DUMMYFUNCTION("IFS(
D1811=""Exclude"",""Exclude"",
AND(
FILTER(IMPORTRANGE(""https://docs.google.com/spreadsheets/d/1qpEmbGH0JjaJbUdp21-y2cPbobDbMjr09BbtdKROZWc/edit#gid=1444865654"",""articles_with_PRISMA_reasons!W2:W2113""), $A1811=IMPORTRANGE(""https://docs.google.co"&amp;"m/spreadsheets/d/1qpEmbGH0JjaJbUdp21-y2cPbobDbMjr09BbtdKROZWc/edit#gid=1444865654"",""articles_with_PRISMA_reasons!B2:B2113""))&gt;=2,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$A1811=I"&amp;"MPORTRANGE(""https://docs.google.com/spreadsheets/d/1qpEmbGH0JjaJbUdp21-y2cPbobDbMjr09BbtdKROZWc/edit#gid=1444865654"",""articles_with_PRISMA_reasons!B2:B2113""))&gt;=2),
""Exclude""
)"),"Include")</f>
        <v>Include</v>
      </c>
      <c r="F1811" s="2" t="s">
        <v>8</v>
      </c>
      <c r="G1811" s="2" t="s">
        <v>9</v>
      </c>
    </row>
    <row r="1812">
      <c r="A1812" s="4" t="str">
        <f>IFERROR(__xludf.DUMMYFUNCTION("""COMPUTED_VALUE"""),"Surgical treatment of hydrocephalus in infancy")</f>
        <v>Surgical treatment of hydrocephalus in infancy</v>
      </c>
      <c r="B1812" s="5" t="str">
        <f>IFERROR(__xludf.DUMMYFUNCTION("LEFT(FILTER(IMPORTRANGE(""https://docs.google.com/spreadsheets/d/1BJSV3WBYJGRhQ6zExamkszQ5VutGIcaQqmbD9ZTVXMQ/edit#gid=1251630045"",""articles_with_PRISMA_reasons!K2:K2113""), $A1812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$A1812=IMPORTRANGE(""https://docs.google.com/spreadsheets/d/1BJSV3WBYJGRhQ6zExamkszQ5VutGIcaQqmbD9ZTVXMQ/edit#gid=1251630045"",""articles_with_PRISMA_reasons!B2:B2113"")))-1)"),"Salmon")</f>
        <v>Salmon</v>
      </c>
      <c r="C1812" s="6">
        <f>IFERROR(__xludf.DUMMYFUNCTION("FILTER(IMPORTRANGE(""https://docs.google.com/spreadsheets/d/1BJSV3WBYJGRhQ6zExamkszQ5VutGIcaQqmbD9ZTVXMQ/edit#gid=1251630045"",""articles_with_PRISMA_reasons!C2:C2113""), $A1812=IMPORTRANGE(""https://docs.google.com/spreadsheets/d/1BJSV3WBYJGRhQ6zExamkszQ"&amp;"5VutGIcaQqmbD9ZTVXMQ/edit#gid=1251630045"",""articles_with_PRISMA_reasons!B2:B2113""))"),1978.0)</f>
        <v>1978</v>
      </c>
      <c r="D1812" s="5" t="str">
        <f>IFERROR(__xludf.DUMMYFUNCTION("IFS(AND(
FILTER(IMPORTRANGE(""https://docs.google.com/spreadsheets/d/1BJSV3WBYJGRhQ6zExamkszQ5VutGIcaQqmbD9ZTVXMQ/edit#gid=1251630045"",""articles_with_PRISMA_reasons!Y2:Y2113""), $A1812=IMPORTRANGE(""https://docs.google.com/spreadsheets/d/1BJSV3WBYJGRhQ6"&amp;"zExamkszQ5VutGIcaQqmbD9ZTVXMQ/edit#gid=1251630045"",""articles_with_PRISMA_reasons!B2:B2113""))&gt;=2,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$A1812=IMPORTRANGE(""https://docs.google"&amp;".com/spreadsheets/d/1BJSV3WBYJGRhQ6zExamkszQ5VutGIcaQqmbD9ZTVXMQ/edit#gid=1251630045"",""articles_with_PRISMA_reasons!B2:B2113""))&gt;=2),
""Exclude""
)"),"Exclude")</f>
        <v>Exclude</v>
      </c>
      <c r="E1812" s="5" t="str">
        <f>IFERROR(__xludf.DUMMYFUNCTION("IFS(
D1812=""Exclude"",""Exclude"",
AND(
FILTER(IMPORTRANGE(""https://docs.google.com/spreadsheets/d/1qpEmbGH0JjaJbUdp21-y2cPbobDbMjr09BbtdKROZWc/edit#gid=1444865654"",""articles_with_PRISMA_reasons!W2:W2113""), $A1812=IMPORTRANGE(""https://docs.google.co"&amp;"m/spreadsheets/d/1qpEmbGH0JjaJbUdp21-y2cPbobDbMjr09BbtdKROZWc/edit#gid=1444865654"",""articles_with_PRISMA_reasons!B2:B2113""))&gt;=2,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$A1812=I"&amp;"MPORTRANGE(""https://docs.google.com/spreadsheets/d/1qpEmbGH0JjaJbUdp21-y2cPbobDbMjr09BbtdKROZWc/edit#gid=1444865654"",""articles_with_PRISMA_reasons!B2:B2113""))&gt;=2),
""Exclude""
)"),"Exclude")</f>
        <v>Exclude</v>
      </c>
      <c r="F1812" s="5" t="str">
        <f>IFERROR(__xludf.DUMMYFUNCTION("IFS(
E1812=""Exclude"",""Exclude"",
AND(
COUNTIF(
IMPORTRANGE(""https://docs.google.com/spreadsheets/d/1kGrh75X1cNR1D7_FcY9zMnHP8iPO4M5RCRjy6nZY0TY/edit#gid=0"",""Table 1: Study characteristics!B4:B171""),A1812)&gt;0,
COUNTIF(Studies!$A$2:$A$85,FILTER(IMPORT"&amp;"RANGE(""https://docs.google.com/spreadsheets/d/1kGrh75X1cNR1D7_FcY9zMnHP8iPO4M5RCRjy6nZY0TY/edit#gid=0"",""Table 1: Study characteristics!A4:A171""), $A1812=IMPORTRANGE(""https://docs.google.com/spreadsheets/d/1kGrh75X1cNR1D7_FcY9zMnHP8iPO4M5RCRjy6nZY0TY/"&amp;"edit#gid=0"",""Table 1: Study characteristics!B4:B171"")))&gt;0
),
""Include""
)"),"Exclude")</f>
        <v>Exclude</v>
      </c>
      <c r="G1812" s="5" t="str">
        <f>IFERROR(__xludf.DUMMYFUNCTION("IFS(
D1812=""Exclude"",
FILTER(IMPORTRANGE(""https://docs.google.com/spreadsheets/d/1BJSV3WBYJGRhQ6zExamkszQ5VutGIcaQqmbD9ZTVXMQ/edit#gid=1251630045"",""articles_with_PRISMA_reasons!AB2:AB2113""), $A1812=IMPORTRANGE(""https://docs.google.com/spreadsheets/"&amp;"d/1BJSV3WBYJGRhQ6zExamkszQ5VutGIcaQqmbD9ZTVXMQ/edit#gid=1251630045"",""articles_with_PRISMA_reasons!B2:B2113"")),
E1812=""Exclude"",
FILTER(IMPORTRANGE(""https://docs.google.com/spreadsheets/d/1qpEmbGH0JjaJbUdp21-y2cPbobDbMjr09BbtdKROZWc/edit#gid=14448656"&amp;"54"",""articles_with_PRISMA_reasons!Z2:Z2113""), $A1812=IMPORTRANGE(""https://docs.google.com/spreadsheets/d/1qpEmbGH0JjaJbUdp21-y2cPbobDbMjr09BbtdKROZWc/edit#gid=1444865654"",""articles_with_PRISMA_reasons!B2:B2113"")),F1812
=""Include"",FILTER(IMPORTRAN"&amp;"GE(""https://docs.google.com/spreadsheets/d/1kGrh75X1cNR1D7_FcY9zMnHP8iPO4M5RCRjy6nZY0TY/edit#gid=0"",""Table 1: Study characteristics!A4:A171""), $A1812=IMPORTRANGE(""https://docs.google.com/spreadsheets/d/1kGrh75X1cNR1D7_FcY9zMnHP8iPO4M5RCRjy6nZY0TY/edi"&amp;"t#gid=0"",""Table 1: Study characteristics!B4:B171""))
)"),"wrong study design")</f>
        <v>wrong study design</v>
      </c>
    </row>
    <row r="1813">
      <c r="A1813" s="4" t="str">
        <f>IFERROR(__xludf.DUMMYFUNCTION("""COMPUTED_VALUE"""),"Surgical treatment of late neurological deterioration in children with myelodysplasia")</f>
        <v>Surgical treatment of late neurological deterioration in children with myelodysplasia</v>
      </c>
      <c r="B1813" s="5" t="str">
        <f>IFERROR(__xludf.DUMMYFUNCTION("LEFT(FILTER(IMPORTRANGE(""https://docs.google.com/spreadsheets/d/1BJSV3WBYJGRhQ6zExamkszQ5VutGIcaQqmbD9ZTVXMQ/edit#gid=1251630045"",""articles_with_PRISMA_reasons!K2:K2113""), $A1813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$A1813=IMPORTRANGE(""https://docs.google.com/spreadsheets/d/1BJSV3WBYJGRhQ6zExamkszQ5VutGIcaQqmbD9ZTVXMQ/edit#gid=1251630045"",""articles_with_PRISMA_reasons!B2:B2113"")))-1)"),"Caldarelli")</f>
        <v>Caldarelli</v>
      </c>
      <c r="C1813" s="6">
        <f>IFERROR(__xludf.DUMMYFUNCTION("FILTER(IMPORTRANGE(""https://docs.google.com/spreadsheets/d/1BJSV3WBYJGRhQ6zExamkszQ5VutGIcaQqmbD9ZTVXMQ/edit#gid=1251630045"",""articles_with_PRISMA_reasons!C2:C2113""), $A1813=IMPORTRANGE(""https://docs.google.com/spreadsheets/d/1BJSV3WBYJGRhQ6zExamkszQ"&amp;"5VutGIcaQqmbD9ZTVXMQ/edit#gid=1251630045"",""articles_with_PRISMA_reasons!B2:B2113""))"),1995.0)</f>
        <v>1995</v>
      </c>
      <c r="D1813" s="5" t="str">
        <f>IFERROR(__xludf.DUMMYFUNCTION("IFS(AND(
FILTER(IMPORTRANGE(""https://docs.google.com/spreadsheets/d/1BJSV3WBYJGRhQ6zExamkszQ5VutGIcaQqmbD9ZTVXMQ/edit#gid=1251630045"",""articles_with_PRISMA_reasons!Y2:Y2113""), $A1813=IMPORTRANGE(""https://docs.google.com/spreadsheets/d/1BJSV3WBYJGRhQ6"&amp;"zExamkszQ5VutGIcaQqmbD9ZTVXMQ/edit#gid=1251630045"",""articles_with_PRISMA_reasons!B2:B2113""))&gt;=2,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$A1813=IMPORTRANGE(""https://docs.google"&amp;".com/spreadsheets/d/1BJSV3WBYJGRhQ6zExamkszQ5VutGIcaQqmbD9ZTVXMQ/edit#gid=1251630045"",""articles_with_PRISMA_reasons!B2:B2113""))&gt;=2),
""Exclude""
)"),"Include")</f>
        <v>Include</v>
      </c>
      <c r="E1813" s="5" t="str">
        <f>IFERROR(__xludf.DUMMYFUNCTION("IFS(
D1813=""Exclude"",""Exclude"",
AND(
FILTER(IMPORTRANGE(""https://docs.google.com/spreadsheets/d/1qpEmbGH0JjaJbUdp21-y2cPbobDbMjr09BbtdKROZWc/edit#gid=1444865654"",""articles_with_PRISMA_reasons!W2:W2113""), $A1813=IMPORTRANGE(""https://docs.google.co"&amp;"m/spreadsheets/d/1qpEmbGH0JjaJbUdp21-y2cPbobDbMjr09BbtdKROZWc/edit#gid=1444865654"",""articles_with_PRISMA_reasons!B2:B2113""))&gt;=2,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$A1813=I"&amp;"MPORTRANGE(""https://docs.google.com/spreadsheets/d/1qpEmbGH0JjaJbUdp21-y2cPbobDbMjr09BbtdKROZWc/edit#gid=1444865654"",""articles_with_PRISMA_reasons!B2:B2113""))&gt;=2),
""Exclude""
)"),"Include")</f>
        <v>Include</v>
      </c>
      <c r="F1813" s="2" t="s">
        <v>8</v>
      </c>
      <c r="G1813" s="2" t="s">
        <v>17</v>
      </c>
    </row>
    <row r="1814">
      <c r="A1814" s="4" t="str">
        <f>IFERROR(__xludf.DUMMYFUNCTION("""COMPUTED_VALUE"""),"Surgical treatment of myelomeningocele carried out at 'time zero' immediately after birth")</f>
        <v>Surgical treatment of myelomeningocele carried out at 'time zero' immediately after birth</v>
      </c>
      <c r="B1814" s="5" t="str">
        <f>IFERROR(__xludf.DUMMYFUNCTION("LEFT(FILTER(IMPORTRANGE(""https://docs.google.com/spreadsheets/d/1BJSV3WBYJGRhQ6zExamkszQ5VutGIcaQqmbD9ZTVXMQ/edit#gid=1251630045"",""articles_with_PRISMA_reasons!K2:K2113""), $A1814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$A1814=IMPORTRANGE(""https://docs.google.com/spreadsheets/d/1BJSV3WBYJGRhQ6zExamkszQ5VutGIcaQqmbD9ZTVXMQ/edit#gid=1251630045"",""articles_with_PRISMA_reasons!B2:B2113"")))-1)"),"Matushita")</f>
        <v>Matushita</v>
      </c>
      <c r="C1814" s="6">
        <f>IFERROR(__xludf.DUMMYFUNCTION("FILTER(IMPORTRANGE(""https://docs.google.com/spreadsheets/d/1BJSV3WBYJGRhQ6zExamkszQ5VutGIcaQqmbD9ZTVXMQ/edit#gid=1251630045"",""articles_with_PRISMA_reasons!C2:C2113""), $A1814=IMPORTRANGE(""https://docs.google.com/spreadsheets/d/1BJSV3WBYJGRhQ6zExamkszQ"&amp;"5VutGIcaQqmbD9ZTVXMQ/edit#gid=1251630045"",""articles_with_PRISMA_reasons!B2:B2113""))"),2009.0)</f>
        <v>2009</v>
      </c>
      <c r="D1814" s="5" t="str">
        <f>IFERROR(__xludf.DUMMYFUNCTION("IFS(AND(
FILTER(IMPORTRANGE(""https://docs.google.com/spreadsheets/d/1BJSV3WBYJGRhQ6zExamkszQ5VutGIcaQqmbD9ZTVXMQ/edit#gid=1251630045"",""articles_with_PRISMA_reasons!Y2:Y2113""), $A1814=IMPORTRANGE(""https://docs.google.com/spreadsheets/d/1BJSV3WBYJGRhQ6"&amp;"zExamkszQ5VutGIcaQqmbD9ZTVXMQ/edit#gid=1251630045"",""articles_with_PRISMA_reasons!B2:B2113""))&gt;=2,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$A1814=IMPORTRANGE(""https://docs.google.com/spreadsheets/d/1BJSV3WBYJGRhQ6zExamkszQ5VutGIcaQqmbD9ZTVXMQ/edit#gid=1251630045"",""articles_with_PRISMA_reasons!B2:B2113""))&lt;2),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$A1814=IMPORTRANGE(""https://docs.google.com/spreadsheets/d/1BJSV3WBYJGRhQ6zExamkszQ5VutGIcaQqmbD9ZTVXMQ/edit#gid=1251630045"",""a"&amp;"rticles_with_PRISMA_reasons!B2:B2113""))&lt;2,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$A1814=IMPORTRANGE(""https://docs.google"&amp;".com/spreadsheets/d/1BJSV3WBYJGRhQ6zExamkszQ5VutGIcaQqmbD9ZTVXMQ/edit#gid=1251630045"",""articles_with_PRISMA_reasons!B2:B2113""))&gt;=2),
""Exclude""
)"),"Include")</f>
        <v>Include</v>
      </c>
      <c r="E1814" s="5" t="str">
        <f>IFERROR(__xludf.DUMMYFUNCTION("IFS(
D1814=""Exclude"",""Exclude"",
AND(
FILTER(IMPORTRANGE(""https://docs.google.com/spreadsheets/d/1qpEmbGH0JjaJbUdp21-y2cPbobDbMjr09BbtdKROZWc/edit#gid=1444865654"",""articles_with_PRISMA_reasons!W2:W2113""), $A1814=IMPORTRANGE(""https://docs.google.co"&amp;"m/spreadsheets/d/1qpEmbGH0JjaJbUdp21-y2cPbobDbMjr09BbtdKROZWc/edit#gid=1444865654"",""articles_with_PRISMA_reasons!B2:B2113""))&gt;=2,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$A1814=IMPORTRANGE(""https://docs.google.com/spreadsheets/d/1qpEmbGH0JjaJbUdp21-y2cPbobDbMjr09BbtdKROZWc/edit#gid=1444865654"",""articles_with_PRISMA_reasons!B2:B2113""))&lt;2),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$A1814=IMPORTRANGE(""https://docs.google.com/spreadsheets/d/1qpEmbGH0JjaJbUdp21-y2cPbobDbMjr09Bbtd"&amp;"KROZWc/edit#gid=1444865654"",""articles_with_PRISMA_reasons!B2:B2113""))&lt;2,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$A1814=I"&amp;"MPORTRANGE(""https://docs.google.com/spreadsheets/d/1qpEmbGH0JjaJbUdp21-y2cPbobDbMjr09BbtdKROZWc/edit#gid=1444865654"",""articles_with_PRISMA_reasons!B2:B2113""))&gt;=2),
""Exclude""
)"),"Include")</f>
        <v>Include</v>
      </c>
      <c r="F1814" s="5" t="str">
        <f>IFERROR(__xludf.DUMMYFUNCTION("IFS(
E1814=""Exclude"",""Exclude"",
AND(
COUNTIF(
IMPORTRANGE(""https://docs.google.com/spreadsheets/d/1kGrh75X1cNR1D7_FcY9zMnHP8iPO4M5RCRjy6nZY0TY/edit#gid=0"",""Table 1: Study characteristics!B4:B171""),A1814)&gt;0,
COUNTIF(Studies!$A$2:$A$85,FILTER(IMPORT"&amp;"RANGE(""https://docs.google.com/spreadsheets/d/1kGrh75X1cNR1D7_FcY9zMnHP8iPO4M5RCRjy6nZY0TY/edit#gid=0"",""Table 1: Study characteristics!A4:A171""), $A1814=IMPORTRANGE(""https://docs.google.com/spreadsheets/d/1kGrh75X1cNR1D7_FcY9zMnHP8iPO4M5RCRjy6nZY0TY/"&amp;"edit#gid=0"",""Table 1: Study characteristics!B4:B171"")))&gt;0
),
""Include""
)"),"Include")</f>
        <v>Include</v>
      </c>
      <c r="G1814" s="5" t="str">
        <f>IFERROR(__xludf.DUMMYFUNCTION("IFS(
D1814=""Exclude"",
FILTER(IMPORTRANGE(""https://docs.google.com/spreadsheets/d/1BJSV3WBYJGRhQ6zExamkszQ5VutGIcaQqmbD9ZTVXMQ/edit#gid=1251630045"",""articles_with_PRISMA_reasons!AB2:AB2113""), $A1814=IMPORTRANGE(""https://docs.google.com/spreadsheets/"&amp;"d/1BJSV3WBYJGRhQ6zExamkszQ5VutGIcaQqmbD9ZTVXMQ/edit#gid=1251630045"",""articles_with_PRISMA_reasons!B2:B2113"")),
E1814=""Exclude"",
FILTER(IMPORTRANGE(""https://docs.google.com/spreadsheets/d/1qpEmbGH0JjaJbUdp21-y2cPbobDbMjr09BbtdKROZWc/edit#gid=14448656"&amp;"54"",""articles_with_PRISMA_reasons!Z2:Z2113""), $A1814=IMPORTRANGE(""https://docs.google.com/spreadsheets/d/1qpEmbGH0JjaJbUdp21-y2cPbobDbMjr09BbtdKROZWc/edit#gid=1444865654"",""articles_with_PRISMA_reasons!B2:B2113"")),F1814
=""Include"",FILTER(IMPORTRAN"&amp;"GE(""https://docs.google.com/spreadsheets/d/1kGrh75X1cNR1D7_FcY9zMnHP8iPO4M5RCRjy6nZY0TY/edit#gid=0"",""Table 1: Study characteristics!A4:A171""), $A1814=IMPORTRANGE(""https://docs.google.com/spreadsheets/d/1kGrh75X1cNR1D7_FcY9zMnHP8iPO4M5RCRjy6nZY0TY/edi"&amp;"t#gid=0"",""Table 1: Study characteristics!B4:B171""))
)"),"ID 149")</f>
        <v>ID 149</v>
      </c>
    </row>
    <row r="1815">
      <c r="A1815" s="4" t="str">
        <f>IFERROR(__xludf.DUMMYFUNCTION("""COMPUTED_VALUE"""),"Surgical treatment of neonates with very low (VLBW) or extremely low (ELBW) birth weight")</f>
        <v>Surgical treatment of neonates with very low (VLBW) or extremely low (ELBW) birth weight</v>
      </c>
      <c r="B1815" s="5" t="str">
        <f>IFERROR(__xludf.DUMMYFUNCTION("LEFT(FILTER(IMPORTRANGE(""https://docs.google.com/spreadsheets/d/1BJSV3WBYJGRhQ6zExamkszQ5VutGIcaQqmbD9ZTVXMQ/edit#gid=1251630045"",""articles_with_PRISMA_reasons!K2:K2113""), $A1815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$A1815=IMPORTRANGE(""https://docs.google.com/spreadsheets/d/1BJSV3WBYJGRhQ6zExamkszQ5VutGIcaQqmbD9ZTVXMQ/edit#gid=1251630045"",""articles_with_PRISMA_reasons!B2:B2113"")))-1)"),"Sawicka")</f>
        <v>Sawicka</v>
      </c>
      <c r="C1815" s="6">
        <f>IFERROR(__xludf.DUMMYFUNCTION("FILTER(IMPORTRANGE(""https://docs.google.com/spreadsheets/d/1BJSV3WBYJGRhQ6zExamkszQ5VutGIcaQqmbD9ZTVXMQ/edit#gid=1251630045"",""articles_with_PRISMA_reasons!C2:C2113""), $A1815=IMPORTRANGE(""https://docs.google.com/spreadsheets/d/1BJSV3WBYJGRhQ6zExamkszQ"&amp;"5VutGIcaQqmbD9ZTVXMQ/edit#gid=1251630045"",""articles_with_PRISMA_reasons!B2:B2113""))"),2011.0)</f>
        <v>2011</v>
      </c>
      <c r="D1815" s="5" t="str">
        <f>IFERROR(__xludf.DUMMYFUNCTION("IFS(AND(
FILTER(IMPORTRANGE(""https://docs.google.com/spreadsheets/d/1BJSV3WBYJGRhQ6zExamkszQ5VutGIcaQqmbD9ZTVXMQ/edit#gid=1251630045"",""articles_with_PRISMA_reasons!Y2:Y2113""), $A1815=IMPORTRANGE(""https://docs.google.com/spreadsheets/d/1BJSV3WBYJGRhQ6"&amp;"zExamkszQ5VutGIcaQqmbD9ZTVXMQ/edit#gid=1251630045"",""articles_with_PRISMA_reasons!B2:B2113""))&gt;=2,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$A1815=IMPORTRANGE(""https://docs.google.com/spreadsheets/d/1BJSV3WBYJGRhQ6zExamkszQ5VutGIcaQqmbD9ZTVXMQ/edit#gid=1251630045"",""articles_with_PRISMA_reasons!B2:B2113""))&lt;2),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$A1815=IMPORTRANGE(""https://docs.google.com/spreadsheets/d/1BJSV3WBYJGRhQ6zExamkszQ5VutGIcaQqmbD9ZTVXMQ/edit#gid=1251630045"",""a"&amp;"rticles_with_PRISMA_reasons!B2:B2113""))&lt;2,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$A1815=IMPORTRANGE(""https://docs.google"&amp;".com/spreadsheets/d/1BJSV3WBYJGRhQ6zExamkszQ5VutGIcaQqmbD9ZTVXMQ/edit#gid=1251630045"",""articles_with_PRISMA_reasons!B2:B2113""))&gt;=2),
""Exclude""
)"),"Exclude")</f>
        <v>Exclude</v>
      </c>
      <c r="E1815" s="5" t="str">
        <f>IFERROR(__xludf.DUMMYFUNCTION("IFS(
D1815=""Exclude"",""Exclude"",
AND(
FILTER(IMPORTRANGE(""https://docs.google.com/spreadsheets/d/1qpEmbGH0JjaJbUdp21-y2cPbobDbMjr09BbtdKROZWc/edit#gid=1444865654"",""articles_with_PRISMA_reasons!W2:W2113""), $A1815=IMPORTRANGE(""https://docs.google.co"&amp;"m/spreadsheets/d/1qpEmbGH0JjaJbUdp21-y2cPbobDbMjr09BbtdKROZWc/edit#gid=1444865654"",""articles_with_PRISMA_reasons!B2:B2113""))&gt;=2,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$A1815=IMPORTRANGE(""https://docs.google.com/spreadsheets/d/1qpEmbGH0JjaJbUdp21-y2cPbobDbMjr09BbtdKROZWc/edit#gid=1444865654"",""articles_with_PRISMA_reasons!B2:B2113""))&lt;2),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$A1815=IMPORTRANGE(""https://docs.google.com/spreadsheets/d/1qpEmbGH0JjaJbUdp21-y2cPbobDbMjr09Bbtd"&amp;"KROZWc/edit#gid=1444865654"",""articles_with_PRISMA_reasons!B2:B2113""))&lt;2,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$A1815=I"&amp;"MPORTRANGE(""https://docs.google.com/spreadsheets/d/1qpEmbGH0JjaJbUdp21-y2cPbobDbMjr09BbtdKROZWc/edit#gid=1444865654"",""articles_with_PRISMA_reasons!B2:B2113""))&gt;=2),
""Exclude""
)"),"Exclude")</f>
        <v>Exclude</v>
      </c>
      <c r="F1815" s="5" t="str">
        <f>IFERROR(__xludf.DUMMYFUNCTION("IFS(
E1815=""Exclude"",""Exclude"",
AND(
COUNTIF(
IMPORTRANGE(""https://docs.google.com/spreadsheets/d/1kGrh75X1cNR1D7_FcY9zMnHP8iPO4M5RCRjy6nZY0TY/edit#gid=0"",""Table 1: Study characteristics!B4:B171""),A1815)&gt;0,
COUNTIF(Studies!$A$2:$A$85,FILTER(IMPORT"&amp;"RANGE(""https://docs.google.com/spreadsheets/d/1kGrh75X1cNR1D7_FcY9zMnHP8iPO4M5RCRjy6nZY0TY/edit#gid=0"",""Table 1: Study characteristics!A4:A171""), $A1815=IMPORTRANGE(""https://docs.google.com/spreadsheets/d/1kGrh75X1cNR1D7_FcY9zMnHP8iPO4M5RCRjy6nZY0TY/"&amp;"edit#gid=0"",""Table 1: Study characteristics!B4:B171"")))&gt;0
),
""Include""
)"),"Exclude")</f>
        <v>Exclude</v>
      </c>
      <c r="G1815" s="5" t="str">
        <f>IFERROR(__xludf.DUMMYFUNCTION("IFS(
D1815=""Exclude"",
FILTER(IMPORTRANGE(""https://docs.google.com/spreadsheets/d/1BJSV3WBYJGRhQ6zExamkszQ5VutGIcaQqmbD9ZTVXMQ/edit#gid=1251630045"",""articles_with_PRISMA_reasons!AB2:AB2113""), $A1815=IMPORTRANGE(""https://docs.google.com/spreadsheets/"&amp;"d/1BJSV3WBYJGRhQ6zExamkszQ5VutGIcaQqmbD9ZTVXMQ/edit#gid=1251630045"",""articles_with_PRISMA_reasons!B2:B2113"")),
E1815=""Exclude"",
FILTER(IMPORTRANGE(""https://docs.google.com/spreadsheets/d/1qpEmbGH0JjaJbUdp21-y2cPbobDbMjr09BbtdKROZWc/edit#gid=14448656"&amp;"54"",""articles_with_PRISMA_reasons!Z2:Z2113""), $A1815=IMPORTRANGE(""https://docs.google.com/spreadsheets/d/1qpEmbGH0JjaJbUdp21-y2cPbobDbMjr09BbtdKROZWc/edit#gid=1444865654"",""articles_with_PRISMA_reasons!B2:B2113"")),F1815
=""Include"",FILTER(IMPORTRAN"&amp;"GE(""https://docs.google.com/spreadsheets/d/1kGrh75X1cNR1D7_FcY9zMnHP8iPO4M5RCRjy6nZY0TY/edit#gid=0"",""Table 1: Study characteristics!A4:A171""), $A1815=IMPORTRANGE(""https://docs.google.com/spreadsheets/d/1kGrh75X1cNR1D7_FcY9zMnHP8iPO4M5RCRjy6nZY0TY/edi"&amp;"t#gid=0"",""Table 1: Study characteristics!B4:B171""))
)"),"wrong population")</f>
        <v>wrong population</v>
      </c>
    </row>
    <row r="1816">
      <c r="A1816" s="4" t="str">
        <f>IFERROR(__xludf.DUMMYFUNCTION("""COMPUTED_VALUE"""),"Surgically correctable fetal anomalies: Ultrasound diagnosis and management")</f>
        <v>Surgically correctable fetal anomalies: Ultrasound diagnosis and management</v>
      </c>
      <c r="B1816" s="5" t="str">
        <f>IFERROR(__xludf.DUMMYFUNCTION("LEFT(FILTER(IMPORTRANGE(""https://docs.google.com/spreadsheets/d/1BJSV3WBYJGRhQ6zExamkszQ5VutGIcaQqmbD9ZTVXMQ/edit#gid=1251630045"",""articles_with_PRISMA_reasons!K2:K2113""), $A1816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$A1816=IMPORTRANGE(""https://docs.google.com/spreadsheets/d/1BJSV3WBYJGRhQ6zExamkszQ5VutGIcaQqmbD9ZTVXMQ/edit#gid=1251630045"",""articles_with_PRISMA_reasons!B2:B2113"")))-1)"),"Zaputovic")</f>
        <v>Zaputovic</v>
      </c>
      <c r="C1816" s="6">
        <f>IFERROR(__xludf.DUMMYFUNCTION("FILTER(IMPORTRANGE(""https://docs.google.com/spreadsheets/d/1BJSV3WBYJGRhQ6zExamkszQ5VutGIcaQqmbD9ZTVXMQ/edit#gid=1251630045"",""articles_with_PRISMA_reasons!C2:C2113""), $A1816=IMPORTRANGE(""https://docs.google.com/spreadsheets/d/1BJSV3WBYJGRhQ6zExamkszQ"&amp;"5VutGIcaQqmbD9ZTVXMQ/edit#gid=1251630045"",""articles_with_PRISMA_reasons!B2:B2113""))"),2012.0)</f>
        <v>2012</v>
      </c>
      <c r="D1816" s="5" t="str">
        <f>IFERROR(__xludf.DUMMYFUNCTION("IFS(AND(
FILTER(IMPORTRANGE(""https://docs.google.com/spreadsheets/d/1BJSV3WBYJGRhQ6zExamkszQ5VutGIcaQqmbD9ZTVXMQ/edit#gid=1251630045"",""articles_with_PRISMA_reasons!Y2:Y2113""), $A1816=IMPORTRANGE(""https://docs.google.com/spreadsheets/d/1BJSV3WBYJGRhQ6"&amp;"zExamkszQ5VutGIcaQqmbD9ZTVXMQ/edit#gid=1251630045"",""articles_with_PRISMA_reasons!B2:B2113""))&gt;=2,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$A1816=IMPORTRANGE(""https://docs.google.com/spreadsheets/d/1BJSV3WBYJGRhQ6zExamkszQ5VutGIcaQqmbD9ZTVXMQ/edit#gid=1251630045"",""articles_with_PRISMA_reasons!B2:B2113""))&lt;2),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$A1816=IMPORTRANGE(""https://docs.google.com/spreadsheets/d/1BJSV3WBYJGRhQ6zExamkszQ5VutGIcaQqmbD9ZTVXMQ/edit#gid=1251630045"",""a"&amp;"rticles_with_PRISMA_reasons!B2:B2113""))&lt;2,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$A1816=IMPORTRANGE(""https://docs.google"&amp;".com/spreadsheets/d/1BJSV3WBYJGRhQ6zExamkszQ5VutGIcaQqmbD9ZTVXMQ/edit#gid=1251630045"",""articles_with_PRISMA_reasons!B2:B2113""))&gt;=2),
""Exclude""
)"),"Exclude")</f>
        <v>Exclude</v>
      </c>
      <c r="E1816" s="5" t="str">
        <f>IFERROR(__xludf.DUMMYFUNCTION("IFS(
D1816=""Exclude"",""Exclude"",
AND(
FILTER(IMPORTRANGE(""https://docs.google.com/spreadsheets/d/1qpEmbGH0JjaJbUdp21-y2cPbobDbMjr09BbtdKROZWc/edit#gid=1444865654"",""articles_with_PRISMA_reasons!W2:W2113""), $A1816=IMPORTRANGE(""https://docs.google.co"&amp;"m/spreadsheets/d/1qpEmbGH0JjaJbUdp21-y2cPbobDbMjr09BbtdKROZWc/edit#gid=1444865654"",""articles_with_PRISMA_reasons!B2:B2113""))&gt;=2,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$A1816=IMPORTRANGE(""https://docs.google.com/spreadsheets/d/1qpEmbGH0JjaJbUdp21-y2cPbobDbMjr09BbtdKROZWc/edit#gid=1444865654"",""articles_with_PRISMA_reasons!B2:B2113""))&lt;2),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$A1816=IMPORTRANGE(""https://docs.google.com/spreadsheets/d/1qpEmbGH0JjaJbUdp21-y2cPbobDbMjr09Bbtd"&amp;"KROZWc/edit#gid=1444865654"",""articles_with_PRISMA_reasons!B2:B2113""))&lt;2,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$A1816=I"&amp;"MPORTRANGE(""https://docs.google.com/spreadsheets/d/1qpEmbGH0JjaJbUdp21-y2cPbobDbMjr09BbtdKROZWc/edit#gid=1444865654"",""articles_with_PRISMA_reasons!B2:B2113""))&gt;=2),
""Exclude""
)"),"Exclude")</f>
        <v>Exclude</v>
      </c>
      <c r="F1816" s="5" t="str">
        <f>IFERROR(__xludf.DUMMYFUNCTION("IFS(
E1816=""Exclude"",""Exclude"",
AND(
COUNTIF(
IMPORTRANGE(""https://docs.google.com/spreadsheets/d/1kGrh75X1cNR1D7_FcY9zMnHP8iPO4M5RCRjy6nZY0TY/edit#gid=0"",""Table 1: Study characteristics!B4:B171""),A1816)&gt;0,
COUNTIF(Studies!$A$2:$A$85,FILTER(IMPORT"&amp;"RANGE(""https://docs.google.com/spreadsheets/d/1kGrh75X1cNR1D7_FcY9zMnHP8iPO4M5RCRjy6nZY0TY/edit#gid=0"",""Table 1: Study characteristics!A4:A171""), $A1816=IMPORTRANGE(""https://docs.google.com/spreadsheets/d/1kGrh75X1cNR1D7_FcY9zMnHP8iPO4M5RCRjy6nZY0TY/"&amp;"edit#gid=0"",""Table 1: Study characteristics!B4:B171"")))&gt;0
),
""Include""
)"),"Exclude")</f>
        <v>Exclude</v>
      </c>
      <c r="G1816" s="5" t="str">
        <f>IFERROR(__xludf.DUMMYFUNCTION("IFS(
D1816=""Exclude"",
FILTER(IMPORTRANGE(""https://docs.google.com/spreadsheets/d/1BJSV3WBYJGRhQ6zExamkszQ5VutGIcaQqmbD9ZTVXMQ/edit#gid=1251630045"",""articles_with_PRISMA_reasons!AB2:AB2113""), $A1816=IMPORTRANGE(""https://docs.google.com/spreadsheets/"&amp;"d/1BJSV3WBYJGRhQ6zExamkszQ5VutGIcaQqmbD9ZTVXMQ/edit#gid=1251630045"",""articles_with_PRISMA_reasons!B2:B2113"")),
E1816=""Exclude"",
FILTER(IMPORTRANGE(""https://docs.google.com/spreadsheets/d/1qpEmbGH0JjaJbUdp21-y2cPbobDbMjr09BbtdKROZWc/edit#gid=14448656"&amp;"54"",""articles_with_PRISMA_reasons!Z2:Z2113""), $A1816=IMPORTRANGE(""https://docs.google.com/spreadsheets/d/1qpEmbGH0JjaJbUdp21-y2cPbobDbMjr09BbtdKROZWc/edit#gid=1444865654"",""articles_with_PRISMA_reasons!B2:B2113"")),F1816
=""Include"",FILTER(IMPORTRAN"&amp;"GE(""https://docs.google.com/spreadsheets/d/1kGrh75X1cNR1D7_FcY9zMnHP8iPO4M5RCRjy6nZY0TY/edit#gid=0"",""Table 1: Study characteristics!A4:A171""), $A1816=IMPORTRANGE(""https://docs.google.com/spreadsheets/d/1kGrh75X1cNR1D7_FcY9zMnHP8iPO4M5RCRjy6nZY0TY/edi"&amp;"t#gid=0"",""Table 1: Study characteristics!B4:B171""))
)"),"wrong population")</f>
        <v>wrong population</v>
      </c>
    </row>
    <row r="1817">
      <c r="A1817" s="4" t="str">
        <f>IFERROR(__xludf.DUMMYFUNCTION("""COMPUTED_VALUE"""),"Surgically correctable fetal disease")</f>
        <v>Surgically correctable fetal disease</v>
      </c>
      <c r="B1817" s="5" t="str">
        <f>IFERROR(__xludf.DUMMYFUNCTION("LEFT(FILTER(IMPORTRANGE(""https://docs.google.com/spreadsheets/d/1BJSV3WBYJGRhQ6zExamkszQ5VutGIcaQqmbD9ZTVXMQ/edit#gid=1251630045"",""articles_with_PRISMA_reasons!K2:K2113""), $A1817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$A1817=IMPORTRANGE(""https://docs.google.com/spreadsheets/d/1BJSV3WBYJGRhQ6zExamkszQ5VutGIcaQqmbD9ZTVXMQ/edit#gid=1251630045"",""articles_with_PRISMA_reasons!B2:B2113"")))-1)"),"Harrison")</f>
        <v>Harrison</v>
      </c>
      <c r="C1817" s="6">
        <f>IFERROR(__xludf.DUMMYFUNCTION("FILTER(IMPORTRANGE(""https://docs.google.com/spreadsheets/d/1BJSV3WBYJGRhQ6zExamkszQ5VutGIcaQqmbD9ZTVXMQ/edit#gid=1251630045"",""articles_with_PRISMA_reasons!C2:C2113""), $A1817=IMPORTRANGE(""https://docs.google.com/spreadsheets/d/1BJSV3WBYJGRhQ6zExamkszQ"&amp;"5VutGIcaQqmbD9ZTVXMQ/edit#gid=1251630045"",""articles_with_PRISMA_reasons!B2:B2113""))"),2000.0)</f>
        <v>2000</v>
      </c>
      <c r="D1817" s="5" t="str">
        <f>IFERROR(__xludf.DUMMYFUNCTION("IFS(AND(
FILTER(IMPORTRANGE(""https://docs.google.com/spreadsheets/d/1BJSV3WBYJGRhQ6zExamkszQ5VutGIcaQqmbD9ZTVXMQ/edit#gid=1251630045"",""articles_with_PRISMA_reasons!Y2:Y2113""), $A1817=IMPORTRANGE(""https://docs.google.com/spreadsheets/d/1BJSV3WBYJGRhQ6"&amp;"zExamkszQ5VutGIcaQqmbD9ZTVXMQ/edit#gid=1251630045"",""articles_with_PRISMA_reasons!B2:B2113""))&gt;=2,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$A1817=IMPORTRANGE(""https://docs.google.com/spreadsheets/d/1BJSV3WBYJGRhQ6zExamkszQ5VutGIcaQqmbD9ZTVXMQ/edit#gid=1251630045"",""articles_with_PRISMA_reasons!B2:B2113""))&lt;2),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$A1817=IMPORTRANGE(""https://docs.google.com/spreadsheets/d/1BJSV3WBYJGRhQ6zExamkszQ5VutGIcaQqmbD9ZTVXMQ/edit#gid=1251630045"",""a"&amp;"rticles_with_PRISMA_reasons!B2:B2113""))&lt;2,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$A1817=IMPORTRANGE(""https://docs.google"&amp;".com/spreadsheets/d/1BJSV3WBYJGRhQ6zExamkszQ5VutGIcaQqmbD9ZTVXMQ/edit#gid=1251630045"",""articles_with_PRISMA_reasons!B2:B2113""))&gt;=2),
""Exclude""
)"),"Exclude")</f>
        <v>Exclude</v>
      </c>
      <c r="E1817" s="5" t="str">
        <f>IFERROR(__xludf.DUMMYFUNCTION("IFS(
D1817=""Exclude"",""Exclude"",
AND(
FILTER(IMPORTRANGE(""https://docs.google.com/spreadsheets/d/1qpEmbGH0JjaJbUdp21-y2cPbobDbMjr09BbtdKROZWc/edit#gid=1444865654"",""articles_with_PRISMA_reasons!W2:W2113""), $A1817=IMPORTRANGE(""https://docs.google.co"&amp;"m/spreadsheets/d/1qpEmbGH0JjaJbUdp21-y2cPbobDbMjr09BbtdKROZWc/edit#gid=1444865654"",""articles_with_PRISMA_reasons!B2:B2113""))&gt;=2,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$A1817=IMPORTRANGE(""https://docs.google.com/spreadsheets/d/1qpEmbGH0JjaJbUdp21-y2cPbobDbMjr09BbtdKROZWc/edit#gid=1444865654"",""articles_with_PRISMA_reasons!B2:B2113""))&lt;2),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$A1817=IMPORTRANGE(""https://docs.google.com/spreadsheets/d/1qpEmbGH0JjaJbUdp21-y2cPbobDbMjr09Bbtd"&amp;"KROZWc/edit#gid=1444865654"",""articles_with_PRISMA_reasons!B2:B2113""))&lt;2,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$A1817=I"&amp;"MPORTRANGE(""https://docs.google.com/spreadsheets/d/1qpEmbGH0JjaJbUdp21-y2cPbobDbMjr09BbtdKROZWc/edit#gid=1444865654"",""articles_with_PRISMA_reasons!B2:B2113""))&gt;=2),
""Exclude""
)"),"Exclude")</f>
        <v>Exclude</v>
      </c>
      <c r="F1817" s="5" t="str">
        <f>IFERROR(__xludf.DUMMYFUNCTION("IFS(
E1817=""Exclude"",""Exclude"",
AND(
COUNTIF(
IMPORTRANGE(""https://docs.google.com/spreadsheets/d/1kGrh75X1cNR1D7_FcY9zMnHP8iPO4M5RCRjy6nZY0TY/edit#gid=0"",""Table 1: Study characteristics!B4:B171""),A1817)&gt;0,
COUNTIF(Studies!$A$2:$A$85,FILTER(IMPORT"&amp;"RANGE(""https://docs.google.com/spreadsheets/d/1kGrh75X1cNR1D7_FcY9zMnHP8iPO4M5RCRjy6nZY0TY/edit#gid=0"",""Table 1: Study characteristics!A4:A171""), $A1817=IMPORTRANGE(""https://docs.google.com/spreadsheets/d/1kGrh75X1cNR1D7_FcY9zMnHP8iPO4M5RCRjy6nZY0TY/"&amp;"edit#gid=0"",""Table 1: Study characteristics!B4:B171"")))&gt;0
),
""Include""
)"),"Exclude")</f>
        <v>Exclude</v>
      </c>
      <c r="G1817" s="5" t="str">
        <f>IFERROR(__xludf.DUMMYFUNCTION("IFS(
D1817=""Exclude"",
FILTER(IMPORTRANGE(""https://docs.google.com/spreadsheets/d/1BJSV3WBYJGRhQ6zExamkszQ5VutGIcaQqmbD9ZTVXMQ/edit#gid=1251630045"",""articles_with_PRISMA_reasons!AB2:AB2113""), $A1817=IMPORTRANGE(""https://docs.google.com/spreadsheets/"&amp;"d/1BJSV3WBYJGRhQ6zExamkszQ5VutGIcaQqmbD9ZTVXMQ/edit#gid=1251630045"",""articles_with_PRISMA_reasons!B2:B2113"")),
E1817=""Exclude"",
FILTER(IMPORTRANGE(""https://docs.google.com/spreadsheets/d/1qpEmbGH0JjaJbUdp21-y2cPbobDbMjr09BbtdKROZWc/edit#gid=14448656"&amp;"54"",""articles_with_PRISMA_reasons!Z2:Z2113""), $A1817=IMPORTRANGE(""https://docs.google.com/spreadsheets/d/1qpEmbGH0JjaJbUdp21-y2cPbobDbMjr09BbtdKROZWc/edit#gid=1444865654"",""articles_with_PRISMA_reasons!B2:B2113"")),F1817
=""Include"",FILTER(IMPORTRAN"&amp;"GE(""https://docs.google.com/spreadsheets/d/1kGrh75X1cNR1D7_FcY9zMnHP8iPO4M5RCRjy6nZY0TY/edit#gid=0"",""Table 1: Study characteristics!A4:A171""), $A1817=IMPORTRANGE(""https://docs.google.com/spreadsheets/d/1kGrh75X1cNR1D7_FcY9zMnHP8iPO4M5RCRjy6nZY0TY/edi"&amp;"t#gid=0"",""Table 1: Study characteristics!B4:B171""))
)"),"wrong study design")</f>
        <v>wrong study design</v>
      </c>
    </row>
    <row r="1818">
      <c r="A1818" s="4" t="str">
        <f>IFERROR(__xludf.DUMMYFUNCTION("""COMPUTED_VALUE"""),"Survey on Current Postnatal Surgical Management of Myelomeningocele in Germany")</f>
        <v>Survey on Current Postnatal Surgical Management of Myelomeningocele in Germany</v>
      </c>
      <c r="B1818" s="5" t="str">
        <f>IFERROR(__xludf.DUMMYFUNCTION("LEFT(FILTER(IMPORTRANGE(""https://docs.google.com/spreadsheets/d/1BJSV3WBYJGRhQ6zExamkszQ5VutGIcaQqmbD9ZTVXMQ/edit#gid=1251630045"",""articles_with_PRISMA_reasons!K2:K2113""), $A1818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$A1818=IMPORTRANGE(""https://docs.google.com/spreadsheets/d/1BJSV3WBYJGRhQ6zExamkszQ5VutGIcaQqmbD9ZTVXMQ/edit#gid=1251630045"",""articles_with_PRISMA_reasons!B2:B2113"")))-1)"),"Mauer")</f>
        <v>Mauer</v>
      </c>
      <c r="C1818" s="6">
        <f>IFERROR(__xludf.DUMMYFUNCTION("FILTER(IMPORTRANGE(""https://docs.google.com/spreadsheets/d/1BJSV3WBYJGRhQ6zExamkszQ5VutGIcaQqmbD9ZTVXMQ/edit#gid=1251630045"",""articles_with_PRISMA_reasons!C2:C2113""), $A1818=IMPORTRANGE(""https://docs.google.com/spreadsheets/d/1BJSV3WBYJGRhQ6zExamkszQ"&amp;"5VutGIcaQqmbD9ZTVXMQ/edit#gid=1251630045"",""articles_with_PRISMA_reasons!B2:B2113""))"),2016.0)</f>
        <v>2016</v>
      </c>
      <c r="D1818" s="5" t="str">
        <f>IFERROR(__xludf.DUMMYFUNCTION("IFS(AND(
FILTER(IMPORTRANGE(""https://docs.google.com/spreadsheets/d/1BJSV3WBYJGRhQ6zExamkszQ5VutGIcaQqmbD9ZTVXMQ/edit#gid=1251630045"",""articles_with_PRISMA_reasons!Y2:Y2113""), $A1818=IMPORTRANGE(""https://docs.google.com/spreadsheets/d/1BJSV3WBYJGRhQ6"&amp;"zExamkszQ5VutGIcaQqmbD9ZTVXMQ/edit#gid=1251630045"",""articles_with_PRISMA_reasons!B2:B2113""))&gt;=2,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$A1818=IMPORTRANGE(""https://docs.google.com/spreadsheets/d/1BJSV3WBYJGRhQ6zExamkszQ5VutGIcaQqmbD9ZTVXMQ/edit#gid=1251630045"",""articles_with_PRISMA_reasons!B2:B2113""))&lt;2),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$A1818=IMPORTRANGE(""https://docs.google.com/spreadsheets/d/1BJSV3WBYJGRhQ6zExamkszQ5VutGIcaQqmbD9ZTVXMQ/edit#gid=1251630045"",""a"&amp;"rticles_with_PRISMA_reasons!B2:B2113""))&lt;2,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$A1818=IMPORTRANGE(""https://docs.google"&amp;".com/spreadsheets/d/1BJSV3WBYJGRhQ6zExamkszQ5VutGIcaQqmbD9ZTVXMQ/edit#gid=1251630045"",""articles_with_PRISMA_reasons!B2:B2113""))&gt;=2),
""Exclude""
)"),"Exclude")</f>
        <v>Exclude</v>
      </c>
      <c r="E1818" s="5" t="str">
        <f>IFERROR(__xludf.DUMMYFUNCTION("IFS(
D1818=""Exclude"",""Exclude"",
AND(
FILTER(IMPORTRANGE(""https://docs.google.com/spreadsheets/d/1qpEmbGH0JjaJbUdp21-y2cPbobDbMjr09BbtdKROZWc/edit#gid=1444865654"",""articles_with_PRISMA_reasons!W2:W2113""), $A1818=IMPORTRANGE(""https://docs.google.co"&amp;"m/spreadsheets/d/1qpEmbGH0JjaJbUdp21-y2cPbobDbMjr09BbtdKROZWc/edit#gid=1444865654"",""articles_with_PRISMA_reasons!B2:B2113""))&gt;=2,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$A1818=IMPORTRANGE(""https://docs.google.com/spreadsheets/d/1qpEmbGH0JjaJbUdp21-y2cPbobDbMjr09BbtdKROZWc/edit#gid=1444865654"",""articles_with_PRISMA_reasons!B2:B2113""))&lt;2),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$A1818=IMPORTRANGE(""https://docs.google.com/spreadsheets/d/1qpEmbGH0JjaJbUdp21-y2cPbobDbMjr09Bbtd"&amp;"KROZWc/edit#gid=1444865654"",""articles_with_PRISMA_reasons!B2:B2113""))&lt;2,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$A1818=I"&amp;"MPORTRANGE(""https://docs.google.com/spreadsheets/d/1qpEmbGH0JjaJbUdp21-y2cPbobDbMjr09BbtdKROZWc/edit#gid=1444865654"",""articles_with_PRISMA_reasons!B2:B2113""))&gt;=2),
""Exclude""
)"),"Exclude")</f>
        <v>Exclude</v>
      </c>
      <c r="F1818" s="5" t="str">
        <f>IFERROR(__xludf.DUMMYFUNCTION("IFS(
E1818=""Exclude"",""Exclude"",
AND(
COUNTIF(
IMPORTRANGE(""https://docs.google.com/spreadsheets/d/1kGrh75X1cNR1D7_FcY9zMnHP8iPO4M5RCRjy6nZY0TY/edit#gid=0"",""Table 1: Study characteristics!B4:B171""),A1818)&gt;0,
COUNTIF(Studies!$A$2:$A$85,FILTER(IMPORT"&amp;"RANGE(""https://docs.google.com/spreadsheets/d/1kGrh75X1cNR1D7_FcY9zMnHP8iPO4M5RCRjy6nZY0TY/edit#gid=0"",""Table 1: Study characteristics!A4:A171""), $A1818=IMPORTRANGE(""https://docs.google.com/spreadsheets/d/1kGrh75X1cNR1D7_FcY9zMnHP8iPO4M5RCRjy6nZY0TY/"&amp;"edit#gid=0"",""Table 1: Study characteristics!B4:B171"")))&gt;0
),
""Include""
)"),"Exclude")</f>
        <v>Exclude</v>
      </c>
      <c r="G1818" s="5" t="str">
        <f>IFERROR(__xludf.DUMMYFUNCTION("IFS(
D1818=""Exclude"",
FILTER(IMPORTRANGE(""https://docs.google.com/spreadsheets/d/1BJSV3WBYJGRhQ6zExamkszQ5VutGIcaQqmbD9ZTVXMQ/edit#gid=1251630045"",""articles_with_PRISMA_reasons!AB2:AB2113""), $A1818=IMPORTRANGE(""https://docs.google.com/spreadsheets/"&amp;"d/1BJSV3WBYJGRhQ6zExamkszQ5VutGIcaQqmbD9ZTVXMQ/edit#gid=1251630045"",""articles_with_PRISMA_reasons!B2:B2113"")),
E1818=""Exclude"",
FILTER(IMPORTRANGE(""https://docs.google.com/spreadsheets/d/1qpEmbGH0JjaJbUdp21-y2cPbobDbMjr09BbtdKROZWc/edit#gid=14448656"&amp;"54"",""articles_with_PRISMA_reasons!Z2:Z2113""), $A1818=IMPORTRANGE(""https://docs.google.com/spreadsheets/d/1qpEmbGH0JjaJbUdp21-y2cPbobDbMjr09BbtdKROZWc/edit#gid=1444865654"",""articles_with_PRISMA_reasons!B2:B2113"")),F1818
=""Include"",FILTER(IMPORTRAN"&amp;"GE(""https://docs.google.com/spreadsheets/d/1kGrh75X1cNR1D7_FcY9zMnHP8iPO4M5RCRjy6nZY0TY/edit#gid=0"",""Table 1: Study characteristics!A4:A171""), $A1818=IMPORTRANGE(""https://docs.google.com/spreadsheets/d/1kGrh75X1cNR1D7_FcY9zMnHP8iPO4M5RCRjy6nZY0TY/edi"&amp;"t#gid=0"",""Table 1: Study characteristics!B4:B171""))
)"),"wrong study design")</f>
        <v>wrong study design</v>
      </c>
    </row>
    <row r="1819">
      <c r="A1819" s="4" t="str">
        <f>IFERROR(__xludf.DUMMYFUNCTION("""COMPUTED_VALUE"""),"Survival and disability in a cohort of neural tube defect births in Dublin, Ireland")</f>
        <v>Survival and disability in a cohort of neural tube defect births in Dublin, Ireland</v>
      </c>
      <c r="B1819" s="5" t="str">
        <f>IFERROR(__xludf.DUMMYFUNCTION("LEFT(FILTER(IMPORTRANGE(""https://docs.google.com/spreadsheets/d/1BJSV3WBYJGRhQ6zExamkszQ5VutGIcaQqmbD9ZTVXMQ/edit#gid=1251630045"",""articles_with_PRISMA_reasons!K2:K2113""), $A1819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$A1819=IMPORTRANGE(""https://docs.google.com/spreadsheets/d/1BJSV3WBYJGRhQ6zExamkszQ5VutGIcaQqmbD9ZTVXMQ/edit#gid=1251630045"",""articles_with_PRISMA_reasons!B2:B2113"")))-1)"),"Sutton")</f>
        <v>Sutton</v>
      </c>
      <c r="C1819" s="6">
        <f>IFERROR(__xludf.DUMMYFUNCTION("FILTER(IMPORTRANGE(""https://docs.google.com/spreadsheets/d/1BJSV3WBYJGRhQ6zExamkszQ5VutGIcaQqmbD9ZTVXMQ/edit#gid=1251630045"",""articles_with_PRISMA_reasons!C2:C2113""), $A1819=IMPORTRANGE(""https://docs.google.com/spreadsheets/d/1BJSV3WBYJGRhQ6zExamkszQ"&amp;"5VutGIcaQqmbD9ZTVXMQ/edit#gid=1251630045"",""articles_with_PRISMA_reasons!B2:B2113""))"),2008.0)</f>
        <v>2008</v>
      </c>
      <c r="D1819" s="5" t="str">
        <f>IFERROR(__xludf.DUMMYFUNCTION("IFS(AND(
FILTER(IMPORTRANGE(""https://docs.google.com/spreadsheets/d/1BJSV3WBYJGRhQ6zExamkszQ5VutGIcaQqmbD9ZTVXMQ/edit#gid=1251630045"",""articles_with_PRISMA_reasons!Y2:Y2113""), $A1819=IMPORTRANGE(""https://docs.google.com/spreadsheets/d/1BJSV3WBYJGRhQ6"&amp;"zExamkszQ5VutGIcaQqmbD9ZTVXMQ/edit#gid=1251630045"",""articles_with_PRISMA_reasons!B2:B2113""))&gt;=2,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$A1819=IMPORTRANGE(""https://docs.google.com/spreadsheets/d/1BJSV3WBYJGRhQ6zExamkszQ5VutGIcaQqmbD9ZTVXMQ/edit#gid=1251630045"",""articles_with_PRISMA_reasons!B2:B2113""))&lt;2),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$A1819=IMPORTRANGE(""https://docs.google.com/spreadsheets/d/1BJSV3WBYJGRhQ6zExamkszQ5VutGIcaQqmbD9ZTVXMQ/edit#gid=1251630045"",""a"&amp;"rticles_with_PRISMA_reasons!B2:B2113""))&lt;2,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$A1819=IMPORTRANGE(""https://docs.google"&amp;".com/spreadsheets/d/1BJSV3WBYJGRhQ6zExamkszQ5VutGIcaQqmbD9ZTVXMQ/edit#gid=1251630045"",""articles_with_PRISMA_reasons!B2:B2113""))&gt;=2),
""Exclude""
)"),"Exclude")</f>
        <v>Exclude</v>
      </c>
      <c r="E1819" s="5" t="str">
        <f>IFERROR(__xludf.DUMMYFUNCTION("IFS(
D1819=""Exclude"",""Exclude"",
AND(
FILTER(IMPORTRANGE(""https://docs.google.com/spreadsheets/d/1qpEmbGH0JjaJbUdp21-y2cPbobDbMjr09BbtdKROZWc/edit#gid=1444865654"",""articles_with_PRISMA_reasons!W2:W2113""), $A1819=IMPORTRANGE(""https://docs.google.co"&amp;"m/spreadsheets/d/1qpEmbGH0JjaJbUdp21-y2cPbobDbMjr09BbtdKROZWc/edit#gid=1444865654"",""articles_with_PRISMA_reasons!B2:B2113""))&gt;=2,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$A1819=IMPORTRANGE(""https://docs.google.com/spreadsheets/d/1qpEmbGH0JjaJbUdp21-y2cPbobDbMjr09BbtdKROZWc/edit#gid=1444865654"",""articles_with_PRISMA_reasons!B2:B2113""))&lt;2),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$A1819=IMPORTRANGE(""https://docs.google.com/spreadsheets/d/1qpEmbGH0JjaJbUdp21-y2cPbobDbMjr09Bbtd"&amp;"KROZWc/edit#gid=1444865654"",""articles_with_PRISMA_reasons!B2:B2113""))&lt;2,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$A1819=I"&amp;"MPORTRANGE(""https://docs.google.com/spreadsheets/d/1qpEmbGH0JjaJbUdp21-y2cPbobDbMjr09BbtdKROZWc/edit#gid=1444865654"",""articles_with_PRISMA_reasons!B2:B2113""))&gt;=2),
""Exclude""
)"),"Exclude")</f>
        <v>Exclude</v>
      </c>
      <c r="F1819" s="5" t="str">
        <f>IFERROR(__xludf.DUMMYFUNCTION("IFS(
E1819=""Exclude"",""Exclude"",
AND(
COUNTIF(
IMPORTRANGE(""https://docs.google.com/spreadsheets/d/1kGrh75X1cNR1D7_FcY9zMnHP8iPO4M5RCRjy6nZY0TY/edit#gid=0"",""Table 1: Study characteristics!B4:B171""),A1819)&gt;0,
COUNTIF(Studies!$A$2:$A$85,FILTER(IMPORT"&amp;"RANGE(""https://docs.google.com/spreadsheets/d/1kGrh75X1cNR1D7_FcY9zMnHP8iPO4M5RCRjy6nZY0TY/edit#gid=0"",""Table 1: Study characteristics!A4:A171""), $A1819=IMPORTRANGE(""https://docs.google.com/spreadsheets/d/1kGrh75X1cNR1D7_FcY9zMnHP8iPO4M5RCRjy6nZY0TY/"&amp;"edit#gid=0"",""Table 1: Study characteristics!B4:B171"")))&gt;0
),
""Include""
)"),"Exclude")</f>
        <v>Exclude</v>
      </c>
      <c r="G1819" s="5" t="str">
        <f>IFERROR(__xludf.DUMMYFUNCTION("IFS(
D1819=""Exclude"",
FILTER(IMPORTRANGE(""https://docs.google.com/spreadsheets/d/1BJSV3WBYJGRhQ6zExamkszQ5VutGIcaQqmbD9ZTVXMQ/edit#gid=1251630045"",""articles_with_PRISMA_reasons!AB2:AB2113""), $A1819=IMPORTRANGE(""https://docs.google.com/spreadsheets/"&amp;"d/1BJSV3WBYJGRhQ6zExamkszQ5VutGIcaQqmbD9ZTVXMQ/edit#gid=1251630045"",""articles_with_PRISMA_reasons!B2:B2113"")),
E1819=""Exclude"",
FILTER(IMPORTRANGE(""https://docs.google.com/spreadsheets/d/1qpEmbGH0JjaJbUdp21-y2cPbobDbMjr09BbtdKROZWc/edit#gid=14448656"&amp;"54"",""articles_with_PRISMA_reasons!Z2:Z2113""), $A1819=IMPORTRANGE(""https://docs.google.com/spreadsheets/d/1qpEmbGH0JjaJbUdp21-y2cPbobDbMjr09BbtdKROZWc/edit#gid=1444865654"",""articles_with_PRISMA_reasons!B2:B2113"")),F1819
=""Include"",FILTER(IMPORTRAN"&amp;"GE(""https://docs.google.com/spreadsheets/d/1kGrh75X1cNR1D7_FcY9zMnHP8iPO4M5RCRjy6nZY0TY/edit#gid=0"",""Table 1: Study characteristics!A4:A171""), $A1819=IMPORTRANGE(""https://docs.google.com/spreadsheets/d/1kGrh75X1cNR1D7_FcY9zMnHP8iPO4M5RCRjy6nZY0TY/edi"&amp;"t#gid=0"",""Table 1: Study characteristics!B4:B171""))
)"),"wrong population")</f>
        <v>wrong population</v>
      </c>
    </row>
    <row r="1820">
      <c r="A1820" s="4" t="str">
        <f>IFERROR(__xludf.DUMMYFUNCTION("""COMPUTED_VALUE"""),"Survival and paralysis in open myelomeningocele with special reference to the time of repair of the spinal lesion")</f>
        <v>Survival and paralysis in open myelomeningocele with special reference to the time of repair of the spinal lesion</v>
      </c>
      <c r="B1820" s="5" t="str">
        <f>IFERROR(__xludf.DUMMYFUNCTION("LEFT(FILTER(IMPORTRANGE(""https://docs.google.com/spreadsheets/d/1BJSV3WBYJGRhQ6zExamkszQ5VutGIcaQqmbD9ZTVXMQ/edit#gid=1251630045"",""articles_with_PRISMA_reasons!K2:K2113""), $A1820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$A1820=IMPORTRANGE(""https://docs.google.com/spreadsheets/d/1BJSV3WBYJGRhQ6zExamkszQ5VutGIcaQqmbD9ZTVXMQ/edit#gid=1251630045"",""articles_with_PRISMA_reasons!B2:B2113"")))-1)"),"Sharrard")</f>
        <v>Sharrard</v>
      </c>
      <c r="C1820" s="6">
        <f>IFERROR(__xludf.DUMMYFUNCTION("FILTER(IMPORTRANGE(""https://docs.google.com/spreadsheets/d/1BJSV3WBYJGRhQ6zExamkszQ5VutGIcaQqmbD9ZTVXMQ/edit#gid=1251630045"",""articles_with_PRISMA_reasons!C2:C2113""), $A1820=IMPORTRANGE(""https://docs.google.com/spreadsheets/d/1BJSV3WBYJGRhQ6zExamkszQ"&amp;"5VutGIcaQqmbD9ZTVXMQ/edit#gid=1251630045"",""articles_with_PRISMA_reasons!B2:B2113""))"),1967.0)</f>
        <v>1967</v>
      </c>
      <c r="D1820" s="5" t="str">
        <f>IFERROR(__xludf.DUMMYFUNCTION("IFS(AND(
FILTER(IMPORTRANGE(""https://docs.google.com/spreadsheets/d/1BJSV3WBYJGRhQ6zExamkszQ5VutGIcaQqmbD9ZTVXMQ/edit#gid=1251630045"",""articles_with_PRISMA_reasons!Y2:Y2113""), $A1820=IMPORTRANGE(""https://docs.google.com/spreadsheets/d/1BJSV3WBYJGRhQ6"&amp;"zExamkszQ5VutGIcaQqmbD9ZTVXMQ/edit#gid=1251630045"",""articles_with_PRISMA_reasons!B2:B2113""))&gt;=2,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$A1820=IMPORTRANGE(""https://docs.google.com/spreadsheets/d/1BJSV3WBYJGRhQ6zExamkszQ5VutGIcaQqmbD9ZTVXMQ/edit#gid=1251630045"",""articles_with_PRISMA_reasons!B2:B2113""))&lt;2),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$A1820=IMPORTRANGE(""https://docs.google.com/spreadsheets/d/1BJSV3WBYJGRhQ6zExamkszQ5VutGIcaQqmbD9ZTVXMQ/edit#gid=1251630045"",""a"&amp;"rticles_with_PRISMA_reasons!B2:B2113""))&lt;2,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$A1820=IMPORTRANGE(""https://docs.google"&amp;".com/spreadsheets/d/1BJSV3WBYJGRhQ6zExamkszQ5VutGIcaQqmbD9ZTVXMQ/edit#gid=1251630045"",""articles_with_PRISMA_reasons!B2:B2113""))&gt;=2),
""Exclude""
)"),"Exclude")</f>
        <v>Exclude</v>
      </c>
      <c r="E1820" s="5" t="str">
        <f>IFERROR(__xludf.DUMMYFUNCTION("IFS(
D1820=""Exclude"",""Exclude"",
AND(
FILTER(IMPORTRANGE(""https://docs.google.com/spreadsheets/d/1qpEmbGH0JjaJbUdp21-y2cPbobDbMjr09BbtdKROZWc/edit#gid=1444865654"",""articles_with_PRISMA_reasons!W2:W2113""), $A1820=IMPORTRANGE(""https://docs.google.co"&amp;"m/spreadsheets/d/1qpEmbGH0JjaJbUdp21-y2cPbobDbMjr09BbtdKROZWc/edit#gid=1444865654"",""articles_with_PRISMA_reasons!B2:B2113""))&gt;=2,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$A1820=IMPORTRANGE(""https://docs.google.com/spreadsheets/d/1qpEmbGH0JjaJbUdp21-y2cPbobDbMjr09BbtdKROZWc/edit#gid=1444865654"",""articles_with_PRISMA_reasons!B2:B2113""))&lt;2),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$A1820=IMPORTRANGE(""https://docs.google.com/spreadsheets/d/1qpEmbGH0JjaJbUdp21-y2cPbobDbMjr09Bbtd"&amp;"KROZWc/edit#gid=1444865654"",""articles_with_PRISMA_reasons!B2:B2113""))&lt;2,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$A1820=I"&amp;"MPORTRANGE(""https://docs.google.com/spreadsheets/d/1qpEmbGH0JjaJbUdp21-y2cPbobDbMjr09BbtdKROZWc/edit#gid=1444865654"",""articles_with_PRISMA_reasons!B2:B2113""))&gt;=2),
""Exclude""
)"),"Exclude")</f>
        <v>Exclude</v>
      </c>
      <c r="F1820" s="5" t="str">
        <f>IFERROR(__xludf.DUMMYFUNCTION("IFS(
E1820=""Exclude"",""Exclude"",
AND(
COUNTIF(
IMPORTRANGE(""https://docs.google.com/spreadsheets/d/1kGrh75X1cNR1D7_FcY9zMnHP8iPO4M5RCRjy6nZY0TY/edit#gid=0"",""Table 1: Study characteristics!B4:B171""),A1820)&gt;0,
COUNTIF(Studies!$A$2:$A$85,FILTER(IMPORT"&amp;"RANGE(""https://docs.google.com/spreadsheets/d/1kGrh75X1cNR1D7_FcY9zMnHP8iPO4M5RCRjy6nZY0TY/edit#gid=0"",""Table 1: Study characteristics!A4:A171""), $A1820=IMPORTRANGE(""https://docs.google.com/spreadsheets/d/1kGrh75X1cNR1D7_FcY9zMnHP8iPO4M5RCRjy6nZY0TY/"&amp;"edit#gid=0"",""Table 1: Study characteristics!B4:B171"")))&gt;0
),
""Include""
)"),"Exclude")</f>
        <v>Exclude</v>
      </c>
      <c r="G1820" s="5" t="str">
        <f>IFERROR(__xludf.DUMMYFUNCTION("IFS(
D1820=""Exclude"",
FILTER(IMPORTRANGE(""https://docs.google.com/spreadsheets/d/1BJSV3WBYJGRhQ6zExamkszQ5VutGIcaQqmbD9ZTVXMQ/edit#gid=1251630045"",""articles_with_PRISMA_reasons!AB2:AB2113""), $A1820=IMPORTRANGE(""https://docs.google.com/spreadsheets/"&amp;"d/1BJSV3WBYJGRhQ6zExamkszQ5VutGIcaQqmbD9ZTVXMQ/edit#gid=1251630045"",""articles_with_PRISMA_reasons!B2:B2113"")),
E1820=""Exclude"",
FILTER(IMPORTRANGE(""https://docs.google.com/spreadsheets/d/1qpEmbGH0JjaJbUdp21-y2cPbobDbMjr09BbtdKROZWc/edit#gid=14448656"&amp;"54"",""articles_with_PRISMA_reasons!Z2:Z2113""), $A1820=IMPORTRANGE(""https://docs.google.com/spreadsheets/d/1qpEmbGH0JjaJbUdp21-y2cPbobDbMjr09BbtdKROZWc/edit#gid=1444865654"",""articles_with_PRISMA_reasons!B2:B2113"")),F1820
=""Include"",FILTER(IMPORTRAN"&amp;"GE(""https://docs.google.com/spreadsheets/d/1kGrh75X1cNR1D7_FcY9zMnHP8iPO4M5RCRjy6nZY0TY/edit#gid=0"",""Table 1: Study characteristics!A4:A171""), $A1820=IMPORTRANGE(""https://docs.google.com/spreadsheets/d/1kGrh75X1cNR1D7_FcY9zMnHP8iPO4M5RCRjy6nZY0TY/edi"&amp;"t#gid=0"",""Table 1: Study characteristics!B4:B171""))
)"),"Duplicate")</f>
        <v>Duplicate</v>
      </c>
    </row>
    <row r="1821">
      <c r="A1821" s="4" t="str">
        <f>IFERROR(__xludf.DUMMYFUNCTION("""COMPUTED_VALUE"""),"Survival of infants with spina bifida--Atlanta, 1972-1979")</f>
        <v>Survival of infants with spina bifida--Atlanta, 1972-1979</v>
      </c>
      <c r="B1821" s="5" t="str">
        <f>IFERROR(__xludf.DUMMYFUNCTION("LEFT(FILTER(IMPORTRANGE(""https://docs.google.com/spreadsheets/d/1BJSV3WBYJGRhQ6zExamkszQ5VutGIcaQqmbD9ZTVXMQ/edit#gid=1251630045"",""articles_with_PRISMA_reasons!K2:K2113""), $A1821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$A1821=IMPORTRANGE(""https://docs.google.com/spreadsheets/d/1BJSV3WBYJGRhQ6zExamkszQ5VutGIcaQqmbD9ZTVXMQ/edit#gid=1251630045"",""articles_with_PRISMA_reasons!B2:B2113"")))-1)"),"Adams")</f>
        <v>Adams</v>
      </c>
      <c r="C1821" s="6">
        <f>IFERROR(__xludf.DUMMYFUNCTION("FILTER(IMPORTRANGE(""https://docs.google.com/spreadsheets/d/1BJSV3WBYJGRhQ6zExamkszQ5VutGIcaQqmbD9ZTVXMQ/edit#gid=1251630045"",""articles_with_PRISMA_reasons!C2:C2113""), $A1821=IMPORTRANGE(""https://docs.google.com/spreadsheets/d/1BJSV3WBYJGRhQ6zExamkszQ"&amp;"5VutGIcaQqmbD9ZTVXMQ/edit#gid=1251630045"",""articles_with_PRISMA_reasons!B2:B2113""))"),1985.0)</f>
        <v>1985</v>
      </c>
      <c r="D1821" s="5" t="str">
        <f>IFERROR(__xludf.DUMMYFUNCTION("IFS(AND(
FILTER(IMPORTRANGE(""https://docs.google.com/spreadsheets/d/1BJSV3WBYJGRhQ6zExamkszQ5VutGIcaQqmbD9ZTVXMQ/edit#gid=1251630045"",""articles_with_PRISMA_reasons!Y2:Y2113""), $A1821=IMPORTRANGE(""https://docs.google.com/spreadsheets/d/1BJSV3WBYJGRhQ6"&amp;"zExamkszQ5VutGIcaQqmbD9ZTVXMQ/edit#gid=1251630045"",""articles_with_PRISMA_reasons!B2:B2113""))&gt;=2,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$A1821=IMPORTRANGE(""https://docs.google.com/spreadsheets/d/1BJSV3WBYJGRhQ6zExamkszQ5VutGIcaQqmbD9ZTVXMQ/edit#gid=1251630045"",""articles_with_PRISMA_reasons!B2:B2113""))&lt;2),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$A1821=IMPORTRANGE(""https://docs.google.com/spreadsheets/d/1BJSV3WBYJGRhQ6zExamkszQ5VutGIcaQqmbD9ZTVXMQ/edit#gid=1251630045"",""a"&amp;"rticles_with_PRISMA_reasons!B2:B2113""))&lt;2,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$A1821=IMPORTRANGE(""https://docs.google"&amp;".com/spreadsheets/d/1BJSV3WBYJGRhQ6zExamkszQ5VutGIcaQqmbD9ZTVXMQ/edit#gid=1251630045"",""articles_with_PRISMA_reasons!B2:B2113""))&gt;=2),
""Exclude""
)"),"Exclude")</f>
        <v>Exclude</v>
      </c>
      <c r="E1821" s="5" t="str">
        <f>IFERROR(__xludf.DUMMYFUNCTION("IFS(
D1821=""Exclude"",""Exclude"",
AND(
FILTER(IMPORTRANGE(""https://docs.google.com/spreadsheets/d/1qpEmbGH0JjaJbUdp21-y2cPbobDbMjr09BbtdKROZWc/edit#gid=1444865654"",""articles_with_PRISMA_reasons!W2:W2113""), $A1821=IMPORTRANGE(""https://docs.google.co"&amp;"m/spreadsheets/d/1qpEmbGH0JjaJbUdp21-y2cPbobDbMjr09BbtdKROZWc/edit#gid=1444865654"",""articles_with_PRISMA_reasons!B2:B2113""))&gt;=2,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$A1821=IMPORTRANGE(""https://docs.google.com/spreadsheets/d/1qpEmbGH0JjaJbUdp21-y2cPbobDbMjr09BbtdKROZWc/edit#gid=1444865654"",""articles_with_PRISMA_reasons!B2:B2113""))&lt;2),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$A1821=IMPORTRANGE(""https://docs.google.com/spreadsheets/d/1qpEmbGH0JjaJbUdp21-y2cPbobDbMjr09Bbtd"&amp;"KROZWc/edit#gid=1444865654"",""articles_with_PRISMA_reasons!B2:B2113""))&lt;2,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$A1821=I"&amp;"MPORTRANGE(""https://docs.google.com/spreadsheets/d/1qpEmbGH0JjaJbUdp21-y2cPbobDbMjr09BbtdKROZWc/edit#gid=1444865654"",""articles_with_PRISMA_reasons!B2:B2113""))&gt;=2),
""Exclude""
)"),"Exclude")</f>
        <v>Exclude</v>
      </c>
      <c r="F1821" s="5" t="str">
        <f>IFERROR(__xludf.DUMMYFUNCTION("IFS(
E1821=""Exclude"",""Exclude"",
AND(
COUNTIF(
IMPORTRANGE(""https://docs.google.com/spreadsheets/d/1kGrh75X1cNR1D7_FcY9zMnHP8iPO4M5RCRjy6nZY0TY/edit#gid=0"",""Table 1: Study characteristics!B4:B171""),A1821)&gt;0,
COUNTIF(Studies!$A$2:$A$85,FILTER(IMPORT"&amp;"RANGE(""https://docs.google.com/spreadsheets/d/1kGrh75X1cNR1D7_FcY9zMnHP8iPO4M5RCRjy6nZY0TY/edit#gid=0"",""Table 1: Study characteristics!A4:A171""), $A1821=IMPORTRANGE(""https://docs.google.com/spreadsheets/d/1kGrh75X1cNR1D7_FcY9zMnHP8iPO4M5RCRjy6nZY0TY/"&amp;"edit#gid=0"",""Table 1: Study characteristics!B4:B171"")))&gt;0
),
""Include""
)"),"Exclude")</f>
        <v>Exclude</v>
      </c>
      <c r="G1821" s="5" t="str">
        <f>IFERROR(__xludf.DUMMYFUNCTION("IFS(
D1821=""Exclude"",
FILTER(IMPORTRANGE(""https://docs.google.com/spreadsheets/d/1BJSV3WBYJGRhQ6zExamkszQ5VutGIcaQqmbD9ZTVXMQ/edit#gid=1251630045"",""articles_with_PRISMA_reasons!AB2:AB2113""), $A1821=IMPORTRANGE(""https://docs.google.com/spreadsheets/"&amp;"d/1BJSV3WBYJGRhQ6zExamkszQ5VutGIcaQqmbD9ZTVXMQ/edit#gid=1251630045"",""articles_with_PRISMA_reasons!B2:B2113"")),
E1821=""Exclude"",
FILTER(IMPORTRANGE(""https://docs.google.com/spreadsheets/d/1qpEmbGH0JjaJbUdp21-y2cPbobDbMjr09BbtdKROZWc/edit#gid=14448656"&amp;"54"",""articles_with_PRISMA_reasons!Z2:Z2113""), $A1821=IMPORTRANGE(""https://docs.google.com/spreadsheets/d/1qpEmbGH0JjaJbUdp21-y2cPbobDbMjr09BbtdKROZWc/edit#gid=1444865654"",""articles_with_PRISMA_reasons!B2:B2113"")),F1821
=""Include"",FILTER(IMPORTRAN"&amp;"GE(""https://docs.google.com/spreadsheets/d/1kGrh75X1cNR1D7_FcY9zMnHP8iPO4M5RCRjy6nZY0TY/edit#gid=0"",""Table 1: Study characteristics!A4:A171""), $A1821=IMPORTRANGE(""https://docs.google.com/spreadsheets/d/1kGrh75X1cNR1D7_FcY9zMnHP8iPO4M5RCRjy6nZY0TY/edi"&amp;"t#gid=0"",""Table 1: Study characteristics!B4:B171""))
)"),"wrong population")</f>
        <v>wrong population</v>
      </c>
    </row>
    <row r="1822">
      <c r="A1822" s="4" t="str">
        <f>IFERROR(__xludf.DUMMYFUNCTION("""COMPUTED_VALUE"""),"Survival of infants with unoperated myeloceles")</f>
        <v>Survival of infants with unoperated myeloceles</v>
      </c>
      <c r="B1822" s="5" t="str">
        <f>IFERROR(__xludf.DUMMYFUNCTION("LEFT(FILTER(IMPORTRANGE(""https://docs.google.com/spreadsheets/d/1BJSV3WBYJGRhQ6zExamkszQ5VutGIcaQqmbD9ZTVXMQ/edit#gid=1251630045"",""articles_with_PRISMA_reasons!K2:K2113""), $A1822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$A1822=IMPORTRANGE(""https://docs.google.com/spreadsheets/d/1BJSV3WBYJGRhQ6zExamkszQ5VutGIcaQqmbD9ZTVXMQ/edit#gid=1251630045"",""articles_with_PRISMA_reasons!B2:B2113"")))-1)"),"Robards")</f>
        <v>Robards</v>
      </c>
      <c r="C1822" s="6">
        <f>IFERROR(__xludf.DUMMYFUNCTION("FILTER(IMPORTRANGE(""https://docs.google.com/spreadsheets/d/1BJSV3WBYJGRhQ6zExamkszQ5VutGIcaQqmbD9ZTVXMQ/edit#gid=1251630045"",""articles_with_PRISMA_reasons!C2:C2113""), $A1822=IMPORTRANGE(""https://docs.google.com/spreadsheets/d/1BJSV3WBYJGRhQ6zExamkszQ"&amp;"5VutGIcaQqmbD9ZTVXMQ/edit#gid=1251630045"",""articles_with_PRISMA_reasons!B2:B2113""))"),1975.0)</f>
        <v>1975</v>
      </c>
      <c r="D1822" s="5" t="str">
        <f>IFERROR(__xludf.DUMMYFUNCTION("IFS(AND(
FILTER(IMPORTRANGE(""https://docs.google.com/spreadsheets/d/1BJSV3WBYJGRhQ6zExamkszQ5VutGIcaQqmbD9ZTVXMQ/edit#gid=1251630045"",""articles_with_PRISMA_reasons!Y2:Y2113""), $A1822=IMPORTRANGE(""https://docs.google.com/spreadsheets/d/1BJSV3WBYJGRhQ6"&amp;"zExamkszQ5VutGIcaQqmbD9ZTVXMQ/edit#gid=1251630045"",""articles_with_PRISMA_reasons!B2:B2113""))&gt;=2,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$A1822=IMPORTRANGE(""https://docs.google.com/spreadsheets/d/1BJSV3WBYJGRhQ6zExamkszQ5VutGIcaQqmbD9ZTVXMQ/edit#gid=1251630045"",""articles_with_PRISMA_reasons!B2:B2113""))&lt;2),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$A1822=IMPORTRANGE(""https://docs.google.com/spreadsheets/d/1BJSV3WBYJGRhQ6zExamkszQ5VutGIcaQqmbD9ZTVXMQ/edit#gid=1251630045"",""a"&amp;"rticles_with_PRISMA_reasons!B2:B2113""))&lt;2,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$A1822=IMPORTRANGE(""https://docs.google"&amp;".com/spreadsheets/d/1BJSV3WBYJGRhQ6zExamkszQ5VutGIcaQqmbD9ZTVXMQ/edit#gid=1251630045"",""articles_with_PRISMA_reasons!B2:B2113""))&gt;=2),
""Exclude""
)"),"Exclude")</f>
        <v>Exclude</v>
      </c>
      <c r="E1822" s="5" t="str">
        <f>IFERROR(__xludf.DUMMYFUNCTION("IFS(
D1822=""Exclude"",""Exclude"",
AND(
FILTER(IMPORTRANGE(""https://docs.google.com/spreadsheets/d/1qpEmbGH0JjaJbUdp21-y2cPbobDbMjr09BbtdKROZWc/edit#gid=1444865654"",""articles_with_PRISMA_reasons!W2:W2113""), $A1822=IMPORTRANGE(""https://docs.google.co"&amp;"m/spreadsheets/d/1qpEmbGH0JjaJbUdp21-y2cPbobDbMjr09BbtdKROZWc/edit#gid=1444865654"",""articles_with_PRISMA_reasons!B2:B2113""))&gt;=2,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$A1822=IMPORTRANGE(""https://docs.google.com/spreadsheets/d/1qpEmbGH0JjaJbUdp21-y2cPbobDbMjr09BbtdKROZWc/edit#gid=1444865654"",""articles_with_PRISMA_reasons!B2:B2113""))&lt;2),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$A1822=IMPORTRANGE(""https://docs.google.com/spreadsheets/d/1qpEmbGH0JjaJbUdp21-y2cPbobDbMjr09Bbtd"&amp;"KROZWc/edit#gid=1444865654"",""articles_with_PRISMA_reasons!B2:B2113""))&lt;2,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$A1822=I"&amp;"MPORTRANGE(""https://docs.google.com/spreadsheets/d/1qpEmbGH0JjaJbUdp21-y2cPbobDbMjr09BbtdKROZWc/edit#gid=1444865654"",""articles_with_PRISMA_reasons!B2:B2113""))&gt;=2),
""Exclude""
)"),"Exclude")</f>
        <v>Exclude</v>
      </c>
      <c r="F1822" s="5" t="str">
        <f>IFERROR(__xludf.DUMMYFUNCTION("IFS(
E1822=""Exclude"",""Exclude"",
AND(
COUNTIF(
IMPORTRANGE(""https://docs.google.com/spreadsheets/d/1kGrh75X1cNR1D7_FcY9zMnHP8iPO4M5RCRjy6nZY0TY/edit#gid=0"",""Table 1: Study characteristics!B4:B171""),A1822)&gt;0,
COUNTIF(Studies!$A$2:$A$85,FILTER(IMPORT"&amp;"RANGE(""https://docs.google.com/spreadsheets/d/1kGrh75X1cNR1D7_FcY9zMnHP8iPO4M5RCRjy6nZY0TY/edit#gid=0"",""Table 1: Study characteristics!A4:A171""), $A1822=IMPORTRANGE(""https://docs.google.com/spreadsheets/d/1kGrh75X1cNR1D7_FcY9zMnHP8iPO4M5RCRjy6nZY0TY/"&amp;"edit#gid=0"",""Table 1: Study characteristics!B4:B171"")))&gt;0
),
""Include""
)"),"Exclude")</f>
        <v>Exclude</v>
      </c>
      <c r="G1822" s="5" t="str">
        <f>IFERROR(__xludf.DUMMYFUNCTION("IFS(
D1822=""Exclude"",
FILTER(IMPORTRANGE(""https://docs.google.com/spreadsheets/d/1BJSV3WBYJGRhQ6zExamkszQ5VutGIcaQqmbD9ZTVXMQ/edit#gid=1251630045"",""articles_with_PRISMA_reasons!AB2:AB2113""), $A1822=IMPORTRANGE(""https://docs.google.com/spreadsheets/"&amp;"d/1BJSV3WBYJGRhQ6zExamkszQ5VutGIcaQqmbD9ZTVXMQ/edit#gid=1251630045"",""articles_with_PRISMA_reasons!B2:B2113"")),
E1822=""Exclude"",
FILTER(IMPORTRANGE(""https://docs.google.com/spreadsheets/d/1qpEmbGH0JjaJbUdp21-y2cPbobDbMjr09BbtdKROZWc/edit#gid=14448656"&amp;"54"",""articles_with_PRISMA_reasons!Z2:Z2113""), $A1822=IMPORTRANGE(""https://docs.google.com/spreadsheets/d/1qpEmbGH0JjaJbUdp21-y2cPbobDbMjr09BbtdKROZWc/edit#gid=1444865654"",""articles_with_PRISMA_reasons!B2:B2113"")),F1822
=""Include"",FILTER(IMPORTRAN"&amp;"GE(""https://docs.google.com/spreadsheets/d/1kGrh75X1cNR1D7_FcY9zMnHP8iPO4M5RCRjy6nZY0TY/edit#gid=0"",""Table 1: Study characteristics!A4:A171""), $A1822=IMPORTRANGE(""https://docs.google.com/spreadsheets/d/1kGrh75X1cNR1D7_FcY9zMnHP8iPO4M5RCRjy6nZY0TY/edi"&amp;"t#gid=0"",""Table 1: Study characteristics!B4:B171""))
)"),"wrong population")</f>
        <v>wrong population</v>
      </c>
    </row>
    <row r="1823">
      <c r="A1823" s="4" t="str">
        <f>IFERROR(__xludf.DUMMYFUNCTION("""COMPUTED_VALUE"""),"Sustained Attention in Children With Two Etiologies of Early Hydrocephalus")</f>
        <v>Sustained Attention in Children With Two Etiologies of Early Hydrocephalus</v>
      </c>
      <c r="B1823" s="5" t="str">
        <f>IFERROR(__xludf.DUMMYFUNCTION("LEFT(FILTER(IMPORTRANGE(""https://docs.google.com/spreadsheets/d/1BJSV3WBYJGRhQ6zExamkszQ5VutGIcaQqmbD9ZTVXMQ/edit#gid=1251630045"",""articles_with_PRISMA_reasons!K2:K2113""), $A1823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$A1823=IMPORTRANGE(""https://docs.google.com/spreadsheets/d/1BJSV3WBYJGRhQ6zExamkszQ5VutGIcaQqmbD9ZTVXMQ/edit#gid=1251630045"",""articles_with_PRISMA_reasons!B2:B2113"")))-1)"),"Swartwout")</f>
        <v>Swartwout</v>
      </c>
      <c r="C1823" s="6">
        <f>IFERROR(__xludf.DUMMYFUNCTION("FILTER(IMPORTRANGE(""https://docs.google.com/spreadsheets/d/1BJSV3WBYJGRhQ6zExamkszQ5VutGIcaQqmbD9ZTVXMQ/edit#gid=1251630045"",""articles_with_PRISMA_reasons!C2:C2113""), $A1823=IMPORTRANGE(""https://docs.google.com/spreadsheets/d/1BJSV3WBYJGRhQ6zExamkszQ"&amp;"5VutGIcaQqmbD9ZTVXMQ/edit#gid=1251630045"",""articles_with_PRISMA_reasons!B2:B2113""))"),2008.0)</f>
        <v>2008</v>
      </c>
      <c r="D1823" s="5" t="str">
        <f>IFERROR(__xludf.DUMMYFUNCTION("IFS(AND(
FILTER(IMPORTRANGE(""https://docs.google.com/spreadsheets/d/1BJSV3WBYJGRhQ6zExamkszQ5VutGIcaQqmbD9ZTVXMQ/edit#gid=1251630045"",""articles_with_PRISMA_reasons!Y2:Y2113""), $A1823=IMPORTRANGE(""https://docs.google.com/spreadsheets/d/1BJSV3WBYJGRhQ6"&amp;"zExamkszQ5VutGIcaQqmbD9ZTVXMQ/edit#gid=1251630045"",""articles_with_PRISMA_reasons!B2:B2113""))&gt;=2,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$A1823=IMPORTRANGE(""https://docs.google.com/spreadsheets/d/1BJSV3WBYJGRhQ6zExamkszQ5VutGIcaQqmbD9ZTVXMQ/edit#gid=1251630045"",""articles_with_PRISMA_reasons!B2:B2113""))&lt;2),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$A1823=IMPORTRANGE(""https://docs.google.com/spreadsheets/d/1BJSV3WBYJGRhQ6zExamkszQ5VutGIcaQqmbD9ZTVXMQ/edit#gid=1251630045"",""a"&amp;"rticles_with_PRISMA_reasons!B2:B2113""))&lt;2,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$A1823=IMPORTRANGE(""https://docs.google"&amp;".com/spreadsheets/d/1BJSV3WBYJGRhQ6zExamkszQ5VutGIcaQqmbD9ZTVXMQ/edit#gid=1251630045"",""articles_with_PRISMA_reasons!B2:B2113""))&gt;=2),
""Exclude""
)"),"Exclude")</f>
        <v>Exclude</v>
      </c>
      <c r="E1823" s="5" t="str">
        <f>IFERROR(__xludf.DUMMYFUNCTION("IFS(
D1823=""Exclude"",""Exclude"",
AND(
FILTER(IMPORTRANGE(""https://docs.google.com/spreadsheets/d/1qpEmbGH0JjaJbUdp21-y2cPbobDbMjr09BbtdKROZWc/edit#gid=1444865654"",""articles_with_PRISMA_reasons!W2:W2113""), $A1823=IMPORTRANGE(""https://docs.google.co"&amp;"m/spreadsheets/d/1qpEmbGH0JjaJbUdp21-y2cPbobDbMjr09BbtdKROZWc/edit#gid=1444865654"",""articles_with_PRISMA_reasons!B2:B2113""))&gt;=2,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$A1823=IMPORTRANGE(""https://docs.google.com/spreadsheets/d/1qpEmbGH0JjaJbUdp21-y2cPbobDbMjr09BbtdKROZWc/edit#gid=1444865654"",""articles_with_PRISMA_reasons!B2:B2113""))&lt;2),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$A1823=IMPORTRANGE(""https://docs.google.com/spreadsheets/d/1qpEmbGH0JjaJbUdp21-y2cPbobDbMjr09Bbtd"&amp;"KROZWc/edit#gid=1444865654"",""articles_with_PRISMA_reasons!B2:B2113""))&lt;2,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$A1823=I"&amp;"MPORTRANGE(""https://docs.google.com/spreadsheets/d/1qpEmbGH0JjaJbUdp21-y2cPbobDbMjr09BbtdKROZWc/edit#gid=1444865654"",""articles_with_PRISMA_reasons!B2:B2113""))&gt;=2),
""Exclude""
)"),"Exclude")</f>
        <v>Exclude</v>
      </c>
      <c r="F1823" s="5" t="str">
        <f>IFERROR(__xludf.DUMMYFUNCTION("IFS(
E1823=""Exclude"",""Exclude"",
AND(
COUNTIF(
IMPORTRANGE(""https://docs.google.com/spreadsheets/d/1kGrh75X1cNR1D7_FcY9zMnHP8iPO4M5RCRjy6nZY0TY/edit#gid=0"",""Table 1: Study characteristics!B4:B171""),A1823)&gt;0,
COUNTIF(Studies!$A$2:$A$85,FILTER(IMPORT"&amp;"RANGE(""https://docs.google.com/spreadsheets/d/1kGrh75X1cNR1D7_FcY9zMnHP8iPO4M5RCRjy6nZY0TY/edit#gid=0"",""Table 1: Study characteristics!A4:A171""), $A1823=IMPORTRANGE(""https://docs.google.com/spreadsheets/d/1kGrh75X1cNR1D7_FcY9zMnHP8iPO4M5RCRjy6nZY0TY/"&amp;"edit#gid=0"",""Table 1: Study characteristics!B4:B171"")))&gt;0
),
""Include""
)"),"Exclude")</f>
        <v>Exclude</v>
      </c>
      <c r="G1823" s="5" t="str">
        <f>IFERROR(__xludf.DUMMYFUNCTION("IFS(
D1823=""Exclude"",
FILTER(IMPORTRANGE(""https://docs.google.com/spreadsheets/d/1BJSV3WBYJGRhQ6zExamkszQ5VutGIcaQqmbD9ZTVXMQ/edit#gid=1251630045"",""articles_with_PRISMA_reasons!AB2:AB2113""), $A1823=IMPORTRANGE(""https://docs.google.com/spreadsheets/"&amp;"d/1BJSV3WBYJGRhQ6zExamkszQ5VutGIcaQqmbD9ZTVXMQ/edit#gid=1251630045"",""articles_with_PRISMA_reasons!B2:B2113"")),
E1823=""Exclude"",
FILTER(IMPORTRANGE(""https://docs.google.com/spreadsheets/d/1qpEmbGH0JjaJbUdp21-y2cPbobDbMjr09BbtdKROZWc/edit#gid=14448656"&amp;"54"",""articles_with_PRISMA_reasons!Z2:Z2113""), $A1823=IMPORTRANGE(""https://docs.google.com/spreadsheets/d/1qpEmbGH0JjaJbUdp21-y2cPbobDbMjr09BbtdKROZWc/edit#gid=1444865654"",""articles_with_PRISMA_reasons!B2:B2113"")),F1823
=""Include"",FILTER(IMPORTRAN"&amp;"GE(""https://docs.google.com/spreadsheets/d/1kGrh75X1cNR1D7_FcY9zMnHP8iPO4M5RCRjy6nZY0TY/edit#gid=0"",""Table 1: Study characteristics!A4:A171""), $A1823=IMPORTRANGE(""https://docs.google.com/spreadsheets/d/1kGrh75X1cNR1D7_FcY9zMnHP8iPO4M5RCRjy6nZY0TY/edi"&amp;"t#gid=0"",""Table 1: Study characteristics!B4:B171""))
)"),"wrong population")</f>
        <v>wrong population</v>
      </c>
    </row>
    <row r="1824">
      <c r="A1824" s="4" t="str">
        <f>IFERROR(__xludf.DUMMYFUNCTION("""COMPUTED_VALUE"""),"Sweat function in babies with defects of the central nervous system")</f>
        <v>Sweat function in babies with defects of the central nervous system</v>
      </c>
      <c r="B1824" s="5" t="str">
        <f>IFERROR(__xludf.DUMMYFUNCTION("LEFT(FILTER(IMPORTRANGE(""https://docs.google.com/spreadsheets/d/1BJSV3WBYJGRhQ6zExamkszQ5VutGIcaQqmbD9ZTVXMQ/edit#gid=1251630045"",""articles_with_PRISMA_reasons!K2:K2113""), $A1824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$A1824=IMPORTRANGE(""https://docs.google.com/spreadsheets/d/1BJSV3WBYJGRhQ6zExamkszQ5VutGIcaQqmbD9ZTVXMQ/edit#gid=1251630045"",""articles_with_PRISMA_reasons!B2:B2113"")))-1)"),"Foster")</f>
        <v>Foster</v>
      </c>
      <c r="C1824" s="6" t="str">
        <f>IFERROR(__xludf.DUMMYFUNCTION("FILTER(IMPORTRANGE(""https://docs.google.com/spreadsheets/d/1BJSV3WBYJGRhQ6zExamkszQ5VutGIcaQqmbD9ZTVXMQ/edit#gid=1251630045"",""articles_with_PRISMA_reasons!C2:C2113""), $A1824=IMPORTRANGE(""https://docs.google.com/spreadsheets/d/1BJSV3WBYJGRhQ6zExamkszQ"&amp;"5VutGIcaQqmbD9ZTVXMQ/edit#gid=1251630045"",""articles_with_PRISMA_reasons!B2:B2113""))"),"Aug")</f>
        <v>Aug</v>
      </c>
      <c r="D1824" s="5" t="str">
        <f>IFERROR(__xludf.DUMMYFUNCTION("IFS(AND(
FILTER(IMPORTRANGE(""https://docs.google.com/spreadsheets/d/1BJSV3WBYJGRhQ6zExamkszQ5VutGIcaQqmbD9ZTVXMQ/edit#gid=1251630045"",""articles_with_PRISMA_reasons!Y2:Y2113""), $A1824=IMPORTRANGE(""https://docs.google.com/spreadsheets/d/1BJSV3WBYJGRhQ6"&amp;"zExamkszQ5VutGIcaQqmbD9ZTVXMQ/edit#gid=1251630045"",""articles_with_PRISMA_reasons!B2:B2113""))&gt;=2,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$A1824=IMPORTRANGE(""https://docs.google.com/spreadsheets/d/1BJSV3WBYJGRhQ6zExamkszQ5VutGIcaQqmbD9ZTVXMQ/edit#gid=1251630045"",""articles_with_PRISMA_reasons!B2:B2113""))&lt;2),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$A1824=IMPORTRANGE(""https://docs.google.com/spreadsheets/d/1BJSV3WBYJGRhQ6zExamkszQ5VutGIcaQqmbD9ZTVXMQ/edit#gid=1251630045"",""a"&amp;"rticles_with_PRISMA_reasons!B2:B2113""))&lt;2,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$A1824=IMPORTRANGE(""https://docs.google"&amp;".com/spreadsheets/d/1BJSV3WBYJGRhQ6zExamkszQ5VutGIcaQqmbD9ZTVXMQ/edit#gid=1251630045"",""articles_with_PRISMA_reasons!B2:B2113""))&gt;=2),
""Exclude""
)"),"Exclude")</f>
        <v>Exclude</v>
      </c>
      <c r="E1824" s="5" t="str">
        <f>IFERROR(__xludf.DUMMYFUNCTION("IFS(
D1824=""Exclude"",""Exclude"",
AND(
FILTER(IMPORTRANGE(""https://docs.google.com/spreadsheets/d/1qpEmbGH0JjaJbUdp21-y2cPbobDbMjr09BbtdKROZWc/edit#gid=1444865654"",""articles_with_PRISMA_reasons!W2:W2113""), $A1824=IMPORTRANGE(""https://docs.google.co"&amp;"m/spreadsheets/d/1qpEmbGH0JjaJbUdp21-y2cPbobDbMjr09BbtdKROZWc/edit#gid=1444865654"",""articles_with_PRISMA_reasons!B2:B2113""))&gt;=2,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$A1824=IMPORTRANGE(""https://docs.google.com/spreadsheets/d/1qpEmbGH0JjaJbUdp21-y2cPbobDbMjr09BbtdKROZWc/edit#gid=1444865654"",""articles_with_PRISMA_reasons!B2:B2113""))&lt;2),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$A1824=IMPORTRANGE(""https://docs.google.com/spreadsheets/d/1qpEmbGH0JjaJbUdp21-y2cPbobDbMjr09Bbtd"&amp;"KROZWc/edit#gid=1444865654"",""articles_with_PRISMA_reasons!B2:B2113""))&lt;2,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$A1824=I"&amp;"MPORTRANGE(""https://docs.google.com/spreadsheets/d/1qpEmbGH0JjaJbUdp21-y2cPbobDbMjr09BbtdKROZWc/edit#gid=1444865654"",""articles_with_PRISMA_reasons!B2:B2113""))&gt;=2),
""Exclude""
)"),"Exclude")</f>
        <v>Exclude</v>
      </c>
      <c r="F1824" s="5" t="str">
        <f>IFERROR(__xludf.DUMMYFUNCTION("IFS(
E1824=""Exclude"",""Exclude"",
AND(
COUNTIF(
IMPORTRANGE(""https://docs.google.com/spreadsheets/d/1kGrh75X1cNR1D7_FcY9zMnHP8iPO4M5RCRjy6nZY0TY/edit#gid=0"",""Table 1: Study characteristics!B4:B171""),A1824)&gt;0,
COUNTIF(Studies!$A$2:$A$85,FILTER(IMPORT"&amp;"RANGE(""https://docs.google.com/spreadsheets/d/1kGrh75X1cNR1D7_FcY9zMnHP8iPO4M5RCRjy6nZY0TY/edit#gid=0"",""Table 1: Study characteristics!A4:A171""), $A1824=IMPORTRANGE(""https://docs.google.com/spreadsheets/d/1kGrh75X1cNR1D7_FcY9zMnHP8iPO4M5RCRjy6nZY0TY/"&amp;"edit#gid=0"",""Table 1: Study characteristics!B4:B171"")))&gt;0
),
""Include""
)"),"Exclude")</f>
        <v>Exclude</v>
      </c>
      <c r="G1824" s="5" t="str">
        <f>IFERROR(__xludf.DUMMYFUNCTION("IFS(
D1824=""Exclude"",
FILTER(IMPORTRANGE(""https://docs.google.com/spreadsheets/d/1BJSV3WBYJGRhQ6zExamkszQ5VutGIcaQqmbD9ZTVXMQ/edit#gid=1251630045"",""articles_with_PRISMA_reasons!AB2:AB2113""), $A1824=IMPORTRANGE(""https://docs.google.com/spreadsheets/"&amp;"d/1BJSV3WBYJGRhQ6zExamkszQ5VutGIcaQqmbD9ZTVXMQ/edit#gid=1251630045"",""articles_with_PRISMA_reasons!B2:B2113"")),
E1824=""Exclude"",
FILTER(IMPORTRANGE(""https://docs.google.com/spreadsheets/d/1qpEmbGH0JjaJbUdp21-y2cPbobDbMjr09BbtdKROZWc/edit#gid=14448656"&amp;"54"",""articles_with_PRISMA_reasons!Z2:Z2113""), $A1824=IMPORTRANGE(""https://docs.google.com/spreadsheets/d/1qpEmbGH0JjaJbUdp21-y2cPbobDbMjr09BbtdKROZWc/edit#gid=1444865654"",""articles_with_PRISMA_reasons!B2:B2113"")),F1824
=""Include"",FILTER(IMPORTRAN"&amp;"GE(""https://docs.google.com/spreadsheets/d/1kGrh75X1cNR1D7_FcY9zMnHP8iPO4M5RCRjy6nZY0TY/edit#gid=0"",""Table 1: Study characteristics!A4:A171""), $A1824=IMPORTRANGE(""https://docs.google.com/spreadsheets/d/1kGrh75X1cNR1D7_FcY9zMnHP8iPO4M5RCRjy6nZY0TY/edi"&amp;"t#gid=0"",""Table 1: Study characteristics!B4:B171""))
)"),"wrong population")</f>
        <v>wrong population</v>
      </c>
    </row>
    <row r="1825">
      <c r="A1825" s="4" t="str">
        <f>IFERROR(__xludf.DUMMYFUNCTION("""COMPUTED_VALUE"""),"Symptomatic Arnold-Chiari malformation: Review of experience with 22 cases")</f>
        <v>Symptomatic Arnold-Chiari malformation: Review of experience with 22 cases</v>
      </c>
      <c r="B1825" s="5" t="str">
        <f>IFERROR(__xludf.DUMMYFUNCTION("LEFT(FILTER(IMPORTRANGE(""https://docs.google.com/spreadsheets/d/1BJSV3WBYJGRhQ6zExamkszQ5VutGIcaQqmbD9ZTVXMQ/edit#gid=1251630045"",""articles_with_PRISMA_reasons!K2:K2113""), $A1825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$A1825=IMPORTRANGE(""https://docs.google.com/spreadsheets/d/1BJSV3WBYJGRhQ6zExamkszQ5VutGIcaQqmbD9ZTVXMQ/edit#gid=1251630045"",""articles_with_PRISMA_reasons!B2:B2113"")))-1)"),"Bell")</f>
        <v>Bell</v>
      </c>
      <c r="C1825" s="6">
        <f>IFERROR(__xludf.DUMMYFUNCTION("FILTER(IMPORTRANGE(""https://docs.google.com/spreadsheets/d/1BJSV3WBYJGRhQ6zExamkszQ5VutGIcaQqmbD9ZTVXMQ/edit#gid=1251630045"",""articles_with_PRISMA_reasons!C2:C2113""), $A1825=IMPORTRANGE(""https://docs.google.com/spreadsheets/d/1BJSV3WBYJGRhQ6zExamkszQ"&amp;"5VutGIcaQqmbD9ZTVXMQ/edit#gid=1251630045"",""articles_with_PRISMA_reasons!B2:B2113""))"),1987.0)</f>
        <v>1987</v>
      </c>
      <c r="D1825" s="5" t="str">
        <f>IFERROR(__xludf.DUMMYFUNCTION("IFS(AND(
FILTER(IMPORTRANGE(""https://docs.google.com/spreadsheets/d/1BJSV3WBYJGRhQ6zExamkszQ5VutGIcaQqmbD9ZTVXMQ/edit#gid=1251630045"",""articles_with_PRISMA_reasons!Y2:Y2113""), $A1825=IMPORTRANGE(""https://docs.google.com/spreadsheets/d/1BJSV3WBYJGRhQ6"&amp;"zExamkszQ5VutGIcaQqmbD9ZTVXMQ/edit#gid=1251630045"",""articles_with_PRISMA_reasons!B2:B2113""))&gt;=2,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$A1825=IMPORTRANGE(""https://docs.google.com/spreadsheets/d/1BJSV3WBYJGRhQ6zExamkszQ5VutGIcaQqmbD9ZTVXMQ/edit#gid=1251630045"",""articles_with_PRISMA_reasons!B2:B2113""))&lt;2),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$A1825=IMPORTRANGE(""https://docs.google.com/spreadsheets/d/1BJSV3WBYJGRhQ6zExamkszQ5VutGIcaQqmbD9ZTVXMQ/edit#gid=1251630045"",""a"&amp;"rticles_with_PRISMA_reasons!B2:B2113""))&lt;2,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$A1825=IMPORTRANGE(""https://docs.google"&amp;".com/spreadsheets/d/1BJSV3WBYJGRhQ6zExamkszQ5VutGIcaQqmbD9ZTVXMQ/edit#gid=1251630045"",""articles_with_PRISMA_reasons!B2:B2113""))&gt;=2),
""Exclude""
)"),"Include")</f>
        <v>Include</v>
      </c>
      <c r="E1825" s="5" t="str">
        <f>IFERROR(__xludf.DUMMYFUNCTION("IFS(
D1825=""Exclude"",""Exclude"",
AND(
FILTER(IMPORTRANGE(""https://docs.google.com/spreadsheets/d/1qpEmbGH0JjaJbUdp21-y2cPbobDbMjr09BbtdKROZWc/edit#gid=1444865654"",""articles_with_PRISMA_reasons!W2:W2113""), $A1825=IMPORTRANGE(""https://docs.google.co"&amp;"m/spreadsheets/d/1qpEmbGH0JjaJbUdp21-y2cPbobDbMjr09BbtdKROZWc/edit#gid=1444865654"",""articles_with_PRISMA_reasons!B2:B2113""))&gt;=2,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$A1825=IMPORTRANGE(""https://docs.google.com/spreadsheets/d/1qpEmbGH0JjaJbUdp21-y2cPbobDbMjr09BbtdKROZWc/edit#gid=1444865654"",""articles_with_PRISMA_reasons!B2:B2113""))&lt;2),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$A1825=IMPORTRANGE(""https://docs.google.com/spreadsheets/d/1qpEmbGH0JjaJbUdp21-y2cPbobDbMjr09Bbtd"&amp;"KROZWc/edit#gid=1444865654"",""articles_with_PRISMA_reasons!B2:B2113""))&lt;2,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$A1825=I"&amp;"MPORTRANGE(""https://docs.google.com/spreadsheets/d/1qpEmbGH0JjaJbUdp21-y2cPbobDbMjr09BbtdKROZWc/edit#gid=1444865654"",""articles_with_PRISMA_reasons!B2:B2113""))&gt;=2),
""Exclude""
)"),"Exclude")</f>
        <v>Exclude</v>
      </c>
      <c r="F1825" s="5" t="str">
        <f>IFERROR(__xludf.DUMMYFUNCTION("IFS(
E1825=""Exclude"",""Exclude"",
AND(
COUNTIF(
IMPORTRANGE(""https://docs.google.com/spreadsheets/d/1kGrh75X1cNR1D7_FcY9zMnHP8iPO4M5RCRjy6nZY0TY/edit#gid=0"",""Table 1: Study characteristics!B4:B171""),A1825)&gt;0,
COUNTIF(Studies!$A$2:$A$85,FILTER(IMPORT"&amp;"RANGE(""https://docs.google.com/spreadsheets/d/1kGrh75X1cNR1D7_FcY9zMnHP8iPO4M5RCRjy6nZY0TY/edit#gid=0"",""Table 1: Study characteristics!A4:A171""), $A1825=IMPORTRANGE(""https://docs.google.com/spreadsheets/d/1kGrh75X1cNR1D7_FcY9zMnHP8iPO4M5RCRjy6nZY0TY/"&amp;"edit#gid=0"",""Table 1: Study characteristics!B4:B171"")))&gt;0
),
""Include""
)"),"Exclude")</f>
        <v>Exclude</v>
      </c>
      <c r="G1825" s="5" t="str">
        <f>IFERROR(__xludf.DUMMYFUNCTION("IFS(
D1825=""Exclude"",
FILTER(IMPORTRANGE(""https://docs.google.com/spreadsheets/d/1BJSV3WBYJGRhQ6zExamkszQ5VutGIcaQqmbD9ZTVXMQ/edit#gid=1251630045"",""articles_with_PRISMA_reasons!AB2:AB2113""), $A1825=IMPORTRANGE(""https://docs.google.com/spreadsheets/"&amp;"d/1BJSV3WBYJGRhQ6zExamkszQ5VutGIcaQqmbD9ZTVXMQ/edit#gid=1251630045"",""articles_with_PRISMA_reasons!B2:B2113"")),
E1825=""Exclude"",
FILTER(IMPORTRANGE(""https://docs.google.com/spreadsheets/d/1qpEmbGH0JjaJbUdp21-y2cPbobDbMjr09BbtdKROZWc/edit#gid=14448656"&amp;"54"",""articles_with_PRISMA_reasons!Z2:Z2113""), $A1825=IMPORTRANGE(""https://docs.google.com/spreadsheets/d/1qpEmbGH0JjaJbUdp21-y2cPbobDbMjr09BbtdKROZWc/edit#gid=1444865654"",""articles_with_PRISMA_reasons!B2:B2113"")),F1825
=""Include"",FILTER(IMPORTRAN"&amp;"GE(""https://docs.google.com/spreadsheets/d/1kGrh75X1cNR1D7_FcY9zMnHP8iPO4M5RCRjy6nZY0TY/edit#gid=0"",""Table 1: Study characteristics!A4:A171""), $A1825=IMPORTRANGE(""https://docs.google.com/spreadsheets/d/1kGrh75X1cNR1D7_FcY9zMnHP8iPO4M5RCRjy6nZY0TY/edi"&amp;"t#gid=0"",""Table 1: Study characteristics!B4:B171""))
)"),"wrong population")</f>
        <v>wrong population</v>
      </c>
    </row>
    <row r="1826">
      <c r="A1826" s="4" t="str">
        <f>IFERROR(__xludf.DUMMYFUNCTION("""COMPUTED_VALUE"""),"Symptomatic calcified subdural hematomas")</f>
        <v>Symptomatic calcified subdural hematomas</v>
      </c>
      <c r="B1826" s="5" t="str">
        <f>IFERROR(__xludf.DUMMYFUNCTION("LEFT(FILTER(IMPORTRANGE(""https://docs.google.com/spreadsheets/d/1BJSV3WBYJGRhQ6zExamkszQ5VutGIcaQqmbD9ZTVXMQ/edit#gid=1251630045"",""articles_with_PRISMA_reasons!K2:K2113""), $A1826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$A1826=IMPORTRANGE(""https://docs.google.com/spreadsheets/d/1BJSV3WBYJGRhQ6zExamkszQ5VutGIcaQqmbD9ZTVXMQ/edit#gid=1251630045"",""articles_with_PRISMA_reasons!B2:B2113"")))-1)"),"Mahapatra")</f>
        <v>Mahapatra</v>
      </c>
      <c r="C1826" s="6">
        <f>IFERROR(__xludf.DUMMYFUNCTION("FILTER(IMPORTRANGE(""https://docs.google.com/spreadsheets/d/1BJSV3WBYJGRhQ6zExamkszQ5VutGIcaQqmbD9ZTVXMQ/edit#gid=1251630045"",""articles_with_PRISMA_reasons!C2:C2113""), $A1826=IMPORTRANGE(""https://docs.google.com/spreadsheets/d/1BJSV3WBYJGRhQ6zExamkszQ"&amp;"5VutGIcaQqmbD9ZTVXMQ/edit#gid=1251630045"",""articles_with_PRISMA_reasons!B2:B2113""))"),1999.0)</f>
        <v>1999</v>
      </c>
      <c r="D1826" s="5" t="str">
        <f>IFERROR(__xludf.DUMMYFUNCTION("IFS(AND(
FILTER(IMPORTRANGE(""https://docs.google.com/spreadsheets/d/1BJSV3WBYJGRhQ6zExamkszQ5VutGIcaQqmbD9ZTVXMQ/edit#gid=1251630045"",""articles_with_PRISMA_reasons!Y2:Y2113""), $A1826=IMPORTRANGE(""https://docs.google.com/spreadsheets/d/1BJSV3WBYJGRhQ6"&amp;"zExamkszQ5VutGIcaQqmbD9ZTVXMQ/edit#gid=1251630045"",""articles_with_PRISMA_reasons!B2:B2113""))&gt;=2,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$A1826=IMPORTRANGE(""https://docs.google.com/spreadsheets/d/1BJSV3WBYJGRhQ6zExamkszQ5VutGIcaQqmbD9ZTVXMQ/edit#gid=1251630045"",""articles_with_PRISMA_reasons!B2:B2113""))&lt;2),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$A1826=IMPORTRANGE(""https://docs.google.com/spreadsheets/d/1BJSV3WBYJGRhQ6zExamkszQ5VutGIcaQqmbD9ZTVXMQ/edit#gid=1251630045"",""a"&amp;"rticles_with_PRISMA_reasons!B2:B2113""))&lt;2,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$A1826=IMPORTRANGE(""https://docs.google"&amp;".com/spreadsheets/d/1BJSV3WBYJGRhQ6zExamkszQ5VutGIcaQqmbD9ZTVXMQ/edit#gid=1251630045"",""articles_with_PRISMA_reasons!B2:B2113""))&gt;=2),
""Exclude""
)"),"Exclude")</f>
        <v>Exclude</v>
      </c>
      <c r="E1826" s="5" t="str">
        <f>IFERROR(__xludf.DUMMYFUNCTION("IFS(
D1826=""Exclude"",""Exclude"",
AND(
FILTER(IMPORTRANGE(""https://docs.google.com/spreadsheets/d/1qpEmbGH0JjaJbUdp21-y2cPbobDbMjr09BbtdKROZWc/edit#gid=1444865654"",""articles_with_PRISMA_reasons!W2:W2113""), $A1826=IMPORTRANGE(""https://docs.google.co"&amp;"m/spreadsheets/d/1qpEmbGH0JjaJbUdp21-y2cPbobDbMjr09BbtdKROZWc/edit#gid=1444865654"",""articles_with_PRISMA_reasons!B2:B2113""))&gt;=2,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$A1826=IMPORTRANGE(""https://docs.google.com/spreadsheets/d/1qpEmbGH0JjaJbUdp21-y2cPbobDbMjr09BbtdKROZWc/edit#gid=1444865654"",""articles_with_PRISMA_reasons!B2:B2113""))&lt;2),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$A1826=IMPORTRANGE(""https://docs.google.com/spreadsheets/d/1qpEmbGH0JjaJbUdp21-y2cPbobDbMjr09Bbtd"&amp;"KROZWc/edit#gid=1444865654"",""articles_with_PRISMA_reasons!B2:B2113""))&lt;2,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$A1826=I"&amp;"MPORTRANGE(""https://docs.google.com/spreadsheets/d/1qpEmbGH0JjaJbUdp21-y2cPbobDbMjr09BbtdKROZWc/edit#gid=1444865654"",""articles_with_PRISMA_reasons!B2:B2113""))&gt;=2),
""Exclude""
)"),"Exclude")</f>
        <v>Exclude</v>
      </c>
      <c r="F1826" s="5" t="str">
        <f>IFERROR(__xludf.DUMMYFUNCTION("IFS(
E1826=""Exclude"",""Exclude"",
AND(
COUNTIF(
IMPORTRANGE(""https://docs.google.com/spreadsheets/d/1kGrh75X1cNR1D7_FcY9zMnHP8iPO4M5RCRjy6nZY0TY/edit#gid=0"",""Table 1: Study characteristics!B4:B171""),A1826)&gt;0,
COUNTIF(Studies!$A$2:$A$85,FILTER(IMPORT"&amp;"RANGE(""https://docs.google.com/spreadsheets/d/1kGrh75X1cNR1D7_FcY9zMnHP8iPO4M5RCRjy6nZY0TY/edit#gid=0"",""Table 1: Study characteristics!A4:A171""), $A1826=IMPORTRANGE(""https://docs.google.com/spreadsheets/d/1kGrh75X1cNR1D7_FcY9zMnHP8iPO4M5RCRjy6nZY0TY/"&amp;"edit#gid=0"",""Table 1: Study characteristics!B4:B171"")))&gt;0
),
""Include""
)"),"Exclude")</f>
        <v>Exclude</v>
      </c>
      <c r="G1826" s="5" t="str">
        <f>IFERROR(__xludf.DUMMYFUNCTION("IFS(
D1826=""Exclude"",
FILTER(IMPORTRANGE(""https://docs.google.com/spreadsheets/d/1BJSV3WBYJGRhQ6zExamkszQ5VutGIcaQqmbD9ZTVXMQ/edit#gid=1251630045"",""articles_with_PRISMA_reasons!AB2:AB2113""), $A1826=IMPORTRANGE(""https://docs.google.com/spreadsheets/"&amp;"d/1BJSV3WBYJGRhQ6zExamkszQ5VutGIcaQqmbD9ZTVXMQ/edit#gid=1251630045"",""articles_with_PRISMA_reasons!B2:B2113"")),
E1826=""Exclude"",
FILTER(IMPORTRANGE(""https://docs.google.com/spreadsheets/d/1qpEmbGH0JjaJbUdp21-y2cPbobDbMjr09BbtdKROZWc/edit#gid=14448656"&amp;"54"",""articles_with_PRISMA_reasons!Z2:Z2113""), $A1826=IMPORTRANGE(""https://docs.google.com/spreadsheets/d/1qpEmbGH0JjaJbUdp21-y2cPbobDbMjr09BbtdKROZWc/edit#gid=1444865654"",""articles_with_PRISMA_reasons!B2:B2113"")),F1826
=""Include"",FILTER(IMPORTRAN"&amp;"GE(""https://docs.google.com/spreadsheets/d/1kGrh75X1cNR1D7_FcY9zMnHP8iPO4M5RCRjy6nZY0TY/edit#gid=0"",""Table 1: Study characteristics!A4:A171""), $A1826=IMPORTRANGE(""https://docs.google.com/spreadsheets/d/1kGrh75X1cNR1D7_FcY9zMnHP8iPO4M5RCRjy6nZY0TY/edi"&amp;"t#gid=0"",""Table 1: Study characteristics!B4:B171""))
)"),"wrong study design")</f>
        <v>wrong study design</v>
      </c>
    </row>
    <row r="1827">
      <c r="A1827" s="4" t="str">
        <f>IFERROR(__xludf.DUMMYFUNCTION("""COMPUTED_VALUE"""),"Symptomatic Chiari II malformation in new-born patients: A review of four cases")</f>
        <v>Symptomatic Chiari II malformation in new-born patients: A review of four cases</v>
      </c>
      <c r="B1827" s="5" t="str">
        <f>IFERROR(__xludf.DUMMYFUNCTION("LEFT(FILTER(IMPORTRANGE(""https://docs.google.com/spreadsheets/d/1BJSV3WBYJGRhQ6zExamkszQ5VutGIcaQqmbD9ZTVXMQ/edit#gid=1251630045"",""articles_with_PRISMA_reasons!K2:K2113""), $A1827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$A1827=IMPORTRANGE(""https://docs.google.com/spreadsheets/d/1BJSV3WBYJGRhQ6zExamkszQ5VutGIcaQqmbD9ZTVXMQ/edit#gid=1251630045"",""articles_with_PRISMA_reasons!B2:B2113"")))-1)"),"Garcia Escrig")</f>
        <v>Garcia Escrig</v>
      </c>
      <c r="C1827" s="6">
        <f>IFERROR(__xludf.DUMMYFUNCTION("FILTER(IMPORTRANGE(""https://docs.google.com/spreadsheets/d/1BJSV3WBYJGRhQ6zExamkszQ5VutGIcaQqmbD9ZTVXMQ/edit#gid=1251630045"",""articles_with_PRISMA_reasons!C2:C2113""), $A1827=IMPORTRANGE(""https://docs.google.com/spreadsheets/d/1BJSV3WBYJGRhQ6zExamkszQ"&amp;"5VutGIcaQqmbD9ZTVXMQ/edit#gid=1251630045"",""articles_with_PRISMA_reasons!B2:B2113""))"),1993.0)</f>
        <v>1993</v>
      </c>
      <c r="D1827" s="5" t="str">
        <f>IFERROR(__xludf.DUMMYFUNCTION("IFS(AND(
FILTER(IMPORTRANGE(""https://docs.google.com/spreadsheets/d/1BJSV3WBYJGRhQ6zExamkszQ5VutGIcaQqmbD9ZTVXMQ/edit#gid=1251630045"",""articles_with_PRISMA_reasons!Y2:Y2113""), $A1827=IMPORTRANGE(""https://docs.google.com/spreadsheets/d/1BJSV3WBYJGRhQ6"&amp;"zExamkszQ5VutGIcaQqmbD9ZTVXMQ/edit#gid=1251630045"",""articles_with_PRISMA_reasons!B2:B2113""))&gt;=2,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$A1827=IMPORTRANGE(""https://docs.google.com/spreadsheets/d/1BJSV3WBYJGRhQ6zExamkszQ5VutGIcaQqmbD9ZTVXMQ/edit#gid=1251630045"",""articles_with_PRISMA_reasons!B2:B2113""))&lt;2),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$A1827=IMPORTRANGE(""https://docs.google.com/spreadsheets/d/1BJSV3WBYJGRhQ6zExamkszQ5VutGIcaQqmbD9ZTVXMQ/edit#gid=1251630045"",""a"&amp;"rticles_with_PRISMA_reasons!B2:B2113""))&lt;2,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$A1827=IMPORTRANGE(""https://docs.google"&amp;".com/spreadsheets/d/1BJSV3WBYJGRhQ6zExamkszQ5VutGIcaQqmbD9ZTVXMQ/edit#gid=1251630045"",""articles_with_PRISMA_reasons!B2:B2113""))&gt;=2),
""Exclude""
)"),"Exclude")</f>
        <v>Exclude</v>
      </c>
      <c r="E1827" s="5" t="str">
        <f>IFERROR(__xludf.DUMMYFUNCTION("IFS(
D1827=""Exclude"",""Exclude"",
AND(
FILTER(IMPORTRANGE(""https://docs.google.com/spreadsheets/d/1qpEmbGH0JjaJbUdp21-y2cPbobDbMjr09BbtdKROZWc/edit#gid=1444865654"",""articles_with_PRISMA_reasons!W2:W2113""), $A1827=IMPORTRANGE(""https://docs.google.co"&amp;"m/spreadsheets/d/1qpEmbGH0JjaJbUdp21-y2cPbobDbMjr09BbtdKROZWc/edit#gid=1444865654"",""articles_with_PRISMA_reasons!B2:B2113""))&gt;=2,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$A1827=IMPORTRANGE(""https://docs.google.com/spreadsheets/d/1qpEmbGH0JjaJbUdp21-y2cPbobDbMjr09BbtdKROZWc/edit#gid=1444865654"",""articles_with_PRISMA_reasons!B2:B2113""))&lt;2),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$A1827=IMPORTRANGE(""https://docs.google.com/spreadsheets/d/1qpEmbGH0JjaJbUdp21-y2cPbobDbMjr09Bbtd"&amp;"KROZWc/edit#gid=1444865654"",""articles_with_PRISMA_reasons!B2:B2113""))&lt;2,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$A1827=I"&amp;"MPORTRANGE(""https://docs.google.com/spreadsheets/d/1qpEmbGH0JjaJbUdp21-y2cPbobDbMjr09BbtdKROZWc/edit#gid=1444865654"",""articles_with_PRISMA_reasons!B2:B2113""))&gt;=2),
""Exclude""
)"),"Exclude")</f>
        <v>Exclude</v>
      </c>
      <c r="F1827" s="5" t="str">
        <f>IFERROR(__xludf.DUMMYFUNCTION("IFS(
E1827=""Exclude"",""Exclude"",
AND(
COUNTIF(
IMPORTRANGE(""https://docs.google.com/spreadsheets/d/1kGrh75X1cNR1D7_FcY9zMnHP8iPO4M5RCRjy6nZY0TY/edit#gid=0"",""Table 1: Study characteristics!B4:B171""),A1827)&gt;0,
COUNTIF(Studies!$A$2:$A$85,FILTER(IMPORT"&amp;"RANGE(""https://docs.google.com/spreadsheets/d/1kGrh75X1cNR1D7_FcY9zMnHP8iPO4M5RCRjy6nZY0TY/edit#gid=0"",""Table 1: Study characteristics!A4:A171""), $A1827=IMPORTRANGE(""https://docs.google.com/spreadsheets/d/1kGrh75X1cNR1D7_FcY9zMnHP8iPO4M5RCRjy6nZY0TY/"&amp;"edit#gid=0"",""Table 1: Study characteristics!B4:B171"")))&gt;0
),
""Include""
)"),"Exclude")</f>
        <v>Exclude</v>
      </c>
      <c r="G1827" s="5" t="str">
        <f>IFERROR(__xludf.DUMMYFUNCTION("IFS(
D1827=""Exclude"",
FILTER(IMPORTRANGE(""https://docs.google.com/spreadsheets/d/1BJSV3WBYJGRhQ6zExamkszQ5VutGIcaQqmbD9ZTVXMQ/edit#gid=1251630045"",""articles_with_PRISMA_reasons!AB2:AB2113""), $A1827=IMPORTRANGE(""https://docs.google.com/spreadsheets/"&amp;"d/1BJSV3WBYJGRhQ6zExamkszQ5VutGIcaQqmbD9ZTVXMQ/edit#gid=1251630045"",""articles_with_PRISMA_reasons!B2:B2113"")),
E1827=""Exclude"",
FILTER(IMPORTRANGE(""https://docs.google.com/spreadsheets/d/1qpEmbGH0JjaJbUdp21-y2cPbobDbMjr09BbtdKROZWc/edit#gid=14448656"&amp;"54"",""articles_with_PRISMA_reasons!Z2:Z2113""), $A1827=IMPORTRANGE(""https://docs.google.com/spreadsheets/d/1qpEmbGH0JjaJbUdp21-y2cPbobDbMjr09BbtdKROZWc/edit#gid=1444865654"",""articles_with_PRISMA_reasons!B2:B2113"")),F1827
=""Include"",FILTER(IMPORTRAN"&amp;"GE(""https://docs.google.com/spreadsheets/d/1kGrh75X1cNR1D7_FcY9zMnHP8iPO4M5RCRjy6nZY0TY/edit#gid=0"",""Table 1: Study characteristics!A4:A171""), $A1827=IMPORTRANGE(""https://docs.google.com/spreadsheets/d/1kGrh75X1cNR1D7_FcY9zMnHP8iPO4M5RCRjy6nZY0TY/edi"&amp;"t#gid=0"",""Table 1: Study characteristics!B4:B171""))
)"),"wrong population")</f>
        <v>wrong population</v>
      </c>
    </row>
    <row r="1828">
      <c r="A1828" s="4" t="str">
        <f>IFERROR(__xludf.DUMMYFUNCTION("""COMPUTED_VALUE"""),"Syndromic craniosynostosis, fibroblast growth factor receptor 2 (FGFR2) mutations, and sacrococcygeal eversion presenting as human tails")</f>
        <v>Syndromic craniosynostosis, fibroblast growth factor receptor 2 (FGFR2) mutations, and sacrococcygeal eversion presenting as human tails</v>
      </c>
      <c r="B1828" s="5" t="str">
        <f>IFERROR(__xludf.DUMMYFUNCTION("LEFT(FILTER(IMPORTRANGE(""https://docs.google.com/spreadsheets/d/1BJSV3WBYJGRhQ6zExamkszQ5VutGIcaQqmbD9ZTVXMQ/edit#gid=1251630045"",""articles_with_PRISMA_reasons!K2:K2113""), $A1828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$A1828=IMPORTRANGE(""https://docs.google.com/spreadsheets/d/1BJSV3WBYJGRhQ6zExamkszQ5VutGIcaQqmbD9ZTVXMQ/edit#gid=1251630045"",""articles_with_PRISMA_reasons!B2:B2113"")))-1)"),"Wilkinson")</f>
        <v>Wilkinson</v>
      </c>
      <c r="C1828" s="6">
        <f>IFERROR(__xludf.DUMMYFUNCTION("FILTER(IMPORTRANGE(""https://docs.google.com/spreadsheets/d/1BJSV3WBYJGRhQ6zExamkszQ5VutGIcaQqmbD9ZTVXMQ/edit#gid=1251630045"",""articles_with_PRISMA_reasons!C2:C2113""), $A1828=IMPORTRANGE(""https://docs.google.com/spreadsheets/d/1BJSV3WBYJGRhQ6zExamkszQ"&amp;"5VutGIcaQqmbD9ZTVXMQ/edit#gid=1251630045"",""articles_with_PRISMA_reasons!B2:B2113""))"),2012.0)</f>
        <v>2012</v>
      </c>
      <c r="D1828" s="5" t="str">
        <f>IFERROR(__xludf.DUMMYFUNCTION("IFS(AND(
FILTER(IMPORTRANGE(""https://docs.google.com/spreadsheets/d/1BJSV3WBYJGRhQ6zExamkszQ5VutGIcaQqmbD9ZTVXMQ/edit#gid=1251630045"",""articles_with_PRISMA_reasons!Y2:Y2113""), $A1828=IMPORTRANGE(""https://docs.google.com/spreadsheets/d/1BJSV3WBYJGRhQ6"&amp;"zExamkszQ5VutGIcaQqmbD9ZTVXMQ/edit#gid=1251630045"",""articles_with_PRISMA_reasons!B2:B2113""))&gt;=2,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$A1828=IMPORTRANGE(""https://docs.google.com/spreadsheets/d/1BJSV3WBYJGRhQ6zExamkszQ5VutGIcaQqmbD9ZTVXMQ/edit#gid=1251630045"",""articles_with_PRISMA_reasons!B2:B2113""))&lt;2),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$A1828=IMPORTRANGE(""https://docs.google.com/spreadsheets/d/1BJSV3WBYJGRhQ6zExamkszQ5VutGIcaQqmbD9ZTVXMQ/edit#gid=1251630045"",""a"&amp;"rticles_with_PRISMA_reasons!B2:B2113""))&lt;2,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$A1828=IMPORTRANGE(""https://docs.google"&amp;".com/spreadsheets/d/1BJSV3WBYJGRhQ6zExamkszQ5VutGIcaQqmbD9ZTVXMQ/edit#gid=1251630045"",""articles_with_PRISMA_reasons!B2:B2113""))&gt;=2),
""Exclude""
)"),"Exclude")</f>
        <v>Exclude</v>
      </c>
      <c r="E1828" s="5" t="str">
        <f>IFERROR(__xludf.DUMMYFUNCTION("IFS(
D1828=""Exclude"",""Exclude"",
AND(
FILTER(IMPORTRANGE(""https://docs.google.com/spreadsheets/d/1qpEmbGH0JjaJbUdp21-y2cPbobDbMjr09BbtdKROZWc/edit#gid=1444865654"",""articles_with_PRISMA_reasons!W2:W2113""), $A1828=IMPORTRANGE(""https://docs.google.co"&amp;"m/spreadsheets/d/1qpEmbGH0JjaJbUdp21-y2cPbobDbMjr09BbtdKROZWc/edit#gid=1444865654"",""articles_with_PRISMA_reasons!B2:B2113""))&gt;=2,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$A1828=IMPORTRANGE(""https://docs.google.com/spreadsheets/d/1qpEmbGH0JjaJbUdp21-y2cPbobDbMjr09BbtdKROZWc/edit#gid=1444865654"",""articles_with_PRISMA_reasons!B2:B2113""))&lt;2),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$A1828=IMPORTRANGE(""https://docs.google.com/spreadsheets/d/1qpEmbGH0JjaJbUdp21-y2cPbobDbMjr09Bbtd"&amp;"KROZWc/edit#gid=1444865654"",""articles_with_PRISMA_reasons!B2:B2113""))&lt;2,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$A1828=I"&amp;"MPORTRANGE(""https://docs.google.com/spreadsheets/d/1qpEmbGH0JjaJbUdp21-y2cPbobDbMjr09BbtdKROZWc/edit#gid=1444865654"",""articles_with_PRISMA_reasons!B2:B2113""))&gt;=2),
""Exclude""
)"),"Exclude")</f>
        <v>Exclude</v>
      </c>
      <c r="F1828" s="5" t="str">
        <f>IFERROR(__xludf.DUMMYFUNCTION("IFS(
E1828=""Exclude"",""Exclude"",
AND(
COUNTIF(
IMPORTRANGE(""https://docs.google.com/spreadsheets/d/1kGrh75X1cNR1D7_FcY9zMnHP8iPO4M5RCRjy6nZY0TY/edit#gid=0"",""Table 1: Study characteristics!B4:B171""),A1828)&gt;0,
COUNTIF(Studies!$A$2:$A$85,FILTER(IMPORT"&amp;"RANGE(""https://docs.google.com/spreadsheets/d/1kGrh75X1cNR1D7_FcY9zMnHP8iPO4M5RCRjy6nZY0TY/edit#gid=0"",""Table 1: Study characteristics!A4:A171""), $A1828=IMPORTRANGE(""https://docs.google.com/spreadsheets/d/1kGrh75X1cNR1D7_FcY9zMnHP8iPO4M5RCRjy6nZY0TY/"&amp;"edit#gid=0"",""Table 1: Study characteristics!B4:B171"")))&gt;0
),
""Include""
)"),"Exclude")</f>
        <v>Exclude</v>
      </c>
      <c r="G1828" s="5" t="str">
        <f>IFERROR(__xludf.DUMMYFUNCTION("IFS(
D1828=""Exclude"",
FILTER(IMPORTRANGE(""https://docs.google.com/spreadsheets/d/1BJSV3WBYJGRhQ6zExamkszQ5VutGIcaQqmbD9ZTVXMQ/edit#gid=1251630045"",""articles_with_PRISMA_reasons!AB2:AB2113""), $A1828=IMPORTRANGE(""https://docs.google.com/spreadsheets/"&amp;"d/1BJSV3WBYJGRhQ6zExamkszQ5VutGIcaQqmbD9ZTVXMQ/edit#gid=1251630045"",""articles_with_PRISMA_reasons!B2:B2113"")),
E1828=""Exclude"",
FILTER(IMPORTRANGE(""https://docs.google.com/spreadsheets/d/1qpEmbGH0JjaJbUdp21-y2cPbobDbMjr09BbtdKROZWc/edit#gid=14448656"&amp;"54"",""articles_with_PRISMA_reasons!Z2:Z2113""), $A1828=IMPORTRANGE(""https://docs.google.com/spreadsheets/d/1qpEmbGH0JjaJbUdp21-y2cPbobDbMjr09BbtdKROZWc/edit#gid=1444865654"",""articles_with_PRISMA_reasons!B2:B2113"")),F1828
=""Include"",FILTER(IMPORTRAN"&amp;"GE(""https://docs.google.com/spreadsheets/d/1kGrh75X1cNR1D7_FcY9zMnHP8iPO4M5RCRjy6nZY0TY/edit#gid=0"",""Table 1: Study characteristics!A4:A171""), $A1828=IMPORTRANGE(""https://docs.google.com/spreadsheets/d/1kGrh75X1cNR1D7_FcY9zMnHP8iPO4M5RCRjy6nZY0TY/edi"&amp;"t#gid=0"",""Table 1: Study characteristics!B4:B171""))
)"),"wrong population")</f>
        <v>wrong population</v>
      </c>
    </row>
    <row r="1829">
      <c r="A1829" s="4" t="str">
        <f>IFERROR(__xludf.DUMMYFUNCTION("""COMPUTED_VALUE"""),"Syringomyelia and tethered cord in children")</f>
        <v>Syringomyelia and tethered cord in children</v>
      </c>
      <c r="B1829" s="5" t="str">
        <f>IFERROR(__xludf.DUMMYFUNCTION("LEFT(FILTER(IMPORTRANGE(""https://docs.google.com/spreadsheets/d/1BJSV3WBYJGRhQ6zExamkszQ5VutGIcaQqmbD9ZTVXMQ/edit#gid=1251630045"",""articles_with_PRISMA_reasons!K2:K2113""), $A1829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$A1829=IMPORTRANGE(""https://docs.google.com/spreadsheets/d/1BJSV3WBYJGRhQ6zExamkszQ5VutGIcaQqmbD9ZTVXMQ/edit#gid=1251630045"",""articles_with_PRISMA_reasons!B2:B2113"")))-1)"),"Tsitouras")</f>
        <v>Tsitouras</v>
      </c>
      <c r="C1829" s="6">
        <f>IFERROR(__xludf.DUMMYFUNCTION("FILTER(IMPORTRANGE(""https://docs.google.com/spreadsheets/d/1BJSV3WBYJGRhQ6zExamkszQ5VutGIcaQqmbD9ZTVXMQ/edit#gid=1251630045"",""articles_with_PRISMA_reasons!C2:C2113""), $A1829=IMPORTRANGE(""https://docs.google.com/spreadsheets/d/1BJSV3WBYJGRhQ6zExamkszQ"&amp;"5VutGIcaQqmbD9ZTVXMQ/edit#gid=1251630045"",""articles_with_PRISMA_reasons!B2:B2113""))"),2013.0)</f>
        <v>2013</v>
      </c>
      <c r="D1829" s="5" t="str">
        <f>IFERROR(__xludf.DUMMYFUNCTION("IFS(AND(
FILTER(IMPORTRANGE(""https://docs.google.com/spreadsheets/d/1BJSV3WBYJGRhQ6zExamkszQ5VutGIcaQqmbD9ZTVXMQ/edit#gid=1251630045"",""articles_with_PRISMA_reasons!Y2:Y2113""), $A1829=IMPORTRANGE(""https://docs.google.com/spreadsheets/d/1BJSV3WBYJGRhQ6"&amp;"zExamkszQ5VutGIcaQqmbD9ZTVXMQ/edit#gid=1251630045"",""articles_with_PRISMA_reasons!B2:B2113""))&gt;=2,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$A1829=IMPORTRANGE(""https://docs.google.com/spreadsheets/d/1BJSV3WBYJGRhQ6zExamkszQ5VutGIcaQqmbD9ZTVXMQ/edit#gid=1251630045"",""articles_with_PRISMA_reasons!B2:B2113""))&lt;2),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$A1829=IMPORTRANGE(""https://docs.google.com/spreadsheets/d/1BJSV3WBYJGRhQ6zExamkszQ5VutGIcaQqmbD9ZTVXMQ/edit#gid=1251630045"",""a"&amp;"rticles_with_PRISMA_reasons!B2:B2113""))&lt;2,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$A1829=IMPORTRANGE(""https://docs.google"&amp;".com/spreadsheets/d/1BJSV3WBYJGRhQ6zExamkszQ5VutGIcaQqmbD9ZTVXMQ/edit#gid=1251630045"",""articles_with_PRISMA_reasons!B2:B2113""))&gt;=2),
""Exclude""
)"),"Exclude")</f>
        <v>Exclude</v>
      </c>
      <c r="E1829" s="5" t="str">
        <f>IFERROR(__xludf.DUMMYFUNCTION("IFS(
D1829=""Exclude"",""Exclude"",
AND(
FILTER(IMPORTRANGE(""https://docs.google.com/spreadsheets/d/1qpEmbGH0JjaJbUdp21-y2cPbobDbMjr09BbtdKROZWc/edit#gid=1444865654"",""articles_with_PRISMA_reasons!W2:W2113""), $A1829=IMPORTRANGE(""https://docs.google.co"&amp;"m/spreadsheets/d/1qpEmbGH0JjaJbUdp21-y2cPbobDbMjr09BbtdKROZWc/edit#gid=1444865654"",""articles_with_PRISMA_reasons!B2:B2113""))&gt;=2,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$A1829=IMPORTRANGE(""https://docs.google.com/spreadsheets/d/1qpEmbGH0JjaJbUdp21-y2cPbobDbMjr09BbtdKROZWc/edit#gid=1444865654"",""articles_with_PRISMA_reasons!B2:B2113""))&lt;2),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$A1829=IMPORTRANGE(""https://docs.google.com/spreadsheets/d/1qpEmbGH0JjaJbUdp21-y2cPbobDbMjr09Bbtd"&amp;"KROZWc/edit#gid=1444865654"",""articles_with_PRISMA_reasons!B2:B2113""))&lt;2,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$A1829=I"&amp;"MPORTRANGE(""https://docs.google.com/spreadsheets/d/1qpEmbGH0JjaJbUdp21-y2cPbobDbMjr09BbtdKROZWc/edit#gid=1444865654"",""articles_with_PRISMA_reasons!B2:B2113""))&gt;=2),
""Exclude""
)"),"Exclude")</f>
        <v>Exclude</v>
      </c>
      <c r="F1829" s="5" t="str">
        <f>IFERROR(__xludf.DUMMYFUNCTION("IFS(
E1829=""Exclude"",""Exclude"",
AND(
COUNTIF(
IMPORTRANGE(""https://docs.google.com/spreadsheets/d/1kGrh75X1cNR1D7_FcY9zMnHP8iPO4M5RCRjy6nZY0TY/edit#gid=0"",""Table 1: Study characteristics!B4:B171""),A1829)&gt;0,
COUNTIF(Studies!$A$2:$A$85,FILTER(IMPORT"&amp;"RANGE(""https://docs.google.com/spreadsheets/d/1kGrh75X1cNR1D7_FcY9zMnHP8iPO4M5RCRjy6nZY0TY/edit#gid=0"",""Table 1: Study characteristics!A4:A171""), $A1829=IMPORTRANGE(""https://docs.google.com/spreadsheets/d/1kGrh75X1cNR1D7_FcY9zMnHP8iPO4M5RCRjy6nZY0TY/"&amp;"edit#gid=0"",""Table 1: Study characteristics!B4:B171"")))&gt;0
),
""Include""
)"),"Exclude")</f>
        <v>Exclude</v>
      </c>
      <c r="G1829" s="5" t="str">
        <f>IFERROR(__xludf.DUMMYFUNCTION("IFS(
D1829=""Exclude"",
FILTER(IMPORTRANGE(""https://docs.google.com/spreadsheets/d/1BJSV3WBYJGRhQ6zExamkszQ5VutGIcaQqmbD9ZTVXMQ/edit#gid=1251630045"",""articles_with_PRISMA_reasons!AB2:AB2113""), $A1829=IMPORTRANGE(""https://docs.google.com/spreadsheets/"&amp;"d/1BJSV3WBYJGRhQ6zExamkszQ5VutGIcaQqmbD9ZTVXMQ/edit#gid=1251630045"",""articles_with_PRISMA_reasons!B2:B2113"")),
E1829=""Exclude"",
FILTER(IMPORTRANGE(""https://docs.google.com/spreadsheets/d/1qpEmbGH0JjaJbUdp21-y2cPbobDbMjr09BbtdKROZWc/edit#gid=14448656"&amp;"54"",""articles_with_PRISMA_reasons!Z2:Z2113""), $A1829=IMPORTRANGE(""https://docs.google.com/spreadsheets/d/1qpEmbGH0JjaJbUdp21-y2cPbobDbMjr09BbtdKROZWc/edit#gid=1444865654"",""articles_with_PRISMA_reasons!B2:B2113"")),F1829
=""Include"",FILTER(IMPORTRAN"&amp;"GE(""https://docs.google.com/spreadsheets/d/1kGrh75X1cNR1D7_FcY9zMnHP8iPO4M5RCRjy6nZY0TY/edit#gid=0"",""Table 1: Study characteristics!A4:A171""), $A1829=IMPORTRANGE(""https://docs.google.com/spreadsheets/d/1kGrh75X1cNR1D7_FcY9zMnHP8iPO4M5RCRjy6nZY0TY/edi"&amp;"t#gid=0"",""Table 1: Study characteristics!B4:B171""))
)"),"wrong population")</f>
        <v>wrong population</v>
      </c>
    </row>
    <row r="1830">
      <c r="A1830" s="4" t="str">
        <f>IFERROR(__xludf.DUMMYFUNCTION("""COMPUTED_VALUE"""),"Syringomyelia complicating myelomeningocele: review of the evidence")</f>
        <v>Syringomyelia complicating myelomeningocele: review of the evidence</v>
      </c>
      <c r="B1830" s="5" t="str">
        <f>IFERROR(__xludf.DUMMYFUNCTION("LEFT(FILTER(IMPORTRANGE(""https://docs.google.com/spreadsheets/d/1BJSV3WBYJGRhQ6zExamkszQ5VutGIcaQqmbD9ZTVXMQ/edit#gid=1251630045"",""articles_with_PRISMA_reasons!K2:K2113""), $A1830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$A1830=IMPORTRANGE(""https://docs.google.com/spreadsheets/d/1BJSV3WBYJGRhQ6zExamkszQ5VutGIcaQqmbD9ZTVXMQ/edit#gid=1251630045"",""articles_with_PRISMA_reasons!B2:B2113"")))-1)"),"Piatt")</f>
        <v>Piatt</v>
      </c>
      <c r="C1830" s="6">
        <f>IFERROR(__xludf.DUMMYFUNCTION("FILTER(IMPORTRANGE(""https://docs.google.com/spreadsheets/d/1BJSV3WBYJGRhQ6zExamkszQ5VutGIcaQqmbD9ZTVXMQ/edit#gid=1251630045"",""articles_with_PRISMA_reasons!C2:C2113""), $A1830=IMPORTRANGE(""https://docs.google.com/spreadsheets/d/1BJSV3WBYJGRhQ6zExamkszQ"&amp;"5VutGIcaQqmbD9ZTVXMQ/edit#gid=1251630045"",""articles_with_PRISMA_reasons!B2:B2113""))"),2004.0)</f>
        <v>2004</v>
      </c>
      <c r="D1830" s="5" t="str">
        <f>IFERROR(__xludf.DUMMYFUNCTION("IFS(AND(
FILTER(IMPORTRANGE(""https://docs.google.com/spreadsheets/d/1BJSV3WBYJGRhQ6zExamkszQ5VutGIcaQqmbD9ZTVXMQ/edit#gid=1251630045"",""articles_with_PRISMA_reasons!Y2:Y2113""), $A1830=IMPORTRANGE(""https://docs.google.com/spreadsheets/d/1BJSV3WBYJGRhQ6"&amp;"zExamkszQ5VutGIcaQqmbD9ZTVXMQ/edit#gid=1251630045"",""articles_with_PRISMA_reasons!B2:B2113""))&gt;=2,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$A1830=IMPORTRANGE(""https://docs.google.com/spreadsheets/d/1BJSV3WBYJGRhQ6zExamkszQ5VutGIcaQqmbD9ZTVXMQ/edit#gid=1251630045"",""articles_with_PRISMA_reasons!B2:B2113""))&lt;2),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$A1830=IMPORTRANGE(""https://docs.google.com/spreadsheets/d/1BJSV3WBYJGRhQ6zExamkszQ5VutGIcaQqmbD9ZTVXMQ/edit#gid=1251630045"",""a"&amp;"rticles_with_PRISMA_reasons!B2:B2113""))&lt;2,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$A1830=IMPORTRANGE(""https://docs.google"&amp;".com/spreadsheets/d/1BJSV3WBYJGRhQ6zExamkszQ5VutGIcaQqmbD9ZTVXMQ/edit#gid=1251630045"",""articles_with_PRISMA_reasons!B2:B2113""))&gt;=2),
""Exclude""
)"),"Exclude")</f>
        <v>Exclude</v>
      </c>
      <c r="E1830" s="5" t="str">
        <f>IFERROR(__xludf.DUMMYFUNCTION("IFS(
D1830=""Exclude"",""Exclude"",
AND(
FILTER(IMPORTRANGE(""https://docs.google.com/spreadsheets/d/1qpEmbGH0JjaJbUdp21-y2cPbobDbMjr09BbtdKROZWc/edit#gid=1444865654"",""articles_with_PRISMA_reasons!W2:W2113""), $A1830=IMPORTRANGE(""https://docs.google.co"&amp;"m/spreadsheets/d/1qpEmbGH0JjaJbUdp21-y2cPbobDbMjr09BbtdKROZWc/edit#gid=1444865654"",""articles_with_PRISMA_reasons!B2:B2113""))&gt;=2,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$A1830=IMPORTRANGE(""https://docs.google.com/spreadsheets/d/1qpEmbGH0JjaJbUdp21-y2cPbobDbMjr09BbtdKROZWc/edit#gid=1444865654"",""articles_with_PRISMA_reasons!B2:B2113""))&lt;2),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$A1830=IMPORTRANGE(""https://docs.google.com/spreadsheets/d/1qpEmbGH0JjaJbUdp21-y2cPbobDbMjr09Bbtd"&amp;"KROZWc/edit#gid=1444865654"",""articles_with_PRISMA_reasons!B2:B2113""))&lt;2,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$A1830=I"&amp;"MPORTRANGE(""https://docs.google.com/spreadsheets/d/1qpEmbGH0JjaJbUdp21-y2cPbobDbMjr09BbtdKROZWc/edit#gid=1444865654"",""articles_with_PRISMA_reasons!B2:B2113""))&gt;=2),
""Exclude""
)"),"Exclude")</f>
        <v>Exclude</v>
      </c>
      <c r="F1830" s="5" t="str">
        <f>IFERROR(__xludf.DUMMYFUNCTION("IFS(
E1830=""Exclude"",""Exclude"",
AND(
COUNTIF(
IMPORTRANGE(""https://docs.google.com/spreadsheets/d/1kGrh75X1cNR1D7_FcY9zMnHP8iPO4M5RCRjy6nZY0TY/edit#gid=0"",""Table 1: Study characteristics!B4:B171""),A1830)&gt;0,
COUNTIF(Studies!$A$2:$A$85,FILTER(IMPORT"&amp;"RANGE(""https://docs.google.com/spreadsheets/d/1kGrh75X1cNR1D7_FcY9zMnHP8iPO4M5RCRjy6nZY0TY/edit#gid=0"",""Table 1: Study characteristics!A4:A171""), $A1830=IMPORTRANGE(""https://docs.google.com/spreadsheets/d/1kGrh75X1cNR1D7_FcY9zMnHP8iPO4M5RCRjy6nZY0TY/"&amp;"edit#gid=0"",""Table 1: Study characteristics!B4:B171"")))&gt;0
),
""Include""
)"),"Exclude")</f>
        <v>Exclude</v>
      </c>
      <c r="G1830" s="5" t="str">
        <f>IFERROR(__xludf.DUMMYFUNCTION("IFS(
D1830=""Exclude"",
FILTER(IMPORTRANGE(""https://docs.google.com/spreadsheets/d/1BJSV3WBYJGRhQ6zExamkszQ5VutGIcaQqmbD9ZTVXMQ/edit#gid=1251630045"",""articles_with_PRISMA_reasons!AB2:AB2113""), $A1830=IMPORTRANGE(""https://docs.google.com/spreadsheets/"&amp;"d/1BJSV3WBYJGRhQ6zExamkszQ5VutGIcaQqmbD9ZTVXMQ/edit#gid=1251630045"",""articles_with_PRISMA_reasons!B2:B2113"")),
E1830=""Exclude"",
FILTER(IMPORTRANGE(""https://docs.google.com/spreadsheets/d/1qpEmbGH0JjaJbUdp21-y2cPbobDbMjr09BbtdKROZWc/edit#gid=14448656"&amp;"54"",""articles_with_PRISMA_reasons!Z2:Z2113""), $A1830=IMPORTRANGE(""https://docs.google.com/spreadsheets/d/1qpEmbGH0JjaJbUdp21-y2cPbobDbMjr09BbtdKROZWc/edit#gid=1444865654"",""articles_with_PRISMA_reasons!B2:B2113"")),F1830
=""Include"",FILTER(IMPORTRAN"&amp;"GE(""https://docs.google.com/spreadsheets/d/1kGrh75X1cNR1D7_FcY9zMnHP8iPO4M5RCRjy6nZY0TY/edit#gid=0"",""Table 1: Study characteristics!A4:A171""), $A1830=IMPORTRANGE(""https://docs.google.com/spreadsheets/d/1kGrh75X1cNR1D7_FcY9zMnHP8iPO4M5RCRjy6nZY0TY/edi"&amp;"t#gid=0"",""Table 1: Study characteristics!B4:B171""))
)"),"wrong study design")</f>
        <v>wrong study design</v>
      </c>
    </row>
    <row r="1831">
      <c r="A1831" s="4" t="str">
        <f>IFERROR(__xludf.DUMMYFUNCTION("""COMPUTED_VALUE"""),"Syringomyelia in childhood")</f>
        <v>Syringomyelia in childhood</v>
      </c>
      <c r="B1831" s="5" t="str">
        <f>IFERROR(__xludf.DUMMYFUNCTION("LEFT(FILTER(IMPORTRANGE(""https://docs.google.com/spreadsheets/d/1BJSV3WBYJGRhQ6zExamkszQ5VutGIcaQqmbD9ZTVXMQ/edit#gid=1251630045"",""articles_with_PRISMA_reasons!K2:K2113""), $A1831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$A1831=IMPORTRANGE(""https://docs.google.com/spreadsheets/d/1BJSV3WBYJGRhQ6zExamkszQ5VutGIcaQqmbD9ZTVXMQ/edit#gid=1251630045"",""articles_with_PRISMA_reasons!B2:B2113"")))-1)"),"Zerah")</f>
        <v>Zerah</v>
      </c>
      <c r="C1831" s="6">
        <f>IFERROR(__xludf.DUMMYFUNCTION("FILTER(IMPORTRANGE(""https://docs.google.com/spreadsheets/d/1BJSV3WBYJGRhQ6zExamkszQ5VutGIcaQqmbD9ZTVXMQ/edit#gid=1251630045"",""articles_with_PRISMA_reasons!C2:C2113""), $A1831=IMPORTRANGE(""https://docs.google.com/spreadsheets/d/1BJSV3WBYJGRhQ6zExamkszQ"&amp;"5VutGIcaQqmbD9ZTVXMQ/edit#gid=1251630045"",""articles_with_PRISMA_reasons!B2:B2113""))"),1999.0)</f>
        <v>1999</v>
      </c>
      <c r="D1831" s="5" t="str">
        <f>IFERROR(__xludf.DUMMYFUNCTION("IFS(AND(
FILTER(IMPORTRANGE(""https://docs.google.com/spreadsheets/d/1BJSV3WBYJGRhQ6zExamkszQ5VutGIcaQqmbD9ZTVXMQ/edit#gid=1251630045"",""articles_with_PRISMA_reasons!Y2:Y2113""), $A1831=IMPORTRANGE(""https://docs.google.com/spreadsheets/d/1BJSV3WBYJGRhQ6"&amp;"zExamkszQ5VutGIcaQqmbD9ZTVXMQ/edit#gid=1251630045"",""articles_with_PRISMA_reasons!B2:B2113""))&gt;=2,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$A1831=IMPORTRANGE(""https://docs.google.com/spreadsheets/d/1BJSV3WBYJGRhQ6zExamkszQ5VutGIcaQqmbD9ZTVXMQ/edit#gid=1251630045"",""articles_with_PRISMA_reasons!B2:B2113""))&lt;2),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$A1831=IMPORTRANGE(""https://docs.google.com/spreadsheets/d/1BJSV3WBYJGRhQ6zExamkszQ5VutGIcaQqmbD9ZTVXMQ/edit#gid=1251630045"",""a"&amp;"rticles_with_PRISMA_reasons!B2:B2113""))&lt;2,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$A1831=IMPORTRANGE(""https://docs.google"&amp;".com/spreadsheets/d/1BJSV3WBYJGRhQ6zExamkszQ5VutGIcaQqmbD9ZTVXMQ/edit#gid=1251630045"",""articles_with_PRISMA_reasons!B2:B2113""))&gt;=2),
""Exclude""
)"),"Exclude")</f>
        <v>Exclude</v>
      </c>
      <c r="E1831" s="5" t="str">
        <f>IFERROR(__xludf.DUMMYFUNCTION("IFS(
D1831=""Exclude"",""Exclude"",
AND(
FILTER(IMPORTRANGE(""https://docs.google.com/spreadsheets/d/1qpEmbGH0JjaJbUdp21-y2cPbobDbMjr09BbtdKROZWc/edit#gid=1444865654"",""articles_with_PRISMA_reasons!W2:W2113""), $A1831=IMPORTRANGE(""https://docs.google.co"&amp;"m/spreadsheets/d/1qpEmbGH0JjaJbUdp21-y2cPbobDbMjr09BbtdKROZWc/edit#gid=1444865654"",""articles_with_PRISMA_reasons!B2:B2113""))&gt;=2,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$A1831=IMPORTRANGE(""https://docs.google.com/spreadsheets/d/1qpEmbGH0JjaJbUdp21-y2cPbobDbMjr09BbtdKROZWc/edit#gid=1444865654"",""articles_with_PRISMA_reasons!B2:B2113""))&lt;2),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$A1831=IMPORTRANGE(""https://docs.google.com/spreadsheets/d/1qpEmbGH0JjaJbUdp21-y2cPbobDbMjr09Bbtd"&amp;"KROZWc/edit#gid=1444865654"",""articles_with_PRISMA_reasons!B2:B2113""))&lt;2,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$A1831=I"&amp;"MPORTRANGE(""https://docs.google.com/spreadsheets/d/1qpEmbGH0JjaJbUdp21-y2cPbobDbMjr09BbtdKROZWc/edit#gid=1444865654"",""articles_with_PRISMA_reasons!B2:B2113""))&gt;=2),
""Exclude""
)"),"Exclude")</f>
        <v>Exclude</v>
      </c>
      <c r="F1831" s="5" t="str">
        <f>IFERROR(__xludf.DUMMYFUNCTION("IFS(
E1831=""Exclude"",""Exclude"",
AND(
COUNTIF(
IMPORTRANGE(""https://docs.google.com/spreadsheets/d/1kGrh75X1cNR1D7_FcY9zMnHP8iPO4M5RCRjy6nZY0TY/edit#gid=0"",""Table 1: Study characteristics!B4:B171""),A1831)&gt;0,
COUNTIF(Studies!$A$2:$A$85,FILTER(IMPORT"&amp;"RANGE(""https://docs.google.com/spreadsheets/d/1kGrh75X1cNR1D7_FcY9zMnHP8iPO4M5RCRjy6nZY0TY/edit#gid=0"",""Table 1: Study characteristics!A4:A171""), $A1831=IMPORTRANGE(""https://docs.google.com/spreadsheets/d/1kGrh75X1cNR1D7_FcY9zMnHP8iPO4M5RCRjy6nZY0TY/"&amp;"edit#gid=0"",""Table 1: Study characteristics!B4:B171"")))&gt;0
),
""Include""
)"),"Exclude")</f>
        <v>Exclude</v>
      </c>
      <c r="G1831" s="5" t="str">
        <f>IFERROR(__xludf.DUMMYFUNCTION("IFS(
D1831=""Exclude"",
FILTER(IMPORTRANGE(""https://docs.google.com/spreadsheets/d/1BJSV3WBYJGRhQ6zExamkszQ5VutGIcaQqmbD9ZTVXMQ/edit#gid=1251630045"",""articles_with_PRISMA_reasons!AB2:AB2113""), $A1831=IMPORTRANGE(""https://docs.google.com/spreadsheets/"&amp;"d/1BJSV3WBYJGRhQ6zExamkszQ5VutGIcaQqmbD9ZTVXMQ/edit#gid=1251630045"",""articles_with_PRISMA_reasons!B2:B2113"")),
E1831=""Exclude"",
FILTER(IMPORTRANGE(""https://docs.google.com/spreadsheets/d/1qpEmbGH0JjaJbUdp21-y2cPbobDbMjr09BbtdKROZWc/edit#gid=14448656"&amp;"54"",""articles_with_PRISMA_reasons!Z2:Z2113""), $A1831=IMPORTRANGE(""https://docs.google.com/spreadsheets/d/1qpEmbGH0JjaJbUdp21-y2cPbobDbMjr09BbtdKROZWc/edit#gid=1444865654"",""articles_with_PRISMA_reasons!B2:B2113"")),F1831
=""Include"",FILTER(IMPORTRAN"&amp;"GE(""https://docs.google.com/spreadsheets/d/1kGrh75X1cNR1D7_FcY9zMnHP8iPO4M5RCRjy6nZY0TY/edit#gid=0"",""Table 1: Study characteristics!A4:A171""), $A1831=IMPORTRANGE(""https://docs.google.com/spreadsheets/d/1kGrh75X1cNR1D7_FcY9zMnHP8iPO4M5RCRjy6nZY0TY/edi"&amp;"t#gid=0"",""Table 1: Study characteristics!B4:B171""))
)"),"wrong population")</f>
        <v>wrong population</v>
      </c>
    </row>
    <row r="1832">
      <c r="A1832" s="4" t="str">
        <f>IFERROR(__xludf.DUMMYFUNCTION("""COMPUTED_VALUE"""),"Syringomyelia in the tethered spinal cords")</f>
        <v>Syringomyelia in the tethered spinal cords</v>
      </c>
      <c r="B1832" s="5" t="str">
        <f>IFERROR(__xludf.DUMMYFUNCTION("LEFT(FILTER(IMPORTRANGE(""https://docs.google.com/spreadsheets/d/1BJSV3WBYJGRhQ6zExamkszQ5VutGIcaQqmbD9ZTVXMQ/edit#gid=1251630045"",""articles_with_PRISMA_reasons!K2:K2113""), $A1832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$A1832=IMPORTRANGE(""https://docs.google.com/spreadsheets/d/1BJSV3WBYJGRhQ6zExamkszQ5VutGIcaQqmbD9ZTVXMQ/edit#gid=1251630045"",""articles_with_PRISMA_reasons!B2:B2113"")))-1)"),"Kim")</f>
        <v>Kim</v>
      </c>
      <c r="C1832" s="6">
        <f>IFERROR(__xludf.DUMMYFUNCTION("FILTER(IMPORTRANGE(""https://docs.google.com/spreadsheets/d/1BJSV3WBYJGRhQ6zExamkszQ5VutGIcaQqmbD9ZTVXMQ/edit#gid=1251630045"",""articles_with_PRISMA_reasons!C2:C2113""), $A1832=IMPORTRANGE(""https://docs.google.com/spreadsheets/d/1BJSV3WBYJGRhQ6zExamkszQ"&amp;"5VutGIcaQqmbD9ZTVXMQ/edit#gid=1251630045"",""articles_with_PRISMA_reasons!B2:B2113""))"),2020.0)</f>
        <v>2020</v>
      </c>
      <c r="D1832" s="5" t="str">
        <f>IFERROR(__xludf.DUMMYFUNCTION("IFS(AND(
FILTER(IMPORTRANGE(""https://docs.google.com/spreadsheets/d/1BJSV3WBYJGRhQ6zExamkszQ5VutGIcaQqmbD9ZTVXMQ/edit#gid=1251630045"",""articles_with_PRISMA_reasons!Y2:Y2113""), $A1832=IMPORTRANGE(""https://docs.google.com/spreadsheets/d/1BJSV3WBYJGRhQ6"&amp;"zExamkszQ5VutGIcaQqmbD9ZTVXMQ/edit#gid=1251630045"",""articles_with_PRISMA_reasons!B2:B2113""))&gt;=2,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$A1832=IMPORTRANGE(""https://docs.google.com/spreadsheets/d/1BJSV3WBYJGRhQ6zExamkszQ5VutGIcaQqmbD9ZTVXMQ/edit#gid=1251630045"",""articles_with_PRISMA_reasons!B2:B2113""))&lt;2),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$A1832=IMPORTRANGE(""https://docs.google.com/spreadsheets/d/1BJSV3WBYJGRhQ6zExamkszQ5VutGIcaQqmbD9ZTVXMQ/edit#gid=1251630045"",""a"&amp;"rticles_with_PRISMA_reasons!B2:B2113""))&lt;2,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$A1832=IMPORTRANGE(""https://docs.google"&amp;".com/spreadsheets/d/1BJSV3WBYJGRhQ6zExamkszQ5VutGIcaQqmbD9ZTVXMQ/edit#gid=1251630045"",""articles_with_PRISMA_reasons!B2:B2113""))&gt;=2),
""Exclude""
)"),"Exclude")</f>
        <v>Exclude</v>
      </c>
      <c r="E1832" s="5" t="str">
        <f>IFERROR(__xludf.DUMMYFUNCTION("IFS(
D1832=""Exclude"",""Exclude"",
AND(
FILTER(IMPORTRANGE(""https://docs.google.com/spreadsheets/d/1qpEmbGH0JjaJbUdp21-y2cPbobDbMjr09BbtdKROZWc/edit#gid=1444865654"",""articles_with_PRISMA_reasons!W2:W2113""), $A1832=IMPORTRANGE(""https://docs.google.co"&amp;"m/spreadsheets/d/1qpEmbGH0JjaJbUdp21-y2cPbobDbMjr09BbtdKROZWc/edit#gid=1444865654"",""articles_with_PRISMA_reasons!B2:B2113""))&gt;=2,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$A1832=IMPORTRANGE(""https://docs.google.com/spreadsheets/d/1qpEmbGH0JjaJbUdp21-y2cPbobDbMjr09BbtdKROZWc/edit#gid=1444865654"",""articles_with_PRISMA_reasons!B2:B2113""))&lt;2),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$A1832=IMPORTRANGE(""https://docs.google.com/spreadsheets/d/1qpEmbGH0JjaJbUdp21-y2cPbobDbMjr09Bbtd"&amp;"KROZWc/edit#gid=1444865654"",""articles_with_PRISMA_reasons!B2:B2113""))&lt;2,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$A1832=I"&amp;"MPORTRANGE(""https://docs.google.com/spreadsheets/d/1qpEmbGH0JjaJbUdp21-y2cPbobDbMjr09BbtdKROZWc/edit#gid=1444865654"",""articles_with_PRISMA_reasons!B2:B2113""))&gt;=2),
""Exclude""
)"),"Exclude")</f>
        <v>Exclude</v>
      </c>
      <c r="F1832" s="5" t="str">
        <f>IFERROR(__xludf.DUMMYFUNCTION("IFS(
E1832=""Exclude"",""Exclude"",
AND(
COUNTIF(
IMPORTRANGE(""https://docs.google.com/spreadsheets/d/1kGrh75X1cNR1D7_FcY9zMnHP8iPO4M5RCRjy6nZY0TY/edit#gid=0"",""Table 1: Study characteristics!B4:B171""),A1832)&gt;0,
COUNTIF(Studies!$A$2:$A$85,FILTER(IMPORT"&amp;"RANGE(""https://docs.google.com/spreadsheets/d/1kGrh75X1cNR1D7_FcY9zMnHP8iPO4M5RCRjy6nZY0TY/edit#gid=0"",""Table 1: Study characteristics!A4:A171""), $A1832=IMPORTRANGE(""https://docs.google.com/spreadsheets/d/1kGrh75X1cNR1D7_FcY9zMnHP8iPO4M5RCRjy6nZY0TY/"&amp;"edit#gid=0"",""Table 1: Study characteristics!B4:B171"")))&gt;0
),
""Include""
)"),"Exclude")</f>
        <v>Exclude</v>
      </c>
      <c r="G1832" s="5" t="str">
        <f>IFERROR(__xludf.DUMMYFUNCTION("IFS(
D1832=""Exclude"",
FILTER(IMPORTRANGE(""https://docs.google.com/spreadsheets/d/1BJSV3WBYJGRhQ6zExamkszQ5VutGIcaQqmbD9ZTVXMQ/edit#gid=1251630045"",""articles_with_PRISMA_reasons!AB2:AB2113""), $A1832=IMPORTRANGE(""https://docs.google.com/spreadsheets/"&amp;"d/1BJSV3WBYJGRhQ6zExamkszQ5VutGIcaQqmbD9ZTVXMQ/edit#gid=1251630045"",""articles_with_PRISMA_reasons!B2:B2113"")),
E1832=""Exclude"",
FILTER(IMPORTRANGE(""https://docs.google.com/spreadsheets/d/1qpEmbGH0JjaJbUdp21-y2cPbobDbMjr09BbtdKROZWc/edit#gid=14448656"&amp;"54"",""articles_with_PRISMA_reasons!Z2:Z2113""), $A1832=IMPORTRANGE(""https://docs.google.com/spreadsheets/d/1qpEmbGH0JjaJbUdp21-y2cPbobDbMjr09BbtdKROZWc/edit#gid=1444865654"",""articles_with_PRISMA_reasons!B2:B2113"")),F1832
=""Include"",FILTER(IMPORTRAN"&amp;"GE(""https://docs.google.com/spreadsheets/d/1kGrh75X1cNR1D7_FcY9zMnHP8iPO4M5RCRjy6nZY0TY/edit#gid=0"",""Table 1: Study characteristics!A4:A171""), $A1832=IMPORTRANGE(""https://docs.google.com/spreadsheets/d/1kGrh75X1cNR1D7_FcY9zMnHP8iPO4M5RCRjy6nZY0TY/edi"&amp;"t#gid=0"",""Table 1: Study characteristics!B4:B171""))
)"),"wrong population")</f>
        <v>wrong population</v>
      </c>
    </row>
    <row r="1833">
      <c r="A1833" s="4" t="str">
        <f>IFERROR(__xludf.DUMMYFUNCTION("""COMPUTED_VALUE"""),"Syringomyelias in paediatrics: A retrospective study of 25 cases")</f>
        <v>Syringomyelias in paediatrics: A retrospective study of 25 cases</v>
      </c>
      <c r="B1833" s="5" t="str">
        <f>IFERROR(__xludf.DUMMYFUNCTION("LEFT(FILTER(IMPORTRANGE(""https://docs.google.com/spreadsheets/d/1BJSV3WBYJGRhQ6zExamkszQ5VutGIcaQqmbD9ZTVXMQ/edit#gid=1251630045"",""articles_with_PRISMA_reasons!K2:K2113""), $A1833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$A1833=IMPORTRANGE(""https://docs.google.com/spreadsheets/d/1BJSV3WBYJGRhQ6zExamkszQ5VutGIcaQqmbD9ZTVXMQ/edit#gid=1251630045"",""articles_with_PRISMA_reasons!B2:B2113"")))-1)"),"Martinez-Albaladejo")</f>
        <v>Martinez-Albaladejo</v>
      </c>
      <c r="C1833" s="6">
        <f>IFERROR(__xludf.DUMMYFUNCTION("FILTER(IMPORTRANGE(""https://docs.google.com/spreadsheets/d/1BJSV3WBYJGRhQ6zExamkszQ5VutGIcaQqmbD9ZTVXMQ/edit#gid=1251630045"",""articles_with_PRISMA_reasons!C2:C2113""), $A1833=IMPORTRANGE(""https://docs.google.com/spreadsheets/d/1BJSV3WBYJGRhQ6zExamkszQ"&amp;"5VutGIcaQqmbD9ZTVXMQ/edit#gid=1251630045"",""articles_with_PRISMA_reasons!B2:B2113""))"),2016.0)</f>
        <v>2016</v>
      </c>
      <c r="D1833" s="5" t="str">
        <f>IFERROR(__xludf.DUMMYFUNCTION("IFS(AND(
FILTER(IMPORTRANGE(""https://docs.google.com/spreadsheets/d/1BJSV3WBYJGRhQ6zExamkszQ5VutGIcaQqmbD9ZTVXMQ/edit#gid=1251630045"",""articles_with_PRISMA_reasons!Y2:Y2113""), $A1833=IMPORTRANGE(""https://docs.google.com/spreadsheets/d/1BJSV3WBYJGRhQ6"&amp;"zExamkszQ5VutGIcaQqmbD9ZTVXMQ/edit#gid=1251630045"",""articles_with_PRISMA_reasons!B2:B2113""))&gt;=2,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$A1833=IMPORTRANGE(""https://docs.google.com/spreadsheets/d/1BJSV3WBYJGRhQ6zExamkszQ5VutGIcaQqmbD9ZTVXMQ/edit#gid=1251630045"",""articles_with_PRISMA_reasons!B2:B2113""))&lt;2),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$A1833=IMPORTRANGE(""https://docs.google.com/spreadsheets/d/1BJSV3WBYJGRhQ6zExamkszQ5VutGIcaQqmbD9ZTVXMQ/edit#gid=1251630045"",""a"&amp;"rticles_with_PRISMA_reasons!B2:B2113""))&lt;2,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$A1833=IMPORTRANGE(""https://docs.google"&amp;".com/spreadsheets/d/1BJSV3WBYJGRhQ6zExamkszQ5VutGIcaQqmbD9ZTVXMQ/edit#gid=1251630045"",""articles_with_PRISMA_reasons!B2:B2113""))&gt;=2),
""Exclude""
)"),"Exclude")</f>
        <v>Exclude</v>
      </c>
      <c r="E1833" s="5" t="str">
        <f>IFERROR(__xludf.DUMMYFUNCTION("IFS(
D1833=""Exclude"",""Exclude"",
AND(
FILTER(IMPORTRANGE(""https://docs.google.com/spreadsheets/d/1qpEmbGH0JjaJbUdp21-y2cPbobDbMjr09BbtdKROZWc/edit#gid=1444865654"",""articles_with_PRISMA_reasons!W2:W2113""), $A1833=IMPORTRANGE(""https://docs.google.co"&amp;"m/spreadsheets/d/1qpEmbGH0JjaJbUdp21-y2cPbobDbMjr09BbtdKROZWc/edit#gid=1444865654"",""articles_with_PRISMA_reasons!B2:B2113""))&gt;=2,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$A1833=IMPORTRANGE(""https://docs.google.com/spreadsheets/d/1qpEmbGH0JjaJbUdp21-y2cPbobDbMjr09BbtdKROZWc/edit#gid=1444865654"",""articles_with_PRISMA_reasons!B2:B2113""))&lt;2),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$A1833=IMPORTRANGE(""https://docs.google.com/spreadsheets/d/1qpEmbGH0JjaJbUdp21-y2cPbobDbMjr09Bbtd"&amp;"KROZWc/edit#gid=1444865654"",""articles_with_PRISMA_reasons!B2:B2113""))&lt;2,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$A1833=I"&amp;"MPORTRANGE(""https://docs.google.com/spreadsheets/d/1qpEmbGH0JjaJbUdp21-y2cPbobDbMjr09BbtdKROZWc/edit#gid=1444865654"",""articles_with_PRISMA_reasons!B2:B2113""))&gt;=2),
""Exclude""
)"),"Exclude")</f>
        <v>Exclude</v>
      </c>
      <c r="F1833" s="5" t="str">
        <f>IFERROR(__xludf.DUMMYFUNCTION("IFS(
E1833=""Exclude"",""Exclude"",
AND(
COUNTIF(
IMPORTRANGE(""https://docs.google.com/spreadsheets/d/1kGrh75X1cNR1D7_FcY9zMnHP8iPO4M5RCRjy6nZY0TY/edit#gid=0"",""Table 1: Study characteristics!B4:B171""),A1833)&gt;0,
COUNTIF(Studies!$A$2:$A$85,FILTER(IMPORT"&amp;"RANGE(""https://docs.google.com/spreadsheets/d/1kGrh75X1cNR1D7_FcY9zMnHP8iPO4M5RCRjy6nZY0TY/edit#gid=0"",""Table 1: Study characteristics!A4:A171""), $A1833=IMPORTRANGE(""https://docs.google.com/spreadsheets/d/1kGrh75X1cNR1D7_FcY9zMnHP8iPO4M5RCRjy6nZY0TY/"&amp;"edit#gid=0"",""Table 1: Study characteristics!B4:B171"")))&gt;0
),
""Include""
)"),"Exclude")</f>
        <v>Exclude</v>
      </c>
      <c r="G1833" s="5" t="str">
        <f>IFERROR(__xludf.DUMMYFUNCTION("IFS(
D1833=""Exclude"",
FILTER(IMPORTRANGE(""https://docs.google.com/spreadsheets/d/1BJSV3WBYJGRhQ6zExamkszQ5VutGIcaQqmbD9ZTVXMQ/edit#gid=1251630045"",""articles_with_PRISMA_reasons!AB2:AB2113""), $A1833=IMPORTRANGE(""https://docs.google.com/spreadsheets/"&amp;"d/1BJSV3WBYJGRhQ6zExamkszQ5VutGIcaQqmbD9ZTVXMQ/edit#gid=1251630045"",""articles_with_PRISMA_reasons!B2:B2113"")),
E1833=""Exclude"",
FILTER(IMPORTRANGE(""https://docs.google.com/spreadsheets/d/1qpEmbGH0JjaJbUdp21-y2cPbobDbMjr09BbtdKROZWc/edit#gid=14448656"&amp;"54"",""articles_with_PRISMA_reasons!Z2:Z2113""), $A1833=IMPORTRANGE(""https://docs.google.com/spreadsheets/d/1qpEmbGH0JjaJbUdp21-y2cPbobDbMjr09BbtdKROZWc/edit#gid=1444865654"",""articles_with_PRISMA_reasons!B2:B2113"")),F1833
=""Include"",FILTER(IMPORTRAN"&amp;"GE(""https://docs.google.com/spreadsheets/d/1kGrh75X1cNR1D7_FcY9zMnHP8iPO4M5RCRjy6nZY0TY/edit#gid=0"",""Table 1: Study characteristics!A4:A171""), $A1833=IMPORTRANGE(""https://docs.google.com/spreadsheets/d/1kGrh75X1cNR1D7_FcY9zMnHP8iPO4M5RCRjy6nZY0TY/edi"&amp;"t#gid=0"",""Table 1: Study characteristics!B4:B171""))
)"),"wrong publication type")</f>
        <v>wrong publication type</v>
      </c>
    </row>
    <row r="1834">
      <c r="A1834" s="4" t="str">
        <f>IFERROR(__xludf.DUMMYFUNCTION("""COMPUTED_VALUE"""),"Syringoventricular shunt and cervical suboccipital decompression in the treatment of hydrosyringomyelia associated with Arnold-Chiari type II malformation")</f>
        <v>Syringoventricular shunt and cervical suboccipital decompression in the treatment of hydrosyringomyelia associated with Arnold-Chiari type II malformation</v>
      </c>
      <c r="B1834" s="5" t="str">
        <f>IFERROR(__xludf.DUMMYFUNCTION("LEFT(FILTER(IMPORTRANGE(""https://docs.google.com/spreadsheets/d/1BJSV3WBYJGRhQ6zExamkszQ5VutGIcaQqmbD9ZTVXMQ/edit#gid=1251630045"",""articles_with_PRISMA_reasons!K2:K2113""), $A1834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$A1834=IMPORTRANGE(""https://docs.google.com/spreadsheets/d/1BJSV3WBYJGRhQ6zExamkszQ5VutGIcaQqmbD9ZTVXMQ/edit#gid=1251630045"",""articles_with_PRISMA_reasons!B2:B2113"")))-1)"),"Casotto")</f>
        <v>Casotto</v>
      </c>
      <c r="C1834" s="6">
        <f>IFERROR(__xludf.DUMMYFUNCTION("FILTER(IMPORTRANGE(""https://docs.google.com/spreadsheets/d/1BJSV3WBYJGRhQ6zExamkszQ5VutGIcaQqmbD9ZTVXMQ/edit#gid=1251630045"",""articles_with_PRISMA_reasons!C2:C2113""), $A1834=IMPORTRANGE(""https://docs.google.com/spreadsheets/d/1BJSV3WBYJGRhQ6zExamkszQ"&amp;"5VutGIcaQqmbD9ZTVXMQ/edit#gid=1251630045"",""articles_with_PRISMA_reasons!B2:B2113""))"),1989.0)</f>
        <v>1989</v>
      </c>
      <c r="D1834" s="5" t="str">
        <f>IFERROR(__xludf.DUMMYFUNCTION("IFS(AND(
FILTER(IMPORTRANGE(""https://docs.google.com/spreadsheets/d/1BJSV3WBYJGRhQ6zExamkszQ5VutGIcaQqmbD9ZTVXMQ/edit#gid=1251630045"",""articles_with_PRISMA_reasons!Y2:Y2113""), $A1834=IMPORTRANGE(""https://docs.google.com/spreadsheets/d/1BJSV3WBYJGRhQ6"&amp;"zExamkszQ5VutGIcaQqmbD9ZTVXMQ/edit#gid=1251630045"",""articles_with_PRISMA_reasons!B2:B2113""))&gt;=2,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$A1834=IMPORTRANGE(""https://docs.google.com/spreadsheets/d/1BJSV3WBYJGRhQ6zExamkszQ5VutGIcaQqmbD9ZTVXMQ/edit#gid=1251630045"",""articles_with_PRISMA_reasons!B2:B2113""))&lt;2),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$A1834=IMPORTRANGE(""https://docs.google.com/spreadsheets/d/1BJSV3WBYJGRhQ6zExamkszQ5VutGIcaQqmbD9ZTVXMQ/edit#gid=1251630045"",""a"&amp;"rticles_with_PRISMA_reasons!B2:B2113""))&lt;2,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$A1834=IMPORTRANGE(""https://docs.google"&amp;".com/spreadsheets/d/1BJSV3WBYJGRhQ6zExamkszQ5VutGIcaQqmbD9ZTVXMQ/edit#gid=1251630045"",""articles_with_PRISMA_reasons!B2:B2113""))&gt;=2),
""Exclude""
)"),"Exclude")</f>
        <v>Exclude</v>
      </c>
      <c r="E1834" s="5" t="str">
        <f>IFERROR(__xludf.DUMMYFUNCTION("IFS(
D1834=""Exclude"",""Exclude"",
AND(
FILTER(IMPORTRANGE(""https://docs.google.com/spreadsheets/d/1qpEmbGH0JjaJbUdp21-y2cPbobDbMjr09BbtdKROZWc/edit#gid=1444865654"",""articles_with_PRISMA_reasons!W2:W2113""), $A1834=IMPORTRANGE(""https://docs.google.co"&amp;"m/spreadsheets/d/1qpEmbGH0JjaJbUdp21-y2cPbobDbMjr09BbtdKROZWc/edit#gid=1444865654"",""articles_with_PRISMA_reasons!B2:B2113""))&gt;=2,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$A1834=IMPORTRANGE(""https://docs.google.com/spreadsheets/d/1qpEmbGH0JjaJbUdp21-y2cPbobDbMjr09BbtdKROZWc/edit#gid=1444865654"",""articles_with_PRISMA_reasons!B2:B2113""))&lt;2),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$A1834=IMPORTRANGE(""https://docs.google.com/spreadsheets/d/1qpEmbGH0JjaJbUdp21-y2cPbobDbMjr09Bbtd"&amp;"KROZWc/edit#gid=1444865654"",""articles_with_PRISMA_reasons!B2:B2113""))&lt;2,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$A1834=I"&amp;"MPORTRANGE(""https://docs.google.com/spreadsheets/d/1qpEmbGH0JjaJbUdp21-y2cPbobDbMjr09BbtdKROZWc/edit#gid=1444865654"",""articles_with_PRISMA_reasons!B2:B2113""))&gt;=2),
""Exclude""
)"),"Exclude")</f>
        <v>Exclude</v>
      </c>
      <c r="F1834" s="5" t="str">
        <f>IFERROR(__xludf.DUMMYFUNCTION("IFS(
E1834=""Exclude"",""Exclude"",
AND(
COUNTIF(
IMPORTRANGE(""https://docs.google.com/spreadsheets/d/1kGrh75X1cNR1D7_FcY9zMnHP8iPO4M5RCRjy6nZY0TY/edit#gid=0"",""Table 1: Study characteristics!B4:B171""),A1834)&gt;0,
COUNTIF(Studies!$A$2:$A$85,FILTER(IMPORT"&amp;"RANGE(""https://docs.google.com/spreadsheets/d/1kGrh75X1cNR1D7_FcY9zMnHP8iPO4M5RCRjy6nZY0TY/edit#gid=0"",""Table 1: Study characteristics!A4:A171""), $A1834=IMPORTRANGE(""https://docs.google.com/spreadsheets/d/1kGrh75X1cNR1D7_FcY9zMnHP8iPO4M5RCRjy6nZY0TY/"&amp;"edit#gid=0"",""Table 1: Study characteristics!B4:B171"")))&gt;0
),
""Include""
)"),"Exclude")</f>
        <v>Exclude</v>
      </c>
      <c r="G1834" s="5" t="str">
        <f>IFERROR(__xludf.DUMMYFUNCTION("IFS(
D1834=""Exclude"",
FILTER(IMPORTRANGE(""https://docs.google.com/spreadsheets/d/1BJSV3WBYJGRhQ6zExamkszQ5VutGIcaQqmbD9ZTVXMQ/edit#gid=1251630045"",""articles_with_PRISMA_reasons!AB2:AB2113""), $A1834=IMPORTRANGE(""https://docs.google.com/spreadsheets/"&amp;"d/1BJSV3WBYJGRhQ6zExamkszQ5VutGIcaQqmbD9ZTVXMQ/edit#gid=1251630045"",""articles_with_PRISMA_reasons!B2:B2113"")),
E1834=""Exclude"",
FILTER(IMPORTRANGE(""https://docs.google.com/spreadsheets/d/1qpEmbGH0JjaJbUdp21-y2cPbobDbMjr09BbtdKROZWc/edit#gid=14448656"&amp;"54"",""articles_with_PRISMA_reasons!Z2:Z2113""), $A1834=IMPORTRANGE(""https://docs.google.com/spreadsheets/d/1qpEmbGH0JjaJbUdp21-y2cPbobDbMjr09BbtdKROZWc/edit#gid=1444865654"",""articles_with_PRISMA_reasons!B2:B2113"")),F1834
=""Include"",FILTER(IMPORTRAN"&amp;"GE(""https://docs.google.com/spreadsheets/d/1kGrh75X1cNR1D7_FcY9zMnHP8iPO4M5RCRjy6nZY0TY/edit#gid=0"",""Table 1: Study characteristics!A4:A171""), $A1834=IMPORTRANGE(""https://docs.google.com/spreadsheets/d/1kGrh75X1cNR1D7_FcY9zMnHP8iPO4M5RCRjy6nZY0TY/edi"&amp;"t#gid=0"",""Table 1: Study characteristics!B4:B171""))
)"),"wrong population")</f>
        <v>wrong population</v>
      </c>
    </row>
    <row r="1835">
      <c r="A1835" s="4" t="str">
        <f>IFERROR(__xludf.DUMMYFUNCTION("""COMPUTED_VALUE"""),"Systematic ventriculographic studies in infants born with meningomyelocele and encephalocele. The incidence and development of hydrocephalus")</f>
        <v>Systematic ventriculographic studies in infants born with meningomyelocele and encephalocele. The incidence and development of hydrocephalus</v>
      </c>
      <c r="B1835" s="5" t="str">
        <f>IFERROR(__xludf.DUMMYFUNCTION("LEFT(FILTER(IMPORTRANGE(""https://docs.google.com/spreadsheets/d/1BJSV3WBYJGRhQ6zExamkszQ5VutGIcaQqmbD9ZTVXMQ/edit#gid=1251630045"",""articles_with_PRISMA_reasons!K2:K2113""), $A1835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$A1835=IMPORTRANGE(""https://docs.google.com/spreadsheets/d/1BJSV3WBYJGRhQ6zExamkszQ5VutGIcaQqmbD9ZTVXMQ/edit#gid=1251630045"",""articles_with_PRISMA_reasons!B2:B2113"")))-1)"),"Lorber")</f>
        <v>Lorber</v>
      </c>
      <c r="C1835" s="6">
        <f>IFERROR(__xludf.DUMMYFUNCTION("FILTER(IMPORTRANGE(""https://docs.google.com/spreadsheets/d/1BJSV3WBYJGRhQ6zExamkszQ5VutGIcaQqmbD9ZTVXMQ/edit#gid=1251630045"",""articles_with_PRISMA_reasons!C2:C2113""), $A1835=IMPORTRANGE(""https://docs.google.com/spreadsheets/d/1BJSV3WBYJGRhQ6zExamkszQ"&amp;"5VutGIcaQqmbD9ZTVXMQ/edit#gid=1251630045"",""articles_with_PRISMA_reasons!B2:B2113""))"),1961.0)</f>
        <v>1961</v>
      </c>
      <c r="D1835" s="5" t="str">
        <f>IFERROR(__xludf.DUMMYFUNCTION("IFS(AND(
FILTER(IMPORTRANGE(""https://docs.google.com/spreadsheets/d/1BJSV3WBYJGRhQ6zExamkszQ5VutGIcaQqmbD9ZTVXMQ/edit#gid=1251630045"",""articles_with_PRISMA_reasons!Y2:Y2113""), $A1835=IMPORTRANGE(""https://docs.google.com/spreadsheets/d/1BJSV3WBYJGRhQ6"&amp;"zExamkszQ5VutGIcaQqmbD9ZTVXMQ/edit#gid=1251630045"",""articles_with_PRISMA_reasons!B2:B2113""))&gt;=2,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$A1835=IMPORTRANGE(""https://docs.google.com/spreadsheets/d/1BJSV3WBYJGRhQ6zExamkszQ5VutGIcaQqmbD9ZTVXMQ/edit#gid=1251630045"",""articles_with_PRISMA_reasons!B2:B2113""))&lt;2),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$A1835=IMPORTRANGE(""https://docs.google.com/spreadsheets/d/1BJSV3WBYJGRhQ6zExamkszQ5VutGIcaQqmbD9ZTVXMQ/edit#gid=1251630045"",""a"&amp;"rticles_with_PRISMA_reasons!B2:B2113""))&lt;2,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$A1835=IMPORTRANGE(""https://docs.google"&amp;".com/spreadsheets/d/1BJSV3WBYJGRhQ6zExamkszQ5VutGIcaQqmbD9ZTVXMQ/edit#gid=1251630045"",""articles_with_PRISMA_reasons!B2:B2113""))&gt;=2),
""Exclude""
)"),"Include")</f>
        <v>Include</v>
      </c>
      <c r="E1835" s="5" t="str">
        <f>IFERROR(__xludf.DUMMYFUNCTION("IFS(
D1835=""Exclude"",""Exclude"",
AND(
FILTER(IMPORTRANGE(""https://docs.google.com/spreadsheets/d/1qpEmbGH0JjaJbUdp21-y2cPbobDbMjr09BbtdKROZWc/edit#gid=1444865654"",""articles_with_PRISMA_reasons!W2:W2113""), $A1835=IMPORTRANGE(""https://docs.google.co"&amp;"m/spreadsheets/d/1qpEmbGH0JjaJbUdp21-y2cPbobDbMjr09BbtdKROZWc/edit#gid=1444865654"",""articles_with_PRISMA_reasons!B2:B2113""))&gt;=2,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$A1835=IMPORTRANGE(""https://docs.google.com/spreadsheets/d/1qpEmbGH0JjaJbUdp21-y2cPbobDbMjr09BbtdKROZWc/edit#gid=1444865654"",""articles_with_PRISMA_reasons!B2:B2113""))&lt;2),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$A1835=IMPORTRANGE(""https://docs.google.com/spreadsheets/d/1qpEmbGH0JjaJbUdp21-y2cPbobDbMjr09Bbtd"&amp;"KROZWc/edit#gid=1444865654"",""articles_with_PRISMA_reasons!B2:B2113""))&lt;2,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$A1835=I"&amp;"MPORTRANGE(""https://docs.google.com/spreadsheets/d/1qpEmbGH0JjaJbUdp21-y2cPbobDbMjr09BbtdKROZWc/edit#gid=1444865654"",""articles_with_PRISMA_reasons!B2:B2113""))&gt;=2),
""Exclude""
)"),"Include")</f>
        <v>Include</v>
      </c>
      <c r="F1835" s="2" t="s">
        <v>8</v>
      </c>
      <c r="G1835" s="2" t="s">
        <v>23</v>
      </c>
    </row>
    <row r="1836">
      <c r="A1836" s="4" t="str">
        <f>IFERROR(__xludf.DUMMYFUNCTION("""COMPUTED_VALUE"""),"Tailored Strategies to Manage Cerebrospinal Fluid Leaks or Pseudomeningocele After Surgery for Tethered Cord Syndrome")</f>
        <v>Tailored Strategies to Manage Cerebrospinal Fluid Leaks or Pseudomeningocele After Surgery for Tethered Cord Syndrome</v>
      </c>
      <c r="B1836" s="5" t="str">
        <f>IFERROR(__xludf.DUMMYFUNCTION("LEFT(FILTER(IMPORTRANGE(""https://docs.google.com/spreadsheets/d/1BJSV3WBYJGRhQ6zExamkszQ5VutGIcaQqmbD9ZTVXMQ/edit#gid=1251630045"",""articles_with_PRISMA_reasons!K2:K2113""), $A1836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$A1836=IMPORTRANGE(""https://docs.google.com/spreadsheets/d/1BJSV3WBYJGRhQ6zExamkszQ5VutGIcaQqmbD9ZTVXMQ/edit#gid=1251630045"",""articles_with_PRISMA_reasons!B2:B2113"")))-1)"),"Udayakumaran")</f>
        <v>Udayakumaran</v>
      </c>
      <c r="C1836" s="6">
        <f>IFERROR(__xludf.DUMMYFUNCTION("FILTER(IMPORTRANGE(""https://docs.google.com/spreadsheets/d/1BJSV3WBYJGRhQ6zExamkszQ5VutGIcaQqmbD9ZTVXMQ/edit#gid=1251630045"",""articles_with_PRISMA_reasons!C2:C2113""), $A1836=IMPORTRANGE(""https://docs.google.com/spreadsheets/d/1BJSV3WBYJGRhQ6zExamkszQ"&amp;"5VutGIcaQqmbD9ZTVXMQ/edit#gid=1251630045"",""articles_with_PRISMA_reasons!B2:B2113""))"),2018.0)</f>
        <v>2018</v>
      </c>
      <c r="D1836" s="5" t="str">
        <f>IFERROR(__xludf.DUMMYFUNCTION("IFS(AND(
FILTER(IMPORTRANGE(""https://docs.google.com/spreadsheets/d/1BJSV3WBYJGRhQ6zExamkszQ5VutGIcaQqmbD9ZTVXMQ/edit#gid=1251630045"",""articles_with_PRISMA_reasons!Y2:Y2113""), $A1836=IMPORTRANGE(""https://docs.google.com/spreadsheets/d/1BJSV3WBYJGRhQ6"&amp;"zExamkszQ5VutGIcaQqmbD9ZTVXMQ/edit#gid=1251630045"",""articles_with_PRISMA_reasons!B2:B2113""))&gt;=2,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$A1836=IMPORTRANGE(""https://docs.google.com/spreadsheets/d/1BJSV3WBYJGRhQ6zExamkszQ5VutGIcaQqmbD9ZTVXMQ/edit#gid=1251630045"",""articles_with_PRISMA_reasons!B2:B2113""))&lt;2),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$A1836=IMPORTRANGE(""https://docs.google.com/spreadsheets/d/1BJSV3WBYJGRhQ6zExamkszQ5VutGIcaQqmbD9ZTVXMQ/edit#gid=1251630045"",""a"&amp;"rticles_with_PRISMA_reasons!B2:B2113""))&lt;2,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$A1836=IMPORTRANGE(""https://docs.google"&amp;".com/spreadsheets/d/1BJSV3WBYJGRhQ6zExamkszQ5VutGIcaQqmbD9ZTVXMQ/edit#gid=1251630045"",""articles_with_PRISMA_reasons!B2:B2113""))&gt;=2),
""Exclude""
)"),"Exclude")</f>
        <v>Exclude</v>
      </c>
      <c r="E1836" s="5" t="str">
        <f>IFERROR(__xludf.DUMMYFUNCTION("IFS(
D1836=""Exclude"",""Exclude"",
AND(
FILTER(IMPORTRANGE(""https://docs.google.com/spreadsheets/d/1qpEmbGH0JjaJbUdp21-y2cPbobDbMjr09BbtdKROZWc/edit#gid=1444865654"",""articles_with_PRISMA_reasons!W2:W2113""), $A1836=IMPORTRANGE(""https://docs.google.co"&amp;"m/spreadsheets/d/1qpEmbGH0JjaJbUdp21-y2cPbobDbMjr09BbtdKROZWc/edit#gid=1444865654"",""articles_with_PRISMA_reasons!B2:B2113""))&gt;=2,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$A1836=IMPORTRANGE(""https://docs.google.com/spreadsheets/d/1qpEmbGH0JjaJbUdp21-y2cPbobDbMjr09BbtdKROZWc/edit#gid=1444865654"",""articles_with_PRISMA_reasons!B2:B2113""))&lt;2),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$A1836=IMPORTRANGE(""https://docs.google.com/spreadsheets/d/1qpEmbGH0JjaJbUdp21-y2cPbobDbMjr09Bbtd"&amp;"KROZWc/edit#gid=1444865654"",""articles_with_PRISMA_reasons!B2:B2113""))&lt;2,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$A1836=I"&amp;"MPORTRANGE(""https://docs.google.com/spreadsheets/d/1qpEmbGH0JjaJbUdp21-y2cPbobDbMjr09BbtdKROZWc/edit#gid=1444865654"",""articles_with_PRISMA_reasons!B2:B2113""))&gt;=2),
""Exclude""
)"),"Exclude")</f>
        <v>Exclude</v>
      </c>
      <c r="F1836" s="5" t="str">
        <f>IFERROR(__xludf.DUMMYFUNCTION("IFS(
E1836=""Exclude"",""Exclude"",
AND(
COUNTIF(
IMPORTRANGE(""https://docs.google.com/spreadsheets/d/1kGrh75X1cNR1D7_FcY9zMnHP8iPO4M5RCRjy6nZY0TY/edit#gid=0"",""Table 1: Study characteristics!B4:B171""),A1836)&gt;0,
COUNTIF(Studies!$A$2:$A$85,FILTER(IMPORT"&amp;"RANGE(""https://docs.google.com/spreadsheets/d/1kGrh75X1cNR1D7_FcY9zMnHP8iPO4M5RCRjy6nZY0TY/edit#gid=0"",""Table 1: Study characteristics!A4:A171""), $A1836=IMPORTRANGE(""https://docs.google.com/spreadsheets/d/1kGrh75X1cNR1D7_FcY9zMnHP8iPO4M5RCRjy6nZY0TY/"&amp;"edit#gid=0"",""Table 1: Study characteristics!B4:B171"")))&gt;0
),
""Include""
)"),"Exclude")</f>
        <v>Exclude</v>
      </c>
      <c r="G1836" s="5" t="str">
        <f>IFERROR(__xludf.DUMMYFUNCTION("IFS(
D1836=""Exclude"",
FILTER(IMPORTRANGE(""https://docs.google.com/spreadsheets/d/1BJSV3WBYJGRhQ6zExamkszQ5VutGIcaQqmbD9ZTVXMQ/edit#gid=1251630045"",""articles_with_PRISMA_reasons!AB2:AB2113""), $A1836=IMPORTRANGE(""https://docs.google.com/spreadsheets/"&amp;"d/1BJSV3WBYJGRhQ6zExamkszQ5VutGIcaQqmbD9ZTVXMQ/edit#gid=1251630045"",""articles_with_PRISMA_reasons!B2:B2113"")),
E1836=""Exclude"",
FILTER(IMPORTRANGE(""https://docs.google.com/spreadsheets/d/1qpEmbGH0JjaJbUdp21-y2cPbobDbMjr09BbtdKROZWc/edit#gid=14448656"&amp;"54"",""articles_with_PRISMA_reasons!Z2:Z2113""), $A1836=IMPORTRANGE(""https://docs.google.com/spreadsheets/d/1qpEmbGH0JjaJbUdp21-y2cPbobDbMjr09BbtdKROZWc/edit#gid=1444865654"",""articles_with_PRISMA_reasons!B2:B2113"")),F1836
=""Include"",FILTER(IMPORTRAN"&amp;"GE(""https://docs.google.com/spreadsheets/d/1kGrh75X1cNR1D7_FcY9zMnHP8iPO4M5RCRjy6nZY0TY/edit#gid=0"",""Table 1: Study characteristics!A4:A171""), $A1836=IMPORTRANGE(""https://docs.google.com/spreadsheets/d/1kGrh75X1cNR1D7_FcY9zMnHP8iPO4M5RCRjy6nZY0TY/edi"&amp;"t#gid=0"",""Table 1: Study characteristics!B4:B171""))
)"),"wrong population")</f>
        <v>wrong population</v>
      </c>
    </row>
    <row r="1837">
      <c r="A1837" s="4" t="str">
        <f>IFERROR(__xludf.DUMMYFUNCTION("""COMPUTED_VALUE"""),"Tap water burns in handicapped children")</f>
        <v>Tap water burns in handicapped children</v>
      </c>
      <c r="B1837" s="5" t="str">
        <f>IFERROR(__xludf.DUMMYFUNCTION("LEFT(FILTER(IMPORTRANGE(""https://docs.google.com/spreadsheets/d/1BJSV3WBYJGRhQ6zExamkszQ5VutGIcaQqmbD9ZTVXMQ/edit#gid=1251630045"",""articles_with_PRISMA_reasons!K2:K2113""), $A1837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$A1837=IMPORTRANGE(""https://docs.google.com/spreadsheets/d/1BJSV3WBYJGRhQ6zExamkszQ5VutGIcaQqmbD9ZTVXMQ/edit#gid=1251630045"",""articles_with_PRISMA_reasons!B2:B2113"")))-1)"),"Feldman")</f>
        <v>Feldman</v>
      </c>
      <c r="C1837" s="6">
        <f>IFERROR(__xludf.DUMMYFUNCTION("FILTER(IMPORTRANGE(""https://docs.google.com/spreadsheets/d/1BJSV3WBYJGRhQ6zExamkszQ5VutGIcaQqmbD9ZTVXMQ/edit#gid=1251630045"",""articles_with_PRISMA_reasons!C2:C2113""), $A1837=IMPORTRANGE(""https://docs.google.com/spreadsheets/d/1BJSV3WBYJGRhQ6zExamkszQ"&amp;"5VutGIcaQqmbD9ZTVXMQ/edit#gid=1251630045"",""articles_with_PRISMA_reasons!B2:B2113""))"),1981.0)</f>
        <v>1981</v>
      </c>
      <c r="D1837" s="5" t="str">
        <f>IFERROR(__xludf.DUMMYFUNCTION("IFS(AND(
FILTER(IMPORTRANGE(""https://docs.google.com/spreadsheets/d/1BJSV3WBYJGRhQ6zExamkszQ5VutGIcaQqmbD9ZTVXMQ/edit#gid=1251630045"",""articles_with_PRISMA_reasons!Y2:Y2113""), $A1837=IMPORTRANGE(""https://docs.google.com/spreadsheets/d/1BJSV3WBYJGRhQ6"&amp;"zExamkszQ5VutGIcaQqmbD9ZTVXMQ/edit#gid=1251630045"",""articles_with_PRISMA_reasons!B2:B2113""))&gt;=2,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$A1837=IMPORTRANGE(""https://docs.google.com/spreadsheets/d/1BJSV3WBYJGRhQ6zExamkszQ5VutGIcaQqmbD9ZTVXMQ/edit#gid=1251630045"",""articles_with_PRISMA_reasons!B2:B2113""))&lt;2),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$A1837=IMPORTRANGE(""https://docs.google.com/spreadsheets/d/1BJSV3WBYJGRhQ6zExamkszQ5VutGIcaQqmbD9ZTVXMQ/edit#gid=1251630045"",""a"&amp;"rticles_with_PRISMA_reasons!B2:B2113""))&lt;2,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$A1837=IMPORTRANGE(""https://docs.google"&amp;".com/spreadsheets/d/1BJSV3WBYJGRhQ6zExamkszQ5VutGIcaQqmbD9ZTVXMQ/edit#gid=1251630045"",""articles_with_PRISMA_reasons!B2:B2113""))&gt;=2),
""Exclude""
)"),"Exclude")</f>
        <v>Exclude</v>
      </c>
      <c r="E1837" s="5" t="str">
        <f>IFERROR(__xludf.DUMMYFUNCTION("IFS(
D1837=""Exclude"",""Exclude"",
AND(
FILTER(IMPORTRANGE(""https://docs.google.com/spreadsheets/d/1qpEmbGH0JjaJbUdp21-y2cPbobDbMjr09BbtdKROZWc/edit#gid=1444865654"",""articles_with_PRISMA_reasons!W2:W2113""), $A1837=IMPORTRANGE(""https://docs.google.co"&amp;"m/spreadsheets/d/1qpEmbGH0JjaJbUdp21-y2cPbobDbMjr09BbtdKROZWc/edit#gid=1444865654"",""articles_with_PRISMA_reasons!B2:B2113""))&gt;=2,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$A1837=IMPORTRANGE(""https://docs.google.com/spreadsheets/d/1qpEmbGH0JjaJbUdp21-y2cPbobDbMjr09BbtdKROZWc/edit#gid=1444865654"",""articles_with_PRISMA_reasons!B2:B2113""))&lt;2),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$A1837=IMPORTRANGE(""https://docs.google.com/spreadsheets/d/1qpEmbGH0JjaJbUdp21-y2cPbobDbMjr09Bbtd"&amp;"KROZWc/edit#gid=1444865654"",""articles_with_PRISMA_reasons!B2:B2113""))&lt;2,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$A1837=I"&amp;"MPORTRANGE(""https://docs.google.com/spreadsheets/d/1qpEmbGH0JjaJbUdp21-y2cPbobDbMjr09BbtdKROZWc/edit#gid=1444865654"",""articles_with_PRISMA_reasons!B2:B2113""))&gt;=2),
""Exclude""
)"),"Exclude")</f>
        <v>Exclude</v>
      </c>
      <c r="F1837" s="5" t="str">
        <f>IFERROR(__xludf.DUMMYFUNCTION("IFS(
E1837=""Exclude"",""Exclude"",
AND(
COUNTIF(
IMPORTRANGE(""https://docs.google.com/spreadsheets/d/1kGrh75X1cNR1D7_FcY9zMnHP8iPO4M5RCRjy6nZY0TY/edit#gid=0"",""Table 1: Study characteristics!B4:B171""),A1837)&gt;0,
COUNTIF(Studies!$A$2:$A$85,FILTER(IMPORT"&amp;"RANGE(""https://docs.google.com/spreadsheets/d/1kGrh75X1cNR1D7_FcY9zMnHP8iPO4M5RCRjy6nZY0TY/edit#gid=0"",""Table 1: Study characteristics!A4:A171""), $A1837=IMPORTRANGE(""https://docs.google.com/spreadsheets/d/1kGrh75X1cNR1D7_FcY9zMnHP8iPO4M5RCRjy6nZY0TY/"&amp;"edit#gid=0"",""Table 1: Study characteristics!B4:B171"")))&gt;0
),
""Include""
)"),"Exclude")</f>
        <v>Exclude</v>
      </c>
      <c r="G1837" s="5" t="str">
        <f>IFERROR(__xludf.DUMMYFUNCTION("IFS(
D1837=""Exclude"",
FILTER(IMPORTRANGE(""https://docs.google.com/spreadsheets/d/1BJSV3WBYJGRhQ6zExamkszQ5VutGIcaQqmbD9ZTVXMQ/edit#gid=1251630045"",""articles_with_PRISMA_reasons!AB2:AB2113""), $A1837=IMPORTRANGE(""https://docs.google.com/spreadsheets/"&amp;"d/1BJSV3WBYJGRhQ6zExamkszQ5VutGIcaQqmbD9ZTVXMQ/edit#gid=1251630045"",""articles_with_PRISMA_reasons!B2:B2113"")),
E1837=""Exclude"",
FILTER(IMPORTRANGE(""https://docs.google.com/spreadsheets/d/1qpEmbGH0JjaJbUdp21-y2cPbobDbMjr09BbtdKROZWc/edit#gid=14448656"&amp;"54"",""articles_with_PRISMA_reasons!Z2:Z2113""), $A1837=IMPORTRANGE(""https://docs.google.com/spreadsheets/d/1qpEmbGH0JjaJbUdp21-y2cPbobDbMjr09BbtdKROZWc/edit#gid=1444865654"",""articles_with_PRISMA_reasons!B2:B2113"")),F1837
=""Include"",FILTER(IMPORTRAN"&amp;"GE(""https://docs.google.com/spreadsheets/d/1kGrh75X1cNR1D7_FcY9zMnHP8iPO4M5RCRjy6nZY0TY/edit#gid=0"",""Table 1: Study characteristics!A4:A171""), $A1837=IMPORTRANGE(""https://docs.google.com/spreadsheets/d/1kGrh75X1cNR1D7_FcY9zMnHP8iPO4M5RCRjy6nZY0TY/edi"&amp;"t#gid=0"",""Table 1: Study characteristics!B4:B171""))
)"),"wrong study design")</f>
        <v>wrong study design</v>
      </c>
    </row>
    <row r="1838">
      <c r="A1838" s="4" t="str">
        <f>IFERROR(__xludf.DUMMYFUNCTION("""COMPUTED_VALUE"""),"Taxonicity of nonverbal learning disabilities in spina bifida")</f>
        <v>Taxonicity of nonverbal learning disabilities in spina bifida</v>
      </c>
      <c r="B1838" s="5" t="str">
        <f>IFERROR(__xludf.DUMMYFUNCTION("LEFT(FILTER(IMPORTRANGE(""https://docs.google.com/spreadsheets/d/1BJSV3WBYJGRhQ6zExamkszQ5VutGIcaQqmbD9ZTVXMQ/edit#gid=1251630045"",""articles_with_PRISMA_reasons!K2:K2113""), $A1838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$A1838=IMPORTRANGE(""https://docs.google.com/spreadsheets/d/1BJSV3WBYJGRhQ6zExamkszQ5VutGIcaQqmbD9ZTVXMQ/edit#gid=1251630045"",""articles_with_PRISMA_reasons!B2:B2113"")))-1)"),"Ris")</f>
        <v>Ris</v>
      </c>
      <c r="C1838" s="6">
        <f>IFERROR(__xludf.DUMMYFUNCTION("FILTER(IMPORTRANGE(""https://docs.google.com/spreadsheets/d/1BJSV3WBYJGRhQ6zExamkszQ5VutGIcaQqmbD9ZTVXMQ/edit#gid=1251630045"",""articles_with_PRISMA_reasons!C2:C2113""), $A1838=IMPORTRANGE(""https://docs.google.com/spreadsheets/d/1BJSV3WBYJGRhQ6zExamkszQ"&amp;"5VutGIcaQqmbD9ZTVXMQ/edit#gid=1251630045"",""articles_with_PRISMA_reasons!B2:B2113""))"),2007.0)</f>
        <v>2007</v>
      </c>
      <c r="D1838" s="5" t="str">
        <f>IFERROR(__xludf.DUMMYFUNCTION("IFS(AND(
FILTER(IMPORTRANGE(""https://docs.google.com/spreadsheets/d/1BJSV3WBYJGRhQ6zExamkszQ5VutGIcaQqmbD9ZTVXMQ/edit#gid=1251630045"",""articles_with_PRISMA_reasons!Y2:Y2113""), $A1838=IMPORTRANGE(""https://docs.google.com/spreadsheets/d/1BJSV3WBYJGRhQ6"&amp;"zExamkszQ5VutGIcaQqmbD9ZTVXMQ/edit#gid=1251630045"",""articles_with_PRISMA_reasons!B2:B2113""))&gt;=2,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$A1838=IMPORTRANGE(""https://docs.google.com/spreadsheets/d/1BJSV3WBYJGRhQ6zExamkszQ5VutGIcaQqmbD9ZTVXMQ/edit#gid=1251630045"",""articles_with_PRISMA_reasons!B2:B2113""))&lt;2),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$A1838=IMPORTRANGE(""https://docs.google.com/spreadsheets/d/1BJSV3WBYJGRhQ6zExamkszQ5VutGIcaQqmbD9ZTVXMQ/edit#gid=1251630045"",""a"&amp;"rticles_with_PRISMA_reasons!B2:B2113""))&lt;2,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$A1838=IMPORTRANGE(""https://docs.google"&amp;".com/spreadsheets/d/1BJSV3WBYJGRhQ6zExamkszQ5VutGIcaQqmbD9ZTVXMQ/edit#gid=1251630045"",""articles_with_PRISMA_reasons!B2:B2113""))&gt;=2),
""Exclude""
)"),"Exclude")</f>
        <v>Exclude</v>
      </c>
      <c r="E1838" s="5" t="str">
        <f>IFERROR(__xludf.DUMMYFUNCTION("IFS(
D1838=""Exclude"",""Exclude"",
AND(
FILTER(IMPORTRANGE(""https://docs.google.com/spreadsheets/d/1qpEmbGH0JjaJbUdp21-y2cPbobDbMjr09BbtdKROZWc/edit#gid=1444865654"",""articles_with_PRISMA_reasons!W2:W2113""), $A1838=IMPORTRANGE(""https://docs.google.co"&amp;"m/spreadsheets/d/1qpEmbGH0JjaJbUdp21-y2cPbobDbMjr09BbtdKROZWc/edit#gid=1444865654"",""articles_with_PRISMA_reasons!B2:B2113""))&gt;=2,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$A1838=IMPORTRANGE(""https://docs.google.com/spreadsheets/d/1qpEmbGH0JjaJbUdp21-y2cPbobDbMjr09BbtdKROZWc/edit#gid=1444865654"",""articles_with_PRISMA_reasons!B2:B2113""))&lt;2),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$A1838=IMPORTRANGE(""https://docs.google.com/spreadsheets/d/1qpEmbGH0JjaJbUdp21-y2cPbobDbMjr09Bbtd"&amp;"KROZWc/edit#gid=1444865654"",""articles_with_PRISMA_reasons!B2:B2113""))&lt;2,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$A1838=I"&amp;"MPORTRANGE(""https://docs.google.com/spreadsheets/d/1qpEmbGH0JjaJbUdp21-y2cPbobDbMjr09BbtdKROZWc/edit#gid=1444865654"",""articles_with_PRISMA_reasons!B2:B2113""))&gt;=2),
""Exclude""
)"),"Exclude")</f>
        <v>Exclude</v>
      </c>
      <c r="F1838" s="5" t="str">
        <f>IFERROR(__xludf.DUMMYFUNCTION("IFS(
E1838=""Exclude"",""Exclude"",
AND(
COUNTIF(
IMPORTRANGE(""https://docs.google.com/spreadsheets/d/1kGrh75X1cNR1D7_FcY9zMnHP8iPO4M5RCRjy6nZY0TY/edit#gid=0"",""Table 1: Study characteristics!B4:B171""),A1838)&gt;0,
COUNTIF(Studies!$A$2:$A$85,FILTER(IMPORT"&amp;"RANGE(""https://docs.google.com/spreadsheets/d/1kGrh75X1cNR1D7_FcY9zMnHP8iPO4M5RCRjy6nZY0TY/edit#gid=0"",""Table 1: Study characteristics!A4:A171""), $A1838=IMPORTRANGE(""https://docs.google.com/spreadsheets/d/1kGrh75X1cNR1D7_FcY9zMnHP8iPO4M5RCRjy6nZY0TY/"&amp;"edit#gid=0"",""Table 1: Study characteristics!B4:B171"")))&gt;0
),
""Include""
)"),"Exclude")</f>
        <v>Exclude</v>
      </c>
      <c r="G1838" s="5" t="str">
        <f>IFERROR(__xludf.DUMMYFUNCTION("IFS(
D1838=""Exclude"",
FILTER(IMPORTRANGE(""https://docs.google.com/spreadsheets/d/1BJSV3WBYJGRhQ6zExamkszQ5VutGIcaQqmbD9ZTVXMQ/edit#gid=1251630045"",""articles_with_PRISMA_reasons!AB2:AB2113""), $A1838=IMPORTRANGE(""https://docs.google.com/spreadsheets/"&amp;"d/1BJSV3WBYJGRhQ6zExamkszQ5VutGIcaQqmbD9ZTVXMQ/edit#gid=1251630045"",""articles_with_PRISMA_reasons!B2:B2113"")),
E1838=""Exclude"",
FILTER(IMPORTRANGE(""https://docs.google.com/spreadsheets/d/1qpEmbGH0JjaJbUdp21-y2cPbobDbMjr09BbtdKROZWc/edit#gid=14448656"&amp;"54"",""articles_with_PRISMA_reasons!Z2:Z2113""), $A1838=IMPORTRANGE(""https://docs.google.com/spreadsheets/d/1qpEmbGH0JjaJbUdp21-y2cPbobDbMjr09BbtdKROZWc/edit#gid=1444865654"",""articles_with_PRISMA_reasons!B2:B2113"")),F1838
=""Include"",FILTER(IMPORTRAN"&amp;"GE(""https://docs.google.com/spreadsheets/d/1kGrh75X1cNR1D7_FcY9zMnHP8iPO4M5RCRjy6nZY0TY/edit#gid=0"",""Table 1: Study characteristics!A4:A171""), $A1838=IMPORTRANGE(""https://docs.google.com/spreadsheets/d/1kGrh75X1cNR1D7_FcY9zMnHP8iPO4M5RCRjy6nZY0TY/edi"&amp;"t#gid=0"",""Table 1: Study characteristics!B4:B171""))
)"),"wrong population")</f>
        <v>wrong population</v>
      </c>
    </row>
    <row r="1839">
      <c r="A1839" s="4" t="str">
        <f>IFERROR(__xludf.DUMMYFUNCTION("""COMPUTED_VALUE"""),"Team management of cognitive dysfunction in children with spina bifida")</f>
        <v>Team management of cognitive dysfunction in children with spina bifida</v>
      </c>
      <c r="B1839" s="5" t="str">
        <f>IFERROR(__xludf.DUMMYFUNCTION("LEFT(FILTER(IMPORTRANGE(""https://docs.google.com/spreadsheets/d/1BJSV3WBYJGRhQ6zExamkszQ5VutGIcaQqmbD9ZTVXMQ/edit#gid=1251630045"",""articles_with_PRISMA_reasons!K2:K2113""), $A1839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$A1839=IMPORTRANGE(""https://docs.google.com/spreadsheets/d/1BJSV3WBYJGRhQ6zExamkszQ5VutGIcaQqmbD9ZTVXMQ/edit#gid=1251630045"",""articles_with_PRISMA_reasons!B2:B2113"")))-1)"),"Knowlton")</f>
        <v>Knowlton</v>
      </c>
      <c r="C1839" s="6">
        <f>IFERROR(__xludf.DUMMYFUNCTION("FILTER(IMPORTRANGE(""https://docs.google.com/spreadsheets/d/1BJSV3WBYJGRhQ6zExamkszQ5VutGIcaQqmbD9ZTVXMQ/edit#gid=1251630045"",""articles_with_PRISMA_reasons!C2:C2113""), $A1839=IMPORTRANGE(""https://docs.google.com/spreadsheets/d/1BJSV3WBYJGRhQ6zExamkszQ"&amp;"5VutGIcaQqmbD9ZTVXMQ/edit#gid=1251630045"",""articles_with_PRISMA_reasons!B2:B2113""))"),1985.0)</f>
        <v>1985</v>
      </c>
      <c r="D1839" s="5" t="str">
        <f>IFERROR(__xludf.DUMMYFUNCTION("IFS(AND(
FILTER(IMPORTRANGE(""https://docs.google.com/spreadsheets/d/1BJSV3WBYJGRhQ6zExamkszQ5VutGIcaQqmbD9ZTVXMQ/edit#gid=1251630045"",""articles_with_PRISMA_reasons!Y2:Y2113""), $A1839=IMPORTRANGE(""https://docs.google.com/spreadsheets/d/1BJSV3WBYJGRhQ6"&amp;"zExamkszQ5VutGIcaQqmbD9ZTVXMQ/edit#gid=1251630045"",""articles_with_PRISMA_reasons!B2:B2113""))&gt;=2,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$A1839=IMPORTRANGE(""https://docs.google.com/spreadsheets/d/1BJSV3WBYJGRhQ6zExamkszQ5VutGIcaQqmbD9ZTVXMQ/edit#gid=1251630045"",""articles_with_PRISMA_reasons!B2:B2113""))&lt;2),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$A1839=IMPORTRANGE(""https://docs.google.com/spreadsheets/d/1BJSV3WBYJGRhQ6zExamkszQ5VutGIcaQqmbD9ZTVXMQ/edit#gid=1251630045"",""a"&amp;"rticles_with_PRISMA_reasons!B2:B2113""))&lt;2,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$A1839=IMPORTRANGE(""https://docs.google"&amp;".com/spreadsheets/d/1BJSV3WBYJGRhQ6zExamkszQ5VutGIcaQqmbD9ZTVXMQ/edit#gid=1251630045"",""articles_with_PRISMA_reasons!B2:B2113""))&gt;=2),
""Exclude""
)"),"Exclude")</f>
        <v>Exclude</v>
      </c>
      <c r="E1839" s="5" t="str">
        <f>IFERROR(__xludf.DUMMYFUNCTION("IFS(
D1839=""Exclude"",""Exclude"",
AND(
FILTER(IMPORTRANGE(""https://docs.google.com/spreadsheets/d/1qpEmbGH0JjaJbUdp21-y2cPbobDbMjr09BbtdKROZWc/edit#gid=1444865654"",""articles_with_PRISMA_reasons!W2:W2113""), $A1839=IMPORTRANGE(""https://docs.google.co"&amp;"m/spreadsheets/d/1qpEmbGH0JjaJbUdp21-y2cPbobDbMjr09BbtdKROZWc/edit#gid=1444865654"",""articles_with_PRISMA_reasons!B2:B2113""))&gt;=2,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$A1839=IMPORTRANGE(""https://docs.google.com/spreadsheets/d/1qpEmbGH0JjaJbUdp21-y2cPbobDbMjr09BbtdKROZWc/edit#gid=1444865654"",""articles_with_PRISMA_reasons!B2:B2113""))&lt;2),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$A1839=IMPORTRANGE(""https://docs.google.com/spreadsheets/d/1qpEmbGH0JjaJbUdp21-y2cPbobDbMjr09Bbtd"&amp;"KROZWc/edit#gid=1444865654"",""articles_with_PRISMA_reasons!B2:B2113""))&lt;2,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$A1839=I"&amp;"MPORTRANGE(""https://docs.google.com/spreadsheets/d/1qpEmbGH0JjaJbUdp21-y2cPbobDbMjr09BbtdKROZWc/edit#gid=1444865654"",""articles_with_PRISMA_reasons!B2:B2113""))&gt;=2),
""Exclude""
)"),"Exclude")</f>
        <v>Exclude</v>
      </c>
      <c r="F1839" s="5" t="str">
        <f>IFERROR(__xludf.DUMMYFUNCTION("IFS(
E1839=""Exclude"",""Exclude"",
AND(
COUNTIF(
IMPORTRANGE(""https://docs.google.com/spreadsheets/d/1kGrh75X1cNR1D7_FcY9zMnHP8iPO4M5RCRjy6nZY0TY/edit#gid=0"",""Table 1: Study characteristics!B4:B171""),A1839)&gt;0,
COUNTIF(Studies!$A$2:$A$85,FILTER(IMPORT"&amp;"RANGE(""https://docs.google.com/spreadsheets/d/1kGrh75X1cNR1D7_FcY9zMnHP8iPO4M5RCRjy6nZY0TY/edit#gid=0"",""Table 1: Study characteristics!A4:A171""), $A1839=IMPORTRANGE(""https://docs.google.com/spreadsheets/d/1kGrh75X1cNR1D7_FcY9zMnHP8iPO4M5RCRjy6nZY0TY/"&amp;"edit#gid=0"",""Table 1: Study characteristics!B4:B171"")))&gt;0
),
""Include""
)"),"Exclude")</f>
        <v>Exclude</v>
      </c>
      <c r="G1839" s="5" t="str">
        <f>IFERROR(__xludf.DUMMYFUNCTION("IFS(
D1839=""Exclude"",
FILTER(IMPORTRANGE(""https://docs.google.com/spreadsheets/d/1BJSV3WBYJGRhQ6zExamkszQ5VutGIcaQqmbD9ZTVXMQ/edit#gid=1251630045"",""articles_with_PRISMA_reasons!AB2:AB2113""), $A1839=IMPORTRANGE(""https://docs.google.com/spreadsheets/"&amp;"d/1BJSV3WBYJGRhQ6zExamkszQ5VutGIcaQqmbD9ZTVXMQ/edit#gid=1251630045"",""articles_with_PRISMA_reasons!B2:B2113"")),
E1839=""Exclude"",
FILTER(IMPORTRANGE(""https://docs.google.com/spreadsheets/d/1qpEmbGH0JjaJbUdp21-y2cPbobDbMjr09BbtdKROZWc/edit#gid=14448656"&amp;"54"",""articles_with_PRISMA_reasons!Z2:Z2113""), $A1839=IMPORTRANGE(""https://docs.google.com/spreadsheets/d/1qpEmbGH0JjaJbUdp21-y2cPbobDbMjr09BbtdKROZWc/edit#gid=1444865654"",""articles_with_PRISMA_reasons!B2:B2113"")),F1839
=""Include"",FILTER(IMPORTRAN"&amp;"GE(""https://docs.google.com/spreadsheets/d/1kGrh75X1cNR1D7_FcY9zMnHP8iPO4M5RCRjy6nZY0TY/edit#gid=0"",""Table 1: Study characteristics!A4:A171""), $A1839=IMPORTRANGE(""https://docs.google.com/spreadsheets/d/1kGrh75X1cNR1D7_FcY9zMnHP8iPO4M5RCRjy6nZY0TY/edi"&amp;"t#gid=0"",""Table 1: Study characteristics!B4:B171""))
)"),"wrong population")</f>
        <v>wrong population</v>
      </c>
    </row>
    <row r="1840">
      <c r="A1840" s="4" t="str">
        <f>IFERROR(__xludf.DUMMYFUNCTION("""COMPUTED_VALUE"""),"Technetium-99m glucoheptonate imaging: Meningocele")</f>
        <v>Technetium-99m glucoheptonate imaging: Meningocele</v>
      </c>
      <c r="B1840" s="5" t="str">
        <f>IFERROR(__xludf.DUMMYFUNCTION("LEFT(FILTER(IMPORTRANGE(""https://docs.google.com/spreadsheets/d/1BJSV3WBYJGRhQ6zExamkszQ5VutGIcaQqmbD9ZTVXMQ/edit#gid=1251630045"",""articles_with_PRISMA_reasons!K2:K2113""), $A1840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$A1840=IMPORTRANGE(""https://docs.google.com/spreadsheets/d/1BJSV3WBYJGRhQ6zExamkszQ5VutGIcaQqmbD9ZTVXMQ/edit#gid=1251630045"",""articles_with_PRISMA_reasons!B2:B2113"")))-1)"),"Sty")</f>
        <v>Sty</v>
      </c>
      <c r="C1840" s="6">
        <f>IFERROR(__xludf.DUMMYFUNCTION("FILTER(IMPORTRANGE(""https://docs.google.com/spreadsheets/d/1BJSV3WBYJGRhQ6zExamkszQ5VutGIcaQqmbD9ZTVXMQ/edit#gid=1251630045"",""articles_with_PRISMA_reasons!C2:C2113""), $A1840=IMPORTRANGE(""https://docs.google.com/spreadsheets/d/1BJSV3WBYJGRhQ6zExamkszQ"&amp;"5VutGIcaQqmbD9ZTVXMQ/edit#gid=1251630045"",""articles_with_PRISMA_reasons!B2:B2113""))"),1988.0)</f>
        <v>1988</v>
      </c>
      <c r="D1840" s="5" t="str">
        <f>IFERROR(__xludf.DUMMYFUNCTION("IFS(AND(
FILTER(IMPORTRANGE(""https://docs.google.com/spreadsheets/d/1BJSV3WBYJGRhQ6zExamkszQ5VutGIcaQqmbD9ZTVXMQ/edit#gid=1251630045"",""articles_with_PRISMA_reasons!Y2:Y2113""), $A1840=IMPORTRANGE(""https://docs.google.com/spreadsheets/d/1BJSV3WBYJGRhQ6"&amp;"zExamkszQ5VutGIcaQqmbD9ZTVXMQ/edit#gid=1251630045"",""articles_with_PRISMA_reasons!B2:B2113""))&gt;=2,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$A1840=IMPORTRANGE(""https://docs.google.com/spreadsheets/d/1BJSV3WBYJGRhQ6zExamkszQ5VutGIcaQqmbD9ZTVXMQ/edit#gid=1251630045"",""articles_with_PRISMA_reasons!B2:B2113""))&lt;2),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$A1840=IMPORTRANGE(""https://docs.google.com/spreadsheets/d/1BJSV3WBYJGRhQ6zExamkszQ5VutGIcaQqmbD9ZTVXMQ/edit#gid=1251630045"",""a"&amp;"rticles_with_PRISMA_reasons!B2:B2113""))&lt;2,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$A1840=IMPORTRANGE(""https://docs.google"&amp;".com/spreadsheets/d/1BJSV3WBYJGRhQ6zExamkszQ5VutGIcaQqmbD9ZTVXMQ/edit#gid=1251630045"",""articles_with_PRISMA_reasons!B2:B2113""))&gt;=2),
""Exclude""
)"),"Exclude")</f>
        <v>Exclude</v>
      </c>
      <c r="E1840" s="5" t="str">
        <f>IFERROR(__xludf.DUMMYFUNCTION("IFS(
D1840=""Exclude"",""Exclude"",
AND(
FILTER(IMPORTRANGE(""https://docs.google.com/spreadsheets/d/1qpEmbGH0JjaJbUdp21-y2cPbobDbMjr09BbtdKROZWc/edit#gid=1444865654"",""articles_with_PRISMA_reasons!W2:W2113""), $A1840=IMPORTRANGE(""https://docs.google.co"&amp;"m/spreadsheets/d/1qpEmbGH0JjaJbUdp21-y2cPbobDbMjr09BbtdKROZWc/edit#gid=1444865654"",""articles_with_PRISMA_reasons!B2:B2113""))&gt;=2,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$A1840=IMPORTRANGE(""https://docs.google.com/spreadsheets/d/1qpEmbGH0JjaJbUdp21-y2cPbobDbMjr09BbtdKROZWc/edit#gid=1444865654"",""articles_with_PRISMA_reasons!B2:B2113""))&lt;2),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$A1840=IMPORTRANGE(""https://docs.google.com/spreadsheets/d/1qpEmbGH0JjaJbUdp21-y2cPbobDbMjr09Bbtd"&amp;"KROZWc/edit#gid=1444865654"",""articles_with_PRISMA_reasons!B2:B2113""))&lt;2,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$A1840=I"&amp;"MPORTRANGE(""https://docs.google.com/spreadsheets/d/1qpEmbGH0JjaJbUdp21-y2cPbobDbMjr09BbtdKROZWc/edit#gid=1444865654"",""articles_with_PRISMA_reasons!B2:B2113""))&gt;=2),
""Exclude""
)"),"Exclude")</f>
        <v>Exclude</v>
      </c>
      <c r="F1840" s="5" t="str">
        <f>IFERROR(__xludf.DUMMYFUNCTION("IFS(
E1840=""Exclude"",""Exclude"",
AND(
COUNTIF(
IMPORTRANGE(""https://docs.google.com/spreadsheets/d/1kGrh75X1cNR1D7_FcY9zMnHP8iPO4M5RCRjy6nZY0TY/edit#gid=0"",""Table 1: Study characteristics!B4:B171""),A1840)&gt;0,
COUNTIF(Studies!$A$2:$A$85,FILTER(IMPORT"&amp;"RANGE(""https://docs.google.com/spreadsheets/d/1kGrh75X1cNR1D7_FcY9zMnHP8iPO4M5RCRjy6nZY0TY/edit#gid=0"",""Table 1: Study characteristics!A4:A171""), $A1840=IMPORTRANGE(""https://docs.google.com/spreadsheets/d/1kGrh75X1cNR1D7_FcY9zMnHP8iPO4M5RCRjy6nZY0TY/"&amp;"edit#gid=0"",""Table 1: Study characteristics!B4:B171"")))&gt;0
),
""Include""
)"),"Exclude")</f>
        <v>Exclude</v>
      </c>
      <c r="G1840" s="5" t="str">
        <f>IFERROR(__xludf.DUMMYFUNCTION("IFS(
D1840=""Exclude"",
FILTER(IMPORTRANGE(""https://docs.google.com/spreadsheets/d/1BJSV3WBYJGRhQ6zExamkszQ5VutGIcaQqmbD9ZTVXMQ/edit#gid=1251630045"",""articles_with_PRISMA_reasons!AB2:AB2113""), $A1840=IMPORTRANGE(""https://docs.google.com/spreadsheets/"&amp;"d/1BJSV3WBYJGRhQ6zExamkszQ5VutGIcaQqmbD9ZTVXMQ/edit#gid=1251630045"",""articles_with_PRISMA_reasons!B2:B2113"")),
E1840=""Exclude"",
FILTER(IMPORTRANGE(""https://docs.google.com/spreadsheets/d/1qpEmbGH0JjaJbUdp21-y2cPbobDbMjr09BbtdKROZWc/edit#gid=14448656"&amp;"54"",""articles_with_PRISMA_reasons!Z2:Z2113""), $A1840=IMPORTRANGE(""https://docs.google.com/spreadsheets/d/1qpEmbGH0JjaJbUdp21-y2cPbobDbMjr09BbtdKROZWc/edit#gid=1444865654"",""articles_with_PRISMA_reasons!B2:B2113"")),F1840
=""Include"",FILTER(IMPORTRAN"&amp;"GE(""https://docs.google.com/spreadsheets/d/1kGrh75X1cNR1D7_FcY9zMnHP8iPO4M5RCRjy6nZY0TY/edit#gid=0"",""Table 1: Study characteristics!A4:A171""), $A1840=IMPORTRANGE(""https://docs.google.com/spreadsheets/d/1kGrh75X1cNR1D7_FcY9zMnHP8iPO4M5RCRjy6nZY0TY/edi"&amp;"t#gid=0"",""Table 1: Study characteristics!B4:B171""))
)"),"wrong study design")</f>
        <v>wrong study design</v>
      </c>
    </row>
    <row r="1841">
      <c r="A1841" s="4" t="str">
        <f>IFERROR(__xludf.DUMMYFUNCTION("""COMPUTED_VALUE"""),"Technical note: the use of nitroglycerin ointment after precarious neurosurgical wound closure")</f>
        <v>Technical note: the use of nitroglycerin ointment after precarious neurosurgical wound closure</v>
      </c>
      <c r="B1841" s="5" t="str">
        <f>IFERROR(__xludf.DUMMYFUNCTION("LEFT(FILTER(IMPORTRANGE(""https://docs.google.com/spreadsheets/d/1BJSV3WBYJGRhQ6zExamkszQ5VutGIcaQqmbD9ZTVXMQ/edit#gid=1251630045"",""articles_with_PRISMA_reasons!K2:K2113""), $A1841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$A1841=IMPORTRANGE(""https://docs.google.com/spreadsheets/d/1BJSV3WBYJGRhQ6zExamkszQ5VutGIcaQqmbD9ZTVXMQ/edit#gid=1251630045"",""articles_with_PRISMA_reasons!B2:B2113"")))-1)"),"Lehman")</f>
        <v>Lehman</v>
      </c>
      <c r="C1841" s="6">
        <f>IFERROR(__xludf.DUMMYFUNCTION("FILTER(IMPORTRANGE(""https://docs.google.com/spreadsheets/d/1BJSV3WBYJGRhQ6zExamkszQ5VutGIcaQqmbD9ZTVXMQ/edit#gid=1251630045"",""articles_with_PRISMA_reasons!C2:C2113""), $A1841=IMPORTRANGE(""https://docs.google.com/spreadsheets/d/1BJSV3WBYJGRhQ6zExamkszQ"&amp;"5VutGIcaQqmbD9ZTVXMQ/edit#gid=1251630045"",""articles_with_PRISMA_reasons!B2:B2113""))"),1985.0)</f>
        <v>1985</v>
      </c>
      <c r="D1841" s="5" t="str">
        <f>IFERROR(__xludf.DUMMYFUNCTION("IFS(AND(
FILTER(IMPORTRANGE(""https://docs.google.com/spreadsheets/d/1BJSV3WBYJGRhQ6zExamkszQ5VutGIcaQqmbD9ZTVXMQ/edit#gid=1251630045"",""articles_with_PRISMA_reasons!Y2:Y2113""), $A1841=IMPORTRANGE(""https://docs.google.com/spreadsheets/d/1BJSV3WBYJGRhQ6"&amp;"zExamkszQ5VutGIcaQqmbD9ZTVXMQ/edit#gid=1251630045"",""articles_with_PRISMA_reasons!B2:B2113""))&gt;=2,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$A1841=IMPORTRANGE(""https://docs.google.com/spreadsheets/d/1BJSV3WBYJGRhQ6zExamkszQ5VutGIcaQqmbD9ZTVXMQ/edit#gid=1251630045"",""articles_with_PRISMA_reasons!B2:B2113""))&lt;2),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$A1841=IMPORTRANGE(""https://docs.google.com/spreadsheets/d/1BJSV3WBYJGRhQ6zExamkszQ5VutGIcaQqmbD9ZTVXMQ/edit#gid=1251630045"",""a"&amp;"rticles_with_PRISMA_reasons!B2:B2113""))&lt;2,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$A1841=IMPORTRANGE(""https://docs.google"&amp;".com/spreadsheets/d/1BJSV3WBYJGRhQ6zExamkszQ5VutGIcaQqmbD9ZTVXMQ/edit#gid=1251630045"",""articles_with_PRISMA_reasons!B2:B2113""))&gt;=2),
""Exclude""
)"),"Exclude")</f>
        <v>Exclude</v>
      </c>
      <c r="E1841" s="5" t="str">
        <f>IFERROR(__xludf.DUMMYFUNCTION("IFS(
D1841=""Exclude"",""Exclude"",
AND(
FILTER(IMPORTRANGE(""https://docs.google.com/spreadsheets/d/1qpEmbGH0JjaJbUdp21-y2cPbobDbMjr09BbtdKROZWc/edit#gid=1444865654"",""articles_with_PRISMA_reasons!W2:W2113""), $A1841=IMPORTRANGE(""https://docs.google.co"&amp;"m/spreadsheets/d/1qpEmbGH0JjaJbUdp21-y2cPbobDbMjr09BbtdKROZWc/edit#gid=1444865654"",""articles_with_PRISMA_reasons!B2:B2113""))&gt;=2,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$A1841=IMPORTRANGE(""https://docs.google.com/spreadsheets/d/1qpEmbGH0JjaJbUdp21-y2cPbobDbMjr09BbtdKROZWc/edit#gid=1444865654"",""articles_with_PRISMA_reasons!B2:B2113""))&lt;2),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$A1841=IMPORTRANGE(""https://docs.google.com/spreadsheets/d/1qpEmbGH0JjaJbUdp21-y2cPbobDbMjr09Bbtd"&amp;"KROZWc/edit#gid=1444865654"",""articles_with_PRISMA_reasons!B2:B2113""))&lt;2,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$A1841=I"&amp;"MPORTRANGE(""https://docs.google.com/spreadsheets/d/1qpEmbGH0JjaJbUdp21-y2cPbobDbMjr09BbtdKROZWc/edit#gid=1444865654"",""articles_with_PRISMA_reasons!B2:B2113""))&gt;=2),
""Exclude""
)"),"Exclude")</f>
        <v>Exclude</v>
      </c>
      <c r="F1841" s="5" t="str">
        <f>IFERROR(__xludf.DUMMYFUNCTION("IFS(
E1841=""Exclude"",""Exclude"",
AND(
COUNTIF(
IMPORTRANGE(""https://docs.google.com/spreadsheets/d/1kGrh75X1cNR1D7_FcY9zMnHP8iPO4M5RCRjy6nZY0TY/edit#gid=0"",""Table 1: Study characteristics!B4:B171""),A1841)&gt;0,
COUNTIF(Studies!$A$2:$A$85,FILTER(IMPORT"&amp;"RANGE(""https://docs.google.com/spreadsheets/d/1kGrh75X1cNR1D7_FcY9zMnHP8iPO4M5RCRjy6nZY0TY/edit#gid=0"",""Table 1: Study characteristics!A4:A171""), $A1841=IMPORTRANGE(""https://docs.google.com/spreadsheets/d/1kGrh75X1cNR1D7_FcY9zMnHP8iPO4M5RCRjy6nZY0TY/"&amp;"edit#gid=0"",""Table 1: Study characteristics!B4:B171"")))&gt;0
),
""Include""
)"),"Exclude")</f>
        <v>Exclude</v>
      </c>
      <c r="G1841" s="5" t="str">
        <f>IFERROR(__xludf.DUMMYFUNCTION("IFS(
D1841=""Exclude"",
FILTER(IMPORTRANGE(""https://docs.google.com/spreadsheets/d/1BJSV3WBYJGRhQ6zExamkszQ5VutGIcaQqmbD9ZTVXMQ/edit#gid=1251630045"",""articles_with_PRISMA_reasons!AB2:AB2113""), $A1841=IMPORTRANGE(""https://docs.google.com/spreadsheets/"&amp;"d/1BJSV3WBYJGRhQ6zExamkszQ5VutGIcaQqmbD9ZTVXMQ/edit#gid=1251630045"",""articles_with_PRISMA_reasons!B2:B2113"")),
E1841=""Exclude"",
FILTER(IMPORTRANGE(""https://docs.google.com/spreadsheets/d/1qpEmbGH0JjaJbUdp21-y2cPbobDbMjr09BbtdKROZWc/edit#gid=14448656"&amp;"54"",""articles_with_PRISMA_reasons!Z2:Z2113""), $A1841=IMPORTRANGE(""https://docs.google.com/spreadsheets/d/1qpEmbGH0JjaJbUdp21-y2cPbobDbMjr09BbtdKROZWc/edit#gid=1444865654"",""articles_with_PRISMA_reasons!B2:B2113"")),F1841
=""Include"",FILTER(IMPORTRAN"&amp;"GE(""https://docs.google.com/spreadsheets/d/1kGrh75X1cNR1D7_FcY9zMnHP8iPO4M5RCRjy6nZY0TY/edit#gid=0"",""Table 1: Study characteristics!A4:A171""), $A1841=IMPORTRANGE(""https://docs.google.com/spreadsheets/d/1kGrh75X1cNR1D7_FcY9zMnHP8iPO4M5RCRjy6nZY0TY/edi"&amp;"t#gid=0"",""Table 1: Study characteristics!B4:B171""))
)"),"wrong study design")</f>
        <v>wrong study design</v>
      </c>
    </row>
    <row r="1842">
      <c r="A1842" s="4" t="str">
        <f>IFERROR(__xludf.DUMMYFUNCTION("""COMPUTED_VALUE"""),"Technique for Placement of Lumboperitoneal Catheters Using a Combined Laparoscopic Procedure with the Seldinger Micropuncture Technique")</f>
        <v>Technique for Placement of Lumboperitoneal Catheters Using a Combined Laparoscopic Procedure with the Seldinger Micropuncture Technique</v>
      </c>
      <c r="B1842" s="5" t="str">
        <f>IFERROR(__xludf.DUMMYFUNCTION("LEFT(FILTER(IMPORTRANGE(""https://docs.google.com/spreadsheets/d/1BJSV3WBYJGRhQ6zExamkszQ5VutGIcaQqmbD9ZTVXMQ/edit#gid=1251630045"",""articles_with_PRISMA_reasons!K2:K2113""), $A1842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$A1842=IMPORTRANGE(""https://docs.google.com/spreadsheets/d/1BJSV3WBYJGRhQ6zExamkszQ5VutGIcaQqmbD9ZTVXMQ/edit#gid=1251630045"",""articles_with_PRISMA_reasons!B2:B2113"")))-1)"),"Maa")</f>
        <v>Maa</v>
      </c>
      <c r="C1842" s="6">
        <f>IFERROR(__xludf.DUMMYFUNCTION("FILTER(IMPORTRANGE(""https://docs.google.com/spreadsheets/d/1BJSV3WBYJGRhQ6zExamkszQ5VutGIcaQqmbD9ZTVXMQ/edit#gid=1251630045"",""articles_with_PRISMA_reasons!C2:C2113""), $A1842=IMPORTRANGE(""https://docs.google.com/spreadsheets/d/1BJSV3WBYJGRhQ6zExamkszQ"&amp;"5VutGIcaQqmbD9ZTVXMQ/edit#gid=1251630045"",""articles_with_PRISMA_reasons!B2:B2113""))"),2008.0)</f>
        <v>2008</v>
      </c>
      <c r="D1842" s="5" t="str">
        <f>IFERROR(__xludf.DUMMYFUNCTION("IFS(AND(
FILTER(IMPORTRANGE(""https://docs.google.com/spreadsheets/d/1BJSV3WBYJGRhQ6zExamkszQ5VutGIcaQqmbD9ZTVXMQ/edit#gid=1251630045"",""articles_with_PRISMA_reasons!Y2:Y2113""), $A1842=IMPORTRANGE(""https://docs.google.com/spreadsheets/d/1BJSV3WBYJGRhQ6"&amp;"zExamkszQ5VutGIcaQqmbD9ZTVXMQ/edit#gid=1251630045"",""articles_with_PRISMA_reasons!B2:B2113""))&gt;=2,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$A1842=IMPORTRANGE(""https://docs.google.com/spreadsheets/d/1BJSV3WBYJGRhQ6zExamkszQ5VutGIcaQqmbD9ZTVXMQ/edit#gid=1251630045"",""articles_with_PRISMA_reasons!B2:B2113""))&lt;2),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$A1842=IMPORTRANGE(""https://docs.google.com/spreadsheets/d/1BJSV3WBYJGRhQ6zExamkszQ5VutGIcaQqmbD9ZTVXMQ/edit#gid=1251630045"",""a"&amp;"rticles_with_PRISMA_reasons!B2:B2113""))&lt;2,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$A1842=IMPORTRANGE(""https://docs.google"&amp;".com/spreadsheets/d/1BJSV3WBYJGRhQ6zExamkszQ5VutGIcaQqmbD9ZTVXMQ/edit#gid=1251630045"",""articles_with_PRISMA_reasons!B2:B2113""))&gt;=2),
""Exclude""
)"),"Exclude")</f>
        <v>Exclude</v>
      </c>
      <c r="E1842" s="5" t="str">
        <f>IFERROR(__xludf.DUMMYFUNCTION("IFS(
D1842=""Exclude"",""Exclude"",
AND(
FILTER(IMPORTRANGE(""https://docs.google.com/spreadsheets/d/1qpEmbGH0JjaJbUdp21-y2cPbobDbMjr09BbtdKROZWc/edit#gid=1444865654"",""articles_with_PRISMA_reasons!W2:W2113""), $A1842=IMPORTRANGE(""https://docs.google.co"&amp;"m/spreadsheets/d/1qpEmbGH0JjaJbUdp21-y2cPbobDbMjr09BbtdKROZWc/edit#gid=1444865654"",""articles_with_PRISMA_reasons!B2:B2113""))&gt;=2,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$A1842=IMPORTRANGE(""https://docs.google.com/spreadsheets/d/1qpEmbGH0JjaJbUdp21-y2cPbobDbMjr09BbtdKROZWc/edit#gid=1444865654"",""articles_with_PRISMA_reasons!B2:B2113""))&lt;2),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$A1842=IMPORTRANGE(""https://docs.google.com/spreadsheets/d/1qpEmbGH0JjaJbUdp21-y2cPbobDbMjr09Bbtd"&amp;"KROZWc/edit#gid=1444865654"",""articles_with_PRISMA_reasons!B2:B2113""))&lt;2,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$A1842=I"&amp;"MPORTRANGE(""https://docs.google.com/spreadsheets/d/1qpEmbGH0JjaJbUdp21-y2cPbobDbMjr09BbtdKROZWc/edit#gid=1444865654"",""articles_with_PRISMA_reasons!B2:B2113""))&gt;=2),
""Exclude""
)"),"Exclude")</f>
        <v>Exclude</v>
      </c>
      <c r="F1842" s="5" t="str">
        <f>IFERROR(__xludf.DUMMYFUNCTION("IFS(
E1842=""Exclude"",""Exclude"",
AND(
COUNTIF(
IMPORTRANGE(""https://docs.google.com/spreadsheets/d/1kGrh75X1cNR1D7_FcY9zMnHP8iPO4M5RCRjy6nZY0TY/edit#gid=0"",""Table 1: Study characteristics!B4:B171""),A1842)&gt;0,
COUNTIF(Studies!$A$2:$A$85,FILTER(IMPORT"&amp;"RANGE(""https://docs.google.com/spreadsheets/d/1kGrh75X1cNR1D7_FcY9zMnHP8iPO4M5RCRjy6nZY0TY/edit#gid=0"",""Table 1: Study characteristics!A4:A171""), $A1842=IMPORTRANGE(""https://docs.google.com/spreadsheets/d/1kGrh75X1cNR1D7_FcY9zMnHP8iPO4M5RCRjy6nZY0TY/"&amp;"edit#gid=0"",""Table 1: Study characteristics!B4:B171"")))&gt;0
),
""Include""
)"),"Exclude")</f>
        <v>Exclude</v>
      </c>
      <c r="G1842" s="5" t="str">
        <f>IFERROR(__xludf.DUMMYFUNCTION("IFS(
D1842=""Exclude"",
FILTER(IMPORTRANGE(""https://docs.google.com/spreadsheets/d/1BJSV3WBYJGRhQ6zExamkszQ5VutGIcaQqmbD9ZTVXMQ/edit#gid=1251630045"",""articles_with_PRISMA_reasons!AB2:AB2113""), $A1842=IMPORTRANGE(""https://docs.google.com/spreadsheets/"&amp;"d/1BJSV3WBYJGRhQ6zExamkszQ5VutGIcaQqmbD9ZTVXMQ/edit#gid=1251630045"",""articles_with_PRISMA_reasons!B2:B2113"")),
E1842=""Exclude"",
FILTER(IMPORTRANGE(""https://docs.google.com/spreadsheets/d/1qpEmbGH0JjaJbUdp21-y2cPbobDbMjr09BbtdKROZWc/edit#gid=14448656"&amp;"54"",""articles_with_PRISMA_reasons!Z2:Z2113""), $A1842=IMPORTRANGE(""https://docs.google.com/spreadsheets/d/1qpEmbGH0JjaJbUdp21-y2cPbobDbMjr09BbtdKROZWc/edit#gid=1444865654"",""articles_with_PRISMA_reasons!B2:B2113"")),F1842
=""Include"",FILTER(IMPORTRAN"&amp;"GE(""https://docs.google.com/spreadsheets/d/1kGrh75X1cNR1D7_FcY9zMnHP8iPO4M5RCRjy6nZY0TY/edit#gid=0"",""Table 1: Study characteristics!A4:A171""), $A1842=IMPORTRANGE(""https://docs.google.com/spreadsheets/d/1kGrh75X1cNR1D7_FcY9zMnHP8iPO4M5RCRjy6nZY0TY/edi"&amp;"t#gid=0"",""Table 1: Study characteristics!B4:B171""))
)"),"wrong population")</f>
        <v>wrong population</v>
      </c>
    </row>
    <row r="1843">
      <c r="A1843" s="4" t="str">
        <f>IFERROR(__xludf.DUMMYFUNCTION("""COMPUTED_VALUE"""),"Ten-year survival of Ugandan infants after myelomeningocele closure")</f>
        <v>Ten-year survival of Ugandan infants after myelomeningocele closure</v>
      </c>
      <c r="B1843" s="5" t="str">
        <f>IFERROR(__xludf.DUMMYFUNCTION("LEFT(FILTER(IMPORTRANGE(""https://docs.google.com/spreadsheets/d/1BJSV3WBYJGRhQ6zExamkszQ5VutGIcaQqmbD9ZTVXMQ/edit#gid=1251630045"",""articles_with_PRISMA_reasons!K2:K2113""), $A1843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$A1843=IMPORTRANGE(""https://docs.google.com/spreadsheets/d/1BJSV3WBYJGRhQ6zExamkszQ5VutGIcaQqmbD9ZTVXMQ/edit#gid=1251630045"",""articles_with_PRISMA_reasons!B2:B2113"")))-1)"),"Sims-Williams")</f>
        <v>Sims-Williams</v>
      </c>
      <c r="C1843" s="6">
        <f>IFERROR(__xludf.DUMMYFUNCTION("FILTER(IMPORTRANGE(""https://docs.google.com/spreadsheets/d/1BJSV3WBYJGRhQ6zExamkszQ5VutGIcaQqmbD9ZTVXMQ/edit#gid=1251630045"",""articles_with_PRISMA_reasons!C2:C2113""), $A1843=IMPORTRANGE(""https://docs.google.com/spreadsheets/d/1BJSV3WBYJGRhQ6zExamkszQ"&amp;"5VutGIcaQqmbD9ZTVXMQ/edit#gid=1251630045"",""articles_with_PRISMA_reasons!B2:B2113""))"),2017.0)</f>
        <v>2017</v>
      </c>
      <c r="D1843" s="5" t="str">
        <f>IFERROR(__xludf.DUMMYFUNCTION("IFS(AND(
FILTER(IMPORTRANGE(""https://docs.google.com/spreadsheets/d/1BJSV3WBYJGRhQ6zExamkszQ5VutGIcaQqmbD9ZTVXMQ/edit#gid=1251630045"",""articles_with_PRISMA_reasons!Y2:Y2113""), $A1843=IMPORTRANGE(""https://docs.google.com/spreadsheets/d/1BJSV3WBYJGRhQ6"&amp;"zExamkszQ5VutGIcaQqmbD9ZTVXMQ/edit#gid=1251630045"",""articles_with_PRISMA_reasons!B2:B2113""))&gt;=2,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$A1843=IMPORTRANGE(""https://docs.google.com/spreadsheets/d/1BJSV3WBYJGRhQ6zExamkszQ5VutGIcaQqmbD9ZTVXMQ/edit#gid=1251630045"",""articles_with_PRISMA_reasons!B2:B2113""))&lt;2),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$A1843=IMPORTRANGE(""https://docs.google.com/spreadsheets/d/1BJSV3WBYJGRhQ6zExamkszQ5VutGIcaQqmbD9ZTVXMQ/edit#gid=1251630045"",""a"&amp;"rticles_with_PRISMA_reasons!B2:B2113""))&lt;2,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$A1843=IMPORTRANGE(""https://docs.google"&amp;".com/spreadsheets/d/1BJSV3WBYJGRhQ6zExamkszQ5VutGIcaQqmbD9ZTVXMQ/edit#gid=1251630045"",""articles_with_PRISMA_reasons!B2:B2113""))&gt;=2),
""Exclude""
)"),"Exclude")</f>
        <v>Exclude</v>
      </c>
      <c r="E1843" s="5" t="str">
        <f>IFERROR(__xludf.DUMMYFUNCTION("IFS(
D1843=""Exclude"",""Exclude"",
AND(
FILTER(IMPORTRANGE(""https://docs.google.com/spreadsheets/d/1qpEmbGH0JjaJbUdp21-y2cPbobDbMjr09BbtdKROZWc/edit#gid=1444865654"",""articles_with_PRISMA_reasons!W2:W2113""), $A1843=IMPORTRANGE(""https://docs.google.co"&amp;"m/spreadsheets/d/1qpEmbGH0JjaJbUdp21-y2cPbobDbMjr09BbtdKROZWc/edit#gid=1444865654"",""articles_with_PRISMA_reasons!B2:B2113""))&gt;=2,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$A1843=IMPORTRANGE(""https://docs.google.com/spreadsheets/d/1qpEmbGH0JjaJbUdp21-y2cPbobDbMjr09BbtdKROZWc/edit#gid=1444865654"",""articles_with_PRISMA_reasons!B2:B2113""))&lt;2),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$A1843=IMPORTRANGE(""https://docs.google.com/spreadsheets/d/1qpEmbGH0JjaJbUdp21-y2cPbobDbMjr09Bbtd"&amp;"KROZWc/edit#gid=1444865654"",""articles_with_PRISMA_reasons!B2:B2113""))&lt;2,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$A1843=I"&amp;"MPORTRANGE(""https://docs.google.com/spreadsheets/d/1qpEmbGH0JjaJbUdp21-y2cPbobDbMjr09BbtdKROZWc/edit#gid=1444865654"",""articles_with_PRISMA_reasons!B2:B2113""))&gt;=2),
""Exclude""
)"),"Exclude")</f>
        <v>Exclude</v>
      </c>
      <c r="F1843" s="5" t="str">
        <f>IFERROR(__xludf.DUMMYFUNCTION("IFS(
E1843=""Exclude"",""Exclude"",
AND(
COUNTIF(
IMPORTRANGE(""https://docs.google.com/spreadsheets/d/1kGrh75X1cNR1D7_FcY9zMnHP8iPO4M5RCRjy6nZY0TY/edit#gid=0"",""Table 1: Study characteristics!B4:B171""),A1843)&gt;0,
COUNTIF(Studies!$A$2:$A$85,FILTER(IMPORT"&amp;"RANGE(""https://docs.google.com/spreadsheets/d/1kGrh75X1cNR1D7_FcY9zMnHP8iPO4M5RCRjy6nZY0TY/edit#gid=0"",""Table 1: Study characteristics!A4:A171""), $A1843=IMPORTRANGE(""https://docs.google.com/spreadsheets/d/1kGrh75X1cNR1D7_FcY9zMnHP8iPO4M5RCRjy6nZY0TY/"&amp;"edit#gid=0"",""Table 1: Study characteristics!B4:B171"")))&gt;0
),
""Include""
)"),"Exclude")</f>
        <v>Exclude</v>
      </c>
      <c r="G1843" s="5" t="str">
        <f>IFERROR(__xludf.DUMMYFUNCTION("IFS(
D1843=""Exclude"",
FILTER(IMPORTRANGE(""https://docs.google.com/spreadsheets/d/1BJSV3WBYJGRhQ6zExamkszQ5VutGIcaQqmbD9ZTVXMQ/edit#gid=1251630045"",""articles_with_PRISMA_reasons!AB2:AB2113""), $A1843=IMPORTRANGE(""https://docs.google.com/spreadsheets/"&amp;"d/1BJSV3WBYJGRhQ6zExamkszQ5VutGIcaQqmbD9ZTVXMQ/edit#gid=1251630045"",""articles_with_PRISMA_reasons!B2:B2113"")),
E1843=""Exclude"",
FILTER(IMPORTRANGE(""https://docs.google.com/spreadsheets/d/1qpEmbGH0JjaJbUdp21-y2cPbobDbMjr09BbtdKROZWc/edit#gid=14448656"&amp;"54"",""articles_with_PRISMA_reasons!Z2:Z2113""), $A1843=IMPORTRANGE(""https://docs.google.com/spreadsheets/d/1qpEmbGH0JjaJbUdp21-y2cPbobDbMjr09BbtdKROZWc/edit#gid=1444865654"",""articles_with_PRISMA_reasons!B2:B2113"")),F1843
=""Include"",FILTER(IMPORTRAN"&amp;"GE(""https://docs.google.com/spreadsheets/d/1kGrh75X1cNR1D7_FcY9zMnHP8iPO4M5RCRjy6nZY0TY/edit#gid=0"",""Table 1: Study characteristics!A4:A171""), $A1843=IMPORTRANGE(""https://docs.google.com/spreadsheets/d/1kGrh75X1cNR1D7_FcY9zMnHP8iPO4M5RCRjy6nZY0TY/edi"&amp;"t#gid=0"",""Table 1: Study characteristics!B4:B171""))
)"),"wrong population")</f>
        <v>wrong population</v>
      </c>
    </row>
    <row r="1844">
      <c r="A1844" s="4" t="str">
        <f>IFERROR(__xludf.DUMMYFUNCTION("""COMPUTED_VALUE"""),"Tension hydrothorax from intrapleural migration of a ventriculoperitoneal shunt")</f>
        <v>Tension hydrothorax from intrapleural migration of a ventriculoperitoneal shunt</v>
      </c>
      <c r="B1844" s="5" t="str">
        <f>IFERROR(__xludf.DUMMYFUNCTION("LEFT(FILTER(IMPORTRANGE(""https://docs.google.com/spreadsheets/d/1BJSV3WBYJGRhQ6zExamkszQ5VutGIcaQqmbD9ZTVXMQ/edit#gid=1251630045"",""articles_with_PRISMA_reasons!K2:K2113""), $A1844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$A1844=IMPORTRANGE(""https://docs.google.com/spreadsheets/d/1BJSV3WBYJGRhQ6zExamkszQ5VutGIcaQqmbD9ZTVXMQ/edit#gid=1251630045"",""articles_with_PRISMA_reasons!B2:B2113"")))-1)"),"Dickman")</f>
        <v>Dickman</v>
      </c>
      <c r="C1844" s="6">
        <f>IFERROR(__xludf.DUMMYFUNCTION("FILTER(IMPORTRANGE(""https://docs.google.com/spreadsheets/d/1BJSV3WBYJGRhQ6zExamkszQ5VutGIcaQqmbD9ZTVXMQ/edit#gid=1251630045"",""articles_with_PRISMA_reasons!C2:C2113""), $A1844=IMPORTRANGE(""https://docs.google.com/spreadsheets/d/1BJSV3WBYJGRhQ6zExamkszQ"&amp;"5VutGIcaQqmbD9ZTVXMQ/edit#gid=1251630045"",""articles_with_PRISMA_reasons!B2:B2113""))"),1989.0)</f>
        <v>1989</v>
      </c>
      <c r="D1844" s="5" t="str">
        <f>IFERROR(__xludf.DUMMYFUNCTION("IFS(AND(
FILTER(IMPORTRANGE(""https://docs.google.com/spreadsheets/d/1BJSV3WBYJGRhQ6zExamkszQ5VutGIcaQqmbD9ZTVXMQ/edit#gid=1251630045"",""articles_with_PRISMA_reasons!Y2:Y2113""), $A1844=IMPORTRANGE(""https://docs.google.com/spreadsheets/d/1BJSV3WBYJGRhQ6"&amp;"zExamkszQ5VutGIcaQqmbD9ZTVXMQ/edit#gid=1251630045"",""articles_with_PRISMA_reasons!B2:B2113""))&gt;=2,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$A1844=IMPORTRANGE(""https://docs.google.com/spreadsheets/d/1BJSV3WBYJGRhQ6zExamkszQ5VutGIcaQqmbD9ZTVXMQ/edit#gid=1251630045"",""articles_with_PRISMA_reasons!B2:B2113""))&lt;2),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$A1844=IMPORTRANGE(""https://docs.google.com/spreadsheets/d/1BJSV3WBYJGRhQ6zExamkszQ5VutGIcaQqmbD9ZTVXMQ/edit#gid=1251630045"",""a"&amp;"rticles_with_PRISMA_reasons!B2:B2113""))&lt;2,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$A1844=IMPORTRANGE(""https://docs.google"&amp;".com/spreadsheets/d/1BJSV3WBYJGRhQ6zExamkszQ5VutGIcaQqmbD9ZTVXMQ/edit#gid=1251630045"",""articles_with_PRISMA_reasons!B2:B2113""))&gt;=2),
""Exclude""
)"),"Exclude")</f>
        <v>Exclude</v>
      </c>
      <c r="E1844" s="5" t="str">
        <f>IFERROR(__xludf.DUMMYFUNCTION("IFS(
D1844=""Exclude"",""Exclude"",
AND(
FILTER(IMPORTRANGE(""https://docs.google.com/spreadsheets/d/1qpEmbGH0JjaJbUdp21-y2cPbobDbMjr09BbtdKROZWc/edit#gid=1444865654"",""articles_with_PRISMA_reasons!W2:W2113""), $A1844=IMPORTRANGE(""https://docs.google.co"&amp;"m/spreadsheets/d/1qpEmbGH0JjaJbUdp21-y2cPbobDbMjr09BbtdKROZWc/edit#gid=1444865654"",""articles_with_PRISMA_reasons!B2:B2113""))&gt;=2,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$A1844=IMPORTRANGE(""https://docs.google.com/spreadsheets/d/1qpEmbGH0JjaJbUdp21-y2cPbobDbMjr09BbtdKROZWc/edit#gid=1444865654"",""articles_with_PRISMA_reasons!B2:B2113""))&lt;2),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$A1844=IMPORTRANGE(""https://docs.google.com/spreadsheets/d/1qpEmbGH0JjaJbUdp21-y2cPbobDbMjr09Bbtd"&amp;"KROZWc/edit#gid=1444865654"",""articles_with_PRISMA_reasons!B2:B2113""))&lt;2,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$A1844=I"&amp;"MPORTRANGE(""https://docs.google.com/spreadsheets/d/1qpEmbGH0JjaJbUdp21-y2cPbobDbMjr09BbtdKROZWc/edit#gid=1444865654"",""articles_with_PRISMA_reasons!B2:B2113""))&gt;=2),
""Exclude""
)"),"Exclude")</f>
        <v>Exclude</v>
      </c>
      <c r="F1844" s="5" t="str">
        <f>IFERROR(__xludf.DUMMYFUNCTION("IFS(
E1844=""Exclude"",""Exclude"",
AND(
COUNTIF(
IMPORTRANGE(""https://docs.google.com/spreadsheets/d/1kGrh75X1cNR1D7_FcY9zMnHP8iPO4M5RCRjy6nZY0TY/edit#gid=0"",""Table 1: Study characteristics!B4:B171""),A1844)&gt;0,
COUNTIF(Studies!$A$2:$A$85,FILTER(IMPORT"&amp;"RANGE(""https://docs.google.com/spreadsheets/d/1kGrh75X1cNR1D7_FcY9zMnHP8iPO4M5RCRjy6nZY0TY/edit#gid=0"",""Table 1: Study characteristics!A4:A171""), $A1844=IMPORTRANGE(""https://docs.google.com/spreadsheets/d/1kGrh75X1cNR1D7_FcY9zMnHP8iPO4M5RCRjy6nZY0TY/"&amp;"edit#gid=0"",""Table 1: Study characteristics!B4:B171"")))&gt;0
),
""Include""
)"),"Exclude")</f>
        <v>Exclude</v>
      </c>
      <c r="G1844" s="5" t="str">
        <f>IFERROR(__xludf.DUMMYFUNCTION("IFS(
D1844=""Exclude"",
FILTER(IMPORTRANGE(""https://docs.google.com/spreadsheets/d/1BJSV3WBYJGRhQ6zExamkszQ5VutGIcaQqmbD9ZTVXMQ/edit#gid=1251630045"",""articles_with_PRISMA_reasons!AB2:AB2113""), $A1844=IMPORTRANGE(""https://docs.google.com/spreadsheets/"&amp;"d/1BJSV3WBYJGRhQ6zExamkszQ5VutGIcaQqmbD9ZTVXMQ/edit#gid=1251630045"",""articles_with_PRISMA_reasons!B2:B2113"")),
E1844=""Exclude"",
FILTER(IMPORTRANGE(""https://docs.google.com/spreadsheets/d/1qpEmbGH0JjaJbUdp21-y2cPbobDbMjr09BbtdKROZWc/edit#gid=14448656"&amp;"54"",""articles_with_PRISMA_reasons!Z2:Z2113""), $A1844=IMPORTRANGE(""https://docs.google.com/spreadsheets/d/1qpEmbGH0JjaJbUdp21-y2cPbobDbMjr09BbtdKROZWc/edit#gid=1444865654"",""articles_with_PRISMA_reasons!B2:B2113"")),F1844
=""Include"",FILTER(IMPORTRAN"&amp;"GE(""https://docs.google.com/spreadsheets/d/1kGrh75X1cNR1D7_FcY9zMnHP8iPO4M5RCRjy6nZY0TY/edit#gid=0"",""Table 1: Study characteristics!A4:A171""), $A1844=IMPORTRANGE(""https://docs.google.com/spreadsheets/d/1kGrh75X1cNR1D7_FcY9zMnHP8iPO4M5RCRjy6nZY0TY/edi"&amp;"t#gid=0"",""Table 1: Study characteristics!B4:B171""))
)"),"wrong study design")</f>
        <v>wrong study design</v>
      </c>
    </row>
    <row r="1845">
      <c r="A1845" s="4" t="str">
        <f>IFERROR(__xludf.DUMMYFUNCTION("""COMPUTED_VALUE"""),"Teratogen update: Methotrexate")</f>
        <v>Teratogen update: Methotrexate</v>
      </c>
      <c r="B1845" s="5" t="str">
        <f>IFERROR(__xludf.DUMMYFUNCTION("LEFT(FILTER(IMPORTRANGE(""https://docs.google.com/spreadsheets/d/1BJSV3WBYJGRhQ6zExamkszQ5VutGIcaQqmbD9ZTVXMQ/edit#gid=1251630045"",""articles_with_PRISMA_reasons!K2:K2113""), $A1845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$A1845=IMPORTRANGE(""https://docs.google.com/spreadsheets/d/1BJSV3WBYJGRhQ6zExamkszQ5VutGIcaQqmbD9ZTVXMQ/edit#gid=1251630045"",""articles_with_PRISMA_reasons!B2:B2113"")))-1)"),"Hyoun")</f>
        <v>Hyoun</v>
      </c>
      <c r="C1845" s="6">
        <f>IFERROR(__xludf.DUMMYFUNCTION("FILTER(IMPORTRANGE(""https://docs.google.com/spreadsheets/d/1BJSV3WBYJGRhQ6zExamkszQ5VutGIcaQqmbD9ZTVXMQ/edit#gid=1251630045"",""articles_with_PRISMA_reasons!C2:C2113""), $A1845=IMPORTRANGE(""https://docs.google.com/spreadsheets/d/1BJSV3WBYJGRhQ6zExamkszQ"&amp;"5VutGIcaQqmbD9ZTVXMQ/edit#gid=1251630045"",""articles_with_PRISMA_reasons!B2:B2113""))"),2012.0)</f>
        <v>2012</v>
      </c>
      <c r="D1845" s="5" t="str">
        <f>IFERROR(__xludf.DUMMYFUNCTION("IFS(AND(
FILTER(IMPORTRANGE(""https://docs.google.com/spreadsheets/d/1BJSV3WBYJGRhQ6zExamkszQ5VutGIcaQqmbD9ZTVXMQ/edit#gid=1251630045"",""articles_with_PRISMA_reasons!Y2:Y2113""), $A1845=IMPORTRANGE(""https://docs.google.com/spreadsheets/d/1BJSV3WBYJGRhQ6"&amp;"zExamkszQ5VutGIcaQqmbD9ZTVXMQ/edit#gid=1251630045"",""articles_with_PRISMA_reasons!B2:B2113""))&gt;=2,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$A1845=IMPORTRANGE(""https://docs.google.com/spreadsheets/d/1BJSV3WBYJGRhQ6zExamkszQ5VutGIcaQqmbD9ZTVXMQ/edit#gid=1251630045"",""articles_with_PRISMA_reasons!B2:B2113""))&lt;2),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$A1845=IMPORTRANGE(""https://docs.google.com/spreadsheets/d/1BJSV3WBYJGRhQ6zExamkszQ5VutGIcaQqmbD9ZTVXMQ/edit#gid=1251630045"",""a"&amp;"rticles_with_PRISMA_reasons!B2:B2113""))&lt;2,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$A1845=IMPORTRANGE(""https://docs.google"&amp;".com/spreadsheets/d/1BJSV3WBYJGRhQ6zExamkszQ5VutGIcaQqmbD9ZTVXMQ/edit#gid=1251630045"",""articles_with_PRISMA_reasons!B2:B2113""))&gt;=2),
""Exclude""
)"),"Exclude")</f>
        <v>Exclude</v>
      </c>
      <c r="E1845" s="5" t="str">
        <f>IFERROR(__xludf.DUMMYFUNCTION("IFS(
D1845=""Exclude"",""Exclude"",
AND(
FILTER(IMPORTRANGE(""https://docs.google.com/spreadsheets/d/1qpEmbGH0JjaJbUdp21-y2cPbobDbMjr09BbtdKROZWc/edit#gid=1444865654"",""articles_with_PRISMA_reasons!W2:W2113""), $A1845=IMPORTRANGE(""https://docs.google.co"&amp;"m/spreadsheets/d/1qpEmbGH0JjaJbUdp21-y2cPbobDbMjr09BbtdKROZWc/edit#gid=1444865654"",""articles_with_PRISMA_reasons!B2:B2113""))&gt;=2,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$A1845=IMPORTRANGE(""https://docs.google.com/spreadsheets/d/1qpEmbGH0JjaJbUdp21-y2cPbobDbMjr09BbtdKROZWc/edit#gid=1444865654"",""articles_with_PRISMA_reasons!B2:B2113""))&lt;2),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$A1845=IMPORTRANGE(""https://docs.google.com/spreadsheets/d/1qpEmbGH0JjaJbUdp21-y2cPbobDbMjr09Bbtd"&amp;"KROZWc/edit#gid=1444865654"",""articles_with_PRISMA_reasons!B2:B2113""))&lt;2,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$A1845=I"&amp;"MPORTRANGE(""https://docs.google.com/spreadsheets/d/1qpEmbGH0JjaJbUdp21-y2cPbobDbMjr09BbtdKROZWc/edit#gid=1444865654"",""articles_with_PRISMA_reasons!B2:B2113""))&gt;=2),
""Exclude""
)"),"Exclude")</f>
        <v>Exclude</v>
      </c>
      <c r="F1845" s="5" t="str">
        <f>IFERROR(__xludf.DUMMYFUNCTION("IFS(
E1845=""Exclude"",""Exclude"",
AND(
COUNTIF(
IMPORTRANGE(""https://docs.google.com/spreadsheets/d/1kGrh75X1cNR1D7_FcY9zMnHP8iPO4M5RCRjy6nZY0TY/edit#gid=0"",""Table 1: Study characteristics!B4:B171""),A1845)&gt;0,
COUNTIF(Studies!$A$2:$A$85,FILTER(IMPORT"&amp;"RANGE(""https://docs.google.com/spreadsheets/d/1kGrh75X1cNR1D7_FcY9zMnHP8iPO4M5RCRjy6nZY0TY/edit#gid=0"",""Table 1: Study characteristics!A4:A171""), $A1845=IMPORTRANGE(""https://docs.google.com/spreadsheets/d/1kGrh75X1cNR1D7_FcY9zMnHP8iPO4M5RCRjy6nZY0TY/"&amp;"edit#gid=0"",""Table 1: Study characteristics!B4:B171"")))&gt;0
),
""Include""
)"),"Exclude")</f>
        <v>Exclude</v>
      </c>
      <c r="G1845" s="5" t="str">
        <f>IFERROR(__xludf.DUMMYFUNCTION("IFS(
D1845=""Exclude"",
FILTER(IMPORTRANGE(""https://docs.google.com/spreadsheets/d/1BJSV3WBYJGRhQ6zExamkszQ5VutGIcaQqmbD9ZTVXMQ/edit#gid=1251630045"",""articles_with_PRISMA_reasons!AB2:AB2113""), $A1845=IMPORTRANGE(""https://docs.google.com/spreadsheets/"&amp;"d/1BJSV3WBYJGRhQ6zExamkszQ5VutGIcaQqmbD9ZTVXMQ/edit#gid=1251630045"",""articles_with_PRISMA_reasons!B2:B2113"")),
E1845=""Exclude"",
FILTER(IMPORTRANGE(""https://docs.google.com/spreadsheets/d/1qpEmbGH0JjaJbUdp21-y2cPbobDbMjr09BbtdKROZWc/edit#gid=14448656"&amp;"54"",""articles_with_PRISMA_reasons!Z2:Z2113""), $A1845=IMPORTRANGE(""https://docs.google.com/spreadsheets/d/1qpEmbGH0JjaJbUdp21-y2cPbobDbMjr09BbtdKROZWc/edit#gid=1444865654"",""articles_with_PRISMA_reasons!B2:B2113"")),F1845
=""Include"",FILTER(IMPORTRAN"&amp;"GE(""https://docs.google.com/spreadsheets/d/1kGrh75X1cNR1D7_FcY9zMnHP8iPO4M5RCRjy6nZY0TY/edit#gid=0"",""Table 1: Study characteristics!A4:A171""), $A1845=IMPORTRANGE(""https://docs.google.com/spreadsheets/d/1kGrh75X1cNR1D7_FcY9zMnHP8iPO4M5RCRjy6nZY0TY/edi"&amp;"t#gid=0"",""Table 1: Study characteristics!B4:B171""))
)"),"wrong study design")</f>
        <v>wrong study design</v>
      </c>
    </row>
    <row r="1846">
      <c r="A1846" s="4" t="str">
        <f>IFERROR(__xludf.DUMMYFUNCTION("""COMPUTED_VALUE"""),"Teratogenic exposures")</f>
        <v>Teratogenic exposures</v>
      </c>
      <c r="B1846" s="5" t="str">
        <f>IFERROR(__xludf.DUMMYFUNCTION("LEFT(FILTER(IMPORTRANGE(""https://docs.google.com/spreadsheets/d/1BJSV3WBYJGRhQ6zExamkszQ5VutGIcaQqmbD9ZTVXMQ/edit#gid=1251630045"",""articles_with_PRISMA_reasons!K2:K2113""), $A1846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$A1846=IMPORTRANGE(""https://docs.google.com/spreadsheets/d/1BJSV3WBYJGRhQ6zExamkszQ5VutGIcaQqmbD9ZTVXMQ/edit#gid=1251630045"",""articles_with_PRISMA_reasons!B2:B2113"")))-1)"),"Obican")</f>
        <v>Obican</v>
      </c>
      <c r="C1846" s="6">
        <f>IFERROR(__xludf.DUMMYFUNCTION("FILTER(IMPORTRANGE(""https://docs.google.com/spreadsheets/d/1BJSV3WBYJGRhQ6zExamkszQ5VutGIcaQqmbD9ZTVXMQ/edit#gid=1251630045"",""articles_with_PRISMA_reasons!C2:C2113""), $A1846=IMPORTRANGE(""https://docs.google.com/spreadsheets/d/1BJSV3WBYJGRhQ6zExamkszQ"&amp;"5VutGIcaQqmbD9ZTVXMQ/edit#gid=1251630045"",""articles_with_PRISMA_reasons!B2:B2113""))"),2011.0)</f>
        <v>2011</v>
      </c>
      <c r="D1846" s="5" t="str">
        <f>IFERROR(__xludf.DUMMYFUNCTION("IFS(AND(
FILTER(IMPORTRANGE(""https://docs.google.com/spreadsheets/d/1BJSV3WBYJGRhQ6zExamkszQ5VutGIcaQqmbD9ZTVXMQ/edit#gid=1251630045"",""articles_with_PRISMA_reasons!Y2:Y2113""), $A1846=IMPORTRANGE(""https://docs.google.com/spreadsheets/d/1BJSV3WBYJGRhQ6"&amp;"zExamkszQ5VutGIcaQqmbD9ZTVXMQ/edit#gid=1251630045"",""articles_with_PRISMA_reasons!B2:B2113""))&gt;=2,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$A1846=IMPORTRANGE(""https://docs.google.com/spreadsheets/d/1BJSV3WBYJGRhQ6zExamkszQ5VutGIcaQqmbD9ZTVXMQ/edit#gid=1251630045"",""articles_with_PRISMA_reasons!B2:B2113""))&lt;2),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$A1846=IMPORTRANGE(""https://docs.google.com/spreadsheets/d/1BJSV3WBYJGRhQ6zExamkszQ5VutGIcaQqmbD9ZTVXMQ/edit#gid=1251630045"",""a"&amp;"rticles_with_PRISMA_reasons!B2:B2113""))&lt;2,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$A1846=IMPORTRANGE(""https://docs.google"&amp;".com/spreadsheets/d/1BJSV3WBYJGRhQ6zExamkszQ5VutGIcaQqmbD9ZTVXMQ/edit#gid=1251630045"",""articles_with_PRISMA_reasons!B2:B2113""))&gt;=2),
""Exclude""
)"),"Exclude")</f>
        <v>Exclude</v>
      </c>
      <c r="E1846" s="5" t="str">
        <f>IFERROR(__xludf.DUMMYFUNCTION("IFS(
D1846=""Exclude"",""Exclude"",
AND(
FILTER(IMPORTRANGE(""https://docs.google.com/spreadsheets/d/1qpEmbGH0JjaJbUdp21-y2cPbobDbMjr09BbtdKROZWc/edit#gid=1444865654"",""articles_with_PRISMA_reasons!W2:W2113""), $A1846=IMPORTRANGE(""https://docs.google.co"&amp;"m/spreadsheets/d/1qpEmbGH0JjaJbUdp21-y2cPbobDbMjr09BbtdKROZWc/edit#gid=1444865654"",""articles_with_PRISMA_reasons!B2:B2113""))&gt;=2,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$A1846=IMPORTRANGE(""https://docs.google.com/spreadsheets/d/1qpEmbGH0JjaJbUdp21-y2cPbobDbMjr09BbtdKROZWc/edit#gid=1444865654"",""articles_with_PRISMA_reasons!B2:B2113""))&lt;2),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$A1846=IMPORTRANGE(""https://docs.google.com/spreadsheets/d/1qpEmbGH0JjaJbUdp21-y2cPbobDbMjr09Bbtd"&amp;"KROZWc/edit#gid=1444865654"",""articles_with_PRISMA_reasons!B2:B2113""))&lt;2,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$A1846=I"&amp;"MPORTRANGE(""https://docs.google.com/spreadsheets/d/1qpEmbGH0JjaJbUdp21-y2cPbobDbMjr09BbtdKROZWc/edit#gid=1444865654"",""articles_with_PRISMA_reasons!B2:B2113""))&gt;=2),
""Exclude""
)"),"Exclude")</f>
        <v>Exclude</v>
      </c>
      <c r="F1846" s="5" t="str">
        <f>IFERROR(__xludf.DUMMYFUNCTION("IFS(
E1846=""Exclude"",""Exclude"",
AND(
COUNTIF(
IMPORTRANGE(""https://docs.google.com/spreadsheets/d/1kGrh75X1cNR1D7_FcY9zMnHP8iPO4M5RCRjy6nZY0TY/edit#gid=0"",""Table 1: Study characteristics!B4:B171""),A1846)&gt;0,
COUNTIF(Studies!$A$2:$A$85,FILTER(IMPORT"&amp;"RANGE(""https://docs.google.com/spreadsheets/d/1kGrh75X1cNR1D7_FcY9zMnHP8iPO4M5RCRjy6nZY0TY/edit#gid=0"",""Table 1: Study characteristics!A4:A171""), $A1846=IMPORTRANGE(""https://docs.google.com/spreadsheets/d/1kGrh75X1cNR1D7_FcY9zMnHP8iPO4M5RCRjy6nZY0TY/"&amp;"edit#gid=0"",""Table 1: Study characteristics!B4:B171"")))&gt;0
),
""Include""
)"),"Exclude")</f>
        <v>Exclude</v>
      </c>
      <c r="G1846" s="5" t="str">
        <f>IFERROR(__xludf.DUMMYFUNCTION("IFS(
D1846=""Exclude"",
FILTER(IMPORTRANGE(""https://docs.google.com/spreadsheets/d/1BJSV3WBYJGRhQ6zExamkszQ5VutGIcaQqmbD9ZTVXMQ/edit#gid=1251630045"",""articles_with_PRISMA_reasons!AB2:AB2113""), $A1846=IMPORTRANGE(""https://docs.google.com/spreadsheets/"&amp;"d/1BJSV3WBYJGRhQ6zExamkszQ5VutGIcaQqmbD9ZTVXMQ/edit#gid=1251630045"",""articles_with_PRISMA_reasons!B2:B2113"")),
E1846=""Exclude"",
FILTER(IMPORTRANGE(""https://docs.google.com/spreadsheets/d/1qpEmbGH0JjaJbUdp21-y2cPbobDbMjr09BbtdKROZWc/edit#gid=14448656"&amp;"54"",""articles_with_PRISMA_reasons!Z2:Z2113""), $A1846=IMPORTRANGE(""https://docs.google.com/spreadsheets/d/1qpEmbGH0JjaJbUdp21-y2cPbobDbMjr09BbtdKROZWc/edit#gid=1444865654"",""articles_with_PRISMA_reasons!B2:B2113"")),F1846
=""Include"",FILTER(IMPORTRAN"&amp;"GE(""https://docs.google.com/spreadsheets/d/1kGrh75X1cNR1D7_FcY9zMnHP8iPO4M5RCRjy6nZY0TY/edit#gid=0"",""Table 1: Study characteristics!A4:A171""), $A1846=IMPORTRANGE(""https://docs.google.com/spreadsheets/d/1kGrh75X1cNR1D7_FcY9zMnHP8iPO4M5RCRjy6nZY0TY/edi"&amp;"t#gid=0"",""Table 1: Study characteristics!B4:B171""))
)"),"background article")</f>
        <v>background article</v>
      </c>
    </row>
    <row r="1847">
      <c r="A1847" s="4" t="str">
        <f>IFERROR(__xludf.DUMMYFUNCTION("""COMPUTED_VALUE"""),"Teratogenicity risk of antiretroviral therapy in pregnancy")</f>
        <v>Teratogenicity risk of antiretroviral therapy in pregnancy</v>
      </c>
      <c r="B1847" s="5" t="str">
        <f>IFERROR(__xludf.DUMMYFUNCTION("LEFT(FILTER(IMPORTRANGE(""https://docs.google.com/spreadsheets/d/1BJSV3WBYJGRhQ6zExamkszQ5VutGIcaQqmbD9ZTVXMQ/edit#gid=1251630045"",""articles_with_PRISMA_reasons!K2:K2113""), $A1847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$A1847=IMPORTRANGE(""https://docs.google.com/spreadsheets/d/1BJSV3WBYJGRhQ6zExamkszQ5VutGIcaQqmbD9ZTVXMQ/edit#gid=1251630045"",""articles_with_PRISMA_reasons!B2:B2113"")))-1)"),"Watts")</f>
        <v>Watts</v>
      </c>
      <c r="C1847" s="6">
        <f>IFERROR(__xludf.DUMMYFUNCTION("FILTER(IMPORTRANGE(""https://docs.google.com/spreadsheets/d/1BJSV3WBYJGRhQ6zExamkszQ5VutGIcaQqmbD9ZTVXMQ/edit#gid=1251630045"",""articles_with_PRISMA_reasons!C2:C2113""), $A1847=IMPORTRANGE(""https://docs.google.com/spreadsheets/d/1BJSV3WBYJGRhQ6zExamkszQ"&amp;"5VutGIcaQqmbD9ZTVXMQ/edit#gid=1251630045"",""articles_with_PRISMA_reasons!B2:B2113""))"),2007.0)</f>
        <v>2007</v>
      </c>
      <c r="D1847" s="5" t="str">
        <f>IFERROR(__xludf.DUMMYFUNCTION("IFS(AND(
FILTER(IMPORTRANGE(""https://docs.google.com/spreadsheets/d/1BJSV3WBYJGRhQ6zExamkszQ5VutGIcaQqmbD9ZTVXMQ/edit#gid=1251630045"",""articles_with_PRISMA_reasons!Y2:Y2113""), $A1847=IMPORTRANGE(""https://docs.google.com/spreadsheets/d/1BJSV3WBYJGRhQ6"&amp;"zExamkszQ5VutGIcaQqmbD9ZTVXMQ/edit#gid=1251630045"",""articles_with_PRISMA_reasons!B2:B2113""))&gt;=2,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$A1847=IMPORTRANGE(""https://docs.google.com/spreadsheets/d/1BJSV3WBYJGRhQ6zExamkszQ5VutGIcaQqmbD9ZTVXMQ/edit#gid=1251630045"",""articles_with_PRISMA_reasons!B2:B2113""))&lt;2),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$A1847=IMPORTRANGE(""https://docs.google.com/spreadsheets/d/1BJSV3WBYJGRhQ6zExamkszQ5VutGIcaQqmbD9ZTVXMQ/edit#gid=1251630045"",""a"&amp;"rticles_with_PRISMA_reasons!B2:B2113""))&lt;2,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$A1847=IMPORTRANGE(""https://docs.google"&amp;".com/spreadsheets/d/1BJSV3WBYJGRhQ6zExamkszQ5VutGIcaQqmbD9ZTVXMQ/edit#gid=1251630045"",""articles_with_PRISMA_reasons!B2:B2113""))&gt;=2),
""Exclude""
)"),"Exclude")</f>
        <v>Exclude</v>
      </c>
      <c r="E1847" s="5" t="str">
        <f>IFERROR(__xludf.DUMMYFUNCTION("IFS(
D1847=""Exclude"",""Exclude"",
AND(
FILTER(IMPORTRANGE(""https://docs.google.com/spreadsheets/d/1qpEmbGH0JjaJbUdp21-y2cPbobDbMjr09BbtdKROZWc/edit#gid=1444865654"",""articles_with_PRISMA_reasons!W2:W2113""), $A1847=IMPORTRANGE(""https://docs.google.co"&amp;"m/spreadsheets/d/1qpEmbGH0JjaJbUdp21-y2cPbobDbMjr09BbtdKROZWc/edit#gid=1444865654"",""articles_with_PRISMA_reasons!B2:B2113""))&gt;=2,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$A1847=IMPORTRANGE(""https://docs.google.com/spreadsheets/d/1qpEmbGH0JjaJbUdp21-y2cPbobDbMjr09BbtdKROZWc/edit#gid=1444865654"",""articles_with_PRISMA_reasons!B2:B2113""))&lt;2),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$A1847=IMPORTRANGE(""https://docs.google.com/spreadsheets/d/1qpEmbGH0JjaJbUdp21-y2cPbobDbMjr09Bbtd"&amp;"KROZWc/edit#gid=1444865654"",""articles_with_PRISMA_reasons!B2:B2113""))&lt;2,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$A1847=I"&amp;"MPORTRANGE(""https://docs.google.com/spreadsheets/d/1qpEmbGH0JjaJbUdp21-y2cPbobDbMjr09BbtdKROZWc/edit#gid=1444865654"",""articles_with_PRISMA_reasons!B2:B2113""))&gt;=2),
""Exclude""
)"),"Exclude")</f>
        <v>Exclude</v>
      </c>
      <c r="F1847" s="5" t="str">
        <f>IFERROR(__xludf.DUMMYFUNCTION("IFS(
E1847=""Exclude"",""Exclude"",
AND(
COUNTIF(
IMPORTRANGE(""https://docs.google.com/spreadsheets/d/1kGrh75X1cNR1D7_FcY9zMnHP8iPO4M5RCRjy6nZY0TY/edit#gid=0"",""Table 1: Study characteristics!B4:B171""),A1847)&gt;0,
COUNTIF(Studies!$A$2:$A$85,FILTER(IMPORT"&amp;"RANGE(""https://docs.google.com/spreadsheets/d/1kGrh75X1cNR1D7_FcY9zMnHP8iPO4M5RCRjy6nZY0TY/edit#gid=0"",""Table 1: Study characteristics!A4:A171""), $A1847=IMPORTRANGE(""https://docs.google.com/spreadsheets/d/1kGrh75X1cNR1D7_FcY9zMnHP8iPO4M5RCRjy6nZY0TY/"&amp;"edit#gid=0"",""Table 1: Study characteristics!B4:B171"")))&gt;0
),
""Include""
)"),"Exclude")</f>
        <v>Exclude</v>
      </c>
      <c r="G1847" s="5" t="str">
        <f>IFERROR(__xludf.DUMMYFUNCTION("IFS(
D1847=""Exclude"",
FILTER(IMPORTRANGE(""https://docs.google.com/spreadsheets/d/1BJSV3WBYJGRhQ6zExamkszQ5VutGIcaQqmbD9ZTVXMQ/edit#gid=1251630045"",""articles_with_PRISMA_reasons!AB2:AB2113""), $A1847=IMPORTRANGE(""https://docs.google.com/spreadsheets/"&amp;"d/1BJSV3WBYJGRhQ6zExamkszQ5VutGIcaQqmbD9ZTVXMQ/edit#gid=1251630045"",""articles_with_PRISMA_reasons!B2:B2113"")),
E1847=""Exclude"",
FILTER(IMPORTRANGE(""https://docs.google.com/spreadsheets/d/1qpEmbGH0JjaJbUdp21-y2cPbobDbMjr09BbtdKROZWc/edit#gid=14448656"&amp;"54"",""articles_with_PRISMA_reasons!Z2:Z2113""), $A1847=IMPORTRANGE(""https://docs.google.com/spreadsheets/d/1qpEmbGH0JjaJbUdp21-y2cPbobDbMjr09BbtdKROZWc/edit#gid=1444865654"",""articles_with_PRISMA_reasons!B2:B2113"")),F1847
=""Include"",FILTER(IMPORTRAN"&amp;"GE(""https://docs.google.com/spreadsheets/d/1kGrh75X1cNR1D7_FcY9zMnHP8iPO4M5RCRjy6nZY0TY/edit#gid=0"",""Table 1: Study characteristics!A4:A171""), $A1847=IMPORTRANGE(""https://docs.google.com/spreadsheets/d/1kGrh75X1cNR1D7_FcY9zMnHP8iPO4M5RCRjy6nZY0TY/edi"&amp;"t#gid=0"",""Table 1: Study characteristics!B4:B171""))
)"),"wrong study design")</f>
        <v>wrong study design</v>
      </c>
    </row>
    <row r="1848">
      <c r="A1848" s="4" t="str">
        <f>IFERROR(__xludf.DUMMYFUNCTION("""COMPUTED_VALUE"""),"Teratology: Principles and practice")</f>
        <v>Teratology: Principles and practice</v>
      </c>
      <c r="B1848" s="5" t="str">
        <f>IFERROR(__xludf.DUMMYFUNCTION("LEFT(FILTER(IMPORTRANGE(""https://docs.google.com/spreadsheets/d/1BJSV3WBYJGRhQ6zExamkszQ5VutGIcaQqmbD9ZTVXMQ/edit#gid=1251630045"",""articles_with_PRISMA_reasons!K2:K2113""), $A1848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$A1848=IMPORTRANGE(""https://docs.google.com/spreadsheets/d/1BJSV3WBYJGRhQ6zExamkszQ5VutGIcaQqmbD9ZTVXMQ/edit#gid=1251630045"",""articles_with_PRISMA_reasons!B2:B2113"")))-1)"),"Dicke")</f>
        <v>Dicke</v>
      </c>
      <c r="C1848" s="6">
        <f>IFERROR(__xludf.DUMMYFUNCTION("FILTER(IMPORTRANGE(""https://docs.google.com/spreadsheets/d/1BJSV3WBYJGRhQ6zExamkszQ5VutGIcaQqmbD9ZTVXMQ/edit#gid=1251630045"",""articles_with_PRISMA_reasons!C2:C2113""), $A1848=IMPORTRANGE(""https://docs.google.com/spreadsheets/d/1BJSV3WBYJGRhQ6zExamkszQ"&amp;"5VutGIcaQqmbD9ZTVXMQ/edit#gid=1251630045"",""articles_with_PRISMA_reasons!B2:B2113""))"),1989.0)</f>
        <v>1989</v>
      </c>
      <c r="D1848" s="5" t="str">
        <f>IFERROR(__xludf.DUMMYFUNCTION("IFS(AND(
FILTER(IMPORTRANGE(""https://docs.google.com/spreadsheets/d/1BJSV3WBYJGRhQ6zExamkszQ5VutGIcaQqmbD9ZTVXMQ/edit#gid=1251630045"",""articles_with_PRISMA_reasons!Y2:Y2113""), $A1848=IMPORTRANGE(""https://docs.google.com/spreadsheets/d/1BJSV3WBYJGRhQ6"&amp;"zExamkszQ5VutGIcaQqmbD9ZTVXMQ/edit#gid=1251630045"",""articles_with_PRISMA_reasons!B2:B2113""))&gt;=2,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$A1848=IMPORTRANGE(""https://docs.google.com/spreadsheets/d/1BJSV3WBYJGRhQ6zExamkszQ5VutGIcaQqmbD9ZTVXMQ/edit#gid=1251630045"",""articles_with_PRISMA_reasons!B2:B2113""))&lt;2),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$A1848=IMPORTRANGE(""https://docs.google.com/spreadsheets/d/1BJSV3WBYJGRhQ6zExamkszQ5VutGIcaQqmbD9ZTVXMQ/edit#gid=1251630045"",""a"&amp;"rticles_with_PRISMA_reasons!B2:B2113""))&lt;2,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$A1848=IMPORTRANGE(""https://docs.google"&amp;".com/spreadsheets/d/1BJSV3WBYJGRhQ6zExamkszQ5VutGIcaQqmbD9ZTVXMQ/edit#gid=1251630045"",""articles_with_PRISMA_reasons!B2:B2113""))&gt;=2),
""Exclude""
)"),"Exclude")</f>
        <v>Exclude</v>
      </c>
      <c r="E1848" s="5" t="str">
        <f>IFERROR(__xludf.DUMMYFUNCTION("IFS(
D1848=""Exclude"",""Exclude"",
AND(
FILTER(IMPORTRANGE(""https://docs.google.com/spreadsheets/d/1qpEmbGH0JjaJbUdp21-y2cPbobDbMjr09BbtdKROZWc/edit#gid=1444865654"",""articles_with_PRISMA_reasons!W2:W2113""), $A1848=IMPORTRANGE(""https://docs.google.co"&amp;"m/spreadsheets/d/1qpEmbGH0JjaJbUdp21-y2cPbobDbMjr09BbtdKROZWc/edit#gid=1444865654"",""articles_with_PRISMA_reasons!B2:B2113""))&gt;=2,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$A1848=IMPORTRANGE(""https://docs.google.com/spreadsheets/d/1qpEmbGH0JjaJbUdp21-y2cPbobDbMjr09BbtdKROZWc/edit#gid=1444865654"",""articles_with_PRISMA_reasons!B2:B2113""))&lt;2),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$A1848=IMPORTRANGE(""https://docs.google.com/spreadsheets/d/1qpEmbGH0JjaJbUdp21-y2cPbobDbMjr09Bbtd"&amp;"KROZWc/edit#gid=1444865654"",""articles_with_PRISMA_reasons!B2:B2113""))&lt;2,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$A1848=I"&amp;"MPORTRANGE(""https://docs.google.com/spreadsheets/d/1qpEmbGH0JjaJbUdp21-y2cPbobDbMjr09BbtdKROZWc/edit#gid=1444865654"",""articles_with_PRISMA_reasons!B2:B2113""))&gt;=2),
""Exclude""
)"),"Exclude")</f>
        <v>Exclude</v>
      </c>
      <c r="F1848" s="5" t="str">
        <f>IFERROR(__xludf.DUMMYFUNCTION("IFS(
E1848=""Exclude"",""Exclude"",
AND(
COUNTIF(
IMPORTRANGE(""https://docs.google.com/spreadsheets/d/1kGrh75X1cNR1D7_FcY9zMnHP8iPO4M5RCRjy6nZY0TY/edit#gid=0"",""Table 1: Study characteristics!B4:B171""),A1848)&gt;0,
COUNTIF(Studies!$A$2:$A$85,FILTER(IMPORT"&amp;"RANGE(""https://docs.google.com/spreadsheets/d/1kGrh75X1cNR1D7_FcY9zMnHP8iPO4M5RCRjy6nZY0TY/edit#gid=0"",""Table 1: Study characteristics!A4:A171""), $A1848=IMPORTRANGE(""https://docs.google.com/spreadsheets/d/1kGrh75X1cNR1D7_FcY9zMnHP8iPO4M5RCRjy6nZY0TY/"&amp;"edit#gid=0"",""Table 1: Study characteristics!B4:B171"")))&gt;0
),
""Include""
)"),"Exclude")</f>
        <v>Exclude</v>
      </c>
      <c r="G1848" s="5" t="str">
        <f>IFERROR(__xludf.DUMMYFUNCTION("IFS(
D1848=""Exclude"",
FILTER(IMPORTRANGE(""https://docs.google.com/spreadsheets/d/1BJSV3WBYJGRhQ6zExamkszQ5VutGIcaQqmbD9ZTVXMQ/edit#gid=1251630045"",""articles_with_PRISMA_reasons!AB2:AB2113""), $A1848=IMPORTRANGE(""https://docs.google.com/spreadsheets/"&amp;"d/1BJSV3WBYJGRhQ6zExamkszQ5VutGIcaQqmbD9ZTVXMQ/edit#gid=1251630045"",""articles_with_PRISMA_reasons!B2:B2113"")),
E1848=""Exclude"",
FILTER(IMPORTRANGE(""https://docs.google.com/spreadsheets/d/1qpEmbGH0JjaJbUdp21-y2cPbobDbMjr09BbtdKROZWc/edit#gid=14448656"&amp;"54"",""articles_with_PRISMA_reasons!Z2:Z2113""), $A1848=IMPORTRANGE(""https://docs.google.com/spreadsheets/d/1qpEmbGH0JjaJbUdp21-y2cPbobDbMjr09BbtdKROZWc/edit#gid=1444865654"",""articles_with_PRISMA_reasons!B2:B2113"")),F1848
=""Include"",FILTER(IMPORTRAN"&amp;"GE(""https://docs.google.com/spreadsheets/d/1kGrh75X1cNR1D7_FcY9zMnHP8iPO4M5RCRjy6nZY0TY/edit#gid=0"",""Table 1: Study characteristics!A4:A171""), $A1848=IMPORTRANGE(""https://docs.google.com/spreadsheets/d/1kGrh75X1cNR1D7_FcY9zMnHP8iPO4M5RCRjy6nZY0TY/edi"&amp;"t#gid=0"",""Table 1: Study characteristics!B4:B171""))
)"),"background article")</f>
        <v>background article</v>
      </c>
    </row>
    <row r="1849">
      <c r="A1849" s="4" t="str">
        <f>IFERROR(__xludf.DUMMYFUNCTION("""COMPUTED_VALUE"""),"Teratoma inside a myelomeningocele")</f>
        <v>Teratoma inside a myelomeningocele</v>
      </c>
      <c r="B1849" s="2" t="s">
        <v>43</v>
      </c>
      <c r="C1849" s="6">
        <f>IFERROR(__xludf.DUMMYFUNCTION("FILTER(IMPORTRANGE(""https://docs.google.com/spreadsheets/d/1BJSV3WBYJGRhQ6zExamkszQ5VutGIcaQqmbD9ZTVXMQ/edit#gid=1251630045"",""articles_with_PRISMA_reasons!C2:C2113""), $A1849=IMPORTRANGE(""https://docs.google.com/spreadsheets/d/1BJSV3WBYJGRhQ6zExamkszQ"&amp;"5VutGIcaQqmbD9ZTVXMQ/edit#gid=1251630045"",""articles_with_PRISMA_reasons!B2:B2113""))"),2007.0)</f>
        <v>2007</v>
      </c>
      <c r="D1849" s="5" t="str">
        <f>IFERROR(__xludf.DUMMYFUNCTION("IFS(AND(
FILTER(IMPORTRANGE(""https://docs.google.com/spreadsheets/d/1BJSV3WBYJGRhQ6zExamkszQ5VutGIcaQqmbD9ZTVXMQ/edit#gid=1251630045"",""articles_with_PRISMA_reasons!Y2:Y2113""), $A1849=IMPORTRANGE(""https://docs.google.com/spreadsheets/d/1BJSV3WBYJGRhQ6"&amp;"zExamkszQ5VutGIcaQqmbD9ZTVXMQ/edit#gid=1251630045"",""articles_with_PRISMA_reasons!B2:B2113""))&gt;=2,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$A1849=IMPORTRANGE(""https://docs.google.com/spreadsheets/d/1BJSV3WBYJGRhQ6zExamkszQ5VutGIcaQqmbD9ZTVXMQ/edit#gid=1251630045"",""articles_with_PRISMA_reasons!B2:B2113""))&lt;2),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$A1849=IMPORTRANGE(""https://docs.google.com/spreadsheets/d/1BJSV3WBYJGRhQ6zExamkszQ5VutGIcaQqmbD9ZTVXMQ/edit#gid=1251630045"",""a"&amp;"rticles_with_PRISMA_reasons!B2:B2113""))&lt;2,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$A1849=IMPORTRANGE(""https://docs.google"&amp;".com/spreadsheets/d/1BJSV3WBYJGRhQ6zExamkszQ5VutGIcaQqmbD9ZTVXMQ/edit#gid=1251630045"",""articles_with_PRISMA_reasons!B2:B2113""))&gt;=2),
""Exclude""
)"),"Exclude")</f>
        <v>Exclude</v>
      </c>
      <c r="E1849" s="5" t="str">
        <f>IFERROR(__xludf.DUMMYFUNCTION("IFS(
D1849=""Exclude"",""Exclude"",
AND(
FILTER(IMPORTRANGE(""https://docs.google.com/spreadsheets/d/1qpEmbGH0JjaJbUdp21-y2cPbobDbMjr09BbtdKROZWc/edit#gid=1444865654"",""articles_with_PRISMA_reasons!W2:W2113""), $A1849=IMPORTRANGE(""https://docs.google.co"&amp;"m/spreadsheets/d/1qpEmbGH0JjaJbUdp21-y2cPbobDbMjr09BbtdKROZWc/edit#gid=1444865654"",""articles_with_PRISMA_reasons!B2:B2113""))&gt;=2,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$A1849=IMPORTRANGE(""https://docs.google.com/spreadsheets/d/1qpEmbGH0JjaJbUdp21-y2cPbobDbMjr09BbtdKROZWc/edit#gid=1444865654"",""articles_with_PRISMA_reasons!B2:B2113""))&lt;2),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$A1849=IMPORTRANGE(""https://docs.google.com/spreadsheets/d/1qpEmbGH0JjaJbUdp21-y2cPbobDbMjr09Bbtd"&amp;"KROZWc/edit#gid=1444865654"",""articles_with_PRISMA_reasons!B2:B2113""))&lt;2,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$A1849=I"&amp;"MPORTRANGE(""https://docs.google.com/spreadsheets/d/1qpEmbGH0JjaJbUdp21-y2cPbobDbMjr09BbtdKROZWc/edit#gid=1444865654"",""articles_with_PRISMA_reasons!B2:B2113""))&gt;=2),
""Exclude""
)"),"Exclude")</f>
        <v>Exclude</v>
      </c>
      <c r="F1849" s="5" t="str">
        <f>IFERROR(__xludf.DUMMYFUNCTION("IFS(
E1849=""Exclude"",""Exclude"",
AND(
COUNTIF(
IMPORTRANGE(""https://docs.google.com/spreadsheets/d/1kGrh75X1cNR1D7_FcY9zMnHP8iPO4M5RCRjy6nZY0TY/edit#gid=0"",""Table 1: Study characteristics!B4:B171""),A1849)&gt;0,
COUNTIF(Studies!$A$2:$A$85,FILTER(IMPORT"&amp;"RANGE(""https://docs.google.com/spreadsheets/d/1kGrh75X1cNR1D7_FcY9zMnHP8iPO4M5RCRjy6nZY0TY/edit#gid=0"",""Table 1: Study characteristics!A4:A171""), $A1849=IMPORTRANGE(""https://docs.google.com/spreadsheets/d/1kGrh75X1cNR1D7_FcY9zMnHP8iPO4M5RCRjy6nZY0TY/"&amp;"edit#gid=0"",""Table 1: Study characteristics!B4:B171"")))&gt;0
),
""Include""
)"),"Exclude")</f>
        <v>Exclude</v>
      </c>
      <c r="G1849" s="5" t="str">
        <f>IFERROR(__xludf.DUMMYFUNCTION("IFS(
D1849=""Exclude"",
FILTER(IMPORTRANGE(""https://docs.google.com/spreadsheets/d/1BJSV3WBYJGRhQ6zExamkszQ5VutGIcaQqmbD9ZTVXMQ/edit#gid=1251630045"",""articles_with_PRISMA_reasons!AB2:AB2113""), $A1849=IMPORTRANGE(""https://docs.google.com/spreadsheets/"&amp;"d/1BJSV3WBYJGRhQ6zExamkszQ5VutGIcaQqmbD9ZTVXMQ/edit#gid=1251630045"",""articles_with_PRISMA_reasons!B2:B2113"")),
E1849=""Exclude"",
FILTER(IMPORTRANGE(""https://docs.google.com/spreadsheets/d/1qpEmbGH0JjaJbUdp21-y2cPbobDbMjr09BbtdKROZWc/edit#gid=14448656"&amp;"54"",""articles_with_PRISMA_reasons!Z2:Z2113""), $A1849=IMPORTRANGE(""https://docs.google.com/spreadsheets/d/1qpEmbGH0JjaJbUdp21-y2cPbobDbMjr09BbtdKROZWc/edit#gid=1444865654"",""articles_with_PRISMA_reasons!B2:B2113"")),F1849
=""Include"",FILTER(IMPORTRAN"&amp;"GE(""https://docs.google.com/spreadsheets/d/1kGrh75X1cNR1D7_FcY9zMnHP8iPO4M5RCRjy6nZY0TY/edit#gid=0"",""Table 1: Study characteristics!A4:A171""), $A1849=IMPORTRANGE(""https://docs.google.com/spreadsheets/d/1kGrh75X1cNR1D7_FcY9zMnHP8iPO4M5RCRjy6nZY0TY/edi"&amp;"t#gid=0"",""Table 1: Study characteristics!B4:B171""))
)"),"wrong intervention")</f>
        <v>wrong intervention</v>
      </c>
    </row>
    <row r="1850">
      <c r="A1850" s="4" t="str">
        <f>IFERROR(__xludf.DUMMYFUNCTION("""COMPUTED_VALUE"""),"Terminal myelocystocele")</f>
        <v>Terminal myelocystocele</v>
      </c>
      <c r="B1850" s="5" t="str">
        <f>IFERROR(__xludf.DUMMYFUNCTION("LEFT(FILTER(IMPORTRANGE(""https://docs.google.com/spreadsheets/d/1BJSV3WBYJGRhQ6zExamkszQ5VutGIcaQqmbD9ZTVXMQ/edit#gid=1251630045"",""articles_with_PRISMA_reasons!K2:K2113""), $A1850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$A1850=IMPORTRANGE(""https://docs.google.com/spreadsheets/d/1BJSV3WBYJGRhQ6zExamkszQ5VutGIcaQqmbD9ZTVXMQ/edit#gid=1251630045"",""articles_with_PRISMA_reasons!B2:B2113"")))-1)"),"James")</f>
        <v>James</v>
      </c>
      <c r="C1850" s="6">
        <f>IFERROR(__xludf.DUMMYFUNCTION("FILTER(IMPORTRANGE(""https://docs.google.com/spreadsheets/d/1BJSV3WBYJGRhQ6zExamkszQ5VutGIcaQqmbD9ZTVXMQ/edit#gid=1251630045"",""articles_with_PRISMA_reasons!C2:C2113""), $A1850=IMPORTRANGE(""https://docs.google.com/spreadsheets/d/1BJSV3WBYJGRhQ6zExamkszQ"&amp;"5VutGIcaQqmbD9ZTVXMQ/edit#gid=1251630045"",""articles_with_PRISMA_reasons!B2:B2113""))"),2005.0)</f>
        <v>2005</v>
      </c>
      <c r="D1850" s="5" t="str">
        <f>IFERROR(__xludf.DUMMYFUNCTION("IFS(AND(
FILTER(IMPORTRANGE(""https://docs.google.com/spreadsheets/d/1BJSV3WBYJGRhQ6zExamkszQ5VutGIcaQqmbD9ZTVXMQ/edit#gid=1251630045"",""articles_with_PRISMA_reasons!Y2:Y2113""), $A1850=IMPORTRANGE(""https://docs.google.com/spreadsheets/d/1BJSV3WBYJGRhQ6"&amp;"zExamkszQ5VutGIcaQqmbD9ZTVXMQ/edit#gid=1251630045"",""articles_with_PRISMA_reasons!B2:B2113""))&gt;=2,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$A1850=IMPORTRANGE(""https://docs.google.com/spreadsheets/d/1BJSV3WBYJGRhQ6zExamkszQ5VutGIcaQqmbD9ZTVXMQ/edit#gid=1251630045"",""articles_with_PRISMA_reasons!B2:B2113""))&lt;2),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$A1850=IMPORTRANGE(""https://docs.google.com/spreadsheets/d/1BJSV3WBYJGRhQ6zExamkszQ5VutGIcaQqmbD9ZTVXMQ/edit#gid=1251630045"",""a"&amp;"rticles_with_PRISMA_reasons!B2:B2113""))&lt;2,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$A1850=IMPORTRANGE(""https://docs.google"&amp;".com/spreadsheets/d/1BJSV3WBYJGRhQ6zExamkszQ5VutGIcaQqmbD9ZTVXMQ/edit#gid=1251630045"",""articles_with_PRISMA_reasons!B2:B2113""))&gt;=2),
""Exclude""
)"),"Exclude")</f>
        <v>Exclude</v>
      </c>
      <c r="E1850" s="5" t="str">
        <f>IFERROR(__xludf.DUMMYFUNCTION("IFS(
D1850=""Exclude"",""Exclude"",
AND(
FILTER(IMPORTRANGE(""https://docs.google.com/spreadsheets/d/1qpEmbGH0JjaJbUdp21-y2cPbobDbMjr09BbtdKROZWc/edit#gid=1444865654"",""articles_with_PRISMA_reasons!W2:W2113""), $A1850=IMPORTRANGE(""https://docs.google.co"&amp;"m/spreadsheets/d/1qpEmbGH0JjaJbUdp21-y2cPbobDbMjr09BbtdKROZWc/edit#gid=1444865654"",""articles_with_PRISMA_reasons!B2:B2113""))&gt;=2,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$A1850=IMPORTRANGE(""https://docs.google.com/spreadsheets/d/1qpEmbGH0JjaJbUdp21-y2cPbobDbMjr09BbtdKROZWc/edit#gid=1444865654"",""articles_with_PRISMA_reasons!B2:B2113""))&lt;2),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$A1850=IMPORTRANGE(""https://docs.google.com/spreadsheets/d/1qpEmbGH0JjaJbUdp21-y2cPbobDbMjr09Bbtd"&amp;"KROZWc/edit#gid=1444865654"",""articles_with_PRISMA_reasons!B2:B2113""))&lt;2,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$A1850=I"&amp;"MPORTRANGE(""https://docs.google.com/spreadsheets/d/1qpEmbGH0JjaJbUdp21-y2cPbobDbMjr09BbtdKROZWc/edit#gid=1444865654"",""articles_with_PRISMA_reasons!B2:B2113""))&gt;=2),
""Exclude""
)"),"Exclude")</f>
        <v>Exclude</v>
      </c>
      <c r="F1850" s="5" t="str">
        <f>IFERROR(__xludf.DUMMYFUNCTION("IFS(
E1850=""Exclude"",""Exclude"",
AND(
COUNTIF(
IMPORTRANGE(""https://docs.google.com/spreadsheets/d/1kGrh75X1cNR1D7_FcY9zMnHP8iPO4M5RCRjy6nZY0TY/edit#gid=0"",""Table 1: Study characteristics!B4:B171""),A1850)&gt;0,
COUNTIF(Studies!$A$2:$A$85,FILTER(IMPORT"&amp;"RANGE(""https://docs.google.com/spreadsheets/d/1kGrh75X1cNR1D7_FcY9zMnHP8iPO4M5RCRjy6nZY0TY/edit#gid=0"",""Table 1: Study characteristics!A4:A171""), $A1850=IMPORTRANGE(""https://docs.google.com/spreadsheets/d/1kGrh75X1cNR1D7_FcY9zMnHP8iPO4M5RCRjy6nZY0TY/"&amp;"edit#gid=0"",""Table 1: Study characteristics!B4:B171"")))&gt;0
),
""Include""
)"),"Exclude")</f>
        <v>Exclude</v>
      </c>
      <c r="G1850" s="5" t="str">
        <f>IFERROR(__xludf.DUMMYFUNCTION("IFS(
D1850=""Exclude"",
FILTER(IMPORTRANGE(""https://docs.google.com/spreadsheets/d/1BJSV3WBYJGRhQ6zExamkszQ5VutGIcaQqmbD9ZTVXMQ/edit#gid=1251630045"",""articles_with_PRISMA_reasons!AB2:AB2113""), $A1850=IMPORTRANGE(""https://docs.google.com/spreadsheets/"&amp;"d/1BJSV3WBYJGRhQ6zExamkszQ5VutGIcaQqmbD9ZTVXMQ/edit#gid=1251630045"",""articles_with_PRISMA_reasons!B2:B2113"")),
E1850=""Exclude"",
FILTER(IMPORTRANGE(""https://docs.google.com/spreadsheets/d/1qpEmbGH0JjaJbUdp21-y2cPbobDbMjr09BbtdKROZWc/edit#gid=14448656"&amp;"54"",""articles_with_PRISMA_reasons!Z2:Z2113""), $A1850=IMPORTRANGE(""https://docs.google.com/spreadsheets/d/1qpEmbGH0JjaJbUdp21-y2cPbobDbMjr09BbtdKROZWc/edit#gid=1444865654"",""articles_with_PRISMA_reasons!B2:B2113"")),F1850
=""Include"",FILTER(IMPORTRAN"&amp;"GE(""https://docs.google.com/spreadsheets/d/1kGrh75X1cNR1D7_FcY9zMnHP8iPO4M5RCRjy6nZY0TY/edit#gid=0"",""Table 1: Study characteristics!A4:A171""), $A1850=IMPORTRANGE(""https://docs.google.com/spreadsheets/d/1kGrh75X1cNR1D7_FcY9zMnHP8iPO4M5RCRjy6nZY0TY/edi"&amp;"t#gid=0"",""Table 1: Study characteristics!B4:B171""))
)"),"wrong study design")</f>
        <v>wrong study design</v>
      </c>
    </row>
    <row r="1851">
      <c r="A1851" s="4" t="str">
        <f>IFERROR(__xludf.DUMMYFUNCTION("""COMPUTED_VALUE"""),"Terminal myelocystocele: Pathoembryogenesis and clinical features")</f>
        <v>Terminal myelocystocele: Pathoembryogenesis and clinical features</v>
      </c>
      <c r="B1851" s="5" t="str">
        <f>IFERROR(__xludf.DUMMYFUNCTION("LEFT(FILTER(IMPORTRANGE(""https://docs.google.com/spreadsheets/d/1BJSV3WBYJGRhQ6zExamkszQ5VutGIcaQqmbD9ZTVXMQ/edit#gid=1251630045"",""articles_with_PRISMA_reasons!K2:K2113""), $A1851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$A1851=IMPORTRANGE(""https://docs.google.com/spreadsheets/d/1BJSV3WBYJGRhQ6zExamkszQ5VutGIcaQqmbD9ZTVXMQ/edit#gid=1251630045"",""articles_with_PRISMA_reasons!B2:B2113"")))-1)"),"Kim")</f>
        <v>Kim</v>
      </c>
      <c r="C1851" s="6">
        <f>IFERROR(__xludf.DUMMYFUNCTION("FILTER(IMPORTRANGE(""https://docs.google.com/spreadsheets/d/1BJSV3WBYJGRhQ6zExamkszQ5VutGIcaQqmbD9ZTVXMQ/edit#gid=1251630045"",""articles_with_PRISMA_reasons!C2:C2113""), $A1851=IMPORTRANGE(""https://docs.google.com/spreadsheets/d/1BJSV3WBYJGRhQ6zExamkszQ"&amp;"5VutGIcaQqmbD9ZTVXMQ/edit#gid=1251630045"",""articles_with_PRISMA_reasons!B2:B2113""))"),2020.0)</f>
        <v>2020</v>
      </c>
      <c r="D1851" s="5" t="str">
        <f>IFERROR(__xludf.DUMMYFUNCTION("IFS(AND(
FILTER(IMPORTRANGE(""https://docs.google.com/spreadsheets/d/1BJSV3WBYJGRhQ6zExamkszQ5VutGIcaQqmbD9ZTVXMQ/edit#gid=1251630045"",""articles_with_PRISMA_reasons!Y2:Y2113""), $A1851=IMPORTRANGE(""https://docs.google.com/spreadsheets/d/1BJSV3WBYJGRhQ6"&amp;"zExamkszQ5VutGIcaQqmbD9ZTVXMQ/edit#gid=1251630045"",""articles_with_PRISMA_reasons!B2:B2113""))&gt;=2,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$A1851=IMPORTRANGE(""https://docs.google.com/spreadsheets/d/1BJSV3WBYJGRhQ6zExamkszQ5VutGIcaQqmbD9ZTVXMQ/edit#gid=1251630045"",""articles_with_PRISMA_reasons!B2:B2113""))&lt;2),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$A1851=IMPORTRANGE(""https://docs.google.com/spreadsheets/d/1BJSV3WBYJGRhQ6zExamkszQ5VutGIcaQqmbD9ZTVXMQ/edit#gid=1251630045"",""a"&amp;"rticles_with_PRISMA_reasons!B2:B2113""))&lt;2,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$A1851=IMPORTRANGE(""https://docs.google"&amp;".com/spreadsheets/d/1BJSV3WBYJGRhQ6zExamkszQ5VutGIcaQqmbD9ZTVXMQ/edit#gid=1251630045"",""articles_with_PRISMA_reasons!B2:B2113""))&gt;=2),
""Exclude""
)"),"Exclude")</f>
        <v>Exclude</v>
      </c>
      <c r="E1851" s="5" t="str">
        <f>IFERROR(__xludf.DUMMYFUNCTION("IFS(
D1851=""Exclude"",""Exclude"",
AND(
FILTER(IMPORTRANGE(""https://docs.google.com/spreadsheets/d/1qpEmbGH0JjaJbUdp21-y2cPbobDbMjr09BbtdKROZWc/edit#gid=1444865654"",""articles_with_PRISMA_reasons!W2:W2113""), $A1851=IMPORTRANGE(""https://docs.google.co"&amp;"m/spreadsheets/d/1qpEmbGH0JjaJbUdp21-y2cPbobDbMjr09BbtdKROZWc/edit#gid=1444865654"",""articles_with_PRISMA_reasons!B2:B2113""))&gt;=2,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$A1851=IMPORTRANGE(""https://docs.google.com/spreadsheets/d/1qpEmbGH0JjaJbUdp21-y2cPbobDbMjr09BbtdKROZWc/edit#gid=1444865654"",""articles_with_PRISMA_reasons!B2:B2113""))&lt;2),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$A1851=IMPORTRANGE(""https://docs.google.com/spreadsheets/d/1qpEmbGH0JjaJbUdp21-y2cPbobDbMjr09Bbtd"&amp;"KROZWc/edit#gid=1444865654"",""articles_with_PRISMA_reasons!B2:B2113""))&lt;2,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$A1851=I"&amp;"MPORTRANGE(""https://docs.google.com/spreadsheets/d/1qpEmbGH0JjaJbUdp21-y2cPbobDbMjr09BbtdKROZWc/edit#gid=1444865654"",""articles_with_PRISMA_reasons!B2:B2113""))&gt;=2),
""Exclude""
)"),"Exclude")</f>
        <v>Exclude</v>
      </c>
      <c r="F1851" s="5" t="str">
        <f>IFERROR(__xludf.DUMMYFUNCTION("IFS(
E1851=""Exclude"",""Exclude"",
AND(
COUNTIF(
IMPORTRANGE(""https://docs.google.com/spreadsheets/d/1kGrh75X1cNR1D7_FcY9zMnHP8iPO4M5RCRjy6nZY0TY/edit#gid=0"",""Table 1: Study characteristics!B4:B171""),A1851)&gt;0,
COUNTIF(Studies!$A$2:$A$85,FILTER(IMPORT"&amp;"RANGE(""https://docs.google.com/spreadsheets/d/1kGrh75X1cNR1D7_FcY9zMnHP8iPO4M5RCRjy6nZY0TY/edit#gid=0"",""Table 1: Study characteristics!A4:A171""), $A1851=IMPORTRANGE(""https://docs.google.com/spreadsheets/d/1kGrh75X1cNR1D7_FcY9zMnHP8iPO4M5RCRjy6nZY0TY/"&amp;"edit#gid=0"",""Table 1: Study characteristics!B4:B171"")))&gt;0
),
""Include""
)"),"Exclude")</f>
        <v>Exclude</v>
      </c>
      <c r="G1851" s="5" t="str">
        <f>IFERROR(__xludf.DUMMYFUNCTION("IFS(
D1851=""Exclude"",
FILTER(IMPORTRANGE(""https://docs.google.com/spreadsheets/d/1BJSV3WBYJGRhQ6zExamkszQ5VutGIcaQqmbD9ZTVXMQ/edit#gid=1251630045"",""articles_with_PRISMA_reasons!AB2:AB2113""), $A1851=IMPORTRANGE(""https://docs.google.com/spreadsheets/"&amp;"d/1BJSV3WBYJGRhQ6zExamkszQ5VutGIcaQqmbD9ZTVXMQ/edit#gid=1251630045"",""articles_with_PRISMA_reasons!B2:B2113"")),
E1851=""Exclude"",
FILTER(IMPORTRANGE(""https://docs.google.com/spreadsheets/d/1qpEmbGH0JjaJbUdp21-y2cPbobDbMjr09BbtdKROZWc/edit#gid=14448656"&amp;"54"",""articles_with_PRISMA_reasons!Z2:Z2113""), $A1851=IMPORTRANGE(""https://docs.google.com/spreadsheets/d/1qpEmbGH0JjaJbUdp21-y2cPbobDbMjr09BbtdKROZWc/edit#gid=1444865654"",""articles_with_PRISMA_reasons!B2:B2113"")),F1851
=""Include"",FILTER(IMPORTRAN"&amp;"GE(""https://docs.google.com/spreadsheets/d/1kGrh75X1cNR1D7_FcY9zMnHP8iPO4M5RCRjy6nZY0TY/edit#gid=0"",""Table 1: Study characteristics!A4:A171""), $A1851=IMPORTRANGE(""https://docs.google.com/spreadsheets/d/1kGrh75X1cNR1D7_FcY9zMnHP8iPO4M5RCRjy6nZY0TY/edi"&amp;"t#gid=0"",""Table 1: Study characteristics!B4:B171""))
)"),"wrong study design")</f>
        <v>wrong study design</v>
      </c>
    </row>
    <row r="1852">
      <c r="A1852" s="4" t="str">
        <f>IFERROR(__xludf.DUMMYFUNCTION("""COMPUTED_VALUE"""),"Test characteristics of quick brain MRI for shunt evaluation in children: An alternative modality to avoid radiation")</f>
        <v>Test characteristics of quick brain MRI for shunt evaluation in children: An alternative modality to avoid radiation</v>
      </c>
      <c r="B1852" s="5" t="str">
        <f>IFERROR(__xludf.DUMMYFUNCTION("LEFT(FILTER(IMPORTRANGE(""https://docs.google.com/spreadsheets/d/1BJSV3WBYJGRhQ6zExamkszQ5VutGIcaQqmbD9ZTVXMQ/edit#gid=1251630045"",""articles_with_PRISMA_reasons!K2:K2113""), $A1852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$A1852=IMPORTRANGE(""https://docs.google.com/spreadsheets/d/1BJSV3WBYJGRhQ6zExamkszQ5VutGIcaQqmbD9ZTVXMQ/edit#gid=1251630045"",""articles_with_PRISMA_reasons!B2:B2113"")))-1)"),"Yue")</f>
        <v>Yue</v>
      </c>
      <c r="C1852" s="6">
        <f>IFERROR(__xludf.DUMMYFUNCTION("FILTER(IMPORTRANGE(""https://docs.google.com/spreadsheets/d/1BJSV3WBYJGRhQ6zExamkszQ5VutGIcaQqmbD9ZTVXMQ/edit#gid=1251630045"",""articles_with_PRISMA_reasons!C2:C2113""), $A1852=IMPORTRANGE(""https://docs.google.com/spreadsheets/d/1BJSV3WBYJGRhQ6zExamkszQ"&amp;"5VutGIcaQqmbD9ZTVXMQ/edit#gid=1251630045"",""articles_with_PRISMA_reasons!B2:B2113""))"),2015.0)</f>
        <v>2015</v>
      </c>
      <c r="D1852" s="5" t="str">
        <f>IFERROR(__xludf.DUMMYFUNCTION("IFS(AND(
FILTER(IMPORTRANGE(""https://docs.google.com/spreadsheets/d/1BJSV3WBYJGRhQ6zExamkszQ5VutGIcaQqmbD9ZTVXMQ/edit#gid=1251630045"",""articles_with_PRISMA_reasons!Y2:Y2113""), $A1852=IMPORTRANGE(""https://docs.google.com/spreadsheets/d/1BJSV3WBYJGRhQ6"&amp;"zExamkszQ5VutGIcaQqmbD9ZTVXMQ/edit#gid=1251630045"",""articles_with_PRISMA_reasons!B2:B2113""))&gt;=2,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$A1852=IMPORTRANGE(""https://docs.google.com/spreadsheets/d/1BJSV3WBYJGRhQ6zExamkszQ5VutGIcaQqmbD9ZTVXMQ/edit#gid=1251630045"",""articles_with_PRISMA_reasons!B2:B2113""))&lt;2),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$A1852=IMPORTRANGE(""https://docs.google.com/spreadsheets/d/1BJSV3WBYJGRhQ6zExamkszQ5VutGIcaQqmbD9ZTVXMQ/edit#gid=1251630045"",""a"&amp;"rticles_with_PRISMA_reasons!B2:B2113""))&lt;2,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$A1852=IMPORTRANGE(""https://docs.google"&amp;".com/spreadsheets/d/1BJSV3WBYJGRhQ6zExamkszQ5VutGIcaQqmbD9ZTVXMQ/edit#gid=1251630045"",""articles_with_PRISMA_reasons!B2:B2113""))&gt;=2),
""Exclude""
)"),"Exclude")</f>
        <v>Exclude</v>
      </c>
      <c r="E1852" s="5" t="str">
        <f>IFERROR(__xludf.DUMMYFUNCTION("IFS(
D1852=""Exclude"",""Exclude"",
AND(
FILTER(IMPORTRANGE(""https://docs.google.com/spreadsheets/d/1qpEmbGH0JjaJbUdp21-y2cPbobDbMjr09BbtdKROZWc/edit#gid=1444865654"",""articles_with_PRISMA_reasons!W2:W2113""), $A1852=IMPORTRANGE(""https://docs.google.co"&amp;"m/spreadsheets/d/1qpEmbGH0JjaJbUdp21-y2cPbobDbMjr09BbtdKROZWc/edit#gid=1444865654"",""articles_with_PRISMA_reasons!B2:B2113""))&gt;=2,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$A1852=IMPORTRANGE(""https://docs.google.com/spreadsheets/d/1qpEmbGH0JjaJbUdp21-y2cPbobDbMjr09BbtdKROZWc/edit#gid=1444865654"",""articles_with_PRISMA_reasons!B2:B2113""))&lt;2),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$A1852=IMPORTRANGE(""https://docs.google.com/spreadsheets/d/1qpEmbGH0JjaJbUdp21-y2cPbobDbMjr09Bbtd"&amp;"KROZWc/edit#gid=1444865654"",""articles_with_PRISMA_reasons!B2:B2113""))&lt;2,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$A1852=I"&amp;"MPORTRANGE(""https://docs.google.com/spreadsheets/d/1qpEmbGH0JjaJbUdp21-y2cPbobDbMjr09BbtdKROZWc/edit#gid=1444865654"",""articles_with_PRISMA_reasons!B2:B2113""))&gt;=2),
""Exclude""
)"),"Exclude")</f>
        <v>Exclude</v>
      </c>
      <c r="F1852" s="5" t="str">
        <f>IFERROR(__xludf.DUMMYFUNCTION("IFS(
E1852=""Exclude"",""Exclude"",
AND(
COUNTIF(
IMPORTRANGE(""https://docs.google.com/spreadsheets/d/1kGrh75X1cNR1D7_FcY9zMnHP8iPO4M5RCRjy6nZY0TY/edit#gid=0"",""Table 1: Study characteristics!B4:B171""),A1852)&gt;0,
COUNTIF(Studies!$A$2:$A$85,FILTER(IMPORT"&amp;"RANGE(""https://docs.google.com/spreadsheets/d/1kGrh75X1cNR1D7_FcY9zMnHP8iPO4M5RCRjy6nZY0TY/edit#gid=0"",""Table 1: Study characteristics!A4:A171""), $A1852=IMPORTRANGE(""https://docs.google.com/spreadsheets/d/1kGrh75X1cNR1D7_FcY9zMnHP8iPO4M5RCRjy6nZY0TY/"&amp;"edit#gid=0"",""Table 1: Study characteristics!B4:B171"")))&gt;0
),
""Include""
)"),"Exclude")</f>
        <v>Exclude</v>
      </c>
      <c r="G1852" s="5" t="str">
        <f>IFERROR(__xludf.DUMMYFUNCTION("IFS(
D1852=""Exclude"",
FILTER(IMPORTRANGE(""https://docs.google.com/spreadsheets/d/1BJSV3WBYJGRhQ6zExamkszQ5VutGIcaQqmbD9ZTVXMQ/edit#gid=1251630045"",""articles_with_PRISMA_reasons!AB2:AB2113""), $A1852=IMPORTRANGE(""https://docs.google.com/spreadsheets/"&amp;"d/1BJSV3WBYJGRhQ6zExamkszQ5VutGIcaQqmbD9ZTVXMQ/edit#gid=1251630045"",""articles_with_PRISMA_reasons!B2:B2113"")),
E1852=""Exclude"",
FILTER(IMPORTRANGE(""https://docs.google.com/spreadsheets/d/1qpEmbGH0JjaJbUdp21-y2cPbobDbMjr09BbtdKROZWc/edit#gid=14448656"&amp;"54"",""articles_with_PRISMA_reasons!Z2:Z2113""), $A1852=IMPORTRANGE(""https://docs.google.com/spreadsheets/d/1qpEmbGH0JjaJbUdp21-y2cPbobDbMjr09BbtdKROZWc/edit#gid=1444865654"",""articles_with_PRISMA_reasons!B2:B2113"")),F1852
=""Include"",FILTER(IMPORTRAN"&amp;"GE(""https://docs.google.com/spreadsheets/d/1kGrh75X1cNR1D7_FcY9zMnHP8iPO4M5RCRjy6nZY0TY/edit#gid=0"",""Table 1: Study characteristics!A4:A171""), $A1852=IMPORTRANGE(""https://docs.google.com/spreadsheets/d/1kGrh75X1cNR1D7_FcY9zMnHP8iPO4M5RCRjy6nZY0TY/edi"&amp;"t#gid=0"",""Table 1: Study characteristics!B4:B171""))
)"),"wrong population")</f>
        <v>wrong population</v>
      </c>
    </row>
    <row r="1853">
      <c r="A1853" s="4" t="str">
        <f>IFERROR(__xludf.DUMMYFUNCTION("""COMPUTED_VALUE"""),"Testicular heterotopia of the lumbar spine")</f>
        <v>Testicular heterotopia of the lumbar spine</v>
      </c>
      <c r="B1853" s="5" t="str">
        <f>IFERROR(__xludf.DUMMYFUNCTION("LEFT(FILTER(IMPORTRANGE(""https://docs.google.com/spreadsheets/d/1BJSV3WBYJGRhQ6zExamkszQ5VutGIcaQqmbD9ZTVXMQ/edit#gid=1251630045"",""articles_with_PRISMA_reasons!K2:K2113""), $A1853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$A1853=IMPORTRANGE(""https://docs.google.com/spreadsheets/d/1BJSV3WBYJGRhQ6zExamkszQ5VutGIcaQqmbD9ZTVXMQ/edit#gid=1251630045"",""articles_with_PRISMA_reasons!B2:B2113"")))-1)"),"Farook")</f>
        <v>Farook</v>
      </c>
      <c r="C1853" s="6">
        <f>IFERROR(__xludf.DUMMYFUNCTION("FILTER(IMPORTRANGE(""https://docs.google.com/spreadsheets/d/1BJSV3WBYJGRhQ6zExamkszQ5VutGIcaQqmbD9ZTVXMQ/edit#gid=1251630045"",""articles_with_PRISMA_reasons!C2:C2113""), $A1853=IMPORTRANGE(""https://docs.google.com/spreadsheets/d/1BJSV3WBYJGRhQ6zExamkszQ"&amp;"5VutGIcaQqmbD9ZTVXMQ/edit#gid=1251630045"",""articles_with_PRISMA_reasons!B2:B2113""))"),2013.0)</f>
        <v>2013</v>
      </c>
      <c r="D1853" s="5" t="str">
        <f>IFERROR(__xludf.DUMMYFUNCTION("IFS(AND(
FILTER(IMPORTRANGE(""https://docs.google.com/spreadsheets/d/1BJSV3WBYJGRhQ6zExamkszQ5VutGIcaQqmbD9ZTVXMQ/edit#gid=1251630045"",""articles_with_PRISMA_reasons!Y2:Y2113""), $A1853=IMPORTRANGE(""https://docs.google.com/spreadsheets/d/1BJSV3WBYJGRhQ6"&amp;"zExamkszQ5VutGIcaQqmbD9ZTVXMQ/edit#gid=1251630045"",""articles_with_PRISMA_reasons!B2:B2113""))&gt;=2,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$A1853=IMPORTRANGE(""https://docs.google.com/spreadsheets/d/1BJSV3WBYJGRhQ6zExamkszQ5VutGIcaQqmbD9ZTVXMQ/edit#gid=1251630045"",""articles_with_PRISMA_reasons!B2:B2113""))&lt;2),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$A1853=IMPORTRANGE(""https://docs.google.com/spreadsheets/d/1BJSV3WBYJGRhQ6zExamkszQ5VutGIcaQqmbD9ZTVXMQ/edit#gid=1251630045"",""a"&amp;"rticles_with_PRISMA_reasons!B2:B2113""))&lt;2,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$A1853=IMPORTRANGE(""https://docs.google"&amp;".com/spreadsheets/d/1BJSV3WBYJGRhQ6zExamkszQ5VutGIcaQqmbD9ZTVXMQ/edit#gid=1251630045"",""articles_with_PRISMA_reasons!B2:B2113""))&gt;=2),
""Exclude""
)"),"Exclude")</f>
        <v>Exclude</v>
      </c>
      <c r="E1853" s="5" t="str">
        <f>IFERROR(__xludf.DUMMYFUNCTION("IFS(
D1853=""Exclude"",""Exclude"",
AND(
FILTER(IMPORTRANGE(""https://docs.google.com/spreadsheets/d/1qpEmbGH0JjaJbUdp21-y2cPbobDbMjr09BbtdKROZWc/edit#gid=1444865654"",""articles_with_PRISMA_reasons!W2:W2113""), $A1853=IMPORTRANGE(""https://docs.google.co"&amp;"m/spreadsheets/d/1qpEmbGH0JjaJbUdp21-y2cPbobDbMjr09BbtdKROZWc/edit#gid=1444865654"",""articles_with_PRISMA_reasons!B2:B2113""))&gt;=2,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$A1853=IMPORTRANGE(""https://docs.google.com/spreadsheets/d/1qpEmbGH0JjaJbUdp21-y2cPbobDbMjr09BbtdKROZWc/edit#gid=1444865654"",""articles_with_PRISMA_reasons!B2:B2113""))&lt;2),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$A1853=IMPORTRANGE(""https://docs.google.com/spreadsheets/d/1qpEmbGH0JjaJbUdp21-y2cPbobDbMjr09Bbtd"&amp;"KROZWc/edit#gid=1444865654"",""articles_with_PRISMA_reasons!B2:B2113""))&lt;2,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$A1853=I"&amp;"MPORTRANGE(""https://docs.google.com/spreadsheets/d/1qpEmbGH0JjaJbUdp21-y2cPbobDbMjr09BbtdKROZWc/edit#gid=1444865654"",""articles_with_PRISMA_reasons!B2:B2113""))&gt;=2),
""Exclude""
)"),"Exclude")</f>
        <v>Exclude</v>
      </c>
      <c r="F1853" s="5" t="str">
        <f>IFERROR(__xludf.DUMMYFUNCTION("IFS(
E1853=""Exclude"",""Exclude"",
AND(
COUNTIF(
IMPORTRANGE(""https://docs.google.com/spreadsheets/d/1kGrh75X1cNR1D7_FcY9zMnHP8iPO4M5RCRjy6nZY0TY/edit#gid=0"",""Table 1: Study characteristics!B4:B171""),A1853)&gt;0,
COUNTIF(Studies!$A$2:$A$85,FILTER(IMPORT"&amp;"RANGE(""https://docs.google.com/spreadsheets/d/1kGrh75X1cNR1D7_FcY9zMnHP8iPO4M5RCRjy6nZY0TY/edit#gid=0"",""Table 1: Study characteristics!A4:A171""), $A1853=IMPORTRANGE(""https://docs.google.com/spreadsheets/d/1kGrh75X1cNR1D7_FcY9zMnHP8iPO4M5RCRjy6nZY0TY/"&amp;"edit#gid=0"",""Table 1: Study characteristics!B4:B171"")))&gt;0
),
""Include""
)"),"Exclude")</f>
        <v>Exclude</v>
      </c>
      <c r="G1853" s="5" t="str">
        <f>IFERROR(__xludf.DUMMYFUNCTION("IFS(
D1853=""Exclude"",
FILTER(IMPORTRANGE(""https://docs.google.com/spreadsheets/d/1BJSV3WBYJGRhQ6zExamkszQ5VutGIcaQqmbD9ZTVXMQ/edit#gid=1251630045"",""articles_with_PRISMA_reasons!AB2:AB2113""), $A1853=IMPORTRANGE(""https://docs.google.com/spreadsheets/"&amp;"d/1BJSV3WBYJGRhQ6zExamkszQ5VutGIcaQqmbD9ZTVXMQ/edit#gid=1251630045"",""articles_with_PRISMA_reasons!B2:B2113"")),
E1853=""Exclude"",
FILTER(IMPORTRANGE(""https://docs.google.com/spreadsheets/d/1qpEmbGH0JjaJbUdp21-y2cPbobDbMjr09BbtdKROZWc/edit#gid=14448656"&amp;"54"",""articles_with_PRISMA_reasons!Z2:Z2113""), $A1853=IMPORTRANGE(""https://docs.google.com/spreadsheets/d/1qpEmbGH0JjaJbUdp21-y2cPbobDbMjr09BbtdKROZWc/edit#gid=1444865654"",""articles_with_PRISMA_reasons!B2:B2113"")),F1853
=""Include"",FILTER(IMPORTRAN"&amp;"GE(""https://docs.google.com/spreadsheets/d/1kGrh75X1cNR1D7_FcY9zMnHP8iPO4M5RCRjy6nZY0TY/edit#gid=0"",""Table 1: Study characteristics!A4:A171""), $A1853=IMPORTRANGE(""https://docs.google.com/spreadsheets/d/1kGrh75X1cNR1D7_FcY9zMnHP8iPO4M5RCRjy6nZY0TY/edi"&amp;"t#gid=0"",""Table 1: Study characteristics!B4:B171""))
)"),"wrong study design")</f>
        <v>wrong study design</v>
      </c>
    </row>
    <row r="1854">
      <c r="A1854" s="4" t="str">
        <f>IFERROR(__xludf.DUMMYFUNCTION("""COMPUTED_VALUE"""),"Tetanus and Occam's razor: Almost forgotten but not gone: A case report")</f>
        <v>Tetanus and Occam's razor: Almost forgotten but not gone: A case report</v>
      </c>
      <c r="B1854" s="5" t="str">
        <f>IFERROR(__xludf.DUMMYFUNCTION("LEFT(FILTER(IMPORTRANGE(""https://docs.google.com/spreadsheets/d/1BJSV3WBYJGRhQ6zExamkszQ5VutGIcaQqmbD9ZTVXMQ/edit#gid=1251630045"",""articles_with_PRISMA_reasons!K2:K2113""), $A1854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$A1854=IMPORTRANGE(""https://docs.google.com/spreadsheets/d/1BJSV3WBYJGRhQ6zExamkszQ5VutGIcaQqmbD9ZTVXMQ/edit#gid=1251630045"",""articles_with_PRISMA_reasons!B2:B2113"")))-1)"),"Skuby")</f>
        <v>Skuby</v>
      </c>
      <c r="C1854" s="6">
        <f>IFERROR(__xludf.DUMMYFUNCTION("FILTER(IMPORTRANGE(""https://docs.google.com/spreadsheets/d/1BJSV3WBYJGRhQ6zExamkszQ5VutGIcaQqmbD9ZTVXMQ/edit#gid=1251630045"",""articles_with_PRISMA_reasons!C2:C2113""), $A1854=IMPORTRANGE(""https://docs.google.com/spreadsheets/d/1BJSV3WBYJGRhQ6zExamkszQ"&amp;"5VutGIcaQqmbD9ZTVXMQ/edit#gid=1251630045"",""articles_with_PRISMA_reasons!B2:B2113""))"),2016.0)</f>
        <v>2016</v>
      </c>
      <c r="D1854" s="5" t="str">
        <f>IFERROR(__xludf.DUMMYFUNCTION("IFS(AND(
FILTER(IMPORTRANGE(""https://docs.google.com/spreadsheets/d/1BJSV3WBYJGRhQ6zExamkszQ5VutGIcaQqmbD9ZTVXMQ/edit#gid=1251630045"",""articles_with_PRISMA_reasons!Y2:Y2113""), $A1854=IMPORTRANGE(""https://docs.google.com/spreadsheets/d/1BJSV3WBYJGRhQ6"&amp;"zExamkszQ5VutGIcaQqmbD9ZTVXMQ/edit#gid=1251630045"",""articles_with_PRISMA_reasons!B2:B2113""))&gt;=2,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$A1854=IMPORTRANGE(""https://docs.google.com/spreadsheets/d/1BJSV3WBYJGRhQ6zExamkszQ5VutGIcaQqmbD9ZTVXMQ/edit#gid=1251630045"",""articles_with_PRISMA_reasons!B2:B2113""))&lt;2),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$A1854=IMPORTRANGE(""https://docs.google.com/spreadsheets/d/1BJSV3WBYJGRhQ6zExamkszQ5VutGIcaQqmbD9ZTVXMQ/edit#gid=1251630045"",""a"&amp;"rticles_with_PRISMA_reasons!B2:B2113""))&lt;2,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$A1854=IMPORTRANGE(""https://docs.google"&amp;".com/spreadsheets/d/1BJSV3WBYJGRhQ6zExamkszQ5VutGIcaQqmbD9ZTVXMQ/edit#gid=1251630045"",""articles_with_PRISMA_reasons!B2:B2113""))&gt;=2),
""Exclude""
)"),"Exclude")</f>
        <v>Exclude</v>
      </c>
      <c r="E1854" s="5" t="str">
        <f>IFERROR(__xludf.DUMMYFUNCTION("IFS(
D1854=""Exclude"",""Exclude"",
AND(
FILTER(IMPORTRANGE(""https://docs.google.com/spreadsheets/d/1qpEmbGH0JjaJbUdp21-y2cPbobDbMjr09BbtdKROZWc/edit#gid=1444865654"",""articles_with_PRISMA_reasons!W2:W2113""), $A1854=IMPORTRANGE(""https://docs.google.co"&amp;"m/spreadsheets/d/1qpEmbGH0JjaJbUdp21-y2cPbobDbMjr09BbtdKROZWc/edit#gid=1444865654"",""articles_with_PRISMA_reasons!B2:B2113""))&gt;=2,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$A1854=IMPORTRANGE(""https://docs.google.com/spreadsheets/d/1qpEmbGH0JjaJbUdp21-y2cPbobDbMjr09BbtdKROZWc/edit#gid=1444865654"",""articles_with_PRISMA_reasons!B2:B2113""))&lt;2),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$A1854=IMPORTRANGE(""https://docs.google.com/spreadsheets/d/1qpEmbGH0JjaJbUdp21-y2cPbobDbMjr09Bbtd"&amp;"KROZWc/edit#gid=1444865654"",""articles_with_PRISMA_reasons!B2:B2113""))&lt;2,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$A1854=I"&amp;"MPORTRANGE(""https://docs.google.com/spreadsheets/d/1qpEmbGH0JjaJbUdp21-y2cPbobDbMjr09BbtdKROZWc/edit#gid=1444865654"",""articles_with_PRISMA_reasons!B2:B2113""))&gt;=2),
""Exclude""
)"),"Exclude")</f>
        <v>Exclude</v>
      </c>
      <c r="F1854" s="5" t="str">
        <f>IFERROR(__xludf.DUMMYFUNCTION("IFS(
E1854=""Exclude"",""Exclude"",
AND(
COUNTIF(
IMPORTRANGE(""https://docs.google.com/spreadsheets/d/1kGrh75X1cNR1D7_FcY9zMnHP8iPO4M5RCRjy6nZY0TY/edit#gid=0"",""Table 1: Study characteristics!B4:B171""),A1854)&gt;0,
COUNTIF(Studies!$A$2:$A$85,FILTER(IMPORT"&amp;"RANGE(""https://docs.google.com/spreadsheets/d/1kGrh75X1cNR1D7_FcY9zMnHP8iPO4M5RCRjy6nZY0TY/edit#gid=0"",""Table 1: Study characteristics!A4:A171""), $A1854=IMPORTRANGE(""https://docs.google.com/spreadsheets/d/1kGrh75X1cNR1D7_FcY9zMnHP8iPO4M5RCRjy6nZY0TY/"&amp;"edit#gid=0"",""Table 1: Study characteristics!B4:B171"")))&gt;0
),
""Include""
)"),"Exclude")</f>
        <v>Exclude</v>
      </c>
      <c r="G1854" s="5" t="str">
        <f>IFERROR(__xludf.DUMMYFUNCTION("IFS(
D1854=""Exclude"",
FILTER(IMPORTRANGE(""https://docs.google.com/spreadsheets/d/1BJSV3WBYJGRhQ6zExamkszQ5VutGIcaQqmbD9ZTVXMQ/edit#gid=1251630045"",""articles_with_PRISMA_reasons!AB2:AB2113""), $A1854=IMPORTRANGE(""https://docs.google.com/spreadsheets/"&amp;"d/1BJSV3WBYJGRhQ6zExamkszQ5VutGIcaQqmbD9ZTVXMQ/edit#gid=1251630045"",""articles_with_PRISMA_reasons!B2:B2113"")),
E1854=""Exclude"",
FILTER(IMPORTRANGE(""https://docs.google.com/spreadsheets/d/1qpEmbGH0JjaJbUdp21-y2cPbobDbMjr09BbtdKROZWc/edit#gid=14448656"&amp;"54"",""articles_with_PRISMA_reasons!Z2:Z2113""), $A1854=IMPORTRANGE(""https://docs.google.com/spreadsheets/d/1qpEmbGH0JjaJbUdp21-y2cPbobDbMjr09BbtdKROZWc/edit#gid=1444865654"",""articles_with_PRISMA_reasons!B2:B2113"")),F1854
=""Include"",FILTER(IMPORTRAN"&amp;"GE(""https://docs.google.com/spreadsheets/d/1kGrh75X1cNR1D7_FcY9zMnHP8iPO4M5RCRjy6nZY0TY/edit#gid=0"",""Table 1: Study characteristics!A4:A171""), $A1854=IMPORTRANGE(""https://docs.google.com/spreadsheets/d/1kGrh75X1cNR1D7_FcY9zMnHP8iPO4M5RCRjy6nZY0TY/edi"&amp;"t#gid=0"",""Table 1: Study characteristics!B4:B171""))
)"),"wrong publication type")</f>
        <v>wrong publication type</v>
      </c>
    </row>
    <row r="1855">
      <c r="A1855" s="4" t="str">
        <f>IFERROR(__xludf.DUMMYFUNCTION("""COMPUTED_VALUE"""),"Tethered cord syndrome in adulthood")</f>
        <v>Tethered cord syndrome in adulthood</v>
      </c>
      <c r="B1855" s="5" t="str">
        <f>IFERROR(__xludf.DUMMYFUNCTION("LEFT(FILTER(IMPORTRANGE(""https://docs.google.com/spreadsheets/d/1BJSV3WBYJGRhQ6zExamkszQ5VutGIcaQqmbD9ZTVXMQ/edit#gid=1251630045"",""articles_with_PRISMA_reasons!K2:K2113""), $A1855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$A1855=IMPORTRANGE(""https://docs.google.com/spreadsheets/d/1BJSV3WBYJGRhQ6zExamkszQ5VutGIcaQqmbD9ZTVXMQ/edit#gid=1251630045"",""articles_with_PRISMA_reasons!B2:B2113"")))-1)"),"Düz")</f>
        <v>Düz</v>
      </c>
      <c r="C1855" s="6">
        <f>IFERROR(__xludf.DUMMYFUNCTION("FILTER(IMPORTRANGE(""https://docs.google.com/spreadsheets/d/1BJSV3WBYJGRhQ6zExamkszQ5VutGIcaQqmbD9ZTVXMQ/edit#gid=1251630045"",""articles_with_PRISMA_reasons!C2:C2113""), $A1855=IMPORTRANGE(""https://docs.google.com/spreadsheets/d/1BJSV3WBYJGRhQ6zExamkszQ"&amp;"5VutGIcaQqmbD9ZTVXMQ/edit#gid=1251630045"",""articles_with_PRISMA_reasons!B2:B2113""))"),2008.0)</f>
        <v>2008</v>
      </c>
      <c r="D1855" s="5" t="str">
        <f>IFERROR(__xludf.DUMMYFUNCTION("IFS(AND(
FILTER(IMPORTRANGE(""https://docs.google.com/spreadsheets/d/1BJSV3WBYJGRhQ6zExamkszQ5VutGIcaQqmbD9ZTVXMQ/edit#gid=1251630045"",""articles_with_PRISMA_reasons!Y2:Y2113""), $A1855=IMPORTRANGE(""https://docs.google.com/spreadsheets/d/1BJSV3WBYJGRhQ6"&amp;"zExamkszQ5VutGIcaQqmbD9ZTVXMQ/edit#gid=1251630045"",""articles_with_PRISMA_reasons!B2:B2113""))&gt;=2,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$A1855=IMPORTRANGE(""https://docs.google.com/spreadsheets/d/1BJSV3WBYJGRhQ6zExamkszQ5VutGIcaQqmbD9ZTVXMQ/edit#gid=1251630045"",""articles_with_PRISMA_reasons!B2:B2113""))&lt;2),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$A1855=IMPORTRANGE(""https://docs.google.com/spreadsheets/d/1BJSV3WBYJGRhQ6zExamkszQ5VutGIcaQqmbD9ZTVXMQ/edit#gid=1251630045"",""a"&amp;"rticles_with_PRISMA_reasons!B2:B2113""))&lt;2,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$A1855=IMPORTRANGE(""https://docs.google"&amp;".com/spreadsheets/d/1BJSV3WBYJGRhQ6zExamkszQ5VutGIcaQqmbD9ZTVXMQ/edit#gid=1251630045"",""articles_with_PRISMA_reasons!B2:B2113""))&gt;=2),
""Exclude""
)"),"Exclude")</f>
        <v>Exclude</v>
      </c>
      <c r="E1855" s="5" t="str">
        <f>IFERROR(__xludf.DUMMYFUNCTION("IFS(
D1855=""Exclude"",""Exclude"",
AND(
FILTER(IMPORTRANGE(""https://docs.google.com/spreadsheets/d/1qpEmbGH0JjaJbUdp21-y2cPbobDbMjr09BbtdKROZWc/edit#gid=1444865654"",""articles_with_PRISMA_reasons!W2:W2113""), $A1855=IMPORTRANGE(""https://docs.google.co"&amp;"m/spreadsheets/d/1qpEmbGH0JjaJbUdp21-y2cPbobDbMjr09BbtdKROZWc/edit#gid=1444865654"",""articles_with_PRISMA_reasons!B2:B2113""))&gt;=2,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$A1855=IMPORTRANGE(""https://docs.google.com/spreadsheets/d/1qpEmbGH0JjaJbUdp21-y2cPbobDbMjr09BbtdKROZWc/edit#gid=1444865654"",""articles_with_PRISMA_reasons!B2:B2113""))&lt;2),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$A1855=IMPORTRANGE(""https://docs.google.com/spreadsheets/d/1qpEmbGH0JjaJbUdp21-y2cPbobDbMjr09Bbtd"&amp;"KROZWc/edit#gid=1444865654"",""articles_with_PRISMA_reasons!B2:B2113""))&lt;2,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$A1855=I"&amp;"MPORTRANGE(""https://docs.google.com/spreadsheets/d/1qpEmbGH0JjaJbUdp21-y2cPbobDbMjr09BbtdKROZWc/edit#gid=1444865654"",""articles_with_PRISMA_reasons!B2:B2113""))&gt;=2),
""Exclude""
)"),"Exclude")</f>
        <v>Exclude</v>
      </c>
      <c r="F1855" s="5" t="str">
        <f>IFERROR(__xludf.DUMMYFUNCTION("IFS(
E1855=""Exclude"",""Exclude"",
AND(
COUNTIF(
IMPORTRANGE(""https://docs.google.com/spreadsheets/d/1kGrh75X1cNR1D7_FcY9zMnHP8iPO4M5RCRjy6nZY0TY/edit#gid=0"",""Table 1: Study characteristics!B4:B171""),A1855)&gt;0,
COUNTIF(Studies!$A$2:$A$85,FILTER(IMPORT"&amp;"RANGE(""https://docs.google.com/spreadsheets/d/1kGrh75X1cNR1D7_FcY9zMnHP8iPO4M5RCRjy6nZY0TY/edit#gid=0"",""Table 1: Study characteristics!A4:A171""), $A1855=IMPORTRANGE(""https://docs.google.com/spreadsheets/d/1kGrh75X1cNR1D7_FcY9zMnHP8iPO4M5RCRjy6nZY0TY/"&amp;"edit#gid=0"",""Table 1: Study characteristics!B4:B171"")))&gt;0
),
""Include""
)"),"Exclude")</f>
        <v>Exclude</v>
      </c>
      <c r="G1855" s="5" t="str">
        <f>IFERROR(__xludf.DUMMYFUNCTION("IFS(
D1855=""Exclude"",
FILTER(IMPORTRANGE(""https://docs.google.com/spreadsheets/d/1BJSV3WBYJGRhQ6zExamkszQ5VutGIcaQqmbD9ZTVXMQ/edit#gid=1251630045"",""articles_with_PRISMA_reasons!AB2:AB2113""), $A1855=IMPORTRANGE(""https://docs.google.com/spreadsheets/"&amp;"d/1BJSV3WBYJGRhQ6zExamkszQ5VutGIcaQqmbD9ZTVXMQ/edit#gid=1251630045"",""articles_with_PRISMA_reasons!B2:B2113"")),
E1855=""Exclude"",
FILTER(IMPORTRANGE(""https://docs.google.com/spreadsheets/d/1qpEmbGH0JjaJbUdp21-y2cPbobDbMjr09BbtdKROZWc/edit#gid=14448656"&amp;"54"",""articles_with_PRISMA_reasons!Z2:Z2113""), $A1855=IMPORTRANGE(""https://docs.google.com/spreadsheets/d/1qpEmbGH0JjaJbUdp21-y2cPbobDbMjr09BbtdKROZWc/edit#gid=1444865654"",""articles_with_PRISMA_reasons!B2:B2113"")),F1855
=""Include"",FILTER(IMPORTRAN"&amp;"GE(""https://docs.google.com/spreadsheets/d/1kGrh75X1cNR1D7_FcY9zMnHP8iPO4M5RCRjy6nZY0TY/edit#gid=0"",""Table 1: Study characteristics!A4:A171""), $A1855=IMPORTRANGE(""https://docs.google.com/spreadsheets/d/1kGrh75X1cNR1D7_FcY9zMnHP8iPO4M5RCRjy6nZY0TY/edi"&amp;"t#gid=0"",""Table 1: Study characteristics!B4:B171""))
)"),"Duplicate")</f>
        <v>Duplicate</v>
      </c>
    </row>
    <row r="1856">
      <c r="A1856" s="4" t="str">
        <f>IFERROR(__xludf.DUMMYFUNCTION("""COMPUTED_VALUE"""),"Tethered cord syndrome: clinical signs and results of operation in 42 patients with spina bifida aperta and occulta")</f>
        <v>Tethered cord syndrome: clinical signs and results of operation in 42 patients with spina bifida aperta and occulta</v>
      </c>
      <c r="B1856" s="5" t="str">
        <f>IFERROR(__xludf.DUMMYFUNCTION("LEFT(FILTER(IMPORTRANGE(""https://docs.google.com/spreadsheets/d/1BJSV3WBYJGRhQ6zExamkszQ5VutGIcaQqmbD9ZTVXMQ/edit#gid=1251630045"",""articles_with_PRISMA_reasons!K2:K2113""), $A1856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$A1856=IMPORTRANGE(""https://docs.google.com/spreadsheets/d/1BJSV3WBYJGRhQ6zExamkszQ5VutGIcaQqmbD9ZTVXMQ/edit#gid=1251630045"",""articles_with_PRISMA_reasons!B2:B2113"")))-1)"),"Begeer")</f>
        <v>Begeer</v>
      </c>
      <c r="C1856" s="6">
        <f>IFERROR(__xludf.DUMMYFUNCTION("FILTER(IMPORTRANGE(""https://docs.google.com/spreadsheets/d/1BJSV3WBYJGRhQ6zExamkszQ5VutGIcaQqmbD9ZTVXMQ/edit#gid=1251630045"",""articles_with_PRISMA_reasons!C2:C2113""), $A1856=IMPORTRANGE(""https://docs.google.com/spreadsheets/d/1BJSV3WBYJGRhQ6zExamkszQ"&amp;"5VutGIcaQqmbD9ZTVXMQ/edit#gid=1251630045"",""articles_with_PRISMA_reasons!B2:B2113""))"),1989.0)</f>
        <v>1989</v>
      </c>
      <c r="D1856" s="5" t="str">
        <f>IFERROR(__xludf.DUMMYFUNCTION("IFS(AND(
FILTER(IMPORTRANGE(""https://docs.google.com/spreadsheets/d/1BJSV3WBYJGRhQ6zExamkszQ5VutGIcaQqmbD9ZTVXMQ/edit#gid=1251630045"",""articles_with_PRISMA_reasons!Y2:Y2113""), $A1856=IMPORTRANGE(""https://docs.google.com/spreadsheets/d/1BJSV3WBYJGRhQ6"&amp;"zExamkszQ5VutGIcaQqmbD9ZTVXMQ/edit#gid=1251630045"",""articles_with_PRISMA_reasons!B2:B2113""))&gt;=2,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$A1856=IMPORTRANGE(""https://docs.google.com/spreadsheets/d/1BJSV3WBYJGRhQ6zExamkszQ5VutGIcaQqmbD9ZTVXMQ/edit#gid=1251630045"",""articles_with_PRISMA_reasons!B2:B2113""))&lt;2),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$A1856=IMPORTRANGE(""https://docs.google.com/spreadsheets/d/1BJSV3WBYJGRhQ6zExamkszQ5VutGIcaQqmbD9ZTVXMQ/edit#gid=1251630045"",""a"&amp;"rticles_with_PRISMA_reasons!B2:B2113""))&lt;2,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$A1856=IMPORTRANGE(""https://docs.google"&amp;".com/spreadsheets/d/1BJSV3WBYJGRhQ6zExamkszQ5VutGIcaQqmbD9ZTVXMQ/edit#gid=1251630045"",""articles_with_PRISMA_reasons!B2:B2113""))&gt;=2),
""Exclude""
)"),"Exclude")</f>
        <v>Exclude</v>
      </c>
      <c r="E1856" s="5" t="str">
        <f>IFERROR(__xludf.DUMMYFUNCTION("IFS(
D1856=""Exclude"",""Exclude"",
AND(
FILTER(IMPORTRANGE(""https://docs.google.com/spreadsheets/d/1qpEmbGH0JjaJbUdp21-y2cPbobDbMjr09BbtdKROZWc/edit#gid=1444865654"",""articles_with_PRISMA_reasons!W2:W2113""), $A1856=IMPORTRANGE(""https://docs.google.co"&amp;"m/spreadsheets/d/1qpEmbGH0JjaJbUdp21-y2cPbobDbMjr09BbtdKROZWc/edit#gid=1444865654"",""articles_with_PRISMA_reasons!B2:B2113""))&gt;=2,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$A1856=IMPORTRANGE(""https://docs.google.com/spreadsheets/d/1qpEmbGH0JjaJbUdp21-y2cPbobDbMjr09BbtdKROZWc/edit#gid=1444865654"",""articles_with_PRISMA_reasons!B2:B2113""))&lt;2),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$A1856=IMPORTRANGE(""https://docs.google.com/spreadsheets/d/1qpEmbGH0JjaJbUdp21-y2cPbobDbMjr09Bbtd"&amp;"KROZWc/edit#gid=1444865654"",""articles_with_PRISMA_reasons!B2:B2113""))&lt;2,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$A1856=I"&amp;"MPORTRANGE(""https://docs.google.com/spreadsheets/d/1qpEmbGH0JjaJbUdp21-y2cPbobDbMjr09BbtdKROZWc/edit#gid=1444865654"",""articles_with_PRISMA_reasons!B2:B2113""))&gt;=2),
""Exclude""
)"),"Exclude")</f>
        <v>Exclude</v>
      </c>
      <c r="F1856" s="5" t="str">
        <f>IFERROR(__xludf.DUMMYFUNCTION("IFS(
E1856=""Exclude"",""Exclude"",
AND(
COUNTIF(
IMPORTRANGE(""https://docs.google.com/spreadsheets/d/1kGrh75X1cNR1D7_FcY9zMnHP8iPO4M5RCRjy6nZY0TY/edit#gid=0"",""Table 1: Study characteristics!B4:B171""),A1856)&gt;0,
COUNTIF(Studies!$A$2:$A$85,FILTER(IMPORT"&amp;"RANGE(""https://docs.google.com/spreadsheets/d/1kGrh75X1cNR1D7_FcY9zMnHP8iPO4M5RCRjy6nZY0TY/edit#gid=0"",""Table 1: Study characteristics!A4:A171""), $A1856=IMPORTRANGE(""https://docs.google.com/spreadsheets/d/1kGrh75X1cNR1D7_FcY9zMnHP8iPO4M5RCRjy6nZY0TY/"&amp;"edit#gid=0"",""Table 1: Study characteristics!B4:B171"")))&gt;0
),
""Include""
)"),"Exclude")</f>
        <v>Exclude</v>
      </c>
      <c r="G1856" s="5" t="str">
        <f>IFERROR(__xludf.DUMMYFUNCTION("IFS(
D1856=""Exclude"",
FILTER(IMPORTRANGE(""https://docs.google.com/spreadsheets/d/1BJSV3WBYJGRhQ6zExamkszQ5VutGIcaQqmbD9ZTVXMQ/edit#gid=1251630045"",""articles_with_PRISMA_reasons!AB2:AB2113""), $A1856=IMPORTRANGE(""https://docs.google.com/spreadsheets/"&amp;"d/1BJSV3WBYJGRhQ6zExamkszQ5VutGIcaQqmbD9ZTVXMQ/edit#gid=1251630045"",""articles_with_PRISMA_reasons!B2:B2113"")),
E1856=""Exclude"",
FILTER(IMPORTRANGE(""https://docs.google.com/spreadsheets/d/1qpEmbGH0JjaJbUdp21-y2cPbobDbMjr09BbtdKROZWc/edit#gid=14448656"&amp;"54"",""articles_with_PRISMA_reasons!Z2:Z2113""), $A1856=IMPORTRANGE(""https://docs.google.com/spreadsheets/d/1qpEmbGH0JjaJbUdp21-y2cPbobDbMjr09BbtdKROZWc/edit#gid=1444865654"",""articles_with_PRISMA_reasons!B2:B2113"")),F1856
=""Include"",FILTER(IMPORTRAN"&amp;"GE(""https://docs.google.com/spreadsheets/d/1kGrh75X1cNR1D7_FcY9zMnHP8iPO4M5RCRjy6nZY0TY/edit#gid=0"",""Table 1: Study characteristics!A4:A171""), $A1856=IMPORTRANGE(""https://docs.google.com/spreadsheets/d/1kGrh75X1cNR1D7_FcY9zMnHP8iPO4M5RCRjy6nZY0TY/edi"&amp;"t#gid=0"",""Table 1: Study characteristics!B4:B171""))
)"),"wrong population")</f>
        <v>wrong population</v>
      </c>
    </row>
    <row r="1857">
      <c r="A1857" s="4" t="str">
        <f>IFERROR(__xludf.DUMMYFUNCTION("""COMPUTED_VALUE"""),"Tethered spinal cord among individuals with myelomeningocele: An analysis of the National Spina Bifida Patient Registry")</f>
        <v>Tethered spinal cord among individuals with myelomeningocele: An analysis of the National Spina Bifida Patient Registry</v>
      </c>
      <c r="B1857" s="5" t="str">
        <f>IFERROR(__xludf.DUMMYFUNCTION("LEFT(FILTER(IMPORTRANGE(""https://docs.google.com/spreadsheets/d/1BJSV3WBYJGRhQ6zExamkszQ5VutGIcaQqmbD9ZTVXMQ/edit#gid=1251630045"",""articles_with_PRISMA_reasons!K2:K2113""), $A1857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$A1857=IMPORTRANGE(""https://docs.google.com/spreadsheets/d/1BJSV3WBYJGRhQ6zExamkszQ5VutGIcaQqmbD9ZTVXMQ/edit#gid=1251630045"",""articles_with_PRISMA_reasons!B2:B2113"")))-1)"),"Dias")</f>
        <v>Dias</v>
      </c>
      <c r="C1857" s="6">
        <f>IFERROR(__xludf.DUMMYFUNCTION("FILTER(IMPORTRANGE(""https://docs.google.com/spreadsheets/d/1BJSV3WBYJGRhQ6zExamkszQ5VutGIcaQqmbD9ZTVXMQ/edit#gid=1251630045"",""articles_with_PRISMA_reasons!C2:C2113""), $A1857=IMPORTRANGE(""https://docs.google.com/spreadsheets/d/1BJSV3WBYJGRhQ6zExamkszQ"&amp;"5VutGIcaQqmbD9ZTVXMQ/edit#gid=1251630045"",""articles_with_PRISMA_reasons!B2:B2113""))"),2021.0)</f>
        <v>2021</v>
      </c>
      <c r="D1857" s="5" t="str">
        <f>IFERROR(__xludf.DUMMYFUNCTION("IFS(AND(
FILTER(IMPORTRANGE(""https://docs.google.com/spreadsheets/d/1BJSV3WBYJGRhQ6zExamkszQ5VutGIcaQqmbD9ZTVXMQ/edit#gid=1251630045"",""articles_with_PRISMA_reasons!Y2:Y2113""), $A1857=IMPORTRANGE(""https://docs.google.com/spreadsheets/d/1BJSV3WBYJGRhQ6"&amp;"zExamkszQ5VutGIcaQqmbD9ZTVXMQ/edit#gid=1251630045"",""articles_with_PRISMA_reasons!B2:B2113""))&gt;=2,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$A1857=IMPORTRANGE(""https://docs.google.com/spreadsheets/d/1BJSV3WBYJGRhQ6zExamkszQ5VutGIcaQqmbD9ZTVXMQ/edit#gid=1251630045"",""articles_with_PRISMA_reasons!B2:B2113""))&lt;2),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$A1857=IMPORTRANGE(""https://docs.google.com/spreadsheets/d/1BJSV3WBYJGRhQ6zExamkszQ5VutGIcaQqmbD9ZTVXMQ/edit#gid=1251630045"",""a"&amp;"rticles_with_PRISMA_reasons!B2:B2113""))&lt;2,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$A1857=IMPORTRANGE(""https://docs.google"&amp;".com/spreadsheets/d/1BJSV3WBYJGRhQ6zExamkszQ5VutGIcaQqmbD9ZTVXMQ/edit#gid=1251630045"",""articles_with_PRISMA_reasons!B2:B2113""))&gt;=2),
""Exclude""
)"),"Exclude")</f>
        <v>Exclude</v>
      </c>
      <c r="E1857" s="5" t="str">
        <f>IFERROR(__xludf.DUMMYFUNCTION("IFS(
D1857=""Exclude"",""Exclude"",
AND(
FILTER(IMPORTRANGE(""https://docs.google.com/spreadsheets/d/1qpEmbGH0JjaJbUdp21-y2cPbobDbMjr09BbtdKROZWc/edit#gid=1444865654"",""articles_with_PRISMA_reasons!W2:W2113""), $A1857=IMPORTRANGE(""https://docs.google.co"&amp;"m/spreadsheets/d/1qpEmbGH0JjaJbUdp21-y2cPbobDbMjr09BbtdKROZWc/edit#gid=1444865654"",""articles_with_PRISMA_reasons!B2:B2113""))&gt;=2,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$A1857=IMPORTRANGE(""https://docs.google.com/spreadsheets/d/1qpEmbGH0JjaJbUdp21-y2cPbobDbMjr09BbtdKROZWc/edit#gid=1444865654"",""articles_with_PRISMA_reasons!B2:B2113""))&lt;2),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$A1857=IMPORTRANGE(""https://docs.google.com/spreadsheets/d/1qpEmbGH0JjaJbUdp21-y2cPbobDbMjr09Bbtd"&amp;"KROZWc/edit#gid=1444865654"",""articles_with_PRISMA_reasons!B2:B2113""))&lt;2,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$A1857=I"&amp;"MPORTRANGE(""https://docs.google.com/spreadsheets/d/1qpEmbGH0JjaJbUdp21-y2cPbobDbMjr09BbtdKROZWc/edit#gid=1444865654"",""articles_with_PRISMA_reasons!B2:B2113""))&gt;=2),
""Exclude""
)"),"Exclude")</f>
        <v>Exclude</v>
      </c>
      <c r="F1857" s="5" t="str">
        <f>IFERROR(__xludf.DUMMYFUNCTION("IFS(
E1857=""Exclude"",""Exclude"",
AND(
COUNTIF(
IMPORTRANGE(""https://docs.google.com/spreadsheets/d/1kGrh75X1cNR1D7_FcY9zMnHP8iPO4M5RCRjy6nZY0TY/edit#gid=0"",""Table 1: Study characteristics!B4:B171""),A1857)&gt;0,
COUNTIF(Studies!$A$2:$A$85,FILTER(IMPORT"&amp;"RANGE(""https://docs.google.com/spreadsheets/d/1kGrh75X1cNR1D7_FcY9zMnHP8iPO4M5RCRjy6nZY0TY/edit#gid=0"",""Table 1: Study characteristics!A4:A171""), $A1857=IMPORTRANGE(""https://docs.google.com/spreadsheets/d/1kGrh75X1cNR1D7_FcY9zMnHP8iPO4M5RCRjy6nZY0TY/"&amp;"edit#gid=0"",""Table 1: Study characteristics!B4:B171"")))&gt;0
),
""Include""
)"),"Exclude")</f>
        <v>Exclude</v>
      </c>
      <c r="G1857" s="5" t="str">
        <f>IFERROR(__xludf.DUMMYFUNCTION("IFS(
D1857=""Exclude"",
FILTER(IMPORTRANGE(""https://docs.google.com/spreadsheets/d/1BJSV3WBYJGRhQ6zExamkszQ5VutGIcaQqmbD9ZTVXMQ/edit#gid=1251630045"",""articles_with_PRISMA_reasons!AB2:AB2113""), $A1857=IMPORTRANGE(""https://docs.google.com/spreadsheets/"&amp;"d/1BJSV3WBYJGRhQ6zExamkszQ5VutGIcaQqmbD9ZTVXMQ/edit#gid=1251630045"",""articles_with_PRISMA_reasons!B2:B2113"")),
E1857=""Exclude"",
FILTER(IMPORTRANGE(""https://docs.google.com/spreadsheets/d/1qpEmbGH0JjaJbUdp21-y2cPbobDbMjr09BbtdKROZWc/edit#gid=14448656"&amp;"54"",""articles_with_PRISMA_reasons!Z2:Z2113""), $A1857=IMPORTRANGE(""https://docs.google.com/spreadsheets/d/1qpEmbGH0JjaJbUdp21-y2cPbobDbMjr09BbtdKROZWc/edit#gid=1444865654"",""articles_with_PRISMA_reasons!B2:B2113"")),F1857
=""Include"",FILTER(IMPORTRAN"&amp;"GE(""https://docs.google.com/spreadsheets/d/1kGrh75X1cNR1D7_FcY9zMnHP8iPO4M5RCRjy6nZY0TY/edit#gid=0"",""Table 1: Study characteristics!A4:A171""), $A1857=IMPORTRANGE(""https://docs.google.com/spreadsheets/d/1kGrh75X1cNR1D7_FcY9zMnHP8iPO4M5RCRjy6nZY0TY/edi"&amp;"t#gid=0"",""Table 1: Study characteristics!B4:B171""))
)"),"wrong population")</f>
        <v>wrong population</v>
      </c>
    </row>
    <row r="1858">
      <c r="A1858" s="4" t="str">
        <f>IFERROR(__xludf.DUMMYFUNCTION("""COMPUTED_VALUE"""),"The Arnold-Chiari malformation")</f>
        <v>The Arnold-Chiari malformation</v>
      </c>
      <c r="B1858" s="5" t="str">
        <f>IFERROR(__xludf.DUMMYFUNCTION("LEFT(FILTER(IMPORTRANGE(""https://docs.google.com/spreadsheets/d/1BJSV3WBYJGRhQ6zExamkszQ5VutGIcaQqmbD9ZTVXMQ/edit#gid=1251630045"",""articles_with_PRISMA_reasons!K2:K2113""), $A1858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$A1858=IMPORTRANGE(""https://docs.google.com/spreadsheets/d/1BJSV3WBYJGRhQ6zExamkszQ5VutGIcaQqmbD9ZTVXMQ/edit#gid=1251630045"",""articles_with_PRISMA_reasons!B2:B2113"")))-1)"),"Raynor")</f>
        <v>Raynor</v>
      </c>
      <c r="C1858" s="3">
        <v>1986.0</v>
      </c>
      <c r="D1858" s="5" t="str">
        <f>IFERROR(__xludf.DUMMYFUNCTION("IFS(AND(
FILTER(IMPORTRANGE(""https://docs.google.com/spreadsheets/d/1BJSV3WBYJGRhQ6zExamkszQ5VutGIcaQqmbD9ZTVXMQ/edit#gid=1251630045"",""articles_with_PRISMA_reasons!Y2:Y2113""), $A1858=IMPORTRANGE(""https://docs.google.com/spreadsheets/d/1BJSV3WBYJGRhQ6"&amp;"zExamkszQ5VutGIcaQqmbD9ZTVXMQ/edit#gid=1251630045"",""articles_with_PRISMA_reasons!B2:B2113""))&gt;=2,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$A1858=IMPORTRANGE(""https://docs.google.com/spreadsheets/d/1BJSV3WBYJGRhQ6zExamkszQ5VutGIcaQqmbD9ZTVXMQ/edit#gid=1251630045"",""articles_with_PRISMA_reasons!B2:B2113""))&lt;2),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$A1858=IMPORTRANGE(""https://docs.google.com/spreadsheets/d/1BJSV3WBYJGRhQ6zExamkszQ5VutGIcaQqmbD9ZTVXMQ/edit#gid=1251630045"",""a"&amp;"rticles_with_PRISMA_reasons!B2:B2113""))&lt;2,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$A1858=IMPORTRANGE(""https://docs.google"&amp;".com/spreadsheets/d/1BJSV3WBYJGRhQ6zExamkszQ5VutGIcaQqmbD9ZTVXMQ/edit#gid=1251630045"",""articles_with_PRISMA_reasons!B2:B2113""))&gt;=2),
""Exclude""
)"),"Exclude")</f>
        <v>Exclude</v>
      </c>
      <c r="E1858" s="5" t="str">
        <f>IFERROR(__xludf.DUMMYFUNCTION("IFS(
D1858=""Exclude"",""Exclude"",
AND(
FILTER(IMPORTRANGE(""https://docs.google.com/spreadsheets/d/1qpEmbGH0JjaJbUdp21-y2cPbobDbMjr09BbtdKROZWc/edit#gid=1444865654"",""articles_with_PRISMA_reasons!W2:W2113""), $A1858=IMPORTRANGE(""https://docs.google.co"&amp;"m/spreadsheets/d/1qpEmbGH0JjaJbUdp21-y2cPbobDbMjr09BbtdKROZWc/edit#gid=1444865654"",""articles_with_PRISMA_reasons!B2:B2113""))&gt;=2,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$A1858=IMPORTRANGE(""https://docs.google.com/spreadsheets/d/1qpEmbGH0JjaJbUdp21-y2cPbobDbMjr09BbtdKROZWc/edit#gid=1444865654"",""articles_with_PRISMA_reasons!B2:B2113""))&lt;2),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$A1858=IMPORTRANGE(""https://docs.google.com/spreadsheets/d/1qpEmbGH0JjaJbUdp21-y2cPbobDbMjr09Bbtd"&amp;"KROZWc/edit#gid=1444865654"",""articles_with_PRISMA_reasons!B2:B2113""))&lt;2,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$A1858=I"&amp;"MPORTRANGE(""https://docs.google.com/spreadsheets/d/1qpEmbGH0JjaJbUdp21-y2cPbobDbMjr09BbtdKROZWc/edit#gid=1444865654"",""articles_with_PRISMA_reasons!B2:B2113""))&gt;=2),
""Exclude""
)"),"Exclude")</f>
        <v>Exclude</v>
      </c>
      <c r="F1858" s="5" t="str">
        <f>IFERROR(__xludf.DUMMYFUNCTION("IFS(
E1858=""Exclude"",""Exclude"",
AND(
COUNTIF(
IMPORTRANGE(""https://docs.google.com/spreadsheets/d/1kGrh75X1cNR1D7_FcY9zMnHP8iPO4M5RCRjy6nZY0TY/edit#gid=0"",""Table 1: Study characteristics!B4:B171""),A1858)&gt;0,
COUNTIF(Studies!$A$2:$A$85,FILTER(IMPORT"&amp;"RANGE(""https://docs.google.com/spreadsheets/d/1kGrh75X1cNR1D7_FcY9zMnHP8iPO4M5RCRjy6nZY0TY/edit#gid=0"",""Table 1: Study characteristics!A4:A171""), $A1858=IMPORTRANGE(""https://docs.google.com/spreadsheets/d/1kGrh75X1cNR1D7_FcY9zMnHP8iPO4M5RCRjy6nZY0TY/"&amp;"edit#gid=0"",""Table 1: Study characteristics!B4:B171"")))&gt;0
),
""Include""
)"),"Exclude")</f>
        <v>Exclude</v>
      </c>
      <c r="G1858" s="5" t="s">
        <v>7</v>
      </c>
    </row>
    <row r="1859">
      <c r="A1859" s="4" t="str">
        <f>IFERROR(__xludf.DUMMYFUNCTION("""COMPUTED_VALUE"""),"The Arnold-Chiari malformation")</f>
        <v>The Arnold-Chiari malformation</v>
      </c>
      <c r="B1859" s="5" t="str">
        <f>IFERROR(__xludf.DUMMYFUNCTION("LEFT(FILTER(IMPORTRANGE(""https://docs.google.com/spreadsheets/d/1BJSV3WBYJGRhQ6zExamkszQ5VutGIcaQqmbD9ZTVXMQ/edit#gid=1251630045"",""articles_with_PRISMA_reasons!K2:K2113""), $A1859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$A1859=IMPORTRANGE(""https://docs.google.com/spreadsheets/d/1BJSV3WBYJGRhQ6zExamkszQ5VutGIcaQqmbD9ZTVXMQ/edit#gid=1251630045"",""articles_with_PRISMA_reasons!B2:B2113"")))-1)"),"Raynor")</f>
        <v>Raynor</v>
      </c>
      <c r="C1859" s="3">
        <v>1986.0</v>
      </c>
      <c r="D1859" s="5" t="str">
        <f>IFERROR(__xludf.DUMMYFUNCTION("IFS(AND(
FILTER(IMPORTRANGE(""https://docs.google.com/spreadsheets/d/1BJSV3WBYJGRhQ6zExamkszQ5VutGIcaQqmbD9ZTVXMQ/edit#gid=1251630045"",""articles_with_PRISMA_reasons!Y2:Y2113""), $A1859=IMPORTRANGE(""https://docs.google.com/spreadsheets/d/1BJSV3WBYJGRhQ6"&amp;"zExamkszQ5VutGIcaQqmbD9ZTVXMQ/edit#gid=1251630045"",""articles_with_PRISMA_reasons!B2:B2113""))&gt;=2,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$A1859=IMPORTRANGE(""https://docs.google.com/spreadsheets/d/1BJSV3WBYJGRhQ6zExamkszQ5VutGIcaQqmbD9ZTVXMQ/edit#gid=1251630045"",""articles_with_PRISMA_reasons!B2:B2113""))&lt;2),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$A1859=IMPORTRANGE(""https://docs.google.com/spreadsheets/d/1BJSV3WBYJGRhQ6zExamkszQ5VutGIcaQqmbD9ZTVXMQ/edit#gid=1251630045"",""a"&amp;"rticles_with_PRISMA_reasons!B2:B2113""))&lt;2,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$A1859=IMPORTRANGE(""https://docs.google"&amp;".com/spreadsheets/d/1BJSV3WBYJGRhQ6zExamkszQ5VutGIcaQqmbD9ZTVXMQ/edit#gid=1251630045"",""articles_with_PRISMA_reasons!B2:B2113""))&gt;=2),
""Exclude""
)"),"Exclude")</f>
        <v>Exclude</v>
      </c>
      <c r="E1859" s="5" t="str">
        <f>IFERROR(__xludf.DUMMYFUNCTION("IFS(
D1859=""Exclude"",""Exclude"",
AND(
FILTER(IMPORTRANGE(""https://docs.google.com/spreadsheets/d/1qpEmbGH0JjaJbUdp21-y2cPbobDbMjr09BbtdKROZWc/edit#gid=1444865654"",""articles_with_PRISMA_reasons!W2:W2113""), $A1859=IMPORTRANGE(""https://docs.google.co"&amp;"m/spreadsheets/d/1qpEmbGH0JjaJbUdp21-y2cPbobDbMjr09BbtdKROZWc/edit#gid=1444865654"",""articles_with_PRISMA_reasons!B2:B2113""))&gt;=2,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$A1859=IMPORTRANGE(""https://docs.google.com/spreadsheets/d/1qpEmbGH0JjaJbUdp21-y2cPbobDbMjr09BbtdKROZWc/edit#gid=1444865654"",""articles_with_PRISMA_reasons!B2:B2113""))&lt;2),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$A1859=IMPORTRANGE(""https://docs.google.com/spreadsheets/d/1qpEmbGH0JjaJbUdp21-y2cPbobDbMjr09Bbtd"&amp;"KROZWc/edit#gid=1444865654"",""articles_with_PRISMA_reasons!B2:B2113""))&lt;2,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$A1859=I"&amp;"MPORTRANGE(""https://docs.google.com/spreadsheets/d/1qpEmbGH0JjaJbUdp21-y2cPbobDbMjr09BbtdKROZWc/edit#gid=1444865654"",""articles_with_PRISMA_reasons!B2:B2113""))&gt;=2),
""Exclude""
)"),"Exclude")</f>
        <v>Exclude</v>
      </c>
      <c r="F1859" s="5" t="str">
        <f>IFERROR(__xludf.DUMMYFUNCTION("IFS(
E1859=""Exclude"",""Exclude"",
AND(
COUNTIF(
IMPORTRANGE(""https://docs.google.com/spreadsheets/d/1kGrh75X1cNR1D7_FcY9zMnHP8iPO4M5RCRjy6nZY0TY/edit#gid=0"",""Table 1: Study characteristics!B4:B171""),A1859)&gt;0,
COUNTIF(Studies!$A$2:$A$85,FILTER(IMPORT"&amp;"RANGE(""https://docs.google.com/spreadsheets/d/1kGrh75X1cNR1D7_FcY9zMnHP8iPO4M5RCRjy6nZY0TY/edit#gid=0"",""Table 1: Study characteristics!A4:A171""), $A1859=IMPORTRANGE(""https://docs.google.com/spreadsheets/d/1kGrh75X1cNR1D7_FcY9zMnHP8iPO4M5RCRjy6nZY0TY/"&amp;"edit#gid=0"",""Table 1: Study characteristics!B4:B171"")))&gt;0
),
""Include""
)"),"Exclude")</f>
        <v>Exclude</v>
      </c>
      <c r="G1859" s="2" t="s">
        <v>13</v>
      </c>
    </row>
    <row r="1860">
      <c r="A1860" s="4" t="str">
        <f>IFERROR(__xludf.DUMMYFUNCTION("""COMPUTED_VALUE"""),"The Association between the Timing of Shunt Placement and Shunt Infection in Hydrocephalus Associated with Myelomeningocele")</f>
        <v>The Association between the Timing of Shunt Placement and Shunt Infection in Hydrocephalus Associated with Myelomeningocele</v>
      </c>
      <c r="B1860" s="5" t="str">
        <f>IFERROR(__xludf.DUMMYFUNCTION("LEFT(FILTER(IMPORTRANGE(""https://docs.google.com/spreadsheets/d/1BJSV3WBYJGRhQ6zExamkszQ5VutGIcaQqmbD9ZTVXMQ/edit#gid=1251630045"",""articles_with_PRISMA_reasons!K2:K2113""), $A1860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$A1860=IMPORTRANGE(""https://docs.google.com/spreadsheets/d/1BJSV3WBYJGRhQ6zExamkszQ5VutGIcaQqmbD9ZTVXMQ/edit#gid=1251630045"",""articles_with_PRISMA_reasons!B2:B2113"")))-1)"),"Gurbuz")</f>
        <v>Gurbuz</v>
      </c>
      <c r="C1860" s="6">
        <f>IFERROR(__xludf.DUMMYFUNCTION("FILTER(IMPORTRANGE(""https://docs.google.com/spreadsheets/d/1BJSV3WBYJGRhQ6zExamkszQ5VutGIcaQqmbD9ZTVXMQ/edit#gid=1251630045"",""articles_with_PRISMA_reasons!C2:C2113""), $A1860=IMPORTRANGE(""https://docs.google.com/spreadsheets/d/1BJSV3WBYJGRhQ6zExamkszQ"&amp;"5VutGIcaQqmbD9ZTVXMQ/edit#gid=1251630045"",""articles_with_PRISMA_reasons!B2:B2113""))"),2020.0)</f>
        <v>2020</v>
      </c>
      <c r="D1860" s="5" t="str">
        <f>IFERROR(__xludf.DUMMYFUNCTION("IFS(AND(
FILTER(IMPORTRANGE(""https://docs.google.com/spreadsheets/d/1BJSV3WBYJGRhQ6zExamkszQ5VutGIcaQqmbD9ZTVXMQ/edit#gid=1251630045"",""articles_with_PRISMA_reasons!Y2:Y2113""), $A1860=IMPORTRANGE(""https://docs.google.com/spreadsheets/d/1BJSV3WBYJGRhQ6"&amp;"zExamkszQ5VutGIcaQqmbD9ZTVXMQ/edit#gid=1251630045"",""articles_with_PRISMA_reasons!B2:B2113""))&gt;=2,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$A1860=IMPORTRANGE(""https://docs.google.com/spreadsheets/d/1BJSV3WBYJGRhQ6zExamkszQ5VutGIcaQqmbD9ZTVXMQ/edit#gid=1251630045"",""articles_with_PRISMA_reasons!B2:B2113""))&lt;2),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$A1860=IMPORTRANGE(""https://docs.google.com/spreadsheets/d/1BJSV3WBYJGRhQ6zExamkszQ5VutGIcaQqmbD9ZTVXMQ/edit#gid=1251630045"",""a"&amp;"rticles_with_PRISMA_reasons!B2:B2113""))&lt;2,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$A1860=IMPORTRANGE(""https://docs.google"&amp;".com/spreadsheets/d/1BJSV3WBYJGRhQ6zExamkszQ5VutGIcaQqmbD9ZTVXMQ/edit#gid=1251630045"",""articles_with_PRISMA_reasons!B2:B2113""))&gt;=2),
""Exclude""
)"),"Include")</f>
        <v>Include</v>
      </c>
      <c r="E1860" s="5" t="str">
        <f>IFERROR(__xludf.DUMMYFUNCTION("IFS(
D1860=""Exclude"",""Exclude"",
AND(
FILTER(IMPORTRANGE(""https://docs.google.com/spreadsheets/d/1qpEmbGH0JjaJbUdp21-y2cPbobDbMjr09BbtdKROZWc/edit#gid=1444865654"",""articles_with_PRISMA_reasons!W2:W2113""), $A1860=IMPORTRANGE(""https://docs.google.co"&amp;"m/spreadsheets/d/1qpEmbGH0JjaJbUdp21-y2cPbobDbMjr09BbtdKROZWc/edit#gid=1444865654"",""articles_with_PRISMA_reasons!B2:B2113""))&gt;=2,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$A1860=IMPORTRANGE(""https://docs.google.com/spreadsheets/d/1qpEmbGH0JjaJbUdp21-y2cPbobDbMjr09BbtdKROZWc/edit#gid=1444865654"",""articles_with_PRISMA_reasons!B2:B2113""))&lt;2),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$A1860=IMPORTRANGE(""https://docs.google.com/spreadsheets/d/1qpEmbGH0JjaJbUdp21-y2cPbobDbMjr09Bbtd"&amp;"KROZWc/edit#gid=1444865654"",""articles_with_PRISMA_reasons!B2:B2113""))&lt;2,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$A1860=I"&amp;"MPORTRANGE(""https://docs.google.com/spreadsheets/d/1qpEmbGH0JjaJbUdp21-y2cPbobDbMjr09BbtdKROZWc/edit#gid=1444865654"",""articles_with_PRISMA_reasons!B2:B2113""))&gt;=2),
""Exclude""
)"),"Include")</f>
        <v>Include</v>
      </c>
      <c r="F1860" s="5" t="str">
        <f>IFERROR(__xludf.DUMMYFUNCTION("IFS(
E1860=""Exclude"",""Exclude"",
AND(
COUNTIF(
IMPORTRANGE(""https://docs.google.com/spreadsheets/d/1kGrh75X1cNR1D7_FcY9zMnHP8iPO4M5RCRjy6nZY0TY/edit#gid=0"",""Table 1: Study characteristics!B4:B171""),A1860)&gt;0,
COUNTIF(Studies!$A$2:$A$85,FILTER(IMPORT"&amp;"RANGE(""https://docs.google.com/spreadsheets/d/1kGrh75X1cNR1D7_FcY9zMnHP8iPO4M5RCRjy6nZY0TY/edit#gid=0"",""Table 1: Study characteristics!A4:A171""), $A1860=IMPORTRANGE(""https://docs.google.com/spreadsheets/d/1kGrh75X1cNR1D7_FcY9zMnHP8iPO4M5RCRjy6nZY0TY/"&amp;"edit#gid=0"",""Table 1: Study characteristics!B4:B171"")))&gt;0
),
""Include""
)"),"Include")</f>
        <v>Include</v>
      </c>
      <c r="G1860" s="5" t="str">
        <f>IFERROR(__xludf.DUMMYFUNCTION("IFS(
D1860=""Exclude"",
FILTER(IMPORTRANGE(""https://docs.google.com/spreadsheets/d/1BJSV3WBYJGRhQ6zExamkszQ5VutGIcaQqmbD9ZTVXMQ/edit#gid=1251630045"",""articles_with_PRISMA_reasons!AB2:AB2113""), $A1860=IMPORTRANGE(""https://docs.google.com/spreadsheets/"&amp;"d/1BJSV3WBYJGRhQ6zExamkszQ5VutGIcaQqmbD9ZTVXMQ/edit#gid=1251630045"",""articles_with_PRISMA_reasons!B2:B2113"")),
E1860=""Exclude"",
FILTER(IMPORTRANGE(""https://docs.google.com/spreadsheets/d/1qpEmbGH0JjaJbUdp21-y2cPbobDbMjr09BbtdKROZWc/edit#gid=14448656"&amp;"54"",""articles_with_PRISMA_reasons!Z2:Z2113""), $A1860=IMPORTRANGE(""https://docs.google.com/spreadsheets/d/1qpEmbGH0JjaJbUdp21-y2cPbobDbMjr09BbtdKROZWc/edit#gid=1444865654"",""articles_with_PRISMA_reasons!B2:B2113"")),F1860
=""Include"",FILTER(IMPORTRAN"&amp;"GE(""https://docs.google.com/spreadsheets/d/1kGrh75X1cNR1D7_FcY9zMnHP8iPO4M5RCRjy6nZY0TY/edit#gid=0"",""Table 1: Study characteristics!A4:A171""), $A1860=IMPORTRANGE(""https://docs.google.com/spreadsheets/d/1kGrh75X1cNR1D7_FcY9zMnHP8iPO4M5RCRjy6nZY0TY/edi"&amp;"t#gid=0"",""Table 1: Study characteristics!B4:B171""))
)"),"ID 151")</f>
        <v>ID 151</v>
      </c>
    </row>
    <row r="1861">
      <c r="A1861" s="4" t="str">
        <f>IFERROR(__xludf.DUMMYFUNCTION("""COMPUTED_VALUE"""),"The association of hydrocephalus and Arnold--Chiari malformation with spina bifida in the fetus")</f>
        <v>The association of hydrocephalus and Arnold--Chiari malformation with spina bifida in the fetus</v>
      </c>
      <c r="B1861" s="5" t="str">
        <f>IFERROR(__xludf.DUMMYFUNCTION("LEFT(FILTER(IMPORTRANGE(""https://docs.google.com/spreadsheets/d/1BJSV3WBYJGRhQ6zExamkszQ5VutGIcaQqmbD9ZTVXMQ/edit#gid=1251630045"",""articles_with_PRISMA_reasons!K2:K2113""), $A1861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$A1861=IMPORTRANGE(""https://docs.google.com/spreadsheets/d/1BJSV3WBYJGRhQ6zExamkszQ5VutGIcaQqmbD9ZTVXMQ/edit#gid=1251630045"",""articles_with_PRISMA_reasons!B2:B2113"")))-1)"),"Bell")</f>
        <v>Bell</v>
      </c>
      <c r="C1861" s="6">
        <f>IFERROR(__xludf.DUMMYFUNCTION("FILTER(IMPORTRANGE(""https://docs.google.com/spreadsheets/d/1BJSV3WBYJGRhQ6zExamkszQ5VutGIcaQqmbD9ZTVXMQ/edit#gid=1251630045"",""articles_with_PRISMA_reasons!C2:C2113""), $A1861=IMPORTRANGE(""https://docs.google.com/spreadsheets/d/1BJSV3WBYJGRhQ6zExamkszQ"&amp;"5VutGIcaQqmbD9ZTVXMQ/edit#gid=1251630045"",""articles_with_PRISMA_reasons!B2:B2113""))"),1980.0)</f>
        <v>1980</v>
      </c>
      <c r="D1861" s="5" t="str">
        <f>IFERROR(__xludf.DUMMYFUNCTION("IFS(AND(
FILTER(IMPORTRANGE(""https://docs.google.com/spreadsheets/d/1BJSV3WBYJGRhQ6zExamkszQ5VutGIcaQqmbD9ZTVXMQ/edit#gid=1251630045"",""articles_with_PRISMA_reasons!Y2:Y2113""), $A1861=IMPORTRANGE(""https://docs.google.com/spreadsheets/d/1BJSV3WBYJGRhQ6"&amp;"zExamkszQ5VutGIcaQqmbD9ZTVXMQ/edit#gid=1251630045"",""articles_with_PRISMA_reasons!B2:B2113""))&gt;=2,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$A1861=IMPORTRANGE(""https://docs.google.com/spreadsheets/d/1BJSV3WBYJGRhQ6zExamkszQ5VutGIcaQqmbD9ZTVXMQ/edit#gid=1251630045"",""articles_with_PRISMA_reasons!B2:B2113""))&lt;2),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$A1861=IMPORTRANGE(""https://docs.google.com/spreadsheets/d/1BJSV3WBYJGRhQ6zExamkszQ5VutGIcaQqmbD9ZTVXMQ/edit#gid=1251630045"",""a"&amp;"rticles_with_PRISMA_reasons!B2:B2113""))&lt;2,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$A1861=IMPORTRANGE(""https://docs.google"&amp;".com/spreadsheets/d/1BJSV3WBYJGRhQ6zExamkszQ5VutGIcaQqmbD9ZTVXMQ/edit#gid=1251630045"",""articles_with_PRISMA_reasons!B2:B2113""))&gt;=2),
""Exclude""
)"),"Exclude")</f>
        <v>Exclude</v>
      </c>
      <c r="E1861" s="5" t="str">
        <f>IFERROR(__xludf.DUMMYFUNCTION("IFS(
D1861=""Exclude"",""Exclude"",
AND(
FILTER(IMPORTRANGE(""https://docs.google.com/spreadsheets/d/1qpEmbGH0JjaJbUdp21-y2cPbobDbMjr09BbtdKROZWc/edit#gid=1444865654"",""articles_with_PRISMA_reasons!W2:W2113""), $A1861=IMPORTRANGE(""https://docs.google.co"&amp;"m/spreadsheets/d/1qpEmbGH0JjaJbUdp21-y2cPbobDbMjr09BbtdKROZWc/edit#gid=1444865654"",""articles_with_PRISMA_reasons!B2:B2113""))&gt;=2,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$A1861=IMPORTRANGE(""https://docs.google.com/spreadsheets/d/1qpEmbGH0JjaJbUdp21-y2cPbobDbMjr09BbtdKROZWc/edit#gid=1444865654"",""articles_with_PRISMA_reasons!B2:B2113""))&lt;2),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$A1861=IMPORTRANGE(""https://docs.google.com/spreadsheets/d/1qpEmbGH0JjaJbUdp21-y2cPbobDbMjr09Bbtd"&amp;"KROZWc/edit#gid=1444865654"",""articles_with_PRISMA_reasons!B2:B2113""))&lt;2,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$A1861=I"&amp;"MPORTRANGE(""https://docs.google.com/spreadsheets/d/1qpEmbGH0JjaJbUdp21-y2cPbobDbMjr09BbtdKROZWc/edit#gid=1444865654"",""articles_with_PRISMA_reasons!B2:B2113""))&gt;=2),
""Exclude""
)"),"Exclude")</f>
        <v>Exclude</v>
      </c>
      <c r="F1861" s="5" t="str">
        <f>IFERROR(__xludf.DUMMYFUNCTION("IFS(
E1861=""Exclude"",""Exclude"",
AND(
COUNTIF(
IMPORTRANGE(""https://docs.google.com/spreadsheets/d/1kGrh75X1cNR1D7_FcY9zMnHP8iPO4M5RCRjy6nZY0TY/edit#gid=0"",""Table 1: Study characteristics!B4:B171""),A1861)&gt;0,
COUNTIF(Studies!$A$2:$A$85,FILTER(IMPORT"&amp;"RANGE(""https://docs.google.com/spreadsheets/d/1kGrh75X1cNR1D7_FcY9zMnHP8iPO4M5RCRjy6nZY0TY/edit#gid=0"",""Table 1: Study characteristics!A4:A171""), $A1861=IMPORTRANGE(""https://docs.google.com/spreadsheets/d/1kGrh75X1cNR1D7_FcY9zMnHP8iPO4M5RCRjy6nZY0TY/"&amp;"edit#gid=0"",""Table 1: Study characteristics!B4:B171"")))&gt;0
),
""Include""
)"),"Exclude")</f>
        <v>Exclude</v>
      </c>
      <c r="G1861" s="5" t="str">
        <f>IFERROR(__xludf.DUMMYFUNCTION("IFS(
D1861=""Exclude"",
FILTER(IMPORTRANGE(""https://docs.google.com/spreadsheets/d/1BJSV3WBYJGRhQ6zExamkszQ5VutGIcaQqmbD9ZTVXMQ/edit#gid=1251630045"",""articles_with_PRISMA_reasons!AB2:AB2113""), $A1861=IMPORTRANGE(""https://docs.google.com/spreadsheets/"&amp;"d/1BJSV3WBYJGRhQ6zExamkszQ5VutGIcaQqmbD9ZTVXMQ/edit#gid=1251630045"",""articles_with_PRISMA_reasons!B2:B2113"")),
E1861=""Exclude"",
FILTER(IMPORTRANGE(""https://docs.google.com/spreadsheets/d/1qpEmbGH0JjaJbUdp21-y2cPbobDbMjr09BbtdKROZWc/edit#gid=14448656"&amp;"54"",""articles_with_PRISMA_reasons!Z2:Z2113""), $A1861=IMPORTRANGE(""https://docs.google.com/spreadsheets/d/1qpEmbGH0JjaJbUdp21-y2cPbobDbMjr09BbtdKROZWc/edit#gid=1444865654"",""articles_with_PRISMA_reasons!B2:B2113"")),F1861
=""Include"",FILTER(IMPORTRAN"&amp;"GE(""https://docs.google.com/spreadsheets/d/1kGrh75X1cNR1D7_FcY9zMnHP8iPO4M5RCRjy6nZY0TY/edit#gid=0"",""Table 1: Study characteristics!A4:A171""), $A1861=IMPORTRANGE(""https://docs.google.com/spreadsheets/d/1kGrh75X1cNR1D7_FcY9zMnHP8iPO4M5RCRjy6nZY0TY/edi"&amp;"t#gid=0"",""Table 1: Study characteristics!B4:B171""))
)"),"wrong population")</f>
        <v>wrong population</v>
      </c>
    </row>
    <row r="1862">
      <c r="A1862" s="4" t="str">
        <f>IFERROR(__xludf.DUMMYFUNCTION("""COMPUTED_VALUE"""),"The Burden of Ionizing Radiation Studies in Children with Ventricular Shunts")</f>
        <v>The Burden of Ionizing Radiation Studies in Children with Ventricular Shunts</v>
      </c>
      <c r="B1862" s="5" t="str">
        <f>IFERROR(__xludf.DUMMYFUNCTION("LEFT(FILTER(IMPORTRANGE(""https://docs.google.com/spreadsheets/d/1BJSV3WBYJGRhQ6zExamkszQ5VutGIcaQqmbD9ZTVXMQ/edit#gid=1251630045"",""articles_with_PRISMA_reasons!K2:K2113""), $A1862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$A1862=IMPORTRANGE(""https://docs.google.com/spreadsheets/d/1BJSV3WBYJGRhQ6zExamkszQ5VutGIcaQqmbD9ZTVXMQ/edit#gid=1251630045"",""articles_with_PRISMA_reasons!B2:B2113"")))-1)"),"Antonucci")</f>
        <v>Antonucci</v>
      </c>
      <c r="C1862" s="6">
        <f>IFERROR(__xludf.DUMMYFUNCTION("FILTER(IMPORTRANGE(""https://docs.google.com/spreadsheets/d/1BJSV3WBYJGRhQ6zExamkszQ5VutGIcaQqmbD9ZTVXMQ/edit#gid=1251630045"",""articles_with_PRISMA_reasons!C2:C2113""), $A1862=IMPORTRANGE(""https://docs.google.com/spreadsheets/d/1BJSV3WBYJGRhQ6zExamkszQ"&amp;"5VutGIcaQqmbD9ZTVXMQ/edit#gid=1251630045"",""articles_with_PRISMA_reasons!B2:B2113""))"),2017.0)</f>
        <v>2017</v>
      </c>
      <c r="D1862" s="5" t="str">
        <f>IFERROR(__xludf.DUMMYFUNCTION("IFS(AND(
FILTER(IMPORTRANGE(""https://docs.google.com/spreadsheets/d/1BJSV3WBYJGRhQ6zExamkszQ5VutGIcaQqmbD9ZTVXMQ/edit#gid=1251630045"",""articles_with_PRISMA_reasons!Y2:Y2113""), $A1862=IMPORTRANGE(""https://docs.google.com/spreadsheets/d/1BJSV3WBYJGRhQ6"&amp;"zExamkszQ5VutGIcaQqmbD9ZTVXMQ/edit#gid=1251630045"",""articles_with_PRISMA_reasons!B2:B2113""))&gt;=2,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$A1862=IMPORTRANGE(""https://docs.google.com/spreadsheets/d/1BJSV3WBYJGRhQ6zExamkszQ5VutGIcaQqmbD9ZTVXMQ/edit#gid=1251630045"",""articles_with_PRISMA_reasons!B2:B2113""))&lt;2),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$A1862=IMPORTRANGE(""https://docs.google.com/spreadsheets/d/1BJSV3WBYJGRhQ6zExamkszQ5VutGIcaQqmbD9ZTVXMQ/edit#gid=1251630045"",""a"&amp;"rticles_with_PRISMA_reasons!B2:B2113""))&lt;2,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$A1862=IMPORTRANGE(""https://docs.google"&amp;".com/spreadsheets/d/1BJSV3WBYJGRhQ6zExamkszQ5VutGIcaQqmbD9ZTVXMQ/edit#gid=1251630045"",""articles_with_PRISMA_reasons!B2:B2113""))&gt;=2),
""Exclude""
)"),"Exclude")</f>
        <v>Exclude</v>
      </c>
      <c r="E1862" s="5" t="str">
        <f>IFERROR(__xludf.DUMMYFUNCTION("IFS(
D1862=""Exclude"",""Exclude"",
AND(
FILTER(IMPORTRANGE(""https://docs.google.com/spreadsheets/d/1qpEmbGH0JjaJbUdp21-y2cPbobDbMjr09BbtdKROZWc/edit#gid=1444865654"",""articles_with_PRISMA_reasons!W2:W2113""), $A1862=IMPORTRANGE(""https://docs.google.co"&amp;"m/spreadsheets/d/1qpEmbGH0JjaJbUdp21-y2cPbobDbMjr09BbtdKROZWc/edit#gid=1444865654"",""articles_with_PRISMA_reasons!B2:B2113""))&gt;=2,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$A1862=IMPORTRANGE(""https://docs.google.com/spreadsheets/d/1qpEmbGH0JjaJbUdp21-y2cPbobDbMjr09BbtdKROZWc/edit#gid=1444865654"",""articles_with_PRISMA_reasons!B2:B2113""))&lt;2),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$A1862=IMPORTRANGE(""https://docs.google.com/spreadsheets/d/1qpEmbGH0JjaJbUdp21-y2cPbobDbMjr09Bbtd"&amp;"KROZWc/edit#gid=1444865654"",""articles_with_PRISMA_reasons!B2:B2113""))&lt;2,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$A1862=I"&amp;"MPORTRANGE(""https://docs.google.com/spreadsheets/d/1qpEmbGH0JjaJbUdp21-y2cPbobDbMjr09BbtdKROZWc/edit#gid=1444865654"",""articles_with_PRISMA_reasons!B2:B2113""))&gt;=2),
""Exclude""
)"),"Exclude")</f>
        <v>Exclude</v>
      </c>
      <c r="F1862" s="5" t="str">
        <f>IFERROR(__xludf.DUMMYFUNCTION("IFS(
E1862=""Exclude"",""Exclude"",
AND(
COUNTIF(
IMPORTRANGE(""https://docs.google.com/spreadsheets/d/1kGrh75X1cNR1D7_FcY9zMnHP8iPO4M5RCRjy6nZY0TY/edit#gid=0"",""Table 1: Study characteristics!B4:B171""),A1862)&gt;0,
COUNTIF(Studies!$A$2:$A$85,FILTER(IMPORT"&amp;"RANGE(""https://docs.google.com/spreadsheets/d/1kGrh75X1cNR1D7_FcY9zMnHP8iPO4M5RCRjy6nZY0TY/edit#gid=0"",""Table 1: Study characteristics!A4:A171""), $A1862=IMPORTRANGE(""https://docs.google.com/spreadsheets/d/1kGrh75X1cNR1D7_FcY9zMnHP8iPO4M5RCRjy6nZY0TY/"&amp;"edit#gid=0"",""Table 1: Study characteristics!B4:B171"")))&gt;0
),
""Include""
)"),"Exclude")</f>
        <v>Exclude</v>
      </c>
      <c r="G1862" s="5" t="str">
        <f>IFERROR(__xludf.DUMMYFUNCTION("IFS(
D1862=""Exclude"",
FILTER(IMPORTRANGE(""https://docs.google.com/spreadsheets/d/1BJSV3WBYJGRhQ6zExamkszQ5VutGIcaQqmbD9ZTVXMQ/edit#gid=1251630045"",""articles_with_PRISMA_reasons!AB2:AB2113""), $A1862=IMPORTRANGE(""https://docs.google.com/spreadsheets/"&amp;"d/1BJSV3WBYJGRhQ6zExamkszQ5VutGIcaQqmbD9ZTVXMQ/edit#gid=1251630045"",""articles_with_PRISMA_reasons!B2:B2113"")),
E1862=""Exclude"",
FILTER(IMPORTRANGE(""https://docs.google.com/spreadsheets/d/1qpEmbGH0JjaJbUdp21-y2cPbobDbMjr09BbtdKROZWc/edit#gid=14448656"&amp;"54"",""articles_with_PRISMA_reasons!Z2:Z2113""), $A1862=IMPORTRANGE(""https://docs.google.com/spreadsheets/d/1qpEmbGH0JjaJbUdp21-y2cPbobDbMjr09BbtdKROZWc/edit#gid=1444865654"",""articles_with_PRISMA_reasons!B2:B2113"")),F1862
=""Include"",FILTER(IMPORTRAN"&amp;"GE(""https://docs.google.com/spreadsheets/d/1kGrh75X1cNR1D7_FcY9zMnHP8iPO4M5RCRjy6nZY0TY/edit#gid=0"",""Table 1: Study characteristics!A4:A171""), $A1862=IMPORTRANGE(""https://docs.google.com/spreadsheets/d/1kGrh75X1cNR1D7_FcY9zMnHP8iPO4M5RCRjy6nZY0TY/edi"&amp;"t#gid=0"",""Table 1: Study characteristics!B4:B171""))
)"),"wrong population")</f>
        <v>wrong population</v>
      </c>
    </row>
    <row r="1863">
      <c r="A1863" s="4" t="str">
        <f>IFERROR(__xludf.DUMMYFUNCTION("""COMPUTED_VALUE"""),"The Burden of Neurosurgical Diseases in a Rural Southwestern Nigeria Setting")</f>
        <v>The Burden of Neurosurgical Diseases in a Rural Southwestern Nigeria Setting</v>
      </c>
      <c r="B1863" s="5" t="str">
        <f>IFERROR(__xludf.DUMMYFUNCTION("LEFT(FILTER(IMPORTRANGE(""https://docs.google.com/spreadsheets/d/1BJSV3WBYJGRhQ6zExamkszQ5VutGIcaQqmbD9ZTVXMQ/edit#gid=1251630045"",""articles_with_PRISMA_reasons!K2:K2113""), $A1863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$A1863=IMPORTRANGE(""https://docs.google.com/spreadsheets/d/1BJSV3WBYJGRhQ6zExamkszQ5VutGIcaQqmbD9ZTVXMQ/edit#gid=1251630045"",""articles_with_PRISMA_reasons!B2:B2113"")))-1)"),"Oyemolade")</f>
        <v>Oyemolade</v>
      </c>
      <c r="C1863" s="6">
        <f>IFERROR(__xludf.DUMMYFUNCTION("FILTER(IMPORTRANGE(""https://docs.google.com/spreadsheets/d/1BJSV3WBYJGRhQ6zExamkszQ5VutGIcaQqmbD9ZTVXMQ/edit#gid=1251630045"",""articles_with_PRISMA_reasons!C2:C2113""), $A1863=IMPORTRANGE(""https://docs.google.com/spreadsheets/d/1BJSV3WBYJGRhQ6zExamkszQ"&amp;"5VutGIcaQqmbD9ZTVXMQ/edit#gid=1251630045"",""articles_with_PRISMA_reasons!B2:B2113""))"),2020.0)</f>
        <v>2020</v>
      </c>
      <c r="D1863" s="5" t="str">
        <f>IFERROR(__xludf.DUMMYFUNCTION("IFS(AND(
FILTER(IMPORTRANGE(""https://docs.google.com/spreadsheets/d/1BJSV3WBYJGRhQ6zExamkszQ5VutGIcaQqmbD9ZTVXMQ/edit#gid=1251630045"",""articles_with_PRISMA_reasons!Y2:Y2113""), $A1863=IMPORTRANGE(""https://docs.google.com/spreadsheets/d/1BJSV3WBYJGRhQ6"&amp;"zExamkszQ5VutGIcaQqmbD9ZTVXMQ/edit#gid=1251630045"",""articles_with_PRISMA_reasons!B2:B2113""))&gt;=2,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$A1863=IMPORTRANGE(""https://docs.google.com/spreadsheets/d/1BJSV3WBYJGRhQ6zExamkszQ5VutGIcaQqmbD9ZTVXMQ/edit#gid=1251630045"",""articles_with_PRISMA_reasons!B2:B2113""))&lt;2),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$A1863=IMPORTRANGE(""https://docs.google.com/spreadsheets/d/1BJSV3WBYJGRhQ6zExamkszQ5VutGIcaQqmbD9ZTVXMQ/edit#gid=1251630045"",""a"&amp;"rticles_with_PRISMA_reasons!B2:B2113""))&lt;2,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$A1863=IMPORTRANGE(""https://docs.google"&amp;".com/spreadsheets/d/1BJSV3WBYJGRhQ6zExamkszQ5VutGIcaQqmbD9ZTVXMQ/edit#gid=1251630045"",""articles_with_PRISMA_reasons!B2:B2113""))&gt;=2),
""Exclude""
)"),"Exclude")</f>
        <v>Exclude</v>
      </c>
      <c r="E1863" s="5" t="str">
        <f>IFERROR(__xludf.DUMMYFUNCTION("IFS(
D1863=""Exclude"",""Exclude"",
AND(
FILTER(IMPORTRANGE(""https://docs.google.com/spreadsheets/d/1qpEmbGH0JjaJbUdp21-y2cPbobDbMjr09BbtdKROZWc/edit#gid=1444865654"",""articles_with_PRISMA_reasons!W2:W2113""), $A1863=IMPORTRANGE(""https://docs.google.co"&amp;"m/spreadsheets/d/1qpEmbGH0JjaJbUdp21-y2cPbobDbMjr09BbtdKROZWc/edit#gid=1444865654"",""articles_with_PRISMA_reasons!B2:B2113""))&gt;=2,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$A1863=IMPORTRANGE(""https://docs.google.com/spreadsheets/d/1qpEmbGH0JjaJbUdp21-y2cPbobDbMjr09BbtdKROZWc/edit#gid=1444865654"",""articles_with_PRISMA_reasons!B2:B2113""))&lt;2),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$A1863=IMPORTRANGE(""https://docs.google.com/spreadsheets/d/1qpEmbGH0JjaJbUdp21-y2cPbobDbMjr09Bbtd"&amp;"KROZWc/edit#gid=1444865654"",""articles_with_PRISMA_reasons!B2:B2113""))&lt;2,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$A1863=I"&amp;"MPORTRANGE(""https://docs.google.com/spreadsheets/d/1qpEmbGH0JjaJbUdp21-y2cPbobDbMjr09BbtdKROZWc/edit#gid=1444865654"",""articles_with_PRISMA_reasons!B2:B2113""))&gt;=2),
""Exclude""
)"),"Exclude")</f>
        <v>Exclude</v>
      </c>
      <c r="F1863" s="5" t="str">
        <f>IFERROR(__xludf.DUMMYFUNCTION("IFS(
E1863=""Exclude"",""Exclude"",
AND(
COUNTIF(
IMPORTRANGE(""https://docs.google.com/spreadsheets/d/1kGrh75X1cNR1D7_FcY9zMnHP8iPO4M5RCRjy6nZY0TY/edit#gid=0"",""Table 1: Study characteristics!B4:B171""),A1863)&gt;0,
COUNTIF(Studies!$A$2:$A$85,FILTER(IMPORT"&amp;"RANGE(""https://docs.google.com/spreadsheets/d/1kGrh75X1cNR1D7_FcY9zMnHP8iPO4M5RCRjy6nZY0TY/edit#gid=0"",""Table 1: Study characteristics!A4:A171""), $A1863=IMPORTRANGE(""https://docs.google.com/spreadsheets/d/1kGrh75X1cNR1D7_FcY9zMnHP8iPO4M5RCRjy6nZY0TY/"&amp;"edit#gid=0"",""Table 1: Study characteristics!B4:B171"")))&gt;0
),
""Include""
)"),"Exclude")</f>
        <v>Exclude</v>
      </c>
      <c r="G1863" s="5" t="str">
        <f>IFERROR(__xludf.DUMMYFUNCTION("IFS(
D1863=""Exclude"",
FILTER(IMPORTRANGE(""https://docs.google.com/spreadsheets/d/1BJSV3WBYJGRhQ6zExamkszQ5VutGIcaQqmbD9ZTVXMQ/edit#gid=1251630045"",""articles_with_PRISMA_reasons!AB2:AB2113""), $A1863=IMPORTRANGE(""https://docs.google.com/spreadsheets/"&amp;"d/1BJSV3WBYJGRhQ6zExamkszQ5VutGIcaQqmbD9ZTVXMQ/edit#gid=1251630045"",""articles_with_PRISMA_reasons!B2:B2113"")),
E1863=""Exclude"",
FILTER(IMPORTRANGE(""https://docs.google.com/spreadsheets/d/1qpEmbGH0JjaJbUdp21-y2cPbobDbMjr09BbtdKROZWc/edit#gid=14448656"&amp;"54"",""articles_with_PRISMA_reasons!Z2:Z2113""), $A1863=IMPORTRANGE(""https://docs.google.com/spreadsheets/d/1qpEmbGH0JjaJbUdp21-y2cPbobDbMjr09BbtdKROZWc/edit#gid=1444865654"",""articles_with_PRISMA_reasons!B2:B2113"")),F1863
=""Include"",FILTER(IMPORTRAN"&amp;"GE(""https://docs.google.com/spreadsheets/d/1kGrh75X1cNR1D7_FcY9zMnHP8iPO4M5RCRjy6nZY0TY/edit#gid=0"",""Table 1: Study characteristics!A4:A171""), $A1863=IMPORTRANGE(""https://docs.google.com/spreadsheets/d/1kGrh75X1cNR1D7_FcY9zMnHP8iPO4M5RCRjy6nZY0TY/edi"&amp;"t#gid=0"",""Table 1: Study characteristics!B4:B171""))
)"),"wrong population")</f>
        <v>wrong population</v>
      </c>
    </row>
    <row r="1864">
      <c r="A1864" s="4" t="str">
        <f>IFERROR(__xludf.DUMMYFUNCTION("""COMPUTED_VALUE"""),"The cause of Chiari II malformation: A unified theory")</f>
        <v>The cause of Chiari II malformation: A unified theory</v>
      </c>
      <c r="B1864" s="5" t="str">
        <f>IFERROR(__xludf.DUMMYFUNCTION("LEFT(FILTER(IMPORTRANGE(""https://docs.google.com/spreadsheets/d/1BJSV3WBYJGRhQ6zExamkszQ5VutGIcaQqmbD9ZTVXMQ/edit#gid=1251630045"",""articles_with_PRISMA_reasons!K2:K2113""), $A1864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$A1864=IMPORTRANGE(""https://docs.google.com/spreadsheets/d/1BJSV3WBYJGRhQ6zExamkszQ5VutGIcaQqmbD9ZTVXMQ/edit#gid=1251630045"",""articles_with_PRISMA_reasons!B2:B2113"")))-1)"),"McLone")</f>
        <v>McLone</v>
      </c>
      <c r="C1864" s="6">
        <f>IFERROR(__xludf.DUMMYFUNCTION("FILTER(IMPORTRANGE(""https://docs.google.com/spreadsheets/d/1BJSV3WBYJGRhQ6zExamkszQ5VutGIcaQqmbD9ZTVXMQ/edit#gid=1251630045"",""articles_with_PRISMA_reasons!C2:C2113""), $A1864=IMPORTRANGE(""https://docs.google.com/spreadsheets/d/1BJSV3WBYJGRhQ6zExamkszQ"&amp;"5VutGIcaQqmbD9ZTVXMQ/edit#gid=1251630045"",""articles_with_PRISMA_reasons!B2:B2113""))"),1989.0)</f>
        <v>1989</v>
      </c>
      <c r="D1864" s="5" t="str">
        <f>IFERROR(__xludf.DUMMYFUNCTION("IFS(AND(
FILTER(IMPORTRANGE(""https://docs.google.com/spreadsheets/d/1BJSV3WBYJGRhQ6zExamkszQ5VutGIcaQqmbD9ZTVXMQ/edit#gid=1251630045"",""articles_with_PRISMA_reasons!Y2:Y2113""), $A1864=IMPORTRANGE(""https://docs.google.com/spreadsheets/d/1BJSV3WBYJGRhQ6"&amp;"zExamkszQ5VutGIcaQqmbD9ZTVXMQ/edit#gid=1251630045"",""articles_with_PRISMA_reasons!B2:B2113""))&gt;=2,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$A1864=IMPORTRANGE(""https://docs.google.com/spreadsheets/d/1BJSV3WBYJGRhQ6zExamkszQ5VutGIcaQqmbD9ZTVXMQ/edit#gid=1251630045"",""articles_with_PRISMA_reasons!B2:B2113""))&lt;2),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$A1864=IMPORTRANGE(""https://docs.google.com/spreadsheets/d/1BJSV3WBYJGRhQ6zExamkszQ5VutGIcaQqmbD9ZTVXMQ/edit#gid=1251630045"",""a"&amp;"rticles_with_PRISMA_reasons!B2:B2113""))&lt;2,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$A1864=IMPORTRANGE(""https://docs.google"&amp;".com/spreadsheets/d/1BJSV3WBYJGRhQ6zExamkszQ5VutGIcaQqmbD9ZTVXMQ/edit#gid=1251630045"",""articles_with_PRISMA_reasons!B2:B2113""))&gt;=2),
""Exclude""
)"),"Exclude")</f>
        <v>Exclude</v>
      </c>
      <c r="E1864" s="5" t="str">
        <f>IFERROR(__xludf.DUMMYFUNCTION("IFS(
D1864=""Exclude"",""Exclude"",
AND(
FILTER(IMPORTRANGE(""https://docs.google.com/spreadsheets/d/1qpEmbGH0JjaJbUdp21-y2cPbobDbMjr09BbtdKROZWc/edit#gid=1444865654"",""articles_with_PRISMA_reasons!W2:W2113""), $A1864=IMPORTRANGE(""https://docs.google.co"&amp;"m/spreadsheets/d/1qpEmbGH0JjaJbUdp21-y2cPbobDbMjr09BbtdKROZWc/edit#gid=1444865654"",""articles_with_PRISMA_reasons!B2:B2113""))&gt;=2,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$A1864=IMPORTRANGE(""https://docs.google.com/spreadsheets/d/1qpEmbGH0JjaJbUdp21-y2cPbobDbMjr09BbtdKROZWc/edit#gid=1444865654"",""articles_with_PRISMA_reasons!B2:B2113""))&lt;2),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$A1864=IMPORTRANGE(""https://docs.google.com/spreadsheets/d/1qpEmbGH0JjaJbUdp21-y2cPbobDbMjr09Bbtd"&amp;"KROZWc/edit#gid=1444865654"",""articles_with_PRISMA_reasons!B2:B2113""))&lt;2,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$A1864=I"&amp;"MPORTRANGE(""https://docs.google.com/spreadsheets/d/1qpEmbGH0JjaJbUdp21-y2cPbobDbMjr09BbtdKROZWc/edit#gid=1444865654"",""articles_with_PRISMA_reasons!B2:B2113""))&gt;=2),
""Exclude""
)"),"Exclude")</f>
        <v>Exclude</v>
      </c>
      <c r="F1864" s="5" t="str">
        <f>IFERROR(__xludf.DUMMYFUNCTION("IFS(
E1864=""Exclude"",""Exclude"",
AND(
COUNTIF(
IMPORTRANGE(""https://docs.google.com/spreadsheets/d/1kGrh75X1cNR1D7_FcY9zMnHP8iPO4M5RCRjy6nZY0TY/edit#gid=0"",""Table 1: Study characteristics!B4:B171""),A1864)&gt;0,
COUNTIF(Studies!$A$2:$A$85,FILTER(IMPORT"&amp;"RANGE(""https://docs.google.com/spreadsheets/d/1kGrh75X1cNR1D7_FcY9zMnHP8iPO4M5RCRjy6nZY0TY/edit#gid=0"",""Table 1: Study characteristics!A4:A171""), $A1864=IMPORTRANGE(""https://docs.google.com/spreadsheets/d/1kGrh75X1cNR1D7_FcY9zMnHP8iPO4M5RCRjy6nZY0TY/"&amp;"edit#gid=0"",""Table 1: Study characteristics!B4:B171"")))&gt;0
),
""Include""
)"),"Exclude")</f>
        <v>Exclude</v>
      </c>
      <c r="G1864" s="5" t="str">
        <f>IFERROR(__xludf.DUMMYFUNCTION("IFS(
D1864=""Exclude"",
FILTER(IMPORTRANGE(""https://docs.google.com/spreadsheets/d/1BJSV3WBYJGRhQ6zExamkszQ5VutGIcaQqmbD9ZTVXMQ/edit#gid=1251630045"",""articles_with_PRISMA_reasons!AB2:AB2113""), $A1864=IMPORTRANGE(""https://docs.google.com/spreadsheets/"&amp;"d/1BJSV3WBYJGRhQ6zExamkszQ5VutGIcaQqmbD9ZTVXMQ/edit#gid=1251630045"",""articles_with_PRISMA_reasons!B2:B2113"")),
E1864=""Exclude"",
FILTER(IMPORTRANGE(""https://docs.google.com/spreadsheets/d/1qpEmbGH0JjaJbUdp21-y2cPbobDbMjr09BbtdKROZWc/edit#gid=14448656"&amp;"54"",""articles_with_PRISMA_reasons!Z2:Z2113""), $A1864=IMPORTRANGE(""https://docs.google.com/spreadsheets/d/1qpEmbGH0JjaJbUdp21-y2cPbobDbMjr09BbtdKROZWc/edit#gid=1444865654"",""articles_with_PRISMA_reasons!B2:B2113"")),F1864
=""Include"",FILTER(IMPORTRAN"&amp;"GE(""https://docs.google.com/spreadsheets/d/1kGrh75X1cNR1D7_FcY9zMnHP8iPO4M5RCRjy6nZY0TY/edit#gid=0"",""Table 1: Study characteristics!A4:A171""), $A1864=IMPORTRANGE(""https://docs.google.com/spreadsheets/d/1kGrh75X1cNR1D7_FcY9zMnHP8iPO4M5RCRjy6nZY0TY/edi"&amp;"t#gid=0"",""Table 1: Study characteristics!B4:B171""))
)"),"wrong study design")</f>
        <v>wrong study design</v>
      </c>
    </row>
    <row r="1865">
      <c r="A1865" s="4" t="str">
        <f>IFERROR(__xludf.DUMMYFUNCTION("""COMPUTED_VALUE"""),"The cerebellar dysplasia of chiari ii malformation as revealed by eye movements")</f>
        <v>The cerebellar dysplasia of chiari ii malformation as revealed by eye movements</v>
      </c>
      <c r="B1865" s="5" t="str">
        <f>IFERROR(__xludf.DUMMYFUNCTION("LEFT(FILTER(IMPORTRANGE(""https://docs.google.com/spreadsheets/d/1BJSV3WBYJGRhQ6zExamkszQ5VutGIcaQqmbD9ZTVXMQ/edit#gid=1251630045"",""articles_with_PRISMA_reasons!K2:K2113""), $A1865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$A1865=IMPORTRANGE(""https://docs.google.com/spreadsheets/d/1BJSV3WBYJGRhQ6zExamkszQ5VutGIcaQqmbD9ZTVXMQ/edit#gid=1251630045"",""articles_with_PRISMA_reasons!B2:B2113"")))-1)"),"Salman")</f>
        <v>Salman</v>
      </c>
      <c r="C1865" s="6">
        <f>IFERROR(__xludf.DUMMYFUNCTION("FILTER(IMPORTRANGE(""https://docs.google.com/spreadsheets/d/1BJSV3WBYJGRhQ6zExamkszQ5VutGIcaQqmbD9ZTVXMQ/edit#gid=1251630045"",""articles_with_PRISMA_reasons!C2:C2113""), $A1865=IMPORTRANGE(""https://docs.google.com/spreadsheets/d/1BJSV3WBYJGRhQ6zExamkszQ"&amp;"5VutGIcaQqmbD9ZTVXMQ/edit#gid=1251630045"",""articles_with_PRISMA_reasons!B2:B2113""))"),2009.0)</f>
        <v>2009</v>
      </c>
      <c r="D1865" s="5" t="str">
        <f>IFERROR(__xludf.DUMMYFUNCTION("IFS(AND(
FILTER(IMPORTRANGE(""https://docs.google.com/spreadsheets/d/1BJSV3WBYJGRhQ6zExamkszQ5VutGIcaQqmbD9ZTVXMQ/edit#gid=1251630045"",""articles_with_PRISMA_reasons!Y2:Y2113""), $A1865=IMPORTRANGE(""https://docs.google.com/spreadsheets/d/1BJSV3WBYJGRhQ6"&amp;"zExamkszQ5VutGIcaQqmbD9ZTVXMQ/edit#gid=1251630045"",""articles_with_PRISMA_reasons!B2:B2113""))&gt;=2,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$A1865=IMPORTRANGE(""https://docs.google.com/spreadsheets/d/1BJSV3WBYJGRhQ6zExamkszQ5VutGIcaQqmbD9ZTVXMQ/edit#gid=1251630045"",""articles_with_PRISMA_reasons!B2:B2113""))&lt;2),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$A1865=IMPORTRANGE(""https://docs.google.com/spreadsheets/d/1BJSV3WBYJGRhQ6zExamkszQ5VutGIcaQqmbD9ZTVXMQ/edit#gid=1251630045"",""a"&amp;"rticles_with_PRISMA_reasons!B2:B2113""))&lt;2,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$A1865=IMPORTRANGE(""https://docs.google"&amp;".com/spreadsheets/d/1BJSV3WBYJGRhQ6zExamkszQ5VutGIcaQqmbD9ZTVXMQ/edit#gid=1251630045"",""articles_with_PRISMA_reasons!B2:B2113""))&gt;=2),
""Exclude""
)"),"Exclude")</f>
        <v>Exclude</v>
      </c>
      <c r="E1865" s="5" t="str">
        <f>IFERROR(__xludf.DUMMYFUNCTION("IFS(
D1865=""Exclude"",""Exclude"",
AND(
FILTER(IMPORTRANGE(""https://docs.google.com/spreadsheets/d/1qpEmbGH0JjaJbUdp21-y2cPbobDbMjr09BbtdKROZWc/edit#gid=1444865654"",""articles_with_PRISMA_reasons!W2:W2113""), $A1865=IMPORTRANGE(""https://docs.google.co"&amp;"m/spreadsheets/d/1qpEmbGH0JjaJbUdp21-y2cPbobDbMjr09BbtdKROZWc/edit#gid=1444865654"",""articles_with_PRISMA_reasons!B2:B2113""))&gt;=2,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$A1865=IMPORTRANGE(""https://docs.google.com/spreadsheets/d/1qpEmbGH0JjaJbUdp21-y2cPbobDbMjr09BbtdKROZWc/edit#gid=1444865654"",""articles_with_PRISMA_reasons!B2:B2113""))&lt;2),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$A1865=IMPORTRANGE(""https://docs.google.com/spreadsheets/d/1qpEmbGH0JjaJbUdp21-y2cPbobDbMjr09Bbtd"&amp;"KROZWc/edit#gid=1444865654"",""articles_with_PRISMA_reasons!B2:B2113""))&lt;2,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$A1865=I"&amp;"MPORTRANGE(""https://docs.google.com/spreadsheets/d/1qpEmbGH0JjaJbUdp21-y2cPbobDbMjr09BbtdKROZWc/edit#gid=1444865654"",""articles_with_PRISMA_reasons!B2:B2113""))&gt;=2),
""Exclude""
)"),"Exclude")</f>
        <v>Exclude</v>
      </c>
      <c r="F1865" s="5" t="str">
        <f>IFERROR(__xludf.DUMMYFUNCTION("IFS(
E1865=""Exclude"",""Exclude"",
AND(
COUNTIF(
IMPORTRANGE(""https://docs.google.com/spreadsheets/d/1kGrh75X1cNR1D7_FcY9zMnHP8iPO4M5RCRjy6nZY0TY/edit#gid=0"",""Table 1: Study characteristics!B4:B171""),A1865)&gt;0,
COUNTIF(Studies!$A$2:$A$85,FILTER(IMPORT"&amp;"RANGE(""https://docs.google.com/spreadsheets/d/1kGrh75X1cNR1D7_FcY9zMnHP8iPO4M5RCRjy6nZY0TY/edit#gid=0"",""Table 1: Study characteristics!A4:A171""), $A1865=IMPORTRANGE(""https://docs.google.com/spreadsheets/d/1kGrh75X1cNR1D7_FcY9zMnHP8iPO4M5RCRjy6nZY0TY/"&amp;"edit#gid=0"",""Table 1: Study characteristics!B4:B171"")))&gt;0
),
""Include""
)"),"Exclude")</f>
        <v>Exclude</v>
      </c>
      <c r="G1865" s="5" t="str">
        <f>IFERROR(__xludf.DUMMYFUNCTION("IFS(
D1865=""Exclude"",
FILTER(IMPORTRANGE(""https://docs.google.com/spreadsheets/d/1BJSV3WBYJGRhQ6zExamkszQ5VutGIcaQqmbD9ZTVXMQ/edit#gid=1251630045"",""articles_with_PRISMA_reasons!AB2:AB2113""), $A1865=IMPORTRANGE(""https://docs.google.com/spreadsheets/"&amp;"d/1BJSV3WBYJGRhQ6zExamkszQ5VutGIcaQqmbD9ZTVXMQ/edit#gid=1251630045"",""articles_with_PRISMA_reasons!B2:B2113"")),
E1865=""Exclude"",
FILTER(IMPORTRANGE(""https://docs.google.com/spreadsheets/d/1qpEmbGH0JjaJbUdp21-y2cPbobDbMjr09BbtdKROZWc/edit#gid=14448656"&amp;"54"",""articles_with_PRISMA_reasons!Z2:Z2113""), $A1865=IMPORTRANGE(""https://docs.google.com/spreadsheets/d/1qpEmbGH0JjaJbUdp21-y2cPbobDbMjr09BbtdKROZWc/edit#gid=1444865654"",""articles_with_PRISMA_reasons!B2:B2113"")),F1865
=""Include"",FILTER(IMPORTRAN"&amp;"GE(""https://docs.google.com/spreadsheets/d/1kGrh75X1cNR1D7_FcY9zMnHP8iPO4M5RCRjy6nZY0TY/edit#gid=0"",""Table 1: Study characteristics!A4:A171""), $A1865=IMPORTRANGE(""https://docs.google.com/spreadsheets/d/1kGrh75X1cNR1D7_FcY9zMnHP8iPO4M5RCRjy6nZY0TY/edi"&amp;"t#gid=0"",""Table 1: Study characteristics!B4:B171""))
)"),"wrong population")</f>
        <v>wrong population</v>
      </c>
    </row>
    <row r="1866">
      <c r="A1866" s="4" t="str">
        <f>IFERROR(__xludf.DUMMYFUNCTION("""COMPUTED_VALUE"""),"The changing face of paediatric hydrocephalus: a decade's experience")</f>
        <v>The changing face of paediatric hydrocephalus: a decade's experience</v>
      </c>
      <c r="B1866" s="5" t="str">
        <f>IFERROR(__xludf.DUMMYFUNCTION("LEFT(FILTER(IMPORTRANGE(""https://docs.google.com/spreadsheets/d/1BJSV3WBYJGRhQ6zExamkszQ5VutGIcaQqmbD9ZTVXMQ/edit#gid=1251630045"",""articles_with_PRISMA_reasons!K2:K2113""), $A1866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$A1866=IMPORTRANGE(""https://docs.google.com/spreadsheets/d/1BJSV3WBYJGRhQ6zExamkszQ5VutGIcaQqmbD9ZTVXMQ/edit#gid=1251630045"",""articles_with_PRISMA_reasons!B2:B2113"")))-1)"),"Green")</f>
        <v>Green</v>
      </c>
      <c r="C1866" s="6" t="str">
        <f>IFERROR(__xludf.DUMMYFUNCTION("FILTER(IMPORTRANGE(""https://docs.google.com/spreadsheets/d/1BJSV3WBYJGRhQ6zExamkszQ5VutGIcaQqmbD9ZTVXMQ/edit#gid=1251630045"",""articles_with_PRISMA_reasons!C2:C2113""), $A1866=IMPORTRANGE(""https://docs.google.com/spreadsheets/d/1BJSV3WBYJGRhQ6zExamkszQ"&amp;"5VutGIcaQqmbD9ZTVXMQ/edit#gid=1251630045"",""articles_with_PRISMA_reasons!B2:B2113""))"),"Nov")</f>
        <v>Nov</v>
      </c>
      <c r="D1866" s="5" t="str">
        <f>IFERROR(__xludf.DUMMYFUNCTION("IFS(AND(
FILTER(IMPORTRANGE(""https://docs.google.com/spreadsheets/d/1BJSV3WBYJGRhQ6zExamkszQ5VutGIcaQqmbD9ZTVXMQ/edit#gid=1251630045"",""articles_with_PRISMA_reasons!Y2:Y2113""), $A1866=IMPORTRANGE(""https://docs.google.com/spreadsheets/d/1BJSV3WBYJGRhQ6"&amp;"zExamkszQ5VutGIcaQqmbD9ZTVXMQ/edit#gid=1251630045"",""articles_with_PRISMA_reasons!B2:B2113""))&gt;=2,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$A1866=IMPORTRANGE(""https://docs.google.com/spreadsheets/d/1BJSV3WBYJGRhQ6zExamkszQ5VutGIcaQqmbD9ZTVXMQ/edit#gid=1251630045"",""articles_with_PRISMA_reasons!B2:B2113""))&lt;2),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$A1866=IMPORTRANGE(""https://docs.google.com/spreadsheets/d/1BJSV3WBYJGRhQ6zExamkszQ5VutGIcaQqmbD9ZTVXMQ/edit#gid=1251630045"",""a"&amp;"rticles_with_PRISMA_reasons!B2:B2113""))&lt;2,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$A1866=IMPORTRANGE(""https://docs.google"&amp;".com/spreadsheets/d/1BJSV3WBYJGRhQ6zExamkszQ5VutGIcaQqmbD9ZTVXMQ/edit#gid=1251630045"",""articles_with_PRISMA_reasons!B2:B2113""))&gt;=2),
""Exclude""
)"),"Exclude")</f>
        <v>Exclude</v>
      </c>
      <c r="E1866" s="5" t="str">
        <f>IFERROR(__xludf.DUMMYFUNCTION("IFS(
D1866=""Exclude"",""Exclude"",
AND(
FILTER(IMPORTRANGE(""https://docs.google.com/spreadsheets/d/1qpEmbGH0JjaJbUdp21-y2cPbobDbMjr09BbtdKROZWc/edit#gid=1444865654"",""articles_with_PRISMA_reasons!W2:W2113""), $A1866=IMPORTRANGE(""https://docs.google.co"&amp;"m/spreadsheets/d/1qpEmbGH0JjaJbUdp21-y2cPbobDbMjr09BbtdKROZWc/edit#gid=1444865654"",""articles_with_PRISMA_reasons!B2:B2113""))&gt;=2,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$A1866=IMPORTRANGE(""https://docs.google.com/spreadsheets/d/1qpEmbGH0JjaJbUdp21-y2cPbobDbMjr09BbtdKROZWc/edit#gid=1444865654"",""articles_with_PRISMA_reasons!B2:B2113""))&lt;2),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$A1866=IMPORTRANGE(""https://docs.google.com/spreadsheets/d/1qpEmbGH0JjaJbUdp21-y2cPbobDbMjr09Bbtd"&amp;"KROZWc/edit#gid=1444865654"",""articles_with_PRISMA_reasons!B2:B2113""))&lt;2,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$A1866=I"&amp;"MPORTRANGE(""https://docs.google.com/spreadsheets/d/1qpEmbGH0JjaJbUdp21-y2cPbobDbMjr09BbtdKROZWc/edit#gid=1444865654"",""articles_with_PRISMA_reasons!B2:B2113""))&gt;=2),
""Exclude""
)"),"Exclude")</f>
        <v>Exclude</v>
      </c>
      <c r="F1866" s="5" t="str">
        <f>IFERROR(__xludf.DUMMYFUNCTION("IFS(
E1866=""Exclude"",""Exclude"",
AND(
COUNTIF(
IMPORTRANGE(""https://docs.google.com/spreadsheets/d/1kGrh75X1cNR1D7_FcY9zMnHP8iPO4M5RCRjy6nZY0TY/edit#gid=0"",""Table 1: Study characteristics!B4:B171""),A1866)&gt;0,
COUNTIF(Studies!$A$2:$A$85,FILTER(IMPORT"&amp;"RANGE(""https://docs.google.com/spreadsheets/d/1kGrh75X1cNR1D7_FcY9zMnHP8iPO4M5RCRjy6nZY0TY/edit#gid=0"",""Table 1: Study characteristics!A4:A171""), $A1866=IMPORTRANGE(""https://docs.google.com/spreadsheets/d/1kGrh75X1cNR1D7_FcY9zMnHP8iPO4M5RCRjy6nZY0TY/"&amp;"edit#gid=0"",""Table 1: Study characteristics!B4:B171"")))&gt;0
),
""Include""
)"),"Exclude")</f>
        <v>Exclude</v>
      </c>
      <c r="G1866" s="5" t="str">
        <f>IFERROR(__xludf.DUMMYFUNCTION("IFS(
D1866=""Exclude"",
FILTER(IMPORTRANGE(""https://docs.google.com/spreadsheets/d/1BJSV3WBYJGRhQ6zExamkszQ5VutGIcaQqmbD9ZTVXMQ/edit#gid=1251630045"",""articles_with_PRISMA_reasons!AB2:AB2113""), $A1866=IMPORTRANGE(""https://docs.google.com/spreadsheets/"&amp;"d/1BJSV3WBYJGRhQ6zExamkszQ5VutGIcaQqmbD9ZTVXMQ/edit#gid=1251630045"",""articles_with_PRISMA_reasons!B2:B2113"")),
E1866=""Exclude"",
FILTER(IMPORTRANGE(""https://docs.google.com/spreadsheets/d/1qpEmbGH0JjaJbUdp21-y2cPbobDbMjr09BbtdKROZWc/edit#gid=14448656"&amp;"54"",""articles_with_PRISMA_reasons!Z2:Z2113""), $A1866=IMPORTRANGE(""https://docs.google.com/spreadsheets/d/1qpEmbGH0JjaJbUdp21-y2cPbobDbMjr09BbtdKROZWc/edit#gid=1444865654"",""articles_with_PRISMA_reasons!B2:B2113"")),F1866
=""Include"",FILTER(IMPORTRAN"&amp;"GE(""https://docs.google.com/spreadsheets/d/1kGrh75X1cNR1D7_FcY9zMnHP8iPO4M5RCRjy6nZY0TY/edit#gid=0"",""Table 1: Study characteristics!A4:A171""), $A1866=IMPORTRANGE(""https://docs.google.com/spreadsheets/d/1kGrh75X1cNR1D7_FcY9zMnHP8iPO4M5RCRjy6nZY0TY/edi"&amp;"t#gid=0"",""Table 1: Study characteristics!B4:B171""))
)"),"wrong population")</f>
        <v>wrong population</v>
      </c>
    </row>
    <row r="1867">
      <c r="A1867" s="4" t="str">
        <f>IFERROR(__xludf.DUMMYFUNCTION("""COMPUTED_VALUE"""),"The changing incidence of myelomeningocele and its impact on pediatric neurosurgery: A review from the children's memorial hospital")</f>
        <v>The changing incidence of myelomeningocele and its impact on pediatric neurosurgery: A review from the children's memorial hospital</v>
      </c>
      <c r="B1867" s="5" t="str">
        <f>IFERROR(__xludf.DUMMYFUNCTION("LEFT(FILTER(IMPORTRANGE(""https://docs.google.com/spreadsheets/d/1BJSV3WBYJGRhQ6zExamkszQ5VutGIcaQqmbD9ZTVXMQ/edit#gid=1251630045"",""articles_with_PRISMA_reasons!K2:K2113""), $A1867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$A1867=IMPORTRANGE(""https://docs.google.com/spreadsheets/d/1BJSV3WBYJGRhQ6zExamkszQ5VutGIcaQqmbD9ZTVXMQ/edit#gid=1251630045"",""articles_with_PRISMA_reasons!B2:B2113"")))-1)"),"Bowman")</f>
        <v>Bowman</v>
      </c>
      <c r="C1867" s="6">
        <f>IFERROR(__xludf.DUMMYFUNCTION("FILTER(IMPORTRANGE(""https://docs.google.com/spreadsheets/d/1BJSV3WBYJGRhQ6zExamkszQ5VutGIcaQqmbD9ZTVXMQ/edit#gid=1251630045"",""articles_with_PRISMA_reasons!C2:C2113""), $A1867=IMPORTRANGE(""https://docs.google.com/spreadsheets/d/1BJSV3WBYJGRhQ6zExamkszQ"&amp;"5VutGIcaQqmbD9ZTVXMQ/edit#gid=1251630045"",""articles_with_PRISMA_reasons!B2:B2113""))"),2009.0)</f>
        <v>2009</v>
      </c>
      <c r="D1867" s="5" t="str">
        <f>IFERROR(__xludf.DUMMYFUNCTION("IFS(AND(
FILTER(IMPORTRANGE(""https://docs.google.com/spreadsheets/d/1BJSV3WBYJGRhQ6zExamkszQ5VutGIcaQqmbD9ZTVXMQ/edit#gid=1251630045"",""articles_with_PRISMA_reasons!Y2:Y2113""), $A1867=IMPORTRANGE(""https://docs.google.com/spreadsheets/d/1BJSV3WBYJGRhQ6"&amp;"zExamkszQ5VutGIcaQqmbD9ZTVXMQ/edit#gid=1251630045"",""articles_with_PRISMA_reasons!B2:B2113""))&gt;=2,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$A1867=IMPORTRANGE(""https://docs.google.com/spreadsheets/d/1BJSV3WBYJGRhQ6zExamkszQ5VutGIcaQqmbD9ZTVXMQ/edit#gid=1251630045"",""articles_with_PRISMA_reasons!B2:B2113""))&lt;2),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$A1867=IMPORTRANGE(""https://docs.google.com/spreadsheets/d/1BJSV3WBYJGRhQ6zExamkszQ5VutGIcaQqmbD9ZTVXMQ/edit#gid=1251630045"",""a"&amp;"rticles_with_PRISMA_reasons!B2:B2113""))&lt;2,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$A1867=IMPORTRANGE(""https://docs.google"&amp;".com/spreadsheets/d/1BJSV3WBYJGRhQ6zExamkszQ5VutGIcaQqmbD9ZTVXMQ/edit#gid=1251630045"",""articles_with_PRISMA_reasons!B2:B2113""))&gt;=2),
""Exclude""
)"),"Exclude")</f>
        <v>Exclude</v>
      </c>
      <c r="E1867" s="5" t="str">
        <f>IFERROR(__xludf.DUMMYFUNCTION("IFS(
D1867=""Exclude"",""Exclude"",
AND(
FILTER(IMPORTRANGE(""https://docs.google.com/spreadsheets/d/1qpEmbGH0JjaJbUdp21-y2cPbobDbMjr09BbtdKROZWc/edit#gid=1444865654"",""articles_with_PRISMA_reasons!W2:W2113""), $A1867=IMPORTRANGE(""https://docs.google.co"&amp;"m/spreadsheets/d/1qpEmbGH0JjaJbUdp21-y2cPbobDbMjr09BbtdKROZWc/edit#gid=1444865654"",""articles_with_PRISMA_reasons!B2:B2113""))&gt;=2,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$A1867=IMPORTRANGE(""https://docs.google.com/spreadsheets/d/1qpEmbGH0JjaJbUdp21-y2cPbobDbMjr09BbtdKROZWc/edit#gid=1444865654"",""articles_with_PRISMA_reasons!B2:B2113""))&lt;2),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$A1867=IMPORTRANGE(""https://docs.google.com/spreadsheets/d/1qpEmbGH0JjaJbUdp21-y2cPbobDbMjr09Bbtd"&amp;"KROZWc/edit#gid=1444865654"",""articles_with_PRISMA_reasons!B2:B2113""))&lt;2,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$A1867=I"&amp;"MPORTRANGE(""https://docs.google.com/spreadsheets/d/1qpEmbGH0JjaJbUdp21-y2cPbobDbMjr09BbtdKROZWc/edit#gid=1444865654"",""articles_with_PRISMA_reasons!B2:B2113""))&gt;=2),
""Exclude""
)"),"Exclude")</f>
        <v>Exclude</v>
      </c>
      <c r="F1867" s="5" t="str">
        <f>IFERROR(__xludf.DUMMYFUNCTION("IFS(
E1867=""Exclude"",""Exclude"",
AND(
COUNTIF(
IMPORTRANGE(""https://docs.google.com/spreadsheets/d/1kGrh75X1cNR1D7_FcY9zMnHP8iPO4M5RCRjy6nZY0TY/edit#gid=0"",""Table 1: Study characteristics!B4:B171""),A1867)&gt;0,
COUNTIF(Studies!$A$2:$A$85,FILTER(IMPORT"&amp;"RANGE(""https://docs.google.com/spreadsheets/d/1kGrh75X1cNR1D7_FcY9zMnHP8iPO4M5RCRjy6nZY0TY/edit#gid=0"",""Table 1: Study characteristics!A4:A171""), $A1867=IMPORTRANGE(""https://docs.google.com/spreadsheets/d/1kGrh75X1cNR1D7_FcY9zMnHP8iPO4M5RCRjy6nZY0TY/"&amp;"edit#gid=0"",""Table 1: Study characteristics!B4:B171"")))&gt;0
),
""Include""
)"),"Exclude")</f>
        <v>Exclude</v>
      </c>
      <c r="G1867" s="5" t="str">
        <f>IFERROR(__xludf.DUMMYFUNCTION("IFS(
D1867=""Exclude"",
FILTER(IMPORTRANGE(""https://docs.google.com/spreadsheets/d/1BJSV3WBYJGRhQ6zExamkszQ5VutGIcaQqmbD9ZTVXMQ/edit#gid=1251630045"",""articles_with_PRISMA_reasons!AB2:AB2113""), $A1867=IMPORTRANGE(""https://docs.google.com/spreadsheets/"&amp;"d/1BJSV3WBYJGRhQ6zExamkszQ5VutGIcaQqmbD9ZTVXMQ/edit#gid=1251630045"",""articles_with_PRISMA_reasons!B2:B2113"")),
E1867=""Exclude"",
FILTER(IMPORTRANGE(""https://docs.google.com/spreadsheets/d/1qpEmbGH0JjaJbUdp21-y2cPbobDbMjr09BbtdKROZWc/edit#gid=14448656"&amp;"54"",""articles_with_PRISMA_reasons!Z2:Z2113""), $A1867=IMPORTRANGE(""https://docs.google.com/spreadsheets/d/1qpEmbGH0JjaJbUdp21-y2cPbobDbMjr09BbtdKROZWc/edit#gid=1444865654"",""articles_with_PRISMA_reasons!B2:B2113"")),F1867
=""Include"",FILTER(IMPORTRAN"&amp;"GE(""https://docs.google.com/spreadsheets/d/1kGrh75X1cNR1D7_FcY9zMnHP8iPO4M5RCRjy6nZY0TY/edit#gid=0"",""Table 1: Study characteristics!A4:A171""), $A1867=IMPORTRANGE(""https://docs.google.com/spreadsheets/d/1kGrh75X1cNR1D7_FcY9zMnHP8iPO4M5RCRjy6nZY0TY/edi"&amp;"t#gid=0"",""Table 1: Study characteristics!B4:B171""))
)"),"wrong study design")</f>
        <v>wrong study design</v>
      </c>
    </row>
    <row r="1868">
      <c r="A1868" s="4" t="str">
        <f>IFERROR(__xludf.DUMMYFUNCTION("""COMPUTED_VALUE"""),"The Chiari II malformation: cause and impact")</f>
        <v>The Chiari II malformation: cause and impact</v>
      </c>
      <c r="B1868" s="5" t="str">
        <f>IFERROR(__xludf.DUMMYFUNCTION("LEFT(FILTER(IMPORTRANGE(""https://docs.google.com/spreadsheets/d/1BJSV3WBYJGRhQ6zExamkszQ5VutGIcaQqmbD9ZTVXMQ/edit#gid=1251630045"",""articles_with_PRISMA_reasons!K2:K2113""), $A1868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$A1868=IMPORTRANGE(""https://docs.google.com/spreadsheets/d/1BJSV3WBYJGRhQ6zExamkszQ5VutGIcaQqmbD9ZTVXMQ/edit#gid=1251630045"",""articles_with_PRISMA_reasons!B2:B2113"")))-1)"),"McLone")</f>
        <v>McLone</v>
      </c>
      <c r="C1868" s="6">
        <f>IFERROR(__xludf.DUMMYFUNCTION("FILTER(IMPORTRANGE(""https://docs.google.com/spreadsheets/d/1BJSV3WBYJGRhQ6zExamkszQ5VutGIcaQqmbD9ZTVXMQ/edit#gid=1251630045"",""articles_with_PRISMA_reasons!C2:C2113""), $A1868=IMPORTRANGE(""https://docs.google.com/spreadsheets/d/1BJSV3WBYJGRhQ6zExamkszQ"&amp;"5VutGIcaQqmbD9ZTVXMQ/edit#gid=1251630045"",""articles_with_PRISMA_reasons!B2:B2113""))"),2003.0)</f>
        <v>2003</v>
      </c>
      <c r="D1868" s="5" t="str">
        <f>IFERROR(__xludf.DUMMYFUNCTION("IFS(AND(
FILTER(IMPORTRANGE(""https://docs.google.com/spreadsheets/d/1BJSV3WBYJGRhQ6zExamkszQ5VutGIcaQqmbD9ZTVXMQ/edit#gid=1251630045"",""articles_with_PRISMA_reasons!Y2:Y2113""), $A1868=IMPORTRANGE(""https://docs.google.com/spreadsheets/d/1BJSV3WBYJGRhQ6"&amp;"zExamkszQ5VutGIcaQqmbD9ZTVXMQ/edit#gid=1251630045"",""articles_with_PRISMA_reasons!B2:B2113""))&gt;=2,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$A1868=IMPORTRANGE(""https://docs.google.com/spreadsheets/d/1BJSV3WBYJGRhQ6zExamkszQ5VutGIcaQqmbD9ZTVXMQ/edit#gid=1251630045"",""articles_with_PRISMA_reasons!B2:B2113""))&lt;2),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$A1868=IMPORTRANGE(""https://docs.google.com/spreadsheets/d/1BJSV3WBYJGRhQ6zExamkszQ5VutGIcaQqmbD9ZTVXMQ/edit#gid=1251630045"",""a"&amp;"rticles_with_PRISMA_reasons!B2:B2113""))&lt;2,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$A1868=IMPORTRANGE(""https://docs.google"&amp;".com/spreadsheets/d/1BJSV3WBYJGRhQ6zExamkszQ5VutGIcaQqmbD9ZTVXMQ/edit#gid=1251630045"",""articles_with_PRISMA_reasons!B2:B2113""))&gt;=2),
""Exclude""
)"),"Exclude")</f>
        <v>Exclude</v>
      </c>
      <c r="E1868" s="5" t="str">
        <f>IFERROR(__xludf.DUMMYFUNCTION("IFS(
D1868=""Exclude"",""Exclude"",
AND(
FILTER(IMPORTRANGE(""https://docs.google.com/spreadsheets/d/1qpEmbGH0JjaJbUdp21-y2cPbobDbMjr09BbtdKROZWc/edit#gid=1444865654"",""articles_with_PRISMA_reasons!W2:W2113""), $A1868=IMPORTRANGE(""https://docs.google.co"&amp;"m/spreadsheets/d/1qpEmbGH0JjaJbUdp21-y2cPbobDbMjr09BbtdKROZWc/edit#gid=1444865654"",""articles_with_PRISMA_reasons!B2:B2113""))&gt;=2,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$A1868=IMPORTRANGE(""https://docs.google.com/spreadsheets/d/1qpEmbGH0JjaJbUdp21-y2cPbobDbMjr09BbtdKROZWc/edit#gid=1444865654"",""articles_with_PRISMA_reasons!B2:B2113""))&lt;2),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$A1868=IMPORTRANGE(""https://docs.google.com/spreadsheets/d/1qpEmbGH0JjaJbUdp21-y2cPbobDbMjr09Bbtd"&amp;"KROZWc/edit#gid=1444865654"",""articles_with_PRISMA_reasons!B2:B2113""))&lt;2,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$A1868=I"&amp;"MPORTRANGE(""https://docs.google.com/spreadsheets/d/1qpEmbGH0JjaJbUdp21-y2cPbobDbMjr09BbtdKROZWc/edit#gid=1444865654"",""articles_with_PRISMA_reasons!B2:B2113""))&gt;=2),
""Exclude""
)"),"Exclude")</f>
        <v>Exclude</v>
      </c>
      <c r="F1868" s="5" t="str">
        <f>IFERROR(__xludf.DUMMYFUNCTION("IFS(
E1868=""Exclude"",""Exclude"",
AND(
COUNTIF(
IMPORTRANGE(""https://docs.google.com/spreadsheets/d/1kGrh75X1cNR1D7_FcY9zMnHP8iPO4M5RCRjy6nZY0TY/edit#gid=0"",""Table 1: Study characteristics!B4:B171""),A1868)&gt;0,
COUNTIF(Studies!$A$2:$A$85,FILTER(IMPORT"&amp;"RANGE(""https://docs.google.com/spreadsheets/d/1kGrh75X1cNR1D7_FcY9zMnHP8iPO4M5RCRjy6nZY0TY/edit#gid=0"",""Table 1: Study characteristics!A4:A171""), $A1868=IMPORTRANGE(""https://docs.google.com/spreadsheets/d/1kGrh75X1cNR1D7_FcY9zMnHP8iPO4M5RCRjy6nZY0TY/"&amp;"edit#gid=0"",""Table 1: Study characteristics!B4:B171"")))&gt;0
),
""Include""
)"),"Exclude")</f>
        <v>Exclude</v>
      </c>
      <c r="G1868" s="5" t="str">
        <f>IFERROR(__xludf.DUMMYFUNCTION("IFS(
D1868=""Exclude"",
FILTER(IMPORTRANGE(""https://docs.google.com/spreadsheets/d/1BJSV3WBYJGRhQ6zExamkszQ5VutGIcaQqmbD9ZTVXMQ/edit#gid=1251630045"",""articles_with_PRISMA_reasons!AB2:AB2113""), $A1868=IMPORTRANGE(""https://docs.google.com/spreadsheets/"&amp;"d/1BJSV3WBYJGRhQ6zExamkszQ5VutGIcaQqmbD9ZTVXMQ/edit#gid=1251630045"",""articles_with_PRISMA_reasons!B2:B2113"")),
E1868=""Exclude"",
FILTER(IMPORTRANGE(""https://docs.google.com/spreadsheets/d/1qpEmbGH0JjaJbUdp21-y2cPbobDbMjr09BbtdKROZWc/edit#gid=14448656"&amp;"54"",""articles_with_PRISMA_reasons!Z2:Z2113""), $A1868=IMPORTRANGE(""https://docs.google.com/spreadsheets/d/1qpEmbGH0JjaJbUdp21-y2cPbobDbMjr09BbtdKROZWc/edit#gid=1444865654"",""articles_with_PRISMA_reasons!B2:B2113"")),F1868
=""Include"",FILTER(IMPORTRAN"&amp;"GE(""https://docs.google.com/spreadsheets/d/1kGrh75X1cNR1D7_FcY9zMnHP8iPO4M5RCRjy6nZY0TY/edit#gid=0"",""Table 1: Study characteristics!A4:A171""), $A1868=IMPORTRANGE(""https://docs.google.com/spreadsheets/d/1kGrh75X1cNR1D7_FcY9zMnHP8iPO4M5RCRjy6nZY0TY/edi"&amp;"t#gid=0"",""Table 1: Study characteristics!B4:B171""))
)"),"wrong population")</f>
        <v>wrong population</v>
      </c>
    </row>
    <row r="1869">
      <c r="A1869" s="4" t="str">
        <f>IFERROR(__xludf.DUMMYFUNCTION("""COMPUTED_VALUE"""),"The Chiari malformations")</f>
        <v>The Chiari malformations</v>
      </c>
      <c r="B1869" s="5" t="str">
        <f>IFERROR(__xludf.DUMMYFUNCTION("LEFT(FILTER(IMPORTRANGE(""https://docs.google.com/spreadsheets/d/1BJSV3WBYJGRhQ6zExamkszQ5VutGIcaQqmbD9ZTVXMQ/edit#gid=1251630045"",""articles_with_PRISMA_reasons!K2:K2113""), $A1869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$A1869=IMPORTRANGE(""https://docs.google.com/spreadsheets/d/1BJSV3WBYJGRhQ6zExamkszQ5VutGIcaQqmbD9ZTVXMQ/edit#gid=1251630045"",""articles_with_PRISMA_reasons!B2:B2113"")))-1)"),"Hadley")</f>
        <v>Hadley</v>
      </c>
      <c r="C1869" s="6">
        <f>IFERROR(__xludf.DUMMYFUNCTION("FILTER(IMPORTRANGE(""https://docs.google.com/spreadsheets/d/1BJSV3WBYJGRhQ6zExamkszQ5VutGIcaQqmbD9ZTVXMQ/edit#gid=1251630045"",""articles_with_PRISMA_reasons!C2:C2113""), $A1869=IMPORTRANGE(""https://docs.google.com/spreadsheets/d/1BJSV3WBYJGRhQ6zExamkszQ"&amp;"5VutGIcaQqmbD9ZTVXMQ/edit#gid=1251630045"",""articles_with_PRISMA_reasons!B2:B2113""))"),2002.0)</f>
        <v>2002</v>
      </c>
      <c r="D1869" s="5" t="str">
        <f>IFERROR(__xludf.DUMMYFUNCTION("IFS(AND(
FILTER(IMPORTRANGE(""https://docs.google.com/spreadsheets/d/1BJSV3WBYJGRhQ6zExamkszQ5VutGIcaQqmbD9ZTVXMQ/edit#gid=1251630045"",""articles_with_PRISMA_reasons!Y2:Y2113""), $A1869=IMPORTRANGE(""https://docs.google.com/spreadsheets/d/1BJSV3WBYJGRhQ6"&amp;"zExamkszQ5VutGIcaQqmbD9ZTVXMQ/edit#gid=1251630045"",""articles_with_PRISMA_reasons!B2:B2113""))&gt;=2,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$A1869=IMPORTRANGE(""https://docs.google.com/spreadsheets/d/1BJSV3WBYJGRhQ6zExamkszQ5VutGIcaQqmbD9ZTVXMQ/edit#gid=1251630045"",""articles_with_PRISMA_reasons!B2:B2113""))&lt;2),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$A1869=IMPORTRANGE(""https://docs.google.com/spreadsheets/d/1BJSV3WBYJGRhQ6zExamkszQ5VutGIcaQqmbD9ZTVXMQ/edit#gid=1251630045"",""a"&amp;"rticles_with_PRISMA_reasons!B2:B2113""))&lt;2,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$A1869=IMPORTRANGE(""https://docs.google"&amp;".com/spreadsheets/d/1BJSV3WBYJGRhQ6zExamkszQ5VutGIcaQqmbD9ZTVXMQ/edit#gid=1251630045"",""articles_with_PRISMA_reasons!B2:B2113""))&gt;=2),
""Exclude""
)"),"Exclude")</f>
        <v>Exclude</v>
      </c>
      <c r="E1869" s="5" t="str">
        <f>IFERROR(__xludf.DUMMYFUNCTION("IFS(
D1869=""Exclude"",""Exclude"",
AND(
FILTER(IMPORTRANGE(""https://docs.google.com/spreadsheets/d/1qpEmbGH0JjaJbUdp21-y2cPbobDbMjr09BbtdKROZWc/edit#gid=1444865654"",""articles_with_PRISMA_reasons!W2:W2113""), $A1869=IMPORTRANGE(""https://docs.google.co"&amp;"m/spreadsheets/d/1qpEmbGH0JjaJbUdp21-y2cPbobDbMjr09BbtdKROZWc/edit#gid=1444865654"",""articles_with_PRISMA_reasons!B2:B2113""))&gt;=2,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$A1869=IMPORTRANGE(""https://docs.google.com/spreadsheets/d/1qpEmbGH0JjaJbUdp21-y2cPbobDbMjr09BbtdKROZWc/edit#gid=1444865654"",""articles_with_PRISMA_reasons!B2:B2113""))&lt;2),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$A1869=IMPORTRANGE(""https://docs.google.com/spreadsheets/d/1qpEmbGH0JjaJbUdp21-y2cPbobDbMjr09Bbtd"&amp;"KROZWc/edit#gid=1444865654"",""articles_with_PRISMA_reasons!B2:B2113""))&lt;2,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$A1869=I"&amp;"MPORTRANGE(""https://docs.google.com/spreadsheets/d/1qpEmbGH0JjaJbUdp21-y2cPbobDbMjr09BbtdKROZWc/edit#gid=1444865654"",""articles_with_PRISMA_reasons!B2:B2113""))&gt;=2),
""Exclude""
)"),"Exclude")</f>
        <v>Exclude</v>
      </c>
      <c r="F1869" s="5" t="str">
        <f>IFERROR(__xludf.DUMMYFUNCTION("IFS(
E1869=""Exclude"",""Exclude"",
AND(
COUNTIF(
IMPORTRANGE(""https://docs.google.com/spreadsheets/d/1kGrh75X1cNR1D7_FcY9zMnHP8iPO4M5RCRjy6nZY0TY/edit#gid=0"",""Table 1: Study characteristics!B4:B171""),A1869)&gt;0,
COUNTIF(Studies!$A$2:$A$85,FILTER(IMPORT"&amp;"RANGE(""https://docs.google.com/spreadsheets/d/1kGrh75X1cNR1D7_FcY9zMnHP8iPO4M5RCRjy6nZY0TY/edit#gid=0"",""Table 1: Study characteristics!A4:A171""), $A1869=IMPORTRANGE(""https://docs.google.com/spreadsheets/d/1kGrh75X1cNR1D7_FcY9zMnHP8iPO4M5RCRjy6nZY0TY/"&amp;"edit#gid=0"",""Table 1: Study characteristics!B4:B171"")))&gt;0
),
""Include""
)"),"Exclude")</f>
        <v>Exclude</v>
      </c>
      <c r="G1869" s="5" t="str">
        <f>IFERROR(__xludf.DUMMYFUNCTION("IFS(
D1869=""Exclude"",
FILTER(IMPORTRANGE(""https://docs.google.com/spreadsheets/d/1BJSV3WBYJGRhQ6zExamkszQ5VutGIcaQqmbD9ZTVXMQ/edit#gid=1251630045"",""articles_with_PRISMA_reasons!AB2:AB2113""), $A1869=IMPORTRANGE(""https://docs.google.com/spreadsheets/"&amp;"d/1BJSV3WBYJGRhQ6zExamkszQ5VutGIcaQqmbD9ZTVXMQ/edit#gid=1251630045"",""articles_with_PRISMA_reasons!B2:B2113"")),
E1869=""Exclude"",
FILTER(IMPORTRANGE(""https://docs.google.com/spreadsheets/d/1qpEmbGH0JjaJbUdp21-y2cPbobDbMjr09BbtdKROZWc/edit#gid=14448656"&amp;"54"",""articles_with_PRISMA_reasons!Z2:Z2113""), $A1869=IMPORTRANGE(""https://docs.google.com/spreadsheets/d/1qpEmbGH0JjaJbUdp21-y2cPbobDbMjr09BbtdKROZWc/edit#gid=1444865654"",""articles_with_PRISMA_reasons!B2:B2113"")),F1869
=""Include"",FILTER(IMPORTRAN"&amp;"GE(""https://docs.google.com/spreadsheets/d/1kGrh75X1cNR1D7_FcY9zMnHP8iPO4M5RCRjy6nZY0TY/edit#gid=0"",""Table 1: Study characteristics!A4:A171""), $A1869=IMPORTRANGE(""https://docs.google.com/spreadsheets/d/1kGrh75X1cNR1D7_FcY9zMnHP8iPO4M5RCRjy6nZY0TY/edi"&amp;"t#gid=0"",""Table 1: Study characteristics!B4:B171""))
)"),"wrong study design")</f>
        <v>wrong study design</v>
      </c>
    </row>
    <row r="1870">
      <c r="A1870" s="4" t="str">
        <f>IFERROR(__xludf.DUMMYFUNCTION("""COMPUTED_VALUE"""),"The Chiari malformations: a constellation of anomalies")</f>
        <v>The Chiari malformations: a constellation of anomalies</v>
      </c>
      <c r="B1870" s="5" t="str">
        <f>IFERROR(__xludf.DUMMYFUNCTION("LEFT(FILTER(IMPORTRANGE(""https://docs.google.com/spreadsheets/d/1BJSV3WBYJGRhQ6zExamkszQ5VutGIcaQqmbD9ZTVXMQ/edit#gid=1251630045"",""articles_with_PRISMA_reasons!K2:K2113""), $A1870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$A1870=IMPORTRANGE(""https://docs.google.com/spreadsheets/d/1BJSV3WBYJGRhQ6zExamkszQ5VutGIcaQqmbD9ZTVXMQ/edit#gid=1251630045"",""articles_with_PRISMA_reasons!B2:B2113"")))-1)"),"Shuman")</f>
        <v>Shuman</v>
      </c>
      <c r="C1870" s="6">
        <f>IFERROR(__xludf.DUMMYFUNCTION("FILTER(IMPORTRANGE(""https://docs.google.com/spreadsheets/d/1BJSV3WBYJGRhQ6zExamkszQ5VutGIcaQqmbD9ZTVXMQ/edit#gid=1251630045"",""articles_with_PRISMA_reasons!C2:C2113""), $A1870=IMPORTRANGE(""https://docs.google.com/spreadsheets/d/1BJSV3WBYJGRhQ6zExamkszQ"&amp;"5VutGIcaQqmbD9ZTVXMQ/edit#gid=1251630045"",""articles_with_PRISMA_reasons!B2:B2113""))"),1995.0)</f>
        <v>1995</v>
      </c>
      <c r="D1870" s="5" t="str">
        <f>IFERROR(__xludf.DUMMYFUNCTION("IFS(AND(
FILTER(IMPORTRANGE(""https://docs.google.com/spreadsheets/d/1BJSV3WBYJGRhQ6zExamkszQ5VutGIcaQqmbD9ZTVXMQ/edit#gid=1251630045"",""articles_with_PRISMA_reasons!Y2:Y2113""), $A1870=IMPORTRANGE(""https://docs.google.com/spreadsheets/d/1BJSV3WBYJGRhQ6"&amp;"zExamkszQ5VutGIcaQqmbD9ZTVXMQ/edit#gid=1251630045"",""articles_with_PRISMA_reasons!B2:B2113""))&gt;=2,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$A1870=IMPORTRANGE(""https://docs.google.com/spreadsheets/d/1BJSV3WBYJGRhQ6zExamkszQ5VutGIcaQqmbD9ZTVXMQ/edit#gid=1251630045"",""articles_with_PRISMA_reasons!B2:B2113""))&lt;2),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$A1870=IMPORTRANGE(""https://docs.google.com/spreadsheets/d/1BJSV3WBYJGRhQ6zExamkszQ5VutGIcaQqmbD9ZTVXMQ/edit#gid=1251630045"",""a"&amp;"rticles_with_PRISMA_reasons!B2:B2113""))&lt;2,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$A1870=IMPORTRANGE(""https://docs.google"&amp;".com/spreadsheets/d/1BJSV3WBYJGRhQ6zExamkszQ5VutGIcaQqmbD9ZTVXMQ/edit#gid=1251630045"",""articles_with_PRISMA_reasons!B2:B2113""))&gt;=2),
""Exclude""
)"),"Exclude")</f>
        <v>Exclude</v>
      </c>
      <c r="E1870" s="5" t="str">
        <f>IFERROR(__xludf.DUMMYFUNCTION("IFS(
D1870=""Exclude"",""Exclude"",
AND(
FILTER(IMPORTRANGE(""https://docs.google.com/spreadsheets/d/1qpEmbGH0JjaJbUdp21-y2cPbobDbMjr09BbtdKROZWc/edit#gid=1444865654"",""articles_with_PRISMA_reasons!W2:W2113""), $A1870=IMPORTRANGE(""https://docs.google.co"&amp;"m/spreadsheets/d/1qpEmbGH0JjaJbUdp21-y2cPbobDbMjr09BbtdKROZWc/edit#gid=1444865654"",""articles_with_PRISMA_reasons!B2:B2113""))&gt;=2,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$A1870=IMPORTRANGE(""https://docs.google.com/spreadsheets/d/1qpEmbGH0JjaJbUdp21-y2cPbobDbMjr09BbtdKROZWc/edit#gid=1444865654"",""articles_with_PRISMA_reasons!B2:B2113""))&lt;2),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$A1870=IMPORTRANGE(""https://docs.google.com/spreadsheets/d/1qpEmbGH0JjaJbUdp21-y2cPbobDbMjr09Bbtd"&amp;"KROZWc/edit#gid=1444865654"",""articles_with_PRISMA_reasons!B2:B2113""))&lt;2,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$A1870=I"&amp;"MPORTRANGE(""https://docs.google.com/spreadsheets/d/1qpEmbGH0JjaJbUdp21-y2cPbobDbMjr09BbtdKROZWc/edit#gid=1444865654"",""articles_with_PRISMA_reasons!B2:B2113""))&gt;=2),
""Exclude""
)"),"Exclude")</f>
        <v>Exclude</v>
      </c>
      <c r="F1870" s="5" t="str">
        <f>IFERROR(__xludf.DUMMYFUNCTION("IFS(
E1870=""Exclude"",""Exclude"",
AND(
COUNTIF(
IMPORTRANGE(""https://docs.google.com/spreadsheets/d/1kGrh75X1cNR1D7_FcY9zMnHP8iPO4M5RCRjy6nZY0TY/edit#gid=0"",""Table 1: Study characteristics!B4:B171""),A1870)&gt;0,
COUNTIF(Studies!$A$2:$A$85,FILTER(IMPORT"&amp;"RANGE(""https://docs.google.com/spreadsheets/d/1kGrh75X1cNR1D7_FcY9zMnHP8iPO4M5RCRjy6nZY0TY/edit#gid=0"",""Table 1: Study characteristics!A4:A171""), $A1870=IMPORTRANGE(""https://docs.google.com/spreadsheets/d/1kGrh75X1cNR1D7_FcY9zMnHP8iPO4M5RCRjy6nZY0TY/"&amp;"edit#gid=0"",""Table 1: Study characteristics!B4:B171"")))&gt;0
),
""Include""
)"),"Exclude")</f>
        <v>Exclude</v>
      </c>
      <c r="G1870" s="5" t="str">
        <f>IFERROR(__xludf.DUMMYFUNCTION("IFS(
D1870=""Exclude"",
FILTER(IMPORTRANGE(""https://docs.google.com/spreadsheets/d/1BJSV3WBYJGRhQ6zExamkszQ5VutGIcaQqmbD9ZTVXMQ/edit#gid=1251630045"",""articles_with_PRISMA_reasons!AB2:AB2113""), $A1870=IMPORTRANGE(""https://docs.google.com/spreadsheets/"&amp;"d/1BJSV3WBYJGRhQ6zExamkszQ5VutGIcaQqmbD9ZTVXMQ/edit#gid=1251630045"",""articles_with_PRISMA_reasons!B2:B2113"")),
E1870=""Exclude"",
FILTER(IMPORTRANGE(""https://docs.google.com/spreadsheets/d/1qpEmbGH0JjaJbUdp21-y2cPbobDbMjr09BbtdKROZWc/edit#gid=14448656"&amp;"54"",""articles_with_PRISMA_reasons!Z2:Z2113""), $A1870=IMPORTRANGE(""https://docs.google.com/spreadsheets/d/1qpEmbGH0JjaJbUdp21-y2cPbobDbMjr09BbtdKROZWc/edit#gid=1444865654"",""articles_with_PRISMA_reasons!B2:B2113"")),F1870
=""Include"",FILTER(IMPORTRAN"&amp;"GE(""https://docs.google.com/spreadsheets/d/1kGrh75X1cNR1D7_FcY9zMnHP8iPO4M5RCRjy6nZY0TY/edit#gid=0"",""Table 1: Study characteristics!A4:A171""), $A1870=IMPORTRANGE(""https://docs.google.com/spreadsheets/d/1kGrh75X1cNR1D7_FcY9zMnHP8iPO4M5RCRjy6nZY0TY/edi"&amp;"t#gid=0"",""Table 1: Study characteristics!B4:B171""))
)"),"background article")</f>
        <v>background article</v>
      </c>
    </row>
    <row r="1871">
      <c r="A1871" s="4" t="str">
        <f>IFERROR(__xludf.DUMMYFUNCTION("""COMPUTED_VALUE"""),"The Chiari/hydrosyringomyelia complex presenting in adults with myelomeningocoele: An indication for early intervention")</f>
        <v>The Chiari/hydrosyringomyelia complex presenting in adults with myelomeningocoele: An indication for early intervention</v>
      </c>
      <c r="B1871" s="5" t="str">
        <f>IFERROR(__xludf.DUMMYFUNCTION("LEFT(FILTER(IMPORTRANGE(""https://docs.google.com/spreadsheets/d/1BJSV3WBYJGRhQ6zExamkszQ5VutGIcaQqmbD9ZTVXMQ/edit#gid=1251630045"",""articles_with_PRISMA_reasons!K2:K2113""), $A1871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$A1871=IMPORTRANGE(""https://docs.google.com/spreadsheets/d/1BJSV3WBYJGRhQ6zExamkszQ5VutGIcaQqmbD9ZTVXMQ/edit#gid=1251630045"",""articles_with_PRISMA_reasons!B2:B2113"")))-1)"),"Craig")</f>
        <v>Craig</v>
      </c>
      <c r="C1871" s="6">
        <f>IFERROR(__xludf.DUMMYFUNCTION("FILTER(IMPORTRANGE(""https://docs.google.com/spreadsheets/d/1BJSV3WBYJGRhQ6zExamkszQ5VutGIcaQqmbD9ZTVXMQ/edit#gid=1251630045"",""articles_with_PRISMA_reasons!C2:C2113""), $A1871=IMPORTRANGE(""https://docs.google.com/spreadsheets/d/1BJSV3WBYJGRhQ6zExamkszQ"&amp;"5VutGIcaQqmbD9ZTVXMQ/edit#gid=1251630045"",""articles_with_PRISMA_reasons!B2:B2113""))"),1999.0)</f>
        <v>1999</v>
      </c>
      <c r="D1871" s="5" t="str">
        <f>IFERROR(__xludf.DUMMYFUNCTION("IFS(AND(
FILTER(IMPORTRANGE(""https://docs.google.com/spreadsheets/d/1BJSV3WBYJGRhQ6zExamkszQ5VutGIcaQqmbD9ZTVXMQ/edit#gid=1251630045"",""articles_with_PRISMA_reasons!Y2:Y2113""), $A1871=IMPORTRANGE(""https://docs.google.com/spreadsheets/d/1BJSV3WBYJGRhQ6"&amp;"zExamkszQ5VutGIcaQqmbD9ZTVXMQ/edit#gid=1251630045"",""articles_with_PRISMA_reasons!B2:B2113""))&gt;=2,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$A1871=IMPORTRANGE(""https://docs.google.com/spreadsheets/d/1BJSV3WBYJGRhQ6zExamkszQ5VutGIcaQqmbD9ZTVXMQ/edit#gid=1251630045"",""articles_with_PRISMA_reasons!B2:B2113""))&lt;2),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$A1871=IMPORTRANGE(""https://docs.google.com/spreadsheets/d/1BJSV3WBYJGRhQ6zExamkszQ5VutGIcaQqmbD9ZTVXMQ/edit#gid=1251630045"",""a"&amp;"rticles_with_PRISMA_reasons!B2:B2113""))&lt;2,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$A1871=IMPORTRANGE(""https://docs.google"&amp;".com/spreadsheets/d/1BJSV3WBYJGRhQ6zExamkszQ5VutGIcaQqmbD9ZTVXMQ/edit#gid=1251630045"",""articles_with_PRISMA_reasons!B2:B2113""))&gt;=2),
""Exclude""
)"),"Exclude")</f>
        <v>Exclude</v>
      </c>
      <c r="E1871" s="5" t="str">
        <f>IFERROR(__xludf.DUMMYFUNCTION("IFS(
D1871=""Exclude"",""Exclude"",
AND(
FILTER(IMPORTRANGE(""https://docs.google.com/spreadsheets/d/1qpEmbGH0JjaJbUdp21-y2cPbobDbMjr09BbtdKROZWc/edit#gid=1444865654"",""articles_with_PRISMA_reasons!W2:W2113""), $A1871=IMPORTRANGE(""https://docs.google.co"&amp;"m/spreadsheets/d/1qpEmbGH0JjaJbUdp21-y2cPbobDbMjr09BbtdKROZWc/edit#gid=1444865654"",""articles_with_PRISMA_reasons!B2:B2113""))&gt;=2,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$A1871=IMPORTRANGE(""https://docs.google.com/spreadsheets/d/1qpEmbGH0JjaJbUdp21-y2cPbobDbMjr09BbtdKROZWc/edit#gid=1444865654"",""articles_with_PRISMA_reasons!B2:B2113""))&lt;2),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$A1871=IMPORTRANGE(""https://docs.google.com/spreadsheets/d/1qpEmbGH0JjaJbUdp21-y2cPbobDbMjr09Bbtd"&amp;"KROZWc/edit#gid=1444865654"",""articles_with_PRISMA_reasons!B2:B2113""))&lt;2,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$A1871=I"&amp;"MPORTRANGE(""https://docs.google.com/spreadsheets/d/1qpEmbGH0JjaJbUdp21-y2cPbobDbMjr09BbtdKROZWc/edit#gid=1444865654"",""articles_with_PRISMA_reasons!B2:B2113""))&gt;=2),
""Exclude""
)"),"Exclude")</f>
        <v>Exclude</v>
      </c>
      <c r="F1871" s="5" t="str">
        <f>IFERROR(__xludf.DUMMYFUNCTION("IFS(
E1871=""Exclude"",""Exclude"",
AND(
COUNTIF(
IMPORTRANGE(""https://docs.google.com/spreadsheets/d/1kGrh75X1cNR1D7_FcY9zMnHP8iPO4M5RCRjy6nZY0TY/edit#gid=0"",""Table 1: Study characteristics!B4:B171""),A1871)&gt;0,
COUNTIF(Studies!$A$2:$A$85,FILTER(IMPORT"&amp;"RANGE(""https://docs.google.com/spreadsheets/d/1kGrh75X1cNR1D7_FcY9zMnHP8iPO4M5RCRjy6nZY0TY/edit#gid=0"",""Table 1: Study characteristics!A4:A171""), $A1871=IMPORTRANGE(""https://docs.google.com/spreadsheets/d/1kGrh75X1cNR1D7_FcY9zMnHP8iPO4M5RCRjy6nZY0TY/"&amp;"edit#gid=0"",""Table 1: Study characteristics!B4:B171"")))&gt;0
),
""Include""
)"),"Exclude")</f>
        <v>Exclude</v>
      </c>
      <c r="G1871" s="5" t="str">
        <f>IFERROR(__xludf.DUMMYFUNCTION("IFS(
D1871=""Exclude"",
FILTER(IMPORTRANGE(""https://docs.google.com/spreadsheets/d/1BJSV3WBYJGRhQ6zExamkszQ5VutGIcaQqmbD9ZTVXMQ/edit#gid=1251630045"",""articles_with_PRISMA_reasons!AB2:AB2113""), $A1871=IMPORTRANGE(""https://docs.google.com/spreadsheets/"&amp;"d/1BJSV3WBYJGRhQ6zExamkszQ5VutGIcaQqmbD9ZTVXMQ/edit#gid=1251630045"",""articles_with_PRISMA_reasons!B2:B2113"")),
E1871=""Exclude"",
FILTER(IMPORTRANGE(""https://docs.google.com/spreadsheets/d/1qpEmbGH0JjaJbUdp21-y2cPbobDbMjr09BbtdKROZWc/edit#gid=14448656"&amp;"54"",""articles_with_PRISMA_reasons!Z2:Z2113""), $A1871=IMPORTRANGE(""https://docs.google.com/spreadsheets/d/1qpEmbGH0JjaJbUdp21-y2cPbobDbMjr09BbtdKROZWc/edit#gid=1444865654"",""articles_with_PRISMA_reasons!B2:B2113"")),F1871
=""Include"",FILTER(IMPORTRAN"&amp;"GE(""https://docs.google.com/spreadsheets/d/1kGrh75X1cNR1D7_FcY9zMnHP8iPO4M5RCRjy6nZY0TY/edit#gid=0"",""Table 1: Study characteristics!A4:A171""), $A1871=IMPORTRANGE(""https://docs.google.com/spreadsheets/d/1kGrh75X1cNR1D7_FcY9zMnHP8iPO4M5RCRjy6nZY0TY/edi"&amp;"t#gid=0"",""Table 1: Study characteristics!B4:B171""))
)"),"wrong population")</f>
        <v>wrong population</v>
      </c>
    </row>
    <row r="1872">
      <c r="A1872" s="4" t="str">
        <f>IFERROR(__xludf.DUMMYFUNCTION("""COMPUTED_VALUE"""),"The child with hydrocephalus or myelomeningocele. II. Comprehensive physical therapy program")</f>
        <v>The child with hydrocephalus or myelomeningocele. II. Comprehensive physical therapy program</v>
      </c>
      <c r="B1872" s="5" t="str">
        <f>IFERROR(__xludf.DUMMYFUNCTION("LEFT(FILTER(IMPORTRANGE(""https://docs.google.com/spreadsheets/d/1BJSV3WBYJGRhQ6zExamkszQ5VutGIcaQqmbD9ZTVXMQ/edit#gid=1251630045"",""articles_with_PRISMA_reasons!K2:K2113""), $A1872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$A1872=IMPORTRANGE(""https://docs.google.com/spreadsheets/d/1BJSV3WBYJGRhQ6zExamkszQ5VutGIcaQqmbD9ZTVXMQ/edit#gid=1251630045"",""articles_with_PRISMA_reasons!B2:B2113"")))-1)"),"Kinsman")</f>
        <v>Kinsman</v>
      </c>
      <c r="C1872" s="6">
        <f>IFERROR(__xludf.DUMMYFUNCTION("FILTER(IMPORTRANGE(""https://docs.google.com/spreadsheets/d/1BJSV3WBYJGRhQ6zExamkszQ5VutGIcaQqmbD9ZTVXMQ/edit#gid=1251630045"",""articles_with_PRISMA_reasons!C2:C2113""), $A1872=IMPORTRANGE(""https://docs.google.com/spreadsheets/d/1BJSV3WBYJGRhQ6zExamkszQ"&amp;"5VutGIcaQqmbD9ZTVXMQ/edit#gid=1251630045"",""articles_with_PRISMA_reasons!B2:B2113""))"),1966.0)</f>
        <v>1966</v>
      </c>
      <c r="D1872" s="5" t="str">
        <f>IFERROR(__xludf.DUMMYFUNCTION("IFS(AND(
FILTER(IMPORTRANGE(""https://docs.google.com/spreadsheets/d/1BJSV3WBYJGRhQ6zExamkszQ5VutGIcaQqmbD9ZTVXMQ/edit#gid=1251630045"",""articles_with_PRISMA_reasons!Y2:Y2113""), $A1872=IMPORTRANGE(""https://docs.google.com/spreadsheets/d/1BJSV3WBYJGRhQ6"&amp;"zExamkszQ5VutGIcaQqmbD9ZTVXMQ/edit#gid=1251630045"",""articles_with_PRISMA_reasons!B2:B2113""))&gt;=2,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$A1872=IMPORTRANGE(""https://docs.google.com/spreadsheets/d/1BJSV3WBYJGRhQ6zExamkszQ5VutGIcaQqmbD9ZTVXMQ/edit#gid=1251630045"",""articles_with_PRISMA_reasons!B2:B2113""))&lt;2),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$A1872=IMPORTRANGE(""https://docs.google.com/spreadsheets/d/1BJSV3WBYJGRhQ6zExamkszQ5VutGIcaQqmbD9ZTVXMQ/edit#gid=1251630045"",""a"&amp;"rticles_with_PRISMA_reasons!B2:B2113""))&lt;2,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$A1872=IMPORTRANGE(""https://docs.google"&amp;".com/spreadsheets/d/1BJSV3WBYJGRhQ6zExamkszQ5VutGIcaQqmbD9ZTVXMQ/edit#gid=1251630045"",""articles_with_PRISMA_reasons!B2:B2113""))&gt;=2),
""Exclude""
)"),"Exclude")</f>
        <v>Exclude</v>
      </c>
      <c r="E1872" s="5" t="str">
        <f>IFERROR(__xludf.DUMMYFUNCTION("IFS(
D1872=""Exclude"",""Exclude"",
AND(
FILTER(IMPORTRANGE(""https://docs.google.com/spreadsheets/d/1qpEmbGH0JjaJbUdp21-y2cPbobDbMjr09BbtdKROZWc/edit#gid=1444865654"",""articles_with_PRISMA_reasons!W2:W2113""), $A1872=IMPORTRANGE(""https://docs.google.co"&amp;"m/spreadsheets/d/1qpEmbGH0JjaJbUdp21-y2cPbobDbMjr09BbtdKROZWc/edit#gid=1444865654"",""articles_with_PRISMA_reasons!B2:B2113""))&gt;=2,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$A1872=IMPORTRANGE(""https://docs.google.com/spreadsheets/d/1qpEmbGH0JjaJbUdp21-y2cPbobDbMjr09BbtdKROZWc/edit#gid=1444865654"",""articles_with_PRISMA_reasons!B2:B2113""))&lt;2),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$A1872=IMPORTRANGE(""https://docs.google.com/spreadsheets/d/1qpEmbGH0JjaJbUdp21-y2cPbobDbMjr09Bbtd"&amp;"KROZWc/edit#gid=1444865654"",""articles_with_PRISMA_reasons!B2:B2113""))&lt;2,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$A1872=I"&amp;"MPORTRANGE(""https://docs.google.com/spreadsheets/d/1qpEmbGH0JjaJbUdp21-y2cPbobDbMjr09BbtdKROZWc/edit#gid=1444865654"",""articles_with_PRISMA_reasons!B2:B2113""))&gt;=2),
""Exclude""
)"),"Exclude")</f>
        <v>Exclude</v>
      </c>
      <c r="F1872" s="5" t="str">
        <f>IFERROR(__xludf.DUMMYFUNCTION("IFS(
E1872=""Exclude"",""Exclude"",
AND(
COUNTIF(
IMPORTRANGE(""https://docs.google.com/spreadsheets/d/1kGrh75X1cNR1D7_FcY9zMnHP8iPO4M5RCRjy6nZY0TY/edit#gid=0"",""Table 1: Study characteristics!B4:B171""),A1872)&gt;0,
COUNTIF(Studies!$A$2:$A$85,FILTER(IMPORT"&amp;"RANGE(""https://docs.google.com/spreadsheets/d/1kGrh75X1cNR1D7_FcY9zMnHP8iPO4M5RCRjy6nZY0TY/edit#gid=0"",""Table 1: Study characteristics!A4:A171""), $A1872=IMPORTRANGE(""https://docs.google.com/spreadsheets/d/1kGrh75X1cNR1D7_FcY9zMnHP8iPO4M5RCRjy6nZY0TY/"&amp;"edit#gid=0"",""Table 1: Study characteristics!B4:B171"")))&gt;0
),
""Include""
)"),"Exclude")</f>
        <v>Exclude</v>
      </c>
      <c r="G1872" s="5" t="str">
        <f>IFERROR(__xludf.DUMMYFUNCTION("IFS(
D1872=""Exclude"",
FILTER(IMPORTRANGE(""https://docs.google.com/spreadsheets/d/1BJSV3WBYJGRhQ6zExamkszQ5VutGIcaQqmbD9ZTVXMQ/edit#gid=1251630045"",""articles_with_PRISMA_reasons!AB2:AB2113""), $A1872=IMPORTRANGE(""https://docs.google.com/spreadsheets/"&amp;"d/1BJSV3WBYJGRhQ6zExamkszQ5VutGIcaQqmbD9ZTVXMQ/edit#gid=1251630045"",""articles_with_PRISMA_reasons!B2:B2113"")),
E1872=""Exclude"",
FILTER(IMPORTRANGE(""https://docs.google.com/spreadsheets/d/1qpEmbGH0JjaJbUdp21-y2cPbobDbMjr09BbtdKROZWc/edit#gid=14448656"&amp;"54"",""articles_with_PRISMA_reasons!Z2:Z2113""), $A1872=IMPORTRANGE(""https://docs.google.com/spreadsheets/d/1qpEmbGH0JjaJbUdp21-y2cPbobDbMjr09BbtdKROZWc/edit#gid=1444865654"",""articles_with_PRISMA_reasons!B2:B2113"")),F1872
=""Include"",FILTER(IMPORTRAN"&amp;"GE(""https://docs.google.com/spreadsheets/d/1kGrh75X1cNR1D7_FcY9zMnHP8iPO4M5RCRjy6nZY0TY/edit#gid=0"",""Table 1: Study characteristics!A4:A171""), $A1872=IMPORTRANGE(""https://docs.google.com/spreadsheets/d/1kGrh75X1cNR1D7_FcY9zMnHP8iPO4M5RCRjy6nZY0TY/edi"&amp;"t#gid=0"",""Table 1: Study characteristics!B4:B171""))
)"),"wrong population")</f>
        <v>wrong population</v>
      </c>
    </row>
    <row r="1873">
      <c r="A1873" s="4" t="str">
        <f>IFERROR(__xludf.DUMMYFUNCTION("""COMPUTED_VALUE"""),"The clinical features of paediatric neural tube defects changed in a tertiary care centre between 1997 and 2015")</f>
        <v>The clinical features of paediatric neural tube defects changed in a tertiary care centre between 1997 and 2015</v>
      </c>
      <c r="B1873" s="5" t="str">
        <f>IFERROR(__xludf.DUMMYFUNCTION("LEFT(FILTER(IMPORTRANGE(""https://docs.google.com/spreadsheets/d/1BJSV3WBYJGRhQ6zExamkszQ5VutGIcaQqmbD9ZTVXMQ/edit#gid=1251630045"",""articles_with_PRISMA_reasons!K2:K2113""), $A1873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$A1873=IMPORTRANGE(""https://docs.google.com/spreadsheets/d/1BJSV3WBYJGRhQ6zExamkszQ5VutGIcaQqmbD9ZTVXMQ/edit#gid=1251630045"",""articles_with_PRISMA_reasons!B2:B2113"")))-1)"),"Gregersen")</f>
        <v>Gregersen</v>
      </c>
      <c r="C1873" s="6">
        <f>IFERROR(__xludf.DUMMYFUNCTION("FILTER(IMPORTRANGE(""https://docs.google.com/spreadsheets/d/1BJSV3WBYJGRhQ6zExamkszQ5VutGIcaQqmbD9ZTVXMQ/edit#gid=1251630045"",""articles_with_PRISMA_reasons!C2:C2113""), $A1873=IMPORTRANGE(""https://docs.google.com/spreadsheets/d/1BJSV3WBYJGRhQ6zExamkszQ"&amp;"5VutGIcaQqmbD9ZTVXMQ/edit#gid=1251630045"",""articles_with_PRISMA_reasons!B2:B2113""))"),2017.0)</f>
        <v>2017</v>
      </c>
      <c r="D1873" s="5" t="str">
        <f>IFERROR(__xludf.DUMMYFUNCTION("IFS(AND(
FILTER(IMPORTRANGE(""https://docs.google.com/spreadsheets/d/1BJSV3WBYJGRhQ6zExamkszQ5VutGIcaQqmbD9ZTVXMQ/edit#gid=1251630045"",""articles_with_PRISMA_reasons!Y2:Y2113""), $A1873=IMPORTRANGE(""https://docs.google.com/spreadsheets/d/1BJSV3WBYJGRhQ6"&amp;"zExamkszQ5VutGIcaQqmbD9ZTVXMQ/edit#gid=1251630045"",""articles_with_PRISMA_reasons!B2:B2113""))&gt;=2,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$A1873=IMPORTRANGE(""https://docs.google.com/spreadsheets/d/1BJSV3WBYJGRhQ6zExamkszQ5VutGIcaQqmbD9ZTVXMQ/edit#gid=1251630045"",""articles_with_PRISMA_reasons!B2:B2113""))&lt;2),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$A1873=IMPORTRANGE(""https://docs.google.com/spreadsheets/d/1BJSV3WBYJGRhQ6zExamkszQ5VutGIcaQqmbD9ZTVXMQ/edit#gid=1251630045"",""a"&amp;"rticles_with_PRISMA_reasons!B2:B2113""))&lt;2,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$A1873=IMPORTRANGE(""https://docs.google"&amp;".com/spreadsheets/d/1BJSV3WBYJGRhQ6zExamkszQ5VutGIcaQqmbD9ZTVXMQ/edit#gid=1251630045"",""articles_with_PRISMA_reasons!B2:B2113""))&gt;=2),
""Exclude""
)"),"Exclude")</f>
        <v>Exclude</v>
      </c>
      <c r="E1873" s="5" t="str">
        <f>IFERROR(__xludf.DUMMYFUNCTION("IFS(
D1873=""Exclude"",""Exclude"",
AND(
FILTER(IMPORTRANGE(""https://docs.google.com/spreadsheets/d/1qpEmbGH0JjaJbUdp21-y2cPbobDbMjr09BbtdKROZWc/edit#gid=1444865654"",""articles_with_PRISMA_reasons!W2:W2113""), $A1873=IMPORTRANGE(""https://docs.google.co"&amp;"m/spreadsheets/d/1qpEmbGH0JjaJbUdp21-y2cPbobDbMjr09BbtdKROZWc/edit#gid=1444865654"",""articles_with_PRISMA_reasons!B2:B2113""))&gt;=2,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$A1873=IMPORTRANGE(""https://docs.google.com/spreadsheets/d/1qpEmbGH0JjaJbUdp21-y2cPbobDbMjr09BbtdKROZWc/edit#gid=1444865654"",""articles_with_PRISMA_reasons!B2:B2113""))&lt;2),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$A1873=IMPORTRANGE(""https://docs.google.com/spreadsheets/d/1qpEmbGH0JjaJbUdp21-y2cPbobDbMjr09Bbtd"&amp;"KROZWc/edit#gid=1444865654"",""articles_with_PRISMA_reasons!B2:B2113""))&lt;2,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$A1873=I"&amp;"MPORTRANGE(""https://docs.google.com/spreadsheets/d/1qpEmbGH0JjaJbUdp21-y2cPbobDbMjr09BbtdKROZWc/edit#gid=1444865654"",""articles_with_PRISMA_reasons!B2:B2113""))&gt;=2),
""Exclude""
)"),"Exclude")</f>
        <v>Exclude</v>
      </c>
      <c r="F1873" s="5" t="str">
        <f>IFERROR(__xludf.DUMMYFUNCTION("IFS(
E1873=""Exclude"",""Exclude"",
AND(
COUNTIF(
IMPORTRANGE(""https://docs.google.com/spreadsheets/d/1kGrh75X1cNR1D7_FcY9zMnHP8iPO4M5RCRjy6nZY0TY/edit#gid=0"",""Table 1: Study characteristics!B4:B171""),A1873)&gt;0,
COUNTIF(Studies!$A$2:$A$85,FILTER(IMPORT"&amp;"RANGE(""https://docs.google.com/spreadsheets/d/1kGrh75X1cNR1D7_FcY9zMnHP8iPO4M5RCRjy6nZY0TY/edit#gid=0"",""Table 1: Study characteristics!A4:A171""), $A1873=IMPORTRANGE(""https://docs.google.com/spreadsheets/d/1kGrh75X1cNR1D7_FcY9zMnHP8iPO4M5RCRjy6nZY0TY/"&amp;"edit#gid=0"",""Table 1: Study characteristics!B4:B171"")))&gt;0
),
""Include""
)"),"Exclude")</f>
        <v>Exclude</v>
      </c>
      <c r="G1873" s="5" t="str">
        <f>IFERROR(__xludf.DUMMYFUNCTION("IFS(
D1873=""Exclude"",
FILTER(IMPORTRANGE(""https://docs.google.com/spreadsheets/d/1BJSV3WBYJGRhQ6zExamkszQ5VutGIcaQqmbD9ZTVXMQ/edit#gid=1251630045"",""articles_with_PRISMA_reasons!AB2:AB2113""), $A1873=IMPORTRANGE(""https://docs.google.com/spreadsheets/"&amp;"d/1BJSV3WBYJGRhQ6zExamkszQ5VutGIcaQqmbD9ZTVXMQ/edit#gid=1251630045"",""articles_with_PRISMA_reasons!B2:B2113"")),
E1873=""Exclude"",
FILTER(IMPORTRANGE(""https://docs.google.com/spreadsheets/d/1qpEmbGH0JjaJbUdp21-y2cPbobDbMjr09BbtdKROZWc/edit#gid=14448656"&amp;"54"",""articles_with_PRISMA_reasons!Z2:Z2113""), $A1873=IMPORTRANGE(""https://docs.google.com/spreadsheets/d/1qpEmbGH0JjaJbUdp21-y2cPbobDbMjr09BbtdKROZWc/edit#gid=1444865654"",""articles_with_PRISMA_reasons!B2:B2113"")),F1873
=""Include"",FILTER(IMPORTRAN"&amp;"GE(""https://docs.google.com/spreadsheets/d/1kGrh75X1cNR1D7_FcY9zMnHP8iPO4M5RCRjy6nZY0TY/edit#gid=0"",""Table 1: Study characteristics!A4:A171""), $A1873=IMPORTRANGE(""https://docs.google.com/spreadsheets/d/1kGrh75X1cNR1D7_FcY9zMnHP8iPO4M5RCRjy6nZY0TY/edi"&amp;"t#gid=0"",""Table 1: Study characteristics!B4:B171""))
)"),"wrong population")</f>
        <v>wrong population</v>
      </c>
    </row>
    <row r="1874">
      <c r="A1874" s="4" t="str">
        <f>IFERROR(__xludf.DUMMYFUNCTION("""COMPUTED_VALUE"""),"The collapsed ventricle: management and prevention")</f>
        <v>The collapsed ventricle: management and prevention</v>
      </c>
      <c r="B1874" s="5" t="str">
        <f>IFERROR(__xludf.DUMMYFUNCTION("LEFT(FILTER(IMPORTRANGE(""https://docs.google.com/spreadsheets/d/1BJSV3WBYJGRhQ6zExamkszQ5VutGIcaQqmbD9ZTVXMQ/edit#gid=1251630045"",""articles_with_PRISMA_reasons!K2:K2113""), $A1874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$A1874=IMPORTRANGE(""https://docs.google.com/spreadsheets/d/1BJSV3WBYJGRhQ6zExamkszQ5VutGIcaQqmbD9ZTVXMQ/edit#gid=1251630045"",""articles_with_PRISMA_reasons!B2:B2113"")))-1)"),"Salmon")</f>
        <v>Salmon</v>
      </c>
      <c r="C1874" s="6">
        <f>IFERROR(__xludf.DUMMYFUNCTION("FILTER(IMPORTRANGE(""https://docs.google.com/spreadsheets/d/1BJSV3WBYJGRhQ6zExamkszQ5VutGIcaQqmbD9ZTVXMQ/edit#gid=1251630045"",""articles_with_PRISMA_reasons!C2:C2113""), $A1874=IMPORTRANGE(""https://docs.google.com/spreadsheets/d/1BJSV3WBYJGRhQ6zExamkszQ"&amp;"5VutGIcaQqmbD9ZTVXMQ/edit#gid=1251630045"",""articles_with_PRISMA_reasons!B2:B2113""))"),1978.0)</f>
        <v>1978</v>
      </c>
      <c r="D1874" s="5" t="str">
        <f>IFERROR(__xludf.DUMMYFUNCTION("IFS(AND(
FILTER(IMPORTRANGE(""https://docs.google.com/spreadsheets/d/1BJSV3WBYJGRhQ6zExamkszQ5VutGIcaQqmbD9ZTVXMQ/edit#gid=1251630045"",""articles_with_PRISMA_reasons!Y2:Y2113""), $A1874=IMPORTRANGE(""https://docs.google.com/spreadsheets/d/1BJSV3WBYJGRhQ6"&amp;"zExamkszQ5VutGIcaQqmbD9ZTVXMQ/edit#gid=1251630045"",""articles_with_PRISMA_reasons!B2:B2113""))&gt;=2,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$A1874=IMPORTRANGE(""https://docs.google.com/spreadsheets/d/1BJSV3WBYJGRhQ6zExamkszQ5VutGIcaQqmbD9ZTVXMQ/edit#gid=1251630045"",""articles_with_PRISMA_reasons!B2:B2113""))&lt;2),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$A1874=IMPORTRANGE(""https://docs.google.com/spreadsheets/d/1BJSV3WBYJGRhQ6zExamkszQ5VutGIcaQqmbD9ZTVXMQ/edit#gid=1251630045"",""a"&amp;"rticles_with_PRISMA_reasons!B2:B2113""))&lt;2,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$A1874=IMPORTRANGE(""https://docs.google"&amp;".com/spreadsheets/d/1BJSV3WBYJGRhQ6zExamkszQ5VutGIcaQqmbD9ZTVXMQ/edit#gid=1251630045"",""articles_with_PRISMA_reasons!B2:B2113""))&gt;=2),
""Exclude""
)"),"Exclude")</f>
        <v>Exclude</v>
      </c>
      <c r="E1874" s="5" t="str">
        <f>IFERROR(__xludf.DUMMYFUNCTION("IFS(
D1874=""Exclude"",""Exclude"",
AND(
FILTER(IMPORTRANGE(""https://docs.google.com/spreadsheets/d/1qpEmbGH0JjaJbUdp21-y2cPbobDbMjr09BbtdKROZWc/edit#gid=1444865654"",""articles_with_PRISMA_reasons!W2:W2113""), $A1874=IMPORTRANGE(""https://docs.google.co"&amp;"m/spreadsheets/d/1qpEmbGH0JjaJbUdp21-y2cPbobDbMjr09BbtdKROZWc/edit#gid=1444865654"",""articles_with_PRISMA_reasons!B2:B2113""))&gt;=2,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$A1874=IMPORTRANGE(""https://docs.google.com/spreadsheets/d/1qpEmbGH0JjaJbUdp21-y2cPbobDbMjr09BbtdKROZWc/edit#gid=1444865654"",""articles_with_PRISMA_reasons!B2:B2113""))&lt;2),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$A1874=IMPORTRANGE(""https://docs.google.com/spreadsheets/d/1qpEmbGH0JjaJbUdp21-y2cPbobDbMjr09Bbtd"&amp;"KROZWc/edit#gid=1444865654"",""articles_with_PRISMA_reasons!B2:B2113""))&lt;2,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$A1874=I"&amp;"MPORTRANGE(""https://docs.google.com/spreadsheets/d/1qpEmbGH0JjaJbUdp21-y2cPbobDbMjr09BbtdKROZWc/edit#gid=1444865654"",""articles_with_PRISMA_reasons!B2:B2113""))&gt;=2),
""Exclude""
)"),"Exclude")</f>
        <v>Exclude</v>
      </c>
      <c r="F1874" s="5" t="str">
        <f>IFERROR(__xludf.DUMMYFUNCTION("IFS(
E1874=""Exclude"",""Exclude"",
AND(
COUNTIF(
IMPORTRANGE(""https://docs.google.com/spreadsheets/d/1kGrh75X1cNR1D7_FcY9zMnHP8iPO4M5RCRjy6nZY0TY/edit#gid=0"",""Table 1: Study characteristics!B4:B171""),A1874)&gt;0,
COUNTIF(Studies!$A$2:$A$85,FILTER(IMPORT"&amp;"RANGE(""https://docs.google.com/spreadsheets/d/1kGrh75X1cNR1D7_FcY9zMnHP8iPO4M5RCRjy6nZY0TY/edit#gid=0"",""Table 1: Study characteristics!A4:A171""), $A1874=IMPORTRANGE(""https://docs.google.com/spreadsheets/d/1kGrh75X1cNR1D7_FcY9zMnHP8iPO4M5RCRjy6nZY0TY/"&amp;"edit#gid=0"",""Table 1: Study characteristics!B4:B171"")))&gt;0
),
""Include""
)"),"Exclude")</f>
        <v>Exclude</v>
      </c>
      <c r="G1874" s="5" t="str">
        <f>IFERROR(__xludf.DUMMYFUNCTION("IFS(
D1874=""Exclude"",
FILTER(IMPORTRANGE(""https://docs.google.com/spreadsheets/d/1BJSV3WBYJGRhQ6zExamkszQ5VutGIcaQqmbD9ZTVXMQ/edit#gid=1251630045"",""articles_with_PRISMA_reasons!AB2:AB2113""), $A1874=IMPORTRANGE(""https://docs.google.com/spreadsheets/"&amp;"d/1BJSV3WBYJGRhQ6zExamkszQ5VutGIcaQqmbD9ZTVXMQ/edit#gid=1251630045"",""articles_with_PRISMA_reasons!B2:B2113"")),
E1874=""Exclude"",
FILTER(IMPORTRANGE(""https://docs.google.com/spreadsheets/d/1qpEmbGH0JjaJbUdp21-y2cPbobDbMjr09BbtdKROZWc/edit#gid=14448656"&amp;"54"",""articles_with_PRISMA_reasons!Z2:Z2113""), $A1874=IMPORTRANGE(""https://docs.google.com/spreadsheets/d/1qpEmbGH0JjaJbUdp21-y2cPbobDbMjr09BbtdKROZWc/edit#gid=1444865654"",""articles_with_PRISMA_reasons!B2:B2113"")),F1874
=""Include"",FILTER(IMPORTRAN"&amp;"GE(""https://docs.google.com/spreadsheets/d/1kGrh75X1cNR1D7_FcY9zMnHP8iPO4M5RCRjy6nZY0TY/edit#gid=0"",""Table 1: Study characteristics!A4:A171""), $A1874=IMPORTRANGE(""https://docs.google.com/spreadsheets/d/1kGrh75X1cNR1D7_FcY9zMnHP8iPO4M5RCRjy6nZY0TY/edi"&amp;"t#gid=0"",""Table 1: Study characteristics!B4:B171""))
)"),"background article")</f>
        <v>background article</v>
      </c>
    </row>
    <row r="1875">
      <c r="A1875" s="4" t="str">
        <f>IFERROR(__xludf.DUMMYFUNCTION("""COMPUTED_VALUE"""),"The comparative effectiveness of ventricular shunt placement versus endoscopic third ventriculostomy for initial treatment of hydrocephalus in infants: Clinical article")</f>
        <v>The comparative effectiveness of ventricular shunt placement versus endoscopic third ventriculostomy for initial treatment of hydrocephalus in infants: Clinical article</v>
      </c>
      <c r="B1875" s="5" t="str">
        <f>IFERROR(__xludf.DUMMYFUNCTION("LEFT(FILTER(IMPORTRANGE(""https://docs.google.com/spreadsheets/d/1BJSV3WBYJGRhQ6zExamkszQ5VutGIcaQqmbD9ZTVXMQ/edit#gid=1251630045"",""articles_with_PRISMA_reasons!K2:K2113""), $A1875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$A1875=IMPORTRANGE(""https://docs.google.com/spreadsheets/d/1BJSV3WBYJGRhQ6zExamkszQ5VutGIcaQqmbD9ZTVXMQ/edit#gid=1251630045"",""articles_with_PRISMA_reasons!B2:B2113"")))-1)"),"Jernigan")</f>
        <v>Jernigan</v>
      </c>
      <c r="C1875" s="6">
        <f>IFERROR(__xludf.DUMMYFUNCTION("FILTER(IMPORTRANGE(""https://docs.google.com/spreadsheets/d/1BJSV3WBYJGRhQ6zExamkszQ5VutGIcaQqmbD9ZTVXMQ/edit#gid=1251630045"",""articles_with_PRISMA_reasons!C2:C2113""), $A1875=IMPORTRANGE(""https://docs.google.com/spreadsheets/d/1BJSV3WBYJGRhQ6zExamkszQ"&amp;"5VutGIcaQqmbD9ZTVXMQ/edit#gid=1251630045"",""articles_with_PRISMA_reasons!B2:B2113""))"),2014.0)</f>
        <v>2014</v>
      </c>
      <c r="D1875" s="5" t="str">
        <f>IFERROR(__xludf.DUMMYFUNCTION("IFS(AND(
FILTER(IMPORTRANGE(""https://docs.google.com/spreadsheets/d/1BJSV3WBYJGRhQ6zExamkszQ5VutGIcaQqmbD9ZTVXMQ/edit#gid=1251630045"",""articles_with_PRISMA_reasons!Y2:Y2113""), $A1875=IMPORTRANGE(""https://docs.google.com/spreadsheets/d/1BJSV3WBYJGRhQ6"&amp;"zExamkszQ5VutGIcaQqmbD9ZTVXMQ/edit#gid=1251630045"",""articles_with_PRISMA_reasons!B2:B2113""))&gt;=2,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$A1875=IMPORTRANGE(""https://docs.google.com/spreadsheets/d/1BJSV3WBYJGRhQ6zExamkszQ5VutGIcaQqmbD9ZTVXMQ/edit#gid=1251630045"",""articles_with_PRISMA_reasons!B2:B2113""))&lt;2),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$A1875=IMPORTRANGE(""https://docs.google.com/spreadsheets/d/1BJSV3WBYJGRhQ6zExamkszQ5VutGIcaQqmbD9ZTVXMQ/edit#gid=1251630045"",""a"&amp;"rticles_with_PRISMA_reasons!B2:B2113""))&lt;2,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$A1875=IMPORTRANGE(""https://docs.google"&amp;".com/spreadsheets/d/1BJSV3WBYJGRhQ6zExamkszQ5VutGIcaQqmbD9ZTVXMQ/edit#gid=1251630045"",""articles_with_PRISMA_reasons!B2:B2113""))&gt;=2),
""Exclude""
)"),"Include")</f>
        <v>Include</v>
      </c>
      <c r="E1875" s="5" t="str">
        <f>IFERROR(__xludf.DUMMYFUNCTION("IFS(
D1875=""Exclude"",""Exclude"",
AND(
FILTER(IMPORTRANGE(""https://docs.google.com/spreadsheets/d/1qpEmbGH0JjaJbUdp21-y2cPbobDbMjr09BbtdKROZWc/edit#gid=1444865654"",""articles_with_PRISMA_reasons!W2:W2113""), $A1875=IMPORTRANGE(""https://docs.google.co"&amp;"m/spreadsheets/d/1qpEmbGH0JjaJbUdp21-y2cPbobDbMjr09BbtdKROZWc/edit#gid=1444865654"",""articles_with_PRISMA_reasons!B2:B2113""))&gt;=2,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$A1875=IMPORTRANGE(""https://docs.google.com/spreadsheets/d/1qpEmbGH0JjaJbUdp21-y2cPbobDbMjr09BbtdKROZWc/edit#gid=1444865654"",""articles_with_PRISMA_reasons!B2:B2113""))&lt;2),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$A1875=IMPORTRANGE(""https://docs.google.com/spreadsheets/d/1qpEmbGH0JjaJbUdp21-y2cPbobDbMjr09Bbtd"&amp;"KROZWc/edit#gid=1444865654"",""articles_with_PRISMA_reasons!B2:B2113""))&lt;2,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$A1875=I"&amp;"MPORTRANGE(""https://docs.google.com/spreadsheets/d/1qpEmbGH0JjaJbUdp21-y2cPbobDbMjr09BbtdKROZWc/edit#gid=1444865654"",""articles_with_PRISMA_reasons!B2:B2113""))&gt;=2),
""Exclude""
)"),"Include")</f>
        <v>Include</v>
      </c>
      <c r="F1875" s="5" t="str">
        <f>IFERROR(__xludf.DUMMYFUNCTION("IFS(
E1875=""Exclude"",""Exclude"",
AND(
COUNTIF(
IMPORTRANGE(""https://docs.google.com/spreadsheets/d/1kGrh75X1cNR1D7_FcY9zMnHP8iPO4M5RCRjy6nZY0TY/edit#gid=0"",""Table 1: Study characteristics!B4:B171""),A1875)&gt;0,
COUNTIF(Studies!$A$2:$A$85,FILTER(IMPORT"&amp;"RANGE(""https://docs.google.com/spreadsheets/d/1kGrh75X1cNR1D7_FcY9zMnHP8iPO4M5RCRjy6nZY0TY/edit#gid=0"",""Table 1: Study characteristics!A4:A171""), $A1875=IMPORTRANGE(""https://docs.google.com/spreadsheets/d/1kGrh75X1cNR1D7_FcY9zMnHP8iPO4M5RCRjy6nZY0TY/"&amp;"edit#gid=0"",""Table 1: Study characteristics!B4:B171"")))&gt;0
),
""Include""
)"),"Include")</f>
        <v>Include</v>
      </c>
      <c r="G1875" s="5" t="str">
        <f>IFERROR(__xludf.DUMMYFUNCTION("IFS(
D1875=""Exclude"",
FILTER(IMPORTRANGE(""https://docs.google.com/spreadsheets/d/1BJSV3WBYJGRhQ6zExamkszQ5VutGIcaQqmbD9ZTVXMQ/edit#gid=1251630045"",""articles_with_PRISMA_reasons!AB2:AB2113""), $A1875=IMPORTRANGE(""https://docs.google.com/spreadsheets/"&amp;"d/1BJSV3WBYJGRhQ6zExamkszQ5VutGIcaQqmbD9ZTVXMQ/edit#gid=1251630045"",""articles_with_PRISMA_reasons!B2:B2113"")),
E1875=""Exclude"",
FILTER(IMPORTRANGE(""https://docs.google.com/spreadsheets/d/1qpEmbGH0JjaJbUdp21-y2cPbobDbMjr09BbtdKROZWc/edit#gid=14448656"&amp;"54"",""articles_with_PRISMA_reasons!Z2:Z2113""), $A1875=IMPORTRANGE(""https://docs.google.com/spreadsheets/d/1qpEmbGH0JjaJbUdp21-y2cPbobDbMjr09BbtdKROZWc/edit#gid=1444865654"",""articles_with_PRISMA_reasons!B2:B2113"")),F1875
=""Include"",FILTER(IMPORTRAN"&amp;"GE(""https://docs.google.com/spreadsheets/d/1kGrh75X1cNR1D7_FcY9zMnHP8iPO4M5RCRjy6nZY0TY/edit#gid=0"",""Table 1: Study characteristics!A4:A171""), $A1875=IMPORTRANGE(""https://docs.google.com/spreadsheets/d/1kGrh75X1cNR1D7_FcY9zMnHP8iPO4M5RCRjy6nZY0TY/edi"&amp;"t#gid=0"",""Table 1: Study characteristics!B4:B171""))
)"),"ID 152")</f>
        <v>ID 152</v>
      </c>
    </row>
    <row r="1876">
      <c r="A1876" s="4" t="str">
        <f>IFERROR(__xludf.DUMMYFUNCTION("""COMPUTED_VALUE"""),"The complication for ventricular shunt based on different etiologies: A prospective study in Tehran, Iran")</f>
        <v>The complication for ventricular shunt based on different etiologies: A prospective study in Tehran, Iran</v>
      </c>
      <c r="B1876" s="5" t="str">
        <f>IFERROR(__xludf.DUMMYFUNCTION("LEFT(FILTER(IMPORTRANGE(""https://docs.google.com/spreadsheets/d/1BJSV3WBYJGRhQ6zExamkszQ5VutGIcaQqmbD9ZTVXMQ/edit#gid=1251630045"",""articles_with_PRISMA_reasons!K2:K2113""), $A1876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$A1876=IMPORTRANGE(""https://docs.google.com/spreadsheets/d/1BJSV3WBYJGRhQ6zExamkszQ5VutGIcaQqmbD9ZTVXMQ/edit#gid=1251630045"",""articles_with_PRISMA_reasons!B2:B2113"")))-1)"),"Shahi")</f>
        <v>Shahi</v>
      </c>
      <c r="C1876" s="6">
        <f>IFERROR(__xludf.DUMMYFUNCTION("FILTER(IMPORTRANGE(""https://docs.google.com/spreadsheets/d/1BJSV3WBYJGRhQ6zExamkszQ5VutGIcaQqmbD9ZTVXMQ/edit#gid=1251630045"",""articles_with_PRISMA_reasons!C2:C2113""), $A1876=IMPORTRANGE(""https://docs.google.com/spreadsheets/d/1BJSV3WBYJGRhQ6zExamkszQ"&amp;"5VutGIcaQqmbD9ZTVXMQ/edit#gid=1251630045"",""articles_with_PRISMA_reasons!B2:B2113""))"),2018.0)</f>
        <v>2018</v>
      </c>
      <c r="D1876" s="5" t="str">
        <f>IFERROR(__xludf.DUMMYFUNCTION("IFS(AND(
FILTER(IMPORTRANGE(""https://docs.google.com/spreadsheets/d/1BJSV3WBYJGRhQ6zExamkszQ5VutGIcaQqmbD9ZTVXMQ/edit#gid=1251630045"",""articles_with_PRISMA_reasons!Y2:Y2113""), $A1876=IMPORTRANGE(""https://docs.google.com/spreadsheets/d/1BJSV3WBYJGRhQ6"&amp;"zExamkszQ5VutGIcaQqmbD9ZTVXMQ/edit#gid=1251630045"",""articles_with_PRISMA_reasons!B2:B2113""))&gt;=2,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$A1876=IMPORTRANGE(""https://docs.google.com/spreadsheets/d/1BJSV3WBYJGRhQ6zExamkszQ5VutGIcaQqmbD9ZTVXMQ/edit#gid=1251630045"",""articles_with_PRISMA_reasons!B2:B2113""))&lt;2),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$A1876=IMPORTRANGE(""https://docs.google.com/spreadsheets/d/1BJSV3WBYJGRhQ6zExamkszQ5VutGIcaQqmbD9ZTVXMQ/edit#gid=1251630045"",""a"&amp;"rticles_with_PRISMA_reasons!B2:B2113""))&lt;2,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$A1876=IMPORTRANGE(""https://docs.google"&amp;".com/spreadsheets/d/1BJSV3WBYJGRhQ6zExamkszQ5VutGIcaQqmbD9ZTVXMQ/edit#gid=1251630045"",""articles_with_PRISMA_reasons!B2:B2113""))&gt;=2),
""Exclude""
)"),"Include")</f>
        <v>Include</v>
      </c>
      <c r="E1876" s="5" t="str">
        <f>IFERROR(__xludf.DUMMYFUNCTION("IFS(
D1876=""Exclude"",""Exclude"",
AND(
FILTER(IMPORTRANGE(""https://docs.google.com/spreadsheets/d/1qpEmbGH0JjaJbUdp21-y2cPbobDbMjr09BbtdKROZWc/edit#gid=1444865654"",""articles_with_PRISMA_reasons!W2:W2113""), $A1876=IMPORTRANGE(""https://docs.google.co"&amp;"m/spreadsheets/d/1qpEmbGH0JjaJbUdp21-y2cPbobDbMjr09BbtdKROZWc/edit#gid=1444865654"",""articles_with_PRISMA_reasons!B2:B2113""))&gt;=2,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$A1876=IMPORTRANGE(""https://docs.google.com/spreadsheets/d/1qpEmbGH0JjaJbUdp21-y2cPbobDbMjr09BbtdKROZWc/edit#gid=1444865654"",""articles_with_PRISMA_reasons!B2:B2113""))&lt;2),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$A1876=IMPORTRANGE(""https://docs.google.com/spreadsheets/d/1qpEmbGH0JjaJbUdp21-y2cPbobDbMjr09Bbtd"&amp;"KROZWc/edit#gid=1444865654"",""articles_with_PRISMA_reasons!B2:B2113""))&lt;2,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$A1876=I"&amp;"MPORTRANGE(""https://docs.google.com/spreadsheets/d/1qpEmbGH0JjaJbUdp21-y2cPbobDbMjr09BbtdKROZWc/edit#gid=1444865654"",""articles_with_PRISMA_reasons!B2:B2113""))&gt;=2),
""Exclude""
)"),"Exclude")</f>
        <v>Exclude</v>
      </c>
      <c r="F1876" s="5" t="str">
        <f>IFERROR(__xludf.DUMMYFUNCTION("IFS(
E1876=""Exclude"",""Exclude"",
AND(
COUNTIF(
IMPORTRANGE(""https://docs.google.com/spreadsheets/d/1kGrh75X1cNR1D7_FcY9zMnHP8iPO4M5RCRjy6nZY0TY/edit#gid=0"",""Table 1: Study characteristics!B4:B171""),A1876)&gt;0,
COUNTIF(Studies!$A$2:$A$85,FILTER(IMPORT"&amp;"RANGE(""https://docs.google.com/spreadsheets/d/1kGrh75X1cNR1D7_FcY9zMnHP8iPO4M5RCRjy6nZY0TY/edit#gid=0"",""Table 1: Study characteristics!A4:A171""), $A1876=IMPORTRANGE(""https://docs.google.com/spreadsheets/d/1kGrh75X1cNR1D7_FcY9zMnHP8iPO4M5RCRjy6nZY0TY/"&amp;"edit#gid=0"",""Table 1: Study characteristics!B4:B171"")))&gt;0
),
""Include""
)"),"Exclude")</f>
        <v>Exclude</v>
      </c>
      <c r="G1876" s="5" t="str">
        <f>IFERROR(__xludf.DUMMYFUNCTION("IFS(
D1876=""Exclude"",
FILTER(IMPORTRANGE(""https://docs.google.com/spreadsheets/d/1BJSV3WBYJGRhQ6zExamkszQ5VutGIcaQqmbD9ZTVXMQ/edit#gid=1251630045"",""articles_with_PRISMA_reasons!AB2:AB2113""), $A1876=IMPORTRANGE(""https://docs.google.com/spreadsheets/"&amp;"d/1BJSV3WBYJGRhQ6zExamkszQ5VutGIcaQqmbD9ZTVXMQ/edit#gid=1251630045"",""articles_with_PRISMA_reasons!B2:B2113"")),
E1876=""Exclude"",
FILTER(IMPORTRANGE(""https://docs.google.com/spreadsheets/d/1qpEmbGH0JjaJbUdp21-y2cPbobDbMjr09BbtdKROZWc/edit#gid=14448656"&amp;"54"",""articles_with_PRISMA_reasons!Z2:Z2113""), $A1876=IMPORTRANGE(""https://docs.google.com/spreadsheets/d/1qpEmbGH0JjaJbUdp21-y2cPbobDbMjr09BbtdKROZWc/edit#gid=1444865654"",""articles_with_PRISMA_reasons!B2:B2113"")),F1876
=""Include"",FILTER(IMPORTRAN"&amp;"GE(""https://docs.google.com/spreadsheets/d/1kGrh75X1cNR1D7_FcY9zMnHP8iPO4M5RCRjy6nZY0TY/edit#gid=0"",""Table 1: Study characteristics!A4:A171""), $A1876=IMPORTRANGE(""https://docs.google.com/spreadsheets/d/1kGrh75X1cNR1D7_FcY9zMnHP8iPO4M5RCRjy6nZY0TY/edi"&amp;"t#gid=0"",""Table 1: Study characteristics!B4:B171""))
)"),"wrong population")</f>
        <v>wrong population</v>
      </c>
    </row>
    <row r="1877">
      <c r="A1877" s="4" t="str">
        <f>IFERROR(__xludf.DUMMYFUNCTION("""COMPUTED_VALUE"""),"The corpus callosum, the other great forebrain commissures, and the septum pellucidum: Anatomy, development, and malformation")</f>
        <v>The corpus callosum, the other great forebrain commissures, and the septum pellucidum: Anatomy, development, and malformation</v>
      </c>
      <c r="B1877" s="2" t="s">
        <v>44</v>
      </c>
      <c r="C1877" s="6">
        <f>IFERROR(__xludf.DUMMYFUNCTION("FILTER(IMPORTRANGE(""https://docs.google.com/spreadsheets/d/1BJSV3WBYJGRhQ6zExamkszQ5VutGIcaQqmbD9ZTVXMQ/edit#gid=1251630045"",""articles_with_PRISMA_reasons!C2:C2113""), $A1877=IMPORTRANGE(""https://docs.google.com/spreadsheets/d/1BJSV3WBYJGRhQ6zExamkszQ"&amp;"5VutGIcaQqmbD9ZTVXMQ/edit#gid=1251630045"",""articles_with_PRISMA_reasons!B2:B2113""))"),2010.0)</f>
        <v>2010</v>
      </c>
      <c r="D1877" s="5" t="str">
        <f>IFERROR(__xludf.DUMMYFUNCTION("IFS(AND(
FILTER(IMPORTRANGE(""https://docs.google.com/spreadsheets/d/1BJSV3WBYJGRhQ6zExamkszQ5VutGIcaQqmbD9ZTVXMQ/edit#gid=1251630045"",""articles_with_PRISMA_reasons!Y2:Y2113""), $A1877=IMPORTRANGE(""https://docs.google.com/spreadsheets/d/1BJSV3WBYJGRhQ6"&amp;"zExamkszQ5VutGIcaQqmbD9ZTVXMQ/edit#gid=1251630045"",""articles_with_PRISMA_reasons!B2:B2113""))&gt;=2,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$A1877=IMPORTRANGE(""https://docs.google.com/spreadsheets/d/1BJSV3WBYJGRhQ6zExamkszQ5VutGIcaQqmbD9ZTVXMQ/edit#gid=1251630045"",""articles_with_PRISMA_reasons!B2:B2113""))&lt;2),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$A1877=IMPORTRANGE(""https://docs.google.com/spreadsheets/d/1BJSV3WBYJGRhQ6zExamkszQ5VutGIcaQqmbD9ZTVXMQ/edit#gid=1251630045"",""a"&amp;"rticles_with_PRISMA_reasons!B2:B2113""))&lt;2,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$A1877=IMPORTRANGE(""https://docs.google"&amp;".com/spreadsheets/d/1BJSV3WBYJGRhQ6zExamkszQ5VutGIcaQqmbD9ZTVXMQ/edit#gid=1251630045"",""articles_with_PRISMA_reasons!B2:B2113""))&gt;=2),
""Exclude""
)"),"Exclude")</f>
        <v>Exclude</v>
      </c>
      <c r="E1877" s="5" t="str">
        <f>IFERROR(__xludf.DUMMYFUNCTION("IFS(
D1877=""Exclude"",""Exclude"",
AND(
FILTER(IMPORTRANGE(""https://docs.google.com/spreadsheets/d/1qpEmbGH0JjaJbUdp21-y2cPbobDbMjr09BbtdKROZWc/edit#gid=1444865654"",""articles_with_PRISMA_reasons!W2:W2113""), $A1877=IMPORTRANGE(""https://docs.google.co"&amp;"m/spreadsheets/d/1qpEmbGH0JjaJbUdp21-y2cPbobDbMjr09BbtdKROZWc/edit#gid=1444865654"",""articles_with_PRISMA_reasons!B2:B2113""))&gt;=2,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$A1877=IMPORTRANGE(""https://docs.google.com/spreadsheets/d/1qpEmbGH0JjaJbUdp21-y2cPbobDbMjr09BbtdKROZWc/edit#gid=1444865654"",""articles_with_PRISMA_reasons!B2:B2113""))&lt;2),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$A1877=IMPORTRANGE(""https://docs.google.com/spreadsheets/d/1qpEmbGH0JjaJbUdp21-y2cPbobDbMjr09Bbtd"&amp;"KROZWc/edit#gid=1444865654"",""articles_with_PRISMA_reasons!B2:B2113""))&lt;2,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$A1877=I"&amp;"MPORTRANGE(""https://docs.google.com/spreadsheets/d/1qpEmbGH0JjaJbUdp21-y2cPbobDbMjr09BbtdKROZWc/edit#gid=1444865654"",""articles_with_PRISMA_reasons!B2:B2113""))&gt;=2),
""Exclude""
)"),"Exclude")</f>
        <v>Exclude</v>
      </c>
      <c r="F1877" s="5" t="str">
        <f>IFERROR(__xludf.DUMMYFUNCTION("IFS(
E1877=""Exclude"",""Exclude"",
AND(
COUNTIF(
IMPORTRANGE(""https://docs.google.com/spreadsheets/d/1kGrh75X1cNR1D7_FcY9zMnHP8iPO4M5RCRjy6nZY0TY/edit#gid=0"",""Table 1: Study characteristics!B4:B171""),A1877)&gt;0,
COUNTIF(Studies!$A$2:$A$85,FILTER(IMPORT"&amp;"RANGE(""https://docs.google.com/spreadsheets/d/1kGrh75X1cNR1D7_FcY9zMnHP8iPO4M5RCRjy6nZY0TY/edit#gid=0"",""Table 1: Study characteristics!A4:A171""), $A1877=IMPORTRANGE(""https://docs.google.com/spreadsheets/d/1kGrh75X1cNR1D7_FcY9zMnHP8iPO4M5RCRjy6nZY0TY/"&amp;"edit#gid=0"",""Table 1: Study characteristics!B4:B171"")))&gt;0
),
""Include""
)"),"Exclude")</f>
        <v>Exclude</v>
      </c>
      <c r="G1877" s="5" t="str">
        <f>IFERROR(__xludf.DUMMYFUNCTION("IFS(
D1877=""Exclude"",
FILTER(IMPORTRANGE(""https://docs.google.com/spreadsheets/d/1BJSV3WBYJGRhQ6zExamkszQ5VutGIcaQqmbD9ZTVXMQ/edit#gid=1251630045"",""articles_with_PRISMA_reasons!AB2:AB2113""), $A1877=IMPORTRANGE(""https://docs.google.com/spreadsheets/"&amp;"d/1BJSV3WBYJGRhQ6zExamkszQ5VutGIcaQqmbD9ZTVXMQ/edit#gid=1251630045"",""articles_with_PRISMA_reasons!B2:B2113"")),
E1877=""Exclude"",
FILTER(IMPORTRANGE(""https://docs.google.com/spreadsheets/d/1qpEmbGH0JjaJbUdp21-y2cPbobDbMjr09BbtdKROZWc/edit#gid=14448656"&amp;"54"",""articles_with_PRISMA_reasons!Z2:Z2113""), $A1877=IMPORTRANGE(""https://docs.google.com/spreadsheets/d/1qpEmbGH0JjaJbUdp21-y2cPbobDbMjr09BbtdKROZWc/edit#gid=1444865654"",""articles_with_PRISMA_reasons!B2:B2113"")),F1877
=""Include"",FILTER(IMPORTRAN"&amp;"GE(""https://docs.google.com/spreadsheets/d/1kGrh75X1cNR1D7_FcY9zMnHP8iPO4M5RCRjy6nZY0TY/edit#gid=0"",""Table 1: Study characteristics!A4:A171""), $A1877=IMPORTRANGE(""https://docs.google.com/spreadsheets/d/1kGrh75X1cNR1D7_FcY9zMnHP8iPO4M5RCRjy6nZY0TY/edi"&amp;"t#gid=0"",""Table 1: Study characteristics!B4:B171""))
)"),"wrong study design")</f>
        <v>wrong study design</v>
      </c>
    </row>
    <row r="1878">
      <c r="A1878" s="4" t="str">
        <f>IFERROR(__xludf.DUMMYFUNCTION("""COMPUTED_VALUE"""),"The cost of hydrocephalus: A cost-effectiveness model for evaluating surgical techniques")</f>
        <v>The cost of hydrocephalus: A cost-effectiveness model for evaluating surgical techniques</v>
      </c>
      <c r="B1878" s="5" t="str">
        <f>IFERROR(__xludf.DUMMYFUNCTION("LEFT(FILTER(IMPORTRANGE(""https://docs.google.com/spreadsheets/d/1BJSV3WBYJGRhQ6zExamkszQ5VutGIcaQqmbD9ZTVXMQ/edit#gid=1251630045"",""articles_with_PRISMA_reasons!K2:K2113""), $A1878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$A1878=IMPORTRANGE(""https://docs.google.com/spreadsheets/d/1BJSV3WBYJGRhQ6zExamkszQ5VutGIcaQqmbD9ZTVXMQ/edit#gid=1251630045"",""articles_with_PRISMA_reasons!B2:B2113"")))-1)"),"Lim")</f>
        <v>Lim</v>
      </c>
      <c r="C1878" s="6">
        <f>IFERROR(__xludf.DUMMYFUNCTION("FILTER(IMPORTRANGE(""https://docs.google.com/spreadsheets/d/1BJSV3WBYJGRhQ6zExamkszQ5VutGIcaQqmbD9ZTVXMQ/edit#gid=1251630045"",""articles_with_PRISMA_reasons!C2:C2113""), $A1878=IMPORTRANGE(""https://docs.google.com/spreadsheets/d/1BJSV3WBYJGRhQ6zExamkszQ"&amp;"5VutGIcaQqmbD9ZTVXMQ/edit#gid=1251630045"",""articles_with_PRISMA_reasons!B2:B2113""))"),2019.0)</f>
        <v>2019</v>
      </c>
      <c r="D1878" s="5" t="str">
        <f>IFERROR(__xludf.DUMMYFUNCTION("IFS(AND(
FILTER(IMPORTRANGE(""https://docs.google.com/spreadsheets/d/1BJSV3WBYJGRhQ6zExamkszQ5VutGIcaQqmbD9ZTVXMQ/edit#gid=1251630045"",""articles_with_PRISMA_reasons!Y2:Y2113""), $A1878=IMPORTRANGE(""https://docs.google.com/spreadsheets/d/1BJSV3WBYJGRhQ6"&amp;"zExamkszQ5VutGIcaQqmbD9ZTVXMQ/edit#gid=1251630045"",""articles_with_PRISMA_reasons!B2:B2113""))&gt;=2,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$A1878=IMPORTRANGE(""https://docs.google.com/spreadsheets/d/1BJSV3WBYJGRhQ6zExamkszQ5VutGIcaQqmbD9ZTVXMQ/edit#gid=1251630045"",""articles_with_PRISMA_reasons!B2:B2113""))&lt;2),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$A1878=IMPORTRANGE(""https://docs.google.com/spreadsheets/d/1BJSV3WBYJGRhQ6zExamkszQ5VutGIcaQqmbD9ZTVXMQ/edit#gid=1251630045"",""a"&amp;"rticles_with_PRISMA_reasons!B2:B2113""))&lt;2,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$A1878=IMPORTRANGE(""https://docs.google"&amp;".com/spreadsheets/d/1BJSV3WBYJGRhQ6zExamkszQ5VutGIcaQqmbD9ZTVXMQ/edit#gid=1251630045"",""articles_with_PRISMA_reasons!B2:B2113""))&gt;=2),
""Exclude""
)"),"Exclude")</f>
        <v>Exclude</v>
      </c>
      <c r="E1878" s="5" t="str">
        <f>IFERROR(__xludf.DUMMYFUNCTION("IFS(
D1878=""Exclude"",""Exclude"",
AND(
FILTER(IMPORTRANGE(""https://docs.google.com/spreadsheets/d/1qpEmbGH0JjaJbUdp21-y2cPbobDbMjr09BbtdKROZWc/edit#gid=1444865654"",""articles_with_PRISMA_reasons!W2:W2113""), $A1878=IMPORTRANGE(""https://docs.google.co"&amp;"m/spreadsheets/d/1qpEmbGH0JjaJbUdp21-y2cPbobDbMjr09BbtdKROZWc/edit#gid=1444865654"",""articles_with_PRISMA_reasons!B2:B2113""))&gt;=2,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$A1878=IMPORTRANGE(""https://docs.google.com/spreadsheets/d/1qpEmbGH0JjaJbUdp21-y2cPbobDbMjr09BbtdKROZWc/edit#gid=1444865654"",""articles_with_PRISMA_reasons!B2:B2113""))&lt;2),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$A1878=IMPORTRANGE(""https://docs.google.com/spreadsheets/d/1qpEmbGH0JjaJbUdp21-y2cPbobDbMjr09Bbtd"&amp;"KROZWc/edit#gid=1444865654"",""articles_with_PRISMA_reasons!B2:B2113""))&lt;2,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$A1878=I"&amp;"MPORTRANGE(""https://docs.google.com/spreadsheets/d/1qpEmbGH0JjaJbUdp21-y2cPbobDbMjr09BbtdKROZWc/edit#gid=1444865654"",""articles_with_PRISMA_reasons!B2:B2113""))&gt;=2),
""Exclude""
)"),"Exclude")</f>
        <v>Exclude</v>
      </c>
      <c r="F1878" s="5" t="str">
        <f>IFERROR(__xludf.DUMMYFUNCTION("IFS(
E1878=""Exclude"",""Exclude"",
AND(
COUNTIF(
IMPORTRANGE(""https://docs.google.com/spreadsheets/d/1kGrh75X1cNR1D7_FcY9zMnHP8iPO4M5RCRjy6nZY0TY/edit#gid=0"",""Table 1: Study characteristics!B4:B171""),A1878)&gt;0,
COUNTIF(Studies!$A$2:$A$85,FILTER(IMPORT"&amp;"RANGE(""https://docs.google.com/spreadsheets/d/1kGrh75X1cNR1D7_FcY9zMnHP8iPO4M5RCRjy6nZY0TY/edit#gid=0"",""Table 1: Study characteristics!A4:A171""), $A1878=IMPORTRANGE(""https://docs.google.com/spreadsheets/d/1kGrh75X1cNR1D7_FcY9zMnHP8iPO4M5RCRjy6nZY0TY/"&amp;"edit#gid=0"",""Table 1: Study characteristics!B4:B171"")))&gt;0
),
""Include""
)"),"Exclude")</f>
        <v>Exclude</v>
      </c>
      <c r="G1878" s="5" t="str">
        <f>IFERROR(__xludf.DUMMYFUNCTION("IFS(
D1878=""Exclude"",
FILTER(IMPORTRANGE(""https://docs.google.com/spreadsheets/d/1BJSV3WBYJGRhQ6zExamkszQ5VutGIcaQqmbD9ZTVXMQ/edit#gid=1251630045"",""articles_with_PRISMA_reasons!AB2:AB2113""), $A1878=IMPORTRANGE(""https://docs.google.com/spreadsheets/"&amp;"d/1BJSV3WBYJGRhQ6zExamkszQ5VutGIcaQqmbD9ZTVXMQ/edit#gid=1251630045"",""articles_with_PRISMA_reasons!B2:B2113"")),
E1878=""Exclude"",
FILTER(IMPORTRANGE(""https://docs.google.com/spreadsheets/d/1qpEmbGH0JjaJbUdp21-y2cPbobDbMjr09BbtdKROZWc/edit#gid=14448656"&amp;"54"",""articles_with_PRISMA_reasons!Z2:Z2113""), $A1878=IMPORTRANGE(""https://docs.google.com/spreadsheets/d/1qpEmbGH0JjaJbUdp21-y2cPbobDbMjr09BbtdKROZWc/edit#gid=1444865654"",""articles_with_PRISMA_reasons!B2:B2113"")),F1878
=""Include"",FILTER(IMPORTRAN"&amp;"GE(""https://docs.google.com/spreadsheets/d/1kGrh75X1cNR1D7_FcY9zMnHP8iPO4M5RCRjy6nZY0TY/edit#gid=0"",""Table 1: Study characteristics!A4:A171""), $A1878=IMPORTRANGE(""https://docs.google.com/spreadsheets/d/1kGrh75X1cNR1D7_FcY9zMnHP8iPO4M5RCRjy6nZY0TY/edi"&amp;"t#gid=0"",""Table 1: Study characteristics!B4:B171""))
)"),"background article")</f>
        <v>background article</v>
      </c>
    </row>
    <row r="1879">
      <c r="A1879" s="4" t="str">
        <f>IFERROR(__xludf.DUMMYFUNCTION("""COMPUTED_VALUE"""),"The current status of endoscopic third ventriculostomy in the management of non-communicating hydrocephalus")</f>
        <v>The current status of endoscopic third ventriculostomy in the management of non-communicating hydrocephalus</v>
      </c>
      <c r="B1879" s="5" t="str">
        <f>IFERROR(__xludf.DUMMYFUNCTION("LEFT(FILTER(IMPORTRANGE(""https://docs.google.com/spreadsheets/d/1BJSV3WBYJGRhQ6zExamkszQ5VutGIcaQqmbD9ZTVXMQ/edit#gid=1251630045"",""articles_with_PRISMA_reasons!K2:K2113""), $A1879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$A1879=IMPORTRANGE(""https://docs.google.com/spreadsheets/d/1BJSV3WBYJGRhQ6zExamkszQ5VutGIcaQqmbD9ZTVXMQ/edit#gid=1251630045"",""articles_with_PRISMA_reasons!B2:B2113"")))-1)"),"Jones")</f>
        <v>Jones</v>
      </c>
      <c r="C1879" s="6">
        <f>IFERROR(__xludf.DUMMYFUNCTION("FILTER(IMPORTRANGE(""https://docs.google.com/spreadsheets/d/1BJSV3WBYJGRhQ6zExamkszQ5VutGIcaQqmbD9ZTVXMQ/edit#gid=1251630045"",""articles_with_PRISMA_reasons!C2:C2113""), $A1879=IMPORTRANGE(""https://docs.google.com/spreadsheets/d/1BJSV3WBYJGRhQ6zExamkszQ"&amp;"5VutGIcaQqmbD9ZTVXMQ/edit#gid=1251630045"",""articles_with_PRISMA_reasons!B2:B2113""))"),1994.0)</f>
        <v>1994</v>
      </c>
      <c r="D1879" s="5" t="str">
        <f>IFERROR(__xludf.DUMMYFUNCTION("IFS(AND(
FILTER(IMPORTRANGE(""https://docs.google.com/spreadsheets/d/1BJSV3WBYJGRhQ6zExamkszQ5VutGIcaQqmbD9ZTVXMQ/edit#gid=1251630045"",""articles_with_PRISMA_reasons!Y2:Y2113""), $A1879=IMPORTRANGE(""https://docs.google.com/spreadsheets/d/1BJSV3WBYJGRhQ6"&amp;"zExamkszQ5VutGIcaQqmbD9ZTVXMQ/edit#gid=1251630045"",""articles_with_PRISMA_reasons!B2:B2113""))&gt;=2,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$A1879=IMPORTRANGE(""https://docs.google.com/spreadsheets/d/1BJSV3WBYJGRhQ6zExamkszQ5VutGIcaQqmbD9ZTVXMQ/edit#gid=1251630045"",""articles_with_PRISMA_reasons!B2:B2113""))&lt;2),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$A1879=IMPORTRANGE(""https://docs.google.com/spreadsheets/d/1BJSV3WBYJGRhQ6zExamkszQ5VutGIcaQqmbD9ZTVXMQ/edit#gid=1251630045"",""a"&amp;"rticles_with_PRISMA_reasons!B2:B2113""))&lt;2,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$A1879=IMPORTRANGE(""https://docs.google"&amp;".com/spreadsheets/d/1BJSV3WBYJGRhQ6zExamkszQ5VutGIcaQqmbD9ZTVXMQ/edit#gid=1251630045"",""articles_with_PRISMA_reasons!B2:B2113""))&gt;=2),
""Exclude""
)"),"Exclude")</f>
        <v>Exclude</v>
      </c>
      <c r="E1879" s="5" t="str">
        <f>IFERROR(__xludf.DUMMYFUNCTION("IFS(
D1879=""Exclude"",""Exclude"",
AND(
FILTER(IMPORTRANGE(""https://docs.google.com/spreadsheets/d/1qpEmbGH0JjaJbUdp21-y2cPbobDbMjr09BbtdKROZWc/edit#gid=1444865654"",""articles_with_PRISMA_reasons!W2:W2113""), $A1879=IMPORTRANGE(""https://docs.google.co"&amp;"m/spreadsheets/d/1qpEmbGH0JjaJbUdp21-y2cPbobDbMjr09BbtdKROZWc/edit#gid=1444865654"",""articles_with_PRISMA_reasons!B2:B2113""))&gt;=2,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$A1879=IMPORTRANGE(""https://docs.google.com/spreadsheets/d/1qpEmbGH0JjaJbUdp21-y2cPbobDbMjr09BbtdKROZWc/edit#gid=1444865654"",""articles_with_PRISMA_reasons!B2:B2113""))&lt;2),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$A1879=IMPORTRANGE(""https://docs.google.com/spreadsheets/d/1qpEmbGH0JjaJbUdp21-y2cPbobDbMjr09Bbtd"&amp;"KROZWc/edit#gid=1444865654"",""articles_with_PRISMA_reasons!B2:B2113""))&lt;2,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$A1879=I"&amp;"MPORTRANGE(""https://docs.google.com/spreadsheets/d/1qpEmbGH0JjaJbUdp21-y2cPbobDbMjr09BbtdKROZWc/edit#gid=1444865654"",""articles_with_PRISMA_reasons!B2:B2113""))&gt;=2),
""Exclude""
)"),"Exclude")</f>
        <v>Exclude</v>
      </c>
      <c r="F1879" s="5" t="str">
        <f>IFERROR(__xludf.DUMMYFUNCTION("IFS(
E1879=""Exclude"",""Exclude"",
AND(
COUNTIF(
IMPORTRANGE(""https://docs.google.com/spreadsheets/d/1kGrh75X1cNR1D7_FcY9zMnHP8iPO4M5RCRjy6nZY0TY/edit#gid=0"",""Table 1: Study characteristics!B4:B171""),A1879)&gt;0,
COUNTIF(Studies!$A$2:$A$85,FILTER(IMPORT"&amp;"RANGE(""https://docs.google.com/spreadsheets/d/1kGrh75X1cNR1D7_FcY9zMnHP8iPO4M5RCRjy6nZY0TY/edit#gid=0"",""Table 1: Study characteristics!A4:A171""), $A1879=IMPORTRANGE(""https://docs.google.com/spreadsheets/d/1kGrh75X1cNR1D7_FcY9zMnHP8iPO4M5RCRjy6nZY0TY/"&amp;"edit#gid=0"",""Table 1: Study characteristics!B4:B171"")))&gt;0
),
""Include""
)"),"Exclude")</f>
        <v>Exclude</v>
      </c>
      <c r="G1879" s="5" t="str">
        <f>IFERROR(__xludf.DUMMYFUNCTION("IFS(
D1879=""Exclude"",
FILTER(IMPORTRANGE(""https://docs.google.com/spreadsheets/d/1BJSV3WBYJGRhQ6zExamkszQ5VutGIcaQqmbD9ZTVXMQ/edit#gid=1251630045"",""articles_with_PRISMA_reasons!AB2:AB2113""), $A1879=IMPORTRANGE(""https://docs.google.com/spreadsheets/"&amp;"d/1BJSV3WBYJGRhQ6zExamkszQ5VutGIcaQqmbD9ZTVXMQ/edit#gid=1251630045"",""articles_with_PRISMA_reasons!B2:B2113"")),
E1879=""Exclude"",
FILTER(IMPORTRANGE(""https://docs.google.com/spreadsheets/d/1qpEmbGH0JjaJbUdp21-y2cPbobDbMjr09BbtdKROZWc/edit#gid=14448656"&amp;"54"",""articles_with_PRISMA_reasons!Z2:Z2113""), $A1879=IMPORTRANGE(""https://docs.google.com/spreadsheets/d/1qpEmbGH0JjaJbUdp21-y2cPbobDbMjr09BbtdKROZWc/edit#gid=1444865654"",""articles_with_PRISMA_reasons!B2:B2113"")),F1879
=""Include"",FILTER(IMPORTRAN"&amp;"GE(""https://docs.google.com/spreadsheets/d/1kGrh75X1cNR1D7_FcY9zMnHP8iPO4M5RCRjy6nZY0TY/edit#gid=0"",""Table 1: Study characteristics!A4:A171""), $A1879=IMPORTRANGE(""https://docs.google.com/spreadsheets/d/1kGrh75X1cNR1D7_FcY9zMnHP8iPO4M5RCRjy6nZY0TY/edi"&amp;"t#gid=0"",""Table 1: Study characteristics!B4:B171""))
)"),"background article")</f>
        <v>background article</v>
      </c>
    </row>
    <row r="1880">
      <c r="A1880" s="4" t="str">
        <f>IFERROR(__xludf.DUMMYFUNCTION("""COMPUTED_VALUE"""),"The current status of fetal surgery")</f>
        <v>The current status of fetal surgery</v>
      </c>
      <c r="B1880" s="5" t="str">
        <f>IFERROR(__xludf.DUMMYFUNCTION("LEFT(FILTER(IMPORTRANGE(""https://docs.google.com/spreadsheets/d/1BJSV3WBYJGRhQ6zExamkszQ5VutGIcaQqmbD9ZTVXMQ/edit#gid=1251630045"",""articles_with_PRISMA_reasons!K2:K2113""), $A1880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$A1880=IMPORTRANGE(""https://docs.google.com/spreadsheets/d/1BJSV3WBYJGRhQ6zExamkszQ5VutGIcaQqmbD9ZTVXMQ/edit#gid=1251630045"",""articles_with_PRISMA_reasons!B2:B2113"")))-1)"),"Carroll")</f>
        <v>Carroll</v>
      </c>
      <c r="C1880" s="6">
        <f>IFERROR(__xludf.DUMMYFUNCTION("FILTER(IMPORTRANGE(""https://docs.google.com/spreadsheets/d/1BJSV3WBYJGRhQ6zExamkszQ5VutGIcaQqmbD9ZTVXMQ/edit#gid=1251630045"",""articles_with_PRISMA_reasons!C2:C2113""), $A1880=IMPORTRANGE(""https://docs.google.com/spreadsheets/d/1BJSV3WBYJGRhQ6zExamkszQ"&amp;"5VutGIcaQqmbD9ZTVXMQ/edit#gid=1251630045"",""articles_with_PRISMA_reasons!B2:B2113""))"),1998.0)</f>
        <v>1998</v>
      </c>
      <c r="D1880" s="5" t="str">
        <f>IFERROR(__xludf.DUMMYFUNCTION("IFS(AND(
FILTER(IMPORTRANGE(""https://docs.google.com/spreadsheets/d/1BJSV3WBYJGRhQ6zExamkszQ5VutGIcaQqmbD9ZTVXMQ/edit#gid=1251630045"",""articles_with_PRISMA_reasons!Y2:Y2113""), $A1880=IMPORTRANGE(""https://docs.google.com/spreadsheets/d/1BJSV3WBYJGRhQ6"&amp;"zExamkszQ5VutGIcaQqmbD9ZTVXMQ/edit#gid=1251630045"",""articles_with_PRISMA_reasons!B2:B2113""))&gt;=2,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$A1880=IMPORTRANGE(""https://docs.google.com/spreadsheets/d/1BJSV3WBYJGRhQ6zExamkszQ5VutGIcaQqmbD9ZTVXMQ/edit#gid=1251630045"",""articles_with_PRISMA_reasons!B2:B2113""))&lt;2),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$A1880=IMPORTRANGE(""https://docs.google.com/spreadsheets/d/1BJSV3WBYJGRhQ6zExamkszQ5VutGIcaQqmbD9ZTVXMQ/edit#gid=1251630045"",""a"&amp;"rticles_with_PRISMA_reasons!B2:B2113""))&lt;2,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$A1880=IMPORTRANGE(""https://docs.google"&amp;".com/spreadsheets/d/1BJSV3WBYJGRhQ6zExamkszQ5VutGIcaQqmbD9ZTVXMQ/edit#gid=1251630045"",""articles_with_PRISMA_reasons!B2:B2113""))&gt;=2),
""Exclude""
)"),"Exclude")</f>
        <v>Exclude</v>
      </c>
      <c r="E1880" s="5" t="str">
        <f>IFERROR(__xludf.DUMMYFUNCTION("IFS(
D1880=""Exclude"",""Exclude"",
AND(
FILTER(IMPORTRANGE(""https://docs.google.com/spreadsheets/d/1qpEmbGH0JjaJbUdp21-y2cPbobDbMjr09BbtdKROZWc/edit#gid=1444865654"",""articles_with_PRISMA_reasons!W2:W2113""), $A1880=IMPORTRANGE(""https://docs.google.co"&amp;"m/spreadsheets/d/1qpEmbGH0JjaJbUdp21-y2cPbobDbMjr09BbtdKROZWc/edit#gid=1444865654"",""articles_with_PRISMA_reasons!B2:B2113""))&gt;=2,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$A1880=IMPORTRANGE(""https://docs.google.com/spreadsheets/d/1qpEmbGH0JjaJbUdp21-y2cPbobDbMjr09BbtdKROZWc/edit#gid=1444865654"",""articles_with_PRISMA_reasons!B2:B2113""))&lt;2),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$A1880=IMPORTRANGE(""https://docs.google.com/spreadsheets/d/1qpEmbGH0JjaJbUdp21-y2cPbobDbMjr09Bbtd"&amp;"KROZWc/edit#gid=1444865654"",""articles_with_PRISMA_reasons!B2:B2113""))&lt;2,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$A1880=I"&amp;"MPORTRANGE(""https://docs.google.com/spreadsheets/d/1qpEmbGH0JjaJbUdp21-y2cPbobDbMjr09BbtdKROZWc/edit#gid=1444865654"",""articles_with_PRISMA_reasons!B2:B2113""))&gt;=2),
""Exclude""
)"),"Exclude")</f>
        <v>Exclude</v>
      </c>
      <c r="F1880" s="5" t="str">
        <f>IFERROR(__xludf.DUMMYFUNCTION("IFS(
E1880=""Exclude"",""Exclude"",
AND(
COUNTIF(
IMPORTRANGE(""https://docs.google.com/spreadsheets/d/1kGrh75X1cNR1D7_FcY9zMnHP8iPO4M5RCRjy6nZY0TY/edit#gid=0"",""Table 1: Study characteristics!B4:B171""),A1880)&gt;0,
COUNTIF(Studies!$A$2:$A$85,FILTER(IMPORT"&amp;"RANGE(""https://docs.google.com/spreadsheets/d/1kGrh75X1cNR1D7_FcY9zMnHP8iPO4M5RCRjy6nZY0TY/edit#gid=0"",""Table 1: Study characteristics!A4:A171""), $A1880=IMPORTRANGE(""https://docs.google.com/spreadsheets/d/1kGrh75X1cNR1D7_FcY9zMnHP8iPO4M5RCRjy6nZY0TY/"&amp;"edit#gid=0"",""Table 1: Study characteristics!B4:B171"")))&gt;0
),
""Include""
)"),"Exclude")</f>
        <v>Exclude</v>
      </c>
      <c r="G1880" s="5" t="str">
        <f>IFERROR(__xludf.DUMMYFUNCTION("IFS(
D1880=""Exclude"",
FILTER(IMPORTRANGE(""https://docs.google.com/spreadsheets/d/1BJSV3WBYJGRhQ6zExamkszQ5VutGIcaQqmbD9ZTVXMQ/edit#gid=1251630045"",""articles_with_PRISMA_reasons!AB2:AB2113""), $A1880=IMPORTRANGE(""https://docs.google.com/spreadsheets/"&amp;"d/1BJSV3WBYJGRhQ6zExamkszQ5VutGIcaQqmbD9ZTVXMQ/edit#gid=1251630045"",""articles_with_PRISMA_reasons!B2:B2113"")),
E1880=""Exclude"",
FILTER(IMPORTRANGE(""https://docs.google.com/spreadsheets/d/1qpEmbGH0JjaJbUdp21-y2cPbobDbMjr09BbtdKROZWc/edit#gid=14448656"&amp;"54"",""articles_with_PRISMA_reasons!Z2:Z2113""), $A1880=IMPORTRANGE(""https://docs.google.com/spreadsheets/d/1qpEmbGH0JjaJbUdp21-y2cPbobDbMjr09BbtdKROZWc/edit#gid=1444865654"",""articles_with_PRISMA_reasons!B2:B2113"")),F1880
=""Include"",FILTER(IMPORTRAN"&amp;"GE(""https://docs.google.com/spreadsheets/d/1kGrh75X1cNR1D7_FcY9zMnHP8iPO4M5RCRjy6nZY0TY/edit#gid=0"",""Table 1: Study characteristics!A4:A171""), $A1880=IMPORTRANGE(""https://docs.google.com/spreadsheets/d/1kGrh75X1cNR1D7_FcY9zMnHP8iPO4M5RCRjy6nZY0TY/edi"&amp;"t#gid=0"",""Table 1: Study characteristics!B4:B171""))
)"),"wrong population")</f>
        <v>wrong population</v>
      </c>
    </row>
    <row r="1881">
      <c r="A1881" s="4" t="str">
        <f>IFERROR(__xludf.DUMMYFUNCTION("""COMPUTED_VALUE"""),"The cytopathology of reactions to ventricular shunts")</f>
        <v>The cytopathology of reactions to ventricular shunts</v>
      </c>
      <c r="B1881" s="5" t="str">
        <f>IFERROR(__xludf.DUMMYFUNCTION("LEFT(FILTER(IMPORTRANGE(""https://docs.google.com/spreadsheets/d/1BJSV3WBYJGRhQ6zExamkszQ5VutGIcaQqmbD9ZTVXMQ/edit#gid=1251630045"",""articles_with_PRISMA_reasons!K2:K2113""), $A1881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$A1881=IMPORTRANGE(""https://docs.google.com/spreadsheets/d/1BJSV3WBYJGRhQ6zExamkszQ5VutGIcaQqmbD9ZTVXMQ/edit#gid=1251630045"",""articles_with_PRISMA_reasons!B2:B2113"")))-1)"),"Bigner")</f>
        <v>Bigner</v>
      </c>
      <c r="C1881" s="6" t="str">
        <f>IFERROR(__xludf.DUMMYFUNCTION("FILTER(IMPORTRANGE(""https://docs.google.com/spreadsheets/d/1BJSV3WBYJGRhQ6zExamkszQ5VutGIcaQqmbD9ZTVXMQ/edit#gid=1251630045"",""articles_with_PRISMA_reasons!C2:C2113""), $A1881=IMPORTRANGE(""https://docs.google.com/spreadsheets/d/1BJSV3WBYJGRhQ6zExamkszQ"&amp;"5VutGIcaQqmbD9ZTVXMQ/edit#gid=1251630045"",""articles_with_PRISMA_reasons!B2:B2113""))"),"May")</f>
        <v>May</v>
      </c>
      <c r="D1881" s="5" t="str">
        <f>IFERROR(__xludf.DUMMYFUNCTION("IFS(AND(
FILTER(IMPORTRANGE(""https://docs.google.com/spreadsheets/d/1BJSV3WBYJGRhQ6zExamkszQ5VutGIcaQqmbD9ZTVXMQ/edit#gid=1251630045"",""articles_with_PRISMA_reasons!Y2:Y2113""), $A1881=IMPORTRANGE(""https://docs.google.com/spreadsheets/d/1BJSV3WBYJGRhQ6"&amp;"zExamkszQ5VutGIcaQqmbD9ZTVXMQ/edit#gid=1251630045"",""articles_with_PRISMA_reasons!B2:B2113""))&gt;=2,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$A1881=IMPORTRANGE(""https://docs.google.com/spreadsheets/d/1BJSV3WBYJGRhQ6zExamkszQ5VutGIcaQqmbD9ZTVXMQ/edit#gid=1251630045"",""articles_with_PRISMA_reasons!B2:B2113""))&lt;2),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$A1881=IMPORTRANGE(""https://docs.google.com/spreadsheets/d/1BJSV3WBYJGRhQ6zExamkszQ5VutGIcaQqmbD9ZTVXMQ/edit#gid=1251630045"",""a"&amp;"rticles_with_PRISMA_reasons!B2:B2113""))&lt;2,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$A1881=IMPORTRANGE(""https://docs.google"&amp;".com/spreadsheets/d/1BJSV3WBYJGRhQ6zExamkszQ5VutGIcaQqmbD9ZTVXMQ/edit#gid=1251630045"",""articles_with_PRISMA_reasons!B2:B2113""))&gt;=2),
""Exclude""
)"),"Exclude")</f>
        <v>Exclude</v>
      </c>
      <c r="E1881" s="5" t="str">
        <f>IFERROR(__xludf.DUMMYFUNCTION("IFS(
D1881=""Exclude"",""Exclude"",
AND(
FILTER(IMPORTRANGE(""https://docs.google.com/spreadsheets/d/1qpEmbGH0JjaJbUdp21-y2cPbobDbMjr09BbtdKROZWc/edit#gid=1444865654"",""articles_with_PRISMA_reasons!W2:W2113""), $A1881=IMPORTRANGE(""https://docs.google.co"&amp;"m/spreadsheets/d/1qpEmbGH0JjaJbUdp21-y2cPbobDbMjr09BbtdKROZWc/edit#gid=1444865654"",""articles_with_PRISMA_reasons!B2:B2113""))&gt;=2,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$A1881=IMPORTRANGE(""https://docs.google.com/spreadsheets/d/1qpEmbGH0JjaJbUdp21-y2cPbobDbMjr09BbtdKROZWc/edit#gid=1444865654"",""articles_with_PRISMA_reasons!B2:B2113""))&lt;2),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$A1881=IMPORTRANGE(""https://docs.google.com/spreadsheets/d/1qpEmbGH0JjaJbUdp21-y2cPbobDbMjr09Bbtd"&amp;"KROZWc/edit#gid=1444865654"",""articles_with_PRISMA_reasons!B2:B2113""))&lt;2,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$A1881=I"&amp;"MPORTRANGE(""https://docs.google.com/spreadsheets/d/1qpEmbGH0JjaJbUdp21-y2cPbobDbMjr09BbtdKROZWc/edit#gid=1444865654"",""articles_with_PRISMA_reasons!B2:B2113""))&gt;=2),
""Exclude""
)"),"Exclude")</f>
        <v>Exclude</v>
      </c>
      <c r="F1881" s="5" t="str">
        <f>IFERROR(__xludf.DUMMYFUNCTION("IFS(
E1881=""Exclude"",""Exclude"",
AND(
COUNTIF(
IMPORTRANGE(""https://docs.google.com/spreadsheets/d/1kGrh75X1cNR1D7_FcY9zMnHP8iPO4M5RCRjy6nZY0TY/edit#gid=0"",""Table 1: Study characteristics!B4:B171""),A1881)&gt;0,
COUNTIF(Studies!$A$2:$A$85,FILTER(IMPORT"&amp;"RANGE(""https://docs.google.com/spreadsheets/d/1kGrh75X1cNR1D7_FcY9zMnHP8iPO4M5RCRjy6nZY0TY/edit#gid=0"",""Table 1: Study characteristics!A4:A171""), $A1881=IMPORTRANGE(""https://docs.google.com/spreadsheets/d/1kGrh75X1cNR1D7_FcY9zMnHP8iPO4M5RCRjy6nZY0TY/"&amp;"edit#gid=0"",""Table 1: Study characteristics!B4:B171"")))&gt;0
),
""Include""
)"),"Exclude")</f>
        <v>Exclude</v>
      </c>
      <c r="G1881" s="5" t="str">
        <f>IFERROR(__xludf.DUMMYFUNCTION("IFS(
D1881=""Exclude"",
FILTER(IMPORTRANGE(""https://docs.google.com/spreadsheets/d/1BJSV3WBYJGRhQ6zExamkszQ5VutGIcaQqmbD9ZTVXMQ/edit#gid=1251630045"",""articles_with_PRISMA_reasons!AB2:AB2113""), $A1881=IMPORTRANGE(""https://docs.google.com/spreadsheets/"&amp;"d/1BJSV3WBYJGRhQ6zExamkszQ5VutGIcaQqmbD9ZTVXMQ/edit#gid=1251630045"",""articles_with_PRISMA_reasons!B2:B2113"")),
E1881=""Exclude"",
FILTER(IMPORTRANGE(""https://docs.google.com/spreadsheets/d/1qpEmbGH0JjaJbUdp21-y2cPbobDbMjr09BbtdKROZWc/edit#gid=14448656"&amp;"54"",""articles_with_PRISMA_reasons!Z2:Z2113""), $A1881=IMPORTRANGE(""https://docs.google.com/spreadsheets/d/1qpEmbGH0JjaJbUdp21-y2cPbobDbMjr09BbtdKROZWc/edit#gid=1444865654"",""articles_with_PRISMA_reasons!B2:B2113"")),F1881
=""Include"",FILTER(IMPORTRAN"&amp;"GE(""https://docs.google.com/spreadsheets/d/1kGrh75X1cNR1D7_FcY9zMnHP8iPO4M5RCRjy6nZY0TY/edit#gid=0"",""Table 1: Study characteristics!A4:A171""), $A1881=IMPORTRANGE(""https://docs.google.com/spreadsheets/d/1kGrh75X1cNR1D7_FcY9zMnHP8iPO4M5RCRjy6nZY0TY/edi"&amp;"t#gid=0"",""Table 1: Study characteristics!B4:B171""))
)"),"Duplicate")</f>
        <v>Duplicate</v>
      </c>
    </row>
    <row r="1882">
      <c r="A1882" s="4" t="str">
        <f>IFERROR(__xludf.DUMMYFUNCTION("""COMPUTED_VALUE"""),"The decision to treat myelomeningocele on the first day of life")</f>
        <v>The decision to treat myelomeningocele on the first day of life</v>
      </c>
      <c r="B1882" s="5" t="str">
        <f>IFERROR(__xludf.DUMMYFUNCTION("LEFT(FILTER(IMPORTRANGE(""https://docs.google.com/spreadsheets/d/1BJSV3WBYJGRhQ6zExamkszQ5VutGIcaQqmbD9ZTVXMQ/edit#gid=1251630045"",""articles_with_PRISMA_reasons!K2:K2113""), $A1882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$A1882=IMPORTRANGE(""https://docs.google.com/spreadsheets/d/1BJSV3WBYJGRhQ6zExamkszQ5VutGIcaQqmbD9ZTVXMQ/edit#gid=1251630045"",""articles_with_PRISMA_reasons!B2:B2113"")))-1)"),"Katzen")</f>
        <v>Katzen</v>
      </c>
      <c r="C1882" s="6">
        <f>IFERROR(__xludf.DUMMYFUNCTION("FILTER(IMPORTRANGE(""https://docs.google.com/spreadsheets/d/1BJSV3WBYJGRhQ6zExamkszQ5VutGIcaQqmbD9ZTVXMQ/edit#gid=1251630045"",""articles_with_PRISMA_reasons!C2:C2113""), $A1882=IMPORTRANGE(""https://docs.google.com/spreadsheets/d/1BJSV3WBYJGRhQ6zExamkszQ"&amp;"5VutGIcaQqmbD9ZTVXMQ/edit#gid=1251630045"",""articles_with_PRISMA_reasons!B2:B2113""))"),1971.0)</f>
        <v>1971</v>
      </c>
      <c r="D1882" s="5" t="str">
        <f>IFERROR(__xludf.DUMMYFUNCTION("IFS(AND(
FILTER(IMPORTRANGE(""https://docs.google.com/spreadsheets/d/1BJSV3WBYJGRhQ6zExamkszQ5VutGIcaQqmbD9ZTVXMQ/edit#gid=1251630045"",""articles_with_PRISMA_reasons!Y2:Y2113""), $A1882=IMPORTRANGE(""https://docs.google.com/spreadsheets/d/1BJSV3WBYJGRhQ6"&amp;"zExamkszQ5VutGIcaQqmbD9ZTVXMQ/edit#gid=1251630045"",""articles_with_PRISMA_reasons!B2:B2113""))&gt;=2,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$A1882=IMPORTRANGE(""https://docs.google.com/spreadsheets/d/1BJSV3WBYJGRhQ6zExamkszQ5VutGIcaQqmbD9ZTVXMQ/edit#gid=1251630045"",""articles_with_PRISMA_reasons!B2:B2113""))&lt;2),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$A1882=IMPORTRANGE(""https://docs.google.com/spreadsheets/d/1BJSV3WBYJGRhQ6zExamkszQ5VutGIcaQqmbD9ZTVXMQ/edit#gid=1251630045"",""a"&amp;"rticles_with_PRISMA_reasons!B2:B2113""))&lt;2,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$A1882=IMPORTRANGE(""https://docs.google"&amp;".com/spreadsheets/d/1BJSV3WBYJGRhQ6zExamkszQ5VutGIcaQqmbD9ZTVXMQ/edit#gid=1251630045"",""articles_with_PRISMA_reasons!B2:B2113""))&gt;=2),
""Exclude""
)"),"Exclude")</f>
        <v>Exclude</v>
      </c>
      <c r="E1882" s="5" t="str">
        <f>IFERROR(__xludf.DUMMYFUNCTION("IFS(
D1882=""Exclude"",""Exclude"",
AND(
FILTER(IMPORTRANGE(""https://docs.google.com/spreadsheets/d/1qpEmbGH0JjaJbUdp21-y2cPbobDbMjr09BbtdKROZWc/edit#gid=1444865654"",""articles_with_PRISMA_reasons!W2:W2113""), $A1882=IMPORTRANGE(""https://docs.google.co"&amp;"m/spreadsheets/d/1qpEmbGH0JjaJbUdp21-y2cPbobDbMjr09BbtdKROZWc/edit#gid=1444865654"",""articles_with_PRISMA_reasons!B2:B2113""))&gt;=2,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$A1882=IMPORTRANGE(""https://docs.google.com/spreadsheets/d/1qpEmbGH0JjaJbUdp21-y2cPbobDbMjr09BbtdKROZWc/edit#gid=1444865654"",""articles_with_PRISMA_reasons!B2:B2113""))&lt;2),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$A1882=IMPORTRANGE(""https://docs.google.com/spreadsheets/d/1qpEmbGH0JjaJbUdp21-y2cPbobDbMjr09Bbtd"&amp;"KROZWc/edit#gid=1444865654"",""articles_with_PRISMA_reasons!B2:B2113""))&lt;2,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$A1882=I"&amp;"MPORTRANGE(""https://docs.google.com/spreadsheets/d/1qpEmbGH0JjaJbUdp21-y2cPbobDbMjr09BbtdKROZWc/edit#gid=1444865654"",""articles_with_PRISMA_reasons!B2:B2113""))&gt;=2),
""Exclude""
)"),"Exclude")</f>
        <v>Exclude</v>
      </c>
      <c r="F1882" s="5" t="str">
        <f>IFERROR(__xludf.DUMMYFUNCTION("IFS(
E1882=""Exclude"",""Exclude"",
AND(
COUNTIF(
IMPORTRANGE(""https://docs.google.com/spreadsheets/d/1kGrh75X1cNR1D7_FcY9zMnHP8iPO4M5RCRjy6nZY0TY/edit#gid=0"",""Table 1: Study characteristics!B4:B171""),A1882)&gt;0,
COUNTIF(Studies!$A$2:$A$85,FILTER(IMPORT"&amp;"RANGE(""https://docs.google.com/spreadsheets/d/1kGrh75X1cNR1D7_FcY9zMnHP8iPO4M5RCRjy6nZY0TY/edit#gid=0"",""Table 1: Study characteristics!A4:A171""), $A1882=IMPORTRANGE(""https://docs.google.com/spreadsheets/d/1kGrh75X1cNR1D7_FcY9zMnHP8iPO4M5RCRjy6nZY0TY/"&amp;"edit#gid=0"",""Table 1: Study characteristics!B4:B171"")))&gt;0
),
""Include""
)"),"Exclude")</f>
        <v>Exclude</v>
      </c>
      <c r="G1882" s="5" t="str">
        <f>IFERROR(__xludf.DUMMYFUNCTION("IFS(
D1882=""Exclude"",
FILTER(IMPORTRANGE(""https://docs.google.com/spreadsheets/d/1BJSV3WBYJGRhQ6zExamkszQ5VutGIcaQqmbD9ZTVXMQ/edit#gid=1251630045"",""articles_with_PRISMA_reasons!AB2:AB2113""), $A1882=IMPORTRANGE(""https://docs.google.com/spreadsheets/"&amp;"d/1BJSV3WBYJGRhQ6zExamkszQ5VutGIcaQqmbD9ZTVXMQ/edit#gid=1251630045"",""articles_with_PRISMA_reasons!B2:B2113"")),
E1882=""Exclude"",
FILTER(IMPORTRANGE(""https://docs.google.com/spreadsheets/d/1qpEmbGH0JjaJbUdp21-y2cPbobDbMjr09BbtdKROZWc/edit#gid=14448656"&amp;"54"",""articles_with_PRISMA_reasons!Z2:Z2113""), $A1882=IMPORTRANGE(""https://docs.google.com/spreadsheets/d/1qpEmbGH0JjaJbUdp21-y2cPbobDbMjr09BbtdKROZWc/edit#gid=1444865654"",""articles_with_PRISMA_reasons!B2:B2113"")),F1882
=""Include"",FILTER(IMPORTRAN"&amp;"GE(""https://docs.google.com/spreadsheets/d/1kGrh75X1cNR1D7_FcY9zMnHP8iPO4M5RCRjy6nZY0TY/edit#gid=0"",""Table 1: Study characteristics!A4:A171""), $A1882=IMPORTRANGE(""https://docs.google.com/spreadsheets/d/1kGrh75X1cNR1D7_FcY9zMnHP8iPO4M5RCRjy6nZY0TY/edi"&amp;"t#gid=0"",""Table 1: Study characteristics!B4:B171""))
)"),"wrong population")</f>
        <v>wrong population</v>
      </c>
    </row>
    <row r="1883">
      <c r="A1883" s="4" t="str">
        <f>IFERROR(__xludf.DUMMYFUNCTION("""COMPUTED_VALUE"""),"The diagnostic features of Spina bifida: The role of ultrasound")</f>
        <v>The diagnostic features of Spina bifida: The role of ultrasound</v>
      </c>
      <c r="B1883" s="5" t="str">
        <f>IFERROR(__xludf.DUMMYFUNCTION("LEFT(FILTER(IMPORTRANGE(""https://docs.google.com/spreadsheets/d/1BJSV3WBYJGRhQ6zExamkszQ5VutGIcaQqmbD9ZTVXMQ/edit#gid=1251630045"",""articles_with_PRISMA_reasons!K2:K2113""), $A1883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$A1883=IMPORTRANGE(""https://docs.google.com/spreadsheets/d/1BJSV3WBYJGRhQ6zExamkszQ5VutGIcaQqmbD9ZTVXMQ/edit#gid=1251630045"",""articles_with_PRISMA_reasons!B2:B2113"")))-1)"),"Coleman")</f>
        <v>Coleman</v>
      </c>
      <c r="C1883" s="6">
        <f>IFERROR(__xludf.DUMMYFUNCTION("FILTER(IMPORTRANGE(""https://docs.google.com/spreadsheets/d/1BJSV3WBYJGRhQ6zExamkszQ5VutGIcaQqmbD9ZTVXMQ/edit#gid=1251630045"",""articles_with_PRISMA_reasons!C2:C2113""), $A1883=IMPORTRANGE(""https://docs.google.com/spreadsheets/d/1BJSV3WBYJGRhQ6zExamkszQ"&amp;"5VutGIcaQqmbD9ZTVXMQ/edit#gid=1251630045"",""articles_with_PRISMA_reasons!B2:B2113""))"),2015.0)</f>
        <v>2015</v>
      </c>
      <c r="D1883" s="5" t="str">
        <f>IFERROR(__xludf.DUMMYFUNCTION("IFS(AND(
FILTER(IMPORTRANGE(""https://docs.google.com/spreadsheets/d/1BJSV3WBYJGRhQ6zExamkszQ5VutGIcaQqmbD9ZTVXMQ/edit#gid=1251630045"",""articles_with_PRISMA_reasons!Y2:Y2113""), $A1883=IMPORTRANGE(""https://docs.google.com/spreadsheets/d/1BJSV3WBYJGRhQ6"&amp;"zExamkszQ5VutGIcaQqmbD9ZTVXMQ/edit#gid=1251630045"",""articles_with_PRISMA_reasons!B2:B2113""))&gt;=2,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$A1883=IMPORTRANGE(""https://docs.google.com/spreadsheets/d/1BJSV3WBYJGRhQ6zExamkszQ5VutGIcaQqmbD9ZTVXMQ/edit#gid=1251630045"",""articles_with_PRISMA_reasons!B2:B2113""))&lt;2),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$A1883=IMPORTRANGE(""https://docs.google.com/spreadsheets/d/1BJSV3WBYJGRhQ6zExamkszQ5VutGIcaQqmbD9ZTVXMQ/edit#gid=1251630045"",""a"&amp;"rticles_with_PRISMA_reasons!B2:B2113""))&lt;2,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$A1883=IMPORTRANGE(""https://docs.google"&amp;".com/spreadsheets/d/1BJSV3WBYJGRhQ6zExamkszQ5VutGIcaQqmbD9ZTVXMQ/edit#gid=1251630045"",""articles_with_PRISMA_reasons!B2:B2113""))&gt;=2),
""Exclude""
)"),"Exclude")</f>
        <v>Exclude</v>
      </c>
      <c r="E1883" s="5" t="str">
        <f>IFERROR(__xludf.DUMMYFUNCTION("IFS(
D1883=""Exclude"",""Exclude"",
AND(
FILTER(IMPORTRANGE(""https://docs.google.com/spreadsheets/d/1qpEmbGH0JjaJbUdp21-y2cPbobDbMjr09BbtdKROZWc/edit#gid=1444865654"",""articles_with_PRISMA_reasons!W2:W2113""), $A1883=IMPORTRANGE(""https://docs.google.co"&amp;"m/spreadsheets/d/1qpEmbGH0JjaJbUdp21-y2cPbobDbMjr09BbtdKROZWc/edit#gid=1444865654"",""articles_with_PRISMA_reasons!B2:B2113""))&gt;=2,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$A1883=IMPORTRANGE(""https://docs.google.com/spreadsheets/d/1qpEmbGH0JjaJbUdp21-y2cPbobDbMjr09BbtdKROZWc/edit#gid=1444865654"",""articles_with_PRISMA_reasons!B2:B2113""))&lt;2),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$A1883=IMPORTRANGE(""https://docs.google.com/spreadsheets/d/1qpEmbGH0JjaJbUdp21-y2cPbobDbMjr09Bbtd"&amp;"KROZWc/edit#gid=1444865654"",""articles_with_PRISMA_reasons!B2:B2113""))&lt;2,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$A1883=I"&amp;"MPORTRANGE(""https://docs.google.com/spreadsheets/d/1qpEmbGH0JjaJbUdp21-y2cPbobDbMjr09BbtdKROZWc/edit#gid=1444865654"",""articles_with_PRISMA_reasons!B2:B2113""))&gt;=2),
""Exclude""
)"),"Exclude")</f>
        <v>Exclude</v>
      </c>
      <c r="F1883" s="5" t="str">
        <f>IFERROR(__xludf.DUMMYFUNCTION("IFS(
E1883=""Exclude"",""Exclude"",
AND(
COUNTIF(
IMPORTRANGE(""https://docs.google.com/spreadsheets/d/1kGrh75X1cNR1D7_FcY9zMnHP8iPO4M5RCRjy6nZY0TY/edit#gid=0"",""Table 1: Study characteristics!B4:B171""),A1883)&gt;0,
COUNTIF(Studies!$A$2:$A$85,FILTER(IMPORT"&amp;"RANGE(""https://docs.google.com/spreadsheets/d/1kGrh75X1cNR1D7_FcY9zMnHP8iPO4M5RCRjy6nZY0TY/edit#gid=0"",""Table 1: Study characteristics!A4:A171""), $A1883=IMPORTRANGE(""https://docs.google.com/spreadsheets/d/1kGrh75X1cNR1D7_FcY9zMnHP8iPO4M5RCRjy6nZY0TY/"&amp;"edit#gid=0"",""Table 1: Study characteristics!B4:B171"")))&gt;0
),
""Include""
)"),"Exclude")</f>
        <v>Exclude</v>
      </c>
      <c r="G1883" s="5" t="str">
        <f>IFERROR(__xludf.DUMMYFUNCTION("IFS(
D1883=""Exclude"",
FILTER(IMPORTRANGE(""https://docs.google.com/spreadsheets/d/1BJSV3WBYJGRhQ6zExamkszQ5VutGIcaQqmbD9ZTVXMQ/edit#gid=1251630045"",""articles_with_PRISMA_reasons!AB2:AB2113""), $A1883=IMPORTRANGE(""https://docs.google.com/spreadsheets/"&amp;"d/1BJSV3WBYJGRhQ6zExamkszQ5VutGIcaQqmbD9ZTVXMQ/edit#gid=1251630045"",""articles_with_PRISMA_reasons!B2:B2113"")),
E1883=""Exclude"",
FILTER(IMPORTRANGE(""https://docs.google.com/spreadsheets/d/1qpEmbGH0JjaJbUdp21-y2cPbobDbMjr09BbtdKROZWc/edit#gid=14448656"&amp;"54"",""articles_with_PRISMA_reasons!Z2:Z2113""), $A1883=IMPORTRANGE(""https://docs.google.com/spreadsheets/d/1qpEmbGH0JjaJbUdp21-y2cPbobDbMjr09BbtdKROZWc/edit#gid=1444865654"",""articles_with_PRISMA_reasons!B2:B2113"")),F1883
=""Include"",FILTER(IMPORTRAN"&amp;"GE(""https://docs.google.com/spreadsheets/d/1kGrh75X1cNR1D7_FcY9zMnHP8iPO4M5RCRjy6nZY0TY/edit#gid=0"",""Table 1: Study characteristics!A4:A171""), $A1883=IMPORTRANGE(""https://docs.google.com/spreadsheets/d/1kGrh75X1cNR1D7_FcY9zMnHP8iPO4M5RCRjy6nZY0TY/edi"&amp;"t#gid=0"",""Table 1: Study characteristics!B4:B171""))
)"),"background article")</f>
        <v>background article</v>
      </c>
    </row>
    <row r="1884">
      <c r="A1884" s="4" t="str">
        <f>IFERROR(__xludf.DUMMYFUNCTION("""COMPUTED_VALUE"""),"The effect of early craniocervical decompression on functional outcome in neonates and young infants with myelodysplasia and symptomatic chiari II malformations: Results from a prospective series")</f>
        <v>The effect of early craniocervical decompression on functional outcome in neonates and young infants with myelodysplasia and symptomatic chiari II malformations: Results from a prospective series</v>
      </c>
      <c r="B1884" s="5" t="str">
        <f>IFERROR(__xludf.DUMMYFUNCTION("LEFT(FILTER(IMPORTRANGE(""https://docs.google.com/spreadsheets/d/1BJSV3WBYJGRhQ6zExamkszQ5VutGIcaQqmbD9ZTVXMQ/edit#gid=1251630045"",""articles_with_PRISMA_reasons!K2:K2113""), $A1884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$A1884=IMPORTRANGE(""https://docs.google.com/spreadsheets/d/1BJSV3WBYJGRhQ6zExamkszQ5VutGIcaQqmbD9ZTVXMQ/edit#gid=1251630045"",""articles_with_PRISMA_reasons!B2:B2113"")))-1)"),"Kinnunen")</f>
        <v>Kinnunen</v>
      </c>
      <c r="C1884" s="6">
        <f>IFERROR(__xludf.DUMMYFUNCTION("FILTER(IMPORTRANGE(""https://docs.google.com/spreadsheets/d/1BJSV3WBYJGRhQ6zExamkszQ5VutGIcaQqmbD9ZTVXMQ/edit#gid=1251630045"",""articles_with_PRISMA_reasons!C2:C2113""), $A1884=IMPORTRANGE(""https://docs.google.com/spreadsheets/d/1BJSV3WBYJGRhQ6zExamkszQ"&amp;"5VutGIcaQqmbD9ZTVXMQ/edit#gid=1251630045"",""articles_with_PRISMA_reasons!B2:B2113""))"),1996.0)</f>
        <v>1996</v>
      </c>
      <c r="D1884" s="5" t="str">
        <f>IFERROR(__xludf.DUMMYFUNCTION("IFS(AND(
FILTER(IMPORTRANGE(""https://docs.google.com/spreadsheets/d/1BJSV3WBYJGRhQ6zExamkszQ5VutGIcaQqmbD9ZTVXMQ/edit#gid=1251630045"",""articles_with_PRISMA_reasons!Y2:Y2113""), $A1884=IMPORTRANGE(""https://docs.google.com/spreadsheets/d/1BJSV3WBYJGRhQ6"&amp;"zExamkszQ5VutGIcaQqmbD9ZTVXMQ/edit#gid=1251630045"",""articles_with_PRISMA_reasons!B2:B2113""))&gt;=2,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$A1884=IMPORTRANGE(""https://docs.google.com/spreadsheets/d/1BJSV3WBYJGRhQ6zExamkszQ5VutGIcaQqmbD9ZTVXMQ/edit#gid=1251630045"",""articles_with_PRISMA_reasons!B2:B2113""))&lt;2),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$A1884=IMPORTRANGE(""https://docs.google.com/spreadsheets/d/1BJSV3WBYJGRhQ6zExamkszQ5VutGIcaQqmbD9ZTVXMQ/edit#gid=1251630045"",""a"&amp;"rticles_with_PRISMA_reasons!B2:B2113""))&lt;2,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$A1884=IMPORTRANGE(""https://docs.google"&amp;".com/spreadsheets/d/1BJSV3WBYJGRhQ6zExamkszQ5VutGIcaQqmbD9ZTVXMQ/edit#gid=1251630045"",""articles_with_PRISMA_reasons!B2:B2113""))&gt;=2),
""Exclude""
)"),"Exclude")</f>
        <v>Exclude</v>
      </c>
      <c r="E1884" s="5" t="str">
        <f>IFERROR(__xludf.DUMMYFUNCTION("IFS(
D1884=""Exclude"",""Exclude"",
AND(
FILTER(IMPORTRANGE(""https://docs.google.com/spreadsheets/d/1qpEmbGH0JjaJbUdp21-y2cPbobDbMjr09BbtdKROZWc/edit#gid=1444865654"",""articles_with_PRISMA_reasons!W2:W2113""), $A1884=IMPORTRANGE(""https://docs.google.co"&amp;"m/spreadsheets/d/1qpEmbGH0JjaJbUdp21-y2cPbobDbMjr09BbtdKROZWc/edit#gid=1444865654"",""articles_with_PRISMA_reasons!B2:B2113""))&gt;=2,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$A1884=IMPORTRANGE(""https://docs.google.com/spreadsheets/d/1qpEmbGH0JjaJbUdp21-y2cPbobDbMjr09BbtdKROZWc/edit#gid=1444865654"",""articles_with_PRISMA_reasons!B2:B2113""))&lt;2),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$A1884=IMPORTRANGE(""https://docs.google.com/spreadsheets/d/1qpEmbGH0JjaJbUdp21-y2cPbobDbMjr09Bbtd"&amp;"KROZWc/edit#gid=1444865654"",""articles_with_PRISMA_reasons!B2:B2113""))&lt;2,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$A1884=I"&amp;"MPORTRANGE(""https://docs.google.com/spreadsheets/d/1qpEmbGH0JjaJbUdp21-y2cPbobDbMjr09BbtdKROZWc/edit#gid=1444865654"",""articles_with_PRISMA_reasons!B2:B2113""))&gt;=2),
""Exclude""
)"),"Exclude")</f>
        <v>Exclude</v>
      </c>
      <c r="F1884" s="5" t="str">
        <f>IFERROR(__xludf.DUMMYFUNCTION("IFS(
E1884=""Exclude"",""Exclude"",
AND(
COUNTIF(
IMPORTRANGE(""https://docs.google.com/spreadsheets/d/1kGrh75X1cNR1D7_FcY9zMnHP8iPO4M5RCRjy6nZY0TY/edit#gid=0"",""Table 1: Study characteristics!B4:B171""),A1884)&gt;0,
COUNTIF(Studies!$A$2:$A$85,FILTER(IMPORT"&amp;"RANGE(""https://docs.google.com/spreadsheets/d/1kGrh75X1cNR1D7_FcY9zMnHP8iPO4M5RCRjy6nZY0TY/edit#gid=0"",""Table 1: Study characteristics!A4:A171""), $A1884=IMPORTRANGE(""https://docs.google.com/spreadsheets/d/1kGrh75X1cNR1D7_FcY9zMnHP8iPO4M5RCRjy6nZY0TY/"&amp;"edit#gid=0"",""Table 1: Study characteristics!B4:B171"")))&gt;0
),
""Include""
)"),"Exclude")</f>
        <v>Exclude</v>
      </c>
      <c r="G1884" s="5" t="str">
        <f>IFERROR(__xludf.DUMMYFUNCTION("IFS(
D1884=""Exclude"",
FILTER(IMPORTRANGE(""https://docs.google.com/spreadsheets/d/1BJSV3WBYJGRhQ6zExamkszQ5VutGIcaQqmbD9ZTVXMQ/edit#gid=1251630045"",""articles_with_PRISMA_reasons!AB2:AB2113""), $A1884=IMPORTRANGE(""https://docs.google.com/spreadsheets/"&amp;"d/1BJSV3WBYJGRhQ6zExamkszQ5VutGIcaQqmbD9ZTVXMQ/edit#gid=1251630045"",""articles_with_PRISMA_reasons!B2:B2113"")),
E1884=""Exclude"",
FILTER(IMPORTRANGE(""https://docs.google.com/spreadsheets/d/1qpEmbGH0JjaJbUdp21-y2cPbobDbMjr09BbtdKROZWc/edit#gid=14448656"&amp;"54"",""articles_with_PRISMA_reasons!Z2:Z2113""), $A1884=IMPORTRANGE(""https://docs.google.com/spreadsheets/d/1qpEmbGH0JjaJbUdp21-y2cPbobDbMjr09BbtdKROZWc/edit#gid=1444865654"",""articles_with_PRISMA_reasons!B2:B2113"")),F1884
=""Include"",FILTER(IMPORTRAN"&amp;"GE(""https://docs.google.com/spreadsheets/d/1kGrh75X1cNR1D7_FcY9zMnHP8iPO4M5RCRjy6nZY0TY/edit#gid=0"",""Table 1: Study characteristics!A4:A171""), $A1884=IMPORTRANGE(""https://docs.google.com/spreadsheets/d/1kGrh75X1cNR1D7_FcY9zMnHP8iPO4M5RCRjy6nZY0TY/edi"&amp;"t#gid=0"",""Table 1: Study characteristics!B4:B171""))
)"),"wrong population")</f>
        <v>wrong population</v>
      </c>
    </row>
    <row r="1885">
      <c r="A1885" s="4" t="str">
        <f>IFERROR(__xludf.DUMMYFUNCTION("""COMPUTED_VALUE"""),"The effect of intrauterine myelomeningocele repair on the incidence of shunt-dependent hydrocephalus")</f>
        <v>The effect of intrauterine myelomeningocele repair on the incidence of shunt-dependent hydrocephalus</v>
      </c>
      <c r="B1885" s="5" t="str">
        <f>IFERROR(__xludf.DUMMYFUNCTION("LEFT(FILTER(IMPORTRANGE(""https://docs.google.com/spreadsheets/d/1BJSV3WBYJGRhQ6zExamkszQ5VutGIcaQqmbD9ZTVXMQ/edit#gid=1251630045"",""articles_with_PRISMA_reasons!K2:K2113""), $A1885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$A1885=IMPORTRANGE(""https://docs.google.com/spreadsheets/d/1BJSV3WBYJGRhQ6zExamkszQ5VutGIcaQqmbD9ZTVXMQ/edit#gid=1251630045"",""articles_with_PRISMA_reasons!B2:B2113"")))-1)"),"Tulipan")</f>
        <v>Tulipan</v>
      </c>
      <c r="C1885" s="6">
        <f>IFERROR(__xludf.DUMMYFUNCTION("FILTER(IMPORTRANGE(""https://docs.google.com/spreadsheets/d/1BJSV3WBYJGRhQ6zExamkszQ5VutGIcaQqmbD9ZTVXMQ/edit#gid=1251630045"",""articles_with_PRISMA_reasons!C2:C2113""), $A1885=IMPORTRANGE(""https://docs.google.com/spreadsheets/d/1BJSV3WBYJGRhQ6zExamkszQ"&amp;"5VutGIcaQqmbD9ZTVXMQ/edit#gid=1251630045"",""articles_with_PRISMA_reasons!B2:B2113""))"),2003.0)</f>
        <v>2003</v>
      </c>
      <c r="D1885" s="5" t="str">
        <f>IFERROR(__xludf.DUMMYFUNCTION("IFS(AND(
FILTER(IMPORTRANGE(""https://docs.google.com/spreadsheets/d/1BJSV3WBYJGRhQ6zExamkszQ5VutGIcaQqmbD9ZTVXMQ/edit#gid=1251630045"",""articles_with_PRISMA_reasons!Y2:Y2113""), $A1885=IMPORTRANGE(""https://docs.google.com/spreadsheets/d/1BJSV3WBYJGRhQ6"&amp;"zExamkszQ5VutGIcaQqmbD9ZTVXMQ/edit#gid=1251630045"",""articles_with_PRISMA_reasons!B2:B2113""))&gt;=2,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$A1885=IMPORTRANGE(""https://docs.google.com/spreadsheets/d/1BJSV3WBYJGRhQ6zExamkszQ5VutGIcaQqmbD9ZTVXMQ/edit#gid=1251630045"",""articles_with_PRISMA_reasons!B2:B2113""))&lt;2),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$A1885=IMPORTRANGE(""https://docs.google.com/spreadsheets/d/1BJSV3WBYJGRhQ6zExamkszQ5VutGIcaQqmbD9ZTVXMQ/edit#gid=1251630045"",""a"&amp;"rticles_with_PRISMA_reasons!B2:B2113""))&lt;2,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$A1885=IMPORTRANGE(""https://docs.google"&amp;".com/spreadsheets/d/1BJSV3WBYJGRhQ6zExamkszQ5VutGIcaQqmbD9ZTVXMQ/edit#gid=1251630045"",""articles_with_PRISMA_reasons!B2:B2113""))&gt;=2),
""Exclude""
)"),"Exclude")</f>
        <v>Exclude</v>
      </c>
      <c r="E1885" s="5" t="str">
        <f>IFERROR(__xludf.DUMMYFUNCTION("IFS(
D1885=""Exclude"",""Exclude"",
AND(
FILTER(IMPORTRANGE(""https://docs.google.com/spreadsheets/d/1qpEmbGH0JjaJbUdp21-y2cPbobDbMjr09BbtdKROZWc/edit#gid=1444865654"",""articles_with_PRISMA_reasons!W2:W2113""), $A1885=IMPORTRANGE(""https://docs.google.co"&amp;"m/spreadsheets/d/1qpEmbGH0JjaJbUdp21-y2cPbobDbMjr09BbtdKROZWc/edit#gid=1444865654"",""articles_with_PRISMA_reasons!B2:B2113""))&gt;=2,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$A1885=IMPORTRANGE(""https://docs.google.com/spreadsheets/d/1qpEmbGH0JjaJbUdp21-y2cPbobDbMjr09BbtdKROZWc/edit#gid=1444865654"",""articles_with_PRISMA_reasons!B2:B2113""))&lt;2),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$A1885=IMPORTRANGE(""https://docs.google.com/spreadsheets/d/1qpEmbGH0JjaJbUdp21-y2cPbobDbMjr09Bbtd"&amp;"KROZWc/edit#gid=1444865654"",""articles_with_PRISMA_reasons!B2:B2113""))&lt;2,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$A1885=I"&amp;"MPORTRANGE(""https://docs.google.com/spreadsheets/d/1qpEmbGH0JjaJbUdp21-y2cPbobDbMjr09BbtdKROZWc/edit#gid=1444865654"",""articles_with_PRISMA_reasons!B2:B2113""))&gt;=2),
""Exclude""
)"),"Exclude")</f>
        <v>Exclude</v>
      </c>
      <c r="F1885" s="5" t="str">
        <f>IFERROR(__xludf.DUMMYFUNCTION("IFS(
E1885=""Exclude"",""Exclude"",
AND(
COUNTIF(
IMPORTRANGE(""https://docs.google.com/spreadsheets/d/1kGrh75X1cNR1D7_FcY9zMnHP8iPO4M5RCRjy6nZY0TY/edit#gid=0"",""Table 1: Study characteristics!B4:B171""),A1885)&gt;0,
COUNTIF(Studies!$A$2:$A$85,FILTER(IMPORT"&amp;"RANGE(""https://docs.google.com/spreadsheets/d/1kGrh75X1cNR1D7_FcY9zMnHP8iPO4M5RCRjy6nZY0TY/edit#gid=0"",""Table 1: Study characteristics!A4:A171""), $A1885=IMPORTRANGE(""https://docs.google.com/spreadsheets/d/1kGrh75X1cNR1D7_FcY9zMnHP8iPO4M5RCRjy6nZY0TY/"&amp;"edit#gid=0"",""Table 1: Study characteristics!B4:B171"")))&gt;0
),
""Include""
)"),"Exclude")</f>
        <v>Exclude</v>
      </c>
      <c r="G1885" s="5" t="str">
        <f>IFERROR(__xludf.DUMMYFUNCTION("IFS(
D1885=""Exclude"",
FILTER(IMPORTRANGE(""https://docs.google.com/spreadsheets/d/1BJSV3WBYJGRhQ6zExamkszQ5VutGIcaQqmbD9ZTVXMQ/edit#gid=1251630045"",""articles_with_PRISMA_reasons!AB2:AB2113""), $A1885=IMPORTRANGE(""https://docs.google.com/spreadsheets/"&amp;"d/1BJSV3WBYJGRhQ6zExamkszQ5VutGIcaQqmbD9ZTVXMQ/edit#gid=1251630045"",""articles_with_PRISMA_reasons!B2:B2113"")),
E1885=""Exclude"",
FILTER(IMPORTRANGE(""https://docs.google.com/spreadsheets/d/1qpEmbGH0JjaJbUdp21-y2cPbobDbMjr09BbtdKROZWc/edit#gid=14448656"&amp;"54"",""articles_with_PRISMA_reasons!Z2:Z2113""), $A1885=IMPORTRANGE(""https://docs.google.com/spreadsheets/d/1qpEmbGH0JjaJbUdp21-y2cPbobDbMjr09BbtdKROZWc/edit#gid=1444865654"",""articles_with_PRISMA_reasons!B2:B2113"")),F1885
=""Include"",FILTER(IMPORTRAN"&amp;"GE(""https://docs.google.com/spreadsheets/d/1kGrh75X1cNR1D7_FcY9zMnHP8iPO4M5RCRjy6nZY0TY/edit#gid=0"",""Table 1: Study characteristics!A4:A171""), $A1885=IMPORTRANGE(""https://docs.google.com/spreadsheets/d/1kGrh75X1cNR1D7_FcY9zMnHP8iPO4M5RCRjy6nZY0TY/edi"&amp;"t#gid=0"",""Table 1: Study characteristics!B4:B171""))
)"),"wrong population")</f>
        <v>wrong population</v>
      </c>
    </row>
    <row r="1886">
      <c r="A1886" s="4" t="str">
        <f>IFERROR(__xludf.DUMMYFUNCTION("""COMPUTED_VALUE"""),"The Effect of the Number of Open Vertebral Segments on the Prognosis of Newborns with Midline Closure Defect: A Single Surgeon, Single Center Experience")</f>
        <v>The Effect of the Number of Open Vertebral Segments on the Prognosis of Newborns with Midline Closure Defect: A Single Surgeon, Single Center Experience</v>
      </c>
      <c r="B1886" s="5" t="str">
        <f>IFERROR(__xludf.DUMMYFUNCTION("LEFT(FILTER(IMPORTRANGE(""https://docs.google.com/spreadsheets/d/1BJSV3WBYJGRhQ6zExamkszQ5VutGIcaQqmbD9ZTVXMQ/edit#gid=1251630045"",""articles_with_PRISMA_reasons!K2:K2113""), $A1886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$A1886=IMPORTRANGE(""https://docs.google.com/spreadsheets/d/1BJSV3WBYJGRhQ6zExamkszQ5VutGIcaQqmbD9ZTVXMQ/edit#gid=1251630045"",""articles_with_PRISMA_reasons!B2:B2113"")))-1)"),"Cetinkal")</f>
        <v>Cetinkal</v>
      </c>
      <c r="C1886" s="6">
        <f>IFERROR(__xludf.DUMMYFUNCTION("FILTER(IMPORTRANGE(""https://docs.google.com/spreadsheets/d/1BJSV3WBYJGRhQ6zExamkszQ5VutGIcaQqmbD9ZTVXMQ/edit#gid=1251630045"",""articles_with_PRISMA_reasons!C2:C2113""), $A1886=IMPORTRANGE(""https://docs.google.com/spreadsheets/d/1BJSV3WBYJGRhQ6zExamkszQ"&amp;"5VutGIcaQqmbD9ZTVXMQ/edit#gid=1251630045"",""articles_with_PRISMA_reasons!B2:B2113""))"),2021.0)</f>
        <v>2021</v>
      </c>
      <c r="D1886" s="5" t="str">
        <f>IFERROR(__xludf.DUMMYFUNCTION("IFS(AND(
FILTER(IMPORTRANGE(""https://docs.google.com/spreadsheets/d/1BJSV3WBYJGRhQ6zExamkszQ5VutGIcaQqmbD9ZTVXMQ/edit#gid=1251630045"",""articles_with_PRISMA_reasons!Y2:Y2113""), $A1886=IMPORTRANGE(""https://docs.google.com/spreadsheets/d/1BJSV3WBYJGRhQ6"&amp;"zExamkszQ5VutGIcaQqmbD9ZTVXMQ/edit#gid=1251630045"",""articles_with_PRISMA_reasons!B2:B2113""))&gt;=2,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$A1886=IMPORTRANGE(""https://docs.google.com/spreadsheets/d/1BJSV3WBYJGRhQ6zExamkszQ5VutGIcaQqmbD9ZTVXMQ/edit#gid=1251630045"",""articles_with_PRISMA_reasons!B2:B2113""))&lt;2),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$A1886=IMPORTRANGE(""https://docs.google.com/spreadsheets/d/1BJSV3WBYJGRhQ6zExamkszQ5VutGIcaQqmbD9ZTVXMQ/edit#gid=1251630045"",""a"&amp;"rticles_with_PRISMA_reasons!B2:B2113""))&lt;2,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$A1886=IMPORTRANGE(""https://docs.google"&amp;".com/spreadsheets/d/1BJSV3WBYJGRhQ6zExamkszQ5VutGIcaQqmbD9ZTVXMQ/edit#gid=1251630045"",""articles_with_PRISMA_reasons!B2:B2113""))&gt;=2),
""Exclude""
)"),"Include")</f>
        <v>Include</v>
      </c>
      <c r="E1886" s="5" t="str">
        <f>IFERROR(__xludf.DUMMYFUNCTION("IFS(
D1886=""Exclude"",""Exclude"",
AND(
FILTER(IMPORTRANGE(""https://docs.google.com/spreadsheets/d/1qpEmbGH0JjaJbUdp21-y2cPbobDbMjr09BbtdKROZWc/edit#gid=1444865654"",""articles_with_PRISMA_reasons!W2:W2113""), $A1886=IMPORTRANGE(""https://docs.google.co"&amp;"m/spreadsheets/d/1qpEmbGH0JjaJbUdp21-y2cPbobDbMjr09BbtdKROZWc/edit#gid=1444865654"",""articles_with_PRISMA_reasons!B2:B2113""))&gt;=2,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$A1886=IMPORTRANGE(""https://docs.google.com/spreadsheets/d/1qpEmbGH0JjaJbUdp21-y2cPbobDbMjr09BbtdKROZWc/edit#gid=1444865654"",""articles_with_PRISMA_reasons!B2:B2113""))&lt;2),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$A1886=IMPORTRANGE(""https://docs.google.com/spreadsheets/d/1qpEmbGH0JjaJbUdp21-y2cPbobDbMjr09Bbtd"&amp;"KROZWc/edit#gid=1444865654"",""articles_with_PRISMA_reasons!B2:B2113""))&lt;2,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$A1886=I"&amp;"MPORTRANGE(""https://docs.google.com/spreadsheets/d/1qpEmbGH0JjaJbUdp21-y2cPbobDbMjr09BbtdKROZWc/edit#gid=1444865654"",""articles_with_PRISMA_reasons!B2:B2113""))&gt;=2),
""Exclude""
)"),"Include")</f>
        <v>Include</v>
      </c>
      <c r="F1886" s="5" t="str">
        <f>IFERROR(__xludf.DUMMYFUNCTION("IFS(
E1886=""Exclude"",""Exclude"",
AND(
COUNTIF(
IMPORTRANGE(""https://docs.google.com/spreadsheets/d/1kGrh75X1cNR1D7_FcY9zMnHP8iPO4M5RCRjy6nZY0TY/edit#gid=0"",""Table 1: Study characteristics!B4:B171""),A1886)&gt;0,
COUNTIF(Studies!$A$2:$A$85,FILTER(IMPORT"&amp;"RANGE(""https://docs.google.com/spreadsheets/d/1kGrh75X1cNR1D7_FcY9zMnHP8iPO4M5RCRjy6nZY0TY/edit#gid=0"",""Table 1: Study characteristics!A4:A171""), $A1886=IMPORTRANGE(""https://docs.google.com/spreadsheets/d/1kGrh75X1cNR1D7_FcY9zMnHP8iPO4M5RCRjy6nZY0TY/"&amp;"edit#gid=0"",""Table 1: Study characteristics!B4:B171"")))&gt;0
),
""Include""
)"),"Include")</f>
        <v>Include</v>
      </c>
      <c r="G1886" s="5" t="str">
        <f>IFERROR(__xludf.DUMMYFUNCTION("IFS(
D1886=""Exclude"",
FILTER(IMPORTRANGE(""https://docs.google.com/spreadsheets/d/1BJSV3WBYJGRhQ6zExamkszQ5VutGIcaQqmbD9ZTVXMQ/edit#gid=1251630045"",""articles_with_PRISMA_reasons!AB2:AB2113""), $A1886=IMPORTRANGE(""https://docs.google.com/spreadsheets/"&amp;"d/1BJSV3WBYJGRhQ6zExamkszQ5VutGIcaQqmbD9ZTVXMQ/edit#gid=1251630045"",""articles_with_PRISMA_reasons!B2:B2113"")),
E1886=""Exclude"",
FILTER(IMPORTRANGE(""https://docs.google.com/spreadsheets/d/1qpEmbGH0JjaJbUdp21-y2cPbobDbMjr09BbtdKROZWc/edit#gid=14448656"&amp;"54"",""articles_with_PRISMA_reasons!Z2:Z2113""), $A1886=IMPORTRANGE(""https://docs.google.com/spreadsheets/d/1qpEmbGH0JjaJbUdp21-y2cPbobDbMjr09BbtdKROZWc/edit#gid=1444865654"",""articles_with_PRISMA_reasons!B2:B2113"")),F1886
=""Include"",FILTER(IMPORTRAN"&amp;"GE(""https://docs.google.com/spreadsheets/d/1kGrh75X1cNR1D7_FcY9zMnHP8iPO4M5RCRjy6nZY0TY/edit#gid=0"",""Table 1: Study characteristics!A4:A171""), $A1886=IMPORTRANGE(""https://docs.google.com/spreadsheets/d/1kGrh75X1cNR1D7_FcY9zMnHP8iPO4M5RCRjy6nZY0TY/edi"&amp;"t#gid=0"",""Table 1: Study characteristics!B4:B171""))
)"),"ID 153")</f>
        <v>ID 153</v>
      </c>
    </row>
    <row r="1887">
      <c r="A1887" s="4" t="str">
        <f>IFERROR(__xludf.DUMMYFUNCTION("""COMPUTED_VALUE"""),"The effect of upper-limb function on mobility of children with myelomeningocele")</f>
        <v>The effect of upper-limb function on mobility of children with myelomeningocele</v>
      </c>
      <c r="B1887" s="5" t="str">
        <f>IFERROR(__xludf.DUMMYFUNCTION("LEFT(FILTER(IMPORTRANGE(""https://docs.google.com/spreadsheets/d/1BJSV3WBYJGRhQ6zExamkszQ5VutGIcaQqmbD9ZTVXMQ/edit#gid=1251630045"",""articles_with_PRISMA_reasons!K2:K2113""), $A1887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$A1887=IMPORTRANGE(""https://docs.google.com/spreadsheets/d/1BJSV3WBYJGRhQ6zExamkszQ5VutGIcaQqmbD9ZTVXMQ/edit#gid=1251630045"",""articles_with_PRISMA_reasons!B2:B2113"")))-1)"),"Wallace")</f>
        <v>Wallace</v>
      </c>
      <c r="C1887" s="6">
        <f>IFERROR(__xludf.DUMMYFUNCTION("FILTER(IMPORTRANGE(""https://docs.google.com/spreadsheets/d/1BJSV3WBYJGRhQ6zExamkszQ5VutGIcaQqmbD9ZTVXMQ/edit#gid=1251630045"",""articles_with_PRISMA_reasons!C2:C2113""), $A1887=IMPORTRANGE(""https://docs.google.com/spreadsheets/d/1BJSV3WBYJGRhQ6zExamkszQ"&amp;"5VutGIcaQqmbD9ZTVXMQ/edit#gid=1251630045"",""articles_with_PRISMA_reasons!B2:B2113""))"),1973.0)</f>
        <v>1973</v>
      </c>
      <c r="D1887" s="5" t="str">
        <f>IFERROR(__xludf.DUMMYFUNCTION("IFS(AND(
FILTER(IMPORTRANGE(""https://docs.google.com/spreadsheets/d/1BJSV3WBYJGRhQ6zExamkszQ5VutGIcaQqmbD9ZTVXMQ/edit#gid=1251630045"",""articles_with_PRISMA_reasons!Y2:Y2113""), $A1887=IMPORTRANGE(""https://docs.google.com/spreadsheets/d/1BJSV3WBYJGRhQ6"&amp;"zExamkszQ5VutGIcaQqmbD9ZTVXMQ/edit#gid=1251630045"",""articles_with_PRISMA_reasons!B2:B2113""))&gt;=2,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$A1887=IMPORTRANGE(""https://docs.google.com/spreadsheets/d/1BJSV3WBYJGRhQ6zExamkszQ5VutGIcaQqmbD9ZTVXMQ/edit#gid=1251630045"",""articles_with_PRISMA_reasons!B2:B2113""))&lt;2),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$A1887=IMPORTRANGE(""https://docs.google.com/spreadsheets/d/1BJSV3WBYJGRhQ6zExamkszQ5VutGIcaQqmbD9ZTVXMQ/edit#gid=1251630045"",""a"&amp;"rticles_with_PRISMA_reasons!B2:B2113""))&lt;2,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$A1887=IMPORTRANGE(""https://docs.google"&amp;".com/spreadsheets/d/1BJSV3WBYJGRhQ6zExamkszQ5VutGIcaQqmbD9ZTVXMQ/edit#gid=1251630045"",""articles_with_PRISMA_reasons!B2:B2113""))&gt;=2),
""Exclude""
)"),"Exclude")</f>
        <v>Exclude</v>
      </c>
      <c r="E1887" s="5" t="str">
        <f>IFERROR(__xludf.DUMMYFUNCTION("IFS(
D1887=""Exclude"",""Exclude"",
AND(
FILTER(IMPORTRANGE(""https://docs.google.com/spreadsheets/d/1qpEmbGH0JjaJbUdp21-y2cPbobDbMjr09BbtdKROZWc/edit#gid=1444865654"",""articles_with_PRISMA_reasons!W2:W2113""), $A1887=IMPORTRANGE(""https://docs.google.co"&amp;"m/spreadsheets/d/1qpEmbGH0JjaJbUdp21-y2cPbobDbMjr09BbtdKROZWc/edit#gid=1444865654"",""articles_with_PRISMA_reasons!B2:B2113""))&gt;=2,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$A1887=IMPORTRANGE(""https://docs.google.com/spreadsheets/d/1qpEmbGH0JjaJbUdp21-y2cPbobDbMjr09BbtdKROZWc/edit#gid=1444865654"",""articles_with_PRISMA_reasons!B2:B2113""))&lt;2),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$A1887=IMPORTRANGE(""https://docs.google.com/spreadsheets/d/1qpEmbGH0JjaJbUdp21-y2cPbobDbMjr09Bbtd"&amp;"KROZWc/edit#gid=1444865654"",""articles_with_PRISMA_reasons!B2:B2113""))&lt;2,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$A1887=I"&amp;"MPORTRANGE(""https://docs.google.com/spreadsheets/d/1qpEmbGH0JjaJbUdp21-y2cPbobDbMjr09BbtdKROZWc/edit#gid=1444865654"",""articles_with_PRISMA_reasons!B2:B2113""))&gt;=2),
""Exclude""
)"),"Exclude")</f>
        <v>Exclude</v>
      </c>
      <c r="F1887" s="5" t="str">
        <f>IFERROR(__xludf.DUMMYFUNCTION("IFS(
E1887=""Exclude"",""Exclude"",
AND(
COUNTIF(
IMPORTRANGE(""https://docs.google.com/spreadsheets/d/1kGrh75X1cNR1D7_FcY9zMnHP8iPO4M5RCRjy6nZY0TY/edit#gid=0"",""Table 1: Study characteristics!B4:B171""),A1887)&gt;0,
COUNTIF(Studies!$A$2:$A$85,FILTER(IMPORT"&amp;"RANGE(""https://docs.google.com/spreadsheets/d/1kGrh75X1cNR1D7_FcY9zMnHP8iPO4M5RCRjy6nZY0TY/edit#gid=0"",""Table 1: Study characteristics!A4:A171""), $A1887=IMPORTRANGE(""https://docs.google.com/spreadsheets/d/1kGrh75X1cNR1D7_FcY9zMnHP8iPO4M5RCRjy6nZY0TY/"&amp;"edit#gid=0"",""Table 1: Study characteristics!B4:B171"")))&gt;0
),
""Include""
)"),"Exclude")</f>
        <v>Exclude</v>
      </c>
      <c r="G1887" s="5" t="str">
        <f>IFERROR(__xludf.DUMMYFUNCTION("IFS(
D1887=""Exclude"",
FILTER(IMPORTRANGE(""https://docs.google.com/spreadsheets/d/1BJSV3WBYJGRhQ6zExamkszQ5VutGIcaQqmbD9ZTVXMQ/edit#gid=1251630045"",""articles_with_PRISMA_reasons!AB2:AB2113""), $A1887=IMPORTRANGE(""https://docs.google.com/spreadsheets/"&amp;"d/1BJSV3WBYJGRhQ6zExamkszQ5VutGIcaQqmbD9ZTVXMQ/edit#gid=1251630045"",""articles_with_PRISMA_reasons!B2:B2113"")),
E1887=""Exclude"",
FILTER(IMPORTRANGE(""https://docs.google.com/spreadsheets/d/1qpEmbGH0JjaJbUdp21-y2cPbobDbMjr09BbtdKROZWc/edit#gid=14448656"&amp;"54"",""articles_with_PRISMA_reasons!Z2:Z2113""), $A1887=IMPORTRANGE(""https://docs.google.com/spreadsheets/d/1qpEmbGH0JjaJbUdp21-y2cPbobDbMjr09BbtdKROZWc/edit#gid=1444865654"",""articles_with_PRISMA_reasons!B2:B2113"")),F1887
=""Include"",FILTER(IMPORTRAN"&amp;"GE(""https://docs.google.com/spreadsheets/d/1kGrh75X1cNR1D7_FcY9zMnHP8iPO4M5RCRjy6nZY0TY/edit#gid=0"",""Table 1: Study characteristics!A4:A171""), $A1887=IMPORTRANGE(""https://docs.google.com/spreadsheets/d/1kGrh75X1cNR1D7_FcY9zMnHP8iPO4M5RCRjy6nZY0TY/edi"&amp;"t#gid=0"",""Table 1: Study characteristics!B4:B171""))
)"),"wrong population")</f>
        <v>wrong population</v>
      </c>
    </row>
    <row r="1888">
      <c r="A1888" s="4" t="str">
        <f>IFERROR(__xludf.DUMMYFUNCTION("""COMPUTED_VALUE"""),"The effectiveness of antibiotic-coated ventriculoperitoneal shunts for prevention of shunt infections in patients with myelomeningocele")</f>
        <v>The effectiveness of antibiotic-coated ventriculoperitoneal shunts for prevention of shunt infections in patients with myelomeningocele</v>
      </c>
      <c r="B1888" s="5" t="str">
        <f>IFERROR(__xludf.DUMMYFUNCTION("LEFT(FILTER(IMPORTRANGE(""https://docs.google.com/spreadsheets/d/1BJSV3WBYJGRhQ6zExamkszQ5VutGIcaQqmbD9ZTVXMQ/edit#gid=1251630045"",""articles_with_PRISMA_reasons!K2:K2113""), $A1888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$A1888=IMPORTRANGE(""https://docs.google.com/spreadsheets/d/1BJSV3WBYJGRhQ6zExamkszQ5VutGIcaQqmbD9ZTVXMQ/edit#gid=1251630045"",""articles_with_PRISMA_reasons!B2:B2113"")))-1)"),"Ertugrul")</f>
        <v>Ertugrul</v>
      </c>
      <c r="C1888" s="6">
        <f>IFERROR(__xludf.DUMMYFUNCTION("FILTER(IMPORTRANGE(""https://docs.google.com/spreadsheets/d/1BJSV3WBYJGRhQ6zExamkszQ5VutGIcaQqmbD9ZTVXMQ/edit#gid=1251630045"",""articles_with_PRISMA_reasons!C2:C2113""), $A1888=IMPORTRANGE(""https://docs.google.com/spreadsheets/d/1BJSV3WBYJGRhQ6zExamkszQ"&amp;"5VutGIcaQqmbD9ZTVXMQ/edit#gid=1251630045"",""articles_with_PRISMA_reasons!B2:B2113""))"),2021.0)</f>
        <v>2021</v>
      </c>
      <c r="D1888" s="5" t="str">
        <f>IFERROR(__xludf.DUMMYFUNCTION("IFS(AND(
FILTER(IMPORTRANGE(""https://docs.google.com/spreadsheets/d/1BJSV3WBYJGRhQ6zExamkszQ5VutGIcaQqmbD9ZTVXMQ/edit#gid=1251630045"",""articles_with_PRISMA_reasons!Y2:Y2113""), $A1888=IMPORTRANGE(""https://docs.google.com/spreadsheets/d/1BJSV3WBYJGRhQ6"&amp;"zExamkszQ5VutGIcaQqmbD9ZTVXMQ/edit#gid=1251630045"",""articles_with_PRISMA_reasons!B2:B2113""))&gt;=2,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$A1888=IMPORTRANGE(""https://docs.google.com/spreadsheets/d/1BJSV3WBYJGRhQ6zExamkszQ5VutGIcaQqmbD9ZTVXMQ/edit#gid=1251630045"",""articles_with_PRISMA_reasons!B2:B2113""))&lt;2),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$A1888=IMPORTRANGE(""https://docs.google.com/spreadsheets/d/1BJSV3WBYJGRhQ6zExamkszQ5VutGIcaQqmbD9ZTVXMQ/edit#gid=1251630045"",""a"&amp;"rticles_with_PRISMA_reasons!B2:B2113""))&lt;2,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$A1888=IMPORTRANGE(""https://docs.google"&amp;".com/spreadsheets/d/1BJSV3WBYJGRhQ6zExamkszQ5VutGIcaQqmbD9ZTVXMQ/edit#gid=1251630045"",""articles_with_PRISMA_reasons!B2:B2113""))&gt;=2),
""Exclude""
)"),"Include")</f>
        <v>Include</v>
      </c>
      <c r="E1888" s="5" t="str">
        <f>IFERROR(__xludf.DUMMYFUNCTION("IFS(
D1888=""Exclude"",""Exclude"",
AND(
FILTER(IMPORTRANGE(""https://docs.google.com/spreadsheets/d/1qpEmbGH0JjaJbUdp21-y2cPbobDbMjr09BbtdKROZWc/edit#gid=1444865654"",""articles_with_PRISMA_reasons!W2:W2113""), $A1888=IMPORTRANGE(""https://docs.google.co"&amp;"m/spreadsheets/d/1qpEmbGH0JjaJbUdp21-y2cPbobDbMjr09BbtdKROZWc/edit#gid=1444865654"",""articles_with_PRISMA_reasons!B2:B2113""))&gt;=2,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$A1888=IMPORTRANGE(""https://docs.google.com/spreadsheets/d/1qpEmbGH0JjaJbUdp21-y2cPbobDbMjr09BbtdKROZWc/edit#gid=1444865654"",""articles_with_PRISMA_reasons!B2:B2113""))&lt;2),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$A1888=IMPORTRANGE(""https://docs.google.com/spreadsheets/d/1qpEmbGH0JjaJbUdp21-y2cPbobDbMjr09Bbtd"&amp;"KROZWc/edit#gid=1444865654"",""articles_with_PRISMA_reasons!B2:B2113""))&lt;2,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$A1888=I"&amp;"MPORTRANGE(""https://docs.google.com/spreadsheets/d/1qpEmbGH0JjaJbUdp21-y2cPbobDbMjr09BbtdKROZWc/edit#gid=1444865654"",""articles_with_PRISMA_reasons!B2:B2113""))&gt;=2),
""Exclude""
)"),"Include")</f>
        <v>Include</v>
      </c>
      <c r="F1888" s="5" t="str">
        <f>IFERROR(__xludf.DUMMYFUNCTION("IFS(
E1888=""Exclude"",""Exclude"",
AND(
COUNTIF(
IMPORTRANGE(""https://docs.google.com/spreadsheets/d/1kGrh75X1cNR1D7_FcY9zMnHP8iPO4M5RCRjy6nZY0TY/edit#gid=0"",""Table 1: Study characteristics!B4:B171""),A1888)&gt;0,
COUNTIF(Studies!$A$2:$A$85,FILTER(IMPORT"&amp;"RANGE(""https://docs.google.com/spreadsheets/d/1kGrh75X1cNR1D7_FcY9zMnHP8iPO4M5RCRjy6nZY0TY/edit#gid=0"",""Table 1: Study characteristics!A4:A171""), $A1888=IMPORTRANGE(""https://docs.google.com/spreadsheets/d/1kGrh75X1cNR1D7_FcY9zMnHP8iPO4M5RCRjy6nZY0TY/"&amp;"edit#gid=0"",""Table 1: Study characteristics!B4:B171"")))&gt;0
),
""Include""
)"),"Include")</f>
        <v>Include</v>
      </c>
      <c r="G1888" s="5" t="str">
        <f>IFERROR(__xludf.DUMMYFUNCTION("IFS(
D1888=""Exclude"",
FILTER(IMPORTRANGE(""https://docs.google.com/spreadsheets/d/1BJSV3WBYJGRhQ6zExamkszQ5VutGIcaQqmbD9ZTVXMQ/edit#gid=1251630045"",""articles_with_PRISMA_reasons!AB2:AB2113""), $A1888=IMPORTRANGE(""https://docs.google.com/spreadsheets/"&amp;"d/1BJSV3WBYJGRhQ6zExamkszQ5VutGIcaQqmbD9ZTVXMQ/edit#gid=1251630045"",""articles_with_PRISMA_reasons!B2:B2113"")),
E1888=""Exclude"",
FILTER(IMPORTRANGE(""https://docs.google.com/spreadsheets/d/1qpEmbGH0JjaJbUdp21-y2cPbobDbMjr09BbtdKROZWc/edit#gid=14448656"&amp;"54"",""articles_with_PRISMA_reasons!Z2:Z2113""), $A1888=IMPORTRANGE(""https://docs.google.com/spreadsheets/d/1qpEmbGH0JjaJbUdp21-y2cPbobDbMjr09BbtdKROZWc/edit#gid=1444865654"",""articles_with_PRISMA_reasons!B2:B2113"")),F1888
=""Include"",FILTER(IMPORTRAN"&amp;"GE(""https://docs.google.com/spreadsheets/d/1kGrh75X1cNR1D7_FcY9zMnHP8iPO4M5RCRjy6nZY0TY/edit#gid=0"",""Table 1: Study characteristics!A4:A171""), $A1888=IMPORTRANGE(""https://docs.google.com/spreadsheets/d/1kGrh75X1cNR1D7_FcY9zMnHP8iPO4M5RCRjy6nZY0TY/edi"&amp;"t#gid=0"",""Table 1: Study characteristics!B4:B171""))
)"),"ID 154")</f>
        <v>ID 154</v>
      </c>
    </row>
    <row r="1889">
      <c r="A1889" s="4" t="str">
        <f>IFERROR(__xludf.DUMMYFUNCTION("""COMPUTED_VALUE"""),"The effects of admission to hospital and surgery on children with spina bifida")</f>
        <v>The effects of admission to hospital and surgery on children with spina bifida</v>
      </c>
      <c r="B1889" s="5" t="str">
        <f>IFERROR(__xludf.DUMMYFUNCTION("LEFT(FILTER(IMPORTRANGE(""https://docs.google.com/spreadsheets/d/1BJSV3WBYJGRhQ6zExamkszQ5VutGIcaQqmbD9ZTVXMQ/edit#gid=1251630045"",""articles_with_PRISMA_reasons!K2:K2113""), $A1889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$A1889=IMPORTRANGE(""https://docs.google.com/spreadsheets/d/1BJSV3WBYJGRhQ6zExamkszQ5VutGIcaQqmbD9ZTVXMQ/edit#gid=1251630045"",""articles_with_PRISMA_reasons!B2:B2113"")))-1)"),"Tew")</f>
        <v>Tew</v>
      </c>
      <c r="C1889" s="6">
        <f>IFERROR(__xludf.DUMMYFUNCTION("FILTER(IMPORTRANGE(""https://docs.google.com/spreadsheets/d/1BJSV3WBYJGRhQ6zExamkszQ5VutGIcaQqmbD9ZTVXMQ/edit#gid=1251630045"",""articles_with_PRISMA_reasons!C2:C2113""), $A1889=IMPORTRANGE(""https://docs.google.com/spreadsheets/d/1BJSV3WBYJGRhQ6zExamkszQ"&amp;"5VutGIcaQqmbD9ZTVXMQ/edit#gid=1251630045"",""articles_with_PRISMA_reasons!B2:B2113""))"),1976.0)</f>
        <v>1976</v>
      </c>
      <c r="D1889" s="5" t="str">
        <f>IFERROR(__xludf.DUMMYFUNCTION("IFS(AND(
FILTER(IMPORTRANGE(""https://docs.google.com/spreadsheets/d/1BJSV3WBYJGRhQ6zExamkszQ5VutGIcaQqmbD9ZTVXMQ/edit#gid=1251630045"",""articles_with_PRISMA_reasons!Y2:Y2113""), $A1889=IMPORTRANGE(""https://docs.google.com/spreadsheets/d/1BJSV3WBYJGRhQ6"&amp;"zExamkszQ5VutGIcaQqmbD9ZTVXMQ/edit#gid=1251630045"",""articles_with_PRISMA_reasons!B2:B2113""))&gt;=2,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$A1889=IMPORTRANGE(""https://docs.google.com/spreadsheets/d/1BJSV3WBYJGRhQ6zExamkszQ5VutGIcaQqmbD9ZTVXMQ/edit#gid=1251630045"",""articles_with_PRISMA_reasons!B2:B2113""))&lt;2),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$A1889=IMPORTRANGE(""https://docs.google.com/spreadsheets/d/1BJSV3WBYJGRhQ6zExamkszQ5VutGIcaQqmbD9ZTVXMQ/edit#gid=1251630045"",""a"&amp;"rticles_with_PRISMA_reasons!B2:B2113""))&lt;2,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$A1889=IMPORTRANGE(""https://docs.google"&amp;".com/spreadsheets/d/1BJSV3WBYJGRhQ6zExamkszQ5VutGIcaQqmbD9ZTVXMQ/edit#gid=1251630045"",""articles_with_PRISMA_reasons!B2:B2113""))&gt;=2),
""Exclude""
)"),"Exclude")</f>
        <v>Exclude</v>
      </c>
      <c r="E1889" s="5" t="str">
        <f>IFERROR(__xludf.DUMMYFUNCTION("IFS(
D1889=""Exclude"",""Exclude"",
AND(
FILTER(IMPORTRANGE(""https://docs.google.com/spreadsheets/d/1qpEmbGH0JjaJbUdp21-y2cPbobDbMjr09BbtdKROZWc/edit#gid=1444865654"",""articles_with_PRISMA_reasons!W2:W2113""), $A1889=IMPORTRANGE(""https://docs.google.co"&amp;"m/spreadsheets/d/1qpEmbGH0JjaJbUdp21-y2cPbobDbMjr09BbtdKROZWc/edit#gid=1444865654"",""articles_with_PRISMA_reasons!B2:B2113""))&gt;=2,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$A1889=IMPORTRANGE(""https://docs.google.com/spreadsheets/d/1qpEmbGH0JjaJbUdp21-y2cPbobDbMjr09BbtdKROZWc/edit#gid=1444865654"",""articles_with_PRISMA_reasons!B2:B2113""))&lt;2),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$A1889=IMPORTRANGE(""https://docs.google.com/spreadsheets/d/1qpEmbGH0JjaJbUdp21-y2cPbobDbMjr09Bbtd"&amp;"KROZWc/edit#gid=1444865654"",""articles_with_PRISMA_reasons!B2:B2113""))&lt;2,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$A1889=I"&amp;"MPORTRANGE(""https://docs.google.com/spreadsheets/d/1qpEmbGH0JjaJbUdp21-y2cPbobDbMjr09BbtdKROZWc/edit#gid=1444865654"",""articles_with_PRISMA_reasons!B2:B2113""))&gt;=2),
""Exclude""
)"),"Exclude")</f>
        <v>Exclude</v>
      </c>
      <c r="F1889" s="5" t="str">
        <f>IFERROR(__xludf.DUMMYFUNCTION("IFS(
E1889=""Exclude"",""Exclude"",
AND(
COUNTIF(
IMPORTRANGE(""https://docs.google.com/spreadsheets/d/1kGrh75X1cNR1D7_FcY9zMnHP8iPO4M5RCRjy6nZY0TY/edit#gid=0"",""Table 1: Study characteristics!B4:B171""),A1889)&gt;0,
COUNTIF(Studies!$A$2:$A$85,FILTER(IMPORT"&amp;"RANGE(""https://docs.google.com/spreadsheets/d/1kGrh75X1cNR1D7_FcY9zMnHP8iPO4M5RCRjy6nZY0TY/edit#gid=0"",""Table 1: Study characteristics!A4:A171""), $A1889=IMPORTRANGE(""https://docs.google.com/spreadsheets/d/1kGrh75X1cNR1D7_FcY9zMnHP8iPO4M5RCRjy6nZY0TY/"&amp;"edit#gid=0"",""Table 1: Study characteristics!B4:B171"")))&gt;0
),
""Include""
)"),"Exclude")</f>
        <v>Exclude</v>
      </c>
      <c r="G1889" s="5" t="str">
        <f>IFERROR(__xludf.DUMMYFUNCTION("IFS(
D1889=""Exclude"",
FILTER(IMPORTRANGE(""https://docs.google.com/spreadsheets/d/1BJSV3WBYJGRhQ6zExamkszQ5VutGIcaQqmbD9ZTVXMQ/edit#gid=1251630045"",""articles_with_PRISMA_reasons!AB2:AB2113""), $A1889=IMPORTRANGE(""https://docs.google.com/spreadsheets/"&amp;"d/1BJSV3WBYJGRhQ6zExamkszQ5VutGIcaQqmbD9ZTVXMQ/edit#gid=1251630045"",""articles_with_PRISMA_reasons!B2:B2113"")),
E1889=""Exclude"",
FILTER(IMPORTRANGE(""https://docs.google.com/spreadsheets/d/1qpEmbGH0JjaJbUdp21-y2cPbobDbMjr09BbtdKROZWc/edit#gid=14448656"&amp;"54"",""articles_with_PRISMA_reasons!Z2:Z2113""), $A1889=IMPORTRANGE(""https://docs.google.com/spreadsheets/d/1qpEmbGH0JjaJbUdp21-y2cPbobDbMjr09BbtdKROZWc/edit#gid=1444865654"",""articles_with_PRISMA_reasons!B2:B2113"")),F1889
=""Include"",FILTER(IMPORTRAN"&amp;"GE(""https://docs.google.com/spreadsheets/d/1kGrh75X1cNR1D7_FcY9zMnHP8iPO4M5RCRjy6nZY0TY/edit#gid=0"",""Table 1: Study characteristics!A4:A171""), $A1889=IMPORTRANGE(""https://docs.google.com/spreadsheets/d/1kGrh75X1cNR1D7_FcY9zMnHP8iPO4M5RCRjy6nZY0TY/edi"&amp;"t#gid=0"",""Table 1: Study characteristics!B4:B171""))
)"),"wrong population")</f>
        <v>wrong population</v>
      </c>
    </row>
    <row r="1890">
      <c r="A1890" s="4" t="str">
        <f>IFERROR(__xludf.DUMMYFUNCTION("""COMPUTED_VALUE"""),"The effects of selective treatment of myelomeningocele on a neonatal unit")</f>
        <v>The effects of selective treatment of myelomeningocele on a neonatal unit</v>
      </c>
      <c r="B1890" s="5" t="str">
        <f>IFERROR(__xludf.DUMMYFUNCTION("LEFT(FILTER(IMPORTRANGE(""https://docs.google.com/spreadsheets/d/1BJSV3WBYJGRhQ6zExamkszQ5VutGIcaQqmbD9ZTVXMQ/edit#gid=1251630045"",""articles_with_PRISMA_reasons!K2:K2113""), $A1890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$A1890=IMPORTRANGE(""https://docs.google.com/spreadsheets/d/1BJSV3WBYJGRhQ6zExamkszQ5VutGIcaQqmbD9ZTVXMQ/edit#gid=1251630045"",""articles_with_PRISMA_reasons!B2:B2113"")))-1)"),"Colliss")</f>
        <v>Colliss</v>
      </c>
      <c r="C1890" s="6">
        <f>IFERROR(__xludf.DUMMYFUNCTION("FILTER(IMPORTRANGE(""https://docs.google.com/spreadsheets/d/1BJSV3WBYJGRhQ6zExamkszQ5VutGIcaQqmbD9ZTVXMQ/edit#gid=1251630045"",""articles_with_PRISMA_reasons!C2:C2113""), $A1890=IMPORTRANGE(""https://docs.google.com/spreadsheets/d/1BJSV3WBYJGRhQ6zExamkszQ"&amp;"5VutGIcaQqmbD9ZTVXMQ/edit#gid=1251630045"",""articles_with_PRISMA_reasons!B2:B2113""))"),1972.0)</f>
        <v>1972</v>
      </c>
      <c r="D1890" s="5" t="str">
        <f>IFERROR(__xludf.DUMMYFUNCTION("IFS(AND(
FILTER(IMPORTRANGE(""https://docs.google.com/spreadsheets/d/1BJSV3WBYJGRhQ6zExamkszQ5VutGIcaQqmbD9ZTVXMQ/edit#gid=1251630045"",""articles_with_PRISMA_reasons!Y2:Y2113""), $A1890=IMPORTRANGE(""https://docs.google.com/spreadsheets/d/1BJSV3WBYJGRhQ6"&amp;"zExamkszQ5VutGIcaQqmbD9ZTVXMQ/edit#gid=1251630045"",""articles_with_PRISMA_reasons!B2:B2113""))&gt;=2,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$A1890=IMPORTRANGE(""https://docs.google.com/spreadsheets/d/1BJSV3WBYJGRhQ6zExamkszQ5VutGIcaQqmbD9ZTVXMQ/edit#gid=1251630045"",""articles_with_PRISMA_reasons!B2:B2113""))&lt;2),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$A1890=IMPORTRANGE(""https://docs.google.com/spreadsheets/d/1BJSV3WBYJGRhQ6zExamkszQ5VutGIcaQqmbD9ZTVXMQ/edit#gid=1251630045"",""a"&amp;"rticles_with_PRISMA_reasons!B2:B2113""))&lt;2,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$A1890=IMPORTRANGE(""https://docs.google"&amp;".com/spreadsheets/d/1BJSV3WBYJGRhQ6zExamkszQ5VutGIcaQqmbD9ZTVXMQ/edit#gid=1251630045"",""articles_with_PRISMA_reasons!B2:B2113""))&gt;=2),
""Exclude""
)"),"Exclude")</f>
        <v>Exclude</v>
      </c>
      <c r="E1890" s="5" t="str">
        <f>IFERROR(__xludf.DUMMYFUNCTION("IFS(
D1890=""Exclude"",""Exclude"",
AND(
FILTER(IMPORTRANGE(""https://docs.google.com/spreadsheets/d/1qpEmbGH0JjaJbUdp21-y2cPbobDbMjr09BbtdKROZWc/edit#gid=1444865654"",""articles_with_PRISMA_reasons!W2:W2113""), $A1890=IMPORTRANGE(""https://docs.google.co"&amp;"m/spreadsheets/d/1qpEmbGH0JjaJbUdp21-y2cPbobDbMjr09BbtdKROZWc/edit#gid=1444865654"",""articles_with_PRISMA_reasons!B2:B2113""))&gt;=2,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$A1890=IMPORTRANGE(""https://docs.google.com/spreadsheets/d/1qpEmbGH0JjaJbUdp21-y2cPbobDbMjr09BbtdKROZWc/edit#gid=1444865654"",""articles_with_PRISMA_reasons!B2:B2113""))&lt;2),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$A1890=IMPORTRANGE(""https://docs.google.com/spreadsheets/d/1qpEmbGH0JjaJbUdp21-y2cPbobDbMjr09Bbtd"&amp;"KROZWc/edit#gid=1444865654"",""articles_with_PRISMA_reasons!B2:B2113""))&lt;2,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$A1890=I"&amp;"MPORTRANGE(""https://docs.google.com/spreadsheets/d/1qpEmbGH0JjaJbUdp21-y2cPbobDbMjr09BbtdKROZWc/edit#gid=1444865654"",""articles_with_PRISMA_reasons!B2:B2113""))&gt;=2),
""Exclude""
)"),"Exclude")</f>
        <v>Exclude</v>
      </c>
      <c r="F1890" s="5" t="str">
        <f>IFERROR(__xludf.DUMMYFUNCTION("IFS(
E1890=""Exclude"",""Exclude"",
AND(
COUNTIF(
IMPORTRANGE(""https://docs.google.com/spreadsheets/d/1kGrh75X1cNR1D7_FcY9zMnHP8iPO4M5RCRjy6nZY0TY/edit#gid=0"",""Table 1: Study characteristics!B4:B171""),A1890)&gt;0,
COUNTIF(Studies!$A$2:$A$85,FILTER(IMPORT"&amp;"RANGE(""https://docs.google.com/spreadsheets/d/1kGrh75X1cNR1D7_FcY9zMnHP8iPO4M5RCRjy6nZY0TY/edit#gid=0"",""Table 1: Study characteristics!A4:A171""), $A1890=IMPORTRANGE(""https://docs.google.com/spreadsheets/d/1kGrh75X1cNR1D7_FcY9zMnHP8iPO4M5RCRjy6nZY0TY/"&amp;"edit#gid=0"",""Table 1: Study characteristics!B4:B171"")))&gt;0
),
""Include""
)"),"Exclude")</f>
        <v>Exclude</v>
      </c>
      <c r="G1890" s="5" t="str">
        <f>IFERROR(__xludf.DUMMYFUNCTION("IFS(
D1890=""Exclude"",
FILTER(IMPORTRANGE(""https://docs.google.com/spreadsheets/d/1BJSV3WBYJGRhQ6zExamkszQ5VutGIcaQqmbD9ZTVXMQ/edit#gid=1251630045"",""articles_with_PRISMA_reasons!AB2:AB2113""), $A1890=IMPORTRANGE(""https://docs.google.com/spreadsheets/"&amp;"d/1BJSV3WBYJGRhQ6zExamkszQ5VutGIcaQqmbD9ZTVXMQ/edit#gid=1251630045"",""articles_with_PRISMA_reasons!B2:B2113"")),
E1890=""Exclude"",
FILTER(IMPORTRANGE(""https://docs.google.com/spreadsheets/d/1qpEmbGH0JjaJbUdp21-y2cPbobDbMjr09BbtdKROZWc/edit#gid=14448656"&amp;"54"",""articles_with_PRISMA_reasons!Z2:Z2113""), $A1890=IMPORTRANGE(""https://docs.google.com/spreadsheets/d/1qpEmbGH0JjaJbUdp21-y2cPbobDbMjr09BbtdKROZWc/edit#gid=1444865654"",""articles_with_PRISMA_reasons!B2:B2113"")),F1890
=""Include"",FILTER(IMPORTRAN"&amp;"GE(""https://docs.google.com/spreadsheets/d/1kGrh75X1cNR1D7_FcY9zMnHP8iPO4M5RCRjy6nZY0TY/edit#gid=0"",""Table 1: Study characteristics!A4:A171""), $A1890=IMPORTRANGE(""https://docs.google.com/spreadsheets/d/1kGrh75X1cNR1D7_FcY9zMnHP8iPO4M5RCRjy6nZY0TY/edi"&amp;"t#gid=0"",""Table 1: Study characteristics!B4:B171""))
)"),"wrong population")</f>
        <v>wrong population</v>
      </c>
    </row>
    <row r="1891">
      <c r="A1891" s="4" t="str">
        <f>IFERROR(__xludf.DUMMYFUNCTION("""COMPUTED_VALUE"""),"The effects of socioeconomic status and race on pediatric neurosurgical shunting")</f>
        <v>The effects of socioeconomic status and race on pediatric neurosurgical shunting</v>
      </c>
      <c r="B1891" s="5" t="str">
        <f>IFERROR(__xludf.DUMMYFUNCTION("LEFT(FILTER(IMPORTRANGE(""https://docs.google.com/spreadsheets/d/1BJSV3WBYJGRhQ6zExamkszQ5VutGIcaQqmbD9ZTVXMQ/edit#gid=1251630045"",""articles_with_PRISMA_reasons!K2:K2113""), $A1891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$A1891=IMPORTRANGE(""https://docs.google.com/spreadsheets/d/1BJSV3WBYJGRhQ6zExamkszQ5VutGIcaQqmbD9ZTVXMQ/edit#gid=1251630045"",""articles_with_PRISMA_reasons!B2:B2113"")))-1)"),"Walker")</f>
        <v>Walker</v>
      </c>
      <c r="C1891" s="6">
        <f>IFERROR(__xludf.DUMMYFUNCTION("FILTER(IMPORTRANGE(""https://docs.google.com/spreadsheets/d/1BJSV3WBYJGRhQ6zExamkszQ5VutGIcaQqmbD9ZTVXMQ/edit#gid=1251630045"",""articles_with_PRISMA_reasons!C2:C2113""), $A1891=IMPORTRANGE(""https://docs.google.com/spreadsheets/d/1BJSV3WBYJGRhQ6zExamkszQ"&amp;"5VutGIcaQqmbD9ZTVXMQ/edit#gid=1251630045"",""articles_with_PRISMA_reasons!B2:B2113""))"),2014.0)</f>
        <v>2014</v>
      </c>
      <c r="D1891" s="5" t="str">
        <f>IFERROR(__xludf.DUMMYFUNCTION("IFS(AND(
FILTER(IMPORTRANGE(""https://docs.google.com/spreadsheets/d/1BJSV3WBYJGRhQ6zExamkszQ5VutGIcaQqmbD9ZTVXMQ/edit#gid=1251630045"",""articles_with_PRISMA_reasons!Y2:Y2113""), $A1891=IMPORTRANGE(""https://docs.google.com/spreadsheets/d/1BJSV3WBYJGRhQ6"&amp;"zExamkszQ5VutGIcaQqmbD9ZTVXMQ/edit#gid=1251630045"",""articles_with_PRISMA_reasons!B2:B2113""))&gt;=2,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$A1891=IMPORTRANGE(""https://docs.google.com/spreadsheets/d/1BJSV3WBYJGRhQ6zExamkszQ5VutGIcaQqmbD9ZTVXMQ/edit#gid=1251630045"",""articles_with_PRISMA_reasons!B2:B2113""))&lt;2),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$A1891=IMPORTRANGE(""https://docs.google.com/spreadsheets/d/1BJSV3WBYJGRhQ6zExamkszQ5VutGIcaQqmbD9ZTVXMQ/edit#gid=1251630045"",""a"&amp;"rticles_with_PRISMA_reasons!B2:B2113""))&lt;2,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$A1891=IMPORTRANGE(""https://docs.google"&amp;".com/spreadsheets/d/1BJSV3WBYJGRhQ6zExamkszQ5VutGIcaQqmbD9ZTVXMQ/edit#gid=1251630045"",""articles_with_PRISMA_reasons!B2:B2113""))&gt;=2),
""Exclude""
)"),"Exclude")</f>
        <v>Exclude</v>
      </c>
      <c r="E1891" s="5" t="str">
        <f>IFERROR(__xludf.DUMMYFUNCTION("IFS(
D1891=""Exclude"",""Exclude"",
AND(
FILTER(IMPORTRANGE(""https://docs.google.com/spreadsheets/d/1qpEmbGH0JjaJbUdp21-y2cPbobDbMjr09BbtdKROZWc/edit#gid=1444865654"",""articles_with_PRISMA_reasons!W2:W2113""), $A1891=IMPORTRANGE(""https://docs.google.co"&amp;"m/spreadsheets/d/1qpEmbGH0JjaJbUdp21-y2cPbobDbMjr09BbtdKROZWc/edit#gid=1444865654"",""articles_with_PRISMA_reasons!B2:B2113""))&gt;=2,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$A1891=IMPORTRANGE(""https://docs.google.com/spreadsheets/d/1qpEmbGH0JjaJbUdp21-y2cPbobDbMjr09BbtdKROZWc/edit#gid=1444865654"",""articles_with_PRISMA_reasons!B2:B2113""))&lt;2),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$A1891=IMPORTRANGE(""https://docs.google.com/spreadsheets/d/1qpEmbGH0JjaJbUdp21-y2cPbobDbMjr09Bbtd"&amp;"KROZWc/edit#gid=1444865654"",""articles_with_PRISMA_reasons!B2:B2113""))&lt;2,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$A1891=I"&amp;"MPORTRANGE(""https://docs.google.com/spreadsheets/d/1qpEmbGH0JjaJbUdp21-y2cPbobDbMjr09BbtdKROZWc/edit#gid=1444865654"",""articles_with_PRISMA_reasons!B2:B2113""))&gt;=2),
""Exclude""
)"),"Exclude")</f>
        <v>Exclude</v>
      </c>
      <c r="F1891" s="5" t="str">
        <f>IFERROR(__xludf.DUMMYFUNCTION("IFS(
E1891=""Exclude"",""Exclude"",
AND(
COUNTIF(
IMPORTRANGE(""https://docs.google.com/spreadsheets/d/1kGrh75X1cNR1D7_FcY9zMnHP8iPO4M5RCRjy6nZY0TY/edit#gid=0"",""Table 1: Study characteristics!B4:B171""),A1891)&gt;0,
COUNTIF(Studies!$A$2:$A$85,FILTER(IMPORT"&amp;"RANGE(""https://docs.google.com/spreadsheets/d/1kGrh75X1cNR1D7_FcY9zMnHP8iPO4M5RCRjy6nZY0TY/edit#gid=0"",""Table 1: Study characteristics!A4:A171""), $A1891=IMPORTRANGE(""https://docs.google.com/spreadsheets/d/1kGrh75X1cNR1D7_FcY9zMnHP8iPO4M5RCRjy6nZY0TY/"&amp;"edit#gid=0"",""Table 1: Study characteristics!B4:B171"")))&gt;0
),
""Include""
)"),"Exclude")</f>
        <v>Exclude</v>
      </c>
      <c r="G1891" s="5" t="str">
        <f>IFERROR(__xludf.DUMMYFUNCTION("IFS(
D1891=""Exclude"",
FILTER(IMPORTRANGE(""https://docs.google.com/spreadsheets/d/1BJSV3WBYJGRhQ6zExamkszQ5VutGIcaQqmbD9ZTVXMQ/edit#gid=1251630045"",""articles_with_PRISMA_reasons!AB2:AB2113""), $A1891=IMPORTRANGE(""https://docs.google.com/spreadsheets/"&amp;"d/1BJSV3WBYJGRhQ6zExamkszQ5VutGIcaQqmbD9ZTVXMQ/edit#gid=1251630045"",""articles_with_PRISMA_reasons!B2:B2113"")),
E1891=""Exclude"",
FILTER(IMPORTRANGE(""https://docs.google.com/spreadsheets/d/1qpEmbGH0JjaJbUdp21-y2cPbobDbMjr09BbtdKROZWc/edit#gid=14448656"&amp;"54"",""articles_with_PRISMA_reasons!Z2:Z2113""), $A1891=IMPORTRANGE(""https://docs.google.com/spreadsheets/d/1qpEmbGH0JjaJbUdp21-y2cPbobDbMjr09BbtdKROZWc/edit#gid=1444865654"",""articles_with_PRISMA_reasons!B2:B2113"")),F1891
=""Include"",FILTER(IMPORTRAN"&amp;"GE(""https://docs.google.com/spreadsheets/d/1kGrh75X1cNR1D7_FcY9zMnHP8iPO4M5RCRjy6nZY0TY/edit#gid=0"",""Table 1: Study characteristics!A4:A171""), $A1891=IMPORTRANGE(""https://docs.google.com/spreadsheets/d/1kGrh75X1cNR1D7_FcY9zMnHP8iPO4M5RCRjy6nZY0TY/edi"&amp;"t#gid=0"",""Table 1: Study characteristics!B4:B171""))
)"),"wrong study design")</f>
        <v>wrong study design</v>
      </c>
    </row>
    <row r="1892">
      <c r="A1892" s="4" t="str">
        <f>IFERROR(__xludf.DUMMYFUNCTION("""COMPUTED_VALUE"""),"The embryology and neuropathology of congenital malformations")</f>
        <v>The embryology and neuropathology of congenital malformations</v>
      </c>
      <c r="B1892" s="5" t="str">
        <f>IFERROR(__xludf.DUMMYFUNCTION("LEFT(FILTER(IMPORTRANGE(""https://docs.google.com/spreadsheets/d/1BJSV3WBYJGRhQ6zExamkszQ5VutGIcaQqmbD9ZTVXMQ/edit#gid=1251630045"",""articles_with_PRISMA_reasons!K2:K2113""), $A1892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$A1892=IMPORTRANGE(""https://docs.google.com/spreadsheets/d/1BJSV3WBYJGRhQ6zExamkszQ5VutGIcaQqmbD9ZTVXMQ/edit#gid=1251630045"",""articles_with_PRISMA_reasons!B2:B2113"")))-1)"),"Roessmann")</f>
        <v>Roessmann</v>
      </c>
      <c r="C1892" s="6">
        <f>IFERROR(__xludf.DUMMYFUNCTION("FILTER(IMPORTRANGE(""https://docs.google.com/spreadsheets/d/1BJSV3WBYJGRhQ6zExamkszQ5VutGIcaQqmbD9ZTVXMQ/edit#gid=1251630045"",""articles_with_PRISMA_reasons!C2:C2113""), $A1892=IMPORTRANGE(""https://docs.google.com/spreadsheets/d/1BJSV3WBYJGRhQ6zExamkszQ"&amp;"5VutGIcaQqmbD9ZTVXMQ/edit#gid=1251630045"",""articles_with_PRISMA_reasons!B2:B2113""))"),1983.0)</f>
        <v>1983</v>
      </c>
      <c r="D1892" s="5" t="str">
        <f>IFERROR(__xludf.DUMMYFUNCTION("IFS(AND(
FILTER(IMPORTRANGE(""https://docs.google.com/spreadsheets/d/1BJSV3WBYJGRhQ6zExamkszQ5VutGIcaQqmbD9ZTVXMQ/edit#gid=1251630045"",""articles_with_PRISMA_reasons!Y2:Y2113""), $A1892=IMPORTRANGE(""https://docs.google.com/spreadsheets/d/1BJSV3WBYJGRhQ6"&amp;"zExamkszQ5VutGIcaQqmbD9ZTVXMQ/edit#gid=1251630045"",""articles_with_PRISMA_reasons!B2:B2113""))&gt;=2,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$A1892=IMPORTRANGE(""https://docs.google.com/spreadsheets/d/1BJSV3WBYJGRhQ6zExamkszQ5VutGIcaQqmbD9ZTVXMQ/edit#gid=1251630045"",""articles_with_PRISMA_reasons!B2:B2113""))&lt;2),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$A1892=IMPORTRANGE(""https://docs.google.com/spreadsheets/d/1BJSV3WBYJGRhQ6zExamkszQ5VutGIcaQqmbD9ZTVXMQ/edit#gid=1251630045"",""a"&amp;"rticles_with_PRISMA_reasons!B2:B2113""))&lt;2,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$A1892=IMPORTRANGE(""https://docs.google"&amp;".com/spreadsheets/d/1BJSV3WBYJGRhQ6zExamkszQ5VutGIcaQqmbD9ZTVXMQ/edit#gid=1251630045"",""articles_with_PRISMA_reasons!B2:B2113""))&gt;=2),
""Exclude""
)"),"Exclude")</f>
        <v>Exclude</v>
      </c>
      <c r="E1892" s="5" t="str">
        <f>IFERROR(__xludf.DUMMYFUNCTION("IFS(
D1892=""Exclude"",""Exclude"",
AND(
FILTER(IMPORTRANGE(""https://docs.google.com/spreadsheets/d/1qpEmbGH0JjaJbUdp21-y2cPbobDbMjr09BbtdKROZWc/edit#gid=1444865654"",""articles_with_PRISMA_reasons!W2:W2113""), $A1892=IMPORTRANGE(""https://docs.google.co"&amp;"m/spreadsheets/d/1qpEmbGH0JjaJbUdp21-y2cPbobDbMjr09BbtdKROZWc/edit#gid=1444865654"",""articles_with_PRISMA_reasons!B2:B2113""))&gt;=2,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$A1892=IMPORTRANGE(""https://docs.google.com/spreadsheets/d/1qpEmbGH0JjaJbUdp21-y2cPbobDbMjr09BbtdKROZWc/edit#gid=1444865654"",""articles_with_PRISMA_reasons!B2:B2113""))&lt;2),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$A1892=IMPORTRANGE(""https://docs.google.com/spreadsheets/d/1qpEmbGH0JjaJbUdp21-y2cPbobDbMjr09Bbtd"&amp;"KROZWc/edit#gid=1444865654"",""articles_with_PRISMA_reasons!B2:B2113""))&lt;2,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$A1892=I"&amp;"MPORTRANGE(""https://docs.google.com/spreadsheets/d/1qpEmbGH0JjaJbUdp21-y2cPbobDbMjr09BbtdKROZWc/edit#gid=1444865654"",""articles_with_PRISMA_reasons!B2:B2113""))&gt;=2),
""Exclude""
)"),"Exclude")</f>
        <v>Exclude</v>
      </c>
      <c r="F1892" s="5" t="str">
        <f>IFERROR(__xludf.DUMMYFUNCTION("IFS(
E1892=""Exclude"",""Exclude"",
AND(
COUNTIF(
IMPORTRANGE(""https://docs.google.com/spreadsheets/d/1kGrh75X1cNR1D7_FcY9zMnHP8iPO4M5RCRjy6nZY0TY/edit#gid=0"",""Table 1: Study characteristics!B4:B171""),A1892)&gt;0,
COUNTIF(Studies!$A$2:$A$85,FILTER(IMPORT"&amp;"RANGE(""https://docs.google.com/spreadsheets/d/1kGrh75X1cNR1D7_FcY9zMnHP8iPO4M5RCRjy6nZY0TY/edit#gid=0"",""Table 1: Study characteristics!A4:A171""), $A1892=IMPORTRANGE(""https://docs.google.com/spreadsheets/d/1kGrh75X1cNR1D7_FcY9zMnHP8iPO4M5RCRjy6nZY0TY/"&amp;"edit#gid=0"",""Table 1: Study characteristics!B4:B171"")))&gt;0
),
""Include""
)"),"Exclude")</f>
        <v>Exclude</v>
      </c>
      <c r="G1892" s="5" t="str">
        <f>IFERROR(__xludf.DUMMYFUNCTION("IFS(
D1892=""Exclude"",
FILTER(IMPORTRANGE(""https://docs.google.com/spreadsheets/d/1BJSV3WBYJGRhQ6zExamkszQ5VutGIcaQqmbD9ZTVXMQ/edit#gid=1251630045"",""articles_with_PRISMA_reasons!AB2:AB2113""), $A1892=IMPORTRANGE(""https://docs.google.com/spreadsheets/"&amp;"d/1BJSV3WBYJGRhQ6zExamkszQ5VutGIcaQqmbD9ZTVXMQ/edit#gid=1251630045"",""articles_with_PRISMA_reasons!B2:B2113"")),
E1892=""Exclude"",
FILTER(IMPORTRANGE(""https://docs.google.com/spreadsheets/d/1qpEmbGH0JjaJbUdp21-y2cPbobDbMjr09BbtdKROZWc/edit#gid=14448656"&amp;"54"",""articles_with_PRISMA_reasons!Z2:Z2113""), $A1892=IMPORTRANGE(""https://docs.google.com/spreadsheets/d/1qpEmbGH0JjaJbUdp21-y2cPbobDbMjr09BbtdKROZWc/edit#gid=1444865654"",""articles_with_PRISMA_reasons!B2:B2113"")),F1892
=""Include"",FILTER(IMPORTRAN"&amp;"GE(""https://docs.google.com/spreadsheets/d/1kGrh75X1cNR1D7_FcY9zMnHP8iPO4M5RCRjy6nZY0TY/edit#gid=0"",""Table 1: Study characteristics!A4:A171""), $A1892=IMPORTRANGE(""https://docs.google.com/spreadsheets/d/1kGrh75X1cNR1D7_FcY9zMnHP8iPO4M5RCRjy6nZY0TY/edi"&amp;"t#gid=0"",""Table 1: Study characteristics!B4:B171""))
)"),"Duplicate")</f>
        <v>Duplicate</v>
      </c>
    </row>
    <row r="1893">
      <c r="A1893" s="4" t="str">
        <f>IFERROR(__xludf.DUMMYFUNCTION("""COMPUTED_VALUE"""),"The endocrine control of growth for patients with myelomeningocele")</f>
        <v>The endocrine control of growth for patients with myelomeningocele</v>
      </c>
      <c r="B1893" s="5" t="str">
        <f>IFERROR(__xludf.DUMMYFUNCTION("LEFT(FILTER(IMPORTRANGE(""https://docs.google.com/spreadsheets/d/1BJSV3WBYJGRhQ6zExamkszQ5VutGIcaQqmbD9ZTVXMQ/edit#gid=1251630045"",""articles_with_PRISMA_reasons!K2:K2113""), $A1893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$A1893=IMPORTRANGE(""https://docs.google.com/spreadsheets/d/1BJSV3WBYJGRhQ6zExamkszQ5VutGIcaQqmbD9ZTVXMQ/edit#gid=1251630045"",""articles_with_PRISMA_reasons!B2:B2113"")))-1)"),"Reigel")</f>
        <v>Reigel</v>
      </c>
      <c r="C1893" s="6">
        <f>IFERROR(__xludf.DUMMYFUNCTION("FILTER(IMPORTRANGE(""https://docs.google.com/spreadsheets/d/1BJSV3WBYJGRhQ6zExamkszQ5VutGIcaQqmbD9ZTVXMQ/edit#gid=1251630045"",""articles_with_PRISMA_reasons!C2:C2113""), $A1893=IMPORTRANGE(""https://docs.google.com/spreadsheets/d/1BJSV3WBYJGRhQ6zExamkszQ"&amp;"5VutGIcaQqmbD9ZTVXMQ/edit#gid=1251630045"",""articles_with_PRISMA_reasons!B2:B2113""))"),1998.0)</f>
        <v>1998</v>
      </c>
      <c r="D1893" s="5" t="str">
        <f>IFERROR(__xludf.DUMMYFUNCTION("IFS(AND(
FILTER(IMPORTRANGE(""https://docs.google.com/spreadsheets/d/1BJSV3WBYJGRhQ6zExamkszQ5VutGIcaQqmbD9ZTVXMQ/edit#gid=1251630045"",""articles_with_PRISMA_reasons!Y2:Y2113""), $A1893=IMPORTRANGE(""https://docs.google.com/spreadsheets/d/1BJSV3WBYJGRhQ6"&amp;"zExamkszQ5VutGIcaQqmbD9ZTVXMQ/edit#gid=1251630045"",""articles_with_PRISMA_reasons!B2:B2113""))&gt;=2,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$A1893=IMPORTRANGE(""https://docs.google.com/spreadsheets/d/1BJSV3WBYJGRhQ6zExamkszQ5VutGIcaQqmbD9ZTVXMQ/edit#gid=1251630045"",""articles_with_PRISMA_reasons!B2:B2113""))&lt;2),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$A1893=IMPORTRANGE(""https://docs.google.com/spreadsheets/d/1BJSV3WBYJGRhQ6zExamkszQ5VutGIcaQqmbD9ZTVXMQ/edit#gid=1251630045"",""a"&amp;"rticles_with_PRISMA_reasons!B2:B2113""))&lt;2,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$A1893=IMPORTRANGE(""https://docs.google"&amp;".com/spreadsheets/d/1BJSV3WBYJGRhQ6zExamkszQ5VutGIcaQqmbD9ZTVXMQ/edit#gid=1251630045"",""articles_with_PRISMA_reasons!B2:B2113""))&gt;=2),
""Exclude""
)"),"Exclude")</f>
        <v>Exclude</v>
      </c>
      <c r="E1893" s="5" t="str">
        <f>IFERROR(__xludf.DUMMYFUNCTION("IFS(
D1893=""Exclude"",""Exclude"",
AND(
FILTER(IMPORTRANGE(""https://docs.google.com/spreadsheets/d/1qpEmbGH0JjaJbUdp21-y2cPbobDbMjr09BbtdKROZWc/edit#gid=1444865654"",""articles_with_PRISMA_reasons!W2:W2113""), $A1893=IMPORTRANGE(""https://docs.google.co"&amp;"m/spreadsheets/d/1qpEmbGH0JjaJbUdp21-y2cPbobDbMjr09BbtdKROZWc/edit#gid=1444865654"",""articles_with_PRISMA_reasons!B2:B2113""))&gt;=2,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$A1893=IMPORTRANGE(""https://docs.google.com/spreadsheets/d/1qpEmbGH0JjaJbUdp21-y2cPbobDbMjr09BbtdKROZWc/edit#gid=1444865654"",""articles_with_PRISMA_reasons!B2:B2113""))&lt;2),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$A1893=IMPORTRANGE(""https://docs.google.com/spreadsheets/d/1qpEmbGH0JjaJbUdp21-y2cPbobDbMjr09Bbtd"&amp;"KROZWc/edit#gid=1444865654"",""articles_with_PRISMA_reasons!B2:B2113""))&lt;2,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$A1893=I"&amp;"MPORTRANGE(""https://docs.google.com/spreadsheets/d/1qpEmbGH0JjaJbUdp21-y2cPbobDbMjr09BbtdKROZWc/edit#gid=1444865654"",""articles_with_PRISMA_reasons!B2:B2113""))&gt;=2),
""Exclude""
)"),"Exclude")</f>
        <v>Exclude</v>
      </c>
      <c r="F1893" s="5" t="str">
        <f>IFERROR(__xludf.DUMMYFUNCTION("IFS(
E1893=""Exclude"",""Exclude"",
AND(
COUNTIF(
IMPORTRANGE(""https://docs.google.com/spreadsheets/d/1kGrh75X1cNR1D7_FcY9zMnHP8iPO4M5RCRjy6nZY0TY/edit#gid=0"",""Table 1: Study characteristics!B4:B171""),A1893)&gt;0,
COUNTIF(Studies!$A$2:$A$85,FILTER(IMPORT"&amp;"RANGE(""https://docs.google.com/spreadsheets/d/1kGrh75X1cNR1D7_FcY9zMnHP8iPO4M5RCRjy6nZY0TY/edit#gid=0"",""Table 1: Study characteristics!A4:A171""), $A1893=IMPORTRANGE(""https://docs.google.com/spreadsheets/d/1kGrh75X1cNR1D7_FcY9zMnHP8iPO4M5RCRjy6nZY0TY/"&amp;"edit#gid=0"",""Table 1: Study characteristics!B4:B171"")))&gt;0
),
""Include""
)"),"Exclude")</f>
        <v>Exclude</v>
      </c>
      <c r="G1893" s="5" t="str">
        <f>IFERROR(__xludf.DUMMYFUNCTION("IFS(
D1893=""Exclude"",
FILTER(IMPORTRANGE(""https://docs.google.com/spreadsheets/d/1BJSV3WBYJGRhQ6zExamkszQ5VutGIcaQqmbD9ZTVXMQ/edit#gid=1251630045"",""articles_with_PRISMA_reasons!AB2:AB2113""), $A1893=IMPORTRANGE(""https://docs.google.com/spreadsheets/"&amp;"d/1BJSV3WBYJGRhQ6zExamkszQ5VutGIcaQqmbD9ZTVXMQ/edit#gid=1251630045"",""articles_with_PRISMA_reasons!B2:B2113"")),
E1893=""Exclude"",
FILTER(IMPORTRANGE(""https://docs.google.com/spreadsheets/d/1qpEmbGH0JjaJbUdp21-y2cPbobDbMjr09BbtdKROZWc/edit#gid=14448656"&amp;"54"",""articles_with_PRISMA_reasons!Z2:Z2113""), $A1893=IMPORTRANGE(""https://docs.google.com/spreadsheets/d/1qpEmbGH0JjaJbUdp21-y2cPbobDbMjr09BbtdKROZWc/edit#gid=1444865654"",""articles_with_PRISMA_reasons!B2:B2113"")),F1893
=""Include"",FILTER(IMPORTRAN"&amp;"GE(""https://docs.google.com/spreadsheets/d/1kGrh75X1cNR1D7_FcY9zMnHP8iPO4M5RCRjy6nZY0TY/edit#gid=0"",""Table 1: Study characteristics!A4:A171""), $A1893=IMPORTRANGE(""https://docs.google.com/spreadsheets/d/1kGrh75X1cNR1D7_FcY9zMnHP8iPO4M5RCRjy6nZY0TY/edi"&amp;"t#gid=0"",""Table 1: Study characteristics!B4:B171""))
)"),"wrong population")</f>
        <v>wrong population</v>
      </c>
    </row>
    <row r="1894">
      <c r="A1894" s="4" t="str">
        <f>IFERROR(__xludf.DUMMYFUNCTION("""COMPUTED_VALUE"""),"The false fontanel")</f>
        <v>The false fontanel</v>
      </c>
      <c r="B1894" s="5" t="str">
        <f>IFERROR(__xludf.DUMMYFUNCTION("LEFT(FILTER(IMPORTRANGE(""https://docs.google.com/spreadsheets/d/1BJSV3WBYJGRhQ6zExamkszQ5VutGIcaQqmbD9ZTVXMQ/edit#gid=1251630045"",""articles_with_PRISMA_reasons!K2:K2113""), $A1894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$A1894=IMPORTRANGE(""https://docs.google.com/spreadsheets/d/1BJSV3WBYJGRhQ6zExamkszQ5VutGIcaQqmbD9ZTVXMQ/edit#gid=1251630045"",""articles_with_PRISMA_reasons!B2:B2113"")))-1)"),"Harbaugh")</f>
        <v>Harbaugh</v>
      </c>
      <c r="C1894" s="6">
        <f>IFERROR(__xludf.DUMMYFUNCTION("FILTER(IMPORTRANGE(""https://docs.google.com/spreadsheets/d/1BJSV3WBYJGRhQ6zExamkszQ5VutGIcaQqmbD9ZTVXMQ/edit#gid=1251630045"",""articles_with_PRISMA_reasons!C2:C2113""), $A1894=IMPORTRANGE(""https://docs.google.com/spreadsheets/d/1BJSV3WBYJGRhQ6zExamkszQ"&amp;"5VutGIcaQqmbD9ZTVXMQ/edit#gid=1251630045"",""articles_with_PRISMA_reasons!B2:B2113""))"),1984.0)</f>
        <v>1984</v>
      </c>
      <c r="D1894" s="5" t="str">
        <f>IFERROR(__xludf.DUMMYFUNCTION("IFS(AND(
FILTER(IMPORTRANGE(""https://docs.google.com/spreadsheets/d/1BJSV3WBYJGRhQ6zExamkszQ5VutGIcaQqmbD9ZTVXMQ/edit#gid=1251630045"",""articles_with_PRISMA_reasons!Y2:Y2113""), $A1894=IMPORTRANGE(""https://docs.google.com/spreadsheets/d/1BJSV3WBYJGRhQ6"&amp;"zExamkszQ5VutGIcaQqmbD9ZTVXMQ/edit#gid=1251630045"",""articles_with_PRISMA_reasons!B2:B2113""))&gt;=2,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$A1894=IMPORTRANGE(""https://docs.google.com/spreadsheets/d/1BJSV3WBYJGRhQ6zExamkszQ5VutGIcaQqmbD9ZTVXMQ/edit#gid=1251630045"",""articles_with_PRISMA_reasons!B2:B2113""))&lt;2),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$A1894=IMPORTRANGE(""https://docs.google.com/spreadsheets/d/1BJSV3WBYJGRhQ6zExamkszQ5VutGIcaQqmbD9ZTVXMQ/edit#gid=1251630045"",""a"&amp;"rticles_with_PRISMA_reasons!B2:B2113""))&lt;2,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$A1894=IMPORTRANGE(""https://docs.google"&amp;".com/spreadsheets/d/1BJSV3WBYJGRhQ6zExamkszQ5VutGIcaQqmbD9ZTVXMQ/edit#gid=1251630045"",""articles_with_PRISMA_reasons!B2:B2113""))&gt;=2),
""Exclude""
)"),"Exclude")</f>
        <v>Exclude</v>
      </c>
      <c r="E1894" s="5" t="str">
        <f>IFERROR(__xludf.DUMMYFUNCTION("IFS(
D1894=""Exclude"",""Exclude"",
AND(
FILTER(IMPORTRANGE(""https://docs.google.com/spreadsheets/d/1qpEmbGH0JjaJbUdp21-y2cPbobDbMjr09BbtdKROZWc/edit#gid=1444865654"",""articles_with_PRISMA_reasons!W2:W2113""), $A1894=IMPORTRANGE(""https://docs.google.co"&amp;"m/spreadsheets/d/1qpEmbGH0JjaJbUdp21-y2cPbobDbMjr09BbtdKROZWc/edit#gid=1444865654"",""articles_with_PRISMA_reasons!B2:B2113""))&gt;=2,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$A1894=IMPORTRANGE(""https://docs.google.com/spreadsheets/d/1qpEmbGH0JjaJbUdp21-y2cPbobDbMjr09BbtdKROZWc/edit#gid=1444865654"",""articles_with_PRISMA_reasons!B2:B2113""))&lt;2),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$A1894=IMPORTRANGE(""https://docs.google.com/spreadsheets/d/1qpEmbGH0JjaJbUdp21-y2cPbobDbMjr09Bbtd"&amp;"KROZWc/edit#gid=1444865654"",""articles_with_PRISMA_reasons!B2:B2113""))&lt;2,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$A1894=I"&amp;"MPORTRANGE(""https://docs.google.com/spreadsheets/d/1qpEmbGH0JjaJbUdp21-y2cPbobDbMjr09BbtdKROZWc/edit#gid=1444865654"",""articles_with_PRISMA_reasons!B2:B2113""))&gt;=2),
""Exclude""
)"),"Exclude")</f>
        <v>Exclude</v>
      </c>
      <c r="F1894" s="5" t="str">
        <f>IFERROR(__xludf.DUMMYFUNCTION("IFS(
E1894=""Exclude"",""Exclude"",
AND(
COUNTIF(
IMPORTRANGE(""https://docs.google.com/spreadsheets/d/1kGrh75X1cNR1D7_FcY9zMnHP8iPO4M5RCRjy6nZY0TY/edit#gid=0"",""Table 1: Study characteristics!B4:B171""),A1894)&gt;0,
COUNTIF(Studies!$A$2:$A$85,FILTER(IMPORT"&amp;"RANGE(""https://docs.google.com/spreadsheets/d/1kGrh75X1cNR1D7_FcY9zMnHP8iPO4M5RCRjy6nZY0TY/edit#gid=0"",""Table 1: Study characteristics!A4:A171""), $A1894=IMPORTRANGE(""https://docs.google.com/spreadsheets/d/1kGrh75X1cNR1D7_FcY9zMnHP8iPO4M5RCRjy6nZY0TY/"&amp;"edit#gid=0"",""Table 1: Study characteristics!B4:B171"")))&gt;0
),
""Include""
)"),"Exclude")</f>
        <v>Exclude</v>
      </c>
      <c r="G1894" s="5" t="str">
        <f>IFERROR(__xludf.DUMMYFUNCTION("IFS(
D1894=""Exclude"",
FILTER(IMPORTRANGE(""https://docs.google.com/spreadsheets/d/1BJSV3WBYJGRhQ6zExamkszQ5VutGIcaQqmbD9ZTVXMQ/edit#gid=1251630045"",""articles_with_PRISMA_reasons!AB2:AB2113""), $A1894=IMPORTRANGE(""https://docs.google.com/spreadsheets/"&amp;"d/1BJSV3WBYJGRhQ6zExamkszQ5VutGIcaQqmbD9ZTVXMQ/edit#gid=1251630045"",""articles_with_PRISMA_reasons!B2:B2113"")),
E1894=""Exclude"",
FILTER(IMPORTRANGE(""https://docs.google.com/spreadsheets/d/1qpEmbGH0JjaJbUdp21-y2cPbobDbMjr09BbtdKROZWc/edit#gid=14448656"&amp;"54"",""articles_with_PRISMA_reasons!Z2:Z2113""), $A1894=IMPORTRANGE(""https://docs.google.com/spreadsheets/d/1qpEmbGH0JjaJbUdp21-y2cPbobDbMjr09BbtdKROZWc/edit#gid=1444865654"",""articles_with_PRISMA_reasons!B2:B2113"")),F1894
=""Include"",FILTER(IMPORTRAN"&amp;"GE(""https://docs.google.com/spreadsheets/d/1kGrh75X1cNR1D7_FcY9zMnHP8iPO4M5RCRjy6nZY0TY/edit#gid=0"",""Table 1: Study characteristics!A4:A171""), $A1894=IMPORTRANGE(""https://docs.google.com/spreadsheets/d/1kGrh75X1cNR1D7_FcY9zMnHP8iPO4M5RCRjy6nZY0TY/edi"&amp;"t#gid=0"",""Table 1: Study characteristics!B4:B171""))
)"),"wrong study design")</f>
        <v>wrong study design</v>
      </c>
    </row>
    <row r="1895">
      <c r="A1895" s="4" t="str">
        <f>IFERROR(__xludf.DUMMYFUNCTION("""COMPUTED_VALUE"""),"The family history of uncomplicated congenital hydrocephalus: an epidemiological study based on 270 probands")</f>
        <v>The family history of uncomplicated congenital hydrocephalus: an epidemiological study based on 270 probands</v>
      </c>
      <c r="B1895" s="5" t="str">
        <f>IFERROR(__xludf.DUMMYFUNCTION("LEFT(FILTER(IMPORTRANGE(""https://docs.google.com/spreadsheets/d/1BJSV3WBYJGRhQ6zExamkszQ5VutGIcaQqmbD9ZTVXMQ/edit#gid=1251630045"",""articles_with_PRISMA_reasons!K2:K2113""), $A1895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$A1895=IMPORTRANGE(""https://docs.google.com/spreadsheets/d/1BJSV3WBYJGRhQ6zExamkszQ5VutGIcaQqmbD9ZTVXMQ/edit#gid=1251630045"",""articles_with_PRISMA_reasons!B2:B2113"")))-1)"),"Lorber")</f>
        <v>Lorber</v>
      </c>
      <c r="C1895" s="6">
        <f>IFERROR(__xludf.DUMMYFUNCTION("FILTER(IMPORTRANGE(""https://docs.google.com/spreadsheets/d/1BJSV3WBYJGRhQ6zExamkszQ5VutGIcaQqmbD9ZTVXMQ/edit#gid=1251630045"",""articles_with_PRISMA_reasons!C2:C2113""), $A1895=IMPORTRANGE(""https://docs.google.com/spreadsheets/d/1BJSV3WBYJGRhQ6zExamkszQ"&amp;"5VutGIcaQqmbD9ZTVXMQ/edit#gid=1251630045"",""articles_with_PRISMA_reasons!B2:B2113""))"),1984.0)</f>
        <v>1984</v>
      </c>
      <c r="D1895" s="5" t="str">
        <f>IFERROR(__xludf.DUMMYFUNCTION("IFS(AND(
FILTER(IMPORTRANGE(""https://docs.google.com/spreadsheets/d/1BJSV3WBYJGRhQ6zExamkszQ5VutGIcaQqmbD9ZTVXMQ/edit#gid=1251630045"",""articles_with_PRISMA_reasons!Y2:Y2113""), $A1895=IMPORTRANGE(""https://docs.google.com/spreadsheets/d/1BJSV3WBYJGRhQ6"&amp;"zExamkszQ5VutGIcaQqmbD9ZTVXMQ/edit#gid=1251630045"",""articles_with_PRISMA_reasons!B2:B2113""))&gt;=2,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$A1895=IMPORTRANGE(""https://docs.google.com/spreadsheets/d/1BJSV3WBYJGRhQ6zExamkszQ5VutGIcaQqmbD9ZTVXMQ/edit#gid=1251630045"",""articles_with_PRISMA_reasons!B2:B2113""))&lt;2),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$A1895=IMPORTRANGE(""https://docs.google.com/spreadsheets/d/1BJSV3WBYJGRhQ6zExamkszQ5VutGIcaQqmbD9ZTVXMQ/edit#gid=1251630045"",""a"&amp;"rticles_with_PRISMA_reasons!B2:B2113""))&lt;2,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$A1895=IMPORTRANGE(""https://docs.google"&amp;".com/spreadsheets/d/1BJSV3WBYJGRhQ6zExamkszQ5VutGIcaQqmbD9ZTVXMQ/edit#gid=1251630045"",""articles_with_PRISMA_reasons!B2:B2113""))&gt;=2),
""Exclude""
)"),"Exclude")</f>
        <v>Exclude</v>
      </c>
      <c r="E1895" s="5" t="str">
        <f>IFERROR(__xludf.DUMMYFUNCTION("IFS(
D1895=""Exclude"",""Exclude"",
AND(
FILTER(IMPORTRANGE(""https://docs.google.com/spreadsheets/d/1qpEmbGH0JjaJbUdp21-y2cPbobDbMjr09BbtdKROZWc/edit#gid=1444865654"",""articles_with_PRISMA_reasons!W2:W2113""), $A1895=IMPORTRANGE(""https://docs.google.co"&amp;"m/spreadsheets/d/1qpEmbGH0JjaJbUdp21-y2cPbobDbMjr09BbtdKROZWc/edit#gid=1444865654"",""articles_with_PRISMA_reasons!B2:B2113""))&gt;=2,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$A1895=IMPORTRANGE(""https://docs.google.com/spreadsheets/d/1qpEmbGH0JjaJbUdp21-y2cPbobDbMjr09BbtdKROZWc/edit#gid=1444865654"",""articles_with_PRISMA_reasons!B2:B2113""))&lt;2),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$A1895=IMPORTRANGE(""https://docs.google.com/spreadsheets/d/1qpEmbGH0JjaJbUdp21-y2cPbobDbMjr09Bbtd"&amp;"KROZWc/edit#gid=1444865654"",""articles_with_PRISMA_reasons!B2:B2113""))&lt;2,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$A1895=I"&amp;"MPORTRANGE(""https://docs.google.com/spreadsheets/d/1qpEmbGH0JjaJbUdp21-y2cPbobDbMjr09BbtdKROZWc/edit#gid=1444865654"",""articles_with_PRISMA_reasons!B2:B2113""))&gt;=2),
""Exclude""
)"),"Exclude")</f>
        <v>Exclude</v>
      </c>
      <c r="F1895" s="5" t="str">
        <f>IFERROR(__xludf.DUMMYFUNCTION("IFS(
E1895=""Exclude"",""Exclude"",
AND(
COUNTIF(
IMPORTRANGE(""https://docs.google.com/spreadsheets/d/1kGrh75X1cNR1D7_FcY9zMnHP8iPO4M5RCRjy6nZY0TY/edit#gid=0"",""Table 1: Study characteristics!B4:B171""),A1895)&gt;0,
COUNTIF(Studies!$A$2:$A$85,FILTER(IMPORT"&amp;"RANGE(""https://docs.google.com/spreadsheets/d/1kGrh75X1cNR1D7_FcY9zMnHP8iPO4M5RCRjy6nZY0TY/edit#gid=0"",""Table 1: Study characteristics!A4:A171""), $A1895=IMPORTRANGE(""https://docs.google.com/spreadsheets/d/1kGrh75X1cNR1D7_FcY9zMnHP8iPO4M5RCRjy6nZY0TY/"&amp;"edit#gid=0"",""Table 1: Study characteristics!B4:B171"")))&gt;0
),
""Include""
)"),"Exclude")</f>
        <v>Exclude</v>
      </c>
      <c r="G1895" s="5" t="str">
        <f>IFERROR(__xludf.DUMMYFUNCTION("IFS(
D1895=""Exclude"",
FILTER(IMPORTRANGE(""https://docs.google.com/spreadsheets/d/1BJSV3WBYJGRhQ6zExamkszQ5VutGIcaQqmbD9ZTVXMQ/edit#gid=1251630045"",""articles_with_PRISMA_reasons!AB2:AB2113""), $A1895=IMPORTRANGE(""https://docs.google.com/spreadsheets/"&amp;"d/1BJSV3WBYJGRhQ6zExamkszQ5VutGIcaQqmbD9ZTVXMQ/edit#gid=1251630045"",""articles_with_PRISMA_reasons!B2:B2113"")),
E1895=""Exclude"",
FILTER(IMPORTRANGE(""https://docs.google.com/spreadsheets/d/1qpEmbGH0JjaJbUdp21-y2cPbobDbMjr09BbtdKROZWc/edit#gid=14448656"&amp;"54"",""articles_with_PRISMA_reasons!Z2:Z2113""), $A1895=IMPORTRANGE(""https://docs.google.com/spreadsheets/d/1qpEmbGH0JjaJbUdp21-y2cPbobDbMjr09BbtdKROZWc/edit#gid=1444865654"",""articles_with_PRISMA_reasons!B2:B2113"")),F1895
=""Include"",FILTER(IMPORTRAN"&amp;"GE(""https://docs.google.com/spreadsheets/d/1kGrh75X1cNR1D7_FcY9zMnHP8iPO4M5RCRjy6nZY0TY/edit#gid=0"",""Table 1: Study characteristics!A4:A171""), $A1895=IMPORTRANGE(""https://docs.google.com/spreadsheets/d/1kGrh75X1cNR1D7_FcY9zMnHP8iPO4M5RCRjy6nZY0TY/edi"&amp;"t#gid=0"",""Table 1: Study characteristics!B4:B171""))
)"),"wrong population")</f>
        <v>wrong population</v>
      </c>
    </row>
    <row r="1896">
      <c r="A1896" s="4" t="str">
        <f>IFERROR(__xludf.DUMMYFUNCTION("""COMPUTED_VALUE"""),"The first posterior fossa decompression for Chiari malformation: The contributions of Cornelis Joachimus van Houweninge Graftdijk and a review of the infancy of ""chiari decompression""")</f>
        <v>The first posterior fossa decompression for Chiari malformation: The contributions of Cornelis Joachimus van Houweninge Graftdijk and a review of the infancy of "chiari decompression"</v>
      </c>
      <c r="B1896" s="5" t="str">
        <f>IFERROR(__xludf.DUMMYFUNCTION("LEFT(FILTER(IMPORTRANGE(""https://docs.google.com/spreadsheets/d/1BJSV3WBYJGRhQ6zExamkszQ5VutGIcaQqmbD9ZTVXMQ/edit#gid=1251630045"",""articles_with_PRISMA_reasons!K2:K2113""), $A1896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$A1896=IMPORTRANGE(""https://docs.google.com/spreadsheets/d/1BJSV3WBYJGRhQ6zExamkszQ5VutGIcaQqmbD9ZTVXMQ/edit#gid=1251630045"",""articles_with_PRISMA_reasons!B2:B2113"")))-1)"),"Mortazavi")</f>
        <v>Mortazavi</v>
      </c>
      <c r="C1896" s="6">
        <f>IFERROR(__xludf.DUMMYFUNCTION("FILTER(IMPORTRANGE(""https://docs.google.com/spreadsheets/d/1BJSV3WBYJGRhQ6zExamkszQ5VutGIcaQqmbD9ZTVXMQ/edit#gid=1251630045"",""articles_with_PRISMA_reasons!C2:C2113""), $A1896=IMPORTRANGE(""https://docs.google.com/spreadsheets/d/1BJSV3WBYJGRhQ6zExamkszQ"&amp;"5VutGIcaQqmbD9ZTVXMQ/edit#gid=1251630045"",""articles_with_PRISMA_reasons!B2:B2113""))"),2011.0)</f>
        <v>2011</v>
      </c>
      <c r="D1896" s="5" t="str">
        <f>IFERROR(__xludf.DUMMYFUNCTION("IFS(AND(
FILTER(IMPORTRANGE(""https://docs.google.com/spreadsheets/d/1BJSV3WBYJGRhQ6zExamkszQ5VutGIcaQqmbD9ZTVXMQ/edit#gid=1251630045"",""articles_with_PRISMA_reasons!Y2:Y2113""), $A1896=IMPORTRANGE(""https://docs.google.com/spreadsheets/d/1BJSV3WBYJGRhQ6"&amp;"zExamkszQ5VutGIcaQqmbD9ZTVXMQ/edit#gid=1251630045"",""articles_with_PRISMA_reasons!B2:B2113""))&gt;=2,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$A1896=IMPORTRANGE(""https://docs.google.com/spreadsheets/d/1BJSV3WBYJGRhQ6zExamkszQ5VutGIcaQqmbD9ZTVXMQ/edit#gid=1251630045"",""articles_with_PRISMA_reasons!B2:B2113""))&lt;2),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$A1896=IMPORTRANGE(""https://docs.google.com/spreadsheets/d/1BJSV3WBYJGRhQ6zExamkszQ5VutGIcaQqmbD9ZTVXMQ/edit#gid=1251630045"",""a"&amp;"rticles_with_PRISMA_reasons!B2:B2113""))&lt;2,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$A1896=IMPORTRANGE(""https://docs.google"&amp;".com/spreadsheets/d/1BJSV3WBYJGRhQ6zExamkszQ5VutGIcaQqmbD9ZTVXMQ/edit#gid=1251630045"",""articles_with_PRISMA_reasons!B2:B2113""))&gt;=2),
""Exclude""
)"),"Exclude")</f>
        <v>Exclude</v>
      </c>
      <c r="E1896" s="5" t="str">
        <f>IFERROR(__xludf.DUMMYFUNCTION("IFS(
D1896=""Exclude"",""Exclude"",
AND(
FILTER(IMPORTRANGE(""https://docs.google.com/spreadsheets/d/1qpEmbGH0JjaJbUdp21-y2cPbobDbMjr09BbtdKROZWc/edit#gid=1444865654"",""articles_with_PRISMA_reasons!W2:W2113""), $A1896=IMPORTRANGE(""https://docs.google.co"&amp;"m/spreadsheets/d/1qpEmbGH0JjaJbUdp21-y2cPbobDbMjr09BbtdKROZWc/edit#gid=1444865654"",""articles_with_PRISMA_reasons!B2:B2113""))&gt;=2,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$A1896=IMPORTRANGE(""https://docs.google.com/spreadsheets/d/1qpEmbGH0JjaJbUdp21-y2cPbobDbMjr09BbtdKROZWc/edit#gid=1444865654"",""articles_with_PRISMA_reasons!B2:B2113""))&lt;2),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$A1896=IMPORTRANGE(""https://docs.google.com/spreadsheets/d/1qpEmbGH0JjaJbUdp21-y2cPbobDbMjr09Bbtd"&amp;"KROZWc/edit#gid=1444865654"",""articles_with_PRISMA_reasons!B2:B2113""))&lt;2,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$A1896=I"&amp;"MPORTRANGE(""https://docs.google.com/spreadsheets/d/1qpEmbGH0JjaJbUdp21-y2cPbobDbMjr09BbtdKROZWc/edit#gid=1444865654"",""articles_with_PRISMA_reasons!B2:B2113""))&gt;=2),
""Exclude""
)"),"Exclude")</f>
        <v>Exclude</v>
      </c>
      <c r="F1896" s="5" t="str">
        <f>IFERROR(__xludf.DUMMYFUNCTION("IFS(
E1896=""Exclude"",""Exclude"",
AND(
COUNTIF(
IMPORTRANGE(""https://docs.google.com/spreadsheets/d/1kGrh75X1cNR1D7_FcY9zMnHP8iPO4M5RCRjy6nZY0TY/edit#gid=0"",""Table 1: Study characteristics!B4:B171""),A1896)&gt;0,
COUNTIF(Studies!$A$2:$A$85,FILTER(IMPORT"&amp;"RANGE(""https://docs.google.com/spreadsheets/d/1kGrh75X1cNR1D7_FcY9zMnHP8iPO4M5RCRjy6nZY0TY/edit#gid=0"",""Table 1: Study characteristics!A4:A171""), $A1896=IMPORTRANGE(""https://docs.google.com/spreadsheets/d/1kGrh75X1cNR1D7_FcY9zMnHP8iPO4M5RCRjy6nZY0TY/"&amp;"edit#gid=0"",""Table 1: Study characteristics!B4:B171"")))&gt;0
),
""Include""
)"),"Exclude")</f>
        <v>Exclude</v>
      </c>
      <c r="G1896" s="5" t="str">
        <f>IFERROR(__xludf.DUMMYFUNCTION("IFS(
D1896=""Exclude"",
FILTER(IMPORTRANGE(""https://docs.google.com/spreadsheets/d/1BJSV3WBYJGRhQ6zExamkszQ5VutGIcaQqmbD9ZTVXMQ/edit#gid=1251630045"",""articles_with_PRISMA_reasons!AB2:AB2113""), $A1896=IMPORTRANGE(""https://docs.google.com/spreadsheets/"&amp;"d/1BJSV3WBYJGRhQ6zExamkszQ5VutGIcaQqmbD9ZTVXMQ/edit#gid=1251630045"",""articles_with_PRISMA_reasons!B2:B2113"")),
E1896=""Exclude"",
FILTER(IMPORTRANGE(""https://docs.google.com/spreadsheets/d/1qpEmbGH0JjaJbUdp21-y2cPbobDbMjr09BbtdKROZWc/edit#gid=14448656"&amp;"54"",""articles_with_PRISMA_reasons!Z2:Z2113""), $A1896=IMPORTRANGE(""https://docs.google.com/spreadsheets/d/1qpEmbGH0JjaJbUdp21-y2cPbobDbMjr09BbtdKROZWc/edit#gid=1444865654"",""articles_with_PRISMA_reasons!B2:B2113"")),F1896
=""Include"",FILTER(IMPORTRAN"&amp;"GE(""https://docs.google.com/spreadsheets/d/1kGrh75X1cNR1D7_FcY9zMnHP8iPO4M5RCRjy6nZY0TY/edit#gid=0"",""Table 1: Study characteristics!A4:A171""), $A1896=IMPORTRANGE(""https://docs.google.com/spreadsheets/d/1kGrh75X1cNR1D7_FcY9zMnHP8iPO4M5RCRjy6nZY0TY/edi"&amp;"t#gid=0"",""Table 1: Study characteristics!B4:B171""))
)"),"wrong study design")</f>
        <v>wrong study design</v>
      </c>
    </row>
    <row r="1897">
      <c r="A1897" s="4" t="str">
        <f>IFERROR(__xludf.DUMMYFUNCTION("""COMPUTED_VALUE"""),"The first year of life of children with myelodysplasia: a multicenter study of 393 cases")</f>
        <v>The first year of life of children with myelodysplasia: a multicenter study of 393 cases</v>
      </c>
      <c r="B1897" s="5" t="str">
        <f>IFERROR(__xludf.DUMMYFUNCTION("LEFT(FILTER(IMPORTRANGE(""https://docs.google.com/spreadsheets/d/1BJSV3WBYJGRhQ6zExamkszQ5VutGIcaQqmbD9ZTVXMQ/edit#gid=1251630045"",""articles_with_PRISMA_reasons!K2:K2113""), $A1897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$A1897=IMPORTRANGE(""https://docs.google.com/spreadsheets/d/1BJSV3WBYJGRhQ6zExamkszQ5VutGIcaQqmbD9ZTVXMQ/edit#gid=1251630045"",""articles_with_PRISMA_reasons!B2:B2113"")))-1)"),"Garcia Merida")</f>
        <v>Garcia Merida</v>
      </c>
      <c r="C1897" s="6">
        <f>IFERROR(__xludf.DUMMYFUNCTION("FILTER(IMPORTRANGE(""https://docs.google.com/spreadsheets/d/1BJSV3WBYJGRhQ6zExamkszQ5VutGIcaQqmbD9ZTVXMQ/edit#gid=1251630045"",""articles_with_PRISMA_reasons!C2:C2113""), $A1897=IMPORTRANGE(""https://docs.google.com/spreadsheets/d/1BJSV3WBYJGRhQ6zExamkszQ"&amp;"5VutGIcaQqmbD9ZTVXMQ/edit#gid=1251630045"",""articles_with_PRISMA_reasons!B2:B2113""))"),1996.0)</f>
        <v>1996</v>
      </c>
      <c r="D1897" s="5" t="str">
        <f>IFERROR(__xludf.DUMMYFUNCTION("IFS(AND(
FILTER(IMPORTRANGE(""https://docs.google.com/spreadsheets/d/1BJSV3WBYJGRhQ6zExamkszQ5VutGIcaQqmbD9ZTVXMQ/edit#gid=1251630045"",""articles_with_PRISMA_reasons!Y2:Y2113""), $A1897=IMPORTRANGE(""https://docs.google.com/spreadsheets/d/1BJSV3WBYJGRhQ6"&amp;"zExamkszQ5VutGIcaQqmbD9ZTVXMQ/edit#gid=1251630045"",""articles_with_PRISMA_reasons!B2:B2113""))&gt;=2,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$A1897=IMPORTRANGE(""https://docs.google.com/spreadsheets/d/1BJSV3WBYJGRhQ6zExamkszQ5VutGIcaQqmbD9ZTVXMQ/edit#gid=1251630045"",""articles_with_PRISMA_reasons!B2:B2113""))&lt;2),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$A1897=IMPORTRANGE(""https://docs.google.com/spreadsheets/d/1BJSV3WBYJGRhQ6zExamkszQ5VutGIcaQqmbD9ZTVXMQ/edit#gid=1251630045"",""a"&amp;"rticles_with_PRISMA_reasons!B2:B2113""))&lt;2,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$A1897=IMPORTRANGE(""https://docs.google"&amp;".com/spreadsheets/d/1BJSV3WBYJGRhQ6zExamkszQ5VutGIcaQqmbD9ZTVXMQ/edit#gid=1251630045"",""articles_with_PRISMA_reasons!B2:B2113""))&gt;=2),
""Exclude""
)"),"Exclude")</f>
        <v>Exclude</v>
      </c>
      <c r="E1897" s="5" t="str">
        <f>IFERROR(__xludf.DUMMYFUNCTION("IFS(
D1897=""Exclude"",""Exclude"",
AND(
FILTER(IMPORTRANGE(""https://docs.google.com/spreadsheets/d/1qpEmbGH0JjaJbUdp21-y2cPbobDbMjr09BbtdKROZWc/edit#gid=1444865654"",""articles_with_PRISMA_reasons!W2:W2113""), $A1897=IMPORTRANGE(""https://docs.google.co"&amp;"m/spreadsheets/d/1qpEmbGH0JjaJbUdp21-y2cPbobDbMjr09BbtdKROZWc/edit#gid=1444865654"",""articles_with_PRISMA_reasons!B2:B2113""))&gt;=2,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$A1897=IMPORTRANGE(""https://docs.google.com/spreadsheets/d/1qpEmbGH0JjaJbUdp21-y2cPbobDbMjr09BbtdKROZWc/edit#gid=1444865654"",""articles_with_PRISMA_reasons!B2:B2113""))&lt;2),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$A1897=IMPORTRANGE(""https://docs.google.com/spreadsheets/d/1qpEmbGH0JjaJbUdp21-y2cPbobDbMjr09Bbtd"&amp;"KROZWc/edit#gid=1444865654"",""articles_with_PRISMA_reasons!B2:B2113""))&lt;2,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$A1897=I"&amp;"MPORTRANGE(""https://docs.google.com/spreadsheets/d/1qpEmbGH0JjaJbUdp21-y2cPbobDbMjr09BbtdKROZWc/edit#gid=1444865654"",""articles_with_PRISMA_reasons!B2:B2113""))&gt;=2),
""Exclude""
)"),"Exclude")</f>
        <v>Exclude</v>
      </c>
      <c r="F1897" s="5" t="str">
        <f>IFERROR(__xludf.DUMMYFUNCTION("IFS(
E1897=""Exclude"",""Exclude"",
AND(
COUNTIF(
IMPORTRANGE(""https://docs.google.com/spreadsheets/d/1kGrh75X1cNR1D7_FcY9zMnHP8iPO4M5RCRjy6nZY0TY/edit#gid=0"",""Table 1: Study characteristics!B4:B171""),A1897)&gt;0,
COUNTIF(Studies!$A$2:$A$85,FILTER(IMPORT"&amp;"RANGE(""https://docs.google.com/spreadsheets/d/1kGrh75X1cNR1D7_FcY9zMnHP8iPO4M5RCRjy6nZY0TY/edit#gid=0"",""Table 1: Study characteristics!A4:A171""), $A1897=IMPORTRANGE(""https://docs.google.com/spreadsheets/d/1kGrh75X1cNR1D7_FcY9zMnHP8iPO4M5RCRjy6nZY0TY/"&amp;"edit#gid=0"",""Table 1: Study characteristics!B4:B171"")))&gt;0
),
""Include""
)"),"Exclude")</f>
        <v>Exclude</v>
      </c>
      <c r="G1897" s="5" t="str">
        <f>IFERROR(__xludf.DUMMYFUNCTION("IFS(
D1897=""Exclude"",
FILTER(IMPORTRANGE(""https://docs.google.com/spreadsheets/d/1BJSV3WBYJGRhQ6zExamkszQ5VutGIcaQqmbD9ZTVXMQ/edit#gid=1251630045"",""articles_with_PRISMA_reasons!AB2:AB2113""), $A1897=IMPORTRANGE(""https://docs.google.com/spreadsheets/"&amp;"d/1BJSV3WBYJGRhQ6zExamkszQ5VutGIcaQqmbD9ZTVXMQ/edit#gid=1251630045"",""articles_with_PRISMA_reasons!B2:B2113"")),
E1897=""Exclude"",
FILTER(IMPORTRANGE(""https://docs.google.com/spreadsheets/d/1qpEmbGH0JjaJbUdp21-y2cPbobDbMjr09BbtdKROZWc/edit#gid=14448656"&amp;"54"",""articles_with_PRISMA_reasons!Z2:Z2113""), $A1897=IMPORTRANGE(""https://docs.google.com/spreadsheets/d/1qpEmbGH0JjaJbUdp21-y2cPbobDbMjr09BbtdKROZWc/edit#gid=1444865654"",""articles_with_PRISMA_reasons!B2:B2113"")),F1897
=""Include"",FILTER(IMPORTRAN"&amp;"GE(""https://docs.google.com/spreadsheets/d/1kGrh75X1cNR1D7_FcY9zMnHP8iPO4M5RCRjy6nZY0TY/edit#gid=0"",""Table 1: Study characteristics!A4:A171""), $A1897=IMPORTRANGE(""https://docs.google.com/spreadsheets/d/1kGrh75X1cNR1D7_FcY9zMnHP8iPO4M5RCRjy6nZY0TY/edi"&amp;"t#gid=0"",""Table 1: Study characteristics!B4:B171""))
)"),"wrong population")</f>
        <v>wrong population</v>
      </c>
    </row>
    <row r="1898">
      <c r="A1898" s="4" t="str">
        <f>IFERROR(__xludf.DUMMYFUNCTION("""COMPUTED_VALUE"""),"The Fundamentals of Fetal MR Imaging: Part 1")</f>
        <v>The Fundamentals of Fetal MR Imaging: Part 1</v>
      </c>
      <c r="B1898" s="5" t="str">
        <f>IFERROR(__xludf.DUMMYFUNCTION("LEFT(FILTER(IMPORTRANGE(""https://docs.google.com/spreadsheets/d/1BJSV3WBYJGRhQ6zExamkszQ5VutGIcaQqmbD9ZTVXMQ/edit#gid=1251630045"",""articles_with_PRISMA_reasons!K2:K2113""), $A1898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$A1898=IMPORTRANGE(""https://docs.google.com/spreadsheets/d/1BJSV3WBYJGRhQ6zExamkszQ5VutGIcaQqmbD9ZTVXMQ/edit#gid=1251630045"",""articles_with_PRISMA_reasons!B2:B2113"")))-1)"),"Plunk")</f>
        <v>Plunk</v>
      </c>
      <c r="C1898" s="6">
        <f>IFERROR(__xludf.DUMMYFUNCTION("FILTER(IMPORTRANGE(""https://docs.google.com/spreadsheets/d/1BJSV3WBYJGRhQ6zExamkszQ5VutGIcaQqmbD9ZTVXMQ/edit#gid=1251630045"",""articles_with_PRISMA_reasons!C2:C2113""), $A1898=IMPORTRANGE(""https://docs.google.com/spreadsheets/d/1BJSV3WBYJGRhQ6zExamkszQ"&amp;"5VutGIcaQqmbD9ZTVXMQ/edit#gid=1251630045"",""articles_with_PRISMA_reasons!B2:B2113""))"),2014.0)</f>
        <v>2014</v>
      </c>
      <c r="D1898" s="5" t="str">
        <f>IFERROR(__xludf.DUMMYFUNCTION("IFS(AND(
FILTER(IMPORTRANGE(""https://docs.google.com/spreadsheets/d/1BJSV3WBYJGRhQ6zExamkszQ5VutGIcaQqmbD9ZTVXMQ/edit#gid=1251630045"",""articles_with_PRISMA_reasons!Y2:Y2113""), $A1898=IMPORTRANGE(""https://docs.google.com/spreadsheets/d/1BJSV3WBYJGRhQ6"&amp;"zExamkszQ5VutGIcaQqmbD9ZTVXMQ/edit#gid=1251630045"",""articles_with_PRISMA_reasons!B2:B2113""))&gt;=2,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$A1898=IMPORTRANGE(""https://docs.google.com/spreadsheets/d/1BJSV3WBYJGRhQ6zExamkszQ5VutGIcaQqmbD9ZTVXMQ/edit#gid=1251630045"",""articles_with_PRISMA_reasons!B2:B2113""))&lt;2),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$A1898=IMPORTRANGE(""https://docs.google.com/spreadsheets/d/1BJSV3WBYJGRhQ6zExamkszQ5VutGIcaQqmbD9ZTVXMQ/edit#gid=1251630045"",""a"&amp;"rticles_with_PRISMA_reasons!B2:B2113""))&lt;2,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$A1898=IMPORTRANGE(""https://docs.google"&amp;".com/spreadsheets/d/1BJSV3WBYJGRhQ6zExamkszQ5VutGIcaQqmbD9ZTVXMQ/edit#gid=1251630045"",""articles_with_PRISMA_reasons!B2:B2113""))&gt;=2),
""Exclude""
)"),"Exclude")</f>
        <v>Exclude</v>
      </c>
      <c r="E1898" s="5" t="str">
        <f>IFERROR(__xludf.DUMMYFUNCTION("IFS(
D1898=""Exclude"",""Exclude"",
AND(
FILTER(IMPORTRANGE(""https://docs.google.com/spreadsheets/d/1qpEmbGH0JjaJbUdp21-y2cPbobDbMjr09BbtdKROZWc/edit#gid=1444865654"",""articles_with_PRISMA_reasons!W2:W2113""), $A1898=IMPORTRANGE(""https://docs.google.co"&amp;"m/spreadsheets/d/1qpEmbGH0JjaJbUdp21-y2cPbobDbMjr09BbtdKROZWc/edit#gid=1444865654"",""articles_with_PRISMA_reasons!B2:B2113""))&gt;=2,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$A1898=IMPORTRANGE(""https://docs.google.com/spreadsheets/d/1qpEmbGH0JjaJbUdp21-y2cPbobDbMjr09BbtdKROZWc/edit#gid=1444865654"",""articles_with_PRISMA_reasons!B2:B2113""))&lt;2),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$A1898=IMPORTRANGE(""https://docs.google.com/spreadsheets/d/1qpEmbGH0JjaJbUdp21-y2cPbobDbMjr09Bbtd"&amp;"KROZWc/edit#gid=1444865654"",""articles_with_PRISMA_reasons!B2:B2113""))&lt;2,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$A1898=I"&amp;"MPORTRANGE(""https://docs.google.com/spreadsheets/d/1qpEmbGH0JjaJbUdp21-y2cPbobDbMjr09BbtdKROZWc/edit#gid=1444865654"",""articles_with_PRISMA_reasons!B2:B2113""))&gt;=2),
""Exclude""
)"),"Exclude")</f>
        <v>Exclude</v>
      </c>
      <c r="F1898" s="5" t="str">
        <f>IFERROR(__xludf.DUMMYFUNCTION("IFS(
E1898=""Exclude"",""Exclude"",
AND(
COUNTIF(
IMPORTRANGE(""https://docs.google.com/spreadsheets/d/1kGrh75X1cNR1D7_FcY9zMnHP8iPO4M5RCRjy6nZY0TY/edit#gid=0"",""Table 1: Study characteristics!B4:B171""),A1898)&gt;0,
COUNTIF(Studies!$A$2:$A$85,FILTER(IMPORT"&amp;"RANGE(""https://docs.google.com/spreadsheets/d/1kGrh75X1cNR1D7_FcY9zMnHP8iPO4M5RCRjy6nZY0TY/edit#gid=0"",""Table 1: Study characteristics!A4:A171""), $A1898=IMPORTRANGE(""https://docs.google.com/spreadsheets/d/1kGrh75X1cNR1D7_FcY9zMnHP8iPO4M5RCRjy6nZY0TY/"&amp;"edit#gid=0"",""Table 1: Study characteristics!B4:B171"")))&gt;0
),
""Include""
)"),"Exclude")</f>
        <v>Exclude</v>
      </c>
      <c r="G1898" s="5" t="str">
        <f>IFERROR(__xludf.DUMMYFUNCTION("IFS(
D1898=""Exclude"",
FILTER(IMPORTRANGE(""https://docs.google.com/spreadsheets/d/1BJSV3WBYJGRhQ6zExamkszQ5VutGIcaQqmbD9ZTVXMQ/edit#gid=1251630045"",""articles_with_PRISMA_reasons!AB2:AB2113""), $A1898=IMPORTRANGE(""https://docs.google.com/spreadsheets/"&amp;"d/1BJSV3WBYJGRhQ6zExamkszQ5VutGIcaQqmbD9ZTVXMQ/edit#gid=1251630045"",""articles_with_PRISMA_reasons!B2:B2113"")),
E1898=""Exclude"",
FILTER(IMPORTRANGE(""https://docs.google.com/spreadsheets/d/1qpEmbGH0JjaJbUdp21-y2cPbobDbMjr09BbtdKROZWc/edit#gid=14448656"&amp;"54"",""articles_with_PRISMA_reasons!Z2:Z2113""), $A1898=IMPORTRANGE(""https://docs.google.com/spreadsheets/d/1qpEmbGH0JjaJbUdp21-y2cPbobDbMjr09BbtdKROZWc/edit#gid=1444865654"",""articles_with_PRISMA_reasons!B2:B2113"")),F1898
=""Include"",FILTER(IMPORTRAN"&amp;"GE(""https://docs.google.com/spreadsheets/d/1kGrh75X1cNR1D7_FcY9zMnHP8iPO4M5RCRjy6nZY0TY/edit#gid=0"",""Table 1: Study characteristics!A4:A171""), $A1898=IMPORTRANGE(""https://docs.google.com/spreadsheets/d/1kGrh75X1cNR1D7_FcY9zMnHP8iPO4M5RCRjy6nZY0TY/edi"&amp;"t#gid=0"",""Table 1: Study characteristics!B4:B171""))
)"),"background article")</f>
        <v>background article</v>
      </c>
    </row>
    <row r="1899">
      <c r="A1899" s="4" t="str">
        <f>IFERROR(__xludf.DUMMYFUNCTION("""COMPUTED_VALUE"""),"The handwriting of children with spina bifida")</f>
        <v>The handwriting of children with spina bifida</v>
      </c>
      <c r="B1899" s="5" t="str">
        <f>IFERROR(__xludf.DUMMYFUNCTION("LEFT(FILTER(IMPORTRANGE(""https://docs.google.com/spreadsheets/d/1BJSV3WBYJGRhQ6zExamkszQ5VutGIcaQqmbD9ZTVXMQ/edit#gid=1251630045"",""articles_with_PRISMA_reasons!K2:K2113""), $A1899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$A1899=IMPORTRANGE(""https://docs.google.com/spreadsheets/d/1BJSV3WBYJGRhQ6zExamkszQ5VutGIcaQqmbD9ZTVXMQ/edit#gid=1251630045"",""articles_with_PRISMA_reasons!B2:B2113"")))-1)"),"Pearson")</f>
        <v>Pearson</v>
      </c>
      <c r="C1899" s="6">
        <f>IFERROR(__xludf.DUMMYFUNCTION("FILTER(IMPORTRANGE(""https://docs.google.com/spreadsheets/d/1BJSV3WBYJGRhQ6zExamkszQ5VutGIcaQqmbD9ZTVXMQ/edit#gid=1251630045"",""articles_with_PRISMA_reasons!C2:C2113""), $A1899=IMPORTRANGE(""https://docs.google.com/spreadsheets/d/1BJSV3WBYJGRhQ6zExamkszQ"&amp;"5VutGIcaQqmbD9ZTVXMQ/edit#gid=1251630045"",""articles_with_PRISMA_reasons!B2:B2113""))"),1988.0)</f>
        <v>1988</v>
      </c>
      <c r="D1899" s="5" t="str">
        <f>IFERROR(__xludf.DUMMYFUNCTION("IFS(AND(
FILTER(IMPORTRANGE(""https://docs.google.com/spreadsheets/d/1BJSV3WBYJGRhQ6zExamkszQ5VutGIcaQqmbD9ZTVXMQ/edit#gid=1251630045"",""articles_with_PRISMA_reasons!Y2:Y2113""), $A1899=IMPORTRANGE(""https://docs.google.com/spreadsheets/d/1BJSV3WBYJGRhQ6"&amp;"zExamkszQ5VutGIcaQqmbD9ZTVXMQ/edit#gid=1251630045"",""articles_with_PRISMA_reasons!B2:B2113""))&gt;=2,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$A1899=IMPORTRANGE(""https://docs.google.com/spreadsheets/d/1BJSV3WBYJGRhQ6zExamkszQ5VutGIcaQqmbD9ZTVXMQ/edit#gid=1251630045"",""articles_with_PRISMA_reasons!B2:B2113""))&lt;2),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$A1899=IMPORTRANGE(""https://docs.google.com/spreadsheets/d/1BJSV3WBYJGRhQ6zExamkszQ5VutGIcaQqmbD9ZTVXMQ/edit#gid=1251630045"",""a"&amp;"rticles_with_PRISMA_reasons!B2:B2113""))&lt;2,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$A1899=IMPORTRANGE(""https://docs.google"&amp;".com/spreadsheets/d/1BJSV3WBYJGRhQ6zExamkszQ5VutGIcaQqmbD9ZTVXMQ/edit#gid=1251630045"",""articles_with_PRISMA_reasons!B2:B2113""))&gt;=2),
""Exclude""
)"),"Exclude")</f>
        <v>Exclude</v>
      </c>
      <c r="E1899" s="5" t="str">
        <f>IFERROR(__xludf.DUMMYFUNCTION("IFS(
D1899=""Exclude"",""Exclude"",
AND(
FILTER(IMPORTRANGE(""https://docs.google.com/spreadsheets/d/1qpEmbGH0JjaJbUdp21-y2cPbobDbMjr09BbtdKROZWc/edit#gid=1444865654"",""articles_with_PRISMA_reasons!W2:W2113""), $A1899=IMPORTRANGE(""https://docs.google.co"&amp;"m/spreadsheets/d/1qpEmbGH0JjaJbUdp21-y2cPbobDbMjr09BbtdKROZWc/edit#gid=1444865654"",""articles_with_PRISMA_reasons!B2:B2113""))&gt;=2,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$A1899=IMPORTRANGE(""https://docs.google.com/spreadsheets/d/1qpEmbGH0JjaJbUdp21-y2cPbobDbMjr09BbtdKROZWc/edit#gid=1444865654"",""articles_with_PRISMA_reasons!B2:B2113""))&lt;2),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$A1899=IMPORTRANGE(""https://docs.google.com/spreadsheets/d/1qpEmbGH0JjaJbUdp21-y2cPbobDbMjr09Bbtd"&amp;"KROZWc/edit#gid=1444865654"",""articles_with_PRISMA_reasons!B2:B2113""))&lt;2,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$A1899=I"&amp;"MPORTRANGE(""https://docs.google.com/spreadsheets/d/1qpEmbGH0JjaJbUdp21-y2cPbobDbMjr09BbtdKROZWc/edit#gid=1444865654"",""articles_with_PRISMA_reasons!B2:B2113""))&gt;=2),
""Exclude""
)"),"Exclude")</f>
        <v>Exclude</v>
      </c>
      <c r="F1899" s="5" t="str">
        <f>IFERROR(__xludf.DUMMYFUNCTION("IFS(
E1899=""Exclude"",""Exclude"",
AND(
COUNTIF(
IMPORTRANGE(""https://docs.google.com/spreadsheets/d/1kGrh75X1cNR1D7_FcY9zMnHP8iPO4M5RCRjy6nZY0TY/edit#gid=0"",""Table 1: Study characteristics!B4:B171""),A1899)&gt;0,
COUNTIF(Studies!$A$2:$A$85,FILTER(IMPORT"&amp;"RANGE(""https://docs.google.com/spreadsheets/d/1kGrh75X1cNR1D7_FcY9zMnHP8iPO4M5RCRjy6nZY0TY/edit#gid=0"",""Table 1: Study characteristics!A4:A171""), $A1899=IMPORTRANGE(""https://docs.google.com/spreadsheets/d/1kGrh75X1cNR1D7_FcY9zMnHP8iPO4M5RCRjy6nZY0TY/"&amp;"edit#gid=0"",""Table 1: Study characteristics!B4:B171"")))&gt;0
),
""Include""
)"),"Exclude")</f>
        <v>Exclude</v>
      </c>
      <c r="G1899" s="5" t="str">
        <f>IFERROR(__xludf.DUMMYFUNCTION("IFS(
D1899=""Exclude"",
FILTER(IMPORTRANGE(""https://docs.google.com/spreadsheets/d/1BJSV3WBYJGRhQ6zExamkszQ5VutGIcaQqmbD9ZTVXMQ/edit#gid=1251630045"",""articles_with_PRISMA_reasons!AB2:AB2113""), $A1899=IMPORTRANGE(""https://docs.google.com/spreadsheets/"&amp;"d/1BJSV3WBYJGRhQ6zExamkszQ5VutGIcaQqmbD9ZTVXMQ/edit#gid=1251630045"",""articles_with_PRISMA_reasons!B2:B2113"")),
E1899=""Exclude"",
FILTER(IMPORTRANGE(""https://docs.google.com/spreadsheets/d/1qpEmbGH0JjaJbUdp21-y2cPbobDbMjr09BbtdKROZWc/edit#gid=14448656"&amp;"54"",""articles_with_PRISMA_reasons!Z2:Z2113""), $A1899=IMPORTRANGE(""https://docs.google.com/spreadsheets/d/1qpEmbGH0JjaJbUdp21-y2cPbobDbMjr09BbtdKROZWc/edit#gid=1444865654"",""articles_with_PRISMA_reasons!B2:B2113"")),F1899
=""Include"",FILTER(IMPORTRAN"&amp;"GE(""https://docs.google.com/spreadsheets/d/1kGrh75X1cNR1D7_FcY9zMnHP8iPO4M5RCRjy6nZY0TY/edit#gid=0"",""Table 1: Study characteristics!A4:A171""), $A1899=IMPORTRANGE(""https://docs.google.com/spreadsheets/d/1kGrh75X1cNR1D7_FcY9zMnHP8iPO4M5RCRjy6nZY0TY/edi"&amp;"t#gid=0"",""Table 1: Study characteristics!B4:B171""))
)"),"wrong population")</f>
        <v>wrong population</v>
      </c>
    </row>
    <row r="1900">
      <c r="A1900" s="4" t="str">
        <f>IFERROR(__xludf.DUMMYFUNCTION("""COMPUTED_VALUE"""),"The harvard neurosurgical service at the childrens hospital Boston and Brigham &amp; womens hospital, 1912-2007")</f>
        <v>The harvard neurosurgical service at the childrens hospital Boston and Brigham &amp; womens hospital, 1912-2007</v>
      </c>
      <c r="B1900" s="5" t="str">
        <f>IFERROR(__xludf.DUMMYFUNCTION("LEFT(FILTER(IMPORTRANGE(""https://docs.google.com/spreadsheets/d/1BJSV3WBYJGRhQ6zExamkszQ5VutGIcaQqmbD9ZTVXMQ/edit#gid=1251630045"",""articles_with_PRISMA_reasons!K2:K2113""), $A1900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$A1900=IMPORTRANGE(""https://docs.google.com/spreadsheets/d/1BJSV3WBYJGRhQ6zExamkszQ5VutGIcaQqmbD9ZTVXMQ/edit#gid=1251630045"",""articles_with_PRISMA_reasons!B2:B2113"")))-1)"),"Shillito")</f>
        <v>Shillito</v>
      </c>
      <c r="C1900" s="6">
        <f>IFERROR(__xludf.DUMMYFUNCTION("FILTER(IMPORTRANGE(""https://docs.google.com/spreadsheets/d/1BJSV3WBYJGRhQ6zExamkszQ5VutGIcaQqmbD9ZTVXMQ/edit#gid=1251630045"",""articles_with_PRISMA_reasons!C2:C2113""), $A1900=IMPORTRANGE(""https://docs.google.com/spreadsheets/d/1BJSV3WBYJGRhQ6zExamkszQ"&amp;"5VutGIcaQqmbD9ZTVXMQ/edit#gid=1251630045"",""articles_with_PRISMA_reasons!B2:B2113""))"),2008.0)</f>
        <v>2008</v>
      </c>
      <c r="D1900" s="5" t="str">
        <f>IFERROR(__xludf.DUMMYFUNCTION("IFS(AND(
FILTER(IMPORTRANGE(""https://docs.google.com/spreadsheets/d/1BJSV3WBYJGRhQ6zExamkszQ5VutGIcaQqmbD9ZTVXMQ/edit#gid=1251630045"",""articles_with_PRISMA_reasons!Y2:Y2113""), $A1900=IMPORTRANGE(""https://docs.google.com/spreadsheets/d/1BJSV3WBYJGRhQ6"&amp;"zExamkszQ5VutGIcaQqmbD9ZTVXMQ/edit#gid=1251630045"",""articles_with_PRISMA_reasons!B2:B2113""))&gt;=2,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$A1900=IMPORTRANGE(""https://docs.google"&amp;".com/spreadsheets/d/1BJSV3WBYJGRhQ6zExamkszQ5VutGIcaQqmbD9ZTVXMQ/edit#gid=1251630045"",""articles_with_PRISMA_reasons!B2:B2113""))&gt;=2),
""Exclude""
)"),"Exclude")</f>
        <v>Exclude</v>
      </c>
      <c r="E1900" s="5" t="str">
        <f>IFERROR(__xludf.DUMMYFUNCTION("IFS(
D1900=""Exclude"",""Exclude"",
AND(
FILTER(IMPORTRANGE(""https://docs.google.com/spreadsheets/d/1qpEmbGH0JjaJbUdp21-y2cPbobDbMjr09BbtdKROZWc/edit#gid=1444865654"",""articles_with_PRISMA_reasons!W2:W2113""), $A1900=IMPORTRANGE(""https://docs.google.co"&amp;"m/spreadsheets/d/1qpEmbGH0JjaJbUdp21-y2cPbobDbMjr09BbtdKROZWc/edit#gid=1444865654"",""articles_with_PRISMA_reasons!B2:B2113""))&gt;=2,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$A1900=IMPORTRANGE(""https://docs.google.com/spreadsheets/d/1qpEmbGH0JjaJbUdp21-y2cPbobDbMjr09BbtdKROZWc/edit#gid=1444865654"",""articles_with_PRISMA_reasons!B2:B2113""))&lt;2),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$A1900=IMPORTRANGE(""https://docs.google.com/spreadsheets/d/1qpEmbGH0JjaJbUdp21-y2cPbobDbMjr09Bbtd"&amp;"KROZWc/edit#gid=1444865654"",""articles_with_PRISMA_reasons!B2:B2113""))&lt;2,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$A1900=I"&amp;"MPORTRANGE(""https://docs.google.com/spreadsheets/d/1qpEmbGH0JjaJbUdp21-y2cPbobDbMjr09BbtdKROZWc/edit#gid=1444865654"",""articles_with_PRISMA_reasons!B2:B2113""))&gt;=2),
""Exclude""
)"),"Exclude")</f>
        <v>Exclude</v>
      </c>
      <c r="F1900" s="5" t="str">
        <f>IFERROR(__xludf.DUMMYFUNCTION("IFS(
E1900=""Exclude"",""Exclude"",
AND(
COUNTIF(
IMPORTRANGE(""https://docs.google.com/spreadsheets/d/1kGrh75X1cNR1D7_FcY9zMnHP8iPO4M5RCRjy6nZY0TY/edit#gid=0"",""Table 1: Study characteristics!B4:B171""),A1900)&gt;0,
COUNTIF(Studies!$A$2:$A$85,FILTER(IMPORT"&amp;"RANGE(""https://docs.google.com/spreadsheets/d/1kGrh75X1cNR1D7_FcY9zMnHP8iPO4M5RCRjy6nZY0TY/edit#gid=0"",""Table 1: Study characteristics!A4:A171""), $A1900=IMPORTRANGE(""https://docs.google.com/spreadsheets/d/1kGrh75X1cNR1D7_FcY9zMnHP8iPO4M5RCRjy6nZY0TY/"&amp;"edit#gid=0"",""Table 1: Study characteristics!B4:B171"")))&gt;0
),
""Include""
)"),"Exclude")</f>
        <v>Exclude</v>
      </c>
      <c r="G1900" s="5" t="str">
        <f>IFERROR(__xludf.DUMMYFUNCTION("IFS(
D1900=""Exclude"",
FILTER(IMPORTRANGE(""https://docs.google.com/spreadsheets/d/1BJSV3WBYJGRhQ6zExamkszQ5VutGIcaQqmbD9ZTVXMQ/edit#gid=1251630045"",""articles_with_PRISMA_reasons!AB2:AB2113""), $A1900=IMPORTRANGE(""https://docs.google.com/spreadsheets/"&amp;"d/1BJSV3WBYJGRhQ6zExamkszQ5VutGIcaQqmbD9ZTVXMQ/edit#gid=1251630045"",""articles_with_PRISMA_reasons!B2:B2113"")),
E1900=""Exclude"",
FILTER(IMPORTRANGE(""https://docs.google.com/spreadsheets/d/1qpEmbGH0JjaJbUdp21-y2cPbobDbMjr09BbtdKROZWc/edit#gid=14448656"&amp;"54"",""articles_with_PRISMA_reasons!Z2:Z2113""), $A1900=IMPORTRANGE(""https://docs.google.com/spreadsheets/d/1qpEmbGH0JjaJbUdp21-y2cPbobDbMjr09BbtdKROZWc/edit#gid=1444865654"",""articles_with_PRISMA_reasons!B2:B2113"")),F1900
=""Include"",FILTER(IMPORTRAN"&amp;"GE(""https://docs.google.com/spreadsheets/d/1kGrh75X1cNR1D7_FcY9zMnHP8iPO4M5RCRjy6nZY0TY/edit#gid=0"",""Table 1: Study characteristics!A4:A171""), $A1900=IMPORTRANGE(""https://docs.google.com/spreadsheets/d/1kGrh75X1cNR1D7_FcY9zMnHP8iPO4M5RCRjy6nZY0TY/edi"&amp;"t#gid=0"",""Table 1: Study characteristics!B4:B171""))
)"),"wrong study design")</f>
        <v>wrong study design</v>
      </c>
    </row>
    <row r="1901">
      <c r="A1901" s="4" t="str">
        <f>IFERROR(__xludf.DUMMYFUNCTION("""COMPUTED_VALUE"""),"The history of fetal therapy")</f>
        <v>The history of fetal therapy</v>
      </c>
      <c r="B1901" s="5" t="str">
        <f>IFERROR(__xludf.DUMMYFUNCTION("LEFT(FILTER(IMPORTRANGE(""https://docs.google.com/spreadsheets/d/1BJSV3WBYJGRhQ6zExamkszQ5VutGIcaQqmbD9ZTVXMQ/edit#gid=1251630045"",""articles_with_PRISMA_reasons!K2:K2113""), $A1901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$A1901=IMPORTRANGE(""https://docs.google.com/spreadsheets/d/1BJSV3WBYJGRhQ6zExamkszQ5VutGIcaQqmbD9ZTVXMQ/edit#gid=1251630045"",""articles_with_PRISMA_reasons!B2:B2113"")))-1)"),"Moise")</f>
        <v>Moise</v>
      </c>
      <c r="C1901" s="6">
        <f>IFERROR(__xludf.DUMMYFUNCTION("FILTER(IMPORTRANGE(""https://docs.google.com/spreadsheets/d/1BJSV3WBYJGRhQ6zExamkszQ5VutGIcaQqmbD9ZTVXMQ/edit#gid=1251630045"",""articles_with_PRISMA_reasons!C2:C2113""), $A1901=IMPORTRANGE(""https://docs.google.com/spreadsheets/d/1BJSV3WBYJGRhQ6zExamkszQ"&amp;"5VutGIcaQqmbD9ZTVXMQ/edit#gid=1251630045"",""articles_with_PRISMA_reasons!B2:B2113""))"),2014.0)</f>
        <v>2014</v>
      </c>
      <c r="D1901" s="5" t="str">
        <f>IFERROR(__xludf.DUMMYFUNCTION("IFS(AND(
FILTER(IMPORTRANGE(""https://docs.google.com/spreadsheets/d/1BJSV3WBYJGRhQ6zExamkszQ5VutGIcaQqmbD9ZTVXMQ/edit#gid=1251630045"",""articles_with_PRISMA_reasons!Y2:Y2113""), $A1901=IMPORTRANGE(""https://docs.google.com/spreadsheets/d/1BJSV3WBYJGRhQ6"&amp;"zExamkszQ5VutGIcaQqmbD9ZTVXMQ/edit#gid=1251630045"",""articles_with_PRISMA_reasons!B2:B2113""))&gt;=2,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$A1901=IMPORTRANGE(""https://docs.google"&amp;".com/spreadsheets/d/1BJSV3WBYJGRhQ6zExamkszQ5VutGIcaQqmbD9ZTVXMQ/edit#gid=1251630045"",""articles_with_PRISMA_reasons!B2:B2113""))&gt;=2),
""Exclude""
)"),"Exclude")</f>
        <v>Exclude</v>
      </c>
      <c r="E1901" s="5" t="str">
        <f>IFERROR(__xludf.DUMMYFUNCTION("IFS(
D1901=""Exclude"",""Exclude"",
AND(
FILTER(IMPORTRANGE(""https://docs.google.com/spreadsheets/d/1qpEmbGH0JjaJbUdp21-y2cPbobDbMjr09BbtdKROZWc/edit#gid=1444865654"",""articles_with_PRISMA_reasons!W2:W2113""), $A1901=IMPORTRANGE(""https://docs.google.co"&amp;"m/spreadsheets/d/1qpEmbGH0JjaJbUdp21-y2cPbobDbMjr09BbtdKROZWc/edit#gid=1444865654"",""articles_with_PRISMA_reasons!B2:B2113""))&gt;=2,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$A1901=IMPORTRANGE(""https://docs.google.com/spreadsheets/d/1qpEmbGH0JjaJbUdp21-y2cPbobDbMjr09BbtdKROZWc/edit#gid=1444865654"",""articles_with_PRISMA_reasons!B2:B2113""))&lt;2),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$A1901=IMPORTRANGE(""https://docs.google.com/spreadsheets/d/1qpEmbGH0JjaJbUdp21-y2cPbobDbMjr09Bbtd"&amp;"KROZWc/edit#gid=1444865654"",""articles_with_PRISMA_reasons!B2:B2113""))&lt;2,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$A1901=I"&amp;"MPORTRANGE(""https://docs.google.com/spreadsheets/d/1qpEmbGH0JjaJbUdp21-y2cPbobDbMjr09BbtdKROZWc/edit#gid=1444865654"",""articles_with_PRISMA_reasons!B2:B2113""))&gt;=2),
""Exclude""
)"),"Exclude")</f>
        <v>Exclude</v>
      </c>
      <c r="F1901" s="5" t="str">
        <f>IFERROR(__xludf.DUMMYFUNCTION("IFS(
E1901=""Exclude"",""Exclude"",
AND(
COUNTIF(
IMPORTRANGE(""https://docs.google.com/spreadsheets/d/1kGrh75X1cNR1D7_FcY9zMnHP8iPO4M5RCRjy6nZY0TY/edit#gid=0"",""Table 1: Study characteristics!B4:B171""),A1901)&gt;0,
COUNTIF(Studies!$A$2:$A$85,FILTER(IMPORT"&amp;"RANGE(""https://docs.google.com/spreadsheets/d/1kGrh75X1cNR1D7_FcY9zMnHP8iPO4M5RCRjy6nZY0TY/edit#gid=0"",""Table 1: Study characteristics!A4:A171""), $A1901=IMPORTRANGE(""https://docs.google.com/spreadsheets/d/1kGrh75X1cNR1D7_FcY9zMnHP8iPO4M5RCRjy6nZY0TY/"&amp;"edit#gid=0"",""Table 1: Study characteristics!B4:B171"")))&gt;0
),
""Include""
)"),"Exclude")</f>
        <v>Exclude</v>
      </c>
      <c r="G1901" s="5" t="str">
        <f>IFERROR(__xludf.DUMMYFUNCTION("IFS(
D1901=""Exclude"",
FILTER(IMPORTRANGE(""https://docs.google.com/spreadsheets/d/1BJSV3WBYJGRhQ6zExamkszQ5VutGIcaQqmbD9ZTVXMQ/edit#gid=1251630045"",""articles_with_PRISMA_reasons!AB2:AB2113""), $A1901=IMPORTRANGE(""https://docs.google.com/spreadsheets/"&amp;"d/1BJSV3WBYJGRhQ6zExamkszQ5VutGIcaQqmbD9ZTVXMQ/edit#gid=1251630045"",""articles_with_PRISMA_reasons!B2:B2113"")),
E1901=""Exclude"",
FILTER(IMPORTRANGE(""https://docs.google.com/spreadsheets/d/1qpEmbGH0JjaJbUdp21-y2cPbobDbMjr09BbtdKROZWc/edit#gid=14448656"&amp;"54"",""articles_with_PRISMA_reasons!Z2:Z2113""), $A1901=IMPORTRANGE(""https://docs.google.com/spreadsheets/d/1qpEmbGH0JjaJbUdp21-y2cPbobDbMjr09BbtdKROZWc/edit#gid=1444865654"",""articles_with_PRISMA_reasons!B2:B2113"")),F1901
=""Include"",FILTER(IMPORTRAN"&amp;"GE(""https://docs.google.com/spreadsheets/d/1kGrh75X1cNR1D7_FcY9zMnHP8iPO4M5RCRjy6nZY0TY/edit#gid=0"",""Table 1: Study characteristics!A4:A171""), $A1901=IMPORTRANGE(""https://docs.google.com/spreadsheets/d/1kGrh75X1cNR1D7_FcY9zMnHP8iPO4M5RCRjy6nZY0TY/edi"&amp;"t#gid=0"",""Table 1: Study characteristics!B4:B171""))
)"),"wrong population")</f>
        <v>wrong population</v>
      </c>
    </row>
    <row r="1902">
      <c r="A1902" s="4" t="str">
        <f>IFERROR(__xludf.DUMMYFUNCTION("""COMPUTED_VALUE"""),"The impact of bowel management on the quality of life in children with spina bifida with overactive bladder and detrusor sphincter dyssynergia")</f>
        <v>The impact of bowel management on the quality of life in children with spina bifida with overactive bladder and detrusor sphincter dyssynergia</v>
      </c>
      <c r="B1902" s="5" t="str">
        <f>IFERROR(__xludf.DUMMYFUNCTION("LEFT(FILTER(IMPORTRANGE(""https://docs.google.com/spreadsheets/d/1BJSV3WBYJGRhQ6zExamkszQ5VutGIcaQqmbD9ZTVXMQ/edit#gid=1251630045"",""articles_with_PRISMA_reasons!K2:K2113""), $A1902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$A1902=IMPORTRANGE(""https://docs.google.com/spreadsheets/d/1BJSV3WBYJGRhQ6zExamkszQ5VutGIcaQqmbD9ZTVXMQ/edit#gid=1251630045"",""articles_with_PRISMA_reasons!B2:B2113"")))-1)"),"Radojicic")</f>
        <v>Radojicic</v>
      </c>
      <c r="C1902" s="6">
        <f>IFERROR(__xludf.DUMMYFUNCTION("FILTER(IMPORTRANGE(""https://docs.google.com/spreadsheets/d/1BJSV3WBYJGRhQ6zExamkszQ5VutGIcaQqmbD9ZTVXMQ/edit#gid=1251630045"",""articles_with_PRISMA_reasons!C2:C2113""), $A1902=IMPORTRANGE(""https://docs.google.com/spreadsheets/d/1BJSV3WBYJGRhQ6zExamkszQ"&amp;"5VutGIcaQqmbD9ZTVXMQ/edit#gid=1251630045"",""articles_with_PRISMA_reasons!B2:B2113""))"),2019.0)</f>
        <v>2019</v>
      </c>
      <c r="D1902" s="5" t="str">
        <f>IFERROR(__xludf.DUMMYFUNCTION("IFS(AND(
FILTER(IMPORTRANGE(""https://docs.google.com/spreadsheets/d/1BJSV3WBYJGRhQ6zExamkszQ5VutGIcaQqmbD9ZTVXMQ/edit#gid=1251630045"",""articles_with_PRISMA_reasons!Y2:Y2113""), $A1902=IMPORTRANGE(""https://docs.google.com/spreadsheets/d/1BJSV3WBYJGRhQ6"&amp;"zExamkszQ5VutGIcaQqmbD9ZTVXMQ/edit#gid=1251630045"",""articles_with_PRISMA_reasons!B2:B2113""))&gt;=2,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$A1902=IMPORTRANGE(""https://docs.google.com/spreadsheets/d/1BJSV3WBYJGRhQ6zExamkszQ5VutGIcaQqmbD9ZTVXMQ/edit#gid=1251630045"",""articles_with_PRISMA_reasons!B2:B2113""))&lt;2),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$A1902=IMPORTRANGE(""https://docs.google.com/spreadsheets/d/1BJSV3WBYJGRhQ6zExamkszQ5VutGIcaQqmbD9ZTVXMQ/edit#gid=1251630045"",""a"&amp;"rticles_with_PRISMA_reasons!B2:B2113""))&lt;2,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$A1902=IMPORTRANGE(""https://docs.google"&amp;".com/spreadsheets/d/1BJSV3WBYJGRhQ6zExamkszQ5VutGIcaQqmbD9ZTVXMQ/edit#gid=1251630045"",""articles_with_PRISMA_reasons!B2:B2113""))&gt;=2),
""Exclude""
)"),"Exclude")</f>
        <v>Exclude</v>
      </c>
      <c r="E1902" s="5" t="str">
        <f>IFERROR(__xludf.DUMMYFUNCTION("IFS(
D1902=""Exclude"",""Exclude"",
AND(
FILTER(IMPORTRANGE(""https://docs.google.com/spreadsheets/d/1qpEmbGH0JjaJbUdp21-y2cPbobDbMjr09BbtdKROZWc/edit#gid=1444865654"",""articles_with_PRISMA_reasons!W2:W2113""), $A1902=IMPORTRANGE(""https://docs.google.co"&amp;"m/spreadsheets/d/1qpEmbGH0JjaJbUdp21-y2cPbobDbMjr09BbtdKROZWc/edit#gid=1444865654"",""articles_with_PRISMA_reasons!B2:B2113""))&gt;=2,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$A1902=I"&amp;"MPORTRANGE(""https://docs.google.com/spreadsheets/d/1qpEmbGH0JjaJbUdp21-y2cPbobDbMjr09BbtdKROZWc/edit#gid=1444865654"",""articles_with_PRISMA_reasons!B2:B2113""))&gt;=2),
""Exclude""
)"),"Exclude")</f>
        <v>Exclude</v>
      </c>
      <c r="F1902" s="5" t="str">
        <f>IFERROR(__xludf.DUMMYFUNCTION("IFS(
E1902=""Exclude"",""Exclude"",
AND(
COUNTIF(
IMPORTRANGE(""https://docs.google.com/spreadsheets/d/1kGrh75X1cNR1D7_FcY9zMnHP8iPO4M5RCRjy6nZY0TY/edit#gid=0"",""Table 1: Study characteristics!B4:B171""),A1902)&gt;0,
COUNTIF(Studies!$A$2:$A$85,FILTER(IMPORT"&amp;"RANGE(""https://docs.google.com/spreadsheets/d/1kGrh75X1cNR1D7_FcY9zMnHP8iPO4M5RCRjy6nZY0TY/edit#gid=0"",""Table 1: Study characteristics!A4:A171""), $A1902=IMPORTRANGE(""https://docs.google.com/spreadsheets/d/1kGrh75X1cNR1D7_FcY9zMnHP8iPO4M5RCRjy6nZY0TY/"&amp;"edit#gid=0"",""Table 1: Study characteristics!B4:B171"")))&gt;0
),
""Include""
)"),"Exclude")</f>
        <v>Exclude</v>
      </c>
      <c r="G1902" s="5" t="str">
        <f>IFERROR(__xludf.DUMMYFUNCTION("IFS(
D1902=""Exclude"",
FILTER(IMPORTRANGE(""https://docs.google.com/spreadsheets/d/1BJSV3WBYJGRhQ6zExamkszQ5VutGIcaQqmbD9ZTVXMQ/edit#gid=1251630045"",""articles_with_PRISMA_reasons!AB2:AB2113""), $A1902=IMPORTRANGE(""https://docs.google.com/spreadsheets/"&amp;"d/1BJSV3WBYJGRhQ6zExamkszQ5VutGIcaQqmbD9ZTVXMQ/edit#gid=1251630045"",""articles_with_PRISMA_reasons!B2:B2113"")),
E1902=""Exclude"",
FILTER(IMPORTRANGE(""https://docs.google.com/spreadsheets/d/1qpEmbGH0JjaJbUdp21-y2cPbobDbMjr09BbtdKROZWc/edit#gid=14448656"&amp;"54"",""articles_with_PRISMA_reasons!Z2:Z2113""), $A1902=IMPORTRANGE(""https://docs.google.com/spreadsheets/d/1qpEmbGH0JjaJbUdp21-y2cPbobDbMjr09BbtdKROZWc/edit#gid=1444865654"",""articles_with_PRISMA_reasons!B2:B2113"")),F1902
=""Include"",FILTER(IMPORTRAN"&amp;"GE(""https://docs.google.com/spreadsheets/d/1kGrh75X1cNR1D7_FcY9zMnHP8iPO4M5RCRjy6nZY0TY/edit#gid=0"",""Table 1: Study characteristics!A4:A171""), $A1902=IMPORTRANGE(""https://docs.google.com/spreadsheets/d/1kGrh75X1cNR1D7_FcY9zMnHP8iPO4M5RCRjy6nZY0TY/edi"&amp;"t#gid=0"",""Table 1: Study characteristics!B4:B171""))
)"),"wrong population")</f>
        <v>wrong population</v>
      </c>
    </row>
    <row r="1903">
      <c r="A1903" s="4" t="str">
        <f>IFERROR(__xludf.DUMMYFUNCTION("""COMPUTED_VALUE"""),"The impact of cerebral anomalies on cognitive outcome in patients with spina bifida: A systematic review")</f>
        <v>The impact of cerebral anomalies on cognitive outcome in patients with spina bifida: A systematic review</v>
      </c>
      <c r="B1903" s="5" t="str">
        <f>IFERROR(__xludf.DUMMYFUNCTION("LEFT(FILTER(IMPORTRANGE(""https://docs.google.com/spreadsheets/d/1BJSV3WBYJGRhQ6zExamkszQ5VutGIcaQqmbD9ZTVXMQ/edit#gid=1251630045"",""articles_with_PRISMA_reasons!K2:K2113""), $A1903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$A1903=IMPORTRANGE(""https://docs.google.com/spreadsheets/d/1BJSV3WBYJGRhQ6zExamkszQ5VutGIcaQqmbD9ZTVXMQ/edit#gid=1251630045"",""articles_with_PRISMA_reasons!B2:B2113"")))-1)"),"Pollenus")</f>
        <v>Pollenus</v>
      </c>
      <c r="C1903" s="6">
        <f>IFERROR(__xludf.DUMMYFUNCTION("FILTER(IMPORTRANGE(""https://docs.google.com/spreadsheets/d/1BJSV3WBYJGRhQ6zExamkszQ5VutGIcaQqmbD9ZTVXMQ/edit#gid=1251630045"",""articles_with_PRISMA_reasons!C2:C2113""), $A1903=IMPORTRANGE(""https://docs.google.com/spreadsheets/d/1BJSV3WBYJGRhQ6zExamkszQ"&amp;"5VutGIcaQqmbD9ZTVXMQ/edit#gid=1251630045"",""articles_with_PRISMA_reasons!B2:B2113""))"),2020.0)</f>
        <v>2020</v>
      </c>
      <c r="D1903" s="5" t="str">
        <f>IFERROR(__xludf.DUMMYFUNCTION("IFS(AND(
FILTER(IMPORTRANGE(""https://docs.google.com/spreadsheets/d/1BJSV3WBYJGRhQ6zExamkszQ5VutGIcaQqmbD9ZTVXMQ/edit#gid=1251630045"",""articles_with_PRISMA_reasons!Y2:Y2113""), $A1903=IMPORTRANGE(""https://docs.google.com/spreadsheets/d/1BJSV3WBYJGRhQ6"&amp;"zExamkszQ5VutGIcaQqmbD9ZTVXMQ/edit#gid=1251630045"",""articles_with_PRISMA_reasons!B2:B2113""))&gt;=2,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$A1903=IMPORTRANGE(""https://docs.google"&amp;".com/spreadsheets/d/1BJSV3WBYJGRhQ6zExamkszQ5VutGIcaQqmbD9ZTVXMQ/edit#gid=1251630045"",""articles_with_PRISMA_reasons!B2:B2113""))&gt;=2),
""Exclude""
)"),"Exclude")</f>
        <v>Exclude</v>
      </c>
      <c r="E1903" s="5" t="str">
        <f>IFERROR(__xludf.DUMMYFUNCTION("IFS(
D1903=""Exclude"",""Exclude"",
AND(
FILTER(IMPORTRANGE(""https://docs.google.com/spreadsheets/d/1qpEmbGH0JjaJbUdp21-y2cPbobDbMjr09BbtdKROZWc/edit#gid=1444865654"",""articles_with_PRISMA_reasons!W2:W2113""), $A1903=IMPORTRANGE(""https://docs.google.co"&amp;"m/spreadsheets/d/1qpEmbGH0JjaJbUdp21-y2cPbobDbMjr09BbtdKROZWc/edit#gid=1444865654"",""articles_with_PRISMA_reasons!B2:B2113""))&gt;=2,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$A1903=I"&amp;"MPORTRANGE(""https://docs.google.com/spreadsheets/d/1qpEmbGH0JjaJbUdp21-y2cPbobDbMjr09BbtdKROZWc/edit#gid=1444865654"",""articles_with_PRISMA_reasons!B2:B2113""))&gt;=2),
""Exclude""
)"),"Exclude")</f>
        <v>Exclude</v>
      </c>
      <c r="F1903" s="5" t="str">
        <f>IFERROR(__xludf.DUMMYFUNCTION("IFS(
E1903=""Exclude"",""Exclude"",
AND(
COUNTIF(
IMPORTRANGE(""https://docs.google.com/spreadsheets/d/1kGrh75X1cNR1D7_FcY9zMnHP8iPO4M5RCRjy6nZY0TY/edit#gid=0"",""Table 1: Study characteristics!B4:B171""),A1903)&gt;0,
COUNTIF(Studies!$A$2:$A$85,FILTER(IMPORT"&amp;"RANGE(""https://docs.google.com/spreadsheets/d/1kGrh75X1cNR1D7_FcY9zMnHP8iPO4M5RCRjy6nZY0TY/edit#gid=0"",""Table 1: Study characteristics!A4:A171""), $A1903=IMPORTRANGE(""https://docs.google.com/spreadsheets/d/1kGrh75X1cNR1D7_FcY9zMnHP8iPO4M5RCRjy6nZY0TY/"&amp;"edit#gid=0"",""Table 1: Study characteristics!B4:B171"")))&gt;0
),
""Include""
)"),"Exclude")</f>
        <v>Exclude</v>
      </c>
      <c r="G1903" s="5" t="str">
        <f>IFERROR(__xludf.DUMMYFUNCTION("IFS(
D1903=""Exclude"",
FILTER(IMPORTRANGE(""https://docs.google.com/spreadsheets/d/1BJSV3WBYJGRhQ6zExamkszQ5VutGIcaQqmbD9ZTVXMQ/edit#gid=1251630045"",""articles_with_PRISMA_reasons!AB2:AB2113""), $A1903=IMPORTRANGE(""https://docs.google.com/spreadsheets/"&amp;"d/1BJSV3WBYJGRhQ6zExamkszQ5VutGIcaQqmbD9ZTVXMQ/edit#gid=1251630045"",""articles_with_PRISMA_reasons!B2:B2113"")),
E1903=""Exclude"",
FILTER(IMPORTRANGE(""https://docs.google.com/spreadsheets/d/1qpEmbGH0JjaJbUdp21-y2cPbobDbMjr09BbtdKROZWc/edit#gid=14448656"&amp;"54"",""articles_with_PRISMA_reasons!Z2:Z2113""), $A1903=IMPORTRANGE(""https://docs.google.com/spreadsheets/d/1qpEmbGH0JjaJbUdp21-y2cPbobDbMjr09BbtdKROZWc/edit#gid=1444865654"",""articles_with_PRISMA_reasons!B2:B2113"")),F1903
=""Include"",FILTER(IMPORTRAN"&amp;"GE(""https://docs.google.com/spreadsheets/d/1kGrh75X1cNR1D7_FcY9zMnHP8iPO4M5RCRjy6nZY0TY/edit#gid=0"",""Table 1: Study characteristics!A4:A171""), $A1903=IMPORTRANGE(""https://docs.google.com/spreadsheets/d/1kGrh75X1cNR1D7_FcY9zMnHP8iPO4M5RCRjy6nZY0TY/edi"&amp;"t#gid=0"",""Table 1: Study characteristics!B4:B171""))
)"),"wrong study design")</f>
        <v>wrong study design</v>
      </c>
    </row>
    <row r="1904">
      <c r="A1904" s="4" t="str">
        <f>IFERROR(__xludf.DUMMYFUNCTION("""COMPUTED_VALUE"""),"The impact of combined endoscopic third ventriculostomy and choroid plexus cauterization on the management of pediatric hydrocephalus in developing countries")</f>
        <v>The impact of combined endoscopic third ventriculostomy and choroid plexus cauterization on the management of pediatric hydrocephalus in developing countries</v>
      </c>
      <c r="B1904" s="5" t="str">
        <f>IFERROR(__xludf.DUMMYFUNCTION("LEFT(FILTER(IMPORTRANGE(""https://docs.google.com/spreadsheets/d/1BJSV3WBYJGRhQ6zExamkszQ5VutGIcaQqmbD9ZTVXMQ/edit#gid=1251630045"",""articles_with_PRISMA_reasons!K2:K2113""), $A1904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$A1904=IMPORTRANGE(""https://docs.google.com/spreadsheets/d/1BJSV3WBYJGRhQ6zExamkszQ5VutGIcaQqmbD9ZTVXMQ/edit#gid=1251630045"",""articles_with_PRISMA_reasons!B2:B2113"")))-1)"),"Warf")</f>
        <v>Warf</v>
      </c>
      <c r="C1904" s="6">
        <f>IFERROR(__xludf.DUMMYFUNCTION("FILTER(IMPORTRANGE(""https://docs.google.com/spreadsheets/d/1BJSV3WBYJGRhQ6zExamkszQ5VutGIcaQqmbD9ZTVXMQ/edit#gid=1251630045"",""articles_with_PRISMA_reasons!C2:C2113""), $A1904=IMPORTRANGE(""https://docs.google.com/spreadsheets/d/1BJSV3WBYJGRhQ6zExamkszQ"&amp;"5VutGIcaQqmbD9ZTVXMQ/edit#gid=1251630045"",""articles_with_PRISMA_reasons!B2:B2113""))"),2013.0)</f>
        <v>2013</v>
      </c>
      <c r="D1904" s="5" t="str">
        <f>IFERROR(__xludf.DUMMYFUNCTION("IFS(AND(
FILTER(IMPORTRANGE(""https://docs.google.com/spreadsheets/d/1BJSV3WBYJGRhQ6zExamkszQ5VutGIcaQqmbD9ZTVXMQ/edit#gid=1251630045"",""articles_with_PRISMA_reasons!Y2:Y2113""), $A1904=IMPORTRANGE(""https://docs.google.com/spreadsheets/d/1BJSV3WBYJGRhQ6"&amp;"zExamkszQ5VutGIcaQqmbD9ZTVXMQ/edit#gid=1251630045"",""articles_with_PRISMA_reasons!B2:B2113""))&gt;=2,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$A1904=IMPORTRANGE(""https://docs.google"&amp;".com/spreadsheets/d/1BJSV3WBYJGRhQ6zExamkszQ5VutGIcaQqmbD9ZTVXMQ/edit#gid=1251630045"",""articles_with_PRISMA_reasons!B2:B2113""))&gt;=2),
""Exclude""
)"),"Include")</f>
        <v>Include</v>
      </c>
      <c r="E1904" s="5" t="str">
        <f>IFERROR(__xludf.DUMMYFUNCTION("IFS(
D1904=""Exclude"",""Exclude"",
AND(
FILTER(IMPORTRANGE(""https://docs.google.com/spreadsheets/d/1qpEmbGH0JjaJbUdp21-y2cPbobDbMjr09BbtdKROZWc/edit#gid=1444865654"",""articles_with_PRISMA_reasons!W2:W2113""), $A1904=IMPORTRANGE(""https://docs.google.co"&amp;"m/spreadsheets/d/1qpEmbGH0JjaJbUdp21-y2cPbobDbMjr09BbtdKROZWc/edit#gid=1444865654"",""articles_with_PRISMA_reasons!B2:B2113""))&gt;=2,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$A1904=I"&amp;"MPORTRANGE(""https://docs.google.com/spreadsheets/d/1qpEmbGH0JjaJbUdp21-y2cPbobDbMjr09BbtdKROZWc/edit#gid=1444865654"",""articles_with_PRISMA_reasons!B2:B2113""))&gt;=2),
""Exclude""
)"),"Exclude")</f>
        <v>Exclude</v>
      </c>
      <c r="F1904" s="5" t="str">
        <f>IFERROR(__xludf.DUMMYFUNCTION("IFS(
E1904=""Exclude"",""Exclude"",
AND(
COUNTIF(
IMPORTRANGE(""https://docs.google.com/spreadsheets/d/1kGrh75X1cNR1D7_FcY9zMnHP8iPO4M5RCRjy6nZY0TY/edit#gid=0"",""Table 1: Study characteristics!B4:B171""),A1904)&gt;0,
COUNTIF(Studies!$A$2:$A$85,FILTER(IMPORT"&amp;"RANGE(""https://docs.google.com/spreadsheets/d/1kGrh75X1cNR1D7_FcY9zMnHP8iPO4M5RCRjy6nZY0TY/edit#gid=0"",""Table 1: Study characteristics!A4:A171""), $A1904=IMPORTRANGE(""https://docs.google.com/spreadsheets/d/1kGrh75X1cNR1D7_FcY9zMnHP8iPO4M5RCRjy6nZY0TY/"&amp;"edit#gid=0"",""Table 1: Study characteristics!B4:B171"")))&gt;0
),
""Include""
)"),"Exclude")</f>
        <v>Exclude</v>
      </c>
      <c r="G1904" s="5" t="str">
        <f>IFERROR(__xludf.DUMMYFUNCTION("IFS(
D1904=""Exclude"",
FILTER(IMPORTRANGE(""https://docs.google.com/spreadsheets/d/1BJSV3WBYJGRhQ6zExamkszQ5VutGIcaQqmbD9ZTVXMQ/edit#gid=1251630045"",""articles_with_PRISMA_reasons!AB2:AB2113""), $A1904=IMPORTRANGE(""https://docs.google.com/spreadsheets/"&amp;"d/1BJSV3WBYJGRhQ6zExamkszQ5VutGIcaQqmbD9ZTVXMQ/edit#gid=1251630045"",""articles_with_PRISMA_reasons!B2:B2113"")),
E1904=""Exclude"",
FILTER(IMPORTRANGE(""https://docs.google.com/spreadsheets/d/1qpEmbGH0JjaJbUdp21-y2cPbobDbMjr09BbtdKROZWc/edit#gid=14448656"&amp;"54"",""articles_with_PRISMA_reasons!Z2:Z2113""), $A1904=IMPORTRANGE(""https://docs.google.com/spreadsheets/d/1qpEmbGH0JjaJbUdp21-y2cPbobDbMjr09BbtdKROZWc/edit#gid=1444865654"",""articles_with_PRISMA_reasons!B2:B2113"")),F1904
=""Include"",FILTER(IMPORTRAN"&amp;"GE(""https://docs.google.com/spreadsheets/d/1kGrh75X1cNR1D7_FcY9zMnHP8iPO4M5RCRjy6nZY0TY/edit#gid=0"",""Table 1: Study characteristics!A4:A171""), $A1904=IMPORTRANGE(""https://docs.google.com/spreadsheets/d/1kGrh75X1cNR1D7_FcY9zMnHP8iPO4M5RCRjy6nZY0TY/edi"&amp;"t#gid=0"",""Table 1: Study characteristics!B4:B171""))
)"),"wrong study design")</f>
        <v>wrong study design</v>
      </c>
    </row>
    <row r="1905">
      <c r="A1905" s="4" t="str">
        <f>IFERROR(__xludf.DUMMYFUNCTION("""COMPUTED_VALUE"""),"The Impact of Prenatal Diagnosis of Selected Central Nervous System Anomalies for Prenatal Counselling Based on Significant Pregnancy Morbidity and Neonatal Outcomes")</f>
        <v>The Impact of Prenatal Diagnosis of Selected Central Nervous System Anomalies for Prenatal Counselling Based on Significant Pregnancy Morbidity and Neonatal Outcomes</v>
      </c>
      <c r="B1905" s="5" t="str">
        <f>IFERROR(__xludf.DUMMYFUNCTION("LEFT(FILTER(IMPORTRANGE(""https://docs.google.com/spreadsheets/d/1BJSV3WBYJGRhQ6zExamkszQ5VutGIcaQqmbD9ZTVXMQ/edit#gid=1251630045"",""articles_with_PRISMA_reasons!K2:K2113""), $A1905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$A1905=IMPORTRANGE(""https://docs.google.com/spreadsheets/d/1BJSV3WBYJGRhQ6zExamkszQ5VutGIcaQqmbD9ZTVXMQ/edit#gid=1251630045"",""articles_with_PRISMA_reasons!B2:B2113"")))-1)"),"Metcalfe")</f>
        <v>Metcalfe</v>
      </c>
      <c r="C1905" s="6">
        <f>IFERROR(__xludf.DUMMYFUNCTION("FILTER(IMPORTRANGE(""https://docs.google.com/spreadsheets/d/1BJSV3WBYJGRhQ6zExamkszQ5VutGIcaQqmbD9ZTVXMQ/edit#gid=1251630045"",""articles_with_PRISMA_reasons!C2:C2113""), $A1905=IMPORTRANGE(""https://docs.google.com/spreadsheets/d/1BJSV3WBYJGRhQ6zExamkszQ"&amp;"5VutGIcaQqmbD9ZTVXMQ/edit#gid=1251630045"",""articles_with_PRISMA_reasons!B2:B2113""))"),2019.0)</f>
        <v>2019</v>
      </c>
      <c r="D1905" s="5" t="str">
        <f>IFERROR(__xludf.DUMMYFUNCTION("IFS(AND(
FILTER(IMPORTRANGE(""https://docs.google.com/spreadsheets/d/1BJSV3WBYJGRhQ6zExamkszQ5VutGIcaQqmbD9ZTVXMQ/edit#gid=1251630045"",""articles_with_PRISMA_reasons!Y2:Y2113""), $A1905=IMPORTRANGE(""https://docs.google.com/spreadsheets/d/1BJSV3WBYJGRhQ6"&amp;"zExamkszQ5VutGIcaQqmbD9ZTVXMQ/edit#gid=1251630045"",""articles_with_PRISMA_reasons!B2:B2113""))&gt;=2,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$A1905=IMPORTRANGE(""https://docs.google"&amp;".com/spreadsheets/d/1BJSV3WBYJGRhQ6zExamkszQ5VutGIcaQqmbD9ZTVXMQ/edit#gid=1251630045"",""articles_with_PRISMA_reasons!B2:B2113""))&gt;=2),
""Exclude""
)"),"Exclude")</f>
        <v>Exclude</v>
      </c>
      <c r="E1905" s="5" t="str">
        <f>IFERROR(__xludf.DUMMYFUNCTION("IFS(
D1905=""Exclude"",""Exclude"",
AND(
FILTER(IMPORTRANGE(""https://docs.google.com/spreadsheets/d/1qpEmbGH0JjaJbUdp21-y2cPbobDbMjr09BbtdKROZWc/edit#gid=1444865654"",""articles_with_PRISMA_reasons!W2:W2113""), $A1905=IMPORTRANGE(""https://docs.google.co"&amp;"m/spreadsheets/d/1qpEmbGH0JjaJbUdp21-y2cPbobDbMjr09BbtdKROZWc/edit#gid=1444865654"",""articles_with_PRISMA_reasons!B2:B2113""))&gt;=2,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$A1905=I"&amp;"MPORTRANGE(""https://docs.google.com/spreadsheets/d/1qpEmbGH0JjaJbUdp21-y2cPbobDbMjr09BbtdKROZWc/edit#gid=1444865654"",""articles_with_PRISMA_reasons!B2:B2113""))&gt;=2),
""Exclude""
)"),"Exclude")</f>
        <v>Exclude</v>
      </c>
      <c r="F1905" s="5" t="str">
        <f>IFERROR(__xludf.DUMMYFUNCTION("IFS(
E1905=""Exclude"",""Exclude"",
AND(
COUNTIF(
IMPORTRANGE(""https://docs.google.com/spreadsheets/d/1kGrh75X1cNR1D7_FcY9zMnHP8iPO4M5RCRjy6nZY0TY/edit#gid=0"",""Table 1: Study characteristics!B4:B171""),A1905)&gt;0,
COUNTIF(Studies!$A$2:$A$85,FILTER(IMPORT"&amp;"RANGE(""https://docs.google.com/spreadsheets/d/1kGrh75X1cNR1D7_FcY9zMnHP8iPO4M5RCRjy6nZY0TY/edit#gid=0"",""Table 1: Study characteristics!A4:A171""), $A1905=IMPORTRANGE(""https://docs.google.com/spreadsheets/d/1kGrh75X1cNR1D7_FcY9zMnHP8iPO4M5RCRjy6nZY0TY/"&amp;"edit#gid=0"",""Table 1: Study characteristics!B4:B171"")))&gt;0
),
""Include""
)"),"Exclude")</f>
        <v>Exclude</v>
      </c>
      <c r="G1905" s="5" t="str">
        <f>IFERROR(__xludf.DUMMYFUNCTION("IFS(
D1905=""Exclude"",
FILTER(IMPORTRANGE(""https://docs.google.com/spreadsheets/d/1BJSV3WBYJGRhQ6zExamkszQ5VutGIcaQqmbD9ZTVXMQ/edit#gid=1251630045"",""articles_with_PRISMA_reasons!AB2:AB2113""), $A1905=IMPORTRANGE(""https://docs.google.com/spreadsheets/"&amp;"d/1BJSV3WBYJGRhQ6zExamkszQ5VutGIcaQqmbD9ZTVXMQ/edit#gid=1251630045"",""articles_with_PRISMA_reasons!B2:B2113"")),
E1905=""Exclude"",
FILTER(IMPORTRANGE(""https://docs.google.com/spreadsheets/d/1qpEmbGH0JjaJbUdp21-y2cPbobDbMjr09BbtdKROZWc/edit#gid=14448656"&amp;"54"",""articles_with_PRISMA_reasons!Z2:Z2113""), $A1905=IMPORTRANGE(""https://docs.google.com/spreadsheets/d/1qpEmbGH0JjaJbUdp21-y2cPbobDbMjr09BbtdKROZWc/edit#gid=1444865654"",""articles_with_PRISMA_reasons!B2:B2113"")),F1905
=""Include"",FILTER(IMPORTRAN"&amp;"GE(""https://docs.google.com/spreadsheets/d/1kGrh75X1cNR1D7_FcY9zMnHP8iPO4M5RCRjy6nZY0TY/edit#gid=0"",""Table 1: Study characteristics!A4:A171""), $A1905=IMPORTRANGE(""https://docs.google.com/spreadsheets/d/1kGrh75X1cNR1D7_FcY9zMnHP8iPO4M5RCRjy6nZY0TY/edi"&amp;"t#gid=0"",""Table 1: Study characteristics!B4:B171""))
)"),"wrong population")</f>
        <v>wrong population</v>
      </c>
    </row>
    <row r="1906">
      <c r="A1906" s="4" t="str">
        <f>IFERROR(__xludf.DUMMYFUNCTION("""COMPUTED_VALUE"""),"The impact of spina bifida on development across the first 3 years")</f>
        <v>The impact of spina bifida on development across the first 3 years</v>
      </c>
      <c r="B1906" s="5" t="str">
        <f>IFERROR(__xludf.DUMMYFUNCTION("LEFT(FILTER(IMPORTRANGE(""https://docs.google.com/spreadsheets/d/1BJSV3WBYJGRhQ6zExamkszQ5VutGIcaQqmbD9ZTVXMQ/edit#gid=1251630045"",""articles_with_PRISMA_reasons!K2:K2113""), $A1906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$A1906=IMPORTRANGE(""https://docs.google.com/spreadsheets/d/1BJSV3WBYJGRhQ6zExamkszQ5VutGIcaQqmbD9ZTVXMQ/edit#gid=1251630045"",""articles_with_PRISMA_reasons!B2:B2113"")))-1)"),"Lomax-Bream")</f>
        <v>Lomax-Bream</v>
      </c>
      <c r="C1906" s="6">
        <f>IFERROR(__xludf.DUMMYFUNCTION("FILTER(IMPORTRANGE(""https://docs.google.com/spreadsheets/d/1BJSV3WBYJGRhQ6zExamkszQ5VutGIcaQqmbD9ZTVXMQ/edit#gid=1251630045"",""articles_with_PRISMA_reasons!C2:C2113""), $A1906=IMPORTRANGE(""https://docs.google.com/spreadsheets/d/1BJSV3WBYJGRhQ6zExamkszQ"&amp;"5VutGIcaQqmbD9ZTVXMQ/edit#gid=1251630045"",""articles_with_PRISMA_reasons!B2:B2113""))"),2007.0)</f>
        <v>2007</v>
      </c>
      <c r="D1906" s="5" t="str">
        <f>IFERROR(__xludf.DUMMYFUNCTION("IFS(AND(
FILTER(IMPORTRANGE(""https://docs.google.com/spreadsheets/d/1BJSV3WBYJGRhQ6zExamkszQ5VutGIcaQqmbD9ZTVXMQ/edit#gid=1251630045"",""articles_with_PRISMA_reasons!Y2:Y2113""), $A1906=IMPORTRANGE(""https://docs.google.com/spreadsheets/d/1BJSV3WBYJGRhQ6"&amp;"zExamkszQ5VutGIcaQqmbD9ZTVXMQ/edit#gid=1251630045"",""articles_with_PRISMA_reasons!B2:B2113""))&gt;=2,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$A1906=IMPORTRANGE(""https://docs.google"&amp;".com/spreadsheets/d/1BJSV3WBYJGRhQ6zExamkszQ5VutGIcaQqmbD9ZTVXMQ/edit#gid=1251630045"",""articles_with_PRISMA_reasons!B2:B2113""))&gt;=2),
""Exclude""
)"),"Exclude")</f>
        <v>Exclude</v>
      </c>
      <c r="E1906" s="5" t="str">
        <f>IFERROR(__xludf.DUMMYFUNCTION("IFS(
D1906=""Exclude"",""Exclude"",
AND(
FILTER(IMPORTRANGE(""https://docs.google.com/spreadsheets/d/1qpEmbGH0JjaJbUdp21-y2cPbobDbMjr09BbtdKROZWc/edit#gid=1444865654"",""articles_with_PRISMA_reasons!W2:W2113""), $A1906=IMPORTRANGE(""https://docs.google.co"&amp;"m/spreadsheets/d/1qpEmbGH0JjaJbUdp21-y2cPbobDbMjr09BbtdKROZWc/edit#gid=1444865654"",""articles_with_PRISMA_reasons!B2:B2113""))&gt;=2,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$A1906=I"&amp;"MPORTRANGE(""https://docs.google.com/spreadsheets/d/1qpEmbGH0JjaJbUdp21-y2cPbobDbMjr09BbtdKROZWc/edit#gid=1444865654"",""articles_with_PRISMA_reasons!B2:B2113""))&gt;=2),
""Exclude""
)"),"Exclude")</f>
        <v>Exclude</v>
      </c>
      <c r="F1906" s="5" t="str">
        <f>IFERROR(__xludf.DUMMYFUNCTION("IFS(
E1906=""Exclude"",""Exclude"",
AND(
COUNTIF(
IMPORTRANGE(""https://docs.google.com/spreadsheets/d/1kGrh75X1cNR1D7_FcY9zMnHP8iPO4M5RCRjy6nZY0TY/edit#gid=0"",""Table 1: Study characteristics!B4:B171""),A1906)&gt;0,
COUNTIF(Studies!$A$2:$A$85,FILTER(IMPORT"&amp;"RANGE(""https://docs.google.com/spreadsheets/d/1kGrh75X1cNR1D7_FcY9zMnHP8iPO4M5RCRjy6nZY0TY/edit#gid=0"",""Table 1: Study characteristics!A4:A171""), $A1906=IMPORTRANGE(""https://docs.google.com/spreadsheets/d/1kGrh75X1cNR1D7_FcY9zMnHP8iPO4M5RCRjy6nZY0TY/"&amp;"edit#gid=0"",""Table 1: Study characteristics!B4:B171"")))&gt;0
),
""Include""
)"),"Exclude")</f>
        <v>Exclude</v>
      </c>
      <c r="G1906" s="5" t="str">
        <f>IFERROR(__xludf.DUMMYFUNCTION("IFS(
D1906=""Exclude"",
FILTER(IMPORTRANGE(""https://docs.google.com/spreadsheets/d/1BJSV3WBYJGRhQ6zExamkszQ5VutGIcaQqmbD9ZTVXMQ/edit#gid=1251630045"",""articles_with_PRISMA_reasons!AB2:AB2113""), $A1906=IMPORTRANGE(""https://docs.google.com/spreadsheets/"&amp;"d/1BJSV3WBYJGRhQ6zExamkszQ5VutGIcaQqmbD9ZTVXMQ/edit#gid=1251630045"",""articles_with_PRISMA_reasons!B2:B2113"")),
E1906=""Exclude"",
FILTER(IMPORTRANGE(""https://docs.google.com/spreadsheets/d/1qpEmbGH0JjaJbUdp21-y2cPbobDbMjr09BbtdKROZWc/edit#gid=14448656"&amp;"54"",""articles_with_PRISMA_reasons!Z2:Z2113""), $A1906=IMPORTRANGE(""https://docs.google.com/spreadsheets/d/1qpEmbGH0JjaJbUdp21-y2cPbobDbMjr09BbtdKROZWc/edit#gid=1444865654"",""articles_with_PRISMA_reasons!B2:B2113"")),F1906
=""Include"",FILTER(IMPORTRAN"&amp;"GE(""https://docs.google.com/spreadsheets/d/1kGrh75X1cNR1D7_FcY9zMnHP8iPO4M5RCRjy6nZY0TY/edit#gid=0"",""Table 1: Study characteristics!A4:A171""), $A1906=IMPORTRANGE(""https://docs.google.com/spreadsheets/d/1kGrh75X1cNR1D7_FcY9zMnHP8iPO4M5RCRjy6nZY0TY/edi"&amp;"t#gid=0"",""Table 1: Study characteristics!B4:B171""))
)"),"wrong population")</f>
        <v>wrong population</v>
      </c>
    </row>
    <row r="1907">
      <c r="A1907" s="4" t="str">
        <f>IFERROR(__xludf.DUMMYFUNCTION("""COMPUTED_VALUE"""),"The importance of extent of choroid plexus cauterization in addition to endoscopic third ventriculostomy for infantile hydrocephalus: A retrospective north American observational study using propensity score adjusted analysis")</f>
        <v>The importance of extent of choroid plexus cauterization in addition to endoscopic third ventriculostomy for infantile hydrocephalus: A retrospective north American observational study using propensity score adjusted analysis</v>
      </c>
      <c r="B1907" s="5" t="str">
        <f>IFERROR(__xludf.DUMMYFUNCTION("LEFT(FILTER(IMPORTRANGE(""https://docs.google.com/spreadsheets/d/1BJSV3WBYJGRhQ6zExamkszQ5VutGIcaQqmbD9ZTVXMQ/edit#gid=1251630045"",""articles_with_PRISMA_reasons!K2:K2113""), $A1907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$A1907=IMPORTRANGE(""https://docs.google.com/spreadsheets/d/1BJSV3WBYJGRhQ6zExamkszQ5VutGIcaQqmbD9ZTVXMQ/edit#gid=1251630045"",""articles_with_PRISMA_reasons!B2:B2113"")))-1)"),"Wang")</f>
        <v>Wang</v>
      </c>
      <c r="C1907" s="6">
        <f>IFERROR(__xludf.DUMMYFUNCTION("FILTER(IMPORTRANGE(""https://docs.google.com/spreadsheets/d/1BJSV3WBYJGRhQ6zExamkszQ5VutGIcaQqmbD9ZTVXMQ/edit#gid=1251630045"",""articles_with_PRISMA_reasons!C2:C2113""), $A1907=IMPORTRANGE(""https://docs.google.com/spreadsheets/d/1BJSV3WBYJGRhQ6zExamkszQ"&amp;"5VutGIcaQqmbD9ZTVXMQ/edit#gid=1251630045"",""articles_with_PRISMA_reasons!B2:B2113""))"),2017.0)</f>
        <v>2017</v>
      </c>
      <c r="D1907" s="5" t="str">
        <f>IFERROR(__xludf.DUMMYFUNCTION("IFS(AND(
FILTER(IMPORTRANGE(""https://docs.google.com/spreadsheets/d/1BJSV3WBYJGRhQ6zExamkszQ5VutGIcaQqmbD9ZTVXMQ/edit#gid=1251630045"",""articles_with_PRISMA_reasons!Y2:Y2113""), $A1907=IMPORTRANGE(""https://docs.google.com/spreadsheets/d/1BJSV3WBYJGRhQ6"&amp;"zExamkszQ5VutGIcaQqmbD9ZTVXMQ/edit#gid=1251630045"",""articles_with_PRISMA_reasons!B2:B2113""))&gt;=2,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$A1907=IMPORTRANGE(""https://docs.google"&amp;".com/spreadsheets/d/1BJSV3WBYJGRhQ6zExamkszQ5VutGIcaQqmbD9ZTVXMQ/edit#gid=1251630045"",""articles_with_PRISMA_reasons!B2:B2113""))&gt;=2),
""Exclude""
)"),"Exclude")</f>
        <v>Exclude</v>
      </c>
      <c r="E1907" s="5" t="str">
        <f>IFERROR(__xludf.DUMMYFUNCTION("IFS(
D1907=""Exclude"",""Exclude"",
AND(
FILTER(IMPORTRANGE(""https://docs.google.com/spreadsheets/d/1qpEmbGH0JjaJbUdp21-y2cPbobDbMjr09BbtdKROZWc/edit#gid=1444865654"",""articles_with_PRISMA_reasons!W2:W2113""), $A1907=IMPORTRANGE(""https://docs.google.co"&amp;"m/spreadsheets/d/1qpEmbGH0JjaJbUdp21-y2cPbobDbMjr09BbtdKROZWc/edit#gid=1444865654"",""articles_with_PRISMA_reasons!B2:B2113""))&gt;=2,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$A1907=I"&amp;"MPORTRANGE(""https://docs.google.com/spreadsheets/d/1qpEmbGH0JjaJbUdp21-y2cPbobDbMjr09BbtdKROZWc/edit#gid=1444865654"",""articles_with_PRISMA_reasons!B2:B2113""))&gt;=2),
""Exclude""
)"),"Exclude")</f>
        <v>Exclude</v>
      </c>
      <c r="F1907" s="5" t="str">
        <f>IFERROR(__xludf.DUMMYFUNCTION("IFS(
E1907=""Exclude"",""Exclude"",
AND(
COUNTIF(
IMPORTRANGE(""https://docs.google.com/spreadsheets/d/1kGrh75X1cNR1D7_FcY9zMnHP8iPO4M5RCRjy6nZY0TY/edit#gid=0"",""Table 1: Study characteristics!B4:B171""),A1907)&gt;0,
COUNTIF(Studies!$A$2:$A$85,FILTER(IMPORT"&amp;"RANGE(""https://docs.google.com/spreadsheets/d/1kGrh75X1cNR1D7_FcY9zMnHP8iPO4M5RCRjy6nZY0TY/edit#gid=0"",""Table 1: Study characteristics!A4:A171""), $A1907=IMPORTRANGE(""https://docs.google.com/spreadsheets/d/1kGrh75X1cNR1D7_FcY9zMnHP8iPO4M5RCRjy6nZY0TY/"&amp;"edit#gid=0"",""Table 1: Study characteristics!B4:B171"")))&gt;0
),
""Include""
)"),"Exclude")</f>
        <v>Exclude</v>
      </c>
      <c r="G1907" s="5" t="str">
        <f>IFERROR(__xludf.DUMMYFUNCTION("IFS(
D1907=""Exclude"",
FILTER(IMPORTRANGE(""https://docs.google.com/spreadsheets/d/1BJSV3WBYJGRhQ6zExamkszQ5VutGIcaQqmbD9ZTVXMQ/edit#gid=1251630045"",""articles_with_PRISMA_reasons!AB2:AB2113""), $A1907=IMPORTRANGE(""https://docs.google.com/spreadsheets/"&amp;"d/1BJSV3WBYJGRhQ6zExamkszQ5VutGIcaQqmbD9ZTVXMQ/edit#gid=1251630045"",""articles_with_PRISMA_reasons!B2:B2113"")),
E1907=""Exclude"",
FILTER(IMPORTRANGE(""https://docs.google.com/spreadsheets/d/1qpEmbGH0JjaJbUdp21-y2cPbobDbMjr09BbtdKROZWc/edit#gid=14448656"&amp;"54"",""articles_with_PRISMA_reasons!Z2:Z2113""), $A1907=IMPORTRANGE(""https://docs.google.com/spreadsheets/d/1qpEmbGH0JjaJbUdp21-y2cPbobDbMjr09BbtdKROZWc/edit#gid=1444865654"",""articles_with_PRISMA_reasons!B2:B2113"")),F1907
=""Include"",FILTER(IMPORTRAN"&amp;"GE(""https://docs.google.com/spreadsheets/d/1kGrh75X1cNR1D7_FcY9zMnHP8iPO4M5RCRjy6nZY0TY/edit#gid=0"",""Table 1: Study characteristics!A4:A171""), $A1907=IMPORTRANGE(""https://docs.google.com/spreadsheets/d/1kGrh75X1cNR1D7_FcY9zMnHP8iPO4M5RCRjy6nZY0TY/edi"&amp;"t#gid=0"",""Table 1: Study characteristics!B4:B171""))
)"),"wrong population")</f>
        <v>wrong population</v>
      </c>
    </row>
    <row r="1908">
      <c r="A1908" s="4" t="str">
        <f>IFERROR(__xludf.DUMMYFUNCTION("""COMPUTED_VALUE"""),"The incidence of inguinal complications after ventriculoperitoneal shunt for hydrocephalus")</f>
        <v>The incidence of inguinal complications after ventriculoperitoneal shunt for hydrocephalus</v>
      </c>
      <c r="B1908" s="5" t="str">
        <f>IFERROR(__xludf.DUMMYFUNCTION("LEFT(FILTER(IMPORTRANGE(""https://docs.google.com/spreadsheets/d/1BJSV3WBYJGRhQ6zExamkszQ5VutGIcaQqmbD9ZTVXMQ/edit#gid=1251630045"",""articles_with_PRISMA_reasons!K2:K2113""), $A1908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$A1908=IMPORTRANGE(""https://docs.google.com/spreadsheets/d/1BJSV3WBYJGRhQ6zExamkszQ5VutGIcaQqmbD9ZTVXMQ/edit#gid=1251630045"",""articles_with_PRISMA_reasons!B2:B2113"")))-1)"),"Celik")</f>
        <v>Celik</v>
      </c>
      <c r="C1908" s="6">
        <f>IFERROR(__xludf.DUMMYFUNCTION("FILTER(IMPORTRANGE(""https://docs.google.com/spreadsheets/d/1BJSV3WBYJGRhQ6zExamkszQ5VutGIcaQqmbD9ZTVXMQ/edit#gid=1251630045"",""articles_with_PRISMA_reasons!C2:C2113""), $A1908=IMPORTRANGE(""https://docs.google.com/spreadsheets/d/1BJSV3WBYJGRhQ6zExamkszQ"&amp;"5VutGIcaQqmbD9ZTVXMQ/edit#gid=1251630045"",""articles_with_PRISMA_reasons!B2:B2113""))"),2005.0)</f>
        <v>2005</v>
      </c>
      <c r="D1908" s="5" t="str">
        <f>IFERROR(__xludf.DUMMYFUNCTION("IFS(AND(
FILTER(IMPORTRANGE(""https://docs.google.com/spreadsheets/d/1BJSV3WBYJGRhQ6zExamkszQ5VutGIcaQqmbD9ZTVXMQ/edit#gid=1251630045"",""articles_with_PRISMA_reasons!Y2:Y2113""), $A1908=IMPORTRANGE(""https://docs.google.com/spreadsheets/d/1BJSV3WBYJGRhQ6"&amp;"zExamkszQ5VutGIcaQqmbD9ZTVXMQ/edit#gid=1251630045"",""articles_with_PRISMA_reasons!B2:B2113""))&gt;=2,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$A1908=IMPORTRANGE(""https://docs.google"&amp;".com/spreadsheets/d/1BJSV3WBYJGRhQ6zExamkszQ5VutGIcaQqmbD9ZTVXMQ/edit#gid=1251630045"",""articles_with_PRISMA_reasons!B2:B2113""))&gt;=2),
""Exclude""
)"),"Exclude")</f>
        <v>Exclude</v>
      </c>
      <c r="E1908" s="5" t="str">
        <f>IFERROR(__xludf.DUMMYFUNCTION("IFS(
D1908=""Exclude"",""Exclude"",
AND(
FILTER(IMPORTRANGE(""https://docs.google.com/spreadsheets/d/1qpEmbGH0JjaJbUdp21-y2cPbobDbMjr09BbtdKROZWc/edit#gid=1444865654"",""articles_with_PRISMA_reasons!W2:W2113""), $A1908=IMPORTRANGE(""https://docs.google.co"&amp;"m/spreadsheets/d/1qpEmbGH0JjaJbUdp21-y2cPbobDbMjr09BbtdKROZWc/edit#gid=1444865654"",""articles_with_PRISMA_reasons!B2:B2113""))&gt;=2,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$A1908=I"&amp;"MPORTRANGE(""https://docs.google.com/spreadsheets/d/1qpEmbGH0JjaJbUdp21-y2cPbobDbMjr09BbtdKROZWc/edit#gid=1444865654"",""articles_with_PRISMA_reasons!B2:B2113""))&gt;=2),
""Exclude""
)"),"Exclude")</f>
        <v>Exclude</v>
      </c>
      <c r="F1908" s="5" t="str">
        <f>IFERROR(__xludf.DUMMYFUNCTION("IFS(
E1908=""Exclude"",""Exclude"",
AND(
COUNTIF(
IMPORTRANGE(""https://docs.google.com/spreadsheets/d/1kGrh75X1cNR1D7_FcY9zMnHP8iPO4M5RCRjy6nZY0TY/edit#gid=0"",""Table 1: Study characteristics!B4:B171""),A1908)&gt;0,
COUNTIF(Studies!$A$2:$A$85,FILTER(IMPORT"&amp;"RANGE(""https://docs.google.com/spreadsheets/d/1kGrh75X1cNR1D7_FcY9zMnHP8iPO4M5RCRjy6nZY0TY/edit#gid=0"",""Table 1: Study characteristics!A4:A171""), $A1908=IMPORTRANGE(""https://docs.google.com/spreadsheets/d/1kGrh75X1cNR1D7_FcY9zMnHP8iPO4M5RCRjy6nZY0TY/"&amp;"edit#gid=0"",""Table 1: Study characteristics!B4:B171"")))&gt;0
),
""Include""
)"),"Exclude")</f>
        <v>Exclude</v>
      </c>
      <c r="G1908" s="5" t="str">
        <f>IFERROR(__xludf.DUMMYFUNCTION("IFS(
D1908=""Exclude"",
FILTER(IMPORTRANGE(""https://docs.google.com/spreadsheets/d/1BJSV3WBYJGRhQ6zExamkszQ5VutGIcaQqmbD9ZTVXMQ/edit#gid=1251630045"",""articles_with_PRISMA_reasons!AB2:AB2113""), $A1908=IMPORTRANGE(""https://docs.google.com/spreadsheets/"&amp;"d/1BJSV3WBYJGRhQ6zExamkszQ5VutGIcaQqmbD9ZTVXMQ/edit#gid=1251630045"",""articles_with_PRISMA_reasons!B2:B2113"")),
E1908=""Exclude"",
FILTER(IMPORTRANGE(""https://docs.google.com/spreadsheets/d/1qpEmbGH0JjaJbUdp21-y2cPbobDbMjr09BbtdKROZWc/edit#gid=14448656"&amp;"54"",""articles_with_PRISMA_reasons!Z2:Z2113""), $A1908=IMPORTRANGE(""https://docs.google.com/spreadsheets/d/1qpEmbGH0JjaJbUdp21-y2cPbobDbMjr09BbtdKROZWc/edit#gid=1444865654"",""articles_with_PRISMA_reasons!B2:B2113"")),F1908
=""Include"",FILTER(IMPORTRAN"&amp;"GE(""https://docs.google.com/spreadsheets/d/1kGrh75X1cNR1D7_FcY9zMnHP8iPO4M5RCRjy6nZY0TY/edit#gid=0"",""Table 1: Study characteristics!A4:A171""), $A1908=IMPORTRANGE(""https://docs.google.com/spreadsheets/d/1kGrh75X1cNR1D7_FcY9zMnHP8iPO4M5RCRjy6nZY0TY/edi"&amp;"t#gid=0"",""Table 1: Study characteristics!B4:B171""))
)"),"wrong study design")</f>
        <v>wrong study design</v>
      </c>
    </row>
    <row r="1909">
      <c r="A1909" s="4" t="str">
        <f>IFERROR(__xludf.DUMMYFUNCTION("""COMPUTED_VALUE"""),"The incidence of selected congenital malformations during a two-year period in Tehran, Iran")</f>
        <v>The incidence of selected congenital malformations during a two-year period in Tehran, Iran</v>
      </c>
      <c r="B1909" s="5" t="str">
        <f>IFERROR(__xludf.DUMMYFUNCTION("LEFT(FILTER(IMPORTRANGE(""https://docs.google.com/spreadsheets/d/1BJSV3WBYJGRhQ6zExamkszQ5VutGIcaQqmbD9ZTVXMQ/edit#gid=1251630045"",""articles_with_PRISMA_reasons!K2:K2113""), $A1909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$A1909=IMPORTRANGE(""https://docs.google.com/spreadsheets/d/1BJSV3WBYJGRhQ6zExamkszQ5VutGIcaQqmbD9ZTVXMQ/edit#gid=1251630045"",""articles_with_PRISMA_reasons!B2:B2113"")))-1)"),"Delshad")</f>
        <v>Delshad</v>
      </c>
      <c r="C1909" s="6">
        <f>IFERROR(__xludf.DUMMYFUNCTION("FILTER(IMPORTRANGE(""https://docs.google.com/spreadsheets/d/1BJSV3WBYJGRhQ6zExamkszQ5VutGIcaQqmbD9ZTVXMQ/edit#gid=1251630045"",""articles_with_PRISMA_reasons!C2:C2113""), $A1909=IMPORTRANGE(""https://docs.google.com/spreadsheets/d/1BJSV3WBYJGRhQ6zExamkszQ"&amp;"5VutGIcaQqmbD9ZTVXMQ/edit#gid=1251630045"",""articles_with_PRISMA_reasons!B2:B2113""))"),2009.0)</f>
        <v>2009</v>
      </c>
      <c r="D1909" s="5" t="str">
        <f>IFERROR(__xludf.DUMMYFUNCTION("IFS(AND(
FILTER(IMPORTRANGE(""https://docs.google.com/spreadsheets/d/1BJSV3WBYJGRhQ6zExamkszQ5VutGIcaQqmbD9ZTVXMQ/edit#gid=1251630045"",""articles_with_PRISMA_reasons!Y2:Y2113""), $A1909=IMPORTRANGE(""https://docs.google.com/spreadsheets/d/1BJSV3WBYJGRhQ6"&amp;"zExamkszQ5VutGIcaQqmbD9ZTVXMQ/edit#gid=1251630045"",""articles_with_PRISMA_reasons!B2:B2113""))&gt;=2,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$A1909=IMPORTRANGE(""https://docs.google"&amp;".com/spreadsheets/d/1BJSV3WBYJGRhQ6zExamkszQ5VutGIcaQqmbD9ZTVXMQ/edit#gid=1251630045"",""articles_with_PRISMA_reasons!B2:B2113""))&gt;=2),
""Exclude""
)"),"Exclude")</f>
        <v>Exclude</v>
      </c>
      <c r="E1909" s="5" t="str">
        <f>IFERROR(__xludf.DUMMYFUNCTION("IFS(
D1909=""Exclude"",""Exclude"",
AND(
FILTER(IMPORTRANGE(""https://docs.google.com/spreadsheets/d/1qpEmbGH0JjaJbUdp21-y2cPbobDbMjr09BbtdKROZWc/edit#gid=1444865654"",""articles_with_PRISMA_reasons!W2:W2113""), $A1909=IMPORTRANGE(""https://docs.google.co"&amp;"m/spreadsheets/d/1qpEmbGH0JjaJbUdp21-y2cPbobDbMjr09BbtdKROZWc/edit#gid=1444865654"",""articles_with_PRISMA_reasons!B2:B2113""))&gt;=2,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$A1909=I"&amp;"MPORTRANGE(""https://docs.google.com/spreadsheets/d/1qpEmbGH0JjaJbUdp21-y2cPbobDbMjr09BbtdKROZWc/edit#gid=1444865654"",""articles_with_PRISMA_reasons!B2:B2113""))&gt;=2),
""Exclude""
)"),"Exclude")</f>
        <v>Exclude</v>
      </c>
      <c r="F1909" s="5" t="str">
        <f>IFERROR(__xludf.DUMMYFUNCTION("IFS(
E1909=""Exclude"",""Exclude"",
AND(
COUNTIF(
IMPORTRANGE(""https://docs.google.com/spreadsheets/d/1kGrh75X1cNR1D7_FcY9zMnHP8iPO4M5RCRjy6nZY0TY/edit#gid=0"",""Table 1: Study characteristics!B4:B171""),A1909)&gt;0,
COUNTIF(Studies!$A$2:$A$85,FILTER(IMPORT"&amp;"RANGE(""https://docs.google.com/spreadsheets/d/1kGrh75X1cNR1D7_FcY9zMnHP8iPO4M5RCRjy6nZY0TY/edit#gid=0"",""Table 1: Study characteristics!A4:A171""), $A1909=IMPORTRANGE(""https://docs.google.com/spreadsheets/d/1kGrh75X1cNR1D7_FcY9zMnHP8iPO4M5RCRjy6nZY0TY/"&amp;"edit#gid=0"",""Table 1: Study characteristics!B4:B171"")))&gt;0
),
""Include""
)"),"Exclude")</f>
        <v>Exclude</v>
      </c>
      <c r="G1909" s="5" t="str">
        <f>IFERROR(__xludf.DUMMYFUNCTION("IFS(
D1909=""Exclude"",
FILTER(IMPORTRANGE(""https://docs.google.com/spreadsheets/d/1BJSV3WBYJGRhQ6zExamkszQ5VutGIcaQqmbD9ZTVXMQ/edit#gid=1251630045"",""articles_with_PRISMA_reasons!AB2:AB2113""), $A1909=IMPORTRANGE(""https://docs.google.com/spreadsheets/"&amp;"d/1BJSV3WBYJGRhQ6zExamkszQ5VutGIcaQqmbD9ZTVXMQ/edit#gid=1251630045"",""articles_with_PRISMA_reasons!B2:B2113"")),
E1909=""Exclude"",
FILTER(IMPORTRANGE(""https://docs.google.com/spreadsheets/d/1qpEmbGH0JjaJbUdp21-y2cPbobDbMjr09BbtdKROZWc/edit#gid=14448656"&amp;"54"",""articles_with_PRISMA_reasons!Z2:Z2113""), $A1909=IMPORTRANGE(""https://docs.google.com/spreadsheets/d/1qpEmbGH0JjaJbUdp21-y2cPbobDbMjr09BbtdKROZWc/edit#gid=1444865654"",""articles_with_PRISMA_reasons!B2:B2113"")),F1909
=""Include"",FILTER(IMPORTRAN"&amp;"GE(""https://docs.google.com/spreadsheets/d/1kGrh75X1cNR1D7_FcY9zMnHP8iPO4M5RCRjy6nZY0TY/edit#gid=0"",""Table 1: Study characteristics!A4:A171""), $A1909=IMPORTRANGE(""https://docs.google.com/spreadsheets/d/1kGrh75X1cNR1D7_FcY9zMnHP8iPO4M5RCRjy6nZY0TY/edi"&amp;"t#gid=0"",""Table 1: Study characteristics!B4:B171""))
)"),"wrong population")</f>
        <v>wrong population</v>
      </c>
    </row>
    <row r="1910">
      <c r="A1910" s="4" t="str">
        <f>IFERROR(__xludf.DUMMYFUNCTION("""COMPUTED_VALUE"""),"The influence of bowel management on urodynamic findings in spina bifida children with detrusor overactivity and detrusor sphincter dyssynergia")</f>
        <v>The influence of bowel management on urodynamic findings in spina bifida children with detrusor overactivity and detrusor sphincter dyssynergia</v>
      </c>
      <c r="B1910" s="5" t="str">
        <f>IFERROR(__xludf.DUMMYFUNCTION("LEFT(FILTER(IMPORTRANGE(""https://docs.google.com/spreadsheets/d/1BJSV3WBYJGRhQ6zExamkszQ5VutGIcaQqmbD9ZTVXMQ/edit#gid=1251630045"",""articles_with_PRISMA_reasons!K2:K2113""), $A1910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$A1910=IMPORTRANGE(""https://docs.google.com/spreadsheets/d/1BJSV3WBYJGRhQ6zExamkszQ5VutGIcaQqmbD9ZTVXMQ/edit#gid=1251630045"",""articles_with_PRISMA_reasons!B2:B2113"")))-1)"),"Milivojevic")</f>
        <v>Milivojevic</v>
      </c>
      <c r="C1910" s="6">
        <f>IFERROR(__xludf.DUMMYFUNCTION("FILTER(IMPORTRANGE(""https://docs.google.com/spreadsheets/d/1BJSV3WBYJGRhQ6zExamkszQ5VutGIcaQqmbD9ZTVXMQ/edit#gid=1251630045"",""articles_with_PRISMA_reasons!C2:C2113""), $A1910=IMPORTRANGE(""https://docs.google.com/spreadsheets/d/1BJSV3WBYJGRhQ6zExamkszQ"&amp;"5VutGIcaQqmbD9ZTVXMQ/edit#gid=1251630045"",""articles_with_PRISMA_reasons!B2:B2113""))"),2020.0)</f>
        <v>2020</v>
      </c>
      <c r="D1910" s="5" t="str">
        <f>IFERROR(__xludf.DUMMYFUNCTION("IFS(AND(
FILTER(IMPORTRANGE(""https://docs.google.com/spreadsheets/d/1BJSV3WBYJGRhQ6zExamkszQ5VutGIcaQqmbD9ZTVXMQ/edit#gid=1251630045"",""articles_with_PRISMA_reasons!Y2:Y2113""), $A1910=IMPORTRANGE(""https://docs.google.com/spreadsheets/d/1BJSV3WBYJGRhQ6"&amp;"zExamkszQ5VutGIcaQqmbD9ZTVXMQ/edit#gid=1251630045"",""articles_with_PRISMA_reasons!B2:B2113""))&gt;=2,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$A1910=IMPORTRANGE(""https://docs.google"&amp;".com/spreadsheets/d/1BJSV3WBYJGRhQ6zExamkszQ5VutGIcaQqmbD9ZTVXMQ/edit#gid=1251630045"",""articles_with_PRISMA_reasons!B2:B2113""))&gt;=2),
""Exclude""
)"),"Exclude")</f>
        <v>Exclude</v>
      </c>
      <c r="E1910" s="5" t="str">
        <f>IFERROR(__xludf.DUMMYFUNCTION("IFS(
D1910=""Exclude"",""Exclude"",
AND(
FILTER(IMPORTRANGE(""https://docs.google.com/spreadsheets/d/1qpEmbGH0JjaJbUdp21-y2cPbobDbMjr09BbtdKROZWc/edit#gid=1444865654"",""articles_with_PRISMA_reasons!W2:W2113""), $A1910=IMPORTRANGE(""https://docs.google.co"&amp;"m/spreadsheets/d/1qpEmbGH0JjaJbUdp21-y2cPbobDbMjr09BbtdKROZWc/edit#gid=1444865654"",""articles_with_PRISMA_reasons!B2:B2113""))&gt;=2,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$A1910=I"&amp;"MPORTRANGE(""https://docs.google.com/spreadsheets/d/1qpEmbGH0JjaJbUdp21-y2cPbobDbMjr09BbtdKROZWc/edit#gid=1444865654"",""articles_with_PRISMA_reasons!B2:B2113""))&gt;=2),
""Exclude""
)"),"Exclude")</f>
        <v>Exclude</v>
      </c>
      <c r="F1910" s="5" t="str">
        <f>IFERROR(__xludf.DUMMYFUNCTION("IFS(
E1910=""Exclude"",""Exclude"",
AND(
COUNTIF(
IMPORTRANGE(""https://docs.google.com/spreadsheets/d/1kGrh75X1cNR1D7_FcY9zMnHP8iPO4M5RCRjy6nZY0TY/edit#gid=0"",""Table 1: Study characteristics!B4:B171""),A1910)&gt;0,
COUNTIF(Studies!$A$2:$A$85,FILTER(IMPORT"&amp;"RANGE(""https://docs.google.com/spreadsheets/d/1kGrh75X1cNR1D7_FcY9zMnHP8iPO4M5RCRjy6nZY0TY/edit#gid=0"",""Table 1: Study characteristics!A4:A171""), $A1910=IMPORTRANGE(""https://docs.google.com/spreadsheets/d/1kGrh75X1cNR1D7_FcY9zMnHP8iPO4M5RCRjy6nZY0TY/"&amp;"edit#gid=0"",""Table 1: Study characteristics!B4:B171"")))&gt;0
),
""Include""
)"),"Exclude")</f>
        <v>Exclude</v>
      </c>
      <c r="G1910" s="5" t="str">
        <f>IFERROR(__xludf.DUMMYFUNCTION("IFS(
D1910=""Exclude"",
FILTER(IMPORTRANGE(""https://docs.google.com/spreadsheets/d/1BJSV3WBYJGRhQ6zExamkszQ5VutGIcaQqmbD9ZTVXMQ/edit#gid=1251630045"",""articles_with_PRISMA_reasons!AB2:AB2113""), $A1910=IMPORTRANGE(""https://docs.google.com/spreadsheets/"&amp;"d/1BJSV3WBYJGRhQ6zExamkszQ5VutGIcaQqmbD9ZTVXMQ/edit#gid=1251630045"",""articles_with_PRISMA_reasons!B2:B2113"")),
E1910=""Exclude"",
FILTER(IMPORTRANGE(""https://docs.google.com/spreadsheets/d/1qpEmbGH0JjaJbUdp21-y2cPbobDbMjr09BbtdKROZWc/edit#gid=14448656"&amp;"54"",""articles_with_PRISMA_reasons!Z2:Z2113""), $A1910=IMPORTRANGE(""https://docs.google.com/spreadsheets/d/1qpEmbGH0JjaJbUdp21-y2cPbobDbMjr09BbtdKROZWc/edit#gid=1444865654"",""articles_with_PRISMA_reasons!B2:B2113"")),F1910
=""Include"",FILTER(IMPORTRAN"&amp;"GE(""https://docs.google.com/spreadsheets/d/1kGrh75X1cNR1D7_FcY9zMnHP8iPO4M5RCRjy6nZY0TY/edit#gid=0"",""Table 1: Study characteristics!A4:A171""), $A1910=IMPORTRANGE(""https://docs.google.com/spreadsheets/d/1kGrh75X1cNR1D7_FcY9zMnHP8iPO4M5RCRjy6nZY0TY/edi"&amp;"t#gid=0"",""Table 1: Study characteristics!B4:B171""))
)"),"wrong population")</f>
        <v>wrong population</v>
      </c>
    </row>
    <row r="1911">
      <c r="A1911" s="4" t="str">
        <f>IFERROR(__xludf.DUMMYFUNCTION("""COMPUTED_VALUE"""),"The initial treatment of hydrocephalus: An assessment of surgeons' preference between third ventriculostomy and shunt insertion")</f>
        <v>The initial treatment of hydrocephalus: An assessment of surgeons' preference between third ventriculostomy and shunt insertion</v>
      </c>
      <c r="B1911" s="5" t="str">
        <f>IFERROR(__xludf.DUMMYFUNCTION("LEFT(FILTER(IMPORTRANGE(""https://docs.google.com/spreadsheets/d/1BJSV3WBYJGRhQ6zExamkszQ5VutGIcaQqmbD9ZTVXMQ/edit#gid=1251630045"",""articles_with_PRISMA_reasons!K2:K2113""), $A1911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$A1911=IMPORTRANGE(""https://docs.google.com/spreadsheets/d/1BJSV3WBYJGRhQ6zExamkszQ5VutGIcaQqmbD9ZTVXMQ/edit#gid=1251630045"",""articles_with_PRISMA_reasons!B2:B2113"")))-1)"),"Cochrane")</f>
        <v>Cochrane</v>
      </c>
      <c r="C1911" s="6">
        <f>IFERROR(__xludf.DUMMYFUNCTION("FILTER(IMPORTRANGE(""https://docs.google.com/spreadsheets/d/1BJSV3WBYJGRhQ6zExamkszQ5VutGIcaQqmbD9ZTVXMQ/edit#gid=1251630045"",""articles_with_PRISMA_reasons!C2:C2113""), $A1911=IMPORTRANGE(""https://docs.google.com/spreadsheets/d/1BJSV3WBYJGRhQ6zExamkszQ"&amp;"5VutGIcaQqmbD9ZTVXMQ/edit#gid=1251630045"",""articles_with_PRISMA_reasons!B2:B2113""))"),2000.0)</f>
        <v>2000</v>
      </c>
      <c r="D1911" s="5" t="str">
        <f>IFERROR(__xludf.DUMMYFUNCTION("IFS(AND(
FILTER(IMPORTRANGE(""https://docs.google.com/spreadsheets/d/1BJSV3WBYJGRhQ6zExamkszQ5VutGIcaQqmbD9ZTVXMQ/edit#gid=1251630045"",""articles_with_PRISMA_reasons!Y2:Y2113""), $A1911=IMPORTRANGE(""https://docs.google.com/spreadsheets/d/1BJSV3WBYJGRhQ6"&amp;"zExamkszQ5VutGIcaQqmbD9ZTVXMQ/edit#gid=1251630045"",""articles_with_PRISMA_reasons!B2:B2113""))&gt;=2,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$A1911=IMPORTRANGE(""https://docs.google"&amp;".com/spreadsheets/d/1BJSV3WBYJGRhQ6zExamkszQ5VutGIcaQqmbD9ZTVXMQ/edit#gid=1251630045"",""articles_with_PRISMA_reasons!B2:B2113""))&gt;=2),
""Exclude""
)"),"Exclude")</f>
        <v>Exclude</v>
      </c>
      <c r="E1911" s="5" t="str">
        <f>IFERROR(__xludf.DUMMYFUNCTION("IFS(
D1911=""Exclude"",""Exclude"",
AND(
FILTER(IMPORTRANGE(""https://docs.google.com/spreadsheets/d/1qpEmbGH0JjaJbUdp21-y2cPbobDbMjr09BbtdKROZWc/edit#gid=1444865654"",""articles_with_PRISMA_reasons!W2:W2113""), $A1911=IMPORTRANGE(""https://docs.google.co"&amp;"m/spreadsheets/d/1qpEmbGH0JjaJbUdp21-y2cPbobDbMjr09BbtdKROZWc/edit#gid=1444865654"",""articles_with_PRISMA_reasons!B2:B2113""))&gt;=2,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$A1911=I"&amp;"MPORTRANGE(""https://docs.google.com/spreadsheets/d/1qpEmbGH0JjaJbUdp21-y2cPbobDbMjr09BbtdKROZWc/edit#gid=1444865654"",""articles_with_PRISMA_reasons!B2:B2113""))&gt;=2),
""Exclude""
)"),"Exclude")</f>
        <v>Exclude</v>
      </c>
      <c r="F1911" s="5" t="str">
        <f>IFERROR(__xludf.DUMMYFUNCTION("IFS(
E1911=""Exclude"",""Exclude"",
AND(
COUNTIF(
IMPORTRANGE(""https://docs.google.com/spreadsheets/d/1kGrh75X1cNR1D7_FcY9zMnHP8iPO4M5RCRjy6nZY0TY/edit#gid=0"",""Table 1: Study characteristics!B4:B171""),A1911)&gt;0,
COUNTIF(Studies!$A$2:$A$85,FILTER(IMPORT"&amp;"RANGE(""https://docs.google.com/spreadsheets/d/1kGrh75X1cNR1D7_FcY9zMnHP8iPO4M5RCRjy6nZY0TY/edit#gid=0"",""Table 1: Study characteristics!A4:A171""), $A1911=IMPORTRANGE(""https://docs.google.com/spreadsheets/d/1kGrh75X1cNR1D7_FcY9zMnHP8iPO4M5RCRjy6nZY0TY/"&amp;"edit#gid=0"",""Table 1: Study characteristics!B4:B171"")))&gt;0
),
""Include""
)"),"Exclude")</f>
        <v>Exclude</v>
      </c>
      <c r="G1911" s="5" t="str">
        <f>IFERROR(__xludf.DUMMYFUNCTION("IFS(
D1911=""Exclude"",
FILTER(IMPORTRANGE(""https://docs.google.com/spreadsheets/d/1BJSV3WBYJGRhQ6zExamkszQ5VutGIcaQqmbD9ZTVXMQ/edit#gid=1251630045"",""articles_with_PRISMA_reasons!AB2:AB2113""), $A1911=IMPORTRANGE(""https://docs.google.com/spreadsheets/"&amp;"d/1BJSV3WBYJGRhQ6zExamkszQ5VutGIcaQqmbD9ZTVXMQ/edit#gid=1251630045"",""articles_with_PRISMA_reasons!B2:B2113"")),
E1911=""Exclude"",
FILTER(IMPORTRANGE(""https://docs.google.com/spreadsheets/d/1qpEmbGH0JjaJbUdp21-y2cPbobDbMjr09BbtdKROZWc/edit#gid=14448656"&amp;"54"",""articles_with_PRISMA_reasons!Z2:Z2113""), $A1911=IMPORTRANGE(""https://docs.google.com/spreadsheets/d/1qpEmbGH0JjaJbUdp21-y2cPbobDbMjr09BbtdKROZWc/edit#gid=1444865654"",""articles_with_PRISMA_reasons!B2:B2113"")),F1911
=""Include"",FILTER(IMPORTRAN"&amp;"GE(""https://docs.google.com/spreadsheets/d/1kGrh75X1cNR1D7_FcY9zMnHP8iPO4M5RCRjy6nZY0TY/edit#gid=0"",""Table 1: Study characteristics!A4:A171""), $A1911=IMPORTRANGE(""https://docs.google.com/spreadsheets/d/1kGrh75X1cNR1D7_FcY9zMnHP8iPO4M5RCRjy6nZY0TY/edi"&amp;"t#gid=0"",""Table 1: Study characteristics!B4:B171""))
)"),"wrong study design")</f>
        <v>wrong study design</v>
      </c>
    </row>
    <row r="1912">
      <c r="A1912" s="4" t="str">
        <f>IFERROR(__xludf.DUMMYFUNCTION("""COMPUTED_VALUE"""),"The intersection of fetal palliative care and fetal surgery: Addressing mortality and quality of life")</f>
        <v>The intersection of fetal palliative care and fetal surgery: Addressing mortality and quality of life</v>
      </c>
      <c r="B1912" s="5" t="str">
        <f>IFERROR(__xludf.DUMMYFUNCTION("LEFT(FILTER(IMPORTRANGE(""https://docs.google.com/spreadsheets/d/1BJSV3WBYJGRhQ6zExamkszQ5VutGIcaQqmbD9ZTVXMQ/edit#gid=1251630045"",""articles_with_PRISMA_reasons!K2:K2113""), $A1912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$A1912=IMPORTRANGE(""https://docs.google.com/spreadsheets/d/1BJSV3WBYJGRhQ6zExamkszQ5VutGIcaQqmbD9ZTVXMQ/edit#gid=1251630045"",""articles_with_PRISMA_reasons!B2:B2113"")))-1)"),"Munson")</f>
        <v>Munson</v>
      </c>
      <c r="C1912" s="6">
        <f>IFERROR(__xludf.DUMMYFUNCTION("FILTER(IMPORTRANGE(""https://docs.google.com/spreadsheets/d/1BJSV3WBYJGRhQ6zExamkszQ5VutGIcaQqmbD9ZTVXMQ/edit#gid=1251630045"",""articles_with_PRISMA_reasons!C2:C2113""), $A1912=IMPORTRANGE(""https://docs.google.com/spreadsheets/d/1BJSV3WBYJGRhQ6zExamkszQ"&amp;"5VutGIcaQqmbD9ZTVXMQ/edit#gid=1251630045"",""articles_with_PRISMA_reasons!B2:B2113""))"),2017.0)</f>
        <v>2017</v>
      </c>
      <c r="D1912" s="5" t="str">
        <f>IFERROR(__xludf.DUMMYFUNCTION("IFS(AND(
FILTER(IMPORTRANGE(""https://docs.google.com/spreadsheets/d/1BJSV3WBYJGRhQ6zExamkszQ5VutGIcaQqmbD9ZTVXMQ/edit#gid=1251630045"",""articles_with_PRISMA_reasons!Y2:Y2113""), $A1912=IMPORTRANGE(""https://docs.google.com/spreadsheets/d/1BJSV3WBYJGRhQ6"&amp;"zExamkszQ5VutGIcaQqmbD9ZTVXMQ/edit#gid=1251630045"",""articles_with_PRISMA_reasons!B2:B2113""))&gt;=2,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$A1912=IMPORTRANGE(""https://docs.google"&amp;".com/spreadsheets/d/1BJSV3WBYJGRhQ6zExamkszQ5VutGIcaQqmbD9ZTVXMQ/edit#gid=1251630045"",""articles_with_PRISMA_reasons!B2:B2113""))&gt;=2),
""Exclude""
)"),"Exclude")</f>
        <v>Exclude</v>
      </c>
      <c r="E1912" s="5" t="str">
        <f>IFERROR(__xludf.DUMMYFUNCTION("IFS(
D1912=""Exclude"",""Exclude"",
AND(
FILTER(IMPORTRANGE(""https://docs.google.com/spreadsheets/d/1qpEmbGH0JjaJbUdp21-y2cPbobDbMjr09BbtdKROZWc/edit#gid=1444865654"",""articles_with_PRISMA_reasons!W2:W2113""), $A1912=IMPORTRANGE(""https://docs.google.co"&amp;"m/spreadsheets/d/1qpEmbGH0JjaJbUdp21-y2cPbobDbMjr09BbtdKROZWc/edit#gid=1444865654"",""articles_with_PRISMA_reasons!B2:B2113""))&gt;=2,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$A1912=I"&amp;"MPORTRANGE(""https://docs.google.com/spreadsheets/d/1qpEmbGH0JjaJbUdp21-y2cPbobDbMjr09BbtdKROZWc/edit#gid=1444865654"",""articles_with_PRISMA_reasons!B2:B2113""))&gt;=2),
""Exclude""
)"),"Exclude")</f>
        <v>Exclude</v>
      </c>
      <c r="F1912" s="5" t="str">
        <f>IFERROR(__xludf.DUMMYFUNCTION("IFS(
E1912=""Exclude"",""Exclude"",
AND(
COUNTIF(
IMPORTRANGE(""https://docs.google.com/spreadsheets/d/1kGrh75X1cNR1D7_FcY9zMnHP8iPO4M5RCRjy6nZY0TY/edit#gid=0"",""Table 1: Study characteristics!B4:B171""),A1912)&gt;0,
COUNTIF(Studies!$A$2:$A$85,FILTER(IMPORT"&amp;"RANGE(""https://docs.google.com/spreadsheets/d/1kGrh75X1cNR1D7_FcY9zMnHP8iPO4M5RCRjy6nZY0TY/edit#gid=0"",""Table 1: Study characteristics!A4:A171""), $A1912=IMPORTRANGE(""https://docs.google.com/spreadsheets/d/1kGrh75X1cNR1D7_FcY9zMnHP8iPO4M5RCRjy6nZY0TY/"&amp;"edit#gid=0"",""Table 1: Study characteristics!B4:B171"")))&gt;0
),
""Include""
)"),"Exclude")</f>
        <v>Exclude</v>
      </c>
      <c r="G1912" s="5" t="str">
        <f>IFERROR(__xludf.DUMMYFUNCTION("IFS(
D1912=""Exclude"",
FILTER(IMPORTRANGE(""https://docs.google.com/spreadsheets/d/1BJSV3WBYJGRhQ6zExamkszQ5VutGIcaQqmbD9ZTVXMQ/edit#gid=1251630045"",""articles_with_PRISMA_reasons!AB2:AB2113""), $A1912=IMPORTRANGE(""https://docs.google.com/spreadsheets/"&amp;"d/1BJSV3WBYJGRhQ6zExamkszQ5VutGIcaQqmbD9ZTVXMQ/edit#gid=1251630045"",""articles_with_PRISMA_reasons!B2:B2113"")),
E1912=""Exclude"",
FILTER(IMPORTRANGE(""https://docs.google.com/spreadsheets/d/1qpEmbGH0JjaJbUdp21-y2cPbobDbMjr09BbtdKROZWc/edit#gid=14448656"&amp;"54"",""articles_with_PRISMA_reasons!Z2:Z2113""), $A1912=IMPORTRANGE(""https://docs.google.com/spreadsheets/d/1qpEmbGH0JjaJbUdp21-y2cPbobDbMjr09BbtdKROZWc/edit#gid=1444865654"",""articles_with_PRISMA_reasons!B2:B2113"")),F1912
=""Include"",FILTER(IMPORTRAN"&amp;"GE(""https://docs.google.com/spreadsheets/d/1kGrh75X1cNR1D7_FcY9zMnHP8iPO4M5RCRjy6nZY0TY/edit#gid=0"",""Table 1: Study characteristics!A4:A171""), $A1912=IMPORTRANGE(""https://docs.google.com/spreadsheets/d/1kGrh75X1cNR1D7_FcY9zMnHP8iPO4M5RCRjy6nZY0TY/edi"&amp;"t#gid=0"",""Table 1: Study characteristics!B4:B171""))
)"),"wrong population")</f>
        <v>wrong population</v>
      </c>
    </row>
    <row r="1913">
      <c r="A1913" s="4" t="str">
        <f>IFERROR(__xludf.DUMMYFUNCTION("""COMPUTED_VALUE"""),"The isolated lateral ventricle. Experience at the Hospital for Sick Children")</f>
        <v>The isolated lateral ventricle. Experience at the Hospital for Sick Children</v>
      </c>
      <c r="B1913" s="5" t="str">
        <f>IFERROR(__xludf.DUMMYFUNCTION("LEFT(FILTER(IMPORTRANGE(""https://docs.google.com/spreadsheets/d/1BJSV3WBYJGRhQ6zExamkszQ5VutGIcaQqmbD9ZTVXMQ/edit#gid=1251630045"",""articles_with_PRISMA_reasons!K2:K2113""), $A1913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$A1913=IMPORTRANGE(""https://docs.google.com/spreadsheets/d/1BJSV3WBYJGRhQ6zExamkszQ5VutGIcaQqmbD9ZTVXMQ/edit#gid=1251630045"",""articles_with_PRISMA_reasons!B2:B2113"")))-1)"),"Hubballah")</f>
        <v>Hubballah</v>
      </c>
      <c r="C1913" s="6">
        <f>IFERROR(__xludf.DUMMYFUNCTION("FILTER(IMPORTRANGE(""https://docs.google.com/spreadsheets/d/1BJSV3WBYJGRhQ6zExamkszQ5VutGIcaQqmbD9ZTVXMQ/edit#gid=1251630045"",""articles_with_PRISMA_reasons!C2:C2113""), $A1913=IMPORTRANGE(""https://docs.google.com/spreadsheets/d/1BJSV3WBYJGRhQ6zExamkszQ"&amp;"5VutGIcaQqmbD9ZTVXMQ/edit#gid=1251630045"",""articles_with_PRISMA_reasons!B2:B2113""))"),1987.0)</f>
        <v>1987</v>
      </c>
      <c r="D1913" s="5" t="str">
        <f>IFERROR(__xludf.DUMMYFUNCTION("IFS(AND(
FILTER(IMPORTRANGE(""https://docs.google.com/spreadsheets/d/1BJSV3WBYJGRhQ6zExamkszQ5VutGIcaQqmbD9ZTVXMQ/edit#gid=1251630045"",""articles_with_PRISMA_reasons!Y2:Y2113""), $A1913=IMPORTRANGE(""https://docs.google.com/spreadsheets/d/1BJSV3WBYJGRhQ6"&amp;"zExamkszQ5VutGIcaQqmbD9ZTVXMQ/edit#gid=1251630045"",""articles_with_PRISMA_reasons!B2:B2113""))&gt;=2,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$A1913=IMPORTRANGE(""https://docs.google"&amp;".com/spreadsheets/d/1BJSV3WBYJGRhQ6zExamkszQ5VutGIcaQqmbD9ZTVXMQ/edit#gid=1251630045"",""articles_with_PRISMA_reasons!B2:B2113""))&gt;=2),
""Exclude""
)"),"Exclude")</f>
        <v>Exclude</v>
      </c>
      <c r="E1913" s="5" t="str">
        <f>IFERROR(__xludf.DUMMYFUNCTION("IFS(
D1913=""Exclude"",""Exclude"",
AND(
FILTER(IMPORTRANGE(""https://docs.google.com/spreadsheets/d/1qpEmbGH0JjaJbUdp21-y2cPbobDbMjr09BbtdKROZWc/edit#gid=1444865654"",""articles_with_PRISMA_reasons!W2:W2113""), $A1913=IMPORTRANGE(""https://docs.google.co"&amp;"m/spreadsheets/d/1qpEmbGH0JjaJbUdp21-y2cPbobDbMjr09BbtdKROZWc/edit#gid=1444865654"",""articles_with_PRISMA_reasons!B2:B2113""))&gt;=2,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$A1913=I"&amp;"MPORTRANGE(""https://docs.google.com/spreadsheets/d/1qpEmbGH0JjaJbUdp21-y2cPbobDbMjr09BbtdKROZWc/edit#gid=1444865654"",""articles_with_PRISMA_reasons!B2:B2113""))&gt;=2),
""Exclude""
)"),"Exclude")</f>
        <v>Exclude</v>
      </c>
      <c r="F1913" s="5" t="str">
        <f>IFERROR(__xludf.DUMMYFUNCTION("IFS(
E1913=""Exclude"",""Exclude"",
AND(
COUNTIF(
IMPORTRANGE(""https://docs.google.com/spreadsheets/d/1kGrh75X1cNR1D7_FcY9zMnHP8iPO4M5RCRjy6nZY0TY/edit#gid=0"",""Table 1: Study characteristics!B4:B171""),A1913)&gt;0,
COUNTIF(Studies!$A$2:$A$85,FILTER(IMPORT"&amp;"RANGE(""https://docs.google.com/spreadsheets/d/1kGrh75X1cNR1D7_FcY9zMnHP8iPO4M5RCRjy6nZY0TY/edit#gid=0"",""Table 1: Study characteristics!A4:A171""), $A1913=IMPORTRANGE(""https://docs.google.com/spreadsheets/d/1kGrh75X1cNR1D7_FcY9zMnHP8iPO4M5RCRjy6nZY0TY/"&amp;"edit#gid=0"",""Table 1: Study characteristics!B4:B171"")))&gt;0
),
""Include""
)"),"Exclude")</f>
        <v>Exclude</v>
      </c>
      <c r="G1913" s="5" t="str">
        <f>IFERROR(__xludf.DUMMYFUNCTION("IFS(
D1913=""Exclude"",
FILTER(IMPORTRANGE(""https://docs.google.com/spreadsheets/d/1BJSV3WBYJGRhQ6zExamkszQ5VutGIcaQqmbD9ZTVXMQ/edit#gid=1251630045"",""articles_with_PRISMA_reasons!AB2:AB2113""), $A1913=IMPORTRANGE(""https://docs.google.com/spreadsheets/"&amp;"d/1BJSV3WBYJGRhQ6zExamkszQ5VutGIcaQqmbD9ZTVXMQ/edit#gid=1251630045"",""articles_with_PRISMA_reasons!B2:B2113"")),
E1913=""Exclude"",
FILTER(IMPORTRANGE(""https://docs.google.com/spreadsheets/d/1qpEmbGH0JjaJbUdp21-y2cPbobDbMjr09BbtdKROZWc/edit#gid=14448656"&amp;"54"",""articles_with_PRISMA_reasons!Z2:Z2113""), $A1913=IMPORTRANGE(""https://docs.google.com/spreadsheets/d/1qpEmbGH0JjaJbUdp21-y2cPbobDbMjr09BbtdKROZWc/edit#gid=1444865654"",""articles_with_PRISMA_reasons!B2:B2113"")),F1913
=""Include"",FILTER(IMPORTRAN"&amp;"GE(""https://docs.google.com/spreadsheets/d/1kGrh75X1cNR1D7_FcY9zMnHP8iPO4M5RCRjy6nZY0TY/edit#gid=0"",""Table 1: Study characteristics!A4:A171""), $A1913=IMPORTRANGE(""https://docs.google.com/spreadsheets/d/1kGrh75X1cNR1D7_FcY9zMnHP8iPO4M5RCRjy6nZY0TY/edi"&amp;"t#gid=0"",""Table 1: Study characteristics!B4:B171""))
)"),"background article")</f>
        <v>background article</v>
      </c>
    </row>
    <row r="1914">
      <c r="A1914" s="4" t="str">
        <f>IFERROR(__xludf.DUMMYFUNCTION("""COMPUTED_VALUE"""),"The longest use of liposomal amphotericin B and 5-fluorocytosine in neonatal renal candidiasis")</f>
        <v>The longest use of liposomal amphotericin B and 5-fluorocytosine in neonatal renal candidiasis</v>
      </c>
      <c r="B1914" s="5" t="str">
        <f>IFERROR(__xludf.DUMMYFUNCTION("LEFT(FILTER(IMPORTRANGE(""https://docs.google.com/spreadsheets/d/1BJSV3WBYJGRhQ6zExamkszQ5VutGIcaQqmbD9ZTVXMQ/edit#gid=1251630045"",""articles_with_PRISMA_reasons!K2:K2113""), $A1914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$A1914=IMPORTRANGE(""https://docs.google.com/spreadsheets/d/1BJSV3WBYJGRhQ6zExamkszQ5VutGIcaQqmbD9ZTVXMQ/edit#gid=1251630045"",""articles_with_PRISMA_reasons!B2:B2113"")))-1)"),"Alpay")</f>
        <v>Alpay</v>
      </c>
      <c r="C1914" s="6">
        <f>IFERROR(__xludf.DUMMYFUNCTION("FILTER(IMPORTRANGE(""https://docs.google.com/spreadsheets/d/1BJSV3WBYJGRhQ6zExamkszQ5VutGIcaQqmbD9ZTVXMQ/edit#gid=1251630045"",""articles_with_PRISMA_reasons!C2:C2113""), $A1914=IMPORTRANGE(""https://docs.google.com/spreadsheets/d/1BJSV3WBYJGRhQ6zExamkszQ"&amp;"5VutGIcaQqmbD9ZTVXMQ/edit#gid=1251630045"",""articles_with_PRISMA_reasons!B2:B2113""))"),2004.0)</f>
        <v>2004</v>
      </c>
      <c r="D1914" s="5" t="str">
        <f>IFERROR(__xludf.DUMMYFUNCTION("IFS(AND(
FILTER(IMPORTRANGE(""https://docs.google.com/spreadsheets/d/1BJSV3WBYJGRhQ6zExamkszQ5VutGIcaQqmbD9ZTVXMQ/edit#gid=1251630045"",""articles_with_PRISMA_reasons!Y2:Y2113""), $A1914=IMPORTRANGE(""https://docs.google.com/spreadsheets/d/1BJSV3WBYJGRhQ6"&amp;"zExamkszQ5VutGIcaQqmbD9ZTVXMQ/edit#gid=1251630045"",""articles_with_PRISMA_reasons!B2:B2113""))&gt;=2,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$A1914=IMPORTRANGE(""https://docs.google.com/spreadsheets/d/1BJSV3WBYJGRhQ6zExamkszQ5VutGIcaQqmbD9ZTVXMQ/edit#gid=1251630045"",""articles_with_PRISMA_reasons!B2:B2113""))&lt;2),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$A1914=IMPORTRANGE(""https://docs.google.com/spreadsheets/d/1BJSV3WBYJGRhQ6zExamkszQ5VutGIcaQqmbD9ZTVXMQ/edit#gid=1251630045"",""a"&amp;"rticles_with_PRISMA_reasons!B2:B2113""))&lt;2,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$A1914=IMPORTRANGE(""https://docs.google"&amp;".com/spreadsheets/d/1BJSV3WBYJGRhQ6zExamkszQ5VutGIcaQqmbD9ZTVXMQ/edit#gid=1251630045"",""articles_with_PRISMA_reasons!B2:B2113""))&gt;=2),
""Exclude""
)"),"Exclude")</f>
        <v>Exclude</v>
      </c>
      <c r="E1914" s="5" t="str">
        <f>IFERROR(__xludf.DUMMYFUNCTION("IFS(
D1914=""Exclude"",""Exclude"",
AND(
FILTER(IMPORTRANGE(""https://docs.google.com/spreadsheets/d/1qpEmbGH0JjaJbUdp21-y2cPbobDbMjr09BbtdKROZWc/edit#gid=1444865654"",""articles_with_PRISMA_reasons!W2:W2113""), $A1914=IMPORTRANGE(""https://docs.google.co"&amp;"m/spreadsheets/d/1qpEmbGH0JjaJbUdp21-y2cPbobDbMjr09BbtdKROZWc/edit#gid=1444865654"",""articles_with_PRISMA_reasons!B2:B2113""))&gt;=2,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$A1914=IMPORTRANGE(""https://docs.google.com/spreadsheets/d/1qpEmbGH0JjaJbUdp21-y2cPbobDbMjr09BbtdKROZWc/edit#gid=1444865654"",""articles_with_PRISMA_reasons!B2:B2113""))&lt;2),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$A1914=IMPORTRANGE(""https://docs.google.com/spreadsheets/d/1qpEmbGH0JjaJbUdp21-y2cPbobDbMjr09Bbtd"&amp;"KROZWc/edit#gid=1444865654"",""articles_with_PRISMA_reasons!B2:B2113""))&lt;2,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$A1914=I"&amp;"MPORTRANGE(""https://docs.google.com/spreadsheets/d/1qpEmbGH0JjaJbUdp21-y2cPbobDbMjr09BbtdKROZWc/edit#gid=1444865654"",""articles_with_PRISMA_reasons!B2:B2113""))&gt;=2),
""Exclude""
)"),"Exclude")</f>
        <v>Exclude</v>
      </c>
      <c r="F1914" s="5" t="str">
        <f>IFERROR(__xludf.DUMMYFUNCTION("IFS(
E1914=""Exclude"",""Exclude"",
AND(
COUNTIF(
IMPORTRANGE(""https://docs.google.com/spreadsheets/d/1kGrh75X1cNR1D7_FcY9zMnHP8iPO4M5RCRjy6nZY0TY/edit#gid=0"",""Table 1: Study characteristics!B4:B171""),A1914)&gt;0,
COUNTIF(Studies!$A$2:$A$85,FILTER(IMPORT"&amp;"RANGE(""https://docs.google.com/spreadsheets/d/1kGrh75X1cNR1D7_FcY9zMnHP8iPO4M5RCRjy6nZY0TY/edit#gid=0"",""Table 1: Study characteristics!A4:A171""), $A1914=IMPORTRANGE(""https://docs.google.com/spreadsheets/d/1kGrh75X1cNR1D7_FcY9zMnHP8iPO4M5RCRjy6nZY0TY/"&amp;"edit#gid=0"",""Table 1: Study characteristics!B4:B171"")))&gt;0
),
""Include""
)"),"Exclude")</f>
        <v>Exclude</v>
      </c>
      <c r="G1914" s="5" t="str">
        <f>IFERROR(__xludf.DUMMYFUNCTION("IFS(
D1914=""Exclude"",
FILTER(IMPORTRANGE(""https://docs.google.com/spreadsheets/d/1BJSV3WBYJGRhQ6zExamkszQ5VutGIcaQqmbD9ZTVXMQ/edit#gid=1251630045"",""articles_with_PRISMA_reasons!AB2:AB2113""), $A1914=IMPORTRANGE(""https://docs.google.com/spreadsheets/"&amp;"d/1BJSV3WBYJGRhQ6zExamkszQ5VutGIcaQqmbD9ZTVXMQ/edit#gid=1251630045"",""articles_with_PRISMA_reasons!B2:B2113"")),
E1914=""Exclude"",
FILTER(IMPORTRANGE(""https://docs.google.com/spreadsheets/d/1qpEmbGH0JjaJbUdp21-y2cPbobDbMjr09BbtdKROZWc/edit#gid=14448656"&amp;"54"",""articles_with_PRISMA_reasons!Z2:Z2113""), $A1914=IMPORTRANGE(""https://docs.google.com/spreadsheets/d/1qpEmbGH0JjaJbUdp21-y2cPbobDbMjr09BbtdKROZWc/edit#gid=1444865654"",""articles_with_PRISMA_reasons!B2:B2113"")),F1914
=""Include"",FILTER(IMPORTRAN"&amp;"GE(""https://docs.google.com/spreadsheets/d/1kGrh75X1cNR1D7_FcY9zMnHP8iPO4M5RCRjy6nZY0TY/edit#gid=0"",""Table 1: Study characteristics!A4:A171""), $A1914=IMPORTRANGE(""https://docs.google.com/spreadsheets/d/1kGrh75X1cNR1D7_FcY9zMnHP8iPO4M5RCRjy6nZY0TY/edi"&amp;"t#gid=0"",""Table 1: Study characteristics!B4:B171""))
)"),"wrong study design")</f>
        <v>wrong study design</v>
      </c>
    </row>
    <row r="1915">
      <c r="A1915" s="4" t="str">
        <f>IFERROR(__xludf.DUMMYFUNCTION("""COMPUTED_VALUE"""),"The management of kyphosis in patients with myelomeningocele")</f>
        <v>The management of kyphosis in patients with myelomeningocele</v>
      </c>
      <c r="B1915" s="5" t="str">
        <f>IFERROR(__xludf.DUMMYFUNCTION("LEFT(FILTER(IMPORTRANGE(""https://docs.google.com/spreadsheets/d/1BJSV3WBYJGRhQ6zExamkszQ5VutGIcaQqmbD9ZTVXMQ/edit#gid=1251630045"",""articles_with_PRISMA_reasons!K2:K2113""), $A1915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$A1915=IMPORTRANGE(""https://docs.google.com/spreadsheets/d/1BJSV3WBYJGRhQ6zExamkszQ5VutGIcaQqmbD9ZTVXMQ/edit#gid=1251630045"",""articles_with_PRISMA_reasons!B2:B2113"")))-1)"),"Hall")</f>
        <v>Hall</v>
      </c>
      <c r="C1915" s="6">
        <f>IFERROR(__xludf.DUMMYFUNCTION("FILTER(IMPORTRANGE(""https://docs.google.com/spreadsheets/d/1BJSV3WBYJGRhQ6zExamkszQ5VutGIcaQqmbD9ZTVXMQ/edit#gid=1251630045"",""articles_with_PRISMA_reasons!C2:C2113""), $A1915=IMPORTRANGE(""https://docs.google.com/spreadsheets/d/1BJSV3WBYJGRhQ6zExamkszQ"&amp;"5VutGIcaQqmbD9ZTVXMQ/edit#gid=1251630045"",""articles_with_PRISMA_reasons!B2:B2113""))"),1977.0)</f>
        <v>1977</v>
      </c>
      <c r="D1915" s="5" t="str">
        <f>IFERROR(__xludf.DUMMYFUNCTION("IFS(AND(
FILTER(IMPORTRANGE(""https://docs.google.com/spreadsheets/d/1BJSV3WBYJGRhQ6zExamkszQ5VutGIcaQqmbD9ZTVXMQ/edit#gid=1251630045"",""articles_with_PRISMA_reasons!Y2:Y2113""), $A1915=IMPORTRANGE(""https://docs.google.com/spreadsheets/d/1BJSV3WBYJGRhQ6"&amp;"zExamkszQ5VutGIcaQqmbD9ZTVXMQ/edit#gid=1251630045"",""articles_with_PRISMA_reasons!B2:B2113""))&gt;=2,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$A1915=IMPORTRANGE(""https://docs.google.com/spreadsheets/d/1BJSV3WBYJGRhQ6zExamkszQ5VutGIcaQqmbD9ZTVXMQ/edit#gid=1251630045"",""articles_with_PRISMA_reasons!B2:B2113""))&lt;2),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$A1915=IMPORTRANGE(""https://docs.google.com/spreadsheets/d/1BJSV3WBYJGRhQ6zExamkszQ5VutGIcaQqmbD9ZTVXMQ/edit#gid=1251630045"",""a"&amp;"rticles_with_PRISMA_reasons!B2:B2113""))&lt;2,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$A1915=IMPORTRANGE(""https://docs.google"&amp;".com/spreadsheets/d/1BJSV3WBYJGRhQ6zExamkszQ5VutGIcaQqmbD9ZTVXMQ/edit#gid=1251630045"",""articles_with_PRISMA_reasons!B2:B2113""))&gt;=2),
""Exclude""
)"),"Exclude")</f>
        <v>Exclude</v>
      </c>
      <c r="E1915" s="5" t="str">
        <f>IFERROR(__xludf.DUMMYFUNCTION("IFS(
D1915=""Exclude"",""Exclude"",
AND(
FILTER(IMPORTRANGE(""https://docs.google.com/spreadsheets/d/1qpEmbGH0JjaJbUdp21-y2cPbobDbMjr09BbtdKROZWc/edit#gid=1444865654"",""articles_with_PRISMA_reasons!W2:W2113""), $A1915=IMPORTRANGE(""https://docs.google.co"&amp;"m/spreadsheets/d/1qpEmbGH0JjaJbUdp21-y2cPbobDbMjr09BbtdKROZWc/edit#gid=1444865654"",""articles_with_PRISMA_reasons!B2:B2113""))&gt;=2,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$A1915=IMPORTRANGE(""https://docs.google.com/spreadsheets/d/1qpEmbGH0JjaJbUdp21-y2cPbobDbMjr09BbtdKROZWc/edit#gid=1444865654"",""articles_with_PRISMA_reasons!B2:B2113""))&lt;2),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$A1915=IMPORTRANGE(""https://docs.google.com/spreadsheets/d/1qpEmbGH0JjaJbUdp21-y2cPbobDbMjr09Bbtd"&amp;"KROZWc/edit#gid=1444865654"",""articles_with_PRISMA_reasons!B2:B2113""))&lt;2,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$A1915=I"&amp;"MPORTRANGE(""https://docs.google.com/spreadsheets/d/1qpEmbGH0JjaJbUdp21-y2cPbobDbMjr09BbtdKROZWc/edit#gid=1444865654"",""articles_with_PRISMA_reasons!B2:B2113""))&gt;=2),
""Exclude""
)"),"Exclude")</f>
        <v>Exclude</v>
      </c>
      <c r="F1915" s="5" t="str">
        <f>IFERROR(__xludf.DUMMYFUNCTION("IFS(
E1915=""Exclude"",""Exclude"",
AND(
COUNTIF(
IMPORTRANGE(""https://docs.google.com/spreadsheets/d/1kGrh75X1cNR1D7_FcY9zMnHP8iPO4M5RCRjy6nZY0TY/edit#gid=0"",""Table 1: Study characteristics!B4:B171""),A1915)&gt;0,
COUNTIF(Studies!$A$2:$A$85,FILTER(IMPORT"&amp;"RANGE(""https://docs.google.com/spreadsheets/d/1kGrh75X1cNR1D7_FcY9zMnHP8iPO4M5RCRjy6nZY0TY/edit#gid=0"",""Table 1: Study characteristics!A4:A171""), $A1915=IMPORTRANGE(""https://docs.google.com/spreadsheets/d/1kGrh75X1cNR1D7_FcY9zMnHP8iPO4M5RCRjy6nZY0TY/"&amp;"edit#gid=0"",""Table 1: Study characteristics!B4:B171"")))&gt;0
),
""Include""
)"),"Exclude")</f>
        <v>Exclude</v>
      </c>
      <c r="G1915" s="5" t="str">
        <f>IFERROR(__xludf.DUMMYFUNCTION("IFS(
D1915=""Exclude"",
FILTER(IMPORTRANGE(""https://docs.google.com/spreadsheets/d/1BJSV3WBYJGRhQ6zExamkszQ5VutGIcaQqmbD9ZTVXMQ/edit#gid=1251630045"",""articles_with_PRISMA_reasons!AB2:AB2113""), $A1915=IMPORTRANGE(""https://docs.google.com/spreadsheets/"&amp;"d/1BJSV3WBYJGRhQ6zExamkszQ5VutGIcaQqmbD9ZTVXMQ/edit#gid=1251630045"",""articles_with_PRISMA_reasons!B2:B2113"")),
E1915=""Exclude"",
FILTER(IMPORTRANGE(""https://docs.google.com/spreadsheets/d/1qpEmbGH0JjaJbUdp21-y2cPbobDbMjr09BbtdKROZWc/edit#gid=14448656"&amp;"54"",""articles_with_PRISMA_reasons!Z2:Z2113""), $A1915=IMPORTRANGE(""https://docs.google.com/spreadsheets/d/1qpEmbGH0JjaJbUdp21-y2cPbobDbMjr09BbtdKROZWc/edit#gid=1444865654"",""articles_with_PRISMA_reasons!B2:B2113"")),F1915
=""Include"",FILTER(IMPORTRAN"&amp;"GE(""https://docs.google.com/spreadsheets/d/1kGrh75X1cNR1D7_FcY9zMnHP8iPO4M5RCRjy6nZY0TY/edit#gid=0"",""Table 1: Study characteristics!A4:A171""), $A1915=IMPORTRANGE(""https://docs.google.com/spreadsheets/d/1kGrh75X1cNR1D7_FcY9zMnHP8iPO4M5RCRjy6nZY0TY/edi"&amp;"t#gid=0"",""Table 1: Study characteristics!B4:B171""))
)"),"wrong study design")</f>
        <v>wrong study design</v>
      </c>
    </row>
    <row r="1916">
      <c r="A1916" s="4" t="str">
        <f>IFERROR(__xludf.DUMMYFUNCTION("""COMPUTED_VALUE"""),"The myelodysplasia and hydrocephalus program in Nebraska: a 15 year review of costs and benefits")</f>
        <v>The myelodysplasia and hydrocephalus program in Nebraska: a 15 year review of costs and benefits</v>
      </c>
      <c r="B1916" s="5" t="str">
        <f>IFERROR(__xludf.DUMMYFUNCTION("LEFT(FILTER(IMPORTRANGE(""https://docs.google.com/spreadsheets/d/1BJSV3WBYJGRhQ6zExamkszQ5VutGIcaQqmbD9ZTVXMQ/edit#gid=1251630045"",""articles_with_PRISMA_reasons!K2:K2113""), $A1916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$A1916=IMPORTRANGE(""https://docs.google.com/spreadsheets/d/1BJSV3WBYJGRhQ6zExamkszQ5VutGIcaQqmbD9ZTVXMQ/edit#gid=1251630045"",""articles_with_PRISMA_reasons!B2:B2113"")))-1)"),"Angle")</f>
        <v>Angle</v>
      </c>
      <c r="C1916" s="6">
        <f>IFERROR(__xludf.DUMMYFUNCTION("FILTER(IMPORTRANGE(""https://docs.google.com/spreadsheets/d/1BJSV3WBYJGRhQ6zExamkszQ5VutGIcaQqmbD9ZTVXMQ/edit#gid=1251630045"",""articles_with_PRISMA_reasons!C2:C2113""), $A1916=IMPORTRANGE(""https://docs.google.com/spreadsheets/d/1BJSV3WBYJGRhQ6zExamkszQ"&amp;"5VutGIcaQqmbD9ZTVXMQ/edit#gid=1251630045"",""articles_with_PRISMA_reasons!B2:B2113""))"),1977.0)</f>
        <v>1977</v>
      </c>
      <c r="D1916" s="5" t="str">
        <f>IFERROR(__xludf.DUMMYFUNCTION("IFS(AND(
FILTER(IMPORTRANGE(""https://docs.google.com/spreadsheets/d/1BJSV3WBYJGRhQ6zExamkszQ5VutGIcaQqmbD9ZTVXMQ/edit#gid=1251630045"",""articles_with_PRISMA_reasons!Y2:Y2113""), $A1916=IMPORTRANGE(""https://docs.google.com/spreadsheets/d/1BJSV3WBYJGRhQ6"&amp;"zExamkszQ5VutGIcaQqmbD9ZTVXMQ/edit#gid=1251630045"",""articles_with_PRISMA_reasons!B2:B2113""))&gt;=2,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$A1916=IMPORTRANGE(""https://docs.google.com/spreadsheets/d/1BJSV3WBYJGRhQ6zExamkszQ5VutGIcaQqmbD9ZTVXMQ/edit#gid=1251630045"",""articles_with_PRISMA_reasons!B2:B2113""))&lt;2),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$A1916=IMPORTRANGE(""https://docs.google.com/spreadsheets/d/1BJSV3WBYJGRhQ6zExamkszQ5VutGIcaQqmbD9ZTVXMQ/edit#gid=1251630045"",""a"&amp;"rticles_with_PRISMA_reasons!B2:B2113""))&lt;2,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$A1916=IMPORTRANGE(""https://docs.google"&amp;".com/spreadsheets/d/1BJSV3WBYJGRhQ6zExamkszQ5VutGIcaQqmbD9ZTVXMQ/edit#gid=1251630045"",""articles_with_PRISMA_reasons!B2:B2113""))&gt;=2),
""Exclude""
)"),"Exclude")</f>
        <v>Exclude</v>
      </c>
      <c r="E1916" s="5" t="str">
        <f>IFERROR(__xludf.DUMMYFUNCTION("IFS(
D1916=""Exclude"",""Exclude"",
AND(
FILTER(IMPORTRANGE(""https://docs.google.com/spreadsheets/d/1qpEmbGH0JjaJbUdp21-y2cPbobDbMjr09BbtdKROZWc/edit#gid=1444865654"",""articles_with_PRISMA_reasons!W2:W2113""), $A1916=IMPORTRANGE(""https://docs.google.co"&amp;"m/spreadsheets/d/1qpEmbGH0JjaJbUdp21-y2cPbobDbMjr09BbtdKROZWc/edit#gid=1444865654"",""articles_with_PRISMA_reasons!B2:B2113""))&gt;=2,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$A1916=IMPORTRANGE(""https://docs.google.com/spreadsheets/d/1qpEmbGH0JjaJbUdp21-y2cPbobDbMjr09BbtdKROZWc/edit#gid=1444865654"",""articles_with_PRISMA_reasons!B2:B2113""))&lt;2),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$A1916=IMPORTRANGE(""https://docs.google.com/spreadsheets/d/1qpEmbGH0JjaJbUdp21-y2cPbobDbMjr09Bbtd"&amp;"KROZWc/edit#gid=1444865654"",""articles_with_PRISMA_reasons!B2:B2113""))&lt;2,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$A1916=I"&amp;"MPORTRANGE(""https://docs.google.com/spreadsheets/d/1qpEmbGH0JjaJbUdp21-y2cPbobDbMjr09BbtdKROZWc/edit#gid=1444865654"",""articles_with_PRISMA_reasons!B2:B2113""))&gt;=2),
""Exclude""
)"),"Exclude")</f>
        <v>Exclude</v>
      </c>
      <c r="F1916" s="5" t="str">
        <f>IFERROR(__xludf.DUMMYFUNCTION("IFS(
E1916=""Exclude"",""Exclude"",
AND(
COUNTIF(
IMPORTRANGE(""https://docs.google.com/spreadsheets/d/1kGrh75X1cNR1D7_FcY9zMnHP8iPO4M5RCRjy6nZY0TY/edit#gid=0"",""Table 1: Study characteristics!B4:B171""),A1916)&gt;0,
COUNTIF(Studies!$A$2:$A$85,FILTER(IMPORT"&amp;"RANGE(""https://docs.google.com/spreadsheets/d/1kGrh75X1cNR1D7_FcY9zMnHP8iPO4M5RCRjy6nZY0TY/edit#gid=0"",""Table 1: Study characteristics!A4:A171""), $A1916=IMPORTRANGE(""https://docs.google.com/spreadsheets/d/1kGrh75X1cNR1D7_FcY9zMnHP8iPO4M5RCRjy6nZY0TY/"&amp;"edit#gid=0"",""Table 1: Study characteristics!B4:B171"")))&gt;0
),
""Include""
)"),"Exclude")</f>
        <v>Exclude</v>
      </c>
      <c r="G1916" s="5" t="str">
        <f>IFERROR(__xludf.DUMMYFUNCTION("IFS(
D1916=""Exclude"",
FILTER(IMPORTRANGE(""https://docs.google.com/spreadsheets/d/1BJSV3WBYJGRhQ6zExamkszQ5VutGIcaQqmbD9ZTVXMQ/edit#gid=1251630045"",""articles_with_PRISMA_reasons!AB2:AB2113""), $A1916=IMPORTRANGE(""https://docs.google.com/spreadsheets/"&amp;"d/1BJSV3WBYJGRhQ6zExamkszQ5VutGIcaQqmbD9ZTVXMQ/edit#gid=1251630045"",""articles_with_PRISMA_reasons!B2:B2113"")),
E1916=""Exclude"",
FILTER(IMPORTRANGE(""https://docs.google.com/spreadsheets/d/1qpEmbGH0JjaJbUdp21-y2cPbobDbMjr09BbtdKROZWc/edit#gid=14448656"&amp;"54"",""articles_with_PRISMA_reasons!Z2:Z2113""), $A1916=IMPORTRANGE(""https://docs.google.com/spreadsheets/d/1qpEmbGH0JjaJbUdp21-y2cPbobDbMjr09BbtdKROZWc/edit#gid=1444865654"",""articles_with_PRISMA_reasons!B2:B2113"")),F1916
=""Include"",FILTER(IMPORTRAN"&amp;"GE(""https://docs.google.com/spreadsheets/d/1kGrh75X1cNR1D7_FcY9zMnHP8iPO4M5RCRjy6nZY0TY/edit#gid=0"",""Table 1: Study characteristics!A4:A171""), $A1916=IMPORTRANGE(""https://docs.google.com/spreadsheets/d/1kGrh75X1cNR1D7_FcY9zMnHP8iPO4M5RCRjy6nZY0TY/edi"&amp;"t#gid=0"",""Table 1: Study characteristics!B4:B171""))
)"),"wrong study design")</f>
        <v>wrong study design</v>
      </c>
    </row>
    <row r="1917">
      <c r="A1917" s="4" t="str">
        <f>IFERROR(__xludf.DUMMYFUNCTION("""COMPUTED_VALUE"""),"The National Spina Bifida Patient Registry: A Decade's journey")</f>
        <v>The National Spina Bifida Patient Registry: A Decade's journey</v>
      </c>
      <c r="B1917" s="5" t="str">
        <f>IFERROR(__xludf.DUMMYFUNCTION("LEFT(FILTER(IMPORTRANGE(""https://docs.google.com/spreadsheets/d/1BJSV3WBYJGRhQ6zExamkszQ5VutGIcaQqmbD9ZTVXMQ/edit#gid=1251630045"",""articles_with_PRISMA_reasons!K2:K2113""), $A1917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$A1917=IMPORTRANGE(""https://docs.google.com/spreadsheets/d/1BJSV3WBYJGRhQ6zExamkszQ5VutGIcaQqmbD9ZTVXMQ/edit#gid=1251630045"",""articles_with_PRISMA_reasons!B2:B2113"")))-1)"),"Castillo")</f>
        <v>Castillo</v>
      </c>
      <c r="C1917" s="6">
        <f>IFERROR(__xludf.DUMMYFUNCTION("FILTER(IMPORTRANGE(""https://docs.google.com/spreadsheets/d/1BJSV3WBYJGRhQ6zExamkszQ5VutGIcaQqmbD9ZTVXMQ/edit#gid=1251630045"",""articles_with_PRISMA_reasons!C2:C2113""), $A1917=IMPORTRANGE(""https://docs.google.com/spreadsheets/d/1BJSV3WBYJGRhQ6zExamkszQ"&amp;"5VutGIcaQqmbD9ZTVXMQ/edit#gid=1251630045"",""articles_with_PRISMA_reasons!B2:B2113""))"),2019.0)</f>
        <v>2019</v>
      </c>
      <c r="D1917" s="5" t="str">
        <f>IFERROR(__xludf.DUMMYFUNCTION("IFS(AND(
FILTER(IMPORTRANGE(""https://docs.google.com/spreadsheets/d/1BJSV3WBYJGRhQ6zExamkszQ5VutGIcaQqmbD9ZTVXMQ/edit#gid=1251630045"",""articles_with_PRISMA_reasons!Y2:Y2113""), $A1917=IMPORTRANGE(""https://docs.google.com/spreadsheets/d/1BJSV3WBYJGRhQ6"&amp;"zExamkszQ5VutGIcaQqmbD9ZTVXMQ/edit#gid=1251630045"",""articles_with_PRISMA_reasons!B2:B2113""))&gt;=2,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$A1917=IMPORTRANGE(""https://docs.google.com/spreadsheets/d/1BJSV3WBYJGRhQ6zExamkszQ5VutGIcaQqmbD9ZTVXMQ/edit#gid=1251630045"",""articles_with_PRISMA_reasons!B2:B2113""))&lt;2),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$A1917=IMPORTRANGE(""https://docs.google.com/spreadsheets/d/1BJSV3WBYJGRhQ6zExamkszQ5VutGIcaQqmbD9ZTVXMQ/edit#gid=1251630045"",""a"&amp;"rticles_with_PRISMA_reasons!B2:B2113""))&lt;2,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$A1917=IMPORTRANGE(""https://docs.google"&amp;".com/spreadsheets/d/1BJSV3WBYJGRhQ6zExamkszQ5VutGIcaQqmbD9ZTVXMQ/edit#gid=1251630045"",""articles_with_PRISMA_reasons!B2:B2113""))&gt;=2),
""Exclude""
)"),"Exclude")</f>
        <v>Exclude</v>
      </c>
      <c r="E1917" s="5" t="str">
        <f>IFERROR(__xludf.DUMMYFUNCTION("IFS(
D1917=""Exclude"",""Exclude"",
AND(
FILTER(IMPORTRANGE(""https://docs.google.com/spreadsheets/d/1qpEmbGH0JjaJbUdp21-y2cPbobDbMjr09BbtdKROZWc/edit#gid=1444865654"",""articles_with_PRISMA_reasons!W2:W2113""), $A1917=IMPORTRANGE(""https://docs.google.co"&amp;"m/spreadsheets/d/1qpEmbGH0JjaJbUdp21-y2cPbobDbMjr09BbtdKROZWc/edit#gid=1444865654"",""articles_with_PRISMA_reasons!B2:B2113""))&gt;=2,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$A1917=IMPORTRANGE(""https://docs.google.com/spreadsheets/d/1qpEmbGH0JjaJbUdp21-y2cPbobDbMjr09BbtdKROZWc/edit#gid=1444865654"",""articles_with_PRISMA_reasons!B2:B2113""))&lt;2),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$A1917=IMPORTRANGE(""https://docs.google.com/spreadsheets/d/1qpEmbGH0JjaJbUdp21-y2cPbobDbMjr09Bbtd"&amp;"KROZWc/edit#gid=1444865654"",""articles_with_PRISMA_reasons!B2:B2113""))&lt;2,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$A1917=I"&amp;"MPORTRANGE(""https://docs.google.com/spreadsheets/d/1qpEmbGH0JjaJbUdp21-y2cPbobDbMjr09BbtdKROZWc/edit#gid=1444865654"",""articles_with_PRISMA_reasons!B2:B2113""))&gt;=2),
""Exclude""
)"),"Exclude")</f>
        <v>Exclude</v>
      </c>
      <c r="F1917" s="5" t="str">
        <f>IFERROR(__xludf.DUMMYFUNCTION("IFS(
E1917=""Exclude"",""Exclude"",
AND(
COUNTIF(
IMPORTRANGE(""https://docs.google.com/spreadsheets/d/1kGrh75X1cNR1D7_FcY9zMnHP8iPO4M5RCRjy6nZY0TY/edit#gid=0"",""Table 1: Study characteristics!B4:B171""),A1917)&gt;0,
COUNTIF(Studies!$A$2:$A$85,FILTER(IMPORT"&amp;"RANGE(""https://docs.google.com/spreadsheets/d/1kGrh75X1cNR1D7_FcY9zMnHP8iPO4M5RCRjy6nZY0TY/edit#gid=0"",""Table 1: Study characteristics!A4:A171""), $A1917=IMPORTRANGE(""https://docs.google.com/spreadsheets/d/1kGrh75X1cNR1D7_FcY9zMnHP8iPO4M5RCRjy6nZY0TY/"&amp;"edit#gid=0"",""Table 1: Study characteristics!B4:B171"")))&gt;0
),
""Include""
)"),"Exclude")</f>
        <v>Exclude</v>
      </c>
      <c r="G1917" s="5" t="str">
        <f>IFERROR(__xludf.DUMMYFUNCTION("IFS(
D1917=""Exclude"",
FILTER(IMPORTRANGE(""https://docs.google.com/spreadsheets/d/1BJSV3WBYJGRhQ6zExamkszQ5VutGIcaQqmbD9ZTVXMQ/edit#gid=1251630045"",""articles_with_PRISMA_reasons!AB2:AB2113""), $A1917=IMPORTRANGE(""https://docs.google.com/spreadsheets/"&amp;"d/1BJSV3WBYJGRhQ6zExamkszQ5VutGIcaQqmbD9ZTVXMQ/edit#gid=1251630045"",""articles_with_PRISMA_reasons!B2:B2113"")),
E1917=""Exclude"",
FILTER(IMPORTRANGE(""https://docs.google.com/spreadsheets/d/1qpEmbGH0JjaJbUdp21-y2cPbobDbMjr09BbtdKROZWc/edit#gid=14448656"&amp;"54"",""articles_with_PRISMA_reasons!Z2:Z2113""), $A1917=IMPORTRANGE(""https://docs.google.com/spreadsheets/d/1qpEmbGH0JjaJbUdp21-y2cPbobDbMjr09BbtdKROZWc/edit#gid=1444865654"",""articles_with_PRISMA_reasons!B2:B2113"")),F1917
=""Include"",FILTER(IMPORTRAN"&amp;"GE(""https://docs.google.com/spreadsheets/d/1kGrh75X1cNR1D7_FcY9zMnHP8iPO4M5RCRjy6nZY0TY/edit#gid=0"",""Table 1: Study characteristics!A4:A171""), $A1917=IMPORTRANGE(""https://docs.google.com/spreadsheets/d/1kGrh75X1cNR1D7_FcY9zMnHP8iPO4M5RCRjy6nZY0TY/edi"&amp;"t#gid=0"",""Table 1: Study characteristics!B4:B171""))
)"),"wrong study design")</f>
        <v>wrong study design</v>
      </c>
    </row>
    <row r="1918">
      <c r="A1918" s="4" t="str">
        <f>IFERROR(__xludf.DUMMYFUNCTION("""COMPUTED_VALUE"""),"The natural history of repaired myelomeningocele")</f>
        <v>The natural history of repaired myelomeningocele</v>
      </c>
      <c r="B1918" s="5" t="str">
        <f>IFERROR(__xludf.DUMMYFUNCTION("LEFT(FILTER(IMPORTRANGE(""https://docs.google.com/spreadsheets/d/1BJSV3WBYJGRhQ6zExamkszQ5VutGIcaQqmbD9ZTVXMQ/edit#gid=1251630045"",""articles_with_PRISMA_reasons!K2:K2113""), $A1918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$A1918=IMPORTRANGE(""https://docs.google.com/spreadsheets/d/1BJSV3WBYJGRhQ6zExamkszQ5VutGIcaQqmbD9ZTVXMQ/edit#gid=1251630045"",""articles_with_PRISMA_reasons!B2:B2113"")))-1)"),"Nelson Jr")</f>
        <v>Nelson Jr</v>
      </c>
      <c r="C1918" s="6">
        <f>IFERROR(__xludf.DUMMYFUNCTION("FILTER(IMPORTRANGE(""https://docs.google.com/spreadsheets/d/1BJSV3WBYJGRhQ6zExamkszQ5VutGIcaQqmbD9ZTVXMQ/edit#gid=1251630045"",""articles_with_PRISMA_reasons!C2:C2113""), $A1918=IMPORTRANGE(""https://docs.google.com/spreadsheets/d/1BJSV3WBYJGRhQ6zExamkszQ"&amp;"5VutGIcaQqmbD9ZTVXMQ/edit#gid=1251630045"",""articles_with_PRISMA_reasons!B2:B2113""))"),1988.0)</f>
        <v>1988</v>
      </c>
      <c r="D1918" s="5" t="str">
        <f>IFERROR(__xludf.DUMMYFUNCTION("IFS(AND(
FILTER(IMPORTRANGE(""https://docs.google.com/spreadsheets/d/1BJSV3WBYJGRhQ6zExamkszQ5VutGIcaQqmbD9ZTVXMQ/edit#gid=1251630045"",""articles_with_PRISMA_reasons!Y2:Y2113""), $A1918=IMPORTRANGE(""https://docs.google.com/spreadsheets/d/1BJSV3WBYJGRhQ6"&amp;"zExamkszQ5VutGIcaQqmbD9ZTVXMQ/edit#gid=1251630045"",""articles_with_PRISMA_reasons!B2:B2113""))&gt;=2,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$A1918=IMPORTRANGE(""https://docs.google.com/spreadsheets/d/1BJSV3WBYJGRhQ6zExamkszQ5VutGIcaQqmbD9ZTVXMQ/edit#gid=1251630045"",""articles_with_PRISMA_reasons!B2:B2113""))&lt;2),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$A1918=IMPORTRANGE(""https://docs.google.com/spreadsheets/d/1BJSV3WBYJGRhQ6zExamkszQ5VutGIcaQqmbD9ZTVXMQ/edit#gid=1251630045"",""a"&amp;"rticles_with_PRISMA_reasons!B2:B2113""))&lt;2,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$A1918=IMPORTRANGE(""https://docs.google"&amp;".com/spreadsheets/d/1BJSV3WBYJGRhQ6zExamkszQ5VutGIcaQqmbD9ZTVXMQ/edit#gid=1251630045"",""articles_with_PRISMA_reasons!B2:B2113""))&gt;=2),
""Exclude""
)"),"Exclude")</f>
        <v>Exclude</v>
      </c>
      <c r="E1918" s="5" t="str">
        <f>IFERROR(__xludf.DUMMYFUNCTION("IFS(
D1918=""Exclude"",""Exclude"",
AND(
FILTER(IMPORTRANGE(""https://docs.google.com/spreadsheets/d/1qpEmbGH0JjaJbUdp21-y2cPbobDbMjr09BbtdKROZWc/edit#gid=1444865654"",""articles_with_PRISMA_reasons!W2:W2113""), $A1918=IMPORTRANGE(""https://docs.google.co"&amp;"m/spreadsheets/d/1qpEmbGH0JjaJbUdp21-y2cPbobDbMjr09BbtdKROZWc/edit#gid=1444865654"",""articles_with_PRISMA_reasons!B2:B2113""))&gt;=2,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$A1918=IMPORTRANGE(""https://docs.google.com/spreadsheets/d/1qpEmbGH0JjaJbUdp21-y2cPbobDbMjr09BbtdKROZWc/edit#gid=1444865654"",""articles_with_PRISMA_reasons!B2:B2113""))&lt;2),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$A1918=IMPORTRANGE(""https://docs.google.com/spreadsheets/d/1qpEmbGH0JjaJbUdp21-y2cPbobDbMjr09Bbtd"&amp;"KROZWc/edit#gid=1444865654"",""articles_with_PRISMA_reasons!B2:B2113""))&lt;2,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$A1918=I"&amp;"MPORTRANGE(""https://docs.google.com/spreadsheets/d/1qpEmbGH0JjaJbUdp21-y2cPbobDbMjr09BbtdKROZWc/edit#gid=1444865654"",""articles_with_PRISMA_reasons!B2:B2113""))&gt;=2),
""Exclude""
)"),"Exclude")</f>
        <v>Exclude</v>
      </c>
      <c r="F1918" s="5" t="str">
        <f>IFERROR(__xludf.DUMMYFUNCTION("IFS(
E1918=""Exclude"",""Exclude"",
AND(
COUNTIF(
IMPORTRANGE(""https://docs.google.com/spreadsheets/d/1kGrh75X1cNR1D7_FcY9zMnHP8iPO4M5RCRjy6nZY0TY/edit#gid=0"",""Table 1: Study characteristics!B4:B171""),A1918)&gt;0,
COUNTIF(Studies!$A$2:$A$85,FILTER(IMPORT"&amp;"RANGE(""https://docs.google.com/spreadsheets/d/1kGrh75X1cNR1D7_FcY9zMnHP8iPO4M5RCRjy6nZY0TY/edit#gid=0"",""Table 1: Study characteristics!A4:A171""), $A1918=IMPORTRANGE(""https://docs.google.com/spreadsheets/d/1kGrh75X1cNR1D7_FcY9zMnHP8iPO4M5RCRjy6nZY0TY/"&amp;"edit#gid=0"",""Table 1: Study characteristics!B4:B171"")))&gt;0
),
""Include""
)"),"Exclude")</f>
        <v>Exclude</v>
      </c>
      <c r="G1918" s="5" t="str">
        <f>IFERROR(__xludf.DUMMYFUNCTION("IFS(
D1918=""Exclude"",
FILTER(IMPORTRANGE(""https://docs.google.com/spreadsheets/d/1BJSV3WBYJGRhQ6zExamkszQ5VutGIcaQqmbD9ZTVXMQ/edit#gid=1251630045"",""articles_with_PRISMA_reasons!AB2:AB2113""), $A1918=IMPORTRANGE(""https://docs.google.com/spreadsheets/"&amp;"d/1BJSV3WBYJGRhQ6zExamkszQ5VutGIcaQqmbD9ZTVXMQ/edit#gid=1251630045"",""articles_with_PRISMA_reasons!B2:B2113"")),
E1918=""Exclude"",
FILTER(IMPORTRANGE(""https://docs.google.com/spreadsheets/d/1qpEmbGH0JjaJbUdp21-y2cPbobDbMjr09BbtdKROZWc/edit#gid=14448656"&amp;"54"",""articles_with_PRISMA_reasons!Z2:Z2113""), $A1918=IMPORTRANGE(""https://docs.google.com/spreadsheets/d/1qpEmbGH0JjaJbUdp21-y2cPbobDbMjr09BbtdKROZWc/edit#gid=1444865654"",""articles_with_PRISMA_reasons!B2:B2113"")),F1918
=""Include"",FILTER(IMPORTRAN"&amp;"GE(""https://docs.google.com/spreadsheets/d/1kGrh75X1cNR1D7_FcY9zMnHP8iPO4M5RCRjy6nZY0TY/edit#gid=0"",""Table 1: Study characteristics!A4:A171""), $A1918=IMPORTRANGE(""https://docs.google.com/spreadsheets/d/1kGrh75X1cNR1D7_FcY9zMnHP8iPO4M5RCRjy6nZY0TY/edi"&amp;"t#gid=0"",""Table 1: Study characteristics!B4:B171""))
)"),"background article")</f>
        <v>background article</v>
      </c>
    </row>
    <row r="1919">
      <c r="A1919" s="4" t="str">
        <f>IFERROR(__xludf.DUMMYFUNCTION("""COMPUTED_VALUE"""),"THE NATURAL HISTORY OF SPINA BIFIDA CYSTICA: DETAILED ANALYSIS OF 407 CASES")</f>
        <v>THE NATURAL HISTORY OF SPINA BIFIDA CYSTICA: DETAILED ANALYSIS OF 407 CASES</v>
      </c>
      <c r="B1919" s="5" t="str">
        <f>IFERROR(__xludf.DUMMYFUNCTION("LEFT(FILTER(IMPORTRANGE(""https://docs.google.com/spreadsheets/d/1BJSV3WBYJGRhQ6zExamkszQ5VutGIcaQqmbD9ZTVXMQ/edit#gid=1251630045"",""articles_with_PRISMA_reasons!K2:K2113""), $A1919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$A1919=IMPORTRANGE(""https://docs.google.com/spreadsheets/d/1BJSV3WBYJGRhQ6zExamkszQ5VutGIcaQqmbD9ZTVXMQ/edit#gid=1251630045"",""articles_with_PRISMA_reasons!B2:B2113"")))-1)"),"Laurence")</f>
        <v>Laurence</v>
      </c>
      <c r="C1919" s="6">
        <f>IFERROR(__xludf.DUMMYFUNCTION("FILTER(IMPORTRANGE(""https://docs.google.com/spreadsheets/d/1BJSV3WBYJGRhQ6zExamkszQ5VutGIcaQqmbD9ZTVXMQ/edit#gid=1251630045"",""articles_with_PRISMA_reasons!C2:C2113""), $A1919=IMPORTRANGE(""https://docs.google.com/spreadsheets/d/1BJSV3WBYJGRhQ6zExamkszQ"&amp;"5VutGIcaQqmbD9ZTVXMQ/edit#gid=1251630045"",""articles_with_PRISMA_reasons!B2:B2113""))"),1964.0)</f>
        <v>1964</v>
      </c>
      <c r="D1919" s="5" t="str">
        <f>IFERROR(__xludf.DUMMYFUNCTION("IFS(AND(
FILTER(IMPORTRANGE(""https://docs.google.com/spreadsheets/d/1BJSV3WBYJGRhQ6zExamkszQ5VutGIcaQqmbD9ZTVXMQ/edit#gid=1251630045"",""articles_with_PRISMA_reasons!Y2:Y2113""), $A1919=IMPORTRANGE(""https://docs.google.com/spreadsheets/d/1BJSV3WBYJGRhQ6"&amp;"zExamkszQ5VutGIcaQqmbD9ZTVXMQ/edit#gid=1251630045"",""articles_with_PRISMA_reasons!B2:B2113""))&gt;=2,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$A1919=IMPORTRANGE(""https://docs.google.com/spreadsheets/d/1BJSV3WBYJGRhQ6zExamkszQ5VutGIcaQqmbD9ZTVXMQ/edit#gid=1251630045"",""articles_with_PRISMA_reasons!B2:B2113""))&lt;2),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$A1919=IMPORTRANGE(""https://docs.google.com/spreadsheets/d/1BJSV3WBYJGRhQ6zExamkszQ5VutGIcaQqmbD9ZTVXMQ/edit#gid=1251630045"",""a"&amp;"rticles_with_PRISMA_reasons!B2:B2113""))&lt;2,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$A1919=IMPORTRANGE(""https://docs.google"&amp;".com/spreadsheets/d/1BJSV3WBYJGRhQ6zExamkszQ5VutGIcaQqmbD9ZTVXMQ/edit#gid=1251630045"",""articles_with_PRISMA_reasons!B2:B2113""))&gt;=2),
""Exclude""
)"),"Exclude")</f>
        <v>Exclude</v>
      </c>
      <c r="E1919" s="5" t="str">
        <f>IFERROR(__xludf.DUMMYFUNCTION("IFS(
D1919=""Exclude"",""Exclude"",
AND(
FILTER(IMPORTRANGE(""https://docs.google.com/spreadsheets/d/1qpEmbGH0JjaJbUdp21-y2cPbobDbMjr09BbtdKROZWc/edit#gid=1444865654"",""articles_with_PRISMA_reasons!W2:W2113""), $A1919=IMPORTRANGE(""https://docs.google.co"&amp;"m/spreadsheets/d/1qpEmbGH0JjaJbUdp21-y2cPbobDbMjr09BbtdKROZWc/edit#gid=1444865654"",""articles_with_PRISMA_reasons!B2:B2113""))&gt;=2,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$A1919=IMPORTRANGE(""https://docs.google.com/spreadsheets/d/1qpEmbGH0JjaJbUdp21-y2cPbobDbMjr09BbtdKROZWc/edit#gid=1444865654"",""articles_with_PRISMA_reasons!B2:B2113""))&lt;2),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$A1919=IMPORTRANGE(""https://docs.google.com/spreadsheets/d/1qpEmbGH0JjaJbUdp21-y2cPbobDbMjr09Bbtd"&amp;"KROZWc/edit#gid=1444865654"",""articles_with_PRISMA_reasons!B2:B2113""))&lt;2,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$A1919=I"&amp;"MPORTRANGE(""https://docs.google.com/spreadsheets/d/1qpEmbGH0JjaJbUdp21-y2cPbobDbMjr09BbtdKROZWc/edit#gid=1444865654"",""articles_with_PRISMA_reasons!B2:B2113""))&gt;=2),
""Exclude""
)"),"Exclude")</f>
        <v>Exclude</v>
      </c>
      <c r="F1919" s="5" t="str">
        <f>IFERROR(__xludf.DUMMYFUNCTION("IFS(
E1919=""Exclude"",""Exclude"",
AND(
COUNTIF(
IMPORTRANGE(""https://docs.google.com/spreadsheets/d/1kGrh75X1cNR1D7_FcY9zMnHP8iPO4M5RCRjy6nZY0TY/edit#gid=0"",""Table 1: Study characteristics!B4:B171""),A1919)&gt;0,
COUNTIF(Studies!$A$2:$A$85,FILTER(IMPORT"&amp;"RANGE(""https://docs.google.com/spreadsheets/d/1kGrh75X1cNR1D7_FcY9zMnHP8iPO4M5RCRjy6nZY0TY/edit#gid=0"",""Table 1: Study characteristics!A4:A171""), $A1919=IMPORTRANGE(""https://docs.google.com/spreadsheets/d/1kGrh75X1cNR1D7_FcY9zMnHP8iPO4M5RCRjy6nZY0TY/"&amp;"edit#gid=0"",""Table 1: Study characteristics!B4:B171"")))&gt;0
),
""Include""
)"),"Exclude")</f>
        <v>Exclude</v>
      </c>
      <c r="G1919" s="5" t="str">
        <f>IFERROR(__xludf.DUMMYFUNCTION("IFS(
D1919=""Exclude"",
FILTER(IMPORTRANGE(""https://docs.google.com/spreadsheets/d/1BJSV3WBYJGRhQ6zExamkszQ5VutGIcaQqmbD9ZTVXMQ/edit#gid=1251630045"",""articles_with_PRISMA_reasons!AB2:AB2113""), $A1919=IMPORTRANGE(""https://docs.google.com/spreadsheets/"&amp;"d/1BJSV3WBYJGRhQ6zExamkszQ5VutGIcaQqmbD9ZTVXMQ/edit#gid=1251630045"",""articles_with_PRISMA_reasons!B2:B2113"")),
E1919=""Exclude"",
FILTER(IMPORTRANGE(""https://docs.google.com/spreadsheets/d/1qpEmbGH0JjaJbUdp21-y2cPbobDbMjr09BbtdKROZWc/edit#gid=14448656"&amp;"54"",""articles_with_PRISMA_reasons!Z2:Z2113""), $A1919=IMPORTRANGE(""https://docs.google.com/spreadsheets/d/1qpEmbGH0JjaJbUdp21-y2cPbobDbMjr09BbtdKROZWc/edit#gid=1444865654"",""articles_with_PRISMA_reasons!B2:B2113"")),F1919
=""Include"",FILTER(IMPORTRAN"&amp;"GE(""https://docs.google.com/spreadsheets/d/1kGrh75X1cNR1D7_FcY9zMnHP8iPO4M5RCRjy6nZY0TY/edit#gid=0"",""Table 1: Study characteristics!A4:A171""), $A1919=IMPORTRANGE(""https://docs.google.com/spreadsheets/d/1kGrh75X1cNR1D7_FcY9zMnHP8iPO4M5RCRjy6nZY0TY/edi"&amp;"t#gid=0"",""Table 1: Study characteristics!B4:B171""))
)"),"wrong population")</f>
        <v>wrong population</v>
      </c>
    </row>
    <row r="1920">
      <c r="A1920" s="4" t="str">
        <f>IFERROR(__xludf.DUMMYFUNCTION("""COMPUTED_VALUE"""),"The nature of congenital posterior cervical or cervicothoracic midline cutaneous mass lesions. Report of eight cases")</f>
        <v>The nature of congenital posterior cervical or cervicothoracic midline cutaneous mass lesions. Report of eight cases</v>
      </c>
      <c r="B1920" s="5" t="str">
        <f>IFERROR(__xludf.DUMMYFUNCTION("LEFT(FILTER(IMPORTRANGE(""https://docs.google.com/spreadsheets/d/1BJSV3WBYJGRhQ6zExamkszQ5VutGIcaQqmbD9ZTVXMQ/edit#gid=1251630045"",""articles_with_PRISMA_reasons!K2:K2113""), $A1920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$A1920=IMPORTRANGE(""https://docs.google.com/spreadsheets/d/1BJSV3WBYJGRhQ6zExamkszQ5VutGIcaQqmbD9ZTVXMQ/edit#gid=1251630045"",""articles_with_PRISMA_reasons!B2:B2113"")))-1)"),"Steinbok")</f>
        <v>Steinbok</v>
      </c>
      <c r="C1920" s="6" t="str">
        <f>IFERROR(__xludf.DUMMYFUNCTION("FILTER(IMPORTRANGE(""https://docs.google.com/spreadsheets/d/1BJSV3WBYJGRhQ6zExamkszQ5VutGIcaQqmbD9ZTVXMQ/edit#gid=1251630045"",""articles_with_PRISMA_reasons!C2:C2113""), $A1920=IMPORTRANGE(""https://docs.google.com/spreadsheets/d/1BJSV3WBYJGRhQ6zExamkszQ"&amp;"5VutGIcaQqmbD9ZTVXMQ/edit#gid=1251630045"",""articles_with_PRISMA_reasons!B2:B2113""))"),"Aug")</f>
        <v>Aug</v>
      </c>
      <c r="D1920" s="5" t="str">
        <f>IFERROR(__xludf.DUMMYFUNCTION("IFS(AND(
FILTER(IMPORTRANGE(""https://docs.google.com/spreadsheets/d/1BJSV3WBYJGRhQ6zExamkszQ5VutGIcaQqmbD9ZTVXMQ/edit#gid=1251630045"",""articles_with_PRISMA_reasons!Y2:Y2113""), $A1920=IMPORTRANGE(""https://docs.google.com/spreadsheets/d/1BJSV3WBYJGRhQ6"&amp;"zExamkszQ5VutGIcaQqmbD9ZTVXMQ/edit#gid=1251630045"",""articles_with_PRISMA_reasons!B2:B2113""))&gt;=2,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$A1920=IMPORTRANGE(""https://docs.google.com/spreadsheets/d/1BJSV3WBYJGRhQ6zExamkszQ5VutGIcaQqmbD9ZTVXMQ/edit#gid=1251630045"",""articles_with_PRISMA_reasons!B2:B2113""))&lt;2),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$A1920=IMPORTRANGE(""https://docs.google.com/spreadsheets/d/1BJSV3WBYJGRhQ6zExamkszQ5VutGIcaQqmbD9ZTVXMQ/edit#gid=1251630045"",""a"&amp;"rticles_with_PRISMA_reasons!B2:B2113""))&lt;2,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$A1920=IMPORTRANGE(""https://docs.google"&amp;".com/spreadsheets/d/1BJSV3WBYJGRhQ6zExamkszQ5VutGIcaQqmbD9ZTVXMQ/edit#gid=1251630045"",""articles_with_PRISMA_reasons!B2:B2113""))&gt;=2),
""Exclude""
)"),"Exclude")</f>
        <v>Exclude</v>
      </c>
      <c r="E1920" s="5" t="str">
        <f>IFERROR(__xludf.DUMMYFUNCTION("IFS(
D1920=""Exclude"",""Exclude"",
AND(
FILTER(IMPORTRANGE(""https://docs.google.com/spreadsheets/d/1qpEmbGH0JjaJbUdp21-y2cPbobDbMjr09BbtdKROZWc/edit#gid=1444865654"",""articles_with_PRISMA_reasons!W2:W2113""), $A1920=IMPORTRANGE(""https://docs.google.co"&amp;"m/spreadsheets/d/1qpEmbGH0JjaJbUdp21-y2cPbobDbMjr09BbtdKROZWc/edit#gid=1444865654"",""articles_with_PRISMA_reasons!B2:B2113""))&gt;=2,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$A1920=IMPORTRANGE(""https://docs.google.com/spreadsheets/d/1qpEmbGH0JjaJbUdp21-y2cPbobDbMjr09BbtdKROZWc/edit#gid=1444865654"",""articles_with_PRISMA_reasons!B2:B2113""))&lt;2),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$A1920=IMPORTRANGE(""https://docs.google.com/spreadsheets/d/1qpEmbGH0JjaJbUdp21-y2cPbobDbMjr09Bbtd"&amp;"KROZWc/edit#gid=1444865654"",""articles_with_PRISMA_reasons!B2:B2113""))&lt;2,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$A1920=I"&amp;"MPORTRANGE(""https://docs.google.com/spreadsheets/d/1qpEmbGH0JjaJbUdp21-y2cPbobDbMjr09BbtdKROZWc/edit#gid=1444865654"",""articles_with_PRISMA_reasons!B2:B2113""))&gt;=2),
""Exclude""
)"),"Exclude")</f>
        <v>Exclude</v>
      </c>
      <c r="F1920" s="5" t="str">
        <f>IFERROR(__xludf.DUMMYFUNCTION("IFS(
E1920=""Exclude"",""Exclude"",
AND(
COUNTIF(
IMPORTRANGE(""https://docs.google.com/spreadsheets/d/1kGrh75X1cNR1D7_FcY9zMnHP8iPO4M5RCRjy6nZY0TY/edit#gid=0"",""Table 1: Study characteristics!B4:B171""),A1920)&gt;0,
COUNTIF(Studies!$A$2:$A$85,FILTER(IMPORT"&amp;"RANGE(""https://docs.google.com/spreadsheets/d/1kGrh75X1cNR1D7_FcY9zMnHP8iPO4M5RCRjy6nZY0TY/edit#gid=0"",""Table 1: Study characteristics!A4:A171""), $A1920=IMPORTRANGE(""https://docs.google.com/spreadsheets/d/1kGrh75X1cNR1D7_FcY9zMnHP8iPO4M5RCRjy6nZY0TY/"&amp;"edit#gid=0"",""Table 1: Study characteristics!B4:B171"")))&gt;0
),
""Include""
)"),"Exclude")</f>
        <v>Exclude</v>
      </c>
      <c r="G1920" s="5" t="str">
        <f>IFERROR(__xludf.DUMMYFUNCTION("IFS(
D1920=""Exclude"",
FILTER(IMPORTRANGE(""https://docs.google.com/spreadsheets/d/1BJSV3WBYJGRhQ6zExamkszQ5VutGIcaQqmbD9ZTVXMQ/edit#gid=1251630045"",""articles_with_PRISMA_reasons!AB2:AB2113""), $A1920=IMPORTRANGE(""https://docs.google.com/spreadsheets/"&amp;"d/1BJSV3WBYJGRhQ6zExamkszQ5VutGIcaQqmbD9ZTVXMQ/edit#gid=1251630045"",""articles_with_PRISMA_reasons!B2:B2113"")),
E1920=""Exclude"",
FILTER(IMPORTRANGE(""https://docs.google.com/spreadsheets/d/1qpEmbGH0JjaJbUdp21-y2cPbobDbMjr09BbtdKROZWc/edit#gid=14448656"&amp;"54"",""articles_with_PRISMA_reasons!Z2:Z2113""), $A1920=IMPORTRANGE(""https://docs.google.com/spreadsheets/d/1qpEmbGH0JjaJbUdp21-y2cPbobDbMjr09BbtdKROZWc/edit#gid=1444865654"",""articles_with_PRISMA_reasons!B2:B2113"")),F1920
=""Include"",FILTER(IMPORTRAN"&amp;"GE(""https://docs.google.com/spreadsheets/d/1kGrh75X1cNR1D7_FcY9zMnHP8iPO4M5RCRjy6nZY0TY/edit#gid=0"",""Table 1: Study characteristics!A4:A171""), $A1920=IMPORTRANGE(""https://docs.google.com/spreadsheets/d/1kGrh75X1cNR1D7_FcY9zMnHP8iPO4M5RCRjy6nZY0TY/edi"&amp;"t#gid=0"",""Table 1: Study characteristics!B4:B171""))
)"),"background article")</f>
        <v>background article</v>
      </c>
    </row>
    <row r="1921">
      <c r="A1921" s="4" t="str">
        <f>IFERROR(__xludf.DUMMYFUNCTION("""COMPUTED_VALUE"""),"The neurosurgeon and myelodysplasia")</f>
        <v>The neurosurgeon and myelodysplasia</v>
      </c>
      <c r="B1921" s="5" t="str">
        <f>IFERROR(__xludf.DUMMYFUNCTION("LEFT(FILTER(IMPORTRANGE(""https://docs.google.com/spreadsheets/d/1BJSV3WBYJGRhQ6zExamkszQ5VutGIcaQqmbD9ZTVXMQ/edit#gid=1251630045"",""articles_with_PRISMA_reasons!K2:K2113""), $A1921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$A1921=IMPORTRANGE(""https://docs.google.com/spreadsheets/d/1BJSV3WBYJGRhQ6zExamkszQ5VutGIcaQqmbD9ZTVXMQ/edit#gid=1251630045"",""articles_with_PRISMA_reasons!B2:B2113"")))-1)"),"Shucart")</f>
        <v>Shucart</v>
      </c>
      <c r="C1921" s="6">
        <f>IFERROR(__xludf.DUMMYFUNCTION("FILTER(IMPORTRANGE(""https://docs.google.com/spreadsheets/d/1BJSV3WBYJGRhQ6zExamkszQ5VutGIcaQqmbD9ZTVXMQ/edit#gid=1251630045"",""articles_with_PRISMA_reasons!C2:C2113""), $A1921=IMPORTRANGE(""https://docs.google.com/spreadsheets/d/1BJSV3WBYJGRhQ6zExamkszQ"&amp;"5VutGIcaQqmbD9ZTVXMQ/edit#gid=1251630045"",""articles_with_PRISMA_reasons!B2:B2113""))"),1976.0)</f>
        <v>1976</v>
      </c>
      <c r="D1921" s="5" t="str">
        <f>IFERROR(__xludf.DUMMYFUNCTION("IFS(AND(
FILTER(IMPORTRANGE(""https://docs.google.com/spreadsheets/d/1BJSV3WBYJGRhQ6zExamkszQ5VutGIcaQqmbD9ZTVXMQ/edit#gid=1251630045"",""articles_with_PRISMA_reasons!Y2:Y2113""), $A1921=IMPORTRANGE(""https://docs.google.com/spreadsheets/d/1BJSV3WBYJGRhQ6"&amp;"zExamkszQ5VutGIcaQqmbD9ZTVXMQ/edit#gid=1251630045"",""articles_with_PRISMA_reasons!B2:B2113""))&gt;=2,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$A1921=IMPORTRANGE(""https://docs.google.com/spreadsheets/d/1BJSV3WBYJGRhQ6zExamkszQ5VutGIcaQqmbD9ZTVXMQ/edit#gid=1251630045"",""articles_with_PRISMA_reasons!B2:B2113""))&lt;2),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$A1921=IMPORTRANGE(""https://docs.google.com/spreadsheets/d/1BJSV3WBYJGRhQ6zExamkszQ5VutGIcaQqmbD9ZTVXMQ/edit#gid=1251630045"",""a"&amp;"rticles_with_PRISMA_reasons!B2:B2113""))&lt;2,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$A1921=IMPORTRANGE(""https://docs.google"&amp;".com/spreadsheets/d/1BJSV3WBYJGRhQ6zExamkszQ5VutGIcaQqmbD9ZTVXMQ/edit#gid=1251630045"",""articles_with_PRISMA_reasons!B2:B2113""))&gt;=2),
""Exclude""
)"),"Exclude")</f>
        <v>Exclude</v>
      </c>
      <c r="E1921" s="5" t="str">
        <f>IFERROR(__xludf.DUMMYFUNCTION("IFS(
D1921=""Exclude"",""Exclude"",
AND(
FILTER(IMPORTRANGE(""https://docs.google.com/spreadsheets/d/1qpEmbGH0JjaJbUdp21-y2cPbobDbMjr09BbtdKROZWc/edit#gid=1444865654"",""articles_with_PRISMA_reasons!W2:W2113""), $A1921=IMPORTRANGE(""https://docs.google.co"&amp;"m/spreadsheets/d/1qpEmbGH0JjaJbUdp21-y2cPbobDbMjr09BbtdKROZWc/edit#gid=1444865654"",""articles_with_PRISMA_reasons!B2:B2113""))&gt;=2,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$A1921=IMPORTRANGE(""https://docs.google.com/spreadsheets/d/1qpEmbGH0JjaJbUdp21-y2cPbobDbMjr09BbtdKROZWc/edit#gid=1444865654"",""articles_with_PRISMA_reasons!B2:B2113""))&lt;2),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$A1921=IMPORTRANGE(""https://docs.google.com/spreadsheets/d/1qpEmbGH0JjaJbUdp21-y2cPbobDbMjr09Bbtd"&amp;"KROZWc/edit#gid=1444865654"",""articles_with_PRISMA_reasons!B2:B2113""))&lt;2,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$A1921=I"&amp;"MPORTRANGE(""https://docs.google.com/spreadsheets/d/1qpEmbGH0JjaJbUdp21-y2cPbobDbMjr09BbtdKROZWc/edit#gid=1444865654"",""articles_with_PRISMA_reasons!B2:B2113""))&gt;=2),
""Exclude""
)"),"Exclude")</f>
        <v>Exclude</v>
      </c>
      <c r="F1921" s="5" t="str">
        <f>IFERROR(__xludf.DUMMYFUNCTION("IFS(
E1921=""Exclude"",""Exclude"",
AND(
COUNTIF(
IMPORTRANGE(""https://docs.google.com/spreadsheets/d/1kGrh75X1cNR1D7_FcY9zMnHP8iPO4M5RCRjy6nZY0TY/edit#gid=0"",""Table 1: Study characteristics!B4:B171""),A1921)&gt;0,
COUNTIF(Studies!$A$2:$A$85,FILTER(IMPORT"&amp;"RANGE(""https://docs.google.com/spreadsheets/d/1kGrh75X1cNR1D7_FcY9zMnHP8iPO4M5RCRjy6nZY0TY/edit#gid=0"",""Table 1: Study characteristics!A4:A171""), $A1921=IMPORTRANGE(""https://docs.google.com/spreadsheets/d/1kGrh75X1cNR1D7_FcY9zMnHP8iPO4M5RCRjy6nZY0TY/"&amp;"edit#gid=0"",""Table 1: Study characteristics!B4:B171"")))&gt;0
),
""Include""
)"),"Exclude")</f>
        <v>Exclude</v>
      </c>
      <c r="G1921" s="5" t="str">
        <f>IFERROR(__xludf.DUMMYFUNCTION("IFS(
D1921=""Exclude"",
FILTER(IMPORTRANGE(""https://docs.google.com/spreadsheets/d/1BJSV3WBYJGRhQ6zExamkszQ5VutGIcaQqmbD9ZTVXMQ/edit#gid=1251630045"",""articles_with_PRISMA_reasons!AB2:AB2113""), $A1921=IMPORTRANGE(""https://docs.google.com/spreadsheets/"&amp;"d/1BJSV3WBYJGRhQ6zExamkszQ5VutGIcaQqmbD9ZTVXMQ/edit#gid=1251630045"",""articles_with_PRISMA_reasons!B2:B2113"")),
E1921=""Exclude"",
FILTER(IMPORTRANGE(""https://docs.google.com/spreadsheets/d/1qpEmbGH0JjaJbUdp21-y2cPbobDbMjr09BbtdKROZWc/edit#gid=14448656"&amp;"54"",""articles_with_PRISMA_reasons!Z2:Z2113""), $A1921=IMPORTRANGE(""https://docs.google.com/spreadsheets/d/1qpEmbGH0JjaJbUdp21-y2cPbobDbMjr09BbtdKROZWc/edit#gid=1444865654"",""articles_with_PRISMA_reasons!B2:B2113"")),F1921
=""Include"",FILTER(IMPORTRAN"&amp;"GE(""https://docs.google.com/spreadsheets/d/1kGrh75X1cNR1D7_FcY9zMnHP8iPO4M5RCRjy6nZY0TY/edit#gid=0"",""Table 1: Study characteristics!A4:A171""), $A1921=IMPORTRANGE(""https://docs.google.com/spreadsheets/d/1kGrh75X1cNR1D7_FcY9zMnHP8iPO4M5RCRjy6nZY0TY/edi"&amp;"t#gid=0"",""Table 1: Study characteristics!B4:B171""))
)"),"background article")</f>
        <v>background article</v>
      </c>
    </row>
    <row r="1922">
      <c r="A1922" s="4" t="str">
        <f>IFERROR(__xludf.DUMMYFUNCTION("""COMPUTED_VALUE"""),"The neurosurgeon's role in treatment of late complications of myelomeningocele")</f>
        <v>The neurosurgeon's role in treatment of late complications of myelomeningocele</v>
      </c>
      <c r="B1922" s="5" t="str">
        <f>IFERROR(__xludf.DUMMYFUNCTION("LEFT(FILTER(IMPORTRANGE(""https://docs.google.com/spreadsheets/d/1BJSV3WBYJGRhQ6zExamkszQ5VutGIcaQqmbD9ZTVXMQ/edit#gid=1251630045"",""articles_with_PRISMA_reasons!K2:K2113""), $A1922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$A1922=IMPORTRANGE(""https://docs.google.com/spreadsheets/d/1BJSV3WBYJGRhQ6zExamkszQ5VutGIcaQqmbD9ZTVXMQ/edit#gid=1251630045"",""articles_with_PRISMA_reasons!B2:B2113"")))-1)"),"Kojder")</f>
        <v>Kojder</v>
      </c>
      <c r="C1922" s="6">
        <f>IFERROR(__xludf.DUMMYFUNCTION("FILTER(IMPORTRANGE(""https://docs.google.com/spreadsheets/d/1BJSV3WBYJGRhQ6zExamkszQ5VutGIcaQqmbD9ZTVXMQ/edit#gid=1251630045"",""articles_with_PRISMA_reasons!C2:C2113""), $A1922=IMPORTRANGE(""https://docs.google.com/spreadsheets/d/1BJSV3WBYJGRhQ6zExamkszQ"&amp;"5VutGIcaQqmbD9ZTVXMQ/edit#gid=1251630045"",""articles_with_PRISMA_reasons!B2:B2113""))"),2003.0)</f>
        <v>2003</v>
      </c>
      <c r="D1922" s="5" t="str">
        <f>IFERROR(__xludf.DUMMYFUNCTION("IFS(AND(
FILTER(IMPORTRANGE(""https://docs.google.com/spreadsheets/d/1BJSV3WBYJGRhQ6zExamkszQ5VutGIcaQqmbD9ZTVXMQ/edit#gid=1251630045"",""articles_with_PRISMA_reasons!Y2:Y2113""), $A1922=IMPORTRANGE(""https://docs.google.com/spreadsheets/d/1BJSV3WBYJGRhQ6"&amp;"zExamkszQ5VutGIcaQqmbD9ZTVXMQ/edit#gid=1251630045"",""articles_with_PRISMA_reasons!B2:B2113""))&gt;=2,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$A1922=IMPORTRANGE(""https://docs.google.com/spreadsheets/d/1BJSV3WBYJGRhQ6zExamkszQ5VutGIcaQqmbD9ZTVXMQ/edit#gid=1251630045"",""articles_with_PRISMA_reasons!B2:B2113""))&lt;2),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$A1922=IMPORTRANGE(""https://docs.google.com/spreadsheets/d/1BJSV3WBYJGRhQ6zExamkszQ5VutGIcaQqmbD9ZTVXMQ/edit#gid=1251630045"",""a"&amp;"rticles_with_PRISMA_reasons!B2:B2113""))&lt;2,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$A1922=IMPORTRANGE(""https://docs.google"&amp;".com/spreadsheets/d/1BJSV3WBYJGRhQ6zExamkszQ5VutGIcaQqmbD9ZTVXMQ/edit#gid=1251630045"",""articles_with_PRISMA_reasons!B2:B2113""))&gt;=2),
""Exclude""
)"),"Exclude")</f>
        <v>Exclude</v>
      </c>
      <c r="E1922" s="5" t="str">
        <f>IFERROR(__xludf.DUMMYFUNCTION("IFS(
D1922=""Exclude"",""Exclude"",
AND(
FILTER(IMPORTRANGE(""https://docs.google.com/spreadsheets/d/1qpEmbGH0JjaJbUdp21-y2cPbobDbMjr09BbtdKROZWc/edit#gid=1444865654"",""articles_with_PRISMA_reasons!W2:W2113""), $A1922=IMPORTRANGE(""https://docs.google.co"&amp;"m/spreadsheets/d/1qpEmbGH0JjaJbUdp21-y2cPbobDbMjr09BbtdKROZWc/edit#gid=1444865654"",""articles_with_PRISMA_reasons!B2:B2113""))&gt;=2,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$A1922=IMPORTRANGE(""https://docs.google.com/spreadsheets/d/1qpEmbGH0JjaJbUdp21-y2cPbobDbMjr09BbtdKROZWc/edit#gid=1444865654"",""articles_with_PRISMA_reasons!B2:B2113""))&lt;2),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$A1922=IMPORTRANGE(""https://docs.google.com/spreadsheets/d/1qpEmbGH0JjaJbUdp21-y2cPbobDbMjr09Bbtd"&amp;"KROZWc/edit#gid=1444865654"",""articles_with_PRISMA_reasons!B2:B2113""))&lt;2,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$A1922=I"&amp;"MPORTRANGE(""https://docs.google.com/spreadsheets/d/1qpEmbGH0JjaJbUdp21-y2cPbobDbMjr09BbtdKROZWc/edit#gid=1444865654"",""articles_with_PRISMA_reasons!B2:B2113""))&gt;=2),
""Exclude""
)"),"Exclude")</f>
        <v>Exclude</v>
      </c>
      <c r="F1922" s="5" t="str">
        <f>IFERROR(__xludf.DUMMYFUNCTION("IFS(
E1922=""Exclude"",""Exclude"",
AND(
COUNTIF(
IMPORTRANGE(""https://docs.google.com/spreadsheets/d/1kGrh75X1cNR1D7_FcY9zMnHP8iPO4M5RCRjy6nZY0TY/edit#gid=0"",""Table 1: Study characteristics!B4:B171""),A1922)&gt;0,
COUNTIF(Studies!$A$2:$A$85,FILTER(IMPORT"&amp;"RANGE(""https://docs.google.com/spreadsheets/d/1kGrh75X1cNR1D7_FcY9zMnHP8iPO4M5RCRjy6nZY0TY/edit#gid=0"",""Table 1: Study characteristics!A4:A171""), $A1922=IMPORTRANGE(""https://docs.google.com/spreadsheets/d/1kGrh75X1cNR1D7_FcY9zMnHP8iPO4M5RCRjy6nZY0TY/"&amp;"edit#gid=0"",""Table 1: Study characteristics!B4:B171"")))&gt;0
),
""Include""
)"),"Exclude")</f>
        <v>Exclude</v>
      </c>
      <c r="G1922" s="5" t="str">
        <f>IFERROR(__xludf.DUMMYFUNCTION("IFS(
D1922=""Exclude"",
FILTER(IMPORTRANGE(""https://docs.google.com/spreadsheets/d/1BJSV3WBYJGRhQ6zExamkszQ5VutGIcaQqmbD9ZTVXMQ/edit#gid=1251630045"",""articles_with_PRISMA_reasons!AB2:AB2113""), $A1922=IMPORTRANGE(""https://docs.google.com/spreadsheets/"&amp;"d/1BJSV3WBYJGRhQ6zExamkszQ5VutGIcaQqmbD9ZTVXMQ/edit#gid=1251630045"",""articles_with_PRISMA_reasons!B2:B2113"")),
E1922=""Exclude"",
FILTER(IMPORTRANGE(""https://docs.google.com/spreadsheets/d/1qpEmbGH0JjaJbUdp21-y2cPbobDbMjr09BbtdKROZWc/edit#gid=14448656"&amp;"54"",""articles_with_PRISMA_reasons!Z2:Z2113""), $A1922=IMPORTRANGE(""https://docs.google.com/spreadsheets/d/1qpEmbGH0JjaJbUdp21-y2cPbobDbMjr09BbtdKROZWc/edit#gid=1444865654"",""articles_with_PRISMA_reasons!B2:B2113"")),F1922
=""Include"",FILTER(IMPORTRAN"&amp;"GE(""https://docs.google.com/spreadsheets/d/1kGrh75X1cNR1D7_FcY9zMnHP8iPO4M5RCRjy6nZY0TY/edit#gid=0"",""Table 1: Study characteristics!A4:A171""), $A1922=IMPORTRANGE(""https://docs.google.com/spreadsheets/d/1kGrh75X1cNR1D7_FcY9zMnHP8iPO4M5RCRjy6nZY0TY/edi"&amp;"t#gid=0"",""Table 1: Study characteristics!B4:B171""))
)"),"wrong population")</f>
        <v>wrong population</v>
      </c>
    </row>
    <row r="1923">
      <c r="A1923" s="4" t="str">
        <f>IFERROR(__xludf.DUMMYFUNCTION("""COMPUTED_VALUE"""),"The open fontanelle: a window to less radiation")</f>
        <v>The open fontanelle: a window to less radiation</v>
      </c>
      <c r="B1923" s="5" t="str">
        <f>IFERROR(__xludf.DUMMYFUNCTION("LEFT(FILTER(IMPORTRANGE(""https://docs.google.com/spreadsheets/d/1BJSV3WBYJGRhQ6zExamkszQ5VutGIcaQqmbD9ZTVXMQ/edit#gid=1251630045"",""articles_with_PRISMA_reasons!K2:K2113""), $A1923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$A1923=IMPORTRANGE(""https://docs.google.com/spreadsheets/d/1BJSV3WBYJGRhQ6zExamkszQ5VutGIcaQqmbD9ZTVXMQ/edit#gid=1251630045"",""articles_with_PRISMA_reasons!B2:B2113"")))-1)"),"M and iwanza")</f>
        <v>M and iwanza</v>
      </c>
      <c r="C1923" s="6">
        <f>IFERROR(__xludf.DUMMYFUNCTION("FILTER(IMPORTRANGE(""https://docs.google.com/spreadsheets/d/1BJSV3WBYJGRhQ6zExamkszQ5VutGIcaQqmbD9ZTVXMQ/edit#gid=1251630045"",""articles_with_PRISMA_reasons!C2:C2113""), $A1923=IMPORTRANGE(""https://docs.google.com/spreadsheets/d/1BJSV3WBYJGRhQ6zExamkszQ"&amp;"5VutGIcaQqmbD9ZTVXMQ/edit#gid=1251630045"",""articles_with_PRISMA_reasons!B2:B2113""))"),2013.0)</f>
        <v>2013</v>
      </c>
      <c r="D1923" s="5" t="str">
        <f>IFERROR(__xludf.DUMMYFUNCTION("IFS(AND(
FILTER(IMPORTRANGE(""https://docs.google.com/spreadsheets/d/1BJSV3WBYJGRhQ6zExamkszQ5VutGIcaQqmbD9ZTVXMQ/edit#gid=1251630045"",""articles_with_PRISMA_reasons!Y2:Y2113""), $A1923=IMPORTRANGE(""https://docs.google.com/spreadsheets/d/1BJSV3WBYJGRhQ6"&amp;"zExamkszQ5VutGIcaQqmbD9ZTVXMQ/edit#gid=1251630045"",""articles_with_PRISMA_reasons!B2:B2113""))&gt;=2,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$A1923=IMPORTRANGE(""https://docs.google.com/spreadsheets/d/1BJSV3WBYJGRhQ6zExamkszQ5VutGIcaQqmbD9ZTVXMQ/edit#gid=1251630045"",""articles_with_PRISMA_reasons!B2:B2113""))&lt;2),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$A1923=IMPORTRANGE(""https://docs.google.com/spreadsheets/d/1BJSV3WBYJGRhQ6zExamkszQ5VutGIcaQqmbD9ZTVXMQ/edit#gid=1251630045"",""a"&amp;"rticles_with_PRISMA_reasons!B2:B2113""))&lt;2,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$A1923=IMPORTRANGE(""https://docs.google"&amp;".com/spreadsheets/d/1BJSV3WBYJGRhQ6zExamkszQ5VutGIcaQqmbD9ZTVXMQ/edit#gid=1251630045"",""articles_with_PRISMA_reasons!B2:B2113""))&gt;=2),
""Exclude""
)"),"Exclude")</f>
        <v>Exclude</v>
      </c>
      <c r="E1923" s="5" t="str">
        <f>IFERROR(__xludf.DUMMYFUNCTION("IFS(
D1923=""Exclude"",""Exclude"",
AND(
FILTER(IMPORTRANGE(""https://docs.google.com/spreadsheets/d/1qpEmbGH0JjaJbUdp21-y2cPbobDbMjr09BbtdKROZWc/edit#gid=1444865654"",""articles_with_PRISMA_reasons!W2:W2113""), $A1923=IMPORTRANGE(""https://docs.google.co"&amp;"m/spreadsheets/d/1qpEmbGH0JjaJbUdp21-y2cPbobDbMjr09BbtdKROZWc/edit#gid=1444865654"",""articles_with_PRISMA_reasons!B2:B2113""))&gt;=2,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$A1923=IMPORTRANGE(""https://docs.google.com/spreadsheets/d/1qpEmbGH0JjaJbUdp21-y2cPbobDbMjr09BbtdKROZWc/edit#gid=1444865654"",""articles_with_PRISMA_reasons!B2:B2113""))&lt;2),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$A1923=IMPORTRANGE(""https://docs.google.com/spreadsheets/d/1qpEmbGH0JjaJbUdp21-y2cPbobDbMjr09Bbtd"&amp;"KROZWc/edit#gid=1444865654"",""articles_with_PRISMA_reasons!B2:B2113""))&lt;2,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$A1923=I"&amp;"MPORTRANGE(""https://docs.google.com/spreadsheets/d/1qpEmbGH0JjaJbUdp21-y2cPbobDbMjr09BbtdKROZWc/edit#gid=1444865654"",""articles_with_PRISMA_reasons!B2:B2113""))&gt;=2),
""Exclude""
)"),"Exclude")</f>
        <v>Exclude</v>
      </c>
      <c r="F1923" s="5" t="str">
        <f>IFERROR(__xludf.DUMMYFUNCTION("IFS(
E1923=""Exclude"",""Exclude"",
AND(
COUNTIF(
IMPORTRANGE(""https://docs.google.com/spreadsheets/d/1kGrh75X1cNR1D7_FcY9zMnHP8iPO4M5RCRjy6nZY0TY/edit#gid=0"",""Table 1: Study characteristics!B4:B171""),A1923)&gt;0,
COUNTIF(Studies!$A$2:$A$85,FILTER(IMPORT"&amp;"RANGE(""https://docs.google.com/spreadsheets/d/1kGrh75X1cNR1D7_FcY9zMnHP8iPO4M5RCRjy6nZY0TY/edit#gid=0"",""Table 1: Study characteristics!A4:A171""), $A1923=IMPORTRANGE(""https://docs.google.com/spreadsheets/d/1kGrh75X1cNR1D7_FcY9zMnHP8iPO4M5RCRjy6nZY0TY/"&amp;"edit#gid=0"",""Table 1: Study characteristics!B4:B171"")))&gt;0
),
""Include""
)"),"Exclude")</f>
        <v>Exclude</v>
      </c>
      <c r="G1923" s="5" t="str">
        <f>IFERROR(__xludf.DUMMYFUNCTION("IFS(
D1923=""Exclude"",
FILTER(IMPORTRANGE(""https://docs.google.com/spreadsheets/d/1BJSV3WBYJGRhQ6zExamkszQ5VutGIcaQqmbD9ZTVXMQ/edit#gid=1251630045"",""articles_with_PRISMA_reasons!AB2:AB2113""), $A1923=IMPORTRANGE(""https://docs.google.com/spreadsheets/"&amp;"d/1BJSV3WBYJGRhQ6zExamkszQ5VutGIcaQqmbD9ZTVXMQ/edit#gid=1251630045"",""articles_with_PRISMA_reasons!B2:B2113"")),
E1923=""Exclude"",
FILTER(IMPORTRANGE(""https://docs.google.com/spreadsheets/d/1qpEmbGH0JjaJbUdp21-y2cPbobDbMjr09BbtdKROZWc/edit#gid=14448656"&amp;"54"",""articles_with_PRISMA_reasons!Z2:Z2113""), $A1923=IMPORTRANGE(""https://docs.google.com/spreadsheets/d/1qpEmbGH0JjaJbUdp21-y2cPbobDbMjr09BbtdKROZWc/edit#gid=1444865654"",""articles_with_PRISMA_reasons!B2:B2113"")),F1923
=""Include"",FILTER(IMPORTRAN"&amp;"GE(""https://docs.google.com/spreadsheets/d/1kGrh75X1cNR1D7_FcY9zMnHP8iPO4M5RCRjy6nZY0TY/edit#gid=0"",""Table 1: Study characteristics!A4:A171""), $A1923=IMPORTRANGE(""https://docs.google.com/spreadsheets/d/1kGrh75X1cNR1D7_FcY9zMnHP8iPO4M5RCRjy6nZY0TY/edi"&amp;"t#gid=0"",""Table 1: Study characteristics!B4:B171""))
)"),"wrong population")</f>
        <v>wrong population</v>
      </c>
    </row>
    <row r="1924">
      <c r="A1924" s="4" t="str">
        <f>IFERROR(__xludf.DUMMYFUNCTION("""COMPUTED_VALUE"""),"The outcome of shunted hydrocephalic children")</f>
        <v>The outcome of shunted hydrocephalic children</v>
      </c>
      <c r="B1924" s="5" t="str">
        <f>IFERROR(__xludf.DUMMYFUNCTION("LEFT(FILTER(IMPORTRANGE(""https://docs.google.com/spreadsheets/d/1BJSV3WBYJGRhQ6zExamkszQ5VutGIcaQqmbD9ZTVXMQ/edit#gid=1251630045"",""articles_with_PRISMA_reasons!K2:K2113""), $A1924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$A1924=IMPORTRANGE(""https://docs.google.com/spreadsheets/d/1BJSV3WBYJGRhQ6zExamkszQ5VutGIcaQqmbD9ZTVXMQ/edit#gid=1251630045"",""articles_with_PRISMA_reasons!B2:B2113"")))-1)"),"Yang")</f>
        <v>Yang</v>
      </c>
      <c r="C1924" s="6">
        <f>IFERROR(__xludf.DUMMYFUNCTION("FILTER(IMPORTRANGE(""https://docs.google.com/spreadsheets/d/1BJSV3WBYJGRhQ6zExamkszQ5VutGIcaQqmbD9ZTVXMQ/edit#gid=1251630045"",""articles_with_PRISMA_reasons!C2:C2113""), $A1924=IMPORTRANGE(""https://docs.google.com/spreadsheets/d/1BJSV3WBYJGRhQ6zExamkszQ"&amp;"5VutGIcaQqmbD9ZTVXMQ/edit#gid=1251630045"",""articles_with_PRISMA_reasons!B2:B2113""))"),2001.0)</f>
        <v>2001</v>
      </c>
      <c r="D1924" s="5" t="str">
        <f>IFERROR(__xludf.DUMMYFUNCTION("IFS(AND(
FILTER(IMPORTRANGE(""https://docs.google.com/spreadsheets/d/1BJSV3WBYJGRhQ6zExamkszQ5VutGIcaQqmbD9ZTVXMQ/edit#gid=1251630045"",""articles_with_PRISMA_reasons!Y2:Y2113""), $A1924=IMPORTRANGE(""https://docs.google.com/spreadsheets/d/1BJSV3WBYJGRhQ6"&amp;"zExamkszQ5VutGIcaQqmbD9ZTVXMQ/edit#gid=1251630045"",""articles_with_PRISMA_reasons!B2:B2113""))&gt;=2,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$A1924=IMPORTRANGE(""https://docs.google.com/spreadsheets/d/1BJSV3WBYJGRhQ6zExamkszQ5VutGIcaQqmbD9ZTVXMQ/edit#gid=1251630045"",""articles_with_PRISMA_reasons!B2:B2113""))&lt;2),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$A1924=IMPORTRANGE(""https://docs.google.com/spreadsheets/d/1BJSV3WBYJGRhQ6zExamkszQ5VutGIcaQqmbD9ZTVXMQ/edit#gid=1251630045"",""a"&amp;"rticles_with_PRISMA_reasons!B2:B2113""))&lt;2,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$A1924=IMPORTRANGE(""https://docs.google"&amp;".com/spreadsheets/d/1BJSV3WBYJGRhQ6zExamkszQ5VutGIcaQqmbD9ZTVXMQ/edit#gid=1251630045"",""articles_with_PRISMA_reasons!B2:B2113""))&gt;=2),
""Exclude""
)"),"Exclude")</f>
        <v>Exclude</v>
      </c>
      <c r="E1924" s="5" t="str">
        <f>IFERROR(__xludf.DUMMYFUNCTION("IFS(
D1924=""Exclude"",""Exclude"",
AND(
FILTER(IMPORTRANGE(""https://docs.google.com/spreadsheets/d/1qpEmbGH0JjaJbUdp21-y2cPbobDbMjr09BbtdKROZWc/edit#gid=1444865654"",""articles_with_PRISMA_reasons!W2:W2113""), $A1924=IMPORTRANGE(""https://docs.google.co"&amp;"m/spreadsheets/d/1qpEmbGH0JjaJbUdp21-y2cPbobDbMjr09BbtdKROZWc/edit#gid=1444865654"",""articles_with_PRISMA_reasons!B2:B2113""))&gt;=2,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$A1924=IMPORTRANGE(""https://docs.google.com/spreadsheets/d/1qpEmbGH0JjaJbUdp21-y2cPbobDbMjr09BbtdKROZWc/edit#gid=1444865654"",""articles_with_PRISMA_reasons!B2:B2113""))&lt;2),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$A1924=IMPORTRANGE(""https://docs.google.com/spreadsheets/d/1qpEmbGH0JjaJbUdp21-y2cPbobDbMjr09Bbtd"&amp;"KROZWc/edit#gid=1444865654"",""articles_with_PRISMA_reasons!B2:B2113""))&lt;2,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$A1924=I"&amp;"MPORTRANGE(""https://docs.google.com/spreadsheets/d/1qpEmbGH0JjaJbUdp21-y2cPbobDbMjr09BbtdKROZWc/edit#gid=1444865654"",""articles_with_PRISMA_reasons!B2:B2113""))&gt;=2),
""Exclude""
)"),"Exclude")</f>
        <v>Exclude</v>
      </c>
      <c r="F1924" s="5" t="str">
        <f>IFERROR(__xludf.DUMMYFUNCTION("IFS(
E1924=""Exclude"",""Exclude"",
AND(
COUNTIF(
IMPORTRANGE(""https://docs.google.com/spreadsheets/d/1kGrh75X1cNR1D7_FcY9zMnHP8iPO4M5RCRjy6nZY0TY/edit#gid=0"",""Table 1: Study characteristics!B4:B171""),A1924)&gt;0,
COUNTIF(Studies!$A$2:$A$85,FILTER(IMPORT"&amp;"RANGE(""https://docs.google.com/spreadsheets/d/1kGrh75X1cNR1D7_FcY9zMnHP8iPO4M5RCRjy6nZY0TY/edit#gid=0"",""Table 1: Study characteristics!A4:A171""), $A1924=IMPORTRANGE(""https://docs.google.com/spreadsheets/d/1kGrh75X1cNR1D7_FcY9zMnHP8iPO4M5RCRjy6nZY0TY/"&amp;"edit#gid=0"",""Table 1: Study characteristics!B4:B171"")))&gt;0
),
""Include""
)"),"Exclude")</f>
        <v>Exclude</v>
      </c>
      <c r="G1924" s="5" t="str">
        <f>IFERROR(__xludf.DUMMYFUNCTION("IFS(
D1924=""Exclude"",
FILTER(IMPORTRANGE(""https://docs.google.com/spreadsheets/d/1BJSV3WBYJGRhQ6zExamkszQ5VutGIcaQqmbD9ZTVXMQ/edit#gid=1251630045"",""articles_with_PRISMA_reasons!AB2:AB2113""), $A1924=IMPORTRANGE(""https://docs.google.com/spreadsheets/"&amp;"d/1BJSV3WBYJGRhQ6zExamkszQ5VutGIcaQqmbD9ZTVXMQ/edit#gid=1251630045"",""articles_with_PRISMA_reasons!B2:B2113"")),
E1924=""Exclude"",
FILTER(IMPORTRANGE(""https://docs.google.com/spreadsheets/d/1qpEmbGH0JjaJbUdp21-y2cPbobDbMjr09BbtdKROZWc/edit#gid=14448656"&amp;"54"",""articles_with_PRISMA_reasons!Z2:Z2113""), $A1924=IMPORTRANGE(""https://docs.google.com/spreadsheets/d/1qpEmbGH0JjaJbUdp21-y2cPbobDbMjr09BbtdKROZWc/edit#gid=1444865654"",""articles_with_PRISMA_reasons!B2:B2113"")),F1924
=""Include"",FILTER(IMPORTRAN"&amp;"GE(""https://docs.google.com/spreadsheets/d/1kGrh75X1cNR1D7_FcY9zMnHP8iPO4M5RCRjy6nZY0TY/edit#gid=0"",""Table 1: Study characteristics!A4:A171""), $A1924=IMPORTRANGE(""https://docs.google.com/spreadsheets/d/1kGrh75X1cNR1D7_FcY9zMnHP8iPO4M5RCRjy6nZY0TY/edi"&amp;"t#gid=0"",""Table 1: Study characteristics!B4:B171""))
)"),"wrong population")</f>
        <v>wrong population</v>
      </c>
    </row>
    <row r="1925">
      <c r="A1925" s="4" t="str">
        <f>IFERROR(__xludf.DUMMYFUNCTION("""COMPUTED_VALUE"""),"The outlook for the child with a myelomeningocele for whom early surgery was considered inadvisable")</f>
        <v>The outlook for the child with a myelomeningocele for whom early surgery was considered inadvisable</v>
      </c>
      <c r="B1925" s="5" t="str">
        <f>IFERROR(__xludf.DUMMYFUNCTION("LEFT(FILTER(IMPORTRANGE(""https://docs.google.com/spreadsheets/d/1BJSV3WBYJGRhQ6zExamkszQ5VutGIcaQqmbD9ZTVXMQ/edit#gid=1251630045"",""articles_with_PRISMA_reasons!K2:K2113""), $A1925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$A1925=IMPORTRANGE(""https://docs.google.com/spreadsheets/d/1BJSV3WBYJGRhQ6zExamkszQ5VutGIcaQqmbD9ZTVXMQ/edit#gid=1251630045"",""articles_with_PRISMA_reasons!B2:B2113"")))-1)"),"Hide")</f>
        <v>Hide</v>
      </c>
      <c r="C1925" s="6">
        <f>IFERROR(__xludf.DUMMYFUNCTION("FILTER(IMPORTRANGE(""https://docs.google.com/spreadsheets/d/1BJSV3WBYJGRhQ6zExamkszQ5VutGIcaQqmbD9ZTVXMQ/edit#gid=1251630045"",""articles_with_PRISMA_reasons!C2:C2113""), $A1925=IMPORTRANGE(""https://docs.google.com/spreadsheets/d/1BJSV3WBYJGRhQ6zExamkszQ"&amp;"5VutGIcaQqmbD9ZTVXMQ/edit#gid=1251630045"",""articles_with_PRISMA_reasons!B2:B2113""))"),1972.0)</f>
        <v>1972</v>
      </c>
      <c r="D1925" s="5" t="str">
        <f>IFERROR(__xludf.DUMMYFUNCTION("IFS(AND(
FILTER(IMPORTRANGE(""https://docs.google.com/spreadsheets/d/1BJSV3WBYJGRhQ6zExamkszQ5VutGIcaQqmbD9ZTVXMQ/edit#gid=1251630045"",""articles_with_PRISMA_reasons!Y2:Y2113""), $A1925=IMPORTRANGE(""https://docs.google.com/spreadsheets/d/1BJSV3WBYJGRhQ6"&amp;"zExamkszQ5VutGIcaQqmbD9ZTVXMQ/edit#gid=1251630045"",""articles_with_PRISMA_reasons!B2:B2113""))&gt;=2,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$A1925=IMPORTRANGE(""https://docs.google.com/spreadsheets/d/1BJSV3WBYJGRhQ6zExamkszQ5VutGIcaQqmbD9ZTVXMQ/edit#gid=1251630045"",""articles_with_PRISMA_reasons!B2:B2113""))&lt;2),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$A1925=IMPORTRANGE(""https://docs.google.com/spreadsheets/d/1BJSV3WBYJGRhQ6zExamkszQ5VutGIcaQqmbD9ZTVXMQ/edit#gid=1251630045"",""a"&amp;"rticles_with_PRISMA_reasons!B2:B2113""))&lt;2,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$A1925=IMPORTRANGE(""https://docs.google"&amp;".com/spreadsheets/d/1BJSV3WBYJGRhQ6zExamkszQ5VutGIcaQqmbD9ZTVXMQ/edit#gid=1251630045"",""articles_with_PRISMA_reasons!B2:B2113""))&gt;=2),
""Exclude""
)"),"Include")</f>
        <v>Include</v>
      </c>
      <c r="E1925" s="5" t="str">
        <f>IFERROR(__xludf.DUMMYFUNCTION("IFS(
D1925=""Exclude"",""Exclude"",
AND(
FILTER(IMPORTRANGE(""https://docs.google.com/spreadsheets/d/1qpEmbGH0JjaJbUdp21-y2cPbobDbMjr09BbtdKROZWc/edit#gid=1444865654"",""articles_with_PRISMA_reasons!W2:W2113""), $A1925=IMPORTRANGE(""https://docs.google.co"&amp;"m/spreadsheets/d/1qpEmbGH0JjaJbUdp21-y2cPbobDbMjr09BbtdKROZWc/edit#gid=1444865654"",""articles_with_PRISMA_reasons!B2:B2113""))&gt;=2,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$A1925=IMPORTRANGE(""https://docs.google.com/spreadsheets/d/1qpEmbGH0JjaJbUdp21-y2cPbobDbMjr09BbtdKROZWc/edit#gid=1444865654"",""articles_with_PRISMA_reasons!B2:B2113""))&lt;2),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$A1925=IMPORTRANGE(""https://docs.google.com/spreadsheets/d/1qpEmbGH0JjaJbUdp21-y2cPbobDbMjr09Bbtd"&amp;"KROZWc/edit#gid=1444865654"",""articles_with_PRISMA_reasons!B2:B2113""))&lt;2,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$A1925=I"&amp;"MPORTRANGE(""https://docs.google.com/spreadsheets/d/1qpEmbGH0JjaJbUdp21-y2cPbobDbMjr09BbtdKROZWc/edit#gid=1444865654"",""articles_with_PRISMA_reasons!B2:B2113""))&gt;=2),
""Exclude""
)"),"Include")</f>
        <v>Include</v>
      </c>
      <c r="F1925" s="2" t="s">
        <v>8</v>
      </c>
      <c r="G1925" s="2" t="s">
        <v>16</v>
      </c>
    </row>
    <row r="1926">
      <c r="A1926" s="4" t="str">
        <f>IFERROR(__xludf.DUMMYFUNCTION("""COMPUTED_VALUE"""),"The pediatric athlete with disabilities")</f>
        <v>The pediatric athlete with disabilities</v>
      </c>
      <c r="B1926" s="5" t="str">
        <f>IFERROR(__xludf.DUMMYFUNCTION("LEFT(FILTER(IMPORTRANGE(""https://docs.google.com/spreadsheets/d/1BJSV3WBYJGRhQ6zExamkszQ5VutGIcaQqmbD9ZTVXMQ/edit#gid=1251630045"",""articles_with_PRISMA_reasons!K2:K2113""), $A1926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$A1926=IMPORTRANGE(""https://docs.google.com/spreadsheets/d/1BJSV3WBYJGRhQ6zExamkszQ5VutGIcaQqmbD9ZTVXMQ/edit#gid=1251630045"",""articles_with_PRISMA_reasons!B2:B2113"")))-1)"),"Patel")</f>
        <v>Patel</v>
      </c>
      <c r="C1926" s="6">
        <f>IFERROR(__xludf.DUMMYFUNCTION("FILTER(IMPORTRANGE(""https://docs.google.com/spreadsheets/d/1BJSV3WBYJGRhQ6zExamkszQ5VutGIcaQqmbD9ZTVXMQ/edit#gid=1251630045"",""articles_with_PRISMA_reasons!C2:C2113""), $A1926=IMPORTRANGE(""https://docs.google.com/spreadsheets/d/1BJSV3WBYJGRhQ6zExamkszQ"&amp;"5VutGIcaQqmbD9ZTVXMQ/edit#gid=1251630045"",""articles_with_PRISMA_reasons!B2:B2113""))"),2002.0)</f>
        <v>2002</v>
      </c>
      <c r="D1926" s="5" t="str">
        <f>IFERROR(__xludf.DUMMYFUNCTION("IFS(AND(
FILTER(IMPORTRANGE(""https://docs.google.com/spreadsheets/d/1BJSV3WBYJGRhQ6zExamkszQ5VutGIcaQqmbD9ZTVXMQ/edit#gid=1251630045"",""articles_with_PRISMA_reasons!Y2:Y2113""), $A1926=IMPORTRANGE(""https://docs.google.com/spreadsheets/d/1BJSV3WBYJGRhQ6"&amp;"zExamkszQ5VutGIcaQqmbD9ZTVXMQ/edit#gid=1251630045"",""articles_with_PRISMA_reasons!B2:B2113""))&gt;=2,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$A1926=IMPORTRANGE(""https://docs.google.com/spreadsheets/d/1BJSV3WBYJGRhQ6zExamkszQ5VutGIcaQqmbD9ZTVXMQ/edit#gid=1251630045"",""articles_with_PRISMA_reasons!B2:B2113""))&lt;2),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$A1926=IMPORTRANGE(""https://docs.google.com/spreadsheets/d/1BJSV3WBYJGRhQ6zExamkszQ5VutGIcaQqmbD9ZTVXMQ/edit#gid=1251630045"",""a"&amp;"rticles_with_PRISMA_reasons!B2:B2113""))&lt;2,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$A1926=IMPORTRANGE(""https://docs.google"&amp;".com/spreadsheets/d/1BJSV3WBYJGRhQ6zExamkszQ5VutGIcaQqmbD9ZTVXMQ/edit#gid=1251630045"",""articles_with_PRISMA_reasons!B2:B2113""))&gt;=2),
""Exclude""
)"),"Exclude")</f>
        <v>Exclude</v>
      </c>
      <c r="E1926" s="5" t="str">
        <f>IFERROR(__xludf.DUMMYFUNCTION("IFS(
D1926=""Exclude"",""Exclude"",
AND(
FILTER(IMPORTRANGE(""https://docs.google.com/spreadsheets/d/1qpEmbGH0JjaJbUdp21-y2cPbobDbMjr09BbtdKROZWc/edit#gid=1444865654"",""articles_with_PRISMA_reasons!W2:W2113""), $A1926=IMPORTRANGE(""https://docs.google.co"&amp;"m/spreadsheets/d/1qpEmbGH0JjaJbUdp21-y2cPbobDbMjr09BbtdKROZWc/edit#gid=1444865654"",""articles_with_PRISMA_reasons!B2:B2113""))&gt;=2,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$A1926=IMPORTRANGE(""https://docs.google.com/spreadsheets/d/1qpEmbGH0JjaJbUdp21-y2cPbobDbMjr09BbtdKROZWc/edit#gid=1444865654"",""articles_with_PRISMA_reasons!B2:B2113""))&lt;2),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$A1926=IMPORTRANGE(""https://docs.google.com/spreadsheets/d/1qpEmbGH0JjaJbUdp21-y2cPbobDbMjr09Bbtd"&amp;"KROZWc/edit#gid=1444865654"",""articles_with_PRISMA_reasons!B2:B2113""))&lt;2,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$A1926=I"&amp;"MPORTRANGE(""https://docs.google.com/spreadsheets/d/1qpEmbGH0JjaJbUdp21-y2cPbobDbMjr09BbtdKROZWc/edit#gid=1444865654"",""articles_with_PRISMA_reasons!B2:B2113""))&gt;=2),
""Exclude""
)"),"Exclude")</f>
        <v>Exclude</v>
      </c>
      <c r="F1926" s="5" t="str">
        <f>IFERROR(__xludf.DUMMYFUNCTION("IFS(
E1926=""Exclude"",""Exclude"",
AND(
COUNTIF(
IMPORTRANGE(""https://docs.google.com/spreadsheets/d/1kGrh75X1cNR1D7_FcY9zMnHP8iPO4M5RCRjy6nZY0TY/edit#gid=0"",""Table 1: Study characteristics!B4:B171""),A1926)&gt;0,
COUNTIF(Studies!$A$2:$A$85,FILTER(IMPORT"&amp;"RANGE(""https://docs.google.com/spreadsheets/d/1kGrh75X1cNR1D7_FcY9zMnHP8iPO4M5RCRjy6nZY0TY/edit#gid=0"",""Table 1: Study characteristics!A4:A171""), $A1926=IMPORTRANGE(""https://docs.google.com/spreadsheets/d/1kGrh75X1cNR1D7_FcY9zMnHP8iPO4M5RCRjy6nZY0TY/"&amp;"edit#gid=0"",""Table 1: Study characteristics!B4:B171"")))&gt;0
),
""Include""
)"),"Exclude")</f>
        <v>Exclude</v>
      </c>
      <c r="G1926" s="5" t="str">
        <f>IFERROR(__xludf.DUMMYFUNCTION("IFS(
D1926=""Exclude"",
FILTER(IMPORTRANGE(""https://docs.google.com/spreadsheets/d/1BJSV3WBYJGRhQ6zExamkszQ5VutGIcaQqmbD9ZTVXMQ/edit#gid=1251630045"",""articles_with_PRISMA_reasons!AB2:AB2113""), $A1926=IMPORTRANGE(""https://docs.google.com/spreadsheets/"&amp;"d/1BJSV3WBYJGRhQ6zExamkszQ5VutGIcaQqmbD9ZTVXMQ/edit#gid=1251630045"",""articles_with_PRISMA_reasons!B2:B2113"")),
E1926=""Exclude"",
FILTER(IMPORTRANGE(""https://docs.google.com/spreadsheets/d/1qpEmbGH0JjaJbUdp21-y2cPbobDbMjr09BbtdKROZWc/edit#gid=14448656"&amp;"54"",""articles_with_PRISMA_reasons!Z2:Z2113""), $A1926=IMPORTRANGE(""https://docs.google.com/spreadsheets/d/1qpEmbGH0JjaJbUdp21-y2cPbobDbMjr09BbtdKROZWc/edit#gid=1444865654"",""articles_with_PRISMA_reasons!B2:B2113"")),F1926
=""Include"",FILTER(IMPORTRAN"&amp;"GE(""https://docs.google.com/spreadsheets/d/1kGrh75X1cNR1D7_FcY9zMnHP8iPO4M5RCRjy6nZY0TY/edit#gid=0"",""Table 1: Study characteristics!A4:A171""), $A1926=IMPORTRANGE(""https://docs.google.com/spreadsheets/d/1kGrh75X1cNR1D7_FcY9zMnHP8iPO4M5RCRjy6nZY0TY/edi"&amp;"t#gid=0"",""Table 1: Study characteristics!B4:B171""))
)"),"wrong study design")</f>
        <v>wrong study design</v>
      </c>
    </row>
    <row r="1927">
      <c r="A1927" s="4" t="str">
        <f>IFERROR(__xludf.DUMMYFUNCTION("""COMPUTED_VALUE"""),"The Pediatric Neurosurgical Patient: The Challenge of Growing Up")</f>
        <v>The Pediatric Neurosurgical Patient: The Challenge of Growing Up</v>
      </c>
      <c r="B1927" s="5" t="str">
        <f>IFERROR(__xludf.DUMMYFUNCTION("LEFT(FILTER(IMPORTRANGE(""https://docs.google.com/spreadsheets/d/1BJSV3WBYJGRhQ6zExamkszQ5VutGIcaQqmbD9ZTVXMQ/edit#gid=1251630045"",""articles_with_PRISMA_reasons!K2:K2113""), $A1927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$A1927=IMPORTRANGE(""https://docs.google.com/spreadsheets/d/1BJSV3WBYJGRhQ6zExamkszQ5VutGIcaQqmbD9ZTVXMQ/edit#gid=1251630045"",""articles_with_PRISMA_reasons!B2:B2113"")))-1)"),"Rekate")</f>
        <v>Rekate</v>
      </c>
      <c r="C1927" s="6">
        <f>IFERROR(__xludf.DUMMYFUNCTION("FILTER(IMPORTRANGE(""https://docs.google.com/spreadsheets/d/1BJSV3WBYJGRhQ6zExamkszQ5VutGIcaQqmbD9ZTVXMQ/edit#gid=1251630045"",""articles_with_PRISMA_reasons!C2:C2113""), $A1927=IMPORTRANGE(""https://docs.google.com/spreadsheets/d/1BJSV3WBYJGRhQ6zExamkszQ"&amp;"5VutGIcaQqmbD9ZTVXMQ/edit#gid=1251630045"",""articles_with_PRISMA_reasons!B2:B2113""))"),2009.0)</f>
        <v>2009</v>
      </c>
      <c r="D1927" s="5" t="str">
        <f>IFERROR(__xludf.DUMMYFUNCTION("IFS(AND(
FILTER(IMPORTRANGE(""https://docs.google.com/spreadsheets/d/1BJSV3WBYJGRhQ6zExamkszQ5VutGIcaQqmbD9ZTVXMQ/edit#gid=1251630045"",""articles_with_PRISMA_reasons!Y2:Y2113""), $A1927=IMPORTRANGE(""https://docs.google.com/spreadsheets/d/1BJSV3WBYJGRhQ6"&amp;"zExamkszQ5VutGIcaQqmbD9ZTVXMQ/edit#gid=1251630045"",""articles_with_PRISMA_reasons!B2:B2113""))&gt;=2,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$A1927=IMPORTRANGE(""https://docs.google.com/spreadsheets/d/1BJSV3WBYJGRhQ6zExamkszQ5VutGIcaQqmbD9ZTVXMQ/edit#gid=1251630045"",""articles_with_PRISMA_reasons!B2:B2113""))&lt;2),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$A1927=IMPORTRANGE(""https://docs.google.com/spreadsheets/d/1BJSV3WBYJGRhQ6zExamkszQ5VutGIcaQqmbD9ZTVXMQ/edit#gid=1251630045"",""a"&amp;"rticles_with_PRISMA_reasons!B2:B2113""))&lt;2,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$A1927=IMPORTRANGE(""https://docs.google"&amp;".com/spreadsheets/d/1BJSV3WBYJGRhQ6zExamkszQ5VutGIcaQqmbD9ZTVXMQ/edit#gid=1251630045"",""articles_with_PRISMA_reasons!B2:B2113""))&gt;=2),
""Exclude""
)"),"Exclude")</f>
        <v>Exclude</v>
      </c>
      <c r="E1927" s="5" t="str">
        <f>IFERROR(__xludf.DUMMYFUNCTION("IFS(
D1927=""Exclude"",""Exclude"",
AND(
FILTER(IMPORTRANGE(""https://docs.google.com/spreadsheets/d/1qpEmbGH0JjaJbUdp21-y2cPbobDbMjr09BbtdKROZWc/edit#gid=1444865654"",""articles_with_PRISMA_reasons!W2:W2113""), $A1927=IMPORTRANGE(""https://docs.google.co"&amp;"m/spreadsheets/d/1qpEmbGH0JjaJbUdp21-y2cPbobDbMjr09BbtdKROZWc/edit#gid=1444865654"",""articles_with_PRISMA_reasons!B2:B2113""))&gt;=2,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$A1927=IMPORTRANGE(""https://docs.google.com/spreadsheets/d/1qpEmbGH0JjaJbUdp21-y2cPbobDbMjr09BbtdKROZWc/edit#gid=1444865654"",""articles_with_PRISMA_reasons!B2:B2113""))&lt;2),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$A1927=IMPORTRANGE(""https://docs.google.com/spreadsheets/d/1qpEmbGH0JjaJbUdp21-y2cPbobDbMjr09Bbtd"&amp;"KROZWc/edit#gid=1444865654"",""articles_with_PRISMA_reasons!B2:B2113""))&lt;2,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$A1927=I"&amp;"MPORTRANGE(""https://docs.google.com/spreadsheets/d/1qpEmbGH0JjaJbUdp21-y2cPbobDbMjr09BbtdKROZWc/edit#gid=1444865654"",""articles_with_PRISMA_reasons!B2:B2113""))&gt;=2),
""Exclude""
)"),"Exclude")</f>
        <v>Exclude</v>
      </c>
      <c r="F1927" s="5" t="str">
        <f>IFERROR(__xludf.DUMMYFUNCTION("IFS(
E1927=""Exclude"",""Exclude"",
AND(
COUNTIF(
IMPORTRANGE(""https://docs.google.com/spreadsheets/d/1kGrh75X1cNR1D7_FcY9zMnHP8iPO4M5RCRjy6nZY0TY/edit#gid=0"",""Table 1: Study characteristics!B4:B171""),A1927)&gt;0,
COUNTIF(Studies!$A$2:$A$85,FILTER(IMPORT"&amp;"RANGE(""https://docs.google.com/spreadsheets/d/1kGrh75X1cNR1D7_FcY9zMnHP8iPO4M5RCRjy6nZY0TY/edit#gid=0"",""Table 1: Study characteristics!A4:A171""), $A1927=IMPORTRANGE(""https://docs.google.com/spreadsheets/d/1kGrh75X1cNR1D7_FcY9zMnHP8iPO4M5RCRjy6nZY0TY/"&amp;"edit#gid=0"",""Table 1: Study characteristics!B4:B171"")))&gt;0
),
""Include""
)"),"Exclude")</f>
        <v>Exclude</v>
      </c>
      <c r="G1927" s="5" t="str">
        <f>IFERROR(__xludf.DUMMYFUNCTION("IFS(
D1927=""Exclude"",
FILTER(IMPORTRANGE(""https://docs.google.com/spreadsheets/d/1BJSV3WBYJGRhQ6zExamkszQ5VutGIcaQqmbD9ZTVXMQ/edit#gid=1251630045"",""articles_with_PRISMA_reasons!AB2:AB2113""), $A1927=IMPORTRANGE(""https://docs.google.com/spreadsheets/"&amp;"d/1BJSV3WBYJGRhQ6zExamkszQ5VutGIcaQqmbD9ZTVXMQ/edit#gid=1251630045"",""articles_with_PRISMA_reasons!B2:B2113"")),
E1927=""Exclude"",
FILTER(IMPORTRANGE(""https://docs.google.com/spreadsheets/d/1qpEmbGH0JjaJbUdp21-y2cPbobDbMjr09BbtdKROZWc/edit#gid=14448656"&amp;"54"",""articles_with_PRISMA_reasons!Z2:Z2113""), $A1927=IMPORTRANGE(""https://docs.google.com/spreadsheets/d/1qpEmbGH0JjaJbUdp21-y2cPbobDbMjr09BbtdKROZWc/edit#gid=1444865654"",""articles_with_PRISMA_reasons!B2:B2113"")),F1927
=""Include"",FILTER(IMPORTRAN"&amp;"GE(""https://docs.google.com/spreadsheets/d/1kGrh75X1cNR1D7_FcY9zMnHP8iPO4M5RCRjy6nZY0TY/edit#gid=0"",""Table 1: Study characteristics!A4:A171""), $A1927=IMPORTRANGE(""https://docs.google.com/spreadsheets/d/1kGrh75X1cNR1D7_FcY9zMnHP8iPO4M5RCRjy6nZY0TY/edi"&amp;"t#gid=0"",""Table 1: Study characteristics!B4:B171""))
)"),"wrong study design")</f>
        <v>wrong study design</v>
      </c>
    </row>
    <row r="1928">
      <c r="A1928" s="4" t="str">
        <f>IFERROR(__xludf.DUMMYFUNCTION("""COMPUTED_VALUE"""),"The pharmacokinetics and efficacy of an aminoglycoside administered into the cerebral ventricles in neonates: implications for further evaluation of this route of therapy in meningitis")</f>
        <v>The pharmacokinetics and efficacy of an aminoglycoside administered into the cerebral ventricles in neonates: implications for further evaluation of this route of therapy in meningitis</v>
      </c>
      <c r="B1928" s="5" t="str">
        <f>IFERROR(__xludf.DUMMYFUNCTION("LEFT(FILTER(IMPORTRANGE(""https://docs.google.com/spreadsheets/d/1BJSV3WBYJGRhQ6zExamkszQ5VutGIcaQqmbD9ZTVXMQ/edit#gid=1251630045"",""articles_with_PRISMA_reasons!K2:K2113""), $A1928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$A1928=IMPORTRANGE(""https://docs.google.com/spreadsheets/d/1BJSV3WBYJGRhQ6zExamkszQ5VutGIcaQqmbD9ZTVXMQ/edit#gid=1251630045"",""articles_with_PRISMA_reasons!B2:B2113"")))-1)"),"Wright")</f>
        <v>Wright</v>
      </c>
      <c r="C1928" s="6">
        <f>IFERROR(__xludf.DUMMYFUNCTION("FILTER(IMPORTRANGE(""https://docs.google.com/spreadsheets/d/1BJSV3WBYJGRhQ6zExamkszQ5VutGIcaQqmbD9ZTVXMQ/edit#gid=1251630045"",""articles_with_PRISMA_reasons!C2:C2113""), $A1928=IMPORTRANGE(""https://docs.google.com/spreadsheets/d/1BJSV3WBYJGRhQ6zExamkszQ"&amp;"5VutGIcaQqmbD9ZTVXMQ/edit#gid=1251630045"",""articles_with_PRISMA_reasons!B2:B2113""))"),1981.0)</f>
        <v>1981</v>
      </c>
      <c r="D1928" s="5" t="str">
        <f>IFERROR(__xludf.DUMMYFUNCTION("IFS(AND(
FILTER(IMPORTRANGE(""https://docs.google.com/spreadsheets/d/1BJSV3WBYJGRhQ6zExamkszQ5VutGIcaQqmbD9ZTVXMQ/edit#gid=1251630045"",""articles_with_PRISMA_reasons!Y2:Y2113""), $A1928=IMPORTRANGE(""https://docs.google.com/spreadsheets/d/1BJSV3WBYJGRhQ6"&amp;"zExamkszQ5VutGIcaQqmbD9ZTVXMQ/edit#gid=1251630045"",""articles_with_PRISMA_reasons!B2:B2113""))&gt;=2,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$A1928=IMPORTRANGE(""https://docs.google.com/spreadsheets/d/1BJSV3WBYJGRhQ6zExamkszQ5VutGIcaQqmbD9ZTVXMQ/edit#gid=1251630045"",""articles_with_PRISMA_reasons!B2:B2113""))&lt;2),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$A1928=IMPORTRANGE(""https://docs.google.com/spreadsheets/d/1BJSV3WBYJGRhQ6zExamkszQ5VutGIcaQqmbD9ZTVXMQ/edit#gid=1251630045"",""a"&amp;"rticles_with_PRISMA_reasons!B2:B2113""))&lt;2,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$A1928=IMPORTRANGE(""https://docs.google"&amp;".com/spreadsheets/d/1BJSV3WBYJGRhQ6zExamkszQ5VutGIcaQqmbD9ZTVXMQ/edit#gid=1251630045"",""articles_with_PRISMA_reasons!B2:B2113""))&gt;=2),
""Exclude""
)"),"Exclude")</f>
        <v>Exclude</v>
      </c>
      <c r="E1928" s="5" t="str">
        <f>IFERROR(__xludf.DUMMYFUNCTION("IFS(
D1928=""Exclude"",""Exclude"",
AND(
FILTER(IMPORTRANGE(""https://docs.google.com/spreadsheets/d/1qpEmbGH0JjaJbUdp21-y2cPbobDbMjr09BbtdKROZWc/edit#gid=1444865654"",""articles_with_PRISMA_reasons!W2:W2113""), $A1928=IMPORTRANGE(""https://docs.google.co"&amp;"m/spreadsheets/d/1qpEmbGH0JjaJbUdp21-y2cPbobDbMjr09BbtdKROZWc/edit#gid=1444865654"",""articles_with_PRISMA_reasons!B2:B2113""))&gt;=2,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$A1928=IMPORTRANGE(""https://docs.google.com/spreadsheets/d/1qpEmbGH0JjaJbUdp21-y2cPbobDbMjr09BbtdKROZWc/edit#gid=1444865654"",""articles_with_PRISMA_reasons!B2:B2113""))&lt;2),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$A1928=IMPORTRANGE(""https://docs.google.com/spreadsheets/d/1qpEmbGH0JjaJbUdp21-y2cPbobDbMjr09Bbtd"&amp;"KROZWc/edit#gid=1444865654"",""articles_with_PRISMA_reasons!B2:B2113""))&lt;2,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$A1928=I"&amp;"MPORTRANGE(""https://docs.google.com/spreadsheets/d/1qpEmbGH0JjaJbUdp21-y2cPbobDbMjr09BbtdKROZWc/edit#gid=1444865654"",""articles_with_PRISMA_reasons!B2:B2113""))&gt;=2),
""Exclude""
)"),"Exclude")</f>
        <v>Exclude</v>
      </c>
      <c r="F1928" s="5" t="str">
        <f>IFERROR(__xludf.DUMMYFUNCTION("IFS(
E1928=""Exclude"",""Exclude"",
AND(
COUNTIF(
IMPORTRANGE(""https://docs.google.com/spreadsheets/d/1kGrh75X1cNR1D7_FcY9zMnHP8iPO4M5RCRjy6nZY0TY/edit#gid=0"",""Table 1: Study characteristics!B4:B171""),A1928)&gt;0,
COUNTIF(Studies!$A$2:$A$85,FILTER(IMPORT"&amp;"RANGE(""https://docs.google.com/spreadsheets/d/1kGrh75X1cNR1D7_FcY9zMnHP8iPO4M5RCRjy6nZY0TY/edit#gid=0"",""Table 1: Study characteristics!A4:A171""), $A1928=IMPORTRANGE(""https://docs.google.com/spreadsheets/d/1kGrh75X1cNR1D7_FcY9zMnHP8iPO4M5RCRjy6nZY0TY/"&amp;"edit#gid=0"",""Table 1: Study characteristics!B4:B171"")))&gt;0
),
""Include""
)"),"Exclude")</f>
        <v>Exclude</v>
      </c>
      <c r="G1928" s="5" t="str">
        <f>IFERROR(__xludf.DUMMYFUNCTION("IFS(
D1928=""Exclude"",
FILTER(IMPORTRANGE(""https://docs.google.com/spreadsheets/d/1BJSV3WBYJGRhQ6zExamkszQ5VutGIcaQqmbD9ZTVXMQ/edit#gid=1251630045"",""articles_with_PRISMA_reasons!AB2:AB2113""), $A1928=IMPORTRANGE(""https://docs.google.com/spreadsheets/"&amp;"d/1BJSV3WBYJGRhQ6zExamkszQ5VutGIcaQqmbD9ZTVXMQ/edit#gid=1251630045"",""articles_with_PRISMA_reasons!B2:B2113"")),
E1928=""Exclude"",
FILTER(IMPORTRANGE(""https://docs.google.com/spreadsheets/d/1qpEmbGH0JjaJbUdp21-y2cPbobDbMjr09BbtdKROZWc/edit#gid=14448656"&amp;"54"",""articles_with_PRISMA_reasons!Z2:Z2113""), $A1928=IMPORTRANGE(""https://docs.google.com/spreadsheets/d/1qpEmbGH0JjaJbUdp21-y2cPbobDbMjr09BbtdKROZWc/edit#gid=1444865654"",""articles_with_PRISMA_reasons!B2:B2113"")),F1928
=""Include"",FILTER(IMPORTRAN"&amp;"GE(""https://docs.google.com/spreadsheets/d/1kGrh75X1cNR1D7_FcY9zMnHP8iPO4M5RCRjy6nZY0TY/edit#gid=0"",""Table 1: Study characteristics!A4:A171""), $A1928=IMPORTRANGE(""https://docs.google.com/spreadsheets/d/1kGrh75X1cNR1D7_FcY9zMnHP8iPO4M5RCRjy6nZY0TY/edi"&amp;"t#gid=0"",""Table 1: Study characteristics!B4:B171""))
)"),"wrong population")</f>
        <v>wrong population</v>
      </c>
    </row>
    <row r="1929">
      <c r="A1929" s="4" t="str">
        <f>IFERROR(__xludf.DUMMYFUNCTION("""COMPUTED_VALUE"""),"The pharmacokinetics of moxifloxacin in cerebrospinal fluid following intravenous administration: A report of successfully treated infant with mycoplasma hominis meningitis")</f>
        <v>The pharmacokinetics of moxifloxacin in cerebrospinal fluid following intravenous administration: A report of successfully treated infant with mycoplasma hominis meningitis</v>
      </c>
      <c r="B1929" s="5" t="str">
        <f>IFERROR(__xludf.DUMMYFUNCTION("LEFT(FILTER(IMPORTRANGE(""https://docs.google.com/spreadsheets/d/1BJSV3WBYJGRhQ6zExamkszQ5VutGIcaQqmbD9ZTVXMQ/edit#gid=1251630045"",""articles_with_PRISMA_reasons!K2:K2113""), $A1929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$A1929=IMPORTRANGE(""https://docs.google.com/spreadsheets/d/1BJSV3WBYJGRhQ6zExamkszQ5VutGIcaQqmbD9ZTVXMQ/edit#gid=1251630045"",""articles_with_PRISMA_reasons!B2:B2113"")))-1)"),"Nohren")</f>
        <v>Nohren</v>
      </c>
      <c r="C1929" s="6">
        <f>IFERROR(__xludf.DUMMYFUNCTION("FILTER(IMPORTRANGE(""https://docs.google.com/spreadsheets/d/1BJSV3WBYJGRhQ6zExamkszQ5VutGIcaQqmbD9ZTVXMQ/edit#gid=1251630045"",""articles_with_PRISMA_reasons!C2:C2113""), $A1929=IMPORTRANGE(""https://docs.google.com/spreadsheets/d/1BJSV3WBYJGRhQ6zExamkszQ"&amp;"5VutGIcaQqmbD9ZTVXMQ/edit#gid=1251630045"",""articles_with_PRISMA_reasons!B2:B2113""))"),2020.0)</f>
        <v>2020</v>
      </c>
      <c r="D1929" s="5" t="str">
        <f>IFERROR(__xludf.DUMMYFUNCTION("IFS(AND(
FILTER(IMPORTRANGE(""https://docs.google.com/spreadsheets/d/1BJSV3WBYJGRhQ6zExamkszQ5VutGIcaQqmbD9ZTVXMQ/edit#gid=1251630045"",""articles_with_PRISMA_reasons!Y2:Y2113""), $A1929=IMPORTRANGE(""https://docs.google.com/spreadsheets/d/1BJSV3WBYJGRhQ6"&amp;"zExamkszQ5VutGIcaQqmbD9ZTVXMQ/edit#gid=1251630045"",""articles_with_PRISMA_reasons!B2:B2113""))&gt;=2,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$A1929=IMPORTRANGE(""https://docs.google.com/spreadsheets/d/1BJSV3WBYJGRhQ6zExamkszQ5VutGIcaQqmbD9ZTVXMQ/edit#gid=1251630045"",""articles_with_PRISMA_reasons!B2:B2113""))&lt;2),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$A1929=IMPORTRANGE(""https://docs.google.com/spreadsheets/d/1BJSV3WBYJGRhQ6zExamkszQ5VutGIcaQqmbD9ZTVXMQ/edit#gid=1251630045"",""a"&amp;"rticles_with_PRISMA_reasons!B2:B2113""))&lt;2,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$A1929=IMPORTRANGE(""https://docs.google"&amp;".com/spreadsheets/d/1BJSV3WBYJGRhQ6zExamkszQ5VutGIcaQqmbD9ZTVXMQ/edit#gid=1251630045"",""articles_with_PRISMA_reasons!B2:B2113""))&gt;=2),
""Exclude""
)"),"Exclude")</f>
        <v>Exclude</v>
      </c>
      <c r="E1929" s="5" t="str">
        <f>IFERROR(__xludf.DUMMYFUNCTION("IFS(
D1929=""Exclude"",""Exclude"",
AND(
FILTER(IMPORTRANGE(""https://docs.google.com/spreadsheets/d/1qpEmbGH0JjaJbUdp21-y2cPbobDbMjr09BbtdKROZWc/edit#gid=1444865654"",""articles_with_PRISMA_reasons!W2:W2113""), $A1929=IMPORTRANGE(""https://docs.google.co"&amp;"m/spreadsheets/d/1qpEmbGH0JjaJbUdp21-y2cPbobDbMjr09BbtdKROZWc/edit#gid=1444865654"",""articles_with_PRISMA_reasons!B2:B2113""))&gt;=2,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$A1929=IMPORTRANGE(""https://docs.google.com/spreadsheets/d/1qpEmbGH0JjaJbUdp21-y2cPbobDbMjr09BbtdKROZWc/edit#gid=1444865654"",""articles_with_PRISMA_reasons!B2:B2113""))&lt;2),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$A1929=IMPORTRANGE(""https://docs.google.com/spreadsheets/d/1qpEmbGH0JjaJbUdp21-y2cPbobDbMjr09Bbtd"&amp;"KROZWc/edit#gid=1444865654"",""articles_with_PRISMA_reasons!B2:B2113""))&lt;2,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$A1929=I"&amp;"MPORTRANGE(""https://docs.google.com/spreadsheets/d/1qpEmbGH0JjaJbUdp21-y2cPbobDbMjr09BbtdKROZWc/edit#gid=1444865654"",""articles_with_PRISMA_reasons!B2:B2113""))&gt;=2),
""Exclude""
)"),"Exclude")</f>
        <v>Exclude</v>
      </c>
      <c r="F1929" s="5" t="str">
        <f>IFERROR(__xludf.DUMMYFUNCTION("IFS(
E1929=""Exclude"",""Exclude"",
AND(
COUNTIF(
IMPORTRANGE(""https://docs.google.com/spreadsheets/d/1kGrh75X1cNR1D7_FcY9zMnHP8iPO4M5RCRjy6nZY0TY/edit#gid=0"",""Table 1: Study characteristics!B4:B171""),A1929)&gt;0,
COUNTIF(Studies!$A$2:$A$85,FILTER(IMPORT"&amp;"RANGE(""https://docs.google.com/spreadsheets/d/1kGrh75X1cNR1D7_FcY9zMnHP8iPO4M5RCRjy6nZY0TY/edit#gid=0"",""Table 1: Study characteristics!A4:A171""), $A1929=IMPORTRANGE(""https://docs.google.com/spreadsheets/d/1kGrh75X1cNR1D7_FcY9zMnHP8iPO4M5RCRjy6nZY0TY/"&amp;"edit#gid=0"",""Table 1: Study characteristics!B4:B171"")))&gt;0
),
""Include""
)"),"Exclude")</f>
        <v>Exclude</v>
      </c>
      <c r="G1929" s="5" t="str">
        <f>IFERROR(__xludf.DUMMYFUNCTION("IFS(
D1929=""Exclude"",
FILTER(IMPORTRANGE(""https://docs.google.com/spreadsheets/d/1BJSV3WBYJGRhQ6zExamkszQ5VutGIcaQqmbD9ZTVXMQ/edit#gid=1251630045"",""articles_with_PRISMA_reasons!AB2:AB2113""), $A1929=IMPORTRANGE(""https://docs.google.com/spreadsheets/"&amp;"d/1BJSV3WBYJGRhQ6zExamkszQ5VutGIcaQqmbD9ZTVXMQ/edit#gid=1251630045"",""articles_with_PRISMA_reasons!B2:B2113"")),
E1929=""Exclude"",
FILTER(IMPORTRANGE(""https://docs.google.com/spreadsheets/d/1qpEmbGH0JjaJbUdp21-y2cPbobDbMjr09BbtdKROZWc/edit#gid=14448656"&amp;"54"",""articles_with_PRISMA_reasons!Z2:Z2113""), $A1929=IMPORTRANGE(""https://docs.google.com/spreadsheets/d/1qpEmbGH0JjaJbUdp21-y2cPbobDbMjr09BbtdKROZWc/edit#gid=1444865654"",""articles_with_PRISMA_reasons!B2:B2113"")),F1929
=""Include"",FILTER(IMPORTRAN"&amp;"GE(""https://docs.google.com/spreadsheets/d/1kGrh75X1cNR1D7_FcY9zMnHP8iPO4M5RCRjy6nZY0TY/edit#gid=0"",""Table 1: Study characteristics!A4:A171""), $A1929=IMPORTRANGE(""https://docs.google.com/spreadsheets/d/1kGrh75X1cNR1D7_FcY9zMnHP8iPO4M5RCRjy6nZY0TY/edi"&amp;"t#gid=0"",""Table 1: Study characteristics!B4:B171""))
)"),"wrong publication type")</f>
        <v>wrong publication type</v>
      </c>
    </row>
    <row r="1930">
      <c r="A1930" s="4" t="str">
        <f>IFERROR(__xludf.DUMMYFUNCTION("""COMPUTED_VALUE"""),"THE PLACE OF VENTRICULOSTOMY RESERVOIR IN THE TREATMENT OF MYELOMENINGOCELES AND HYDROCEPHALUS")</f>
        <v>THE PLACE OF VENTRICULOSTOMY RESERVOIR IN THE TREATMENT OF MYELOMENINGOCELES AND HYDROCEPHALUS</v>
      </c>
      <c r="B1930" s="5" t="str">
        <f>IFERROR(__xludf.DUMMYFUNCTION("LEFT(FILTER(IMPORTRANGE(""https://docs.google.com/spreadsheets/d/1BJSV3WBYJGRhQ6zExamkszQ5VutGIcaQqmbD9ZTVXMQ/edit#gid=1251630045"",""articles_with_PRISMA_reasons!K2:K2113""), $A1930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$A1930=IMPORTRANGE(""https://docs.google.com/spreadsheets/d/1BJSV3WBYJGRhQ6zExamkszQ5VutGIcaQqmbD9ZTVXMQ/edit#gid=1251630045"",""articles_with_PRISMA_reasons!B2:B2113"")))-1)"),"Rickham")</f>
        <v>Rickham</v>
      </c>
      <c r="C1930" s="6">
        <f>IFERROR(__xludf.DUMMYFUNCTION("FILTER(IMPORTRANGE(""https://docs.google.com/spreadsheets/d/1BJSV3WBYJGRhQ6zExamkszQ5VutGIcaQqmbD9ZTVXMQ/edit#gid=1251630045"",""articles_with_PRISMA_reasons!C2:C2113""), $A1930=IMPORTRANGE(""https://docs.google.com/spreadsheets/d/1BJSV3WBYJGRhQ6zExamkszQ"&amp;"5VutGIcaQqmbD9ZTVXMQ/edit#gid=1251630045"",""articles_with_PRISMA_reasons!B2:B2113""))"),1965.0)</f>
        <v>1965</v>
      </c>
      <c r="D1930" s="5" t="str">
        <f>IFERROR(__xludf.DUMMYFUNCTION("IFS(AND(
FILTER(IMPORTRANGE(""https://docs.google.com/spreadsheets/d/1BJSV3WBYJGRhQ6zExamkszQ5VutGIcaQqmbD9ZTVXMQ/edit#gid=1251630045"",""articles_with_PRISMA_reasons!Y2:Y2113""), $A1930=IMPORTRANGE(""https://docs.google.com/spreadsheets/d/1BJSV3WBYJGRhQ6"&amp;"zExamkszQ5VutGIcaQqmbD9ZTVXMQ/edit#gid=1251630045"",""articles_with_PRISMA_reasons!B2:B2113""))&gt;=2,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$A1930=IMPORTRANGE(""https://docs.google.com/spreadsheets/d/1BJSV3WBYJGRhQ6zExamkszQ5VutGIcaQqmbD9ZTVXMQ/edit#gid=1251630045"",""articles_with_PRISMA_reasons!B2:B2113""))&lt;2),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$A1930=IMPORTRANGE(""https://docs.google.com/spreadsheets/d/1BJSV3WBYJGRhQ6zExamkszQ5VutGIcaQqmbD9ZTVXMQ/edit#gid=1251630045"",""a"&amp;"rticles_with_PRISMA_reasons!B2:B2113""))&lt;2,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$A1930=IMPORTRANGE(""https://docs.google"&amp;".com/spreadsheets/d/1BJSV3WBYJGRhQ6zExamkszQ5VutGIcaQqmbD9ZTVXMQ/edit#gid=1251630045"",""articles_with_PRISMA_reasons!B2:B2113""))&gt;=2),
""Exclude""
)"),"Exclude")</f>
        <v>Exclude</v>
      </c>
      <c r="E1930" s="5" t="str">
        <f>IFERROR(__xludf.DUMMYFUNCTION("IFS(
D1930=""Exclude"",""Exclude"",
AND(
FILTER(IMPORTRANGE(""https://docs.google.com/spreadsheets/d/1qpEmbGH0JjaJbUdp21-y2cPbobDbMjr09BbtdKROZWc/edit#gid=1444865654"",""articles_with_PRISMA_reasons!W2:W2113""), $A1930=IMPORTRANGE(""https://docs.google.co"&amp;"m/spreadsheets/d/1qpEmbGH0JjaJbUdp21-y2cPbobDbMjr09BbtdKROZWc/edit#gid=1444865654"",""articles_with_PRISMA_reasons!B2:B2113""))&gt;=2,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$A1930=IMPORTRANGE(""https://docs.google.com/spreadsheets/d/1qpEmbGH0JjaJbUdp21-y2cPbobDbMjr09BbtdKROZWc/edit#gid=1444865654"",""articles_with_PRISMA_reasons!B2:B2113""))&lt;2),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$A1930=IMPORTRANGE(""https://docs.google.com/spreadsheets/d/1qpEmbGH0JjaJbUdp21-y2cPbobDbMjr09Bbtd"&amp;"KROZWc/edit#gid=1444865654"",""articles_with_PRISMA_reasons!B2:B2113""))&lt;2,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$A1930=I"&amp;"MPORTRANGE(""https://docs.google.com/spreadsheets/d/1qpEmbGH0JjaJbUdp21-y2cPbobDbMjr09BbtdKROZWc/edit#gid=1444865654"",""articles_with_PRISMA_reasons!B2:B2113""))&gt;=2),
""Exclude""
)"),"Exclude")</f>
        <v>Exclude</v>
      </c>
      <c r="F1930" s="5" t="str">
        <f>IFERROR(__xludf.DUMMYFUNCTION("IFS(
E1930=""Exclude"",""Exclude"",
AND(
COUNTIF(
IMPORTRANGE(""https://docs.google.com/spreadsheets/d/1kGrh75X1cNR1D7_FcY9zMnHP8iPO4M5RCRjy6nZY0TY/edit#gid=0"",""Table 1: Study characteristics!B4:B171""),A1930)&gt;0,
COUNTIF(Studies!$A$2:$A$85,FILTER(IMPORT"&amp;"RANGE(""https://docs.google.com/spreadsheets/d/1kGrh75X1cNR1D7_FcY9zMnHP8iPO4M5RCRjy6nZY0TY/edit#gid=0"",""Table 1: Study characteristics!A4:A171""), $A1930=IMPORTRANGE(""https://docs.google.com/spreadsheets/d/1kGrh75X1cNR1D7_FcY9zMnHP8iPO4M5RCRjy6nZY0TY/"&amp;"edit#gid=0"",""Table 1: Study characteristics!B4:B171"")))&gt;0
),
""Include""
)"),"Exclude")</f>
        <v>Exclude</v>
      </c>
      <c r="G1930" s="5" t="str">
        <f>IFERROR(__xludf.DUMMYFUNCTION("IFS(
D1930=""Exclude"",
FILTER(IMPORTRANGE(""https://docs.google.com/spreadsheets/d/1BJSV3WBYJGRhQ6zExamkszQ5VutGIcaQqmbD9ZTVXMQ/edit#gid=1251630045"",""articles_with_PRISMA_reasons!AB2:AB2113""), $A1930=IMPORTRANGE(""https://docs.google.com/spreadsheets/"&amp;"d/1BJSV3WBYJGRhQ6zExamkszQ5VutGIcaQqmbD9ZTVXMQ/edit#gid=1251630045"",""articles_with_PRISMA_reasons!B2:B2113"")),
E1930=""Exclude"",
FILTER(IMPORTRANGE(""https://docs.google.com/spreadsheets/d/1qpEmbGH0JjaJbUdp21-y2cPbobDbMjr09BbtdKROZWc/edit#gid=14448656"&amp;"54"",""articles_with_PRISMA_reasons!Z2:Z2113""), $A1930=IMPORTRANGE(""https://docs.google.com/spreadsheets/d/1qpEmbGH0JjaJbUdp21-y2cPbobDbMjr09BbtdKROZWc/edit#gid=1444865654"",""articles_with_PRISMA_reasons!B2:B2113"")),F1930
=""Include"",FILTER(IMPORTRAN"&amp;"GE(""https://docs.google.com/spreadsheets/d/1kGrh75X1cNR1D7_FcY9zMnHP8iPO4M5RCRjy6nZY0TY/edit#gid=0"",""Table 1: Study characteristics!A4:A171""), $A1930=IMPORTRANGE(""https://docs.google.com/spreadsheets/d/1kGrh75X1cNR1D7_FcY9zMnHP8iPO4M5RCRjy6nZY0TY/edi"&amp;"t#gid=0"",""Table 1: Study characteristics!B4:B171""))
)"),"wrong study design")</f>
        <v>wrong study design</v>
      </c>
    </row>
    <row r="1931">
      <c r="A1931" s="4" t="str">
        <f>IFERROR(__xludf.DUMMYFUNCTION("""COMPUTED_VALUE"""),"The position of the spinal cord segments related to the vertebral bodies in children with meningomyelocele and hydrocephalus")</f>
        <v>The position of the spinal cord segments related to the vertebral bodies in children with meningomyelocele and hydrocephalus</v>
      </c>
      <c r="B1931" s="5" t="str">
        <f>IFERROR(__xludf.DUMMYFUNCTION("LEFT(FILTER(IMPORTRANGE(""https://docs.google.com/spreadsheets/d/1BJSV3WBYJGRhQ6zExamkszQ5VutGIcaQqmbD9ZTVXMQ/edit#gid=1251630045"",""articles_with_PRISMA_reasons!K2:K2113""), $A1931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$A1931=IMPORTRANGE(""https://docs.google.com/spreadsheets/d/1BJSV3WBYJGRhQ6zExamkszQ5VutGIcaQqmbD9ZTVXMQ/edit#gid=1251630045"",""articles_with_PRISMA_reasons!B2:B2113"")))-1)"),"Naik")</f>
        <v>Naik</v>
      </c>
      <c r="C1931" s="6">
        <f>IFERROR(__xludf.DUMMYFUNCTION("FILTER(IMPORTRANGE(""https://docs.google.com/spreadsheets/d/1BJSV3WBYJGRhQ6zExamkszQ5VutGIcaQqmbD9ZTVXMQ/edit#gid=1251630045"",""articles_with_PRISMA_reasons!C2:C2113""), $A1931=IMPORTRANGE(""https://docs.google.com/spreadsheets/d/1BJSV3WBYJGRhQ6zExamkszQ"&amp;"5VutGIcaQqmbD9ZTVXMQ/edit#gid=1251630045"",""articles_with_PRISMA_reasons!B2:B2113""))"),1968.0)</f>
        <v>1968</v>
      </c>
      <c r="D1931" s="5" t="str">
        <f>IFERROR(__xludf.DUMMYFUNCTION("IFS(AND(
FILTER(IMPORTRANGE(""https://docs.google.com/spreadsheets/d/1BJSV3WBYJGRhQ6zExamkszQ5VutGIcaQqmbD9ZTVXMQ/edit#gid=1251630045"",""articles_with_PRISMA_reasons!Y2:Y2113""), $A1931=IMPORTRANGE(""https://docs.google.com/spreadsheets/d/1BJSV3WBYJGRhQ6"&amp;"zExamkszQ5VutGIcaQqmbD9ZTVXMQ/edit#gid=1251630045"",""articles_with_PRISMA_reasons!B2:B2113""))&gt;=2,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$A1931=IMPORTRANGE(""https://docs.google.com/spreadsheets/d/1BJSV3WBYJGRhQ6zExamkszQ5VutGIcaQqmbD9ZTVXMQ/edit#gid=1251630045"",""articles_with_PRISMA_reasons!B2:B2113""))&lt;2),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$A1931=IMPORTRANGE(""https://docs.google.com/spreadsheets/d/1BJSV3WBYJGRhQ6zExamkszQ5VutGIcaQqmbD9ZTVXMQ/edit#gid=1251630045"",""a"&amp;"rticles_with_PRISMA_reasons!B2:B2113""))&lt;2,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$A1931=IMPORTRANGE(""https://docs.google"&amp;".com/spreadsheets/d/1BJSV3WBYJGRhQ6zExamkszQ5VutGIcaQqmbD9ZTVXMQ/edit#gid=1251630045"",""articles_with_PRISMA_reasons!B2:B2113""))&gt;=2),
""Exclude""
)"),"Exclude")</f>
        <v>Exclude</v>
      </c>
      <c r="E1931" s="5" t="str">
        <f>IFERROR(__xludf.DUMMYFUNCTION("IFS(
D1931=""Exclude"",""Exclude"",
AND(
FILTER(IMPORTRANGE(""https://docs.google.com/spreadsheets/d/1qpEmbGH0JjaJbUdp21-y2cPbobDbMjr09BbtdKROZWc/edit#gid=1444865654"",""articles_with_PRISMA_reasons!W2:W2113""), $A1931=IMPORTRANGE(""https://docs.google.co"&amp;"m/spreadsheets/d/1qpEmbGH0JjaJbUdp21-y2cPbobDbMjr09BbtdKROZWc/edit#gid=1444865654"",""articles_with_PRISMA_reasons!B2:B2113""))&gt;=2,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$A1931=IMPORTRANGE(""https://docs.google.com/spreadsheets/d/1qpEmbGH0JjaJbUdp21-y2cPbobDbMjr09BbtdKROZWc/edit#gid=1444865654"",""articles_with_PRISMA_reasons!B2:B2113""))&lt;2),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$A1931=IMPORTRANGE(""https://docs.google.com/spreadsheets/d/1qpEmbGH0JjaJbUdp21-y2cPbobDbMjr09Bbtd"&amp;"KROZWc/edit#gid=1444865654"",""articles_with_PRISMA_reasons!B2:B2113""))&lt;2,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$A1931=I"&amp;"MPORTRANGE(""https://docs.google.com/spreadsheets/d/1qpEmbGH0JjaJbUdp21-y2cPbobDbMjr09BbtdKROZWc/edit#gid=1444865654"",""articles_with_PRISMA_reasons!B2:B2113""))&gt;=2),
""Exclude""
)"),"Exclude")</f>
        <v>Exclude</v>
      </c>
      <c r="F1931" s="5" t="str">
        <f>IFERROR(__xludf.DUMMYFUNCTION("IFS(
E1931=""Exclude"",""Exclude"",
AND(
COUNTIF(
IMPORTRANGE(""https://docs.google.com/spreadsheets/d/1kGrh75X1cNR1D7_FcY9zMnHP8iPO4M5RCRjy6nZY0TY/edit#gid=0"",""Table 1: Study characteristics!B4:B171""),A1931)&gt;0,
COUNTIF(Studies!$A$2:$A$85,FILTER(IMPORT"&amp;"RANGE(""https://docs.google.com/spreadsheets/d/1kGrh75X1cNR1D7_FcY9zMnHP8iPO4M5RCRjy6nZY0TY/edit#gid=0"",""Table 1: Study characteristics!A4:A171""), $A1931=IMPORTRANGE(""https://docs.google.com/spreadsheets/d/1kGrh75X1cNR1D7_FcY9zMnHP8iPO4M5RCRjy6nZY0TY/"&amp;"edit#gid=0"",""Table 1: Study characteristics!B4:B171"")))&gt;0
),
""Include""
)"),"Exclude")</f>
        <v>Exclude</v>
      </c>
      <c r="G1931" s="5" t="str">
        <f>IFERROR(__xludf.DUMMYFUNCTION("IFS(
D1931=""Exclude"",
FILTER(IMPORTRANGE(""https://docs.google.com/spreadsheets/d/1BJSV3WBYJGRhQ6zExamkszQ5VutGIcaQqmbD9ZTVXMQ/edit#gid=1251630045"",""articles_with_PRISMA_reasons!AB2:AB2113""), $A1931=IMPORTRANGE(""https://docs.google.com/spreadsheets/"&amp;"d/1BJSV3WBYJGRhQ6zExamkszQ5VutGIcaQqmbD9ZTVXMQ/edit#gid=1251630045"",""articles_with_PRISMA_reasons!B2:B2113"")),
E1931=""Exclude"",
FILTER(IMPORTRANGE(""https://docs.google.com/spreadsheets/d/1qpEmbGH0JjaJbUdp21-y2cPbobDbMjr09BbtdKROZWc/edit#gid=14448656"&amp;"54"",""articles_with_PRISMA_reasons!Z2:Z2113""), $A1931=IMPORTRANGE(""https://docs.google.com/spreadsheets/d/1qpEmbGH0JjaJbUdp21-y2cPbobDbMjr09BbtdKROZWc/edit#gid=1444865654"",""articles_with_PRISMA_reasons!B2:B2113"")),F1931
=""Include"",FILTER(IMPORTRAN"&amp;"GE(""https://docs.google.com/spreadsheets/d/1kGrh75X1cNR1D7_FcY9zMnHP8iPO4M5RCRjy6nZY0TY/edit#gid=0"",""Table 1: Study characteristics!A4:A171""), $A1931=IMPORTRANGE(""https://docs.google.com/spreadsheets/d/1kGrh75X1cNR1D7_FcY9zMnHP8iPO4M5RCRjy6nZY0TY/edi"&amp;"t#gid=0"",""Table 1: Study characteristics!B4:B171""))
)"),"background article")</f>
        <v>background article</v>
      </c>
    </row>
    <row r="1932">
      <c r="A1932" s="4" t="str">
        <f>IFERROR(__xludf.DUMMYFUNCTION("""COMPUTED_VALUE"""),"The post natal management of neural tube defects")</f>
        <v>The post natal management of neural tube defects</v>
      </c>
      <c r="B1932" s="5" t="str">
        <f>IFERROR(__xludf.DUMMYFUNCTION("LEFT(FILTER(IMPORTRANGE(""https://docs.google.com/spreadsheets/d/1BJSV3WBYJGRhQ6zExamkszQ5VutGIcaQqmbD9ZTVXMQ/edit#gid=1251630045"",""articles_with_PRISMA_reasons!K2:K2113""), $A1932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$A1932=IMPORTRANGE(""https://docs.google.com/spreadsheets/d/1BJSV3WBYJGRhQ6zExamkszQ5VutGIcaQqmbD9ZTVXMQ/edit#gid=1251630045"",""articles_with_PRISMA_reasons!B2:B2113"")))-1)"),"Eviatar")</f>
        <v>Eviatar</v>
      </c>
      <c r="C1932" s="6">
        <f>IFERROR(__xludf.DUMMYFUNCTION("FILTER(IMPORTRANGE(""https://docs.google.com/spreadsheets/d/1BJSV3WBYJGRhQ6zExamkszQ5VutGIcaQqmbD9ZTVXMQ/edit#gid=1251630045"",""articles_with_PRISMA_reasons!C2:C2113""), $A1932=IMPORTRANGE(""https://docs.google.com/spreadsheets/d/1BJSV3WBYJGRhQ6zExamkszQ"&amp;"5VutGIcaQqmbD9ZTVXMQ/edit#gid=1251630045"",""articles_with_PRISMA_reasons!B2:B2113""))"),1992.0)</f>
        <v>1992</v>
      </c>
      <c r="D1932" s="5" t="str">
        <f>IFERROR(__xludf.DUMMYFUNCTION("IFS(AND(
FILTER(IMPORTRANGE(""https://docs.google.com/spreadsheets/d/1BJSV3WBYJGRhQ6zExamkszQ5VutGIcaQqmbD9ZTVXMQ/edit#gid=1251630045"",""articles_with_PRISMA_reasons!Y2:Y2113""), $A1932=IMPORTRANGE(""https://docs.google.com/spreadsheets/d/1BJSV3WBYJGRhQ6"&amp;"zExamkszQ5VutGIcaQqmbD9ZTVXMQ/edit#gid=1251630045"",""articles_with_PRISMA_reasons!B2:B2113""))&gt;=2,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$A1932=IMPORTRANGE(""https://docs.google.com/spreadsheets/d/1BJSV3WBYJGRhQ6zExamkszQ5VutGIcaQqmbD9ZTVXMQ/edit#gid=1251630045"",""articles_with_PRISMA_reasons!B2:B2113""))&lt;2),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$A1932=IMPORTRANGE(""https://docs.google.com/spreadsheets/d/1BJSV3WBYJGRhQ6zExamkszQ5VutGIcaQqmbD9ZTVXMQ/edit#gid=1251630045"",""a"&amp;"rticles_with_PRISMA_reasons!B2:B2113""))&lt;2,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$A1932=IMPORTRANGE(""https://docs.google"&amp;".com/spreadsheets/d/1BJSV3WBYJGRhQ6zExamkszQ5VutGIcaQqmbD9ZTVXMQ/edit#gid=1251630045"",""articles_with_PRISMA_reasons!B2:B2113""))&gt;=2),
""Exclude""
)"),"Exclude")</f>
        <v>Exclude</v>
      </c>
      <c r="E1932" s="5" t="str">
        <f>IFERROR(__xludf.DUMMYFUNCTION("IFS(
D1932=""Exclude"",""Exclude"",
AND(
FILTER(IMPORTRANGE(""https://docs.google.com/spreadsheets/d/1qpEmbGH0JjaJbUdp21-y2cPbobDbMjr09BbtdKROZWc/edit#gid=1444865654"",""articles_with_PRISMA_reasons!W2:W2113""), $A1932=IMPORTRANGE(""https://docs.google.co"&amp;"m/spreadsheets/d/1qpEmbGH0JjaJbUdp21-y2cPbobDbMjr09BbtdKROZWc/edit#gid=1444865654"",""articles_with_PRISMA_reasons!B2:B2113""))&gt;=2,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$A1932=IMPORTRANGE(""https://docs.google.com/spreadsheets/d/1qpEmbGH0JjaJbUdp21-y2cPbobDbMjr09BbtdKROZWc/edit#gid=1444865654"",""articles_with_PRISMA_reasons!B2:B2113""))&lt;2),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$A1932=IMPORTRANGE(""https://docs.google.com/spreadsheets/d/1qpEmbGH0JjaJbUdp21-y2cPbobDbMjr09Bbtd"&amp;"KROZWc/edit#gid=1444865654"",""articles_with_PRISMA_reasons!B2:B2113""))&lt;2,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$A1932=I"&amp;"MPORTRANGE(""https://docs.google.com/spreadsheets/d/1qpEmbGH0JjaJbUdp21-y2cPbobDbMjr09BbtdKROZWc/edit#gid=1444865654"",""articles_with_PRISMA_reasons!B2:B2113""))&gt;=2),
""Exclude""
)"),"Exclude")</f>
        <v>Exclude</v>
      </c>
      <c r="F1932" s="5" t="str">
        <f>IFERROR(__xludf.DUMMYFUNCTION("IFS(
E1932=""Exclude"",""Exclude"",
AND(
COUNTIF(
IMPORTRANGE(""https://docs.google.com/spreadsheets/d/1kGrh75X1cNR1D7_FcY9zMnHP8iPO4M5RCRjy6nZY0TY/edit#gid=0"",""Table 1: Study characteristics!B4:B171""),A1932)&gt;0,
COUNTIF(Studies!$A$2:$A$85,FILTER(IMPORT"&amp;"RANGE(""https://docs.google.com/spreadsheets/d/1kGrh75X1cNR1D7_FcY9zMnHP8iPO4M5RCRjy6nZY0TY/edit#gid=0"",""Table 1: Study characteristics!A4:A171""), $A1932=IMPORTRANGE(""https://docs.google.com/spreadsheets/d/1kGrh75X1cNR1D7_FcY9zMnHP8iPO4M5RCRjy6nZY0TY/"&amp;"edit#gid=0"",""Table 1: Study characteristics!B4:B171"")))&gt;0
),
""Include""
)"),"Exclude")</f>
        <v>Exclude</v>
      </c>
      <c r="G1932" s="5" t="str">
        <f>IFERROR(__xludf.DUMMYFUNCTION("IFS(
D1932=""Exclude"",
FILTER(IMPORTRANGE(""https://docs.google.com/spreadsheets/d/1BJSV3WBYJGRhQ6zExamkszQ5VutGIcaQqmbD9ZTVXMQ/edit#gid=1251630045"",""articles_with_PRISMA_reasons!AB2:AB2113""), $A1932=IMPORTRANGE(""https://docs.google.com/spreadsheets/"&amp;"d/1BJSV3WBYJGRhQ6zExamkszQ5VutGIcaQqmbD9ZTVXMQ/edit#gid=1251630045"",""articles_with_PRISMA_reasons!B2:B2113"")),
E1932=""Exclude"",
FILTER(IMPORTRANGE(""https://docs.google.com/spreadsheets/d/1qpEmbGH0JjaJbUdp21-y2cPbobDbMjr09BbtdKROZWc/edit#gid=14448656"&amp;"54"",""articles_with_PRISMA_reasons!Z2:Z2113""), $A1932=IMPORTRANGE(""https://docs.google.com/spreadsheets/d/1qpEmbGH0JjaJbUdp21-y2cPbobDbMjr09BbtdKROZWc/edit#gid=1444865654"",""articles_with_PRISMA_reasons!B2:B2113"")),F1932
=""Include"",FILTER(IMPORTRAN"&amp;"GE(""https://docs.google.com/spreadsheets/d/1kGrh75X1cNR1D7_FcY9zMnHP8iPO4M5RCRjy6nZY0TY/edit#gid=0"",""Table 1: Study characteristics!A4:A171""), $A1932=IMPORTRANGE(""https://docs.google.com/spreadsheets/d/1kGrh75X1cNR1D7_FcY9zMnHP8iPO4M5RCRjy6nZY0TY/edi"&amp;"t#gid=0"",""Table 1: Study characteristics!B4:B171""))
)"),"background article")</f>
        <v>background article</v>
      </c>
    </row>
    <row r="1933">
      <c r="A1933" s="4" t="str">
        <f>IFERROR(__xludf.DUMMYFUNCTION("""COMPUTED_VALUE"""),"The prediction of postoperative hydrocephalus in patients with spina bifida")</f>
        <v>The prediction of postoperative hydrocephalus in patients with spina bifida</v>
      </c>
      <c r="B1933" s="5" t="str">
        <f>IFERROR(__xludf.DUMMYFUNCTION("LEFT(FILTER(IMPORTRANGE(""https://docs.google.com/spreadsheets/d/1BJSV3WBYJGRhQ6zExamkszQ5VutGIcaQqmbD9ZTVXMQ/edit#gid=1251630045"",""articles_with_PRISMA_reasons!K2:K2113""), $A1933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$A1933=IMPORTRANGE(""https://docs.google.com/spreadsheets/d/1BJSV3WBYJGRhQ6zExamkszQ5VutGIcaQqmbD9ZTVXMQ/edit#gid=1251630045"",""articles_with_PRISMA_reasons!B2:B2113"")))-1)"),"Wakhlu")</f>
        <v>Wakhlu</v>
      </c>
      <c r="C1933" s="6">
        <f>IFERROR(__xludf.DUMMYFUNCTION("FILTER(IMPORTRANGE(""https://docs.google.com/spreadsheets/d/1BJSV3WBYJGRhQ6zExamkszQ5VutGIcaQqmbD9ZTVXMQ/edit#gid=1251630045"",""articles_with_PRISMA_reasons!C2:C2113""), $A1933=IMPORTRANGE(""https://docs.google.com/spreadsheets/d/1BJSV3WBYJGRhQ6zExamkszQ"&amp;"5VutGIcaQqmbD9ZTVXMQ/edit#gid=1251630045"",""articles_with_PRISMA_reasons!B2:B2113""))"),2004.0)</f>
        <v>2004</v>
      </c>
      <c r="D1933" s="5" t="str">
        <f>IFERROR(__xludf.DUMMYFUNCTION("IFS(AND(
FILTER(IMPORTRANGE(""https://docs.google.com/spreadsheets/d/1BJSV3WBYJGRhQ6zExamkszQ5VutGIcaQqmbD9ZTVXMQ/edit#gid=1251630045"",""articles_with_PRISMA_reasons!Y2:Y2113""), $A1933=IMPORTRANGE(""https://docs.google.com/spreadsheets/d/1BJSV3WBYJGRhQ6"&amp;"zExamkszQ5VutGIcaQqmbD9ZTVXMQ/edit#gid=1251630045"",""articles_with_PRISMA_reasons!B2:B2113""))&gt;=2,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$A1933=IMPORTRANGE(""https://docs.google.com/spreadsheets/d/1BJSV3WBYJGRhQ6zExamkszQ5VutGIcaQqmbD9ZTVXMQ/edit#gid=1251630045"",""articles_with_PRISMA_reasons!B2:B2113""))&lt;2),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$A1933=IMPORTRANGE(""https://docs.google.com/spreadsheets/d/1BJSV3WBYJGRhQ6zExamkszQ5VutGIcaQqmbD9ZTVXMQ/edit#gid=1251630045"",""a"&amp;"rticles_with_PRISMA_reasons!B2:B2113""))&lt;2,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$A1933=IMPORTRANGE(""https://docs.google"&amp;".com/spreadsheets/d/1BJSV3WBYJGRhQ6zExamkszQ5VutGIcaQqmbD9ZTVXMQ/edit#gid=1251630045"",""articles_with_PRISMA_reasons!B2:B2113""))&gt;=2),
""Exclude""
)"),"Include")</f>
        <v>Include</v>
      </c>
      <c r="E1933" s="5" t="str">
        <f>IFERROR(__xludf.DUMMYFUNCTION("IFS(
D1933=""Exclude"",""Exclude"",
AND(
FILTER(IMPORTRANGE(""https://docs.google.com/spreadsheets/d/1qpEmbGH0JjaJbUdp21-y2cPbobDbMjr09BbtdKROZWc/edit#gid=1444865654"",""articles_with_PRISMA_reasons!W2:W2113""), $A1933=IMPORTRANGE(""https://docs.google.co"&amp;"m/spreadsheets/d/1qpEmbGH0JjaJbUdp21-y2cPbobDbMjr09BbtdKROZWc/edit#gid=1444865654"",""articles_with_PRISMA_reasons!B2:B2113""))&gt;=2,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$A1933=IMPORTRANGE(""https://docs.google.com/spreadsheets/d/1qpEmbGH0JjaJbUdp21-y2cPbobDbMjr09BbtdKROZWc/edit#gid=1444865654"",""articles_with_PRISMA_reasons!B2:B2113""))&lt;2),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$A1933=IMPORTRANGE(""https://docs.google.com/spreadsheets/d/1qpEmbGH0JjaJbUdp21-y2cPbobDbMjr09Bbtd"&amp;"KROZWc/edit#gid=1444865654"",""articles_with_PRISMA_reasons!B2:B2113""))&lt;2,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$A1933=I"&amp;"MPORTRANGE(""https://docs.google.com/spreadsheets/d/1qpEmbGH0JjaJbUdp21-y2cPbobDbMjr09BbtdKROZWc/edit#gid=1444865654"",""articles_with_PRISMA_reasons!B2:B2113""))&gt;=2),
""Exclude""
)"),"Exclude")</f>
        <v>Exclude</v>
      </c>
      <c r="F1933" s="5" t="str">
        <f>IFERROR(__xludf.DUMMYFUNCTION("IFS(
E1933=""Exclude"",""Exclude"",
AND(
COUNTIF(
IMPORTRANGE(""https://docs.google.com/spreadsheets/d/1kGrh75X1cNR1D7_FcY9zMnHP8iPO4M5RCRjy6nZY0TY/edit#gid=0"",""Table 1: Study characteristics!B4:B171""),A1933)&gt;0,
COUNTIF(Studies!$A$2:$A$85,FILTER(IMPORT"&amp;"RANGE(""https://docs.google.com/spreadsheets/d/1kGrh75X1cNR1D7_FcY9zMnHP8iPO4M5RCRjy6nZY0TY/edit#gid=0"",""Table 1: Study characteristics!A4:A171""), $A1933=IMPORTRANGE(""https://docs.google.com/spreadsheets/d/1kGrh75X1cNR1D7_FcY9zMnHP8iPO4M5RCRjy6nZY0TY/"&amp;"edit#gid=0"",""Table 1: Study characteristics!B4:B171"")))&gt;0
),
""Include""
)"),"Exclude")</f>
        <v>Exclude</v>
      </c>
      <c r="G1933" s="5" t="str">
        <f>IFERROR(__xludf.DUMMYFUNCTION("IFS(
D1933=""Exclude"",
FILTER(IMPORTRANGE(""https://docs.google.com/spreadsheets/d/1BJSV3WBYJGRhQ6zExamkszQ5VutGIcaQqmbD9ZTVXMQ/edit#gid=1251630045"",""articles_with_PRISMA_reasons!AB2:AB2113""), $A1933=IMPORTRANGE(""https://docs.google.com/spreadsheets/"&amp;"d/1BJSV3WBYJGRhQ6zExamkszQ5VutGIcaQqmbD9ZTVXMQ/edit#gid=1251630045"",""articles_with_PRISMA_reasons!B2:B2113"")),
E1933=""Exclude"",
FILTER(IMPORTRANGE(""https://docs.google.com/spreadsheets/d/1qpEmbGH0JjaJbUdp21-y2cPbobDbMjr09BbtdKROZWc/edit#gid=14448656"&amp;"54"",""articles_with_PRISMA_reasons!Z2:Z2113""), $A1933=IMPORTRANGE(""https://docs.google.com/spreadsheets/d/1qpEmbGH0JjaJbUdp21-y2cPbobDbMjr09BbtdKROZWc/edit#gid=1444865654"",""articles_with_PRISMA_reasons!B2:B2113"")),F1933
=""Include"",FILTER(IMPORTRAN"&amp;"GE(""https://docs.google.com/spreadsheets/d/1kGrh75X1cNR1D7_FcY9zMnHP8iPO4M5RCRjy6nZY0TY/edit#gid=0"",""Table 1: Study characteristics!A4:A171""), $A1933=IMPORTRANGE(""https://docs.google.com/spreadsheets/d/1kGrh75X1cNR1D7_FcY9zMnHP8iPO4M5RCRjy6nZY0TY/edi"&amp;"t#gid=0"",""Table 1: Study characteristics!B4:B171""))
)"),"wrong population")</f>
        <v>wrong population</v>
      </c>
    </row>
    <row r="1934">
      <c r="A1934" s="4" t="str">
        <f>IFERROR(__xludf.DUMMYFUNCTION("""COMPUTED_VALUE"""),"The prenatal ultrasonographic detection of myelomeningocele in patients referred to Children's Hospital Medical Center: A cross sectional study")</f>
        <v>The prenatal ultrasonographic detection of myelomeningocele in patients referred to Children's Hospital Medical Center: A cross sectional study</v>
      </c>
      <c r="B1934" s="5" t="str">
        <f>IFERROR(__xludf.DUMMYFUNCTION("LEFT(FILTER(IMPORTRANGE(""https://docs.google.com/spreadsheets/d/1BJSV3WBYJGRhQ6zExamkszQ5VutGIcaQqmbD9ZTVXMQ/edit#gid=1251630045"",""articles_with_PRISMA_reasons!K2:K2113""), $A1934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$A1934=IMPORTRANGE(""https://docs.google.com/spreadsheets/d/1BJSV3WBYJGRhQ6zExamkszQ5VutGIcaQqmbD9ZTVXMQ/edit#gid=1251630045"",""articles_with_PRISMA_reasons!B2:B2113"")))-1)"),"Kazmi")</f>
        <v>Kazmi</v>
      </c>
      <c r="C1934" s="6">
        <f>IFERROR(__xludf.DUMMYFUNCTION("FILTER(IMPORTRANGE(""https://docs.google.com/spreadsheets/d/1BJSV3WBYJGRhQ6zExamkszQ5VutGIcaQqmbD9ZTVXMQ/edit#gid=1251630045"",""articles_with_PRISMA_reasons!C2:C2113""), $A1934=IMPORTRANGE(""https://docs.google.com/spreadsheets/d/1BJSV3WBYJGRhQ6zExamkszQ"&amp;"5VutGIcaQqmbD9ZTVXMQ/edit#gid=1251630045"",""articles_with_PRISMA_reasons!B2:B2113""))"),2006.0)</f>
        <v>2006</v>
      </c>
      <c r="D1934" s="5" t="str">
        <f>IFERROR(__xludf.DUMMYFUNCTION("IFS(AND(
FILTER(IMPORTRANGE(""https://docs.google.com/spreadsheets/d/1BJSV3WBYJGRhQ6zExamkszQ5VutGIcaQqmbD9ZTVXMQ/edit#gid=1251630045"",""articles_with_PRISMA_reasons!Y2:Y2113""), $A1934=IMPORTRANGE(""https://docs.google.com/spreadsheets/d/1BJSV3WBYJGRhQ6"&amp;"zExamkszQ5VutGIcaQqmbD9ZTVXMQ/edit#gid=1251630045"",""articles_with_PRISMA_reasons!B2:B2113""))&gt;=2,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$A1934=IMPORTRANGE(""https://docs.google.com/spreadsheets/d/1BJSV3WBYJGRhQ6zExamkszQ5VutGIcaQqmbD9ZTVXMQ/edit#gid=1251630045"",""articles_with_PRISMA_reasons!B2:B2113""))&lt;2),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$A1934=IMPORTRANGE(""https://docs.google.com/spreadsheets/d/1BJSV3WBYJGRhQ6zExamkszQ5VutGIcaQqmbD9ZTVXMQ/edit#gid=1251630045"",""a"&amp;"rticles_with_PRISMA_reasons!B2:B2113""))&lt;2,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$A1934=IMPORTRANGE(""https://docs.google"&amp;".com/spreadsheets/d/1BJSV3WBYJGRhQ6zExamkszQ5VutGIcaQqmbD9ZTVXMQ/edit#gid=1251630045"",""articles_with_PRISMA_reasons!B2:B2113""))&gt;=2),
""Exclude""
)"),"Exclude")</f>
        <v>Exclude</v>
      </c>
      <c r="E1934" s="5" t="str">
        <f>IFERROR(__xludf.DUMMYFUNCTION("IFS(
D1934=""Exclude"",""Exclude"",
AND(
FILTER(IMPORTRANGE(""https://docs.google.com/spreadsheets/d/1qpEmbGH0JjaJbUdp21-y2cPbobDbMjr09BbtdKROZWc/edit#gid=1444865654"",""articles_with_PRISMA_reasons!W2:W2113""), $A1934=IMPORTRANGE(""https://docs.google.co"&amp;"m/spreadsheets/d/1qpEmbGH0JjaJbUdp21-y2cPbobDbMjr09BbtdKROZWc/edit#gid=1444865654"",""articles_with_PRISMA_reasons!B2:B2113""))&gt;=2,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$A1934=IMPORTRANGE(""https://docs.google.com/spreadsheets/d/1qpEmbGH0JjaJbUdp21-y2cPbobDbMjr09BbtdKROZWc/edit#gid=1444865654"",""articles_with_PRISMA_reasons!B2:B2113""))&lt;2),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$A1934=IMPORTRANGE(""https://docs.google.com/spreadsheets/d/1qpEmbGH0JjaJbUdp21-y2cPbobDbMjr09Bbtd"&amp;"KROZWc/edit#gid=1444865654"",""articles_with_PRISMA_reasons!B2:B2113""))&lt;2,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$A1934=I"&amp;"MPORTRANGE(""https://docs.google.com/spreadsheets/d/1qpEmbGH0JjaJbUdp21-y2cPbobDbMjr09BbtdKROZWc/edit#gid=1444865654"",""articles_with_PRISMA_reasons!B2:B2113""))&gt;=2),
""Exclude""
)"),"Exclude")</f>
        <v>Exclude</v>
      </c>
      <c r="F1934" s="5" t="str">
        <f>IFERROR(__xludf.DUMMYFUNCTION("IFS(
E1934=""Exclude"",""Exclude"",
AND(
COUNTIF(
IMPORTRANGE(""https://docs.google.com/spreadsheets/d/1kGrh75X1cNR1D7_FcY9zMnHP8iPO4M5RCRjy6nZY0TY/edit#gid=0"",""Table 1: Study characteristics!B4:B171""),A1934)&gt;0,
COUNTIF(Studies!$A$2:$A$85,FILTER(IMPORT"&amp;"RANGE(""https://docs.google.com/spreadsheets/d/1kGrh75X1cNR1D7_FcY9zMnHP8iPO4M5RCRjy6nZY0TY/edit#gid=0"",""Table 1: Study characteristics!A4:A171""), $A1934=IMPORTRANGE(""https://docs.google.com/spreadsheets/d/1kGrh75X1cNR1D7_FcY9zMnHP8iPO4M5RCRjy6nZY0TY/"&amp;"edit#gid=0"",""Table 1: Study characteristics!B4:B171"")))&gt;0
),
""Include""
)"),"Exclude")</f>
        <v>Exclude</v>
      </c>
      <c r="G1934" s="5" t="str">
        <f>IFERROR(__xludf.DUMMYFUNCTION("IFS(
D1934=""Exclude"",
FILTER(IMPORTRANGE(""https://docs.google.com/spreadsheets/d/1BJSV3WBYJGRhQ6zExamkszQ5VutGIcaQqmbD9ZTVXMQ/edit#gid=1251630045"",""articles_with_PRISMA_reasons!AB2:AB2113""), $A1934=IMPORTRANGE(""https://docs.google.com/spreadsheets/"&amp;"d/1BJSV3WBYJGRhQ6zExamkszQ5VutGIcaQqmbD9ZTVXMQ/edit#gid=1251630045"",""articles_with_PRISMA_reasons!B2:B2113"")),
E1934=""Exclude"",
FILTER(IMPORTRANGE(""https://docs.google.com/spreadsheets/d/1qpEmbGH0JjaJbUdp21-y2cPbobDbMjr09BbtdKROZWc/edit#gid=14448656"&amp;"54"",""articles_with_PRISMA_reasons!Z2:Z2113""), $A1934=IMPORTRANGE(""https://docs.google.com/spreadsheets/d/1qpEmbGH0JjaJbUdp21-y2cPbobDbMjr09BbtdKROZWc/edit#gid=1444865654"",""articles_with_PRISMA_reasons!B2:B2113"")),F1934
=""Include"",FILTER(IMPORTRAN"&amp;"GE(""https://docs.google.com/spreadsheets/d/1kGrh75X1cNR1D7_FcY9zMnHP8iPO4M5RCRjy6nZY0TY/edit#gid=0"",""Table 1: Study characteristics!A4:A171""), $A1934=IMPORTRANGE(""https://docs.google.com/spreadsheets/d/1kGrh75X1cNR1D7_FcY9zMnHP8iPO4M5RCRjy6nZY0TY/edi"&amp;"t#gid=0"",""Table 1: Study characteristics!B4:B171""))
)"),"wrong population")</f>
        <v>wrong population</v>
      </c>
    </row>
    <row r="1935">
      <c r="A1935" s="4" t="str">
        <f>IFERROR(__xludf.DUMMYFUNCTION("""COMPUTED_VALUE"""),"The prevalence of neurologic dysfunction in children with strabismus who have superior oblique overaction")</f>
        <v>The prevalence of neurologic dysfunction in children with strabismus who have superior oblique overaction</v>
      </c>
      <c r="B1935" s="5" t="str">
        <f>IFERROR(__xludf.DUMMYFUNCTION("LEFT(FILTER(IMPORTRANGE(""https://docs.google.com/spreadsheets/d/1BJSV3WBYJGRhQ6zExamkszQ5VutGIcaQqmbD9ZTVXMQ/edit#gid=1251630045"",""articles_with_PRISMA_reasons!K2:K2113""), $A1935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$A1935=IMPORTRANGE(""https://docs.google.com/spreadsheets/d/1BJSV3WBYJGRhQ6zExamkszQ5VutGIcaQqmbD9ZTVXMQ/edit#gid=1251630045"",""articles_with_PRISMA_reasons!B2:B2113"")))-1)"),"Hamed")</f>
        <v>Hamed</v>
      </c>
      <c r="C1935" s="6">
        <f>IFERROR(__xludf.DUMMYFUNCTION("FILTER(IMPORTRANGE(""https://docs.google.com/spreadsheets/d/1BJSV3WBYJGRhQ6zExamkszQ5VutGIcaQqmbD9ZTVXMQ/edit#gid=1251630045"",""articles_with_PRISMA_reasons!C2:C2113""), $A1935=IMPORTRANGE(""https://docs.google.com/spreadsheets/d/1BJSV3WBYJGRhQ6zExamkszQ"&amp;"5VutGIcaQqmbD9ZTVXMQ/edit#gid=1251630045"",""articles_with_PRISMA_reasons!B2:B2113""))"),1993.0)</f>
        <v>1993</v>
      </c>
      <c r="D1935" s="5" t="str">
        <f>IFERROR(__xludf.DUMMYFUNCTION("IFS(AND(
FILTER(IMPORTRANGE(""https://docs.google.com/spreadsheets/d/1BJSV3WBYJGRhQ6zExamkszQ5VutGIcaQqmbD9ZTVXMQ/edit#gid=1251630045"",""articles_with_PRISMA_reasons!Y2:Y2113""), $A1935=IMPORTRANGE(""https://docs.google.com/spreadsheets/d/1BJSV3WBYJGRhQ6"&amp;"zExamkszQ5VutGIcaQqmbD9ZTVXMQ/edit#gid=1251630045"",""articles_with_PRISMA_reasons!B2:B2113""))&gt;=2,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$A1935=IMPORTRANGE(""https://docs.google.com/spreadsheets/d/1BJSV3WBYJGRhQ6zExamkszQ5VutGIcaQqmbD9ZTVXMQ/edit#gid=1251630045"",""articles_with_PRISMA_reasons!B2:B2113""))&lt;2),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$A1935=IMPORTRANGE(""https://docs.google.com/spreadsheets/d/1BJSV3WBYJGRhQ6zExamkszQ5VutGIcaQqmbD9ZTVXMQ/edit#gid=1251630045"",""a"&amp;"rticles_with_PRISMA_reasons!B2:B2113""))&lt;2,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$A1935=IMPORTRANGE(""https://docs.google"&amp;".com/spreadsheets/d/1BJSV3WBYJGRhQ6zExamkszQ5VutGIcaQqmbD9ZTVXMQ/edit#gid=1251630045"",""articles_with_PRISMA_reasons!B2:B2113""))&gt;=2),
""Exclude""
)"),"Exclude")</f>
        <v>Exclude</v>
      </c>
      <c r="E1935" s="5" t="str">
        <f>IFERROR(__xludf.DUMMYFUNCTION("IFS(
D1935=""Exclude"",""Exclude"",
AND(
FILTER(IMPORTRANGE(""https://docs.google.com/spreadsheets/d/1qpEmbGH0JjaJbUdp21-y2cPbobDbMjr09BbtdKROZWc/edit#gid=1444865654"",""articles_with_PRISMA_reasons!W2:W2113""), $A1935=IMPORTRANGE(""https://docs.google.co"&amp;"m/spreadsheets/d/1qpEmbGH0JjaJbUdp21-y2cPbobDbMjr09BbtdKROZWc/edit#gid=1444865654"",""articles_with_PRISMA_reasons!B2:B2113""))&gt;=2,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$A1935=IMPORTRANGE(""https://docs.google.com/spreadsheets/d/1qpEmbGH0JjaJbUdp21-y2cPbobDbMjr09BbtdKROZWc/edit#gid=1444865654"",""articles_with_PRISMA_reasons!B2:B2113""))&lt;2),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$A1935=IMPORTRANGE(""https://docs.google.com/spreadsheets/d/1qpEmbGH0JjaJbUdp21-y2cPbobDbMjr09Bbtd"&amp;"KROZWc/edit#gid=1444865654"",""articles_with_PRISMA_reasons!B2:B2113""))&lt;2,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$A1935=I"&amp;"MPORTRANGE(""https://docs.google.com/spreadsheets/d/1qpEmbGH0JjaJbUdp21-y2cPbobDbMjr09BbtdKROZWc/edit#gid=1444865654"",""articles_with_PRISMA_reasons!B2:B2113""))&gt;=2),
""Exclude""
)"),"Exclude")</f>
        <v>Exclude</v>
      </c>
      <c r="F1935" s="5" t="str">
        <f>IFERROR(__xludf.DUMMYFUNCTION("IFS(
E1935=""Exclude"",""Exclude"",
AND(
COUNTIF(
IMPORTRANGE(""https://docs.google.com/spreadsheets/d/1kGrh75X1cNR1D7_FcY9zMnHP8iPO4M5RCRjy6nZY0TY/edit#gid=0"",""Table 1: Study characteristics!B4:B171""),A1935)&gt;0,
COUNTIF(Studies!$A$2:$A$85,FILTER(IMPORT"&amp;"RANGE(""https://docs.google.com/spreadsheets/d/1kGrh75X1cNR1D7_FcY9zMnHP8iPO4M5RCRjy6nZY0TY/edit#gid=0"",""Table 1: Study characteristics!A4:A171""), $A1935=IMPORTRANGE(""https://docs.google.com/spreadsheets/d/1kGrh75X1cNR1D7_FcY9zMnHP8iPO4M5RCRjy6nZY0TY/"&amp;"edit#gid=0"",""Table 1: Study characteristics!B4:B171"")))&gt;0
),
""Include""
)"),"Exclude")</f>
        <v>Exclude</v>
      </c>
      <c r="G1935" s="5" t="str">
        <f>IFERROR(__xludf.DUMMYFUNCTION("IFS(
D1935=""Exclude"",
FILTER(IMPORTRANGE(""https://docs.google.com/spreadsheets/d/1BJSV3WBYJGRhQ6zExamkszQ5VutGIcaQqmbD9ZTVXMQ/edit#gid=1251630045"",""articles_with_PRISMA_reasons!AB2:AB2113""), $A1935=IMPORTRANGE(""https://docs.google.com/spreadsheets/"&amp;"d/1BJSV3WBYJGRhQ6zExamkszQ5VutGIcaQqmbD9ZTVXMQ/edit#gid=1251630045"",""articles_with_PRISMA_reasons!B2:B2113"")),
E1935=""Exclude"",
FILTER(IMPORTRANGE(""https://docs.google.com/spreadsheets/d/1qpEmbGH0JjaJbUdp21-y2cPbobDbMjr09BbtdKROZWc/edit#gid=14448656"&amp;"54"",""articles_with_PRISMA_reasons!Z2:Z2113""), $A1935=IMPORTRANGE(""https://docs.google.com/spreadsheets/d/1qpEmbGH0JjaJbUdp21-y2cPbobDbMjr09BbtdKROZWc/edit#gid=1444865654"",""articles_with_PRISMA_reasons!B2:B2113"")),F1935
=""Include"",FILTER(IMPORTRAN"&amp;"GE(""https://docs.google.com/spreadsheets/d/1kGrh75X1cNR1D7_FcY9zMnHP8iPO4M5RCRjy6nZY0TY/edit#gid=0"",""Table 1: Study characteristics!A4:A171""), $A1935=IMPORTRANGE(""https://docs.google.com/spreadsheets/d/1kGrh75X1cNR1D7_FcY9zMnHP8iPO4M5RCRjy6nZY0TY/edi"&amp;"t#gid=0"",""Table 1: Study characteristics!B4:B171""))
)"),"wrong population")</f>
        <v>wrong population</v>
      </c>
    </row>
    <row r="1936">
      <c r="A1936" s="4" t="str">
        <f>IFERROR(__xludf.DUMMYFUNCTION("""COMPUTED_VALUE"""),"The prevalence of scoliosis within Belgian myelomeningocele population and the correlation with ambulatory status and neurological comorbidities: a chart audit")</f>
        <v>The prevalence of scoliosis within Belgian myelomeningocele population and the correlation with ambulatory status and neurological comorbidities: a chart audit</v>
      </c>
      <c r="B1936" s="5" t="str">
        <f>IFERROR(__xludf.DUMMYFUNCTION("LEFT(FILTER(IMPORTRANGE(""https://docs.google.com/spreadsheets/d/1BJSV3WBYJGRhQ6zExamkszQ5VutGIcaQqmbD9ZTVXMQ/edit#gid=1251630045"",""articles_with_PRISMA_reasons!K2:K2113""), $A1936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$A1936=IMPORTRANGE(""https://docs.google.com/spreadsheets/d/1BJSV3WBYJGRhQ6zExamkszQ5VutGIcaQqmbD9ZTVXMQ/edit#gid=1251630045"",""articles_with_PRISMA_reasons!B2:B2113"")))-1)"),"Heyns")</f>
        <v>Heyns</v>
      </c>
      <c r="C1936" s="6">
        <f>IFERROR(__xludf.DUMMYFUNCTION("FILTER(IMPORTRANGE(""https://docs.google.com/spreadsheets/d/1BJSV3WBYJGRhQ6zExamkszQ5VutGIcaQqmbD9ZTVXMQ/edit#gid=1251630045"",""articles_with_PRISMA_reasons!C2:C2113""), $A1936=IMPORTRANGE(""https://docs.google.com/spreadsheets/d/1BJSV3WBYJGRhQ6zExamkszQ"&amp;"5VutGIcaQqmbD9ZTVXMQ/edit#gid=1251630045"",""articles_with_PRISMA_reasons!B2:B2113""))"),2021.0)</f>
        <v>2021</v>
      </c>
      <c r="D1936" s="5" t="str">
        <f>IFERROR(__xludf.DUMMYFUNCTION("IFS(AND(
FILTER(IMPORTRANGE(""https://docs.google.com/spreadsheets/d/1BJSV3WBYJGRhQ6zExamkszQ5VutGIcaQqmbD9ZTVXMQ/edit#gid=1251630045"",""articles_with_PRISMA_reasons!Y2:Y2113""), $A1936=IMPORTRANGE(""https://docs.google.com/spreadsheets/d/1BJSV3WBYJGRhQ6"&amp;"zExamkszQ5VutGIcaQqmbD9ZTVXMQ/edit#gid=1251630045"",""articles_with_PRISMA_reasons!B2:B2113""))&gt;=2,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$A1936=IMPORTRANGE(""https://docs.google.com/spreadsheets/d/1BJSV3WBYJGRhQ6zExamkszQ5VutGIcaQqmbD9ZTVXMQ/edit#gid=1251630045"",""articles_with_PRISMA_reasons!B2:B2113""))&lt;2),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$A1936=IMPORTRANGE(""https://docs.google.com/spreadsheets/d/1BJSV3WBYJGRhQ6zExamkszQ5VutGIcaQqmbD9ZTVXMQ/edit#gid=1251630045"",""a"&amp;"rticles_with_PRISMA_reasons!B2:B2113""))&lt;2,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$A1936=IMPORTRANGE(""https://docs.google"&amp;".com/spreadsheets/d/1BJSV3WBYJGRhQ6zExamkszQ5VutGIcaQqmbD9ZTVXMQ/edit#gid=1251630045"",""articles_with_PRISMA_reasons!B2:B2113""))&gt;=2),
""Exclude""
)"),"Exclude")</f>
        <v>Exclude</v>
      </c>
      <c r="E1936" s="5" t="str">
        <f>IFERROR(__xludf.DUMMYFUNCTION("IFS(
D1936=""Exclude"",""Exclude"",
AND(
FILTER(IMPORTRANGE(""https://docs.google.com/spreadsheets/d/1qpEmbGH0JjaJbUdp21-y2cPbobDbMjr09BbtdKROZWc/edit#gid=1444865654"",""articles_with_PRISMA_reasons!W2:W2113""), $A1936=IMPORTRANGE(""https://docs.google.co"&amp;"m/spreadsheets/d/1qpEmbGH0JjaJbUdp21-y2cPbobDbMjr09BbtdKROZWc/edit#gid=1444865654"",""articles_with_PRISMA_reasons!B2:B2113""))&gt;=2,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$A1936=IMPORTRANGE(""https://docs.google.com/spreadsheets/d/1qpEmbGH0JjaJbUdp21-y2cPbobDbMjr09BbtdKROZWc/edit#gid=1444865654"",""articles_with_PRISMA_reasons!B2:B2113""))&lt;2),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$A1936=IMPORTRANGE(""https://docs.google.com/spreadsheets/d/1qpEmbGH0JjaJbUdp21-y2cPbobDbMjr09Bbtd"&amp;"KROZWc/edit#gid=1444865654"",""articles_with_PRISMA_reasons!B2:B2113""))&lt;2,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$A1936=I"&amp;"MPORTRANGE(""https://docs.google.com/spreadsheets/d/1qpEmbGH0JjaJbUdp21-y2cPbobDbMjr09BbtdKROZWc/edit#gid=1444865654"",""articles_with_PRISMA_reasons!B2:B2113""))&gt;=2),
""Exclude""
)"),"Exclude")</f>
        <v>Exclude</v>
      </c>
      <c r="F1936" s="5" t="str">
        <f>IFERROR(__xludf.DUMMYFUNCTION("IFS(
E1936=""Exclude"",""Exclude"",
AND(
COUNTIF(
IMPORTRANGE(""https://docs.google.com/spreadsheets/d/1kGrh75X1cNR1D7_FcY9zMnHP8iPO4M5RCRjy6nZY0TY/edit#gid=0"",""Table 1: Study characteristics!B4:B171""),A1936)&gt;0,
COUNTIF(Studies!$A$2:$A$85,FILTER(IMPORT"&amp;"RANGE(""https://docs.google.com/spreadsheets/d/1kGrh75X1cNR1D7_FcY9zMnHP8iPO4M5RCRjy6nZY0TY/edit#gid=0"",""Table 1: Study characteristics!A4:A171""), $A1936=IMPORTRANGE(""https://docs.google.com/spreadsheets/d/1kGrh75X1cNR1D7_FcY9zMnHP8iPO4M5RCRjy6nZY0TY/"&amp;"edit#gid=0"",""Table 1: Study characteristics!B4:B171"")))&gt;0
),
""Include""
)"),"Exclude")</f>
        <v>Exclude</v>
      </c>
      <c r="G1936" s="5" t="str">
        <f>IFERROR(__xludf.DUMMYFUNCTION("IFS(
D1936=""Exclude"",
FILTER(IMPORTRANGE(""https://docs.google.com/spreadsheets/d/1BJSV3WBYJGRhQ6zExamkszQ5VutGIcaQqmbD9ZTVXMQ/edit#gid=1251630045"",""articles_with_PRISMA_reasons!AB2:AB2113""), $A1936=IMPORTRANGE(""https://docs.google.com/spreadsheets/"&amp;"d/1BJSV3WBYJGRhQ6zExamkszQ5VutGIcaQqmbD9ZTVXMQ/edit#gid=1251630045"",""articles_with_PRISMA_reasons!B2:B2113"")),
E1936=""Exclude"",
FILTER(IMPORTRANGE(""https://docs.google.com/spreadsheets/d/1qpEmbGH0JjaJbUdp21-y2cPbobDbMjr09BbtdKROZWc/edit#gid=14448656"&amp;"54"",""articles_with_PRISMA_reasons!Z2:Z2113""), $A1936=IMPORTRANGE(""https://docs.google.com/spreadsheets/d/1qpEmbGH0JjaJbUdp21-y2cPbobDbMjr09BbtdKROZWc/edit#gid=1444865654"",""articles_with_PRISMA_reasons!B2:B2113"")),F1936
=""Include"",FILTER(IMPORTRAN"&amp;"GE(""https://docs.google.com/spreadsheets/d/1kGrh75X1cNR1D7_FcY9zMnHP8iPO4M5RCRjy6nZY0TY/edit#gid=0"",""Table 1: Study characteristics!A4:A171""), $A1936=IMPORTRANGE(""https://docs.google.com/spreadsheets/d/1kGrh75X1cNR1D7_FcY9zMnHP8iPO4M5RCRjy6nZY0TY/edi"&amp;"t#gid=0"",""Table 1: Study characteristics!B4:B171""))
)"),"wrong publication type")</f>
        <v>wrong publication type</v>
      </c>
    </row>
    <row r="1937">
      <c r="A1937" s="4" t="str">
        <f>IFERROR(__xludf.DUMMYFUNCTION("""COMPUTED_VALUE"""),"The prognostic value of EEG in hydrocephalus after surgical therapy for meningo-myelocele")</f>
        <v>The prognostic value of EEG in hydrocephalus after surgical therapy for meningo-myelocele</v>
      </c>
      <c r="B1937" s="5" t="str">
        <f>IFERROR(__xludf.DUMMYFUNCTION("LEFT(FILTER(IMPORTRANGE(""https://docs.google.com/spreadsheets/d/1BJSV3WBYJGRhQ6zExamkszQ5VutGIcaQqmbD9ZTVXMQ/edit#gid=1251630045"",""articles_with_PRISMA_reasons!K2:K2113""), $A1937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$A1937=IMPORTRANGE(""https://docs.google.com/spreadsheets/d/1BJSV3WBYJGRhQ6zExamkszQ5VutGIcaQqmbD9ZTVXMQ/edit#gid=1251630045"",""articles_with_PRISMA_reasons!B2:B2113"")))-1)"),"Förster")</f>
        <v>Förster</v>
      </c>
      <c r="C1937" s="6" t="str">
        <f>IFERROR(__xludf.DUMMYFUNCTION("FILTER(IMPORTRANGE(""https://docs.google.com/spreadsheets/d/1BJSV3WBYJGRhQ6zExamkszQ5VutGIcaQqmbD9ZTVXMQ/edit#gid=1251630045"",""articles_with_PRISMA_reasons!C2:C2113""), $A1937=IMPORTRANGE(""https://docs.google.com/spreadsheets/d/1BJSV3WBYJGRhQ6zExamkszQ"&amp;"5VutGIcaQqmbD9ZTVXMQ/edit#gid=1251630045"",""articles_with_PRISMA_reasons!B2:B2113""))"),"Feb")</f>
        <v>Feb</v>
      </c>
      <c r="D1937" s="5" t="str">
        <f>IFERROR(__xludf.DUMMYFUNCTION("IFS(AND(
FILTER(IMPORTRANGE(""https://docs.google.com/spreadsheets/d/1BJSV3WBYJGRhQ6zExamkszQ5VutGIcaQqmbD9ZTVXMQ/edit#gid=1251630045"",""articles_with_PRISMA_reasons!Y2:Y2113""), $A1937=IMPORTRANGE(""https://docs.google.com/spreadsheets/d/1BJSV3WBYJGRhQ6"&amp;"zExamkszQ5VutGIcaQqmbD9ZTVXMQ/edit#gid=1251630045"",""articles_with_PRISMA_reasons!B2:B2113""))&gt;=2,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$A1937=IMPORTRANGE(""https://docs.google.com/spreadsheets/d/1BJSV3WBYJGRhQ6zExamkszQ5VutGIcaQqmbD9ZTVXMQ/edit#gid=1251630045"",""articles_with_PRISMA_reasons!B2:B2113""))&lt;2),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$A1937=IMPORTRANGE(""https://docs.google.com/spreadsheets/d/1BJSV3WBYJGRhQ6zExamkszQ5VutGIcaQqmbD9ZTVXMQ/edit#gid=1251630045"",""a"&amp;"rticles_with_PRISMA_reasons!B2:B2113""))&lt;2,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$A1937=IMPORTRANGE(""https://docs.google"&amp;".com/spreadsheets/d/1BJSV3WBYJGRhQ6zExamkszQ5VutGIcaQqmbD9ZTVXMQ/edit#gid=1251630045"",""articles_with_PRISMA_reasons!B2:B2113""))&gt;=2),
""Exclude""
)"),"Include")</f>
        <v>Include</v>
      </c>
      <c r="E1937" s="5" t="str">
        <f>IFERROR(__xludf.DUMMYFUNCTION("IFS(
D1937=""Exclude"",""Exclude"",
AND(
FILTER(IMPORTRANGE(""https://docs.google.com/spreadsheets/d/1qpEmbGH0JjaJbUdp21-y2cPbobDbMjr09BbtdKROZWc/edit#gid=1444865654"",""articles_with_PRISMA_reasons!W2:W2113""), $A1937=IMPORTRANGE(""https://docs.google.co"&amp;"m/spreadsheets/d/1qpEmbGH0JjaJbUdp21-y2cPbobDbMjr09BbtdKROZWc/edit#gid=1444865654"",""articles_with_PRISMA_reasons!B2:B2113""))&gt;=2,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$A1937=IMPORTRANGE(""https://docs.google.com/spreadsheets/d/1qpEmbGH0JjaJbUdp21-y2cPbobDbMjr09BbtdKROZWc/edit#gid=1444865654"",""articles_with_PRISMA_reasons!B2:B2113""))&lt;2),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$A1937=IMPORTRANGE(""https://docs.google.com/spreadsheets/d/1qpEmbGH0JjaJbUdp21-y2cPbobDbMjr09Bbtd"&amp;"KROZWc/edit#gid=1444865654"",""articles_with_PRISMA_reasons!B2:B2113""))&lt;2,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$A1937=I"&amp;"MPORTRANGE(""https://docs.google.com/spreadsheets/d/1qpEmbGH0JjaJbUdp21-y2cPbobDbMjr09BbtdKROZWc/edit#gid=1444865654"",""articles_with_PRISMA_reasons!B2:B2113""))&gt;=2),
""Exclude""
)"),"Exclude")</f>
        <v>Exclude</v>
      </c>
      <c r="F1937" s="5" t="str">
        <f>IFERROR(__xludf.DUMMYFUNCTION("IFS(
E1937=""Exclude"",""Exclude"",
AND(
COUNTIF(
IMPORTRANGE(""https://docs.google.com/spreadsheets/d/1kGrh75X1cNR1D7_FcY9zMnHP8iPO4M5RCRjy6nZY0TY/edit#gid=0"",""Table 1: Study characteristics!B4:B171""),A1937)&gt;0,
COUNTIF(Studies!$A$2:$A$85,FILTER(IMPORT"&amp;"RANGE(""https://docs.google.com/spreadsheets/d/1kGrh75X1cNR1D7_FcY9zMnHP8iPO4M5RCRjy6nZY0TY/edit#gid=0"",""Table 1: Study characteristics!A4:A171""), $A1937=IMPORTRANGE(""https://docs.google.com/spreadsheets/d/1kGrh75X1cNR1D7_FcY9zMnHP8iPO4M5RCRjy6nZY0TY/"&amp;"edit#gid=0"",""Table 1: Study characteristics!B4:B171"")))&gt;0
),
""Include""
)"),"Exclude")</f>
        <v>Exclude</v>
      </c>
      <c r="G1937" s="5" t="str">
        <f>IFERROR(__xludf.DUMMYFUNCTION("IFS(
D1937=""Exclude"",
FILTER(IMPORTRANGE(""https://docs.google.com/spreadsheets/d/1BJSV3WBYJGRhQ6zExamkszQ5VutGIcaQqmbD9ZTVXMQ/edit#gid=1251630045"",""articles_with_PRISMA_reasons!AB2:AB2113""), $A1937=IMPORTRANGE(""https://docs.google.com/spreadsheets/"&amp;"d/1BJSV3WBYJGRhQ6zExamkszQ5VutGIcaQqmbD9ZTVXMQ/edit#gid=1251630045"",""articles_with_PRISMA_reasons!B2:B2113"")),
E1937=""Exclude"",
FILTER(IMPORTRANGE(""https://docs.google.com/spreadsheets/d/1qpEmbGH0JjaJbUdp21-y2cPbobDbMjr09BbtdKROZWc/edit#gid=14448656"&amp;"54"",""articles_with_PRISMA_reasons!Z2:Z2113""), $A1937=IMPORTRANGE(""https://docs.google.com/spreadsheets/d/1qpEmbGH0JjaJbUdp21-y2cPbobDbMjr09BbtdKROZWc/edit#gid=1444865654"",""articles_with_PRISMA_reasons!B2:B2113"")),F1937
=""Include"",FILTER(IMPORTRAN"&amp;"GE(""https://docs.google.com/spreadsheets/d/1kGrh75X1cNR1D7_FcY9zMnHP8iPO4M5RCRjy6nZY0TY/edit#gid=0"",""Table 1: Study characteristics!A4:A171""), $A1937=IMPORTRANGE(""https://docs.google.com/spreadsheets/d/1kGrh75X1cNR1D7_FcY9zMnHP8iPO4M5RCRjy6nZY0TY/edi"&amp;"t#gid=0"",""Table 1: Study characteristics!B4:B171""))
)"),"no full text")</f>
        <v>no full text</v>
      </c>
    </row>
    <row r="1938">
      <c r="A1938" s="4" t="str">
        <f>IFERROR(__xludf.DUMMYFUNCTION("""COMPUTED_VALUE"""),"The quality of life of young children and infants with chronic medical problems: Review of the literature")</f>
        <v>The quality of life of young children and infants with chronic medical problems: Review of the literature</v>
      </c>
      <c r="B1938" s="5" t="str">
        <f>IFERROR(__xludf.DUMMYFUNCTION("LEFT(FILTER(IMPORTRANGE(""https://docs.google.com/spreadsheets/d/1BJSV3WBYJGRhQ6zExamkszQ5VutGIcaQqmbD9ZTVXMQ/edit#gid=1251630045"",""articles_with_PRISMA_reasons!K2:K2113""), $A1938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$A1938=IMPORTRANGE(""https://docs.google.com/spreadsheets/d/1BJSV3WBYJGRhQ6zExamkszQ5VutGIcaQqmbD9ZTVXMQ/edit#gid=1251630045"",""articles_with_PRISMA_reasons!B2:B2113"")))-1)"),"Payot")</f>
        <v>Payot</v>
      </c>
      <c r="C1938" s="6">
        <f>IFERROR(__xludf.DUMMYFUNCTION("FILTER(IMPORTRANGE(""https://docs.google.com/spreadsheets/d/1BJSV3WBYJGRhQ6zExamkszQ5VutGIcaQqmbD9ZTVXMQ/edit#gid=1251630045"",""articles_with_PRISMA_reasons!C2:C2113""), $A1938=IMPORTRANGE(""https://docs.google.com/spreadsheets/d/1BJSV3WBYJGRhQ6zExamkszQ"&amp;"5VutGIcaQqmbD9ZTVXMQ/edit#gid=1251630045"",""articles_with_PRISMA_reasons!B2:B2113""))"),2011.0)</f>
        <v>2011</v>
      </c>
      <c r="D1938" s="5" t="str">
        <f>IFERROR(__xludf.DUMMYFUNCTION("IFS(AND(
FILTER(IMPORTRANGE(""https://docs.google.com/spreadsheets/d/1BJSV3WBYJGRhQ6zExamkszQ5VutGIcaQqmbD9ZTVXMQ/edit#gid=1251630045"",""articles_with_PRISMA_reasons!Y2:Y2113""), $A1938=IMPORTRANGE(""https://docs.google.com/spreadsheets/d/1BJSV3WBYJGRhQ6"&amp;"zExamkszQ5VutGIcaQqmbD9ZTVXMQ/edit#gid=1251630045"",""articles_with_PRISMA_reasons!B2:B2113""))&gt;=2,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$A1938=IMPORTRANGE(""https://docs.google.com/spreadsheets/d/1BJSV3WBYJGRhQ6zExamkszQ5VutGIcaQqmbD9ZTVXMQ/edit#gid=1251630045"",""articles_with_PRISMA_reasons!B2:B2113""))&lt;2),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$A1938=IMPORTRANGE(""https://docs.google.com/spreadsheets/d/1BJSV3WBYJGRhQ6zExamkszQ5VutGIcaQqmbD9ZTVXMQ/edit#gid=1251630045"",""a"&amp;"rticles_with_PRISMA_reasons!B2:B2113""))&lt;2,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$A1938=IMPORTRANGE(""https://docs.google"&amp;".com/spreadsheets/d/1BJSV3WBYJGRhQ6zExamkszQ5VutGIcaQqmbD9ZTVXMQ/edit#gid=1251630045"",""articles_with_PRISMA_reasons!B2:B2113""))&gt;=2),
""Exclude""
)"),"Exclude")</f>
        <v>Exclude</v>
      </c>
      <c r="E1938" s="5" t="str">
        <f>IFERROR(__xludf.DUMMYFUNCTION("IFS(
D1938=""Exclude"",""Exclude"",
AND(
FILTER(IMPORTRANGE(""https://docs.google.com/spreadsheets/d/1qpEmbGH0JjaJbUdp21-y2cPbobDbMjr09BbtdKROZWc/edit#gid=1444865654"",""articles_with_PRISMA_reasons!W2:W2113""), $A1938=IMPORTRANGE(""https://docs.google.co"&amp;"m/spreadsheets/d/1qpEmbGH0JjaJbUdp21-y2cPbobDbMjr09BbtdKROZWc/edit#gid=1444865654"",""articles_with_PRISMA_reasons!B2:B2113""))&gt;=2,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$A1938=IMPORTRANGE(""https://docs.google.com/spreadsheets/d/1qpEmbGH0JjaJbUdp21-y2cPbobDbMjr09BbtdKROZWc/edit#gid=1444865654"",""articles_with_PRISMA_reasons!B2:B2113""))&lt;2),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$A1938=IMPORTRANGE(""https://docs.google.com/spreadsheets/d/1qpEmbGH0JjaJbUdp21-y2cPbobDbMjr09Bbtd"&amp;"KROZWc/edit#gid=1444865654"",""articles_with_PRISMA_reasons!B2:B2113""))&lt;2,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$A1938=I"&amp;"MPORTRANGE(""https://docs.google.com/spreadsheets/d/1qpEmbGH0JjaJbUdp21-y2cPbobDbMjr09BbtdKROZWc/edit#gid=1444865654"",""articles_with_PRISMA_reasons!B2:B2113""))&gt;=2),
""Exclude""
)"),"Exclude")</f>
        <v>Exclude</v>
      </c>
      <c r="F1938" s="5" t="str">
        <f>IFERROR(__xludf.DUMMYFUNCTION("IFS(
E1938=""Exclude"",""Exclude"",
AND(
COUNTIF(
IMPORTRANGE(""https://docs.google.com/spreadsheets/d/1kGrh75X1cNR1D7_FcY9zMnHP8iPO4M5RCRjy6nZY0TY/edit#gid=0"",""Table 1: Study characteristics!B4:B171""),A1938)&gt;0,
COUNTIF(Studies!$A$2:$A$85,FILTER(IMPORT"&amp;"RANGE(""https://docs.google.com/spreadsheets/d/1kGrh75X1cNR1D7_FcY9zMnHP8iPO4M5RCRjy6nZY0TY/edit#gid=0"",""Table 1: Study characteristics!A4:A171""), $A1938=IMPORTRANGE(""https://docs.google.com/spreadsheets/d/1kGrh75X1cNR1D7_FcY9zMnHP8iPO4M5RCRjy6nZY0TY/"&amp;"edit#gid=0"",""Table 1: Study characteristics!B4:B171"")))&gt;0
),
""Include""
)"),"Exclude")</f>
        <v>Exclude</v>
      </c>
      <c r="G1938" s="5" t="str">
        <f>IFERROR(__xludf.DUMMYFUNCTION("IFS(
D1938=""Exclude"",
FILTER(IMPORTRANGE(""https://docs.google.com/spreadsheets/d/1BJSV3WBYJGRhQ6zExamkszQ5VutGIcaQqmbD9ZTVXMQ/edit#gid=1251630045"",""articles_with_PRISMA_reasons!AB2:AB2113""), $A1938=IMPORTRANGE(""https://docs.google.com/spreadsheets/"&amp;"d/1BJSV3WBYJGRhQ6zExamkszQ5VutGIcaQqmbD9ZTVXMQ/edit#gid=1251630045"",""articles_with_PRISMA_reasons!B2:B2113"")),
E1938=""Exclude"",
FILTER(IMPORTRANGE(""https://docs.google.com/spreadsheets/d/1qpEmbGH0JjaJbUdp21-y2cPbobDbMjr09BbtdKROZWc/edit#gid=14448656"&amp;"54"",""articles_with_PRISMA_reasons!Z2:Z2113""), $A1938=IMPORTRANGE(""https://docs.google.com/spreadsheets/d/1qpEmbGH0JjaJbUdp21-y2cPbobDbMjr09BbtdKROZWc/edit#gid=1444865654"",""articles_with_PRISMA_reasons!B2:B2113"")),F1938
=""Include"",FILTER(IMPORTRAN"&amp;"GE(""https://docs.google.com/spreadsheets/d/1kGrh75X1cNR1D7_FcY9zMnHP8iPO4M5RCRjy6nZY0TY/edit#gid=0"",""Table 1: Study characteristics!A4:A171""), $A1938=IMPORTRANGE(""https://docs.google.com/spreadsheets/d/1kGrh75X1cNR1D7_FcY9zMnHP8iPO4M5RCRjy6nZY0TY/edi"&amp;"t#gid=0"",""Table 1: Study characteristics!B4:B171""))
)"),"wrong study design")</f>
        <v>wrong study design</v>
      </c>
    </row>
    <row r="1939">
      <c r="A1939" s="4" t="str">
        <f>IFERROR(__xludf.DUMMYFUNCTION("""COMPUTED_VALUE"""),"The relationship between motor function, cognition, independence and quality of life in myelomeningocele patients")</f>
        <v>The relationship between motor function, cognition, independence and quality of life in myelomeningocele patients</v>
      </c>
      <c r="B1939" s="5" t="str">
        <f>IFERROR(__xludf.DUMMYFUNCTION("LEFT(FILTER(IMPORTRANGE(""https://docs.google.com/spreadsheets/d/1BJSV3WBYJGRhQ6zExamkszQ5VutGIcaQqmbD9ZTVXMQ/edit#gid=1251630045"",""articles_with_PRISMA_reasons!K2:K2113""), $A1939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$A1939=IMPORTRANGE(""https://docs.google.com/spreadsheets/d/1BJSV3WBYJGRhQ6zExamkszQ5VutGIcaQqmbD9ZTVXMQ/edit#gid=1251630045"",""articles_with_PRISMA_reasons!B2:B2113"")))-1)"),"Luz")</f>
        <v>Luz</v>
      </c>
      <c r="C1939" s="6" t="str">
        <f>IFERROR(__xludf.DUMMYFUNCTION("FILTER(IMPORTRANGE(""https://docs.google.com/spreadsheets/d/1BJSV3WBYJGRhQ6zExamkszQ5VutGIcaQqmbD9ZTVXMQ/edit#gid=1251630045"",""articles_with_PRISMA_reasons!C2:C2113""), $A1939=IMPORTRANGE(""https://docs.google.com/spreadsheets/d/1BJSV3WBYJGRhQ6zExamkszQ"&amp;"5VutGIcaQqmbD9ZTVXMQ/edit#gid=1251630045"",""articles_with_PRISMA_reasons!B2:B2113""))"),"Aug")</f>
        <v>Aug</v>
      </c>
      <c r="D1939" s="5" t="str">
        <f>IFERROR(__xludf.DUMMYFUNCTION("IFS(AND(
FILTER(IMPORTRANGE(""https://docs.google.com/spreadsheets/d/1BJSV3WBYJGRhQ6zExamkszQ5VutGIcaQqmbD9ZTVXMQ/edit#gid=1251630045"",""articles_with_PRISMA_reasons!Y2:Y2113""), $A1939=IMPORTRANGE(""https://docs.google.com/spreadsheets/d/1BJSV3WBYJGRhQ6"&amp;"zExamkszQ5VutGIcaQqmbD9ZTVXMQ/edit#gid=1251630045"",""articles_with_PRISMA_reasons!B2:B2113""))&gt;=2,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$A1939=IMPORTRANGE(""https://docs.google.com/spreadsheets/d/1BJSV3WBYJGRhQ6zExamkszQ5VutGIcaQqmbD9ZTVXMQ/edit#gid=1251630045"",""articles_with_PRISMA_reasons!B2:B2113""))&lt;2),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$A1939=IMPORTRANGE(""https://docs.google.com/spreadsheets/d/1BJSV3WBYJGRhQ6zExamkszQ5VutGIcaQqmbD9ZTVXMQ/edit#gid=1251630045"",""a"&amp;"rticles_with_PRISMA_reasons!B2:B2113""))&lt;2,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$A1939=IMPORTRANGE(""https://docs.google"&amp;".com/spreadsheets/d/1BJSV3WBYJGRhQ6zExamkszQ5VutGIcaQqmbD9ZTVXMQ/edit#gid=1251630045"",""articles_with_PRISMA_reasons!B2:B2113""))&gt;=2),
""Exclude""
)"),"Exclude")</f>
        <v>Exclude</v>
      </c>
      <c r="E1939" s="5" t="str">
        <f>IFERROR(__xludf.DUMMYFUNCTION("IFS(
D1939=""Exclude"",""Exclude"",
AND(
FILTER(IMPORTRANGE(""https://docs.google.com/spreadsheets/d/1qpEmbGH0JjaJbUdp21-y2cPbobDbMjr09BbtdKROZWc/edit#gid=1444865654"",""articles_with_PRISMA_reasons!W2:W2113""), $A1939=IMPORTRANGE(""https://docs.google.co"&amp;"m/spreadsheets/d/1qpEmbGH0JjaJbUdp21-y2cPbobDbMjr09BbtdKROZWc/edit#gid=1444865654"",""articles_with_PRISMA_reasons!B2:B2113""))&gt;=2,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$A1939=IMPORTRANGE(""https://docs.google.com/spreadsheets/d/1qpEmbGH0JjaJbUdp21-y2cPbobDbMjr09BbtdKROZWc/edit#gid=1444865654"",""articles_with_PRISMA_reasons!B2:B2113""))&lt;2),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$A1939=IMPORTRANGE(""https://docs.google.com/spreadsheets/d/1qpEmbGH0JjaJbUdp21-y2cPbobDbMjr09Bbtd"&amp;"KROZWc/edit#gid=1444865654"",""articles_with_PRISMA_reasons!B2:B2113""))&lt;2,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$A1939=I"&amp;"MPORTRANGE(""https://docs.google.com/spreadsheets/d/1qpEmbGH0JjaJbUdp21-y2cPbobDbMjr09BbtdKROZWc/edit#gid=1444865654"",""articles_with_PRISMA_reasons!B2:B2113""))&gt;=2),
""Exclude""
)"),"Exclude")</f>
        <v>Exclude</v>
      </c>
      <c r="F1939" s="5" t="str">
        <f>IFERROR(__xludf.DUMMYFUNCTION("IFS(
E1939=""Exclude"",""Exclude"",
AND(
COUNTIF(
IMPORTRANGE(""https://docs.google.com/spreadsheets/d/1kGrh75X1cNR1D7_FcY9zMnHP8iPO4M5RCRjy6nZY0TY/edit#gid=0"",""Table 1: Study characteristics!B4:B171""),A1939)&gt;0,
COUNTIF(Studies!$A$2:$A$85,FILTER(IMPORT"&amp;"RANGE(""https://docs.google.com/spreadsheets/d/1kGrh75X1cNR1D7_FcY9zMnHP8iPO4M5RCRjy6nZY0TY/edit#gid=0"",""Table 1: Study characteristics!A4:A171""), $A1939=IMPORTRANGE(""https://docs.google.com/spreadsheets/d/1kGrh75X1cNR1D7_FcY9zMnHP8iPO4M5RCRjy6nZY0TY/"&amp;"edit#gid=0"",""Table 1: Study characteristics!B4:B171"")))&gt;0
),
""Include""
)"),"Exclude")</f>
        <v>Exclude</v>
      </c>
      <c r="G1939" s="5" t="str">
        <f>IFERROR(__xludf.DUMMYFUNCTION("IFS(
D1939=""Exclude"",
FILTER(IMPORTRANGE(""https://docs.google.com/spreadsheets/d/1BJSV3WBYJGRhQ6zExamkszQ5VutGIcaQqmbD9ZTVXMQ/edit#gid=1251630045"",""articles_with_PRISMA_reasons!AB2:AB2113""), $A1939=IMPORTRANGE(""https://docs.google.com/spreadsheets/"&amp;"d/1BJSV3WBYJGRhQ6zExamkszQ5VutGIcaQqmbD9ZTVXMQ/edit#gid=1251630045"",""articles_with_PRISMA_reasons!B2:B2113"")),
E1939=""Exclude"",
FILTER(IMPORTRANGE(""https://docs.google.com/spreadsheets/d/1qpEmbGH0JjaJbUdp21-y2cPbobDbMjr09BbtdKROZWc/edit#gid=14448656"&amp;"54"",""articles_with_PRISMA_reasons!Z2:Z2113""), $A1939=IMPORTRANGE(""https://docs.google.com/spreadsheets/d/1qpEmbGH0JjaJbUdp21-y2cPbobDbMjr09BbtdKROZWc/edit#gid=1444865654"",""articles_with_PRISMA_reasons!B2:B2113"")),F1939
=""Include"",FILTER(IMPORTRAN"&amp;"GE(""https://docs.google.com/spreadsheets/d/1kGrh75X1cNR1D7_FcY9zMnHP8iPO4M5RCRjy6nZY0TY/edit#gid=0"",""Table 1: Study characteristics!A4:A171""), $A1939=IMPORTRANGE(""https://docs.google.com/spreadsheets/d/1kGrh75X1cNR1D7_FcY9zMnHP8iPO4M5RCRjy6nZY0TY/edi"&amp;"t#gid=0"",""Table 1: Study characteristics!B4:B171""))
)"),"wrong population")</f>
        <v>wrong population</v>
      </c>
    </row>
    <row r="1940">
      <c r="A1940" s="4" t="str">
        <f>IFERROR(__xludf.DUMMYFUNCTION("""COMPUTED_VALUE"""),"The results of clinical examination of children about one year with spinal hernia")</f>
        <v>The results of clinical examination of children about one year with spinal hernia</v>
      </c>
      <c r="B1940" s="5" t="str">
        <f>IFERROR(__xludf.DUMMYFUNCTION("LEFT(FILTER(IMPORTRANGE(""https://docs.google.com/spreadsheets/d/1BJSV3WBYJGRhQ6zExamkszQ5VutGIcaQqmbD9ZTVXMQ/edit#gid=1251630045"",""articles_with_PRISMA_reasons!K2:K2113""), $A1940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$A1940=IMPORTRANGE(""https://docs.google.com/spreadsheets/d/1BJSV3WBYJGRhQ6zExamkszQ5VutGIcaQqmbD9ZTVXMQ/edit#gid=1251630045"",""articles_with_PRISMA_reasons!B2:B2113"")))-1)"),"Yelikbayev")</f>
        <v>Yelikbayev</v>
      </c>
      <c r="C1940" s="6">
        <f>IFERROR(__xludf.DUMMYFUNCTION("FILTER(IMPORTRANGE(""https://docs.google.com/spreadsheets/d/1BJSV3WBYJGRhQ6zExamkszQ5VutGIcaQqmbD9ZTVXMQ/edit#gid=1251630045"",""articles_with_PRISMA_reasons!C2:C2113""), $A1940=IMPORTRANGE(""https://docs.google.com/spreadsheets/d/1BJSV3WBYJGRhQ6zExamkszQ"&amp;"5VutGIcaQqmbD9ZTVXMQ/edit#gid=1251630045"",""articles_with_PRISMA_reasons!B2:B2113""))"),2015.0)</f>
        <v>2015</v>
      </c>
      <c r="D1940" s="5" t="str">
        <f>IFERROR(__xludf.DUMMYFUNCTION("IFS(AND(
FILTER(IMPORTRANGE(""https://docs.google.com/spreadsheets/d/1BJSV3WBYJGRhQ6zExamkszQ5VutGIcaQqmbD9ZTVXMQ/edit#gid=1251630045"",""articles_with_PRISMA_reasons!Y2:Y2113""), $A1940=IMPORTRANGE(""https://docs.google.com/spreadsheets/d/1BJSV3WBYJGRhQ6"&amp;"zExamkszQ5VutGIcaQqmbD9ZTVXMQ/edit#gid=1251630045"",""articles_with_PRISMA_reasons!B2:B2113""))&gt;=2,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$A1940=IMPORTRANGE(""https://docs.google.com/spreadsheets/d/1BJSV3WBYJGRhQ6zExamkszQ5VutGIcaQqmbD9ZTVXMQ/edit#gid=1251630045"",""articles_with_PRISMA_reasons!B2:B2113""))&lt;2),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$A1940=IMPORTRANGE(""https://docs.google.com/spreadsheets/d/1BJSV3WBYJGRhQ6zExamkszQ5VutGIcaQqmbD9ZTVXMQ/edit#gid=1251630045"",""a"&amp;"rticles_with_PRISMA_reasons!B2:B2113""))&lt;2,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$A1940=IMPORTRANGE(""https://docs.google"&amp;".com/spreadsheets/d/1BJSV3WBYJGRhQ6zExamkszQ5VutGIcaQqmbD9ZTVXMQ/edit#gid=1251630045"",""articles_with_PRISMA_reasons!B2:B2113""))&gt;=2),
""Exclude""
)"),"Include")</f>
        <v>Include</v>
      </c>
      <c r="E1940" s="5" t="str">
        <f>IFERROR(__xludf.DUMMYFUNCTION("IFS(
D1940=""Exclude"",""Exclude"",
AND(
FILTER(IMPORTRANGE(""https://docs.google.com/spreadsheets/d/1qpEmbGH0JjaJbUdp21-y2cPbobDbMjr09BbtdKROZWc/edit#gid=1444865654"",""articles_with_PRISMA_reasons!W2:W2113""), $A1940=IMPORTRANGE(""https://docs.google.co"&amp;"m/spreadsheets/d/1qpEmbGH0JjaJbUdp21-y2cPbobDbMjr09BbtdKROZWc/edit#gid=1444865654"",""articles_with_PRISMA_reasons!B2:B2113""))&gt;=2,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$A1940=IMPORTRANGE(""https://docs.google.com/spreadsheets/d/1qpEmbGH0JjaJbUdp21-y2cPbobDbMjr09BbtdKROZWc/edit#gid=1444865654"",""articles_with_PRISMA_reasons!B2:B2113""))&lt;2),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$A1940=IMPORTRANGE(""https://docs.google.com/spreadsheets/d/1qpEmbGH0JjaJbUdp21-y2cPbobDbMjr09Bbtd"&amp;"KROZWc/edit#gid=1444865654"",""articles_with_PRISMA_reasons!B2:B2113""))&lt;2,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$A1940=I"&amp;"MPORTRANGE(""https://docs.google.com/spreadsheets/d/1qpEmbGH0JjaJbUdp21-y2cPbobDbMjr09BbtdKROZWc/edit#gid=1444865654"",""articles_with_PRISMA_reasons!B2:B2113""))&gt;=2),
""Exclude""
)"),"Include")</f>
        <v>Include</v>
      </c>
      <c r="F1940" s="2" t="s">
        <v>8</v>
      </c>
      <c r="G1940" s="2" t="s">
        <v>16</v>
      </c>
    </row>
    <row r="1941">
      <c r="A1941" s="4" t="str">
        <f>IFERROR(__xludf.DUMMYFUNCTION("""COMPUTED_VALUE"""),"The role of endoscopic third ventriculostomy in the treatment of hydrocephalus Clinical article")</f>
        <v>The role of endoscopic third ventriculostomy in the treatment of hydrocephalus Clinical article</v>
      </c>
      <c r="B1941" s="5" t="str">
        <f>IFERROR(__xludf.DUMMYFUNCTION("LEFT(FILTER(IMPORTRANGE(""https://docs.google.com/spreadsheets/d/1BJSV3WBYJGRhQ6zExamkszQ5VutGIcaQqmbD9ZTVXMQ/edit#gid=1251630045"",""articles_with_PRISMA_reasons!K2:K2113""), $A1941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$A1941=IMPORTRANGE(""https://docs.google.com/spreadsheets/d/1BJSV3WBYJGRhQ6zExamkszQ5VutGIcaQqmbD9ZTVXMQ/edit#gid=1251630045"",""articles_with_PRISMA_reasons!B2:B2113"")))-1)"),"Vogel")</f>
        <v>Vogel</v>
      </c>
      <c r="C1941" s="6">
        <f>IFERROR(__xludf.DUMMYFUNCTION("FILTER(IMPORTRANGE(""https://docs.google.com/spreadsheets/d/1BJSV3WBYJGRhQ6zExamkszQ5VutGIcaQqmbD9ZTVXMQ/edit#gid=1251630045"",""articles_with_PRISMA_reasons!C2:C2113""), $A1941=IMPORTRANGE(""https://docs.google.com/spreadsheets/d/1BJSV3WBYJGRhQ6zExamkszQ"&amp;"5VutGIcaQqmbD9ZTVXMQ/edit#gid=1251630045"",""articles_with_PRISMA_reasons!B2:B2113""))"),2013.0)</f>
        <v>2013</v>
      </c>
      <c r="D1941" s="5" t="str">
        <f>IFERROR(__xludf.DUMMYFUNCTION("IFS(AND(
FILTER(IMPORTRANGE(""https://docs.google.com/spreadsheets/d/1BJSV3WBYJGRhQ6zExamkszQ5VutGIcaQqmbD9ZTVXMQ/edit#gid=1251630045"",""articles_with_PRISMA_reasons!Y2:Y2113""), $A1941=IMPORTRANGE(""https://docs.google.com/spreadsheets/d/1BJSV3WBYJGRhQ6"&amp;"zExamkszQ5VutGIcaQqmbD9ZTVXMQ/edit#gid=1251630045"",""articles_with_PRISMA_reasons!B2:B2113""))&gt;=2,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$A1941=IMPORTRANGE(""https://docs.google.com/spreadsheets/d/1BJSV3WBYJGRhQ6zExamkszQ5VutGIcaQqmbD9ZTVXMQ/edit#gid=1251630045"",""articles_with_PRISMA_reasons!B2:B2113""))&lt;2),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$A1941=IMPORTRANGE(""https://docs.google.com/spreadsheets/d/1BJSV3WBYJGRhQ6zExamkszQ5VutGIcaQqmbD9ZTVXMQ/edit#gid=1251630045"",""a"&amp;"rticles_with_PRISMA_reasons!B2:B2113""))&lt;2,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$A1941=IMPORTRANGE(""https://docs.google"&amp;".com/spreadsheets/d/1BJSV3WBYJGRhQ6zExamkszQ5VutGIcaQqmbD9ZTVXMQ/edit#gid=1251630045"",""articles_with_PRISMA_reasons!B2:B2113""))&gt;=2),
""Exclude""
)"),"Exclude")</f>
        <v>Exclude</v>
      </c>
      <c r="E1941" s="5" t="str">
        <f>IFERROR(__xludf.DUMMYFUNCTION("IFS(
D1941=""Exclude"",""Exclude"",
AND(
FILTER(IMPORTRANGE(""https://docs.google.com/spreadsheets/d/1qpEmbGH0JjaJbUdp21-y2cPbobDbMjr09BbtdKROZWc/edit#gid=1444865654"",""articles_with_PRISMA_reasons!W2:W2113""), $A1941=IMPORTRANGE(""https://docs.google.co"&amp;"m/spreadsheets/d/1qpEmbGH0JjaJbUdp21-y2cPbobDbMjr09BbtdKROZWc/edit#gid=1444865654"",""articles_with_PRISMA_reasons!B2:B2113""))&gt;=2,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$A1941=IMPORTRANGE(""https://docs.google.com/spreadsheets/d/1qpEmbGH0JjaJbUdp21-y2cPbobDbMjr09BbtdKROZWc/edit#gid=1444865654"",""articles_with_PRISMA_reasons!B2:B2113""))&lt;2),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$A1941=IMPORTRANGE(""https://docs.google.com/spreadsheets/d/1qpEmbGH0JjaJbUdp21-y2cPbobDbMjr09Bbtd"&amp;"KROZWc/edit#gid=1444865654"",""articles_with_PRISMA_reasons!B2:B2113""))&lt;2,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$A1941=I"&amp;"MPORTRANGE(""https://docs.google.com/spreadsheets/d/1qpEmbGH0JjaJbUdp21-y2cPbobDbMjr09BbtdKROZWc/edit#gid=1444865654"",""articles_with_PRISMA_reasons!B2:B2113""))&gt;=2),
""Exclude""
)"),"Exclude")</f>
        <v>Exclude</v>
      </c>
      <c r="F1941" s="5" t="str">
        <f>IFERROR(__xludf.DUMMYFUNCTION("IFS(
E1941=""Exclude"",""Exclude"",
AND(
COUNTIF(
IMPORTRANGE(""https://docs.google.com/spreadsheets/d/1kGrh75X1cNR1D7_FcY9zMnHP8iPO4M5RCRjy6nZY0TY/edit#gid=0"",""Table 1: Study characteristics!B4:B171""),A1941)&gt;0,
COUNTIF(Studies!$A$2:$A$85,FILTER(IMPORT"&amp;"RANGE(""https://docs.google.com/spreadsheets/d/1kGrh75X1cNR1D7_FcY9zMnHP8iPO4M5RCRjy6nZY0TY/edit#gid=0"",""Table 1: Study characteristics!A4:A171""), $A1941=IMPORTRANGE(""https://docs.google.com/spreadsheets/d/1kGrh75X1cNR1D7_FcY9zMnHP8iPO4M5RCRjy6nZY0TY/"&amp;"edit#gid=0"",""Table 1: Study characteristics!B4:B171"")))&gt;0
),
""Include""
)"),"Exclude")</f>
        <v>Exclude</v>
      </c>
      <c r="G1941" s="5" t="str">
        <f>IFERROR(__xludf.DUMMYFUNCTION("IFS(
D1941=""Exclude"",
FILTER(IMPORTRANGE(""https://docs.google.com/spreadsheets/d/1BJSV3WBYJGRhQ6zExamkszQ5VutGIcaQqmbD9ZTVXMQ/edit#gid=1251630045"",""articles_with_PRISMA_reasons!AB2:AB2113""), $A1941=IMPORTRANGE(""https://docs.google.com/spreadsheets/"&amp;"d/1BJSV3WBYJGRhQ6zExamkszQ5VutGIcaQqmbD9ZTVXMQ/edit#gid=1251630045"",""articles_with_PRISMA_reasons!B2:B2113"")),
E1941=""Exclude"",
FILTER(IMPORTRANGE(""https://docs.google.com/spreadsheets/d/1qpEmbGH0JjaJbUdp21-y2cPbobDbMjr09BbtdKROZWc/edit#gid=14448656"&amp;"54"",""articles_with_PRISMA_reasons!Z2:Z2113""), $A1941=IMPORTRANGE(""https://docs.google.com/spreadsheets/d/1qpEmbGH0JjaJbUdp21-y2cPbobDbMjr09BbtdKROZWc/edit#gid=1444865654"",""articles_with_PRISMA_reasons!B2:B2113"")),F1941
=""Include"",FILTER(IMPORTRAN"&amp;"GE(""https://docs.google.com/spreadsheets/d/1kGrh75X1cNR1D7_FcY9zMnHP8iPO4M5RCRjy6nZY0TY/edit#gid=0"",""Table 1: Study characteristics!A4:A171""), $A1941=IMPORTRANGE(""https://docs.google.com/spreadsheets/d/1kGrh75X1cNR1D7_FcY9zMnHP8iPO4M5RCRjy6nZY0TY/edi"&amp;"t#gid=0"",""Table 1: Study characteristics!B4:B171""))
)"),"wrong population")</f>
        <v>wrong population</v>
      </c>
    </row>
    <row r="1942">
      <c r="A1942" s="4" t="str">
        <f>IFERROR(__xludf.DUMMYFUNCTION("""COMPUTED_VALUE"""),"The significance of spasticity in the upper and lower limbs in myelomeningocele")</f>
        <v>The significance of spasticity in the upper and lower limbs in myelomeningocele</v>
      </c>
      <c r="B1942" s="5" t="str">
        <f>IFERROR(__xludf.DUMMYFUNCTION("LEFT(FILTER(IMPORTRANGE(""https://docs.google.com/spreadsheets/d/1BJSV3WBYJGRhQ6zExamkszQ5VutGIcaQqmbD9ZTVXMQ/edit#gid=1251630045"",""articles_with_PRISMA_reasons!K2:K2113""), $A1942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$A1942=IMPORTRANGE(""https://docs.google.com/spreadsheets/d/1BJSV3WBYJGRhQ6zExamkszQ5VutGIcaQqmbD9ZTVXMQ/edit#gid=1251630045"",""articles_with_PRISMA_reasons!B2:B2113"")))-1)"),"Mazur")</f>
        <v>Mazur</v>
      </c>
      <c r="C1942" s="6">
        <f>IFERROR(__xludf.DUMMYFUNCTION("FILTER(IMPORTRANGE(""https://docs.google.com/spreadsheets/d/1BJSV3WBYJGRhQ6zExamkszQ5VutGIcaQqmbD9ZTVXMQ/edit#gid=1251630045"",""articles_with_PRISMA_reasons!C2:C2113""), $A1942=IMPORTRANGE(""https://docs.google.com/spreadsheets/d/1BJSV3WBYJGRhQ6zExamkszQ"&amp;"5VutGIcaQqmbD9ZTVXMQ/edit#gid=1251630045"",""articles_with_PRISMA_reasons!B2:B2113""))"),1986.0)</f>
        <v>1986</v>
      </c>
      <c r="D1942" s="5" t="str">
        <f>IFERROR(__xludf.DUMMYFUNCTION("IFS(AND(
FILTER(IMPORTRANGE(""https://docs.google.com/spreadsheets/d/1BJSV3WBYJGRhQ6zExamkszQ5VutGIcaQqmbD9ZTVXMQ/edit#gid=1251630045"",""articles_with_PRISMA_reasons!Y2:Y2113""), $A1942=IMPORTRANGE(""https://docs.google.com/spreadsheets/d/1BJSV3WBYJGRhQ6"&amp;"zExamkszQ5VutGIcaQqmbD9ZTVXMQ/edit#gid=1251630045"",""articles_with_PRISMA_reasons!B2:B2113""))&gt;=2,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$A1942=IMPORTRANGE(""https://docs.google.com/spreadsheets/d/1BJSV3WBYJGRhQ6zExamkszQ5VutGIcaQqmbD9ZTVXMQ/edit#gid=1251630045"",""articles_with_PRISMA_reasons!B2:B2113""))&lt;2),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$A1942=IMPORTRANGE(""https://docs.google.com/spreadsheets/d/1BJSV3WBYJGRhQ6zExamkszQ5VutGIcaQqmbD9ZTVXMQ/edit#gid=1251630045"",""a"&amp;"rticles_with_PRISMA_reasons!B2:B2113""))&lt;2,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$A1942=IMPORTRANGE(""https://docs.google"&amp;".com/spreadsheets/d/1BJSV3WBYJGRhQ6zExamkszQ5VutGIcaQqmbD9ZTVXMQ/edit#gid=1251630045"",""articles_with_PRISMA_reasons!B2:B2113""))&gt;=2),
""Exclude""
)"),"Exclude")</f>
        <v>Exclude</v>
      </c>
      <c r="E1942" s="5" t="str">
        <f>IFERROR(__xludf.DUMMYFUNCTION("IFS(
D1942=""Exclude"",""Exclude"",
AND(
FILTER(IMPORTRANGE(""https://docs.google.com/spreadsheets/d/1qpEmbGH0JjaJbUdp21-y2cPbobDbMjr09BbtdKROZWc/edit#gid=1444865654"",""articles_with_PRISMA_reasons!W2:W2113""), $A1942=IMPORTRANGE(""https://docs.google.co"&amp;"m/spreadsheets/d/1qpEmbGH0JjaJbUdp21-y2cPbobDbMjr09BbtdKROZWc/edit#gid=1444865654"",""articles_with_PRISMA_reasons!B2:B2113""))&gt;=2,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$A1942=IMPORTRANGE(""https://docs.google.com/spreadsheets/d/1qpEmbGH0JjaJbUdp21-y2cPbobDbMjr09BbtdKROZWc/edit#gid=1444865654"",""articles_with_PRISMA_reasons!B2:B2113""))&lt;2),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$A1942=IMPORTRANGE(""https://docs.google.com/spreadsheets/d/1qpEmbGH0JjaJbUdp21-y2cPbobDbMjr09Bbtd"&amp;"KROZWc/edit#gid=1444865654"",""articles_with_PRISMA_reasons!B2:B2113""))&lt;2,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$A1942=I"&amp;"MPORTRANGE(""https://docs.google.com/spreadsheets/d/1qpEmbGH0JjaJbUdp21-y2cPbobDbMjr09BbtdKROZWc/edit#gid=1444865654"",""articles_with_PRISMA_reasons!B2:B2113""))&gt;=2),
""Exclude""
)"),"Exclude")</f>
        <v>Exclude</v>
      </c>
      <c r="F1942" s="5" t="str">
        <f>IFERROR(__xludf.DUMMYFUNCTION("IFS(
E1942=""Exclude"",""Exclude"",
AND(
COUNTIF(
IMPORTRANGE(""https://docs.google.com/spreadsheets/d/1kGrh75X1cNR1D7_FcY9zMnHP8iPO4M5RCRjy6nZY0TY/edit#gid=0"",""Table 1: Study characteristics!B4:B171""),A1942)&gt;0,
COUNTIF(Studies!$A$2:$A$85,FILTER(IMPORT"&amp;"RANGE(""https://docs.google.com/spreadsheets/d/1kGrh75X1cNR1D7_FcY9zMnHP8iPO4M5RCRjy6nZY0TY/edit#gid=0"",""Table 1: Study characteristics!A4:A171""), $A1942=IMPORTRANGE(""https://docs.google.com/spreadsheets/d/1kGrh75X1cNR1D7_FcY9zMnHP8iPO4M5RCRjy6nZY0TY/"&amp;"edit#gid=0"",""Table 1: Study characteristics!B4:B171"")))&gt;0
),
""Include""
)"),"Exclude")</f>
        <v>Exclude</v>
      </c>
      <c r="G1942" s="5" t="str">
        <f>IFERROR(__xludf.DUMMYFUNCTION("IFS(
D1942=""Exclude"",
FILTER(IMPORTRANGE(""https://docs.google.com/spreadsheets/d/1BJSV3WBYJGRhQ6zExamkszQ5VutGIcaQqmbD9ZTVXMQ/edit#gid=1251630045"",""articles_with_PRISMA_reasons!AB2:AB2113""), $A1942=IMPORTRANGE(""https://docs.google.com/spreadsheets/"&amp;"d/1BJSV3WBYJGRhQ6zExamkszQ5VutGIcaQqmbD9ZTVXMQ/edit#gid=1251630045"",""articles_with_PRISMA_reasons!B2:B2113"")),
E1942=""Exclude"",
FILTER(IMPORTRANGE(""https://docs.google.com/spreadsheets/d/1qpEmbGH0JjaJbUdp21-y2cPbobDbMjr09BbtdKROZWc/edit#gid=14448656"&amp;"54"",""articles_with_PRISMA_reasons!Z2:Z2113""), $A1942=IMPORTRANGE(""https://docs.google.com/spreadsheets/d/1qpEmbGH0JjaJbUdp21-y2cPbobDbMjr09BbtdKROZWc/edit#gid=1444865654"",""articles_with_PRISMA_reasons!B2:B2113"")),F1942
=""Include"",FILTER(IMPORTRAN"&amp;"GE(""https://docs.google.com/spreadsheets/d/1kGrh75X1cNR1D7_FcY9zMnHP8iPO4M5RCRjy6nZY0TY/edit#gid=0"",""Table 1: Study characteristics!A4:A171""), $A1942=IMPORTRANGE(""https://docs.google.com/spreadsheets/d/1kGrh75X1cNR1D7_FcY9zMnHP8iPO4M5RCRjy6nZY0TY/edi"&amp;"t#gid=0"",""Table 1: Study characteristics!B4:B171""))
)"),"wrong population")</f>
        <v>wrong population</v>
      </c>
    </row>
    <row r="1943">
      <c r="A1943" s="4" t="str">
        <f>IFERROR(__xludf.DUMMYFUNCTION("""COMPUTED_VALUE"""),"The significance of ventriculomegaly in the newborn with myelodysplasia")</f>
        <v>The significance of ventriculomegaly in the newborn with myelodysplasia</v>
      </c>
      <c r="B1943" s="5" t="str">
        <f>IFERROR(__xludf.DUMMYFUNCTION("LEFT(FILTER(IMPORTRANGE(""https://docs.google.com/spreadsheets/d/1BJSV3WBYJGRhQ6zExamkszQ5VutGIcaQqmbD9ZTVXMQ/edit#gid=1251630045"",""articles_with_PRISMA_reasons!K2:K2113""), $A1943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$A1943=IMPORTRANGE(""https://docs.google.com/spreadsheets/d/1BJSV3WBYJGRhQ6zExamkszQ5VutGIcaQqmbD9ZTVXMQ/edit#gid=1251630045"",""articles_with_PRISMA_reasons!B2:B2113"")))-1)"),"Bell")</f>
        <v>Bell</v>
      </c>
      <c r="C1943" s="6">
        <f>IFERROR(__xludf.DUMMYFUNCTION("FILTER(IMPORTRANGE(""https://docs.google.com/spreadsheets/d/1BJSV3WBYJGRhQ6zExamkszQ5VutGIcaQqmbD9ZTVXMQ/edit#gid=1251630045"",""articles_with_PRISMA_reasons!C2:C2113""), $A1943=IMPORTRANGE(""https://docs.google.com/spreadsheets/d/1BJSV3WBYJGRhQ6zExamkszQ"&amp;"5VutGIcaQqmbD9ZTVXMQ/edit#gid=1251630045"",""articles_with_PRISMA_reasons!B2:B2113""))"),1987.0)</f>
        <v>1987</v>
      </c>
      <c r="D1943" s="5" t="str">
        <f>IFERROR(__xludf.DUMMYFUNCTION("IFS(AND(
FILTER(IMPORTRANGE(""https://docs.google.com/spreadsheets/d/1BJSV3WBYJGRhQ6zExamkszQ5VutGIcaQqmbD9ZTVXMQ/edit#gid=1251630045"",""articles_with_PRISMA_reasons!Y2:Y2113""), $A1943=IMPORTRANGE(""https://docs.google.com/spreadsheets/d/1BJSV3WBYJGRhQ6"&amp;"zExamkszQ5VutGIcaQqmbD9ZTVXMQ/edit#gid=1251630045"",""articles_with_PRISMA_reasons!B2:B2113""))&gt;=2,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$A1943=IMPORTRANGE(""https://docs.google.com/spreadsheets/d/1BJSV3WBYJGRhQ6zExamkszQ5VutGIcaQqmbD9ZTVXMQ/edit#gid=1251630045"",""articles_with_PRISMA_reasons!B2:B2113""))&lt;2),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$A1943=IMPORTRANGE(""https://docs.google.com/spreadsheets/d/1BJSV3WBYJGRhQ6zExamkszQ5VutGIcaQqmbD9ZTVXMQ/edit#gid=1251630045"",""a"&amp;"rticles_with_PRISMA_reasons!B2:B2113""))&lt;2,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$A1943=IMPORTRANGE(""https://docs.google"&amp;".com/spreadsheets/d/1BJSV3WBYJGRhQ6zExamkszQ5VutGIcaQqmbD9ZTVXMQ/edit#gid=1251630045"",""articles_with_PRISMA_reasons!B2:B2113""))&gt;=2),
""Exclude""
)"),"Include")</f>
        <v>Include</v>
      </c>
      <c r="E1943" s="5" t="str">
        <f>IFERROR(__xludf.DUMMYFUNCTION("IFS(
D1943=""Exclude"",""Exclude"",
AND(
FILTER(IMPORTRANGE(""https://docs.google.com/spreadsheets/d/1qpEmbGH0JjaJbUdp21-y2cPbobDbMjr09BbtdKROZWc/edit#gid=1444865654"",""articles_with_PRISMA_reasons!W2:W2113""), $A1943=IMPORTRANGE(""https://docs.google.co"&amp;"m/spreadsheets/d/1qpEmbGH0JjaJbUdp21-y2cPbobDbMjr09BbtdKROZWc/edit#gid=1444865654"",""articles_with_PRISMA_reasons!B2:B2113""))&gt;=2,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$A1943=IMPORTRANGE(""https://docs.google.com/spreadsheets/d/1qpEmbGH0JjaJbUdp21-y2cPbobDbMjr09BbtdKROZWc/edit#gid=1444865654"",""articles_with_PRISMA_reasons!B2:B2113""))&lt;2),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$A1943=IMPORTRANGE(""https://docs.google.com/spreadsheets/d/1qpEmbGH0JjaJbUdp21-y2cPbobDbMjr09Bbtd"&amp;"KROZWc/edit#gid=1444865654"",""articles_with_PRISMA_reasons!B2:B2113""))&lt;2,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$A1943=I"&amp;"MPORTRANGE(""https://docs.google.com/spreadsheets/d/1qpEmbGH0JjaJbUdp21-y2cPbobDbMjr09BbtdKROZWc/edit#gid=1444865654"",""articles_with_PRISMA_reasons!B2:B2113""))&gt;=2),
""Exclude""
)"),"Include")</f>
        <v>Include</v>
      </c>
      <c r="F1943" s="5" t="str">
        <f>IFERROR(__xludf.DUMMYFUNCTION("IFS(
E1943=""Exclude"",""Exclude"",
AND(
COUNTIF(
IMPORTRANGE(""https://docs.google.com/spreadsheets/d/1kGrh75X1cNR1D7_FcY9zMnHP8iPO4M5RCRjy6nZY0TY/edit#gid=0"",""Table 1: Study characteristics!B4:B171""),A1943)&gt;0,
COUNTIF(Studies!$A$2:$A$85,FILTER(IMPORT"&amp;"RANGE(""https://docs.google.com/spreadsheets/d/1kGrh75X1cNR1D7_FcY9zMnHP8iPO4M5RCRjy6nZY0TY/edit#gid=0"",""Table 1: Study characteristics!A4:A171""), $A1943=IMPORTRANGE(""https://docs.google.com/spreadsheets/d/1kGrh75X1cNR1D7_FcY9zMnHP8iPO4M5RCRjy6nZY0TY/"&amp;"edit#gid=0"",""Table 1: Study characteristics!B4:B171"")))&gt;0
),
""Include""
)"),"Include")</f>
        <v>Include</v>
      </c>
      <c r="G1943" s="5" t="str">
        <f>IFERROR(__xludf.DUMMYFUNCTION("IFS(
D1943=""Exclude"",
FILTER(IMPORTRANGE(""https://docs.google.com/spreadsheets/d/1BJSV3WBYJGRhQ6zExamkszQ5VutGIcaQqmbD9ZTVXMQ/edit#gid=1251630045"",""articles_with_PRISMA_reasons!AB2:AB2113""), $A1943=IMPORTRANGE(""https://docs.google.com/spreadsheets/"&amp;"d/1BJSV3WBYJGRhQ6zExamkszQ5VutGIcaQqmbD9ZTVXMQ/edit#gid=1251630045"",""articles_with_PRISMA_reasons!B2:B2113"")),
E1943=""Exclude"",
FILTER(IMPORTRANGE(""https://docs.google.com/spreadsheets/d/1qpEmbGH0JjaJbUdp21-y2cPbobDbMjr09BbtdKROZWc/edit#gid=14448656"&amp;"54"",""articles_with_PRISMA_reasons!Z2:Z2113""), $A1943=IMPORTRANGE(""https://docs.google.com/spreadsheets/d/1qpEmbGH0JjaJbUdp21-y2cPbobDbMjr09BbtdKROZWc/edit#gid=1444865654"",""articles_with_PRISMA_reasons!B2:B2113"")),F1943
=""Include"",FILTER(IMPORTRAN"&amp;"GE(""https://docs.google.com/spreadsheets/d/1kGrh75X1cNR1D7_FcY9zMnHP8iPO4M5RCRjy6nZY0TY/edit#gid=0"",""Table 1: Study characteristics!A4:A171""), $A1943=IMPORTRANGE(""https://docs.google.com/spreadsheets/d/1kGrh75X1cNR1D7_FcY9zMnHP8iPO4M5RCRjy6nZY0TY/edi"&amp;"t#gid=0"",""Table 1: Study characteristics!B4:B171""))
)"),"ID 157")</f>
        <v>ID 157</v>
      </c>
    </row>
    <row r="1944">
      <c r="A1944" s="4" t="str">
        <f>IFERROR(__xludf.DUMMYFUNCTION("""COMPUTED_VALUE"""),"The spina bifida problem. A longer term review with special reference to the quality of survival")</f>
        <v>The spina bifida problem. A longer term review with special reference to the quality of survival</v>
      </c>
      <c r="B1944" s="5" t="str">
        <f>IFERROR(__xludf.DUMMYFUNCTION("LEFT(FILTER(IMPORTRANGE(""https://docs.google.com/spreadsheets/d/1BJSV3WBYJGRhQ6zExamkszQ5VutGIcaQqmbD9ZTVXMQ/edit#gid=1251630045"",""articles_with_PRISMA_reasons!K2:K2113""), $A1944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$A1944=IMPORTRANGE(""https://docs.google.com/spreadsheets/d/1BJSV3WBYJGRhQ6zExamkszQ5VutGIcaQqmbD9ZTVXMQ/edit#gid=1251630045"",""articles_with_PRISMA_reasons!B2:B2113"")))-1)"),"Fitzgerald")</f>
        <v>Fitzgerald</v>
      </c>
      <c r="C1944" s="6">
        <f>IFERROR(__xludf.DUMMYFUNCTION("FILTER(IMPORTRANGE(""https://docs.google.com/spreadsheets/d/1BJSV3WBYJGRhQ6zExamkszQ5VutGIcaQqmbD9ZTVXMQ/edit#gid=1251630045"",""articles_with_PRISMA_reasons!C2:C2113""), $A1944=IMPORTRANGE(""https://docs.google.com/spreadsheets/d/1BJSV3WBYJGRhQ6zExamkszQ"&amp;"5VutGIcaQqmbD9ZTVXMQ/edit#gid=1251630045"",""articles_with_PRISMA_reasons!B2:B2113""))"),1974.0)</f>
        <v>1974</v>
      </c>
      <c r="D1944" s="5" t="str">
        <f>IFERROR(__xludf.DUMMYFUNCTION("IFS(AND(
FILTER(IMPORTRANGE(""https://docs.google.com/spreadsheets/d/1BJSV3WBYJGRhQ6zExamkszQ5VutGIcaQqmbD9ZTVXMQ/edit#gid=1251630045"",""articles_with_PRISMA_reasons!Y2:Y2113""), $A1944=IMPORTRANGE(""https://docs.google.com/spreadsheets/d/1BJSV3WBYJGRhQ6"&amp;"zExamkszQ5VutGIcaQqmbD9ZTVXMQ/edit#gid=1251630045"",""articles_with_PRISMA_reasons!B2:B2113""))&gt;=2,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$A1944=IMPORTRANGE(""https://docs.google.com/spreadsheets/d/1BJSV3WBYJGRhQ6zExamkszQ5VutGIcaQqmbD9ZTVXMQ/edit#gid=1251630045"",""articles_with_PRISMA_reasons!B2:B2113""))&lt;2),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$A1944=IMPORTRANGE(""https://docs.google.com/spreadsheets/d/1BJSV3WBYJGRhQ6zExamkszQ5VutGIcaQqmbD9ZTVXMQ/edit#gid=1251630045"",""a"&amp;"rticles_with_PRISMA_reasons!B2:B2113""))&lt;2,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$A1944=IMPORTRANGE(""https://docs.google"&amp;".com/spreadsheets/d/1BJSV3WBYJGRhQ6zExamkszQ5VutGIcaQqmbD9ZTVXMQ/edit#gid=1251630045"",""articles_with_PRISMA_reasons!B2:B2113""))&gt;=2),
""Exclude""
)"),"Exclude")</f>
        <v>Exclude</v>
      </c>
      <c r="E1944" s="5" t="str">
        <f>IFERROR(__xludf.DUMMYFUNCTION("IFS(
D1944=""Exclude"",""Exclude"",
AND(
FILTER(IMPORTRANGE(""https://docs.google.com/spreadsheets/d/1qpEmbGH0JjaJbUdp21-y2cPbobDbMjr09BbtdKROZWc/edit#gid=1444865654"",""articles_with_PRISMA_reasons!W2:W2113""), $A1944=IMPORTRANGE(""https://docs.google.co"&amp;"m/spreadsheets/d/1qpEmbGH0JjaJbUdp21-y2cPbobDbMjr09BbtdKROZWc/edit#gid=1444865654"",""articles_with_PRISMA_reasons!B2:B2113""))&gt;=2,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$A1944=IMPORTRANGE(""https://docs.google.com/spreadsheets/d/1qpEmbGH0JjaJbUdp21-y2cPbobDbMjr09BbtdKROZWc/edit#gid=1444865654"",""articles_with_PRISMA_reasons!B2:B2113""))&lt;2),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$A1944=IMPORTRANGE(""https://docs.google.com/spreadsheets/d/1qpEmbGH0JjaJbUdp21-y2cPbobDbMjr09Bbtd"&amp;"KROZWc/edit#gid=1444865654"",""articles_with_PRISMA_reasons!B2:B2113""))&lt;2,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$A1944=I"&amp;"MPORTRANGE(""https://docs.google.com/spreadsheets/d/1qpEmbGH0JjaJbUdp21-y2cPbobDbMjr09BbtdKROZWc/edit#gid=1444865654"",""articles_with_PRISMA_reasons!B2:B2113""))&gt;=2),
""Exclude""
)"),"Exclude")</f>
        <v>Exclude</v>
      </c>
      <c r="F1944" s="5" t="str">
        <f>IFERROR(__xludf.DUMMYFUNCTION("IFS(
E1944=""Exclude"",""Exclude"",
AND(
COUNTIF(
IMPORTRANGE(""https://docs.google.com/spreadsheets/d/1kGrh75X1cNR1D7_FcY9zMnHP8iPO4M5RCRjy6nZY0TY/edit#gid=0"",""Table 1: Study characteristics!B4:B171""),A1944)&gt;0,
COUNTIF(Studies!$A$2:$A$85,FILTER(IMPORT"&amp;"RANGE(""https://docs.google.com/spreadsheets/d/1kGrh75X1cNR1D7_FcY9zMnHP8iPO4M5RCRjy6nZY0TY/edit#gid=0"",""Table 1: Study characteristics!A4:A171""), $A1944=IMPORTRANGE(""https://docs.google.com/spreadsheets/d/1kGrh75X1cNR1D7_FcY9zMnHP8iPO4M5RCRjy6nZY0TY/"&amp;"edit#gid=0"",""Table 1: Study characteristics!B4:B171"")))&gt;0
),
""Include""
)"),"Exclude")</f>
        <v>Exclude</v>
      </c>
      <c r="G1944" s="5" t="str">
        <f>IFERROR(__xludf.DUMMYFUNCTION("IFS(
D1944=""Exclude"",
FILTER(IMPORTRANGE(""https://docs.google.com/spreadsheets/d/1BJSV3WBYJGRhQ6zExamkszQ5VutGIcaQqmbD9ZTVXMQ/edit#gid=1251630045"",""articles_with_PRISMA_reasons!AB2:AB2113""), $A1944=IMPORTRANGE(""https://docs.google.com/spreadsheets/"&amp;"d/1BJSV3WBYJGRhQ6zExamkszQ5VutGIcaQqmbD9ZTVXMQ/edit#gid=1251630045"",""articles_with_PRISMA_reasons!B2:B2113"")),
E1944=""Exclude"",
FILTER(IMPORTRANGE(""https://docs.google.com/spreadsheets/d/1qpEmbGH0JjaJbUdp21-y2cPbobDbMjr09BbtdKROZWc/edit#gid=14448656"&amp;"54"",""articles_with_PRISMA_reasons!Z2:Z2113""), $A1944=IMPORTRANGE(""https://docs.google.com/spreadsheets/d/1qpEmbGH0JjaJbUdp21-y2cPbobDbMjr09BbtdKROZWc/edit#gid=1444865654"",""articles_with_PRISMA_reasons!B2:B2113"")),F1944
=""Include"",FILTER(IMPORTRAN"&amp;"GE(""https://docs.google.com/spreadsheets/d/1kGrh75X1cNR1D7_FcY9zMnHP8iPO4M5RCRjy6nZY0TY/edit#gid=0"",""Table 1: Study characteristics!A4:A171""), $A1944=IMPORTRANGE(""https://docs.google.com/spreadsheets/d/1kGrh75X1cNR1D7_FcY9zMnHP8iPO4M5RCRjy6nZY0TY/edi"&amp;"t#gid=0"",""Table 1: Study characteristics!B4:B171""))
)"),"background article")</f>
        <v>background article</v>
      </c>
    </row>
    <row r="1945">
      <c r="A1945" s="4" t="str">
        <f>IFERROR(__xludf.DUMMYFUNCTION("""COMPUTED_VALUE"""),"The spontaneous umbilical perforation of the distal end of ventriculoperitoneal shunt")</f>
        <v>The spontaneous umbilical perforation of the distal end of ventriculoperitoneal shunt</v>
      </c>
      <c r="B1945" s="5" t="str">
        <f>IFERROR(__xludf.DUMMYFUNCTION("LEFT(FILTER(IMPORTRANGE(""https://docs.google.com/spreadsheets/d/1BJSV3WBYJGRhQ6zExamkszQ5VutGIcaQqmbD9ZTVXMQ/edit#gid=1251630045"",""articles_with_PRISMA_reasons!K2:K2113""), $A1945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$A1945=IMPORTRANGE(""https://docs.google.com/spreadsheets/d/1BJSV3WBYJGRhQ6zExamkszQ5VutGIcaQqmbD9ZTVXMQ/edit#gid=1251630045"",""articles_with_PRISMA_reasons!B2:B2113"")))-1)"),"Silav")</f>
        <v>Silav</v>
      </c>
      <c r="C1945" s="6">
        <f>IFERROR(__xludf.DUMMYFUNCTION("FILTER(IMPORTRANGE(""https://docs.google.com/spreadsheets/d/1BJSV3WBYJGRhQ6zExamkszQ5VutGIcaQqmbD9ZTVXMQ/edit#gid=1251630045"",""articles_with_PRISMA_reasons!C2:C2113""), $A1945=IMPORTRANGE(""https://docs.google.com/spreadsheets/d/1BJSV3WBYJGRhQ6zExamkszQ"&amp;"5VutGIcaQqmbD9ZTVXMQ/edit#gid=1251630045"",""articles_with_PRISMA_reasons!B2:B2113""))"),2002.0)</f>
        <v>2002</v>
      </c>
      <c r="D1945" s="5" t="str">
        <f>IFERROR(__xludf.DUMMYFUNCTION("IFS(AND(
FILTER(IMPORTRANGE(""https://docs.google.com/spreadsheets/d/1BJSV3WBYJGRhQ6zExamkszQ5VutGIcaQqmbD9ZTVXMQ/edit#gid=1251630045"",""articles_with_PRISMA_reasons!Y2:Y2113""), $A1945=IMPORTRANGE(""https://docs.google.com/spreadsheets/d/1BJSV3WBYJGRhQ6"&amp;"zExamkszQ5VutGIcaQqmbD9ZTVXMQ/edit#gid=1251630045"",""articles_with_PRISMA_reasons!B2:B2113""))&gt;=2,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$A1945=IMPORTRANGE(""https://docs.google.com/spreadsheets/d/1BJSV3WBYJGRhQ6zExamkszQ5VutGIcaQqmbD9ZTVXMQ/edit#gid=1251630045"",""articles_with_PRISMA_reasons!B2:B2113""))&lt;2),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$A1945=IMPORTRANGE(""https://docs.google.com/spreadsheets/d/1BJSV3WBYJGRhQ6zExamkszQ5VutGIcaQqmbD9ZTVXMQ/edit#gid=1251630045"",""a"&amp;"rticles_with_PRISMA_reasons!B2:B2113""))&lt;2,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$A1945=IMPORTRANGE(""https://docs.google"&amp;".com/spreadsheets/d/1BJSV3WBYJGRhQ6zExamkszQ5VutGIcaQqmbD9ZTVXMQ/edit#gid=1251630045"",""articles_with_PRISMA_reasons!B2:B2113""))&gt;=2),
""Exclude""
)"),"Exclude")</f>
        <v>Exclude</v>
      </c>
      <c r="E1945" s="5" t="str">
        <f>IFERROR(__xludf.DUMMYFUNCTION("IFS(
D1945=""Exclude"",""Exclude"",
AND(
FILTER(IMPORTRANGE(""https://docs.google.com/spreadsheets/d/1qpEmbGH0JjaJbUdp21-y2cPbobDbMjr09BbtdKROZWc/edit#gid=1444865654"",""articles_with_PRISMA_reasons!W2:W2113""), $A1945=IMPORTRANGE(""https://docs.google.co"&amp;"m/spreadsheets/d/1qpEmbGH0JjaJbUdp21-y2cPbobDbMjr09BbtdKROZWc/edit#gid=1444865654"",""articles_with_PRISMA_reasons!B2:B2113""))&gt;=2,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$A1945=IMPORTRANGE(""https://docs.google.com/spreadsheets/d/1qpEmbGH0JjaJbUdp21-y2cPbobDbMjr09BbtdKROZWc/edit#gid=1444865654"",""articles_with_PRISMA_reasons!B2:B2113""))&lt;2),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$A1945=IMPORTRANGE(""https://docs.google.com/spreadsheets/d/1qpEmbGH0JjaJbUdp21-y2cPbobDbMjr09Bbtd"&amp;"KROZWc/edit#gid=1444865654"",""articles_with_PRISMA_reasons!B2:B2113""))&lt;2,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$A1945=I"&amp;"MPORTRANGE(""https://docs.google.com/spreadsheets/d/1qpEmbGH0JjaJbUdp21-y2cPbobDbMjr09BbtdKROZWc/edit#gid=1444865654"",""articles_with_PRISMA_reasons!B2:B2113""))&gt;=2),
""Exclude""
)"),"Exclude")</f>
        <v>Exclude</v>
      </c>
      <c r="F1945" s="5" t="str">
        <f>IFERROR(__xludf.DUMMYFUNCTION("IFS(
E1945=""Exclude"",""Exclude"",
AND(
COUNTIF(
IMPORTRANGE(""https://docs.google.com/spreadsheets/d/1kGrh75X1cNR1D7_FcY9zMnHP8iPO4M5RCRjy6nZY0TY/edit#gid=0"",""Table 1: Study characteristics!B4:B171""),A1945)&gt;0,
COUNTIF(Studies!$A$2:$A$85,FILTER(IMPORT"&amp;"RANGE(""https://docs.google.com/spreadsheets/d/1kGrh75X1cNR1D7_FcY9zMnHP8iPO4M5RCRjy6nZY0TY/edit#gid=0"",""Table 1: Study characteristics!A4:A171""), $A1945=IMPORTRANGE(""https://docs.google.com/spreadsheets/d/1kGrh75X1cNR1D7_FcY9zMnHP8iPO4M5RCRjy6nZY0TY/"&amp;"edit#gid=0"",""Table 1: Study characteristics!B4:B171"")))&gt;0
),
""Include""
)"),"Exclude")</f>
        <v>Exclude</v>
      </c>
      <c r="G1945" s="5" t="str">
        <f>IFERROR(__xludf.DUMMYFUNCTION("IFS(
D1945=""Exclude"",
FILTER(IMPORTRANGE(""https://docs.google.com/spreadsheets/d/1BJSV3WBYJGRhQ6zExamkszQ5VutGIcaQqmbD9ZTVXMQ/edit#gid=1251630045"",""articles_with_PRISMA_reasons!AB2:AB2113""), $A1945=IMPORTRANGE(""https://docs.google.com/spreadsheets/"&amp;"d/1BJSV3WBYJGRhQ6zExamkszQ5VutGIcaQqmbD9ZTVXMQ/edit#gid=1251630045"",""articles_with_PRISMA_reasons!B2:B2113"")),
E1945=""Exclude"",
FILTER(IMPORTRANGE(""https://docs.google.com/spreadsheets/d/1qpEmbGH0JjaJbUdp21-y2cPbobDbMjr09BbtdKROZWc/edit#gid=14448656"&amp;"54"",""articles_with_PRISMA_reasons!Z2:Z2113""), $A1945=IMPORTRANGE(""https://docs.google.com/spreadsheets/d/1qpEmbGH0JjaJbUdp21-y2cPbobDbMjr09BbtdKROZWc/edit#gid=1444865654"",""articles_with_PRISMA_reasons!B2:B2113"")),F1945
=""Include"",FILTER(IMPORTRAN"&amp;"GE(""https://docs.google.com/spreadsheets/d/1kGrh75X1cNR1D7_FcY9zMnHP8iPO4M5RCRjy6nZY0TY/edit#gid=0"",""Table 1: Study characteristics!A4:A171""), $A1945=IMPORTRANGE(""https://docs.google.com/spreadsheets/d/1kGrh75X1cNR1D7_FcY9zMnHP8iPO4M5RCRjy6nZY0TY/edi"&amp;"t#gid=0"",""Table 1: Study characteristics!B4:B171""))
)"),"wrong study design")</f>
        <v>wrong study design</v>
      </c>
    </row>
    <row r="1946">
      <c r="A1946" s="4" t="str">
        <f>IFERROR(__xludf.DUMMYFUNCTION("""COMPUTED_VALUE"""),"The surgical management of meningoceles and meningomyeloceles")</f>
        <v>The surgical management of meningoceles and meningomyeloceles</v>
      </c>
      <c r="B1946" s="5" t="str">
        <f>IFERROR(__xludf.DUMMYFUNCTION("LEFT(FILTER(IMPORTRANGE(""https://docs.google.com/spreadsheets/d/1BJSV3WBYJGRhQ6zExamkszQ5VutGIcaQqmbD9ZTVXMQ/edit#gid=1251630045"",""articles_with_PRISMA_reasons!K2:K2113""), $A1946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$A1946=IMPORTRANGE(""https://docs.google.com/spreadsheets/d/1BJSV3WBYJGRhQ6zExamkszQ5VutGIcaQqmbD9ZTVXMQ/edit#gid=1251630045"",""articles_with_PRISMA_reasons!B2:B2113"")))-1)"),"Wilson")</f>
        <v>Wilson</v>
      </c>
      <c r="C1946" s="6">
        <f>IFERROR(__xludf.DUMMYFUNCTION("FILTER(IMPORTRANGE(""https://docs.google.com/spreadsheets/d/1BJSV3WBYJGRhQ6zExamkszQ5VutGIcaQqmbD9ZTVXMQ/edit#gid=1251630045"",""articles_with_PRISMA_reasons!C2:C2113""), $A1946=IMPORTRANGE(""https://docs.google.com/spreadsheets/d/1BJSV3WBYJGRhQ6zExamkszQ"&amp;"5VutGIcaQqmbD9ZTVXMQ/edit#gid=1251630045"",""articles_with_PRISMA_reasons!B2:B2113""))"),1962.0)</f>
        <v>1962</v>
      </c>
      <c r="D1946" s="5" t="str">
        <f>IFERROR(__xludf.DUMMYFUNCTION("IFS(AND(
FILTER(IMPORTRANGE(""https://docs.google.com/spreadsheets/d/1BJSV3WBYJGRhQ6zExamkszQ5VutGIcaQqmbD9ZTVXMQ/edit#gid=1251630045"",""articles_with_PRISMA_reasons!Y2:Y2113""), $A1946=IMPORTRANGE(""https://docs.google.com/spreadsheets/d/1BJSV3WBYJGRhQ6"&amp;"zExamkszQ5VutGIcaQqmbD9ZTVXMQ/edit#gid=1251630045"",""articles_with_PRISMA_reasons!B2:B2113""))&gt;=2,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$A1946=IMPORTRANGE(""https://docs.google.com/spreadsheets/d/1BJSV3WBYJGRhQ6zExamkszQ5VutGIcaQqmbD9ZTVXMQ/edit#gid=1251630045"",""articles_with_PRISMA_reasons!B2:B2113""))&lt;2),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$A1946=IMPORTRANGE(""https://docs.google.com/spreadsheets/d/1BJSV3WBYJGRhQ6zExamkszQ5VutGIcaQqmbD9ZTVXMQ/edit#gid=1251630045"",""a"&amp;"rticles_with_PRISMA_reasons!B2:B2113""))&lt;2,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$A1946=IMPORTRANGE(""https://docs.google"&amp;".com/spreadsheets/d/1BJSV3WBYJGRhQ6zExamkszQ5VutGIcaQqmbD9ZTVXMQ/edit#gid=1251630045"",""articles_with_PRISMA_reasons!B2:B2113""))&gt;=2),
""Exclude""
)"),"Include")</f>
        <v>Include</v>
      </c>
      <c r="E1946" s="5" t="str">
        <f>IFERROR(__xludf.DUMMYFUNCTION("IFS(
D1946=""Exclude"",""Exclude"",
AND(
FILTER(IMPORTRANGE(""https://docs.google.com/spreadsheets/d/1qpEmbGH0JjaJbUdp21-y2cPbobDbMjr09BbtdKROZWc/edit#gid=1444865654"",""articles_with_PRISMA_reasons!W2:W2113""), $A1946=IMPORTRANGE(""https://docs.google.co"&amp;"m/spreadsheets/d/1qpEmbGH0JjaJbUdp21-y2cPbobDbMjr09BbtdKROZWc/edit#gid=1444865654"",""articles_with_PRISMA_reasons!B2:B2113""))&gt;=2,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$A1946=IMPORTRANGE(""https://docs.google.com/spreadsheets/d/1qpEmbGH0JjaJbUdp21-y2cPbobDbMjr09BbtdKROZWc/edit#gid=1444865654"",""articles_with_PRISMA_reasons!B2:B2113""))&lt;2),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$A1946=IMPORTRANGE(""https://docs.google.com/spreadsheets/d/1qpEmbGH0JjaJbUdp21-y2cPbobDbMjr09Bbtd"&amp;"KROZWc/edit#gid=1444865654"",""articles_with_PRISMA_reasons!B2:B2113""))&lt;2,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$A1946=I"&amp;"MPORTRANGE(""https://docs.google.com/spreadsheets/d/1qpEmbGH0JjaJbUdp21-y2cPbobDbMjr09BbtdKROZWc/edit#gid=1444865654"",""articles_with_PRISMA_reasons!B2:B2113""))&gt;=2),
""Exclude""
)"),"Include")</f>
        <v>Include</v>
      </c>
      <c r="F1946" s="2" t="s">
        <v>8</v>
      </c>
      <c r="G1946" s="2" t="s">
        <v>17</v>
      </c>
    </row>
    <row r="1947">
      <c r="A1947" s="4" t="str">
        <f>IFERROR(__xludf.DUMMYFUNCTION("""COMPUTED_VALUE"""),"The surgical management of myelomeningocele with a preliminary report of 31 cases")</f>
        <v>The surgical management of myelomeningocele with a preliminary report of 31 cases</v>
      </c>
      <c r="B1947" s="5" t="str">
        <f>IFERROR(__xludf.DUMMYFUNCTION("LEFT(FILTER(IMPORTRANGE(""https://docs.google.com/spreadsheets/d/1BJSV3WBYJGRhQ6zExamkszQ5VutGIcaQqmbD9ZTVXMQ/edit#gid=1251630045"",""articles_with_PRISMA_reasons!K2:K2113""), $A1947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$A1947=IMPORTRANGE(""https://docs.google.com/spreadsheets/d/1BJSV3WBYJGRhQ6zExamkszQ5VutGIcaQqmbD9ZTVXMQ/edit#gid=1251630045"",""articles_with_PRISMA_reasons!B2:B2113"")))-1)"),"Andersson")</f>
        <v>Andersson</v>
      </c>
      <c r="C1947" s="6">
        <f>IFERROR(__xludf.DUMMYFUNCTION("FILTER(IMPORTRANGE(""https://docs.google.com/spreadsheets/d/1BJSV3WBYJGRhQ6zExamkszQ5VutGIcaQqmbD9ZTVXMQ/edit#gid=1251630045"",""articles_with_PRISMA_reasons!C2:C2113""), $A1947=IMPORTRANGE(""https://docs.google.com/spreadsheets/d/1BJSV3WBYJGRhQ6zExamkszQ"&amp;"5VutGIcaQqmbD9ZTVXMQ/edit#gid=1251630045"",""articles_with_PRISMA_reasons!B2:B2113""))"),1966.0)</f>
        <v>1966</v>
      </c>
      <c r="D1947" s="5" t="str">
        <f>IFERROR(__xludf.DUMMYFUNCTION("IFS(AND(
FILTER(IMPORTRANGE(""https://docs.google.com/spreadsheets/d/1BJSV3WBYJGRhQ6zExamkszQ5VutGIcaQqmbD9ZTVXMQ/edit#gid=1251630045"",""articles_with_PRISMA_reasons!Y2:Y2113""), $A1947=IMPORTRANGE(""https://docs.google.com/spreadsheets/d/1BJSV3WBYJGRhQ6"&amp;"zExamkszQ5VutGIcaQqmbD9ZTVXMQ/edit#gid=1251630045"",""articles_with_PRISMA_reasons!B2:B2113""))&gt;=2,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$A1947=IMPORTRANGE(""https://docs.google.com/spreadsheets/d/1BJSV3WBYJGRhQ6zExamkszQ5VutGIcaQqmbD9ZTVXMQ/edit#gid=1251630045"",""articles_with_PRISMA_reasons!B2:B2113""))&lt;2),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$A1947=IMPORTRANGE(""https://docs.google.com/spreadsheets/d/1BJSV3WBYJGRhQ6zExamkszQ5VutGIcaQqmbD9ZTVXMQ/edit#gid=1251630045"",""a"&amp;"rticles_with_PRISMA_reasons!B2:B2113""))&lt;2,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$A1947=IMPORTRANGE(""https://docs.google"&amp;".com/spreadsheets/d/1BJSV3WBYJGRhQ6zExamkszQ5VutGIcaQqmbD9ZTVXMQ/edit#gid=1251630045"",""articles_with_PRISMA_reasons!B2:B2113""))&gt;=2),
""Exclude""
)"),"Include")</f>
        <v>Include</v>
      </c>
      <c r="E1947" s="5" t="str">
        <f>IFERROR(__xludf.DUMMYFUNCTION("IFS(
D1947=""Exclude"",""Exclude"",
AND(
FILTER(IMPORTRANGE(""https://docs.google.com/spreadsheets/d/1qpEmbGH0JjaJbUdp21-y2cPbobDbMjr09BbtdKROZWc/edit#gid=1444865654"",""articles_with_PRISMA_reasons!W2:W2113""), $A1947=IMPORTRANGE(""https://docs.google.co"&amp;"m/spreadsheets/d/1qpEmbGH0JjaJbUdp21-y2cPbobDbMjr09BbtdKROZWc/edit#gid=1444865654"",""articles_with_PRISMA_reasons!B2:B2113""))&gt;=2,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$A1947=IMPORTRANGE(""https://docs.google.com/spreadsheets/d/1qpEmbGH0JjaJbUdp21-y2cPbobDbMjr09BbtdKROZWc/edit#gid=1444865654"",""articles_with_PRISMA_reasons!B2:B2113""))&lt;2),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$A1947=IMPORTRANGE(""https://docs.google.com/spreadsheets/d/1qpEmbGH0JjaJbUdp21-y2cPbobDbMjr09Bbtd"&amp;"KROZWc/edit#gid=1444865654"",""articles_with_PRISMA_reasons!B2:B2113""))&lt;2,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$A1947=I"&amp;"MPORTRANGE(""https://docs.google.com/spreadsheets/d/1qpEmbGH0JjaJbUdp21-y2cPbobDbMjr09BbtdKROZWc/edit#gid=1444865654"",""articles_with_PRISMA_reasons!B2:B2113""))&gt;=2),
""Exclude""
)"),"Exclude")</f>
        <v>Exclude</v>
      </c>
      <c r="F1947" s="5" t="str">
        <f>IFERROR(__xludf.DUMMYFUNCTION("IFS(
E1947=""Exclude"",""Exclude"",
AND(
COUNTIF(
IMPORTRANGE(""https://docs.google.com/spreadsheets/d/1kGrh75X1cNR1D7_FcY9zMnHP8iPO4M5RCRjy6nZY0TY/edit#gid=0"",""Table 1: Study characteristics!B4:B171""),A1947)&gt;0,
COUNTIF(Studies!$A$2:$A$85,FILTER(IMPORT"&amp;"RANGE(""https://docs.google.com/spreadsheets/d/1kGrh75X1cNR1D7_FcY9zMnHP8iPO4M5RCRjy6nZY0TY/edit#gid=0"",""Table 1: Study characteristics!A4:A171""), $A1947=IMPORTRANGE(""https://docs.google.com/spreadsheets/d/1kGrh75X1cNR1D7_FcY9zMnHP8iPO4M5RCRjy6nZY0TY/"&amp;"edit#gid=0"",""Table 1: Study characteristics!B4:B171"")))&gt;0
),
""Include""
)"),"Exclude")</f>
        <v>Exclude</v>
      </c>
      <c r="G1947" s="5" t="str">
        <f>IFERROR(__xludf.DUMMYFUNCTION("IFS(
D1947=""Exclude"",
FILTER(IMPORTRANGE(""https://docs.google.com/spreadsheets/d/1BJSV3WBYJGRhQ6zExamkszQ5VutGIcaQqmbD9ZTVXMQ/edit#gid=1251630045"",""articles_with_PRISMA_reasons!AB2:AB2113""), $A1947=IMPORTRANGE(""https://docs.google.com/spreadsheets/"&amp;"d/1BJSV3WBYJGRhQ6zExamkszQ5VutGIcaQqmbD9ZTVXMQ/edit#gid=1251630045"",""articles_with_PRISMA_reasons!B2:B2113"")),
E1947=""Exclude"",
FILTER(IMPORTRANGE(""https://docs.google.com/spreadsheets/d/1qpEmbGH0JjaJbUdp21-y2cPbobDbMjr09BbtdKROZWc/edit#gid=14448656"&amp;"54"",""articles_with_PRISMA_reasons!Z2:Z2113""), $A1947=IMPORTRANGE(""https://docs.google.com/spreadsheets/d/1qpEmbGH0JjaJbUdp21-y2cPbobDbMjr09BbtdKROZWc/edit#gid=1444865654"",""articles_with_PRISMA_reasons!B2:B2113"")),F1947
=""Include"",FILTER(IMPORTRAN"&amp;"GE(""https://docs.google.com/spreadsheets/d/1kGrh75X1cNR1D7_FcY9zMnHP8iPO4M5RCRjy6nZY0TY/edit#gid=0"",""Table 1: Study characteristics!A4:A171""), $A1947=IMPORTRANGE(""https://docs.google.com/spreadsheets/d/1kGrh75X1cNR1D7_FcY9zMnHP8iPO4M5RCRjy6nZY0TY/edi"&amp;"t#gid=0"",""Table 1: Study characteristics!B4:B171""))
)"),"wrong study design")</f>
        <v>wrong study design</v>
      </c>
    </row>
    <row r="1948">
      <c r="A1948" s="4" t="str">
        <f>IFERROR(__xludf.DUMMYFUNCTION("""COMPUTED_VALUE"""),"The surgical procedure in spinal cord hernias of large size combined with hydrocephalus")</f>
        <v>The surgical procedure in spinal cord hernias of large size combined with hydrocephalus</v>
      </c>
      <c r="B1948" s="5" t="str">
        <f>IFERROR(__xludf.DUMMYFUNCTION("LEFT(FILTER(IMPORTRANGE(""https://docs.google.com/spreadsheets/d/1BJSV3WBYJGRhQ6zExamkszQ5VutGIcaQqmbD9ZTVXMQ/edit#gid=1251630045"",""articles_with_PRISMA_reasons!K2:K2113""), $A1948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$A1948=IMPORTRANGE(""https://docs.google.com/spreadsheets/d/1BJSV3WBYJGRhQ6zExamkszQ5VutGIcaQqmbD9ZTVXMQ/edit#gid=1251630045"",""articles_with_PRISMA_reasons!B2:B2113"")))-1)"),"Khachatrian")</f>
        <v>Khachatrian</v>
      </c>
      <c r="C1948" s="6">
        <f>IFERROR(__xludf.DUMMYFUNCTION("FILTER(IMPORTRANGE(""https://docs.google.com/spreadsheets/d/1BJSV3WBYJGRhQ6zExamkszQ5VutGIcaQqmbD9ZTVXMQ/edit#gid=1251630045"",""articles_with_PRISMA_reasons!C2:C2113""), $A1948=IMPORTRANGE(""https://docs.google.com/spreadsheets/d/1BJSV3WBYJGRhQ6zExamkszQ"&amp;"5VutGIcaQqmbD9ZTVXMQ/edit#gid=1251630045"",""articles_with_PRISMA_reasons!B2:B2113""))"),1995.0)</f>
        <v>1995</v>
      </c>
      <c r="D1948" s="5" t="str">
        <f>IFERROR(__xludf.DUMMYFUNCTION("IFS(AND(
FILTER(IMPORTRANGE(""https://docs.google.com/spreadsheets/d/1BJSV3WBYJGRhQ6zExamkszQ5VutGIcaQqmbD9ZTVXMQ/edit#gid=1251630045"",""articles_with_PRISMA_reasons!Y2:Y2113""), $A1948=IMPORTRANGE(""https://docs.google.com/spreadsheets/d/1BJSV3WBYJGRhQ6"&amp;"zExamkszQ5VutGIcaQqmbD9ZTVXMQ/edit#gid=1251630045"",""articles_with_PRISMA_reasons!B2:B2113""))&gt;=2,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$A1948=IMPORTRANGE(""https://docs.google.com/spreadsheets/d/1BJSV3WBYJGRhQ6zExamkszQ5VutGIcaQqmbD9ZTVXMQ/edit#gid=1251630045"",""articles_with_PRISMA_reasons!B2:B2113""))&lt;2),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$A1948=IMPORTRANGE(""https://docs.google.com/spreadsheets/d/1BJSV3WBYJGRhQ6zExamkszQ5VutGIcaQqmbD9ZTVXMQ/edit#gid=1251630045"",""a"&amp;"rticles_with_PRISMA_reasons!B2:B2113""))&lt;2,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$A1948=IMPORTRANGE(""https://docs.google"&amp;".com/spreadsheets/d/1BJSV3WBYJGRhQ6zExamkszQ5VutGIcaQqmbD9ZTVXMQ/edit#gid=1251630045"",""articles_with_PRISMA_reasons!B2:B2113""))&gt;=2),
""Exclude""
)"),"Exclude")</f>
        <v>Exclude</v>
      </c>
      <c r="E1948" s="5" t="str">
        <f>IFERROR(__xludf.DUMMYFUNCTION("IFS(
D1948=""Exclude"",""Exclude"",
AND(
FILTER(IMPORTRANGE(""https://docs.google.com/spreadsheets/d/1qpEmbGH0JjaJbUdp21-y2cPbobDbMjr09BbtdKROZWc/edit#gid=1444865654"",""articles_with_PRISMA_reasons!W2:W2113""), $A1948=IMPORTRANGE(""https://docs.google.co"&amp;"m/spreadsheets/d/1qpEmbGH0JjaJbUdp21-y2cPbobDbMjr09BbtdKROZWc/edit#gid=1444865654"",""articles_with_PRISMA_reasons!B2:B2113""))&gt;=2,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$A1948=IMPORTRANGE(""https://docs.google.com/spreadsheets/d/1qpEmbGH0JjaJbUdp21-y2cPbobDbMjr09BbtdKROZWc/edit#gid=1444865654"",""articles_with_PRISMA_reasons!B2:B2113""))&lt;2),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$A1948=IMPORTRANGE(""https://docs.google.com/spreadsheets/d/1qpEmbGH0JjaJbUdp21-y2cPbobDbMjr09Bbtd"&amp;"KROZWc/edit#gid=1444865654"",""articles_with_PRISMA_reasons!B2:B2113""))&lt;2,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$A1948=I"&amp;"MPORTRANGE(""https://docs.google.com/spreadsheets/d/1qpEmbGH0JjaJbUdp21-y2cPbobDbMjr09BbtdKROZWc/edit#gid=1444865654"",""articles_with_PRISMA_reasons!B2:B2113""))&gt;=2),
""Exclude""
)"),"Exclude")</f>
        <v>Exclude</v>
      </c>
      <c r="F1948" s="5" t="str">
        <f>IFERROR(__xludf.DUMMYFUNCTION("IFS(
E1948=""Exclude"",""Exclude"",
AND(
COUNTIF(
IMPORTRANGE(""https://docs.google.com/spreadsheets/d/1kGrh75X1cNR1D7_FcY9zMnHP8iPO4M5RCRjy6nZY0TY/edit#gid=0"",""Table 1: Study characteristics!B4:B171""),A1948)&gt;0,
COUNTIF(Studies!$A$2:$A$85,FILTER(IMPORT"&amp;"RANGE(""https://docs.google.com/spreadsheets/d/1kGrh75X1cNR1D7_FcY9zMnHP8iPO4M5RCRjy6nZY0TY/edit#gid=0"",""Table 1: Study characteristics!A4:A171""), $A1948=IMPORTRANGE(""https://docs.google.com/spreadsheets/d/1kGrh75X1cNR1D7_FcY9zMnHP8iPO4M5RCRjy6nZY0TY/"&amp;"edit#gid=0"",""Table 1: Study characteristics!B4:B171"")))&gt;0
),
""Include""
)"),"Exclude")</f>
        <v>Exclude</v>
      </c>
      <c r="G1948" s="5" t="str">
        <f>IFERROR(__xludf.DUMMYFUNCTION("IFS(
D1948=""Exclude"",
FILTER(IMPORTRANGE(""https://docs.google.com/spreadsheets/d/1BJSV3WBYJGRhQ6zExamkszQ5VutGIcaQqmbD9ZTVXMQ/edit#gid=1251630045"",""articles_with_PRISMA_reasons!AB2:AB2113""), $A1948=IMPORTRANGE(""https://docs.google.com/spreadsheets/"&amp;"d/1BJSV3WBYJGRhQ6zExamkszQ5VutGIcaQqmbD9ZTVXMQ/edit#gid=1251630045"",""articles_with_PRISMA_reasons!B2:B2113"")),
E1948=""Exclude"",
FILTER(IMPORTRANGE(""https://docs.google.com/spreadsheets/d/1qpEmbGH0JjaJbUdp21-y2cPbobDbMjr09BbtdKROZWc/edit#gid=14448656"&amp;"54"",""articles_with_PRISMA_reasons!Z2:Z2113""), $A1948=IMPORTRANGE(""https://docs.google.com/spreadsheets/d/1qpEmbGH0JjaJbUdp21-y2cPbobDbMjr09BbtdKROZWc/edit#gid=1444865654"",""articles_with_PRISMA_reasons!B2:B2113"")),F1948
=""Include"",FILTER(IMPORTRAN"&amp;"GE(""https://docs.google.com/spreadsheets/d/1kGrh75X1cNR1D7_FcY9zMnHP8iPO4M5RCRjy6nZY0TY/edit#gid=0"",""Table 1: Study characteristics!A4:A171""), $A1948=IMPORTRANGE(""https://docs.google.com/spreadsheets/d/1kGrh75X1cNR1D7_FcY9zMnHP8iPO4M5RCRjy6nZY0TY/edi"&amp;"t#gid=0"",""Table 1: Study characteristics!B4:B171""))
)"),"wrong population")</f>
        <v>wrong population</v>
      </c>
    </row>
    <row r="1949">
      <c r="A1949" s="4" t="str">
        <f>IFERROR(__xludf.DUMMYFUNCTION("""COMPUTED_VALUE"""),"The tectum and the aqueduct of Sylvius in hydrocephalus unassociated with myelomeningocele")</f>
        <v>The tectum and the aqueduct of Sylvius in hydrocephalus unassociated with myelomeningocele</v>
      </c>
      <c r="B1949" s="5" t="str">
        <f>IFERROR(__xludf.DUMMYFUNCTION("LEFT(FILTER(IMPORTRANGE(""https://docs.google.com/spreadsheets/d/1BJSV3WBYJGRhQ6zExamkszQ5VutGIcaQqmbD9ZTVXMQ/edit#gid=1251630045"",""articles_with_PRISMA_reasons!K2:K2113""), $A1949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$A1949=IMPORTRANGE(""https://docs.google.com/spreadsheets/d/1BJSV3WBYJGRhQ6zExamkszQ5VutGIcaQqmbD9ZTVXMQ/edit#gid=1251630045"",""articles_with_PRISMA_reasons!B2:B2113"")))-1)"),"Shellshear")</f>
        <v>Shellshear</v>
      </c>
      <c r="C1949" s="6">
        <f>IFERROR(__xludf.DUMMYFUNCTION("FILTER(IMPORTRANGE(""https://docs.google.com/spreadsheets/d/1BJSV3WBYJGRhQ6zExamkszQ5VutGIcaQqmbD9ZTVXMQ/edit#gid=1251630045"",""articles_with_PRISMA_reasons!C2:C2113""), $A1949=IMPORTRANGE(""https://docs.google.com/spreadsheets/d/1BJSV3WBYJGRhQ6zExamkszQ"&amp;"5VutGIcaQqmbD9ZTVXMQ/edit#gid=1251630045"",""articles_with_PRISMA_reasons!B2:B2113""))"),1975.0)</f>
        <v>1975</v>
      </c>
      <c r="D1949" s="5" t="str">
        <f>IFERROR(__xludf.DUMMYFUNCTION("IFS(AND(
FILTER(IMPORTRANGE(""https://docs.google.com/spreadsheets/d/1BJSV3WBYJGRhQ6zExamkszQ5VutGIcaQqmbD9ZTVXMQ/edit#gid=1251630045"",""articles_with_PRISMA_reasons!Y2:Y2113""), $A1949=IMPORTRANGE(""https://docs.google.com/spreadsheets/d/1BJSV3WBYJGRhQ6"&amp;"zExamkszQ5VutGIcaQqmbD9ZTVXMQ/edit#gid=1251630045"",""articles_with_PRISMA_reasons!B2:B2113""))&gt;=2,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$A1949=IMPORTRANGE(""https://docs.google.com/spreadsheets/d/1BJSV3WBYJGRhQ6zExamkszQ5VutGIcaQqmbD9ZTVXMQ/edit#gid=1251630045"",""articles_with_PRISMA_reasons!B2:B2113""))&lt;2),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$A1949=IMPORTRANGE(""https://docs.google.com/spreadsheets/d/1BJSV3WBYJGRhQ6zExamkszQ5VutGIcaQqmbD9ZTVXMQ/edit#gid=1251630045"",""a"&amp;"rticles_with_PRISMA_reasons!B2:B2113""))&lt;2,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$A1949=IMPORTRANGE(""https://docs.google"&amp;".com/spreadsheets/d/1BJSV3WBYJGRhQ6zExamkszQ5VutGIcaQqmbD9ZTVXMQ/edit#gid=1251630045"",""articles_with_PRISMA_reasons!B2:B2113""))&gt;=2),
""Exclude""
)"),"Exclude")</f>
        <v>Exclude</v>
      </c>
      <c r="E1949" s="5" t="str">
        <f>IFERROR(__xludf.DUMMYFUNCTION("IFS(
D1949=""Exclude"",""Exclude"",
AND(
FILTER(IMPORTRANGE(""https://docs.google.com/spreadsheets/d/1qpEmbGH0JjaJbUdp21-y2cPbobDbMjr09BbtdKROZWc/edit#gid=1444865654"",""articles_with_PRISMA_reasons!W2:W2113""), $A1949=IMPORTRANGE(""https://docs.google.co"&amp;"m/spreadsheets/d/1qpEmbGH0JjaJbUdp21-y2cPbobDbMjr09BbtdKROZWc/edit#gid=1444865654"",""articles_with_PRISMA_reasons!B2:B2113""))&gt;=2,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$A1949=IMPORTRANGE(""https://docs.google.com/spreadsheets/d/1qpEmbGH0JjaJbUdp21-y2cPbobDbMjr09BbtdKROZWc/edit#gid=1444865654"",""articles_with_PRISMA_reasons!B2:B2113""))&lt;2),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$A1949=IMPORTRANGE(""https://docs.google.com/spreadsheets/d/1qpEmbGH0JjaJbUdp21-y2cPbobDbMjr09Bbtd"&amp;"KROZWc/edit#gid=1444865654"",""articles_with_PRISMA_reasons!B2:B2113""))&lt;2,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$A1949=I"&amp;"MPORTRANGE(""https://docs.google.com/spreadsheets/d/1qpEmbGH0JjaJbUdp21-y2cPbobDbMjr09BbtdKROZWc/edit#gid=1444865654"",""articles_with_PRISMA_reasons!B2:B2113""))&gt;=2),
""Exclude""
)"),"Exclude")</f>
        <v>Exclude</v>
      </c>
      <c r="F1949" s="5" t="str">
        <f>IFERROR(__xludf.DUMMYFUNCTION("IFS(
E1949=""Exclude"",""Exclude"",
AND(
COUNTIF(
IMPORTRANGE(""https://docs.google.com/spreadsheets/d/1kGrh75X1cNR1D7_FcY9zMnHP8iPO4M5RCRjy6nZY0TY/edit#gid=0"",""Table 1: Study characteristics!B4:B171""),A1949)&gt;0,
COUNTIF(Studies!$A$2:$A$85,FILTER(IMPORT"&amp;"RANGE(""https://docs.google.com/spreadsheets/d/1kGrh75X1cNR1D7_FcY9zMnHP8iPO4M5RCRjy6nZY0TY/edit#gid=0"",""Table 1: Study characteristics!A4:A171""), $A1949=IMPORTRANGE(""https://docs.google.com/spreadsheets/d/1kGrh75X1cNR1D7_FcY9zMnHP8iPO4M5RCRjy6nZY0TY/"&amp;"edit#gid=0"",""Table 1: Study characteristics!B4:B171"")))&gt;0
),
""Include""
)"),"Exclude")</f>
        <v>Exclude</v>
      </c>
      <c r="G1949" s="5" t="str">
        <f>IFERROR(__xludf.DUMMYFUNCTION("IFS(
D1949=""Exclude"",
FILTER(IMPORTRANGE(""https://docs.google.com/spreadsheets/d/1BJSV3WBYJGRhQ6zExamkszQ5VutGIcaQqmbD9ZTVXMQ/edit#gid=1251630045"",""articles_with_PRISMA_reasons!AB2:AB2113""), $A1949=IMPORTRANGE(""https://docs.google.com/spreadsheets/"&amp;"d/1BJSV3WBYJGRhQ6zExamkszQ5VutGIcaQqmbD9ZTVXMQ/edit#gid=1251630045"",""articles_with_PRISMA_reasons!B2:B2113"")),
E1949=""Exclude"",
FILTER(IMPORTRANGE(""https://docs.google.com/spreadsheets/d/1qpEmbGH0JjaJbUdp21-y2cPbobDbMjr09BbtdKROZWc/edit#gid=14448656"&amp;"54"",""articles_with_PRISMA_reasons!Z2:Z2113""), $A1949=IMPORTRANGE(""https://docs.google.com/spreadsheets/d/1qpEmbGH0JjaJbUdp21-y2cPbobDbMjr09BbtdKROZWc/edit#gid=1444865654"",""articles_with_PRISMA_reasons!B2:B2113"")),F1949
=""Include"",FILTER(IMPORTRAN"&amp;"GE(""https://docs.google.com/spreadsheets/d/1kGrh75X1cNR1D7_FcY9zMnHP8iPO4M5RCRjy6nZY0TY/edit#gid=0"",""Table 1: Study characteristics!A4:A171""), $A1949=IMPORTRANGE(""https://docs.google.com/spreadsheets/d/1kGrh75X1cNR1D7_FcY9zMnHP8iPO4M5RCRjy6nZY0TY/edi"&amp;"t#gid=0"",""Table 1: Study characteristics!B4:B171""))
)"),"wrong population")</f>
        <v>wrong population</v>
      </c>
    </row>
    <row r="1950">
      <c r="A1950" s="4" t="str">
        <f>IFERROR(__xludf.DUMMYFUNCTION("""COMPUTED_VALUE"""),"The total care of spina bifida cystica")</f>
        <v>The total care of spina bifida cystica</v>
      </c>
      <c r="B1950" s="5" t="str">
        <f>IFERROR(__xludf.DUMMYFUNCTION("LEFT(FILTER(IMPORTRANGE(""https://docs.google.com/spreadsheets/d/1BJSV3WBYJGRhQ6zExamkszQ5VutGIcaQqmbD9ZTVXMQ/edit#gid=1251630045"",""articles_with_PRISMA_reasons!K2:K2113""), $A1950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$A1950=IMPORTRANGE(""https://docs.google.com/spreadsheets/d/1BJSV3WBYJGRhQ6zExamkszQ5VutGIcaQqmbD9ZTVXMQ/edit#gid=1251630045"",""articles_with_PRISMA_reasons!B2:B2113"")))-1)"),"Katzen")</f>
        <v>Katzen</v>
      </c>
      <c r="C1950" s="6">
        <f>IFERROR(__xludf.DUMMYFUNCTION("FILTER(IMPORTRANGE(""https://docs.google.com/spreadsheets/d/1BJSV3WBYJGRhQ6zExamkszQ5VutGIcaQqmbD9ZTVXMQ/edit#gid=1251630045"",""articles_with_PRISMA_reasons!C2:C2113""), $A1950=IMPORTRANGE(""https://docs.google.com/spreadsheets/d/1BJSV3WBYJGRhQ6zExamkszQ"&amp;"5VutGIcaQqmbD9ZTVXMQ/edit#gid=1251630045"",""articles_with_PRISMA_reasons!B2:B2113""))"),1981.0)</f>
        <v>1981</v>
      </c>
      <c r="D1950" s="5" t="str">
        <f>IFERROR(__xludf.DUMMYFUNCTION("IFS(AND(
FILTER(IMPORTRANGE(""https://docs.google.com/spreadsheets/d/1BJSV3WBYJGRhQ6zExamkszQ5VutGIcaQqmbD9ZTVXMQ/edit#gid=1251630045"",""articles_with_PRISMA_reasons!Y2:Y2113""), $A1950=IMPORTRANGE(""https://docs.google.com/spreadsheets/d/1BJSV3WBYJGRhQ6"&amp;"zExamkszQ5VutGIcaQqmbD9ZTVXMQ/edit#gid=1251630045"",""articles_with_PRISMA_reasons!B2:B2113""))&gt;=2,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$A1950=IMPORTRANGE(""https://docs.google.com/spreadsheets/d/1BJSV3WBYJGRhQ6zExamkszQ5VutGIcaQqmbD9ZTVXMQ/edit#gid=1251630045"",""articles_with_PRISMA_reasons!B2:B2113""))&lt;2),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$A1950=IMPORTRANGE(""https://docs.google.com/spreadsheets/d/1BJSV3WBYJGRhQ6zExamkszQ5VutGIcaQqmbD9ZTVXMQ/edit#gid=1251630045"",""a"&amp;"rticles_with_PRISMA_reasons!B2:B2113""))&lt;2,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$A1950=IMPORTRANGE(""https://docs.google"&amp;".com/spreadsheets/d/1BJSV3WBYJGRhQ6zExamkszQ5VutGIcaQqmbD9ZTVXMQ/edit#gid=1251630045"",""articles_with_PRISMA_reasons!B2:B2113""))&gt;=2),
""Exclude""
)"),"Exclude")</f>
        <v>Exclude</v>
      </c>
      <c r="E1950" s="5" t="str">
        <f>IFERROR(__xludf.DUMMYFUNCTION("IFS(
D1950=""Exclude"",""Exclude"",
AND(
FILTER(IMPORTRANGE(""https://docs.google.com/spreadsheets/d/1qpEmbGH0JjaJbUdp21-y2cPbobDbMjr09BbtdKROZWc/edit#gid=1444865654"",""articles_with_PRISMA_reasons!W2:W2113""), $A1950=IMPORTRANGE(""https://docs.google.co"&amp;"m/spreadsheets/d/1qpEmbGH0JjaJbUdp21-y2cPbobDbMjr09BbtdKROZWc/edit#gid=1444865654"",""articles_with_PRISMA_reasons!B2:B2113""))&gt;=2,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$A1950=IMPORTRANGE(""https://docs.google.com/spreadsheets/d/1qpEmbGH0JjaJbUdp21-y2cPbobDbMjr09BbtdKROZWc/edit#gid=1444865654"",""articles_with_PRISMA_reasons!B2:B2113""))&lt;2),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$A1950=IMPORTRANGE(""https://docs.google.com/spreadsheets/d/1qpEmbGH0JjaJbUdp21-y2cPbobDbMjr09Bbtd"&amp;"KROZWc/edit#gid=1444865654"",""articles_with_PRISMA_reasons!B2:B2113""))&lt;2,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$A1950=I"&amp;"MPORTRANGE(""https://docs.google.com/spreadsheets/d/1qpEmbGH0JjaJbUdp21-y2cPbobDbMjr09BbtdKROZWc/edit#gid=1444865654"",""articles_with_PRISMA_reasons!B2:B2113""))&gt;=2),
""Exclude""
)"),"Exclude")</f>
        <v>Exclude</v>
      </c>
      <c r="F1950" s="5" t="str">
        <f>IFERROR(__xludf.DUMMYFUNCTION("IFS(
E1950=""Exclude"",""Exclude"",
AND(
COUNTIF(
IMPORTRANGE(""https://docs.google.com/spreadsheets/d/1kGrh75X1cNR1D7_FcY9zMnHP8iPO4M5RCRjy6nZY0TY/edit#gid=0"",""Table 1: Study characteristics!B4:B171""),A1950)&gt;0,
COUNTIF(Studies!$A$2:$A$85,FILTER(IMPORT"&amp;"RANGE(""https://docs.google.com/spreadsheets/d/1kGrh75X1cNR1D7_FcY9zMnHP8iPO4M5RCRjy6nZY0TY/edit#gid=0"",""Table 1: Study characteristics!A4:A171""), $A1950=IMPORTRANGE(""https://docs.google.com/spreadsheets/d/1kGrh75X1cNR1D7_FcY9zMnHP8iPO4M5RCRjy6nZY0TY/"&amp;"edit#gid=0"",""Table 1: Study characteristics!B4:B171"")))&gt;0
),
""Include""
)"),"Exclude")</f>
        <v>Exclude</v>
      </c>
      <c r="G1950" s="5" t="str">
        <f>IFERROR(__xludf.DUMMYFUNCTION("IFS(
D1950=""Exclude"",
FILTER(IMPORTRANGE(""https://docs.google.com/spreadsheets/d/1BJSV3WBYJGRhQ6zExamkszQ5VutGIcaQqmbD9ZTVXMQ/edit#gid=1251630045"",""articles_with_PRISMA_reasons!AB2:AB2113""), $A1950=IMPORTRANGE(""https://docs.google.com/spreadsheets/"&amp;"d/1BJSV3WBYJGRhQ6zExamkszQ5VutGIcaQqmbD9ZTVXMQ/edit#gid=1251630045"",""articles_with_PRISMA_reasons!B2:B2113"")),
E1950=""Exclude"",
FILTER(IMPORTRANGE(""https://docs.google.com/spreadsheets/d/1qpEmbGH0JjaJbUdp21-y2cPbobDbMjr09BbtdKROZWc/edit#gid=14448656"&amp;"54"",""articles_with_PRISMA_reasons!Z2:Z2113""), $A1950=IMPORTRANGE(""https://docs.google.com/spreadsheets/d/1qpEmbGH0JjaJbUdp21-y2cPbobDbMjr09BbtdKROZWc/edit#gid=1444865654"",""articles_with_PRISMA_reasons!B2:B2113"")),F1950
=""Include"",FILTER(IMPORTRAN"&amp;"GE(""https://docs.google.com/spreadsheets/d/1kGrh75X1cNR1D7_FcY9zMnHP8iPO4M5RCRjy6nZY0TY/edit#gid=0"",""Table 1: Study characteristics!A4:A171""), $A1950=IMPORTRANGE(""https://docs.google.com/spreadsheets/d/1kGrh75X1cNR1D7_FcY9zMnHP8iPO4M5RCRjy6nZY0TY/edi"&amp;"t#gid=0"",""Table 1: Study characteristics!B4:B171""))
)"),"wrong population")</f>
        <v>wrong population</v>
      </c>
    </row>
    <row r="1951">
      <c r="A1951" s="4" t="str">
        <f>IFERROR(__xludf.DUMMYFUNCTION("""COMPUTED_VALUE"""),"The transition from child to adult in neurosurgery")</f>
        <v>The transition from child to adult in neurosurgery</v>
      </c>
      <c r="B1951" s="5" t="str">
        <f>IFERROR(__xludf.DUMMYFUNCTION("LEFT(FILTER(IMPORTRANGE(""https://docs.google.com/spreadsheets/d/1BJSV3WBYJGRhQ6zExamkszQ5VutGIcaQqmbD9ZTVXMQ/edit#gid=1251630045"",""articles_with_PRISMA_reasons!K2:K2113""), $A1951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$A1951=IMPORTRANGE(""https://docs.google.com/spreadsheets/d/1BJSV3WBYJGRhQ6zExamkszQ5VutGIcaQqmbD9ZTVXMQ/edit#gid=1251630045"",""articles_with_PRISMA_reasons!B2:B2113"")))-1)"),"Vinchon")</f>
        <v>Vinchon</v>
      </c>
      <c r="C1951" s="6">
        <f>IFERROR(__xludf.DUMMYFUNCTION("FILTER(IMPORTRANGE(""https://docs.google.com/spreadsheets/d/1BJSV3WBYJGRhQ6zExamkszQ5VutGIcaQqmbD9ZTVXMQ/edit#gid=1251630045"",""articles_with_PRISMA_reasons!C2:C2113""), $A1951=IMPORTRANGE(""https://docs.google.com/spreadsheets/d/1BJSV3WBYJGRhQ6zExamkszQ"&amp;"5VutGIcaQqmbD9ZTVXMQ/edit#gid=1251630045"",""articles_with_PRISMA_reasons!B2:B2113""))"),2007.0)</f>
        <v>2007</v>
      </c>
      <c r="D1951" s="5" t="str">
        <f>IFERROR(__xludf.DUMMYFUNCTION("IFS(AND(
FILTER(IMPORTRANGE(""https://docs.google.com/spreadsheets/d/1BJSV3WBYJGRhQ6zExamkszQ5VutGIcaQqmbD9ZTVXMQ/edit#gid=1251630045"",""articles_with_PRISMA_reasons!Y2:Y2113""), $A1951=IMPORTRANGE(""https://docs.google.com/spreadsheets/d/1BJSV3WBYJGRhQ6"&amp;"zExamkszQ5VutGIcaQqmbD9ZTVXMQ/edit#gid=1251630045"",""articles_with_PRISMA_reasons!B2:B2113""))&gt;=2,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$A1951=IMPORTRANGE(""https://docs.google.com/spreadsheets/d/1BJSV3WBYJGRhQ6zExamkszQ5VutGIcaQqmbD9ZTVXMQ/edit#gid=1251630045"",""articles_with_PRISMA_reasons!B2:B2113""))&lt;2),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$A1951=IMPORTRANGE(""https://docs.google.com/spreadsheets/d/1BJSV3WBYJGRhQ6zExamkszQ5VutGIcaQqmbD9ZTVXMQ/edit#gid=1251630045"",""a"&amp;"rticles_with_PRISMA_reasons!B2:B2113""))&lt;2,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$A1951=IMPORTRANGE(""https://docs.google"&amp;".com/spreadsheets/d/1BJSV3WBYJGRhQ6zExamkszQ5VutGIcaQqmbD9ZTVXMQ/edit#gid=1251630045"",""articles_with_PRISMA_reasons!B2:B2113""))&gt;=2),
""Exclude""
)"),"Exclude")</f>
        <v>Exclude</v>
      </c>
      <c r="E1951" s="5" t="str">
        <f>IFERROR(__xludf.DUMMYFUNCTION("IFS(
D1951=""Exclude"",""Exclude"",
AND(
FILTER(IMPORTRANGE(""https://docs.google.com/spreadsheets/d/1qpEmbGH0JjaJbUdp21-y2cPbobDbMjr09BbtdKROZWc/edit#gid=1444865654"",""articles_with_PRISMA_reasons!W2:W2113""), $A1951=IMPORTRANGE(""https://docs.google.co"&amp;"m/spreadsheets/d/1qpEmbGH0JjaJbUdp21-y2cPbobDbMjr09BbtdKROZWc/edit#gid=1444865654"",""articles_with_PRISMA_reasons!B2:B2113""))&gt;=2,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$A1951=IMPORTRANGE(""https://docs.google.com/spreadsheets/d/1qpEmbGH0JjaJbUdp21-y2cPbobDbMjr09BbtdKROZWc/edit#gid=1444865654"",""articles_with_PRISMA_reasons!B2:B2113""))&lt;2),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$A1951=IMPORTRANGE(""https://docs.google.com/spreadsheets/d/1qpEmbGH0JjaJbUdp21-y2cPbobDbMjr09Bbtd"&amp;"KROZWc/edit#gid=1444865654"",""articles_with_PRISMA_reasons!B2:B2113""))&lt;2,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$A1951=I"&amp;"MPORTRANGE(""https://docs.google.com/spreadsheets/d/1qpEmbGH0JjaJbUdp21-y2cPbobDbMjr09BbtdKROZWc/edit#gid=1444865654"",""articles_with_PRISMA_reasons!B2:B2113""))&gt;=2),
""Exclude""
)"),"Exclude")</f>
        <v>Exclude</v>
      </c>
      <c r="F1951" s="5" t="str">
        <f>IFERROR(__xludf.DUMMYFUNCTION("IFS(
E1951=""Exclude"",""Exclude"",
AND(
COUNTIF(
IMPORTRANGE(""https://docs.google.com/spreadsheets/d/1kGrh75X1cNR1D7_FcY9zMnHP8iPO4M5RCRjy6nZY0TY/edit#gid=0"",""Table 1: Study characteristics!B4:B171""),A1951)&gt;0,
COUNTIF(Studies!$A$2:$A$85,FILTER(IMPORT"&amp;"RANGE(""https://docs.google.com/spreadsheets/d/1kGrh75X1cNR1D7_FcY9zMnHP8iPO4M5RCRjy6nZY0TY/edit#gid=0"",""Table 1: Study characteristics!A4:A171""), $A1951=IMPORTRANGE(""https://docs.google.com/spreadsheets/d/1kGrh75X1cNR1D7_FcY9zMnHP8iPO4M5RCRjy6nZY0TY/"&amp;"edit#gid=0"",""Table 1: Study characteristics!B4:B171"")))&gt;0
),
""Include""
)"),"Exclude")</f>
        <v>Exclude</v>
      </c>
      <c r="G1951" s="5" t="str">
        <f>IFERROR(__xludf.DUMMYFUNCTION("IFS(
D1951=""Exclude"",
FILTER(IMPORTRANGE(""https://docs.google.com/spreadsheets/d/1BJSV3WBYJGRhQ6zExamkszQ5VutGIcaQqmbD9ZTVXMQ/edit#gid=1251630045"",""articles_with_PRISMA_reasons!AB2:AB2113""), $A1951=IMPORTRANGE(""https://docs.google.com/spreadsheets/"&amp;"d/1BJSV3WBYJGRhQ6zExamkszQ5VutGIcaQqmbD9ZTVXMQ/edit#gid=1251630045"",""articles_with_PRISMA_reasons!B2:B2113"")),
E1951=""Exclude"",
FILTER(IMPORTRANGE(""https://docs.google.com/spreadsheets/d/1qpEmbGH0JjaJbUdp21-y2cPbobDbMjr09BbtdKROZWc/edit#gid=14448656"&amp;"54"",""articles_with_PRISMA_reasons!Z2:Z2113""), $A1951=IMPORTRANGE(""https://docs.google.com/spreadsheets/d/1qpEmbGH0JjaJbUdp21-y2cPbobDbMjr09BbtdKROZWc/edit#gid=1444865654"",""articles_with_PRISMA_reasons!B2:B2113"")),F1951
=""Include"",FILTER(IMPORTRAN"&amp;"GE(""https://docs.google.com/spreadsheets/d/1kGrh75X1cNR1D7_FcY9zMnHP8iPO4M5RCRjy6nZY0TY/edit#gid=0"",""Table 1: Study characteristics!A4:A171""), $A1951=IMPORTRANGE(""https://docs.google.com/spreadsheets/d/1kGrh75X1cNR1D7_FcY9zMnHP8iPO4M5RCRjy6nZY0TY/edi"&amp;"t#gid=0"",""Table 1: Study characteristics!B4:B171""))
)"),"wrong population")</f>
        <v>wrong population</v>
      </c>
    </row>
    <row r="1952">
      <c r="A1952" s="4" t="str">
        <f>IFERROR(__xludf.DUMMYFUNCTION("""COMPUTED_VALUE"""),"The transition from childhood to adulthood in neurosurgery: A description")</f>
        <v>The transition from childhood to adulthood in neurosurgery: A description</v>
      </c>
      <c r="B1952" s="5" t="str">
        <f>IFERROR(__xludf.DUMMYFUNCTION("LEFT(FILTER(IMPORTRANGE(""https://docs.google.com/spreadsheets/d/1BJSV3WBYJGRhQ6zExamkszQ5VutGIcaQqmbD9ZTVXMQ/edit#gid=1251630045"",""articles_with_PRISMA_reasons!K2:K2113""), $A1952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$A1952=IMPORTRANGE(""https://docs.google.com/spreadsheets/d/1BJSV3WBYJGRhQ6zExamkszQ5VutGIcaQqmbD9ZTVXMQ/edit#gid=1251630045"",""articles_with_PRISMA_reasons!B2:B2113"")))-1)"),"Vinchon")</f>
        <v>Vinchon</v>
      </c>
      <c r="C1952" s="6">
        <f>IFERROR(__xludf.DUMMYFUNCTION("FILTER(IMPORTRANGE(""https://docs.google.com/spreadsheets/d/1BJSV3WBYJGRhQ6zExamkszQ5VutGIcaQqmbD9ZTVXMQ/edit#gid=1251630045"",""articles_with_PRISMA_reasons!C2:C2113""), $A1952=IMPORTRANGE(""https://docs.google.com/spreadsheets/d/1BJSV3WBYJGRhQ6zExamkszQ"&amp;"5VutGIcaQqmbD9ZTVXMQ/edit#gid=1251630045"",""articles_with_PRISMA_reasons!B2:B2113""))"),2008.0)</f>
        <v>2008</v>
      </c>
      <c r="D1952" s="5" t="str">
        <f>IFERROR(__xludf.DUMMYFUNCTION("IFS(AND(
FILTER(IMPORTRANGE(""https://docs.google.com/spreadsheets/d/1BJSV3WBYJGRhQ6zExamkszQ5VutGIcaQqmbD9ZTVXMQ/edit#gid=1251630045"",""articles_with_PRISMA_reasons!Y2:Y2113""), $A1952=IMPORTRANGE(""https://docs.google.com/spreadsheets/d/1BJSV3WBYJGRhQ6"&amp;"zExamkszQ5VutGIcaQqmbD9ZTVXMQ/edit#gid=1251630045"",""articles_with_PRISMA_reasons!B2:B2113""))&gt;=2,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$A1952=IMPORTRANGE(""https://docs.google.com/spreadsheets/d/1BJSV3WBYJGRhQ6zExamkszQ5VutGIcaQqmbD9ZTVXMQ/edit#gid=1251630045"",""articles_with_PRISMA_reasons!B2:B2113""))&lt;2),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$A1952=IMPORTRANGE(""https://docs.google.com/spreadsheets/d/1BJSV3WBYJGRhQ6zExamkszQ5VutGIcaQqmbD9ZTVXMQ/edit#gid=1251630045"",""a"&amp;"rticles_with_PRISMA_reasons!B2:B2113""))&lt;2,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$A1952=IMPORTRANGE(""https://docs.google"&amp;".com/spreadsheets/d/1BJSV3WBYJGRhQ6zExamkszQ5VutGIcaQqmbD9ZTVXMQ/edit#gid=1251630045"",""articles_with_PRISMA_reasons!B2:B2113""))&gt;=2),
""Exclude""
)"),"Exclude")</f>
        <v>Exclude</v>
      </c>
      <c r="E1952" s="5" t="str">
        <f>IFERROR(__xludf.DUMMYFUNCTION("IFS(
D1952=""Exclude"",""Exclude"",
AND(
FILTER(IMPORTRANGE(""https://docs.google.com/spreadsheets/d/1qpEmbGH0JjaJbUdp21-y2cPbobDbMjr09BbtdKROZWc/edit#gid=1444865654"",""articles_with_PRISMA_reasons!W2:W2113""), $A1952=IMPORTRANGE(""https://docs.google.co"&amp;"m/spreadsheets/d/1qpEmbGH0JjaJbUdp21-y2cPbobDbMjr09BbtdKROZWc/edit#gid=1444865654"",""articles_with_PRISMA_reasons!B2:B2113""))&gt;=2,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$A1952=IMPORTRANGE(""https://docs.google.com/spreadsheets/d/1qpEmbGH0JjaJbUdp21-y2cPbobDbMjr09BbtdKROZWc/edit#gid=1444865654"",""articles_with_PRISMA_reasons!B2:B2113""))&lt;2),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$A1952=IMPORTRANGE(""https://docs.google.com/spreadsheets/d/1qpEmbGH0JjaJbUdp21-y2cPbobDbMjr09Bbtd"&amp;"KROZWc/edit#gid=1444865654"",""articles_with_PRISMA_reasons!B2:B2113""))&lt;2,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$A1952=I"&amp;"MPORTRANGE(""https://docs.google.com/spreadsheets/d/1qpEmbGH0JjaJbUdp21-y2cPbobDbMjr09BbtdKROZWc/edit#gid=1444865654"",""articles_with_PRISMA_reasons!B2:B2113""))&gt;=2),
""Exclude""
)"),"Exclude")</f>
        <v>Exclude</v>
      </c>
      <c r="F1952" s="5" t="str">
        <f>IFERROR(__xludf.DUMMYFUNCTION("IFS(
E1952=""Exclude"",""Exclude"",
AND(
COUNTIF(
IMPORTRANGE(""https://docs.google.com/spreadsheets/d/1kGrh75X1cNR1D7_FcY9zMnHP8iPO4M5RCRjy6nZY0TY/edit#gid=0"",""Table 1: Study characteristics!B4:B171""),A1952)&gt;0,
COUNTIF(Studies!$A$2:$A$85,FILTER(IMPORT"&amp;"RANGE(""https://docs.google.com/spreadsheets/d/1kGrh75X1cNR1D7_FcY9zMnHP8iPO4M5RCRjy6nZY0TY/edit#gid=0"",""Table 1: Study characteristics!A4:A171""), $A1952=IMPORTRANGE(""https://docs.google.com/spreadsheets/d/1kGrh75X1cNR1D7_FcY9zMnHP8iPO4M5RCRjy6nZY0TY/"&amp;"edit#gid=0"",""Table 1: Study characteristics!B4:B171"")))&gt;0
),
""Include""
)"),"Exclude")</f>
        <v>Exclude</v>
      </c>
      <c r="G1952" s="5" t="str">
        <f>IFERROR(__xludf.DUMMYFUNCTION("IFS(
D1952=""Exclude"",
FILTER(IMPORTRANGE(""https://docs.google.com/spreadsheets/d/1BJSV3WBYJGRhQ6zExamkszQ5VutGIcaQqmbD9ZTVXMQ/edit#gid=1251630045"",""articles_with_PRISMA_reasons!AB2:AB2113""), $A1952=IMPORTRANGE(""https://docs.google.com/spreadsheets/"&amp;"d/1BJSV3WBYJGRhQ6zExamkszQ5VutGIcaQqmbD9ZTVXMQ/edit#gid=1251630045"",""articles_with_PRISMA_reasons!B2:B2113"")),
E1952=""Exclude"",
FILTER(IMPORTRANGE(""https://docs.google.com/spreadsheets/d/1qpEmbGH0JjaJbUdp21-y2cPbobDbMjr09BbtdKROZWc/edit#gid=14448656"&amp;"54"",""articles_with_PRISMA_reasons!Z2:Z2113""), $A1952=IMPORTRANGE(""https://docs.google.com/spreadsheets/d/1qpEmbGH0JjaJbUdp21-y2cPbobDbMjr09BbtdKROZWc/edit#gid=1444865654"",""articles_with_PRISMA_reasons!B2:B2113"")),F1952
=""Include"",FILTER(IMPORTRAN"&amp;"GE(""https://docs.google.com/spreadsheets/d/1kGrh75X1cNR1D7_FcY9zMnHP8iPO4M5RCRjy6nZY0TY/edit#gid=0"",""Table 1: Study characteristics!A4:A171""), $A1952=IMPORTRANGE(""https://docs.google.com/spreadsheets/d/1kGrh75X1cNR1D7_FcY9zMnHP8iPO4M5RCRjy6nZY0TY/edi"&amp;"t#gid=0"",""Table 1: Study characteristics!B4:B171""))
)"),"wrong population")</f>
        <v>wrong population</v>
      </c>
    </row>
    <row r="1953">
      <c r="A1953" s="4" t="str">
        <f>IFERROR(__xludf.DUMMYFUNCTION("""COMPUTED_VALUE"""),"The treatment of hydrocephalus")</f>
        <v>The treatment of hydrocephalus</v>
      </c>
      <c r="B1953" s="5" t="str">
        <f>IFERROR(__xludf.DUMMYFUNCTION("LEFT(FILTER(IMPORTRANGE(""https://docs.google.com/spreadsheets/d/1BJSV3WBYJGRhQ6zExamkszQ5VutGIcaQqmbD9ZTVXMQ/edit#gid=1251630045"",""articles_with_PRISMA_reasons!K2:K2113""), $A1953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$A1953=IMPORTRANGE(""https://docs.google.com/spreadsheets/d/1BJSV3WBYJGRhQ6zExamkszQ5VutGIcaQqmbD9ZTVXMQ/edit#gid=1251630045"",""articles_with_PRISMA_reasons!B2:B2113"")))-1)"),"Kanev")</f>
        <v>Kanev</v>
      </c>
      <c r="C1953" s="6">
        <f>IFERROR(__xludf.DUMMYFUNCTION("FILTER(IMPORTRANGE(""https://docs.google.com/spreadsheets/d/1BJSV3WBYJGRhQ6zExamkszQ5VutGIcaQqmbD9ZTVXMQ/edit#gid=1251630045"",""articles_with_PRISMA_reasons!C2:C2113""), $A1953=IMPORTRANGE(""https://docs.google.com/spreadsheets/d/1BJSV3WBYJGRhQ6zExamkszQ"&amp;"5VutGIcaQqmbD9ZTVXMQ/edit#gid=1251630045"",""articles_with_PRISMA_reasons!B2:B2113""))"),1993.0)</f>
        <v>1993</v>
      </c>
      <c r="D1953" s="5" t="str">
        <f>IFERROR(__xludf.DUMMYFUNCTION("IFS(AND(
FILTER(IMPORTRANGE(""https://docs.google.com/spreadsheets/d/1BJSV3WBYJGRhQ6zExamkszQ5VutGIcaQqmbD9ZTVXMQ/edit#gid=1251630045"",""articles_with_PRISMA_reasons!Y2:Y2113""), $A1953=IMPORTRANGE(""https://docs.google.com/spreadsheets/d/1BJSV3WBYJGRhQ6"&amp;"zExamkszQ5VutGIcaQqmbD9ZTVXMQ/edit#gid=1251630045"",""articles_with_PRISMA_reasons!B2:B2113""))&gt;=2,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$A1953=IMPORTRANGE(""https://docs.google.com/spreadsheets/d/1BJSV3WBYJGRhQ6zExamkszQ5VutGIcaQqmbD9ZTVXMQ/edit#gid=1251630045"",""articles_with_PRISMA_reasons!B2:B2113""))&lt;2),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$A1953=IMPORTRANGE(""https://docs.google.com/spreadsheets/d/1BJSV3WBYJGRhQ6zExamkszQ5VutGIcaQqmbD9ZTVXMQ/edit#gid=1251630045"",""a"&amp;"rticles_with_PRISMA_reasons!B2:B2113""))&lt;2,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$A1953=IMPORTRANGE(""https://docs.google"&amp;".com/spreadsheets/d/1BJSV3WBYJGRhQ6zExamkszQ5VutGIcaQqmbD9ZTVXMQ/edit#gid=1251630045"",""articles_with_PRISMA_reasons!B2:B2113""))&gt;=2),
""Exclude""
)"),"Exclude")</f>
        <v>Exclude</v>
      </c>
      <c r="E1953" s="5" t="str">
        <f>IFERROR(__xludf.DUMMYFUNCTION("IFS(
D1953=""Exclude"",""Exclude"",
AND(
FILTER(IMPORTRANGE(""https://docs.google.com/spreadsheets/d/1qpEmbGH0JjaJbUdp21-y2cPbobDbMjr09BbtdKROZWc/edit#gid=1444865654"",""articles_with_PRISMA_reasons!W2:W2113""), $A1953=IMPORTRANGE(""https://docs.google.co"&amp;"m/spreadsheets/d/1qpEmbGH0JjaJbUdp21-y2cPbobDbMjr09BbtdKROZWc/edit#gid=1444865654"",""articles_with_PRISMA_reasons!B2:B2113""))&gt;=2,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$A1953=IMPORTRANGE(""https://docs.google.com/spreadsheets/d/1qpEmbGH0JjaJbUdp21-y2cPbobDbMjr09BbtdKROZWc/edit#gid=1444865654"",""articles_with_PRISMA_reasons!B2:B2113""))&lt;2),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$A1953=IMPORTRANGE(""https://docs.google.com/spreadsheets/d/1qpEmbGH0JjaJbUdp21-y2cPbobDbMjr09Bbtd"&amp;"KROZWc/edit#gid=1444865654"",""articles_with_PRISMA_reasons!B2:B2113""))&lt;2,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$A1953=I"&amp;"MPORTRANGE(""https://docs.google.com/spreadsheets/d/1qpEmbGH0JjaJbUdp21-y2cPbobDbMjr09BbtdKROZWc/edit#gid=1444865654"",""articles_with_PRISMA_reasons!B2:B2113""))&gt;=2),
""Exclude""
)"),"Exclude")</f>
        <v>Exclude</v>
      </c>
      <c r="F1953" s="5" t="str">
        <f>IFERROR(__xludf.DUMMYFUNCTION("IFS(
E1953=""Exclude"",""Exclude"",
AND(
COUNTIF(
IMPORTRANGE(""https://docs.google.com/spreadsheets/d/1kGrh75X1cNR1D7_FcY9zMnHP8iPO4M5RCRjy6nZY0TY/edit#gid=0"",""Table 1: Study characteristics!B4:B171""),A1953)&gt;0,
COUNTIF(Studies!$A$2:$A$85,FILTER(IMPORT"&amp;"RANGE(""https://docs.google.com/spreadsheets/d/1kGrh75X1cNR1D7_FcY9zMnHP8iPO4M5RCRjy6nZY0TY/edit#gid=0"",""Table 1: Study characteristics!A4:A171""), $A1953=IMPORTRANGE(""https://docs.google.com/spreadsheets/d/1kGrh75X1cNR1D7_FcY9zMnHP8iPO4M5RCRjy6nZY0TY/"&amp;"edit#gid=0"",""Table 1: Study characteristics!B4:B171"")))&gt;0
),
""Include""
)"),"Exclude")</f>
        <v>Exclude</v>
      </c>
      <c r="G1953" s="5" t="str">
        <f>IFERROR(__xludf.DUMMYFUNCTION("IFS(
D1953=""Exclude"",
FILTER(IMPORTRANGE(""https://docs.google.com/spreadsheets/d/1BJSV3WBYJGRhQ6zExamkszQ5VutGIcaQqmbD9ZTVXMQ/edit#gid=1251630045"",""articles_with_PRISMA_reasons!AB2:AB2113""), $A1953=IMPORTRANGE(""https://docs.google.com/spreadsheets/"&amp;"d/1BJSV3WBYJGRhQ6zExamkszQ5VutGIcaQqmbD9ZTVXMQ/edit#gid=1251630045"",""articles_with_PRISMA_reasons!B2:B2113"")),
E1953=""Exclude"",
FILTER(IMPORTRANGE(""https://docs.google.com/spreadsheets/d/1qpEmbGH0JjaJbUdp21-y2cPbobDbMjr09BbtdKROZWc/edit#gid=14448656"&amp;"54"",""articles_with_PRISMA_reasons!Z2:Z2113""), $A1953=IMPORTRANGE(""https://docs.google.com/spreadsheets/d/1qpEmbGH0JjaJbUdp21-y2cPbobDbMjr09BbtdKROZWc/edit#gid=1444865654"",""articles_with_PRISMA_reasons!B2:B2113"")),F1953
=""Include"",FILTER(IMPORTRAN"&amp;"GE(""https://docs.google.com/spreadsheets/d/1kGrh75X1cNR1D7_FcY9zMnHP8iPO4M5RCRjy6nZY0TY/edit#gid=0"",""Table 1: Study characteristics!A4:A171""), $A1953=IMPORTRANGE(""https://docs.google.com/spreadsheets/d/1kGrh75X1cNR1D7_FcY9zMnHP8iPO4M5RCRjy6nZY0TY/edi"&amp;"t#gid=0"",""Table 1: Study characteristics!B4:B171""))
)"),"wrong study design")</f>
        <v>wrong study design</v>
      </c>
    </row>
    <row r="1954">
      <c r="A1954" s="4" t="str">
        <f>IFERROR(__xludf.DUMMYFUNCTION("""COMPUTED_VALUE"""),"The upper airway: Congenital malformations")</f>
        <v>The upper airway: Congenital malformations</v>
      </c>
      <c r="B1954" s="5" t="str">
        <f>IFERROR(__xludf.DUMMYFUNCTION("LEFT(FILTER(IMPORTRANGE(""https://docs.google.com/spreadsheets/d/1BJSV3WBYJGRhQ6zExamkszQ5VutGIcaQqmbD9ZTVXMQ/edit#gid=1251630045"",""articles_with_PRISMA_reasons!K2:K2113""), $A1954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$A1954=IMPORTRANGE(""https://docs.google.com/spreadsheets/d/1BJSV3WBYJGRhQ6zExamkszQ5VutGIcaQqmbD9ZTVXMQ/edit#gid=1251630045"",""articles_with_PRISMA_reasons!B2:B2113"")))-1)"),"Daniel")</f>
        <v>Daniel</v>
      </c>
      <c r="C1954" s="6">
        <f>IFERROR(__xludf.DUMMYFUNCTION("FILTER(IMPORTRANGE(""https://docs.google.com/spreadsheets/d/1BJSV3WBYJGRhQ6zExamkszQ5VutGIcaQqmbD9ZTVXMQ/edit#gid=1251630045"",""articles_with_PRISMA_reasons!C2:C2113""), $A1954=IMPORTRANGE(""https://docs.google.com/spreadsheets/d/1BJSV3WBYJGRhQ6zExamkszQ"&amp;"5VutGIcaQqmbD9ZTVXMQ/edit#gid=1251630045"",""articles_with_PRISMA_reasons!B2:B2113""))"),2006.0)</f>
        <v>2006</v>
      </c>
      <c r="D1954" s="5" t="str">
        <f>IFERROR(__xludf.DUMMYFUNCTION("IFS(AND(
FILTER(IMPORTRANGE(""https://docs.google.com/spreadsheets/d/1BJSV3WBYJGRhQ6zExamkszQ5VutGIcaQqmbD9ZTVXMQ/edit#gid=1251630045"",""articles_with_PRISMA_reasons!Y2:Y2113""), $A1954=IMPORTRANGE(""https://docs.google.com/spreadsheets/d/1BJSV3WBYJGRhQ6"&amp;"zExamkszQ5VutGIcaQqmbD9ZTVXMQ/edit#gid=1251630045"",""articles_with_PRISMA_reasons!B2:B2113""))&gt;=2,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$A1954=IMPORTRANGE(""https://docs.google.com/spreadsheets/d/1BJSV3WBYJGRhQ6zExamkszQ5VutGIcaQqmbD9ZTVXMQ/edit#gid=1251630045"",""articles_with_PRISMA_reasons!B2:B2113""))&lt;2),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$A1954=IMPORTRANGE(""https://docs.google.com/spreadsheets/d/1BJSV3WBYJGRhQ6zExamkszQ5VutGIcaQqmbD9ZTVXMQ/edit#gid=1251630045"",""a"&amp;"rticles_with_PRISMA_reasons!B2:B2113""))&lt;2,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$A1954=IMPORTRANGE(""https://docs.google"&amp;".com/spreadsheets/d/1BJSV3WBYJGRhQ6zExamkszQ5VutGIcaQqmbD9ZTVXMQ/edit#gid=1251630045"",""articles_with_PRISMA_reasons!B2:B2113""))&gt;=2),
""Exclude""
)"),"Exclude")</f>
        <v>Exclude</v>
      </c>
      <c r="E1954" s="5" t="str">
        <f>IFERROR(__xludf.DUMMYFUNCTION("IFS(
D1954=""Exclude"",""Exclude"",
AND(
FILTER(IMPORTRANGE(""https://docs.google.com/spreadsheets/d/1qpEmbGH0JjaJbUdp21-y2cPbobDbMjr09BbtdKROZWc/edit#gid=1444865654"",""articles_with_PRISMA_reasons!W2:W2113""), $A1954=IMPORTRANGE(""https://docs.google.co"&amp;"m/spreadsheets/d/1qpEmbGH0JjaJbUdp21-y2cPbobDbMjr09BbtdKROZWc/edit#gid=1444865654"",""articles_with_PRISMA_reasons!B2:B2113""))&gt;=2,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$A1954=IMPORTRANGE(""https://docs.google.com/spreadsheets/d/1qpEmbGH0JjaJbUdp21-y2cPbobDbMjr09BbtdKROZWc/edit#gid=1444865654"",""articles_with_PRISMA_reasons!B2:B2113""))&lt;2),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$A1954=IMPORTRANGE(""https://docs.google.com/spreadsheets/d/1qpEmbGH0JjaJbUdp21-y2cPbobDbMjr09Bbtd"&amp;"KROZWc/edit#gid=1444865654"",""articles_with_PRISMA_reasons!B2:B2113""))&lt;2,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$A1954=I"&amp;"MPORTRANGE(""https://docs.google.com/spreadsheets/d/1qpEmbGH0JjaJbUdp21-y2cPbobDbMjr09BbtdKROZWc/edit#gid=1444865654"",""articles_with_PRISMA_reasons!B2:B2113""))&gt;=2),
""Exclude""
)"),"Exclude")</f>
        <v>Exclude</v>
      </c>
      <c r="F1954" s="5" t="str">
        <f>IFERROR(__xludf.DUMMYFUNCTION("IFS(
E1954=""Exclude"",""Exclude"",
AND(
COUNTIF(
IMPORTRANGE(""https://docs.google.com/spreadsheets/d/1kGrh75X1cNR1D7_FcY9zMnHP8iPO4M5RCRjy6nZY0TY/edit#gid=0"",""Table 1: Study characteristics!B4:B171""),A1954)&gt;0,
COUNTIF(Studies!$A$2:$A$85,FILTER(IMPORT"&amp;"RANGE(""https://docs.google.com/spreadsheets/d/1kGrh75X1cNR1D7_FcY9zMnHP8iPO4M5RCRjy6nZY0TY/edit#gid=0"",""Table 1: Study characteristics!A4:A171""), $A1954=IMPORTRANGE(""https://docs.google.com/spreadsheets/d/1kGrh75X1cNR1D7_FcY9zMnHP8iPO4M5RCRjy6nZY0TY/"&amp;"edit#gid=0"",""Table 1: Study characteristics!B4:B171"")))&gt;0
),
""Include""
)"),"Exclude")</f>
        <v>Exclude</v>
      </c>
      <c r="G1954" s="5" t="str">
        <f>IFERROR(__xludf.DUMMYFUNCTION("IFS(
D1954=""Exclude"",
FILTER(IMPORTRANGE(""https://docs.google.com/spreadsheets/d/1BJSV3WBYJGRhQ6zExamkszQ5VutGIcaQqmbD9ZTVXMQ/edit#gid=1251630045"",""articles_with_PRISMA_reasons!AB2:AB2113""), $A1954=IMPORTRANGE(""https://docs.google.com/spreadsheets/"&amp;"d/1BJSV3WBYJGRhQ6zExamkszQ5VutGIcaQqmbD9ZTVXMQ/edit#gid=1251630045"",""articles_with_PRISMA_reasons!B2:B2113"")),
E1954=""Exclude"",
FILTER(IMPORTRANGE(""https://docs.google.com/spreadsheets/d/1qpEmbGH0JjaJbUdp21-y2cPbobDbMjr09BbtdKROZWc/edit#gid=14448656"&amp;"54"",""articles_with_PRISMA_reasons!Z2:Z2113""), $A1954=IMPORTRANGE(""https://docs.google.com/spreadsheets/d/1qpEmbGH0JjaJbUdp21-y2cPbobDbMjr09BbtdKROZWc/edit#gid=1444865654"",""articles_with_PRISMA_reasons!B2:B2113"")),F1954
=""Include"",FILTER(IMPORTRAN"&amp;"GE(""https://docs.google.com/spreadsheets/d/1kGrh75X1cNR1D7_FcY9zMnHP8iPO4M5RCRjy6nZY0TY/edit#gid=0"",""Table 1: Study characteristics!A4:A171""), $A1954=IMPORTRANGE(""https://docs.google.com/spreadsheets/d/1kGrh75X1cNR1D7_FcY9zMnHP8iPO4M5RCRjy6nZY0TY/edi"&amp;"t#gid=0"",""Table 1: Study characteristics!B4:B171""))
)"),"wrong study design")</f>
        <v>wrong study design</v>
      </c>
    </row>
    <row r="1955">
      <c r="A1955" s="4" t="str">
        <f>IFERROR(__xludf.DUMMYFUNCTION("""COMPUTED_VALUE"""),"The upper extremity in myelomeningocele. Neglected element of functional diagnosis")</f>
        <v>The upper extremity in myelomeningocele. Neglected element of functional diagnosis</v>
      </c>
      <c r="B1955" s="5" t="str">
        <f>IFERROR(__xludf.DUMMYFUNCTION("LEFT(FILTER(IMPORTRANGE(""https://docs.google.com/spreadsheets/d/1BJSV3WBYJGRhQ6zExamkszQ5VutGIcaQqmbD9ZTVXMQ/edit#gid=1251630045"",""articles_with_PRISMA_reasons!K2:K2113""), $A1955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$A1955=IMPORTRANGE(""https://docs.google.com/spreadsheets/d/1BJSV3WBYJGRhQ6zExamkszQ5VutGIcaQqmbD9ZTVXMQ/edit#gid=1251630045"",""articles_with_PRISMA_reasons!B2:B2113"")))-1)"),"Dimeglio")</f>
        <v>Dimeglio</v>
      </c>
      <c r="C1955" s="6">
        <f>IFERROR(__xludf.DUMMYFUNCTION("FILTER(IMPORTRANGE(""https://docs.google.com/spreadsheets/d/1BJSV3WBYJGRhQ6zExamkszQ5VutGIcaQqmbD9ZTVXMQ/edit#gid=1251630045"",""articles_with_PRISMA_reasons!C2:C2113""), $A1955=IMPORTRANGE(""https://docs.google.com/spreadsheets/d/1BJSV3WBYJGRhQ6zExamkszQ"&amp;"5VutGIcaQqmbD9ZTVXMQ/edit#gid=1251630045"",""articles_with_PRISMA_reasons!B2:B2113""))"),1976.0)</f>
        <v>1976</v>
      </c>
      <c r="D1955" s="5" t="str">
        <f>IFERROR(__xludf.DUMMYFUNCTION("IFS(AND(
FILTER(IMPORTRANGE(""https://docs.google.com/spreadsheets/d/1BJSV3WBYJGRhQ6zExamkszQ5VutGIcaQqmbD9ZTVXMQ/edit#gid=1251630045"",""articles_with_PRISMA_reasons!Y2:Y2113""), $A1955=IMPORTRANGE(""https://docs.google.com/spreadsheets/d/1BJSV3WBYJGRhQ6"&amp;"zExamkszQ5VutGIcaQqmbD9ZTVXMQ/edit#gid=1251630045"",""articles_with_PRISMA_reasons!B2:B2113""))&gt;=2,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$A1955=IMPORTRANGE(""https://docs.google.com/spreadsheets/d/1BJSV3WBYJGRhQ6zExamkszQ5VutGIcaQqmbD9ZTVXMQ/edit#gid=1251630045"",""articles_with_PRISMA_reasons!B2:B2113""))&lt;2),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$A1955=IMPORTRANGE(""https://docs.google.com/spreadsheets/d/1BJSV3WBYJGRhQ6zExamkszQ5VutGIcaQqmbD9ZTVXMQ/edit#gid=1251630045"",""a"&amp;"rticles_with_PRISMA_reasons!B2:B2113""))&lt;2,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$A1955=IMPORTRANGE(""https://docs.google"&amp;".com/spreadsheets/d/1BJSV3WBYJGRhQ6zExamkszQ5VutGIcaQqmbD9ZTVXMQ/edit#gid=1251630045"",""articles_with_PRISMA_reasons!B2:B2113""))&gt;=2),
""Exclude""
)"),"Exclude")</f>
        <v>Exclude</v>
      </c>
      <c r="E1955" s="5" t="str">
        <f>IFERROR(__xludf.DUMMYFUNCTION("IFS(
D1955=""Exclude"",""Exclude"",
AND(
FILTER(IMPORTRANGE(""https://docs.google.com/spreadsheets/d/1qpEmbGH0JjaJbUdp21-y2cPbobDbMjr09BbtdKROZWc/edit#gid=1444865654"",""articles_with_PRISMA_reasons!W2:W2113""), $A1955=IMPORTRANGE(""https://docs.google.co"&amp;"m/spreadsheets/d/1qpEmbGH0JjaJbUdp21-y2cPbobDbMjr09BbtdKROZWc/edit#gid=1444865654"",""articles_with_PRISMA_reasons!B2:B2113""))&gt;=2,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$A1955=IMPORTRANGE(""https://docs.google.com/spreadsheets/d/1qpEmbGH0JjaJbUdp21-y2cPbobDbMjr09BbtdKROZWc/edit#gid=1444865654"",""articles_with_PRISMA_reasons!B2:B2113""))&lt;2),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$A1955=IMPORTRANGE(""https://docs.google.com/spreadsheets/d/1qpEmbGH0JjaJbUdp21-y2cPbobDbMjr09Bbtd"&amp;"KROZWc/edit#gid=1444865654"",""articles_with_PRISMA_reasons!B2:B2113""))&lt;2,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$A1955=I"&amp;"MPORTRANGE(""https://docs.google.com/spreadsheets/d/1qpEmbGH0JjaJbUdp21-y2cPbobDbMjr09BbtdKROZWc/edit#gid=1444865654"",""articles_with_PRISMA_reasons!B2:B2113""))&gt;=2),
""Exclude""
)"),"Exclude")</f>
        <v>Exclude</v>
      </c>
      <c r="F1955" s="5" t="str">
        <f>IFERROR(__xludf.DUMMYFUNCTION("IFS(
E1955=""Exclude"",""Exclude"",
AND(
COUNTIF(
IMPORTRANGE(""https://docs.google.com/spreadsheets/d/1kGrh75X1cNR1D7_FcY9zMnHP8iPO4M5RCRjy6nZY0TY/edit#gid=0"",""Table 1: Study characteristics!B4:B171""),A1955)&gt;0,
COUNTIF(Studies!$A$2:$A$85,FILTER(IMPORT"&amp;"RANGE(""https://docs.google.com/spreadsheets/d/1kGrh75X1cNR1D7_FcY9zMnHP8iPO4M5RCRjy6nZY0TY/edit#gid=0"",""Table 1: Study characteristics!A4:A171""), $A1955=IMPORTRANGE(""https://docs.google.com/spreadsheets/d/1kGrh75X1cNR1D7_FcY9zMnHP8iPO4M5RCRjy6nZY0TY/"&amp;"edit#gid=0"",""Table 1: Study characteristics!B4:B171"")))&gt;0
),
""Include""
)"),"Exclude")</f>
        <v>Exclude</v>
      </c>
      <c r="G1955" s="5" t="str">
        <f>IFERROR(__xludf.DUMMYFUNCTION("IFS(
D1955=""Exclude"",
FILTER(IMPORTRANGE(""https://docs.google.com/spreadsheets/d/1BJSV3WBYJGRhQ6zExamkszQ5VutGIcaQqmbD9ZTVXMQ/edit#gid=1251630045"",""articles_with_PRISMA_reasons!AB2:AB2113""), $A1955=IMPORTRANGE(""https://docs.google.com/spreadsheets/"&amp;"d/1BJSV3WBYJGRhQ6zExamkszQ5VutGIcaQqmbD9ZTVXMQ/edit#gid=1251630045"",""articles_with_PRISMA_reasons!B2:B2113"")),
E1955=""Exclude"",
FILTER(IMPORTRANGE(""https://docs.google.com/spreadsheets/d/1qpEmbGH0JjaJbUdp21-y2cPbobDbMjr09BbtdKROZWc/edit#gid=14448656"&amp;"54"",""articles_with_PRISMA_reasons!Z2:Z2113""), $A1955=IMPORTRANGE(""https://docs.google.com/spreadsheets/d/1qpEmbGH0JjaJbUdp21-y2cPbobDbMjr09BbtdKROZWc/edit#gid=1444865654"",""articles_with_PRISMA_reasons!B2:B2113"")),F1955
=""Include"",FILTER(IMPORTRAN"&amp;"GE(""https://docs.google.com/spreadsheets/d/1kGrh75X1cNR1D7_FcY9zMnHP8iPO4M5RCRjy6nZY0TY/edit#gid=0"",""Table 1: Study characteristics!A4:A171""), $A1955=IMPORTRANGE(""https://docs.google.com/spreadsheets/d/1kGrh75X1cNR1D7_FcY9zMnHP8iPO4M5RCRjy6nZY0TY/edi"&amp;"t#gid=0"",""Table 1: Study characteristics!B4:B171""))
)"),"wrong population")</f>
        <v>wrong population</v>
      </c>
    </row>
    <row r="1956">
      <c r="A1956" s="4" t="str">
        <f>IFERROR(__xludf.DUMMYFUNCTION("""COMPUTED_VALUE"""),"The urological manifestations of the tethered spinal cord")</f>
        <v>The urological manifestations of the tethered spinal cord</v>
      </c>
      <c r="B1956" s="5" t="str">
        <f>IFERROR(__xludf.DUMMYFUNCTION("LEFT(FILTER(IMPORTRANGE(""https://docs.google.com/spreadsheets/d/1BJSV3WBYJGRhQ6zExamkszQ5VutGIcaQqmbD9ZTVXMQ/edit#gid=1251630045"",""articles_with_PRISMA_reasons!K2:K2113""), $A1956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$A1956=IMPORTRANGE(""https://docs.google.com/spreadsheets/d/1BJSV3WBYJGRhQ6zExamkszQ5VutGIcaQqmbD9ZTVXMQ/edit#gid=1251630045"",""articles_with_PRISMA_reasons!B2:B2113"")))-1)"),"Kavukcu")</f>
        <v>Kavukcu</v>
      </c>
      <c r="C1956" s="6">
        <f>IFERROR(__xludf.DUMMYFUNCTION("FILTER(IMPORTRANGE(""https://docs.google.com/spreadsheets/d/1BJSV3WBYJGRhQ6zExamkszQ5VutGIcaQqmbD9ZTVXMQ/edit#gid=1251630045"",""articles_with_PRISMA_reasons!C2:C2113""), $A1956=IMPORTRANGE(""https://docs.google.com/spreadsheets/d/1BJSV3WBYJGRhQ6zExamkszQ"&amp;"5VutGIcaQqmbD9ZTVXMQ/edit#gid=1251630045"",""articles_with_PRISMA_reasons!B2:B2113""))"),1993.0)</f>
        <v>1993</v>
      </c>
      <c r="D1956" s="5" t="str">
        <f>IFERROR(__xludf.DUMMYFUNCTION("IFS(AND(
FILTER(IMPORTRANGE(""https://docs.google.com/spreadsheets/d/1BJSV3WBYJGRhQ6zExamkszQ5VutGIcaQqmbD9ZTVXMQ/edit#gid=1251630045"",""articles_with_PRISMA_reasons!Y2:Y2113""), $A1956=IMPORTRANGE(""https://docs.google.com/spreadsheets/d/1BJSV3WBYJGRhQ6"&amp;"zExamkszQ5VutGIcaQqmbD9ZTVXMQ/edit#gid=1251630045"",""articles_with_PRISMA_reasons!B2:B2113""))&gt;=2,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$A1956=IMPORTRANGE(""https://docs.google.com/spreadsheets/d/1BJSV3WBYJGRhQ6zExamkszQ5VutGIcaQqmbD9ZTVXMQ/edit#gid=1251630045"",""articles_with_PRISMA_reasons!B2:B2113""))&lt;2),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$A1956=IMPORTRANGE(""https://docs.google.com/spreadsheets/d/1BJSV3WBYJGRhQ6zExamkszQ5VutGIcaQqmbD9ZTVXMQ/edit#gid=1251630045"",""a"&amp;"rticles_with_PRISMA_reasons!B2:B2113""))&lt;2,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$A1956=IMPORTRANGE(""https://docs.google"&amp;".com/spreadsheets/d/1BJSV3WBYJGRhQ6zExamkszQ5VutGIcaQqmbD9ZTVXMQ/edit#gid=1251630045"",""articles_with_PRISMA_reasons!B2:B2113""))&gt;=2),
""Exclude""
)"),"Exclude")</f>
        <v>Exclude</v>
      </c>
      <c r="E1956" s="5" t="str">
        <f>IFERROR(__xludf.DUMMYFUNCTION("IFS(
D1956=""Exclude"",""Exclude"",
AND(
FILTER(IMPORTRANGE(""https://docs.google.com/spreadsheets/d/1qpEmbGH0JjaJbUdp21-y2cPbobDbMjr09BbtdKROZWc/edit#gid=1444865654"",""articles_with_PRISMA_reasons!W2:W2113""), $A1956=IMPORTRANGE(""https://docs.google.co"&amp;"m/spreadsheets/d/1qpEmbGH0JjaJbUdp21-y2cPbobDbMjr09BbtdKROZWc/edit#gid=1444865654"",""articles_with_PRISMA_reasons!B2:B2113""))&gt;=2,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$A1956=IMPORTRANGE(""https://docs.google.com/spreadsheets/d/1qpEmbGH0JjaJbUdp21-y2cPbobDbMjr09BbtdKROZWc/edit#gid=1444865654"",""articles_with_PRISMA_reasons!B2:B2113""))&lt;2),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$A1956=IMPORTRANGE(""https://docs.google.com/spreadsheets/d/1qpEmbGH0JjaJbUdp21-y2cPbobDbMjr09Bbtd"&amp;"KROZWc/edit#gid=1444865654"",""articles_with_PRISMA_reasons!B2:B2113""))&lt;2,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$A1956=I"&amp;"MPORTRANGE(""https://docs.google.com/spreadsheets/d/1qpEmbGH0JjaJbUdp21-y2cPbobDbMjr09BbtdKROZWc/edit#gid=1444865654"",""articles_with_PRISMA_reasons!B2:B2113""))&gt;=2),
""Exclude""
)"),"Exclude")</f>
        <v>Exclude</v>
      </c>
      <c r="F1956" s="5" t="str">
        <f>IFERROR(__xludf.DUMMYFUNCTION("IFS(
E1956=""Exclude"",""Exclude"",
AND(
COUNTIF(
IMPORTRANGE(""https://docs.google.com/spreadsheets/d/1kGrh75X1cNR1D7_FcY9zMnHP8iPO4M5RCRjy6nZY0TY/edit#gid=0"",""Table 1: Study characteristics!B4:B171""),A1956)&gt;0,
COUNTIF(Studies!$A$2:$A$85,FILTER(IMPORT"&amp;"RANGE(""https://docs.google.com/spreadsheets/d/1kGrh75X1cNR1D7_FcY9zMnHP8iPO4M5RCRjy6nZY0TY/edit#gid=0"",""Table 1: Study characteristics!A4:A171""), $A1956=IMPORTRANGE(""https://docs.google.com/spreadsheets/d/1kGrh75X1cNR1D7_FcY9zMnHP8iPO4M5RCRjy6nZY0TY/"&amp;"edit#gid=0"",""Table 1: Study characteristics!B4:B171"")))&gt;0
),
""Include""
)"),"Exclude")</f>
        <v>Exclude</v>
      </c>
      <c r="G1956" s="5" t="str">
        <f>IFERROR(__xludf.DUMMYFUNCTION("IFS(
D1956=""Exclude"",
FILTER(IMPORTRANGE(""https://docs.google.com/spreadsheets/d/1BJSV3WBYJGRhQ6zExamkszQ5VutGIcaQqmbD9ZTVXMQ/edit#gid=1251630045"",""articles_with_PRISMA_reasons!AB2:AB2113""), $A1956=IMPORTRANGE(""https://docs.google.com/spreadsheets/"&amp;"d/1BJSV3WBYJGRhQ6zExamkszQ5VutGIcaQqmbD9ZTVXMQ/edit#gid=1251630045"",""articles_with_PRISMA_reasons!B2:B2113"")),
E1956=""Exclude"",
FILTER(IMPORTRANGE(""https://docs.google.com/spreadsheets/d/1qpEmbGH0JjaJbUdp21-y2cPbobDbMjr09BbtdKROZWc/edit#gid=14448656"&amp;"54"",""articles_with_PRISMA_reasons!Z2:Z2113""), $A1956=IMPORTRANGE(""https://docs.google.com/spreadsheets/d/1qpEmbGH0JjaJbUdp21-y2cPbobDbMjr09BbtdKROZWc/edit#gid=1444865654"",""articles_with_PRISMA_reasons!B2:B2113"")),F1956
=""Include"",FILTER(IMPORTRAN"&amp;"GE(""https://docs.google.com/spreadsheets/d/1kGrh75X1cNR1D7_FcY9zMnHP8iPO4M5RCRjy6nZY0TY/edit#gid=0"",""Table 1: Study characteristics!A4:A171""), $A1956=IMPORTRANGE(""https://docs.google.com/spreadsheets/d/1kGrh75X1cNR1D7_FcY9zMnHP8iPO4M5RCRjy6nZY0TY/edi"&amp;"t#gid=0"",""Table 1: Study characteristics!B4:B171""))
)"),"wrong study design")</f>
        <v>wrong study design</v>
      </c>
    </row>
    <row r="1957">
      <c r="A1957" s="4" t="str">
        <f>IFERROR(__xludf.DUMMYFUNCTION("""COMPUTED_VALUE"""),"The use of de-epithelialized skin flap in the surgical repair of terminal myelocystoceles")</f>
        <v>The use of de-epithelialized skin flap in the surgical repair of terminal myelocystoceles</v>
      </c>
      <c r="B1957" s="5" t="str">
        <f>IFERROR(__xludf.DUMMYFUNCTION("LEFT(FILTER(IMPORTRANGE(""https://docs.google.com/spreadsheets/d/1BJSV3WBYJGRhQ6zExamkszQ5VutGIcaQqmbD9ZTVXMQ/edit#gid=1251630045"",""articles_with_PRISMA_reasons!K2:K2113""), $A1957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$A1957=IMPORTRANGE(""https://docs.google.com/spreadsheets/d/1BJSV3WBYJGRhQ6zExamkszQ5VutGIcaQqmbD9ZTVXMQ/edit#gid=1251630045"",""articles_with_PRISMA_reasons!B2:B2113"")))-1)"),"Bulstrode")</f>
        <v>Bulstrode</v>
      </c>
      <c r="C1957" s="6">
        <f>IFERROR(__xludf.DUMMYFUNCTION("FILTER(IMPORTRANGE(""https://docs.google.com/spreadsheets/d/1BJSV3WBYJGRhQ6zExamkszQ5VutGIcaQqmbD9ZTVXMQ/edit#gid=1251630045"",""articles_with_PRISMA_reasons!C2:C2113""), $A1957=IMPORTRANGE(""https://docs.google.com/spreadsheets/d/1BJSV3WBYJGRhQ6zExamkszQ"&amp;"5VutGIcaQqmbD9ZTVXMQ/edit#gid=1251630045"",""articles_with_PRISMA_reasons!B2:B2113""))"),2015.0)</f>
        <v>2015</v>
      </c>
      <c r="D1957" s="5" t="str">
        <f>IFERROR(__xludf.DUMMYFUNCTION("IFS(AND(
FILTER(IMPORTRANGE(""https://docs.google.com/spreadsheets/d/1BJSV3WBYJGRhQ6zExamkszQ5VutGIcaQqmbD9ZTVXMQ/edit#gid=1251630045"",""articles_with_PRISMA_reasons!Y2:Y2113""), $A1957=IMPORTRANGE(""https://docs.google.com/spreadsheets/d/1BJSV3WBYJGRhQ6"&amp;"zExamkszQ5VutGIcaQqmbD9ZTVXMQ/edit#gid=1251630045"",""articles_with_PRISMA_reasons!B2:B2113""))&gt;=2,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$A1957=IMPORTRANGE(""https://docs.google.com/spreadsheets/d/1BJSV3WBYJGRhQ6zExamkszQ5VutGIcaQqmbD9ZTVXMQ/edit#gid=1251630045"",""articles_with_PRISMA_reasons!B2:B2113""))&lt;2),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$A1957=IMPORTRANGE(""https://docs.google.com/spreadsheets/d/1BJSV3WBYJGRhQ6zExamkszQ5VutGIcaQqmbD9ZTVXMQ/edit#gid=1251630045"",""a"&amp;"rticles_with_PRISMA_reasons!B2:B2113""))&lt;2,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$A1957=IMPORTRANGE(""https://docs.google"&amp;".com/spreadsheets/d/1BJSV3WBYJGRhQ6zExamkszQ5VutGIcaQqmbD9ZTVXMQ/edit#gid=1251630045"",""articles_with_PRISMA_reasons!B2:B2113""))&gt;=2),
""Exclude""
)"),"Exclude")</f>
        <v>Exclude</v>
      </c>
      <c r="E1957" s="5" t="str">
        <f>IFERROR(__xludf.DUMMYFUNCTION("IFS(
D1957=""Exclude"",""Exclude"",
AND(
FILTER(IMPORTRANGE(""https://docs.google.com/spreadsheets/d/1qpEmbGH0JjaJbUdp21-y2cPbobDbMjr09BbtdKROZWc/edit#gid=1444865654"",""articles_with_PRISMA_reasons!W2:W2113""), $A1957=IMPORTRANGE(""https://docs.google.co"&amp;"m/spreadsheets/d/1qpEmbGH0JjaJbUdp21-y2cPbobDbMjr09BbtdKROZWc/edit#gid=1444865654"",""articles_with_PRISMA_reasons!B2:B2113""))&gt;=2,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$A1957=IMPORTRANGE(""https://docs.google.com/spreadsheets/d/1qpEmbGH0JjaJbUdp21-y2cPbobDbMjr09BbtdKROZWc/edit#gid=1444865654"",""articles_with_PRISMA_reasons!B2:B2113""))&lt;2),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$A1957=IMPORTRANGE(""https://docs.google.com/spreadsheets/d/1qpEmbGH0JjaJbUdp21-y2cPbobDbMjr09Bbtd"&amp;"KROZWc/edit#gid=1444865654"",""articles_with_PRISMA_reasons!B2:B2113""))&lt;2,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$A1957=I"&amp;"MPORTRANGE(""https://docs.google.com/spreadsheets/d/1qpEmbGH0JjaJbUdp21-y2cPbobDbMjr09BbtdKROZWc/edit#gid=1444865654"",""articles_with_PRISMA_reasons!B2:B2113""))&gt;=2),
""Exclude""
)"),"Exclude")</f>
        <v>Exclude</v>
      </c>
      <c r="F1957" s="5" t="str">
        <f>IFERROR(__xludf.DUMMYFUNCTION("IFS(
E1957=""Exclude"",""Exclude"",
AND(
COUNTIF(
IMPORTRANGE(""https://docs.google.com/spreadsheets/d/1kGrh75X1cNR1D7_FcY9zMnHP8iPO4M5RCRjy6nZY0TY/edit#gid=0"",""Table 1: Study characteristics!B4:B171""),A1957)&gt;0,
COUNTIF(Studies!$A$2:$A$85,FILTER(IMPORT"&amp;"RANGE(""https://docs.google.com/spreadsheets/d/1kGrh75X1cNR1D7_FcY9zMnHP8iPO4M5RCRjy6nZY0TY/edit#gid=0"",""Table 1: Study characteristics!A4:A171""), $A1957=IMPORTRANGE(""https://docs.google.com/spreadsheets/d/1kGrh75X1cNR1D7_FcY9zMnHP8iPO4M5RCRjy6nZY0TY/"&amp;"edit#gid=0"",""Table 1: Study characteristics!B4:B171"")))&gt;0
),
""Include""
)"),"Exclude")</f>
        <v>Exclude</v>
      </c>
      <c r="G1957" s="5" t="str">
        <f>IFERROR(__xludf.DUMMYFUNCTION("IFS(
D1957=""Exclude"",
FILTER(IMPORTRANGE(""https://docs.google.com/spreadsheets/d/1BJSV3WBYJGRhQ6zExamkszQ5VutGIcaQqmbD9ZTVXMQ/edit#gid=1251630045"",""articles_with_PRISMA_reasons!AB2:AB2113""), $A1957=IMPORTRANGE(""https://docs.google.com/spreadsheets/"&amp;"d/1BJSV3WBYJGRhQ6zExamkszQ5VutGIcaQqmbD9ZTVXMQ/edit#gid=1251630045"",""articles_with_PRISMA_reasons!B2:B2113"")),
E1957=""Exclude"",
FILTER(IMPORTRANGE(""https://docs.google.com/spreadsheets/d/1qpEmbGH0JjaJbUdp21-y2cPbobDbMjr09BbtdKROZWc/edit#gid=14448656"&amp;"54"",""articles_with_PRISMA_reasons!Z2:Z2113""), $A1957=IMPORTRANGE(""https://docs.google.com/spreadsheets/d/1qpEmbGH0JjaJbUdp21-y2cPbobDbMjr09BbtdKROZWc/edit#gid=1444865654"",""articles_with_PRISMA_reasons!B2:B2113"")),F1957
=""Include"",FILTER(IMPORTRAN"&amp;"GE(""https://docs.google.com/spreadsheets/d/1kGrh75X1cNR1D7_FcY9zMnHP8iPO4M5RCRjy6nZY0TY/edit#gid=0"",""Table 1: Study characteristics!A4:A171""), $A1957=IMPORTRANGE(""https://docs.google.com/spreadsheets/d/1kGrh75X1cNR1D7_FcY9zMnHP8iPO4M5RCRjy6nZY0TY/edi"&amp;"t#gid=0"",""Table 1: Study characteristics!B4:B171""))
)"),"wrong study design")</f>
        <v>wrong study design</v>
      </c>
    </row>
    <row r="1958">
      <c r="A1958" s="4" t="str">
        <f>IFERROR(__xludf.DUMMYFUNCTION("""COMPUTED_VALUE"""),"The Use of External Ventricular Drainage to Reduce the Frequency of Wound Complications in Myelomeningocele Closure")</f>
        <v>The Use of External Ventricular Drainage to Reduce the Frequency of Wound Complications in Myelomeningocele Closure</v>
      </c>
      <c r="B1958" s="5" t="str">
        <f>IFERROR(__xludf.DUMMYFUNCTION("LEFT(FILTER(IMPORTRANGE(""https://docs.google.com/spreadsheets/d/1BJSV3WBYJGRhQ6zExamkszQ5VutGIcaQqmbD9ZTVXMQ/edit#gid=1251630045"",""articles_with_PRISMA_reasons!K2:K2113""), $A1958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$A1958=IMPORTRANGE(""https://docs.google.com/spreadsheets/d/1BJSV3WBYJGRhQ6zExamkszQ5VutGIcaQqmbD9ZTVXMQ/edit#gid=1251630045"",""articles_with_PRISMA_reasons!B2:B2113"")))-1)"),"McDowell")</f>
        <v>McDowell</v>
      </c>
      <c r="C1958" s="6">
        <f>IFERROR(__xludf.DUMMYFUNCTION("FILTER(IMPORTRANGE(""https://docs.google.com/spreadsheets/d/1BJSV3WBYJGRhQ6zExamkszQ5VutGIcaQqmbD9ZTVXMQ/edit#gid=1251630045"",""articles_with_PRISMA_reasons!C2:C2113""), $A1958=IMPORTRANGE(""https://docs.google.com/spreadsheets/d/1BJSV3WBYJGRhQ6zExamkszQ"&amp;"5VutGIcaQqmbD9ZTVXMQ/edit#gid=1251630045"",""articles_with_PRISMA_reasons!B2:B2113""))"),2018.0)</f>
        <v>2018</v>
      </c>
      <c r="D1958" s="5" t="str">
        <f>IFERROR(__xludf.DUMMYFUNCTION("IFS(AND(
FILTER(IMPORTRANGE(""https://docs.google.com/spreadsheets/d/1BJSV3WBYJGRhQ6zExamkszQ5VutGIcaQqmbD9ZTVXMQ/edit#gid=1251630045"",""articles_with_PRISMA_reasons!Y2:Y2113""), $A1958=IMPORTRANGE(""https://docs.google.com/spreadsheets/d/1BJSV3WBYJGRhQ6"&amp;"zExamkszQ5VutGIcaQqmbD9ZTVXMQ/edit#gid=1251630045"",""articles_with_PRISMA_reasons!B2:B2113""))&gt;=2,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$A1958=IMPORTRANGE(""https://docs.google.com/spreadsheets/d/1BJSV3WBYJGRhQ6zExamkszQ5VutGIcaQqmbD9ZTVXMQ/edit#gid=1251630045"",""articles_with_PRISMA_reasons!B2:B2113""))&lt;2),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$A1958=IMPORTRANGE(""https://docs.google.com/spreadsheets/d/1BJSV3WBYJGRhQ6zExamkszQ5VutGIcaQqmbD9ZTVXMQ/edit#gid=1251630045"",""a"&amp;"rticles_with_PRISMA_reasons!B2:B2113""))&lt;2,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$A1958=IMPORTRANGE(""https://docs.google"&amp;".com/spreadsheets/d/1BJSV3WBYJGRhQ6zExamkszQ5VutGIcaQqmbD9ZTVXMQ/edit#gid=1251630045"",""articles_with_PRISMA_reasons!B2:B2113""))&gt;=2),
""Exclude""
)"),"Include")</f>
        <v>Include</v>
      </c>
      <c r="E1958" s="5" t="str">
        <f>IFERROR(__xludf.DUMMYFUNCTION("IFS(
D1958=""Exclude"",""Exclude"",
AND(
FILTER(IMPORTRANGE(""https://docs.google.com/spreadsheets/d/1qpEmbGH0JjaJbUdp21-y2cPbobDbMjr09BbtdKROZWc/edit#gid=1444865654"",""articles_with_PRISMA_reasons!W2:W2113""), $A1958=IMPORTRANGE(""https://docs.google.co"&amp;"m/spreadsheets/d/1qpEmbGH0JjaJbUdp21-y2cPbobDbMjr09BbtdKROZWc/edit#gid=1444865654"",""articles_with_PRISMA_reasons!B2:B2113""))&gt;=2,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$A1958=IMPORTRANGE(""https://docs.google.com/spreadsheets/d/1qpEmbGH0JjaJbUdp21-y2cPbobDbMjr09BbtdKROZWc/edit#gid=1444865654"",""articles_with_PRISMA_reasons!B2:B2113""))&lt;2),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$A1958=IMPORTRANGE(""https://docs.google.com/spreadsheets/d/1qpEmbGH0JjaJbUdp21-y2cPbobDbMjr09Bbtd"&amp;"KROZWc/edit#gid=1444865654"",""articles_with_PRISMA_reasons!B2:B2113""))&lt;2,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$A1958=I"&amp;"MPORTRANGE(""https://docs.google.com/spreadsheets/d/1qpEmbGH0JjaJbUdp21-y2cPbobDbMjr09BbtdKROZWc/edit#gid=1444865654"",""articles_with_PRISMA_reasons!B2:B2113""))&gt;=2),
""Exclude""
)"),"Include")</f>
        <v>Include</v>
      </c>
      <c r="F1958" s="5" t="str">
        <f>IFERROR(__xludf.DUMMYFUNCTION("IFS(
E1958=""Exclude"",""Exclude"",
AND(
COUNTIF(
IMPORTRANGE(""https://docs.google.com/spreadsheets/d/1kGrh75X1cNR1D7_FcY9zMnHP8iPO4M5RCRjy6nZY0TY/edit#gid=0"",""Table 1: Study characteristics!B4:B171""),A1958)&gt;0,
COUNTIF(Studies!$A$2:$A$85,FILTER(IMPORT"&amp;"RANGE(""https://docs.google.com/spreadsheets/d/1kGrh75X1cNR1D7_FcY9zMnHP8iPO4M5RCRjy6nZY0TY/edit#gid=0"",""Table 1: Study characteristics!A4:A171""), $A1958=IMPORTRANGE(""https://docs.google.com/spreadsheets/d/1kGrh75X1cNR1D7_FcY9zMnHP8iPO4M5RCRjy6nZY0TY/"&amp;"edit#gid=0"",""Table 1: Study characteristics!B4:B171"")))&gt;0
),
""Include""
)"),"Include")</f>
        <v>Include</v>
      </c>
      <c r="G1958" s="5" t="str">
        <f>IFERROR(__xludf.DUMMYFUNCTION("IFS(
D1958=""Exclude"",
FILTER(IMPORTRANGE(""https://docs.google.com/spreadsheets/d/1BJSV3WBYJGRhQ6zExamkszQ5VutGIcaQqmbD9ZTVXMQ/edit#gid=1251630045"",""articles_with_PRISMA_reasons!AB2:AB2113""), $A1958=IMPORTRANGE(""https://docs.google.com/spreadsheets/"&amp;"d/1BJSV3WBYJGRhQ6zExamkszQ5VutGIcaQqmbD9ZTVXMQ/edit#gid=1251630045"",""articles_with_PRISMA_reasons!B2:B2113"")),
E1958=""Exclude"",
FILTER(IMPORTRANGE(""https://docs.google.com/spreadsheets/d/1qpEmbGH0JjaJbUdp21-y2cPbobDbMjr09BbtdKROZWc/edit#gid=14448656"&amp;"54"",""articles_with_PRISMA_reasons!Z2:Z2113""), $A1958=IMPORTRANGE(""https://docs.google.com/spreadsheets/d/1qpEmbGH0JjaJbUdp21-y2cPbobDbMjr09BbtdKROZWc/edit#gid=1444865654"",""articles_with_PRISMA_reasons!B2:B2113"")),F1958
=""Include"",FILTER(IMPORTRAN"&amp;"GE(""https://docs.google.com/spreadsheets/d/1kGrh75X1cNR1D7_FcY9zMnHP8iPO4M5RCRjy6nZY0TY/edit#gid=0"",""Table 1: Study characteristics!A4:A171""), $A1958=IMPORTRANGE(""https://docs.google.com/spreadsheets/d/1kGrh75X1cNR1D7_FcY9zMnHP8iPO4M5RCRjy6nZY0TY/edi"&amp;"t#gid=0"",""Table 1: Study characteristics!B4:B171""))
)"),"ID 159")</f>
        <v>ID 159</v>
      </c>
    </row>
    <row r="1959">
      <c r="A1959" s="4" t="str">
        <f>IFERROR(__xludf.DUMMYFUNCTION("""COMPUTED_VALUE"""),"The use of health care resources by young adults with spina bifida")</f>
        <v>The use of health care resources by young adults with spina bifida</v>
      </c>
      <c r="B1959" s="5" t="str">
        <f>IFERROR(__xludf.DUMMYFUNCTION("LEFT(FILTER(IMPORTRANGE(""https://docs.google.com/spreadsheets/d/1BJSV3WBYJGRhQ6zExamkszQ5VutGIcaQqmbD9ZTVXMQ/edit#gid=1251630045"",""articles_with_PRISMA_reasons!K2:K2113""), $A1959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$A1959=IMPORTRANGE(""https://docs.google.com/spreadsheets/d/1BJSV3WBYJGRhQ6zExamkszQ5VutGIcaQqmbD9ZTVXMQ/edit#gid=1251630045"",""articles_with_PRISMA_reasons!B2:B2113"")))-1)"),"Benjamin")</f>
        <v>Benjamin</v>
      </c>
      <c r="C1959" s="6">
        <f>IFERROR(__xludf.DUMMYFUNCTION("FILTER(IMPORTRANGE(""https://docs.google.com/spreadsheets/d/1BJSV3WBYJGRhQ6zExamkszQ5VutGIcaQqmbD9ZTVXMQ/edit#gid=1251630045"",""articles_with_PRISMA_reasons!C2:C2113""), $A1959=IMPORTRANGE(""https://docs.google.com/spreadsheets/d/1BJSV3WBYJGRhQ6zExamkszQ"&amp;"5VutGIcaQqmbD9ZTVXMQ/edit#gid=1251630045"",""articles_with_PRISMA_reasons!B2:B2113""))"),1988.0)</f>
        <v>1988</v>
      </c>
      <c r="D1959" s="5" t="str">
        <f>IFERROR(__xludf.DUMMYFUNCTION("IFS(AND(
FILTER(IMPORTRANGE(""https://docs.google.com/spreadsheets/d/1BJSV3WBYJGRhQ6zExamkszQ5VutGIcaQqmbD9ZTVXMQ/edit#gid=1251630045"",""articles_with_PRISMA_reasons!Y2:Y2113""), $A1959=IMPORTRANGE(""https://docs.google.com/spreadsheets/d/1BJSV3WBYJGRhQ6"&amp;"zExamkszQ5VutGIcaQqmbD9ZTVXMQ/edit#gid=1251630045"",""articles_with_PRISMA_reasons!B2:B2113""))&gt;=2,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$A1959=IMPORTRANGE(""https://docs.google.com/spreadsheets/d/1BJSV3WBYJGRhQ6zExamkszQ5VutGIcaQqmbD9ZTVXMQ/edit#gid=1251630045"",""articles_with_PRISMA_reasons!B2:B2113""))&lt;2),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$A1959=IMPORTRANGE(""https://docs.google.com/spreadsheets/d/1BJSV3WBYJGRhQ6zExamkszQ5VutGIcaQqmbD9ZTVXMQ/edit#gid=1251630045"",""a"&amp;"rticles_with_PRISMA_reasons!B2:B2113""))&lt;2,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$A1959=IMPORTRANGE(""https://docs.google"&amp;".com/spreadsheets/d/1BJSV3WBYJGRhQ6zExamkszQ5VutGIcaQqmbD9ZTVXMQ/edit#gid=1251630045"",""articles_with_PRISMA_reasons!B2:B2113""))&gt;=2),
""Exclude""
)"),"Exclude")</f>
        <v>Exclude</v>
      </c>
      <c r="E1959" s="5" t="str">
        <f>IFERROR(__xludf.DUMMYFUNCTION("IFS(
D1959=""Exclude"",""Exclude"",
AND(
FILTER(IMPORTRANGE(""https://docs.google.com/spreadsheets/d/1qpEmbGH0JjaJbUdp21-y2cPbobDbMjr09BbtdKROZWc/edit#gid=1444865654"",""articles_with_PRISMA_reasons!W2:W2113""), $A1959=IMPORTRANGE(""https://docs.google.co"&amp;"m/spreadsheets/d/1qpEmbGH0JjaJbUdp21-y2cPbobDbMjr09BbtdKROZWc/edit#gid=1444865654"",""articles_with_PRISMA_reasons!B2:B2113""))&gt;=2,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$A1959=IMPORTRANGE(""https://docs.google.com/spreadsheets/d/1qpEmbGH0JjaJbUdp21-y2cPbobDbMjr09BbtdKROZWc/edit#gid=1444865654"",""articles_with_PRISMA_reasons!B2:B2113""))&lt;2),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$A1959=IMPORTRANGE(""https://docs.google.com/spreadsheets/d/1qpEmbGH0JjaJbUdp21-y2cPbobDbMjr09Bbtd"&amp;"KROZWc/edit#gid=1444865654"",""articles_with_PRISMA_reasons!B2:B2113""))&lt;2,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$A1959=I"&amp;"MPORTRANGE(""https://docs.google.com/spreadsheets/d/1qpEmbGH0JjaJbUdp21-y2cPbobDbMjr09BbtdKROZWc/edit#gid=1444865654"",""articles_with_PRISMA_reasons!B2:B2113""))&gt;=2),
""Exclude""
)"),"Exclude")</f>
        <v>Exclude</v>
      </c>
      <c r="F1959" s="5" t="str">
        <f>IFERROR(__xludf.DUMMYFUNCTION("IFS(
E1959=""Exclude"",""Exclude"",
AND(
COUNTIF(
IMPORTRANGE(""https://docs.google.com/spreadsheets/d/1kGrh75X1cNR1D7_FcY9zMnHP8iPO4M5RCRjy6nZY0TY/edit#gid=0"",""Table 1: Study characteristics!B4:B171""),A1959)&gt;0,
COUNTIF(Studies!$A$2:$A$85,FILTER(IMPORT"&amp;"RANGE(""https://docs.google.com/spreadsheets/d/1kGrh75X1cNR1D7_FcY9zMnHP8iPO4M5RCRjy6nZY0TY/edit#gid=0"",""Table 1: Study characteristics!A4:A171""), $A1959=IMPORTRANGE(""https://docs.google.com/spreadsheets/d/1kGrh75X1cNR1D7_FcY9zMnHP8iPO4M5RCRjy6nZY0TY/"&amp;"edit#gid=0"",""Table 1: Study characteristics!B4:B171"")))&gt;0
),
""Include""
)"),"Exclude")</f>
        <v>Exclude</v>
      </c>
      <c r="G1959" s="5" t="str">
        <f>IFERROR(__xludf.DUMMYFUNCTION("IFS(
D1959=""Exclude"",
FILTER(IMPORTRANGE(""https://docs.google.com/spreadsheets/d/1BJSV3WBYJGRhQ6zExamkszQ5VutGIcaQqmbD9ZTVXMQ/edit#gid=1251630045"",""articles_with_PRISMA_reasons!AB2:AB2113""), $A1959=IMPORTRANGE(""https://docs.google.com/spreadsheets/"&amp;"d/1BJSV3WBYJGRhQ6zExamkszQ5VutGIcaQqmbD9ZTVXMQ/edit#gid=1251630045"",""articles_with_PRISMA_reasons!B2:B2113"")),
E1959=""Exclude"",
FILTER(IMPORTRANGE(""https://docs.google.com/spreadsheets/d/1qpEmbGH0JjaJbUdp21-y2cPbobDbMjr09BbtdKROZWc/edit#gid=14448656"&amp;"54"",""articles_with_PRISMA_reasons!Z2:Z2113""), $A1959=IMPORTRANGE(""https://docs.google.com/spreadsheets/d/1qpEmbGH0JjaJbUdp21-y2cPbobDbMjr09BbtdKROZWc/edit#gid=1444865654"",""articles_with_PRISMA_reasons!B2:B2113"")),F1959
=""Include"",FILTER(IMPORTRAN"&amp;"GE(""https://docs.google.com/spreadsheets/d/1kGrh75X1cNR1D7_FcY9zMnHP8iPO4M5RCRjy6nZY0TY/edit#gid=0"",""Table 1: Study characteristics!A4:A171""), $A1959=IMPORTRANGE(""https://docs.google.com/spreadsheets/d/1kGrh75X1cNR1D7_FcY9zMnHP8iPO4M5RCRjy6nZY0TY/edi"&amp;"t#gid=0"",""Table 1: Study characteristics!B4:B171""))
)"),"wrong population")</f>
        <v>wrong population</v>
      </c>
    </row>
    <row r="1960">
      <c r="A1960" s="4" t="str">
        <f>IFERROR(__xludf.DUMMYFUNCTION("""COMPUTED_VALUE"""),"The use of magnetic resonance imaging for the diagnosis of fetal intracranial anomalies")</f>
        <v>The use of magnetic resonance imaging for the diagnosis of fetal intracranial anomalies</v>
      </c>
      <c r="B1960" s="5" t="str">
        <f>IFERROR(__xludf.DUMMYFUNCTION("LEFT(FILTER(IMPORTRANGE(""https://docs.google.com/spreadsheets/d/1BJSV3WBYJGRhQ6zExamkszQ5VutGIcaQqmbD9ZTVXMQ/edit#gid=1251630045"",""articles_with_PRISMA_reasons!K2:K2113""), $A1960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$A1960=IMPORTRANGE(""https://docs.google.com/spreadsheets/d/1BJSV3WBYJGRhQ6zExamkszQ5VutGIcaQqmbD9ZTVXMQ/edit#gid=1251630045"",""articles_with_PRISMA_reasons!B2:B2113"")))-1)"),"Dinh")</f>
        <v>Dinh</v>
      </c>
      <c r="C1960" s="6">
        <f>IFERROR(__xludf.DUMMYFUNCTION("FILTER(IMPORTRANGE(""https://docs.google.com/spreadsheets/d/1BJSV3WBYJGRhQ6zExamkszQ5VutGIcaQqmbD9ZTVXMQ/edit#gid=1251630045"",""articles_with_PRISMA_reasons!C2:C2113""), $A1960=IMPORTRANGE(""https://docs.google.com/spreadsheets/d/1BJSV3WBYJGRhQ6zExamkszQ"&amp;"5VutGIcaQqmbD9ZTVXMQ/edit#gid=1251630045"",""articles_with_PRISMA_reasons!B2:B2113""))"),1990.0)</f>
        <v>1990</v>
      </c>
      <c r="D1960" s="5" t="str">
        <f>IFERROR(__xludf.DUMMYFUNCTION("IFS(AND(
FILTER(IMPORTRANGE(""https://docs.google.com/spreadsheets/d/1BJSV3WBYJGRhQ6zExamkszQ5VutGIcaQqmbD9ZTVXMQ/edit#gid=1251630045"",""articles_with_PRISMA_reasons!Y2:Y2113""), $A1960=IMPORTRANGE(""https://docs.google.com/spreadsheets/d/1BJSV3WBYJGRhQ6"&amp;"zExamkszQ5VutGIcaQqmbD9ZTVXMQ/edit#gid=1251630045"",""articles_with_PRISMA_reasons!B2:B2113""))&gt;=2,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$A1960=IMPORTRANGE(""https://docs.google.com/spreadsheets/d/1BJSV3WBYJGRhQ6zExamkszQ5VutGIcaQqmbD9ZTVXMQ/edit#gid=1251630045"",""articles_with_PRISMA_reasons!B2:B2113""))&lt;2),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$A1960=IMPORTRANGE(""https://docs.google.com/spreadsheets/d/1BJSV3WBYJGRhQ6zExamkszQ5VutGIcaQqmbD9ZTVXMQ/edit#gid=1251630045"",""a"&amp;"rticles_with_PRISMA_reasons!B2:B2113""))&lt;2,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$A1960=IMPORTRANGE(""https://docs.google"&amp;".com/spreadsheets/d/1BJSV3WBYJGRhQ6zExamkszQ5VutGIcaQqmbD9ZTVXMQ/edit#gid=1251630045"",""articles_with_PRISMA_reasons!B2:B2113""))&gt;=2),
""Exclude""
)"),"Exclude")</f>
        <v>Exclude</v>
      </c>
      <c r="E1960" s="5" t="str">
        <f>IFERROR(__xludf.DUMMYFUNCTION("IFS(
D1960=""Exclude"",""Exclude"",
AND(
FILTER(IMPORTRANGE(""https://docs.google.com/spreadsheets/d/1qpEmbGH0JjaJbUdp21-y2cPbobDbMjr09BbtdKROZWc/edit#gid=1444865654"",""articles_with_PRISMA_reasons!W2:W2113""), $A1960=IMPORTRANGE(""https://docs.google.co"&amp;"m/spreadsheets/d/1qpEmbGH0JjaJbUdp21-y2cPbobDbMjr09BbtdKROZWc/edit#gid=1444865654"",""articles_with_PRISMA_reasons!B2:B2113""))&gt;=2,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$A1960=IMPORTRANGE(""https://docs.google.com/spreadsheets/d/1qpEmbGH0JjaJbUdp21-y2cPbobDbMjr09BbtdKROZWc/edit#gid=1444865654"",""articles_with_PRISMA_reasons!B2:B2113""))&lt;2),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$A1960=IMPORTRANGE(""https://docs.google.com/spreadsheets/d/1qpEmbGH0JjaJbUdp21-y2cPbobDbMjr09Bbtd"&amp;"KROZWc/edit#gid=1444865654"",""articles_with_PRISMA_reasons!B2:B2113""))&lt;2,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$A1960=I"&amp;"MPORTRANGE(""https://docs.google.com/spreadsheets/d/1qpEmbGH0JjaJbUdp21-y2cPbobDbMjr09BbtdKROZWc/edit#gid=1444865654"",""articles_with_PRISMA_reasons!B2:B2113""))&gt;=2),
""Exclude""
)"),"Exclude")</f>
        <v>Exclude</v>
      </c>
      <c r="F1960" s="5" t="str">
        <f>IFERROR(__xludf.DUMMYFUNCTION("IFS(
E1960=""Exclude"",""Exclude"",
AND(
COUNTIF(
IMPORTRANGE(""https://docs.google.com/spreadsheets/d/1kGrh75X1cNR1D7_FcY9zMnHP8iPO4M5RCRjy6nZY0TY/edit#gid=0"",""Table 1: Study characteristics!B4:B171""),A1960)&gt;0,
COUNTIF(Studies!$A$2:$A$85,FILTER(IMPORT"&amp;"RANGE(""https://docs.google.com/spreadsheets/d/1kGrh75X1cNR1D7_FcY9zMnHP8iPO4M5RCRjy6nZY0TY/edit#gid=0"",""Table 1: Study characteristics!A4:A171""), $A1960=IMPORTRANGE(""https://docs.google.com/spreadsheets/d/1kGrh75X1cNR1D7_FcY9zMnHP8iPO4M5RCRjy6nZY0TY/"&amp;"edit#gid=0"",""Table 1: Study characteristics!B4:B171"")))&gt;0
),
""Include""
)"),"Exclude")</f>
        <v>Exclude</v>
      </c>
      <c r="G1960" s="5" t="str">
        <f>IFERROR(__xludf.DUMMYFUNCTION("IFS(
D1960=""Exclude"",
FILTER(IMPORTRANGE(""https://docs.google.com/spreadsheets/d/1BJSV3WBYJGRhQ6zExamkszQ5VutGIcaQqmbD9ZTVXMQ/edit#gid=1251630045"",""articles_with_PRISMA_reasons!AB2:AB2113""), $A1960=IMPORTRANGE(""https://docs.google.com/spreadsheets/"&amp;"d/1BJSV3WBYJGRhQ6zExamkszQ5VutGIcaQqmbD9ZTVXMQ/edit#gid=1251630045"",""articles_with_PRISMA_reasons!B2:B2113"")),
E1960=""Exclude"",
FILTER(IMPORTRANGE(""https://docs.google.com/spreadsheets/d/1qpEmbGH0JjaJbUdp21-y2cPbobDbMjr09BbtdKROZWc/edit#gid=14448656"&amp;"54"",""articles_with_PRISMA_reasons!Z2:Z2113""), $A1960=IMPORTRANGE(""https://docs.google.com/spreadsheets/d/1qpEmbGH0JjaJbUdp21-y2cPbobDbMjr09BbtdKROZWc/edit#gid=1444865654"",""articles_with_PRISMA_reasons!B2:B2113"")),F1960
=""Include"",FILTER(IMPORTRAN"&amp;"GE(""https://docs.google.com/spreadsheets/d/1kGrh75X1cNR1D7_FcY9zMnHP8iPO4M5RCRjy6nZY0TY/edit#gid=0"",""Table 1: Study characteristics!A4:A171""), $A1960=IMPORTRANGE(""https://docs.google.com/spreadsheets/d/1kGrh75X1cNR1D7_FcY9zMnHP8iPO4M5RCRjy6nZY0TY/edi"&amp;"t#gid=0"",""Table 1: Study characteristics!B4:B171""))
)"),"wrong population")</f>
        <v>wrong population</v>
      </c>
    </row>
    <row r="1961">
      <c r="A1961" s="4" t="str">
        <f>IFERROR(__xludf.DUMMYFUNCTION("""COMPUTED_VALUE"""),"The value of fast MR imaging as an adjunct to ultrasound in prenatal diagnosis")</f>
        <v>The value of fast MR imaging as an adjunct to ultrasound in prenatal diagnosis</v>
      </c>
      <c r="B1961" s="5" t="str">
        <f>IFERROR(__xludf.DUMMYFUNCTION("LEFT(FILTER(IMPORTRANGE(""https://docs.google.com/spreadsheets/d/1BJSV3WBYJGRhQ6zExamkszQ5VutGIcaQqmbD9ZTVXMQ/edit#gid=1251630045"",""articles_with_PRISMA_reasons!K2:K2113""), $A1961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$A1961=IMPORTRANGE(""https://docs.google.com/spreadsheets/d/1BJSV3WBYJGRhQ6zExamkszQ5VutGIcaQqmbD9ZTVXMQ/edit#gid=1251630045"",""articles_with_PRISMA_reasons!B2:B2113"")))-1)"),"Breysem")</f>
        <v>Breysem</v>
      </c>
      <c r="C1961" s="6">
        <f>IFERROR(__xludf.DUMMYFUNCTION("FILTER(IMPORTRANGE(""https://docs.google.com/spreadsheets/d/1BJSV3WBYJGRhQ6zExamkszQ5VutGIcaQqmbD9ZTVXMQ/edit#gid=1251630045"",""articles_with_PRISMA_reasons!C2:C2113""), $A1961=IMPORTRANGE(""https://docs.google.com/spreadsheets/d/1BJSV3WBYJGRhQ6zExamkszQ"&amp;"5VutGIcaQqmbD9ZTVXMQ/edit#gid=1251630045"",""articles_with_PRISMA_reasons!B2:B2113""))"),2003.0)</f>
        <v>2003</v>
      </c>
      <c r="D1961" s="5" t="str">
        <f>IFERROR(__xludf.DUMMYFUNCTION("IFS(AND(
FILTER(IMPORTRANGE(""https://docs.google.com/spreadsheets/d/1BJSV3WBYJGRhQ6zExamkszQ5VutGIcaQqmbD9ZTVXMQ/edit#gid=1251630045"",""articles_with_PRISMA_reasons!Y2:Y2113""), $A1961=IMPORTRANGE(""https://docs.google.com/spreadsheets/d/1BJSV3WBYJGRhQ6"&amp;"zExamkszQ5VutGIcaQqmbD9ZTVXMQ/edit#gid=1251630045"",""articles_with_PRISMA_reasons!B2:B2113""))&gt;=2,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$A1961=IMPORTRANGE(""https://docs.google.com/spreadsheets/d/1BJSV3WBYJGRhQ6zExamkszQ5VutGIcaQqmbD9ZTVXMQ/edit#gid=1251630045"",""articles_with_PRISMA_reasons!B2:B2113""))&lt;2),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$A1961=IMPORTRANGE(""https://docs.google.com/spreadsheets/d/1BJSV3WBYJGRhQ6zExamkszQ5VutGIcaQqmbD9ZTVXMQ/edit#gid=1251630045"",""a"&amp;"rticles_with_PRISMA_reasons!B2:B2113""))&lt;2,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$A1961=IMPORTRANGE(""https://docs.google"&amp;".com/spreadsheets/d/1BJSV3WBYJGRhQ6zExamkszQ5VutGIcaQqmbD9ZTVXMQ/edit#gid=1251630045"",""articles_with_PRISMA_reasons!B2:B2113""))&gt;=2),
""Exclude""
)"),"Exclude")</f>
        <v>Exclude</v>
      </c>
      <c r="E1961" s="5" t="str">
        <f>IFERROR(__xludf.DUMMYFUNCTION("IFS(
D1961=""Exclude"",""Exclude"",
AND(
FILTER(IMPORTRANGE(""https://docs.google.com/spreadsheets/d/1qpEmbGH0JjaJbUdp21-y2cPbobDbMjr09BbtdKROZWc/edit#gid=1444865654"",""articles_with_PRISMA_reasons!W2:W2113""), $A1961=IMPORTRANGE(""https://docs.google.co"&amp;"m/spreadsheets/d/1qpEmbGH0JjaJbUdp21-y2cPbobDbMjr09BbtdKROZWc/edit#gid=1444865654"",""articles_with_PRISMA_reasons!B2:B2113""))&gt;=2,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$A1961=IMPORTRANGE(""https://docs.google.com/spreadsheets/d/1qpEmbGH0JjaJbUdp21-y2cPbobDbMjr09BbtdKROZWc/edit#gid=1444865654"",""articles_with_PRISMA_reasons!B2:B2113""))&lt;2),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$A1961=IMPORTRANGE(""https://docs.google.com/spreadsheets/d/1qpEmbGH0JjaJbUdp21-y2cPbobDbMjr09Bbtd"&amp;"KROZWc/edit#gid=1444865654"",""articles_with_PRISMA_reasons!B2:B2113""))&lt;2,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$A1961=I"&amp;"MPORTRANGE(""https://docs.google.com/spreadsheets/d/1qpEmbGH0JjaJbUdp21-y2cPbobDbMjr09BbtdKROZWc/edit#gid=1444865654"",""articles_with_PRISMA_reasons!B2:B2113""))&gt;=2),
""Exclude""
)"),"Exclude")</f>
        <v>Exclude</v>
      </c>
      <c r="F1961" s="5" t="str">
        <f>IFERROR(__xludf.DUMMYFUNCTION("IFS(
E1961=""Exclude"",""Exclude"",
AND(
COUNTIF(
IMPORTRANGE(""https://docs.google.com/spreadsheets/d/1kGrh75X1cNR1D7_FcY9zMnHP8iPO4M5RCRjy6nZY0TY/edit#gid=0"",""Table 1: Study characteristics!B4:B171""),A1961)&gt;0,
COUNTIF(Studies!$A$2:$A$85,FILTER(IMPORT"&amp;"RANGE(""https://docs.google.com/spreadsheets/d/1kGrh75X1cNR1D7_FcY9zMnHP8iPO4M5RCRjy6nZY0TY/edit#gid=0"",""Table 1: Study characteristics!A4:A171""), $A1961=IMPORTRANGE(""https://docs.google.com/spreadsheets/d/1kGrh75X1cNR1D7_FcY9zMnHP8iPO4M5RCRjy6nZY0TY/"&amp;"edit#gid=0"",""Table 1: Study characteristics!B4:B171"")))&gt;0
),
""Include""
)"),"Exclude")</f>
        <v>Exclude</v>
      </c>
      <c r="G1961" s="5" t="str">
        <f>IFERROR(__xludf.DUMMYFUNCTION("IFS(
D1961=""Exclude"",
FILTER(IMPORTRANGE(""https://docs.google.com/spreadsheets/d/1BJSV3WBYJGRhQ6zExamkszQ5VutGIcaQqmbD9ZTVXMQ/edit#gid=1251630045"",""articles_with_PRISMA_reasons!AB2:AB2113""), $A1961=IMPORTRANGE(""https://docs.google.com/spreadsheets/"&amp;"d/1BJSV3WBYJGRhQ6zExamkszQ5VutGIcaQqmbD9ZTVXMQ/edit#gid=1251630045"",""articles_with_PRISMA_reasons!B2:B2113"")),
E1961=""Exclude"",
FILTER(IMPORTRANGE(""https://docs.google.com/spreadsheets/d/1qpEmbGH0JjaJbUdp21-y2cPbobDbMjr09BbtdKROZWc/edit#gid=14448656"&amp;"54"",""articles_with_PRISMA_reasons!Z2:Z2113""), $A1961=IMPORTRANGE(""https://docs.google.com/spreadsheets/d/1qpEmbGH0JjaJbUdp21-y2cPbobDbMjr09BbtdKROZWc/edit#gid=1444865654"",""articles_with_PRISMA_reasons!B2:B2113"")),F1961
=""Include"",FILTER(IMPORTRAN"&amp;"GE(""https://docs.google.com/spreadsheets/d/1kGrh75X1cNR1D7_FcY9zMnHP8iPO4M5RCRjy6nZY0TY/edit#gid=0"",""Table 1: Study characteristics!A4:A171""), $A1961=IMPORTRANGE(""https://docs.google.com/spreadsheets/d/1kGrh75X1cNR1D7_FcY9zMnHP8iPO4M5RCRjy6nZY0TY/edi"&amp;"t#gid=0"",""Table 1: Study characteristics!B4:B171""))
)"),"wrong population")</f>
        <v>wrong population</v>
      </c>
    </row>
    <row r="1962">
      <c r="A1962" s="4" t="str">
        <f>IFERROR(__xludf.DUMMYFUNCTION("""COMPUTED_VALUE"""),"The vanishing shunt valve")</f>
        <v>The vanishing shunt valve</v>
      </c>
      <c r="B1962" s="5" t="str">
        <f>IFERROR(__xludf.DUMMYFUNCTION("LEFT(FILTER(IMPORTRANGE(""https://docs.google.com/spreadsheets/d/1BJSV3WBYJGRhQ6zExamkszQ5VutGIcaQqmbD9ZTVXMQ/edit#gid=1251630045"",""articles_with_PRISMA_reasons!K2:K2113""), $A1962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$A1962=IMPORTRANGE(""https://docs.google.com/spreadsheets/d/1BJSV3WBYJGRhQ6zExamkszQ5VutGIcaQqmbD9ZTVXMQ/edit#gid=1251630045"",""articles_with_PRISMA_reasons!B2:B2113"")))-1)"),"Joshi")</f>
        <v>Joshi</v>
      </c>
      <c r="C1962" s="6">
        <f>IFERROR(__xludf.DUMMYFUNCTION("FILTER(IMPORTRANGE(""https://docs.google.com/spreadsheets/d/1BJSV3WBYJGRhQ6zExamkszQ5VutGIcaQqmbD9ZTVXMQ/edit#gid=1251630045"",""articles_with_PRISMA_reasons!C2:C2113""), $A1962=IMPORTRANGE(""https://docs.google.com/spreadsheets/d/1BJSV3WBYJGRhQ6zExamkszQ"&amp;"5VutGIcaQqmbD9ZTVXMQ/edit#gid=1251630045"",""articles_with_PRISMA_reasons!B2:B2113""))"),2015.0)</f>
        <v>2015</v>
      </c>
      <c r="D1962" s="5" t="str">
        <f>IFERROR(__xludf.DUMMYFUNCTION("IFS(AND(
FILTER(IMPORTRANGE(""https://docs.google.com/spreadsheets/d/1BJSV3WBYJGRhQ6zExamkszQ5VutGIcaQqmbD9ZTVXMQ/edit#gid=1251630045"",""articles_with_PRISMA_reasons!Y2:Y2113""), $A1962=IMPORTRANGE(""https://docs.google.com/spreadsheets/d/1BJSV3WBYJGRhQ6"&amp;"zExamkszQ5VutGIcaQqmbD9ZTVXMQ/edit#gid=1251630045"",""articles_with_PRISMA_reasons!B2:B2113""))&gt;=2,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$A1962=IMPORTRANGE(""https://docs.google.com/spreadsheets/d/1BJSV3WBYJGRhQ6zExamkszQ5VutGIcaQqmbD9ZTVXMQ/edit#gid=1251630045"",""articles_with_PRISMA_reasons!B2:B2113""))&lt;2),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$A1962=IMPORTRANGE(""https://docs.google.com/spreadsheets/d/1BJSV3WBYJGRhQ6zExamkszQ5VutGIcaQqmbD9ZTVXMQ/edit#gid=1251630045"",""a"&amp;"rticles_with_PRISMA_reasons!B2:B2113""))&lt;2,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$A1962=IMPORTRANGE(""https://docs.google"&amp;".com/spreadsheets/d/1BJSV3WBYJGRhQ6zExamkszQ5VutGIcaQqmbD9ZTVXMQ/edit#gid=1251630045"",""articles_with_PRISMA_reasons!B2:B2113""))&gt;=2),
""Exclude""
)"),"Exclude")</f>
        <v>Exclude</v>
      </c>
      <c r="E1962" s="5" t="str">
        <f>IFERROR(__xludf.DUMMYFUNCTION("IFS(
D1962=""Exclude"",""Exclude"",
AND(
FILTER(IMPORTRANGE(""https://docs.google.com/spreadsheets/d/1qpEmbGH0JjaJbUdp21-y2cPbobDbMjr09BbtdKROZWc/edit#gid=1444865654"",""articles_with_PRISMA_reasons!W2:W2113""), $A1962=IMPORTRANGE(""https://docs.google.co"&amp;"m/spreadsheets/d/1qpEmbGH0JjaJbUdp21-y2cPbobDbMjr09BbtdKROZWc/edit#gid=1444865654"",""articles_with_PRISMA_reasons!B2:B2113""))&gt;=2,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$A1962=IMPORTRANGE(""https://docs.google.com/spreadsheets/d/1qpEmbGH0JjaJbUdp21-y2cPbobDbMjr09BbtdKROZWc/edit#gid=1444865654"",""articles_with_PRISMA_reasons!B2:B2113""))&lt;2),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$A1962=IMPORTRANGE(""https://docs.google.com/spreadsheets/d/1qpEmbGH0JjaJbUdp21-y2cPbobDbMjr09Bbtd"&amp;"KROZWc/edit#gid=1444865654"",""articles_with_PRISMA_reasons!B2:B2113""))&lt;2,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$A1962=I"&amp;"MPORTRANGE(""https://docs.google.com/spreadsheets/d/1qpEmbGH0JjaJbUdp21-y2cPbobDbMjr09BbtdKROZWc/edit#gid=1444865654"",""articles_with_PRISMA_reasons!B2:B2113""))&gt;=2),
""Exclude""
)"),"Exclude")</f>
        <v>Exclude</v>
      </c>
      <c r="F1962" s="5" t="str">
        <f>IFERROR(__xludf.DUMMYFUNCTION("IFS(
E1962=""Exclude"",""Exclude"",
AND(
COUNTIF(
IMPORTRANGE(""https://docs.google.com/spreadsheets/d/1kGrh75X1cNR1D7_FcY9zMnHP8iPO4M5RCRjy6nZY0TY/edit#gid=0"",""Table 1: Study characteristics!B4:B171""),A1962)&gt;0,
COUNTIF(Studies!$A$2:$A$85,FILTER(IMPORT"&amp;"RANGE(""https://docs.google.com/spreadsheets/d/1kGrh75X1cNR1D7_FcY9zMnHP8iPO4M5RCRjy6nZY0TY/edit#gid=0"",""Table 1: Study characteristics!A4:A171""), $A1962=IMPORTRANGE(""https://docs.google.com/spreadsheets/d/1kGrh75X1cNR1D7_FcY9zMnHP8iPO4M5RCRjy6nZY0TY/"&amp;"edit#gid=0"",""Table 1: Study characteristics!B4:B171"")))&gt;0
),
""Include""
)"),"Exclude")</f>
        <v>Exclude</v>
      </c>
      <c r="G1962" s="5" t="str">
        <f>IFERROR(__xludf.DUMMYFUNCTION("IFS(
D1962=""Exclude"",
FILTER(IMPORTRANGE(""https://docs.google.com/spreadsheets/d/1BJSV3WBYJGRhQ6zExamkszQ5VutGIcaQqmbD9ZTVXMQ/edit#gid=1251630045"",""articles_with_PRISMA_reasons!AB2:AB2113""), $A1962=IMPORTRANGE(""https://docs.google.com/spreadsheets/"&amp;"d/1BJSV3WBYJGRhQ6zExamkszQ5VutGIcaQqmbD9ZTVXMQ/edit#gid=1251630045"",""articles_with_PRISMA_reasons!B2:B2113"")),
E1962=""Exclude"",
FILTER(IMPORTRANGE(""https://docs.google.com/spreadsheets/d/1qpEmbGH0JjaJbUdp21-y2cPbobDbMjr09BbtdKROZWc/edit#gid=14448656"&amp;"54"",""articles_with_PRISMA_reasons!Z2:Z2113""), $A1962=IMPORTRANGE(""https://docs.google.com/spreadsheets/d/1qpEmbGH0JjaJbUdp21-y2cPbobDbMjr09BbtdKROZWc/edit#gid=1444865654"",""articles_with_PRISMA_reasons!B2:B2113"")),F1962
=""Include"",FILTER(IMPORTRAN"&amp;"GE(""https://docs.google.com/spreadsheets/d/1kGrh75X1cNR1D7_FcY9zMnHP8iPO4M5RCRjy6nZY0TY/edit#gid=0"",""Table 1: Study characteristics!A4:A171""), $A1962=IMPORTRANGE(""https://docs.google.com/spreadsheets/d/1kGrh75X1cNR1D7_FcY9zMnHP8iPO4M5RCRjy6nZY0TY/edi"&amp;"t#gid=0"",""Table 1: Study characteristics!B4:B171""))
)"),"wrong study design")</f>
        <v>wrong study design</v>
      </c>
    </row>
    <row r="1963">
      <c r="A1963" s="4" t="str">
        <f>IFERROR(__xludf.DUMMYFUNCTION("""COMPUTED_VALUE"""),"The weight of the cerebellum in children with myelomeningocele")</f>
        <v>The weight of the cerebellum in children with myelomeningocele</v>
      </c>
      <c r="B1963" s="5" t="str">
        <f>IFERROR(__xludf.DUMMYFUNCTION("LEFT(FILTER(IMPORTRANGE(""https://docs.google.com/spreadsheets/d/1BJSV3WBYJGRhQ6zExamkszQ5VutGIcaQqmbD9ZTVXMQ/edit#gid=1251630045"",""articles_with_PRISMA_reasons!K2:K2113""), $A1963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$A1963=IMPORTRANGE(""https://docs.google.com/spreadsheets/d/1BJSV3WBYJGRhQ6zExamkszQ5VutGIcaQqmbD9ZTVXMQ/edit#gid=1251630045"",""articles_with_PRISMA_reasons!B2:B2113"")))-1)"),"Variend")</f>
        <v>Variend</v>
      </c>
      <c r="C1963" s="6">
        <f>IFERROR(__xludf.DUMMYFUNCTION("FILTER(IMPORTRANGE(""https://docs.google.com/spreadsheets/d/1BJSV3WBYJGRhQ6zExamkszQ5VutGIcaQqmbD9ZTVXMQ/edit#gid=1251630045"",""articles_with_PRISMA_reasons!C2:C2113""), $A1963=IMPORTRANGE(""https://docs.google.com/spreadsheets/d/1BJSV3WBYJGRhQ6zExamkszQ"&amp;"5VutGIcaQqmbD9ZTVXMQ/edit#gid=1251630045"",""articles_with_PRISMA_reasons!B2:B2113""))"),1973.0)</f>
        <v>1973</v>
      </c>
      <c r="D1963" s="5" t="str">
        <f>IFERROR(__xludf.DUMMYFUNCTION("IFS(AND(
FILTER(IMPORTRANGE(""https://docs.google.com/spreadsheets/d/1BJSV3WBYJGRhQ6zExamkszQ5VutGIcaQqmbD9ZTVXMQ/edit#gid=1251630045"",""articles_with_PRISMA_reasons!Y2:Y2113""), $A1963=IMPORTRANGE(""https://docs.google.com/spreadsheets/d/1BJSV3WBYJGRhQ6"&amp;"zExamkszQ5VutGIcaQqmbD9ZTVXMQ/edit#gid=1251630045"",""articles_with_PRISMA_reasons!B2:B2113""))&gt;=2,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$A1963=IMPORTRANGE(""https://docs.google.com/spreadsheets/d/1BJSV3WBYJGRhQ6zExamkszQ5VutGIcaQqmbD9ZTVXMQ/edit#gid=1251630045"",""articles_with_PRISMA_reasons!B2:B2113""))&lt;2),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$A1963=IMPORTRANGE(""https://docs.google.com/spreadsheets/d/1BJSV3WBYJGRhQ6zExamkszQ5VutGIcaQqmbD9ZTVXMQ/edit#gid=1251630045"",""a"&amp;"rticles_with_PRISMA_reasons!B2:B2113""))&lt;2,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$A1963=IMPORTRANGE(""https://docs.google"&amp;".com/spreadsheets/d/1BJSV3WBYJGRhQ6zExamkszQ5VutGIcaQqmbD9ZTVXMQ/edit#gid=1251630045"",""articles_with_PRISMA_reasons!B2:B2113""))&gt;=2),
""Exclude""
)"),"Exclude")</f>
        <v>Exclude</v>
      </c>
      <c r="E1963" s="5" t="str">
        <f>IFERROR(__xludf.DUMMYFUNCTION("IFS(
D1963=""Exclude"",""Exclude"",
AND(
FILTER(IMPORTRANGE(""https://docs.google.com/spreadsheets/d/1qpEmbGH0JjaJbUdp21-y2cPbobDbMjr09BbtdKROZWc/edit#gid=1444865654"",""articles_with_PRISMA_reasons!W2:W2113""), $A1963=IMPORTRANGE(""https://docs.google.co"&amp;"m/spreadsheets/d/1qpEmbGH0JjaJbUdp21-y2cPbobDbMjr09BbtdKROZWc/edit#gid=1444865654"",""articles_with_PRISMA_reasons!B2:B2113""))&gt;=2,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$A1963=IMPORTRANGE(""https://docs.google.com/spreadsheets/d/1qpEmbGH0JjaJbUdp21-y2cPbobDbMjr09BbtdKROZWc/edit#gid=1444865654"",""articles_with_PRISMA_reasons!B2:B2113""))&lt;2),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$A1963=IMPORTRANGE(""https://docs.google.com/spreadsheets/d/1qpEmbGH0JjaJbUdp21-y2cPbobDbMjr09Bbtd"&amp;"KROZWc/edit#gid=1444865654"",""articles_with_PRISMA_reasons!B2:B2113""))&lt;2,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$A1963=I"&amp;"MPORTRANGE(""https://docs.google.com/spreadsheets/d/1qpEmbGH0JjaJbUdp21-y2cPbobDbMjr09BbtdKROZWc/edit#gid=1444865654"",""articles_with_PRISMA_reasons!B2:B2113""))&gt;=2),
""Exclude""
)"),"Exclude")</f>
        <v>Exclude</v>
      </c>
      <c r="F1963" s="5" t="str">
        <f>IFERROR(__xludf.DUMMYFUNCTION("IFS(
E1963=""Exclude"",""Exclude"",
AND(
COUNTIF(
IMPORTRANGE(""https://docs.google.com/spreadsheets/d/1kGrh75X1cNR1D7_FcY9zMnHP8iPO4M5RCRjy6nZY0TY/edit#gid=0"",""Table 1: Study characteristics!B4:B171""),A1963)&gt;0,
COUNTIF(Studies!$A$2:$A$85,FILTER(IMPORT"&amp;"RANGE(""https://docs.google.com/spreadsheets/d/1kGrh75X1cNR1D7_FcY9zMnHP8iPO4M5RCRjy6nZY0TY/edit#gid=0"",""Table 1: Study characteristics!A4:A171""), $A1963=IMPORTRANGE(""https://docs.google.com/spreadsheets/d/1kGrh75X1cNR1D7_FcY9zMnHP8iPO4M5RCRjy6nZY0TY/"&amp;"edit#gid=0"",""Table 1: Study characteristics!B4:B171"")))&gt;0
),
""Include""
)"),"Exclude")</f>
        <v>Exclude</v>
      </c>
      <c r="G1963" s="5" t="str">
        <f>IFERROR(__xludf.DUMMYFUNCTION("IFS(
D1963=""Exclude"",
FILTER(IMPORTRANGE(""https://docs.google.com/spreadsheets/d/1BJSV3WBYJGRhQ6zExamkszQ5VutGIcaQqmbD9ZTVXMQ/edit#gid=1251630045"",""articles_with_PRISMA_reasons!AB2:AB2113""), $A1963=IMPORTRANGE(""https://docs.google.com/spreadsheets/"&amp;"d/1BJSV3WBYJGRhQ6zExamkszQ5VutGIcaQqmbD9ZTVXMQ/edit#gid=1251630045"",""articles_with_PRISMA_reasons!B2:B2113"")),
E1963=""Exclude"",
FILTER(IMPORTRANGE(""https://docs.google.com/spreadsheets/d/1qpEmbGH0JjaJbUdp21-y2cPbobDbMjr09BbtdKROZWc/edit#gid=14448656"&amp;"54"",""articles_with_PRISMA_reasons!Z2:Z2113""), $A1963=IMPORTRANGE(""https://docs.google.com/spreadsheets/d/1qpEmbGH0JjaJbUdp21-y2cPbobDbMjr09BbtdKROZWc/edit#gid=1444865654"",""articles_with_PRISMA_reasons!B2:B2113"")),F1963
=""Include"",FILTER(IMPORTRAN"&amp;"GE(""https://docs.google.com/spreadsheets/d/1kGrh75X1cNR1D7_FcY9zMnHP8iPO4M5RCRjy6nZY0TY/edit#gid=0"",""Table 1: Study characteristics!A4:A171""), $A1963=IMPORTRANGE(""https://docs.google.com/spreadsheets/d/1kGrh75X1cNR1D7_FcY9zMnHP8iPO4M5RCRjy6nZY0TY/edi"&amp;"t#gid=0"",""Table 1: Study characteristics!B4:B171""))
)"),"wrong population")</f>
        <v>wrong population</v>
      </c>
    </row>
    <row r="1964">
      <c r="A1964" s="4" t="str">
        <f>IFERROR(__xludf.DUMMYFUNCTION("""COMPUTED_VALUE"""),"Therapeutic Pitfalls in the Transition of Neurologic Patients from Pediatric to Adult Health Care Providers")</f>
        <v>Therapeutic Pitfalls in the Transition of Neurologic Patients from Pediatric to Adult Health Care Providers</v>
      </c>
      <c r="B1964" s="5" t="str">
        <f>IFERROR(__xludf.DUMMYFUNCTION("LEFT(FILTER(IMPORTRANGE(""https://docs.google.com/spreadsheets/d/1BJSV3WBYJGRhQ6zExamkszQ5VutGIcaQqmbD9ZTVXMQ/edit#gid=1251630045"",""articles_with_PRISMA_reasons!K2:K2113""), $A1964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$A1964=IMPORTRANGE(""https://docs.google.com/spreadsheets/d/1BJSV3WBYJGRhQ6zExamkszQ5VutGIcaQqmbD9ZTVXMQ/edit#gid=1251630045"",""articles_with_PRISMA_reasons!B2:B2113"")))-1)"),"Schnitzler")</f>
        <v>Schnitzler</v>
      </c>
      <c r="C1964" s="6">
        <f>IFERROR(__xludf.DUMMYFUNCTION("FILTER(IMPORTRANGE(""https://docs.google.com/spreadsheets/d/1BJSV3WBYJGRhQ6zExamkszQ5VutGIcaQqmbD9ZTVXMQ/edit#gid=1251630045"",""articles_with_PRISMA_reasons!C2:C2113""), $A1964=IMPORTRANGE(""https://docs.google.com/spreadsheets/d/1BJSV3WBYJGRhQ6zExamkszQ"&amp;"5VutGIcaQqmbD9ZTVXMQ/edit#gid=1251630045"",""articles_with_PRISMA_reasons!B2:B2113""))"),2021.0)</f>
        <v>2021</v>
      </c>
      <c r="D1964" s="5" t="str">
        <f>IFERROR(__xludf.DUMMYFUNCTION("IFS(AND(
FILTER(IMPORTRANGE(""https://docs.google.com/spreadsheets/d/1BJSV3WBYJGRhQ6zExamkszQ5VutGIcaQqmbD9ZTVXMQ/edit#gid=1251630045"",""articles_with_PRISMA_reasons!Y2:Y2113""), $A1964=IMPORTRANGE(""https://docs.google.com/spreadsheets/d/1BJSV3WBYJGRhQ6"&amp;"zExamkszQ5VutGIcaQqmbD9ZTVXMQ/edit#gid=1251630045"",""articles_with_PRISMA_reasons!B2:B2113""))&gt;=2,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$A1964=IMPORTRANGE(""https://docs.google.com/spreadsheets/d/1BJSV3WBYJGRhQ6zExamkszQ5VutGIcaQqmbD9ZTVXMQ/edit#gid=1251630045"",""articles_with_PRISMA_reasons!B2:B2113""))&lt;2),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$A1964=IMPORTRANGE(""https://docs.google.com/spreadsheets/d/1BJSV3WBYJGRhQ6zExamkszQ5VutGIcaQqmbD9ZTVXMQ/edit#gid=1251630045"",""a"&amp;"rticles_with_PRISMA_reasons!B2:B2113""))&lt;2,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$A1964=IMPORTRANGE(""https://docs.google"&amp;".com/spreadsheets/d/1BJSV3WBYJGRhQ6zExamkszQ5VutGIcaQqmbD9ZTVXMQ/edit#gid=1251630045"",""articles_with_PRISMA_reasons!B2:B2113""))&gt;=2),
""Exclude""
)"),"Exclude")</f>
        <v>Exclude</v>
      </c>
      <c r="E1964" s="5" t="str">
        <f>IFERROR(__xludf.DUMMYFUNCTION("IFS(
D1964=""Exclude"",""Exclude"",
AND(
FILTER(IMPORTRANGE(""https://docs.google.com/spreadsheets/d/1qpEmbGH0JjaJbUdp21-y2cPbobDbMjr09BbtdKROZWc/edit#gid=1444865654"",""articles_with_PRISMA_reasons!W2:W2113""), $A1964=IMPORTRANGE(""https://docs.google.co"&amp;"m/spreadsheets/d/1qpEmbGH0JjaJbUdp21-y2cPbobDbMjr09BbtdKROZWc/edit#gid=1444865654"",""articles_with_PRISMA_reasons!B2:B2113""))&gt;=2,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$A1964=IMPORTRANGE(""https://docs.google.com/spreadsheets/d/1qpEmbGH0JjaJbUdp21-y2cPbobDbMjr09BbtdKROZWc/edit#gid=1444865654"",""articles_with_PRISMA_reasons!B2:B2113""))&lt;2),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$A1964=IMPORTRANGE(""https://docs.google.com/spreadsheets/d/1qpEmbGH0JjaJbUdp21-y2cPbobDbMjr09Bbtd"&amp;"KROZWc/edit#gid=1444865654"",""articles_with_PRISMA_reasons!B2:B2113""))&lt;2,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$A1964=I"&amp;"MPORTRANGE(""https://docs.google.com/spreadsheets/d/1qpEmbGH0JjaJbUdp21-y2cPbobDbMjr09BbtdKROZWc/edit#gid=1444865654"",""articles_with_PRISMA_reasons!B2:B2113""))&gt;=2),
""Exclude""
)"),"Exclude")</f>
        <v>Exclude</v>
      </c>
      <c r="F1964" s="5" t="str">
        <f>IFERROR(__xludf.DUMMYFUNCTION("IFS(
E1964=""Exclude"",""Exclude"",
AND(
COUNTIF(
IMPORTRANGE(""https://docs.google.com/spreadsheets/d/1kGrh75X1cNR1D7_FcY9zMnHP8iPO4M5RCRjy6nZY0TY/edit#gid=0"",""Table 1: Study characteristics!B4:B171""),A1964)&gt;0,
COUNTIF(Studies!$A$2:$A$85,FILTER(IMPORT"&amp;"RANGE(""https://docs.google.com/spreadsheets/d/1kGrh75X1cNR1D7_FcY9zMnHP8iPO4M5RCRjy6nZY0TY/edit#gid=0"",""Table 1: Study characteristics!A4:A171""), $A1964=IMPORTRANGE(""https://docs.google.com/spreadsheets/d/1kGrh75X1cNR1D7_FcY9zMnHP8iPO4M5RCRjy6nZY0TY/"&amp;"edit#gid=0"",""Table 1: Study characteristics!B4:B171"")))&gt;0
),
""Include""
)"),"Exclude")</f>
        <v>Exclude</v>
      </c>
      <c r="G1964" s="5" t="str">
        <f>IFERROR(__xludf.DUMMYFUNCTION("IFS(
D1964=""Exclude"",
FILTER(IMPORTRANGE(""https://docs.google.com/spreadsheets/d/1BJSV3WBYJGRhQ6zExamkszQ5VutGIcaQqmbD9ZTVXMQ/edit#gid=1251630045"",""articles_with_PRISMA_reasons!AB2:AB2113""), $A1964=IMPORTRANGE(""https://docs.google.com/spreadsheets/"&amp;"d/1BJSV3WBYJGRhQ6zExamkszQ5VutGIcaQqmbD9ZTVXMQ/edit#gid=1251630045"",""articles_with_PRISMA_reasons!B2:B2113"")),
E1964=""Exclude"",
FILTER(IMPORTRANGE(""https://docs.google.com/spreadsheets/d/1qpEmbGH0JjaJbUdp21-y2cPbobDbMjr09BbtdKROZWc/edit#gid=14448656"&amp;"54"",""articles_with_PRISMA_reasons!Z2:Z2113""), $A1964=IMPORTRANGE(""https://docs.google.com/spreadsheets/d/1qpEmbGH0JjaJbUdp21-y2cPbobDbMjr09BbtdKROZWc/edit#gid=1444865654"",""articles_with_PRISMA_reasons!B2:B2113"")),F1964
=""Include"",FILTER(IMPORTRAN"&amp;"GE(""https://docs.google.com/spreadsheets/d/1kGrh75X1cNR1D7_FcY9zMnHP8iPO4M5RCRjy6nZY0TY/edit#gid=0"",""Table 1: Study characteristics!A4:A171""), $A1964=IMPORTRANGE(""https://docs.google.com/spreadsheets/d/1kGrh75X1cNR1D7_FcY9zMnHP8iPO4M5RCRjy6nZY0TY/edi"&amp;"t#gid=0"",""Table 1: Study characteristics!B4:B171""))
)"),"wrong population")</f>
        <v>wrong population</v>
      </c>
    </row>
    <row r="1965">
      <c r="A1965" s="4" t="str">
        <f>IFERROR(__xludf.DUMMYFUNCTION("""COMPUTED_VALUE"""),"Therapeutic vancomycin monitoring in children with hydrocephalus during treatment of shunt infections")</f>
        <v>Therapeutic vancomycin monitoring in children with hydrocephalus during treatment of shunt infections</v>
      </c>
      <c r="B1965" s="5" t="str">
        <f>IFERROR(__xludf.DUMMYFUNCTION("LEFT(FILTER(IMPORTRANGE(""https://docs.google.com/spreadsheets/d/1BJSV3WBYJGRhQ6zExamkszQ5VutGIcaQqmbD9ZTVXMQ/edit#gid=1251630045"",""articles_with_PRISMA_reasons!K2:K2113""), $A1965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$A1965=IMPORTRANGE(""https://docs.google.com/spreadsheets/d/1BJSV3WBYJGRhQ6zExamkszQ5VutGIcaQqmbD9ZTVXMQ/edit#gid=1251630045"",""articles_with_PRISMA_reasons!B2:B2113"")))-1)"),"Bafeltowska")</f>
        <v>Bafeltowska</v>
      </c>
      <c r="C1965" s="3">
        <v>2004.0</v>
      </c>
      <c r="D1965" s="2" t="s">
        <v>14</v>
      </c>
      <c r="E1965" s="5" t="str">
        <f>IFERROR(__xludf.DUMMYFUNCTION("IFS(
D1965=""Exclude"",""Exclude"",
AND(
FILTER(IMPORTRANGE(""https://docs.google.com/spreadsheets/d/1qpEmbGH0JjaJbUdp21-y2cPbobDbMjr09BbtdKROZWc/edit#gid=1444865654"",""articles_with_PRISMA_reasons!W2:W2113""), $A1965=IMPORTRANGE(""https://docs.google.co"&amp;"m/spreadsheets/d/1qpEmbGH0JjaJbUdp21-y2cPbobDbMjr09BbtdKROZWc/edit#gid=1444865654"",""articles_with_PRISMA_reasons!B2:B2113""))&gt;=2,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$A1965=IMPORTRANGE(""https://docs.google.com/spreadsheets/d/1qpEmbGH0JjaJbUdp21-y2cPbobDbMjr09BbtdKROZWc/edit#gid=1444865654"",""articles_with_PRISMA_reasons!B2:B2113""))&lt;2),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$A1965=IMPORTRANGE(""https://docs.google.com/spreadsheets/d/1qpEmbGH0JjaJbUdp21-y2cPbobDbMjr09Bbtd"&amp;"KROZWc/edit#gid=1444865654"",""articles_with_PRISMA_reasons!B2:B2113""))&lt;2,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$A1965=I"&amp;"MPORTRANGE(""https://docs.google.com/spreadsheets/d/1qpEmbGH0JjaJbUdp21-y2cPbobDbMjr09BbtdKROZWc/edit#gid=1444865654"",""articles_with_PRISMA_reasons!B2:B2113""))&gt;=2),
""Exclude""
)"),"Include")</f>
        <v>Include</v>
      </c>
      <c r="F1965" s="5" t="str">
        <f>IFERROR(__xludf.DUMMYFUNCTION("IFS(
E1965=""Exclude"",""Exclude"",
AND(
COUNTIF(
IMPORTRANGE(""https://docs.google.com/spreadsheets/d/1kGrh75X1cNR1D7_FcY9zMnHP8iPO4M5RCRjy6nZY0TY/edit#gid=0"",""Table 1: Study characteristics!B4:B171""),A1965)&gt;0,
COUNTIF(Studies!$A$2:$A$85,FILTER(IMPORT"&amp;"RANGE(""https://docs.google.com/spreadsheets/d/1kGrh75X1cNR1D7_FcY9zMnHP8iPO4M5RCRjy6nZY0TY/edit#gid=0"",""Table 1: Study characteristics!A4:A171""), $A1965=IMPORTRANGE(""https://docs.google.com/spreadsheets/d/1kGrh75X1cNR1D7_FcY9zMnHP8iPO4M5RCRjy6nZY0TY/"&amp;"edit#gid=0"",""Table 1: Study characteristics!B4:B171"")))&gt;0
),
""Include""
)"),"Include")</f>
        <v>Include</v>
      </c>
      <c r="G1965" s="5" t="str">
        <f>IFERROR(__xludf.DUMMYFUNCTION("IFS(
D1965=""Exclude"",
FILTER(IMPORTRANGE(""https://docs.google.com/spreadsheets/d/1BJSV3WBYJGRhQ6zExamkszQ5VutGIcaQqmbD9ZTVXMQ/edit#gid=1251630045"",""articles_with_PRISMA_reasons!AB2:AB2113""), $A1965=IMPORTRANGE(""https://docs.google.com/spreadsheets/"&amp;"d/1BJSV3WBYJGRhQ6zExamkszQ5VutGIcaQqmbD9ZTVXMQ/edit#gid=1251630045"",""articles_with_PRISMA_reasons!B2:B2113"")),
E1965=""Exclude"",
FILTER(IMPORTRANGE(""https://docs.google.com/spreadsheets/d/1qpEmbGH0JjaJbUdp21-y2cPbobDbMjr09BbtdKROZWc/edit#gid=14448656"&amp;"54"",""articles_with_PRISMA_reasons!Z2:Z2113""), $A1965=IMPORTRANGE(""https://docs.google.com/spreadsheets/d/1qpEmbGH0JjaJbUdp21-y2cPbobDbMjr09BbtdKROZWc/edit#gid=1444865654"",""articles_with_PRISMA_reasons!B2:B2113"")),F1965
=""Include"",FILTER(IMPORTRAN"&amp;"GE(""https://docs.google.com/spreadsheets/d/1kGrh75X1cNR1D7_FcY9zMnHP8iPO4M5RCRjy6nZY0TY/edit#gid=0"",""Table 1: Study characteristics!A4:A171""), $A1965=IMPORTRANGE(""https://docs.google.com/spreadsheets/d/1kGrh75X1cNR1D7_FcY9zMnHP8iPO4M5RCRjy6nZY0TY/edi"&amp;"t#gid=0"",""Table 1: Study characteristics!B4:B171""))
)"),"ID 160")</f>
        <v>ID 160</v>
      </c>
    </row>
    <row r="1966">
      <c r="A1966" s="4" t="str">
        <f>IFERROR(__xludf.DUMMYFUNCTION("""COMPUTED_VALUE"""),"Therapeutic vancomycin monitoring in children with hydrocephalus during treatment of shunt infections")</f>
        <v>Therapeutic vancomycin monitoring in children with hydrocephalus during treatment of shunt infections</v>
      </c>
      <c r="B1966" s="5" t="str">
        <f>IFERROR(__xludf.DUMMYFUNCTION("LEFT(FILTER(IMPORTRANGE(""https://docs.google.com/spreadsheets/d/1BJSV3WBYJGRhQ6zExamkszQ5VutGIcaQqmbD9ZTVXMQ/edit#gid=1251630045"",""articles_with_PRISMA_reasons!K2:K2113""), $A1966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$A1966=IMPORTRANGE(""https://docs.google.com/spreadsheets/d/1BJSV3WBYJGRhQ6zExamkszQ5VutGIcaQqmbD9ZTVXMQ/edit#gid=1251630045"",""articles_with_PRISMA_reasons!B2:B2113"")))-1)"),"Bafeltowska")</f>
        <v>Bafeltowska</v>
      </c>
      <c r="C1966" s="3">
        <v>2004.0</v>
      </c>
      <c r="D1966" s="5" t="str">
        <f>IFERROR(__xludf.DUMMYFUNCTION("IFS(AND(
FILTER(IMPORTRANGE(""https://docs.google.com/spreadsheets/d/1BJSV3WBYJGRhQ6zExamkszQ5VutGIcaQqmbD9ZTVXMQ/edit#gid=1251630045"",""articles_with_PRISMA_reasons!Y2:Y2113""), $A1966=IMPORTRANGE(""https://docs.google.com/spreadsheets/d/1BJSV3WBYJGRhQ6"&amp;"zExamkszQ5VutGIcaQqmbD9ZTVXMQ/edit#gid=1251630045"",""articles_with_PRISMA_reasons!B2:B2113""))&gt;=2,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$A1966=IMPORTRANGE(""https://docs.google.com/spreadsheets/d/1BJSV3WBYJGRhQ6zExamkszQ5VutGIcaQqmbD9ZTVXMQ/edit#gid=1251630045"",""articles_with_PRISMA_reasons!B2:B2113""))&lt;2),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$A1966=IMPORTRANGE(""https://docs.google.com/spreadsheets/d/1BJSV3WBYJGRhQ6zExamkszQ5VutGIcaQqmbD9ZTVXMQ/edit#gid=1251630045"",""a"&amp;"rticles_with_PRISMA_reasons!B2:B2113""))&lt;2,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$A1966=IMPORTRANGE(""https://docs.google"&amp;".com/spreadsheets/d/1BJSV3WBYJGRhQ6zExamkszQ5VutGIcaQqmbD9ZTVXMQ/edit#gid=1251630045"",""articles_with_PRISMA_reasons!B2:B2113""))&gt;=2),
""Exclude""
)"),"Exclude")</f>
        <v>Exclude</v>
      </c>
      <c r="E1966" s="5" t="str">
        <f>IFERROR(__xludf.DUMMYFUNCTION("IFS(
D1966=""Exclude"",""Exclude"",
AND(
FILTER(IMPORTRANGE(""https://docs.google.com/spreadsheets/d/1qpEmbGH0JjaJbUdp21-y2cPbobDbMjr09BbtdKROZWc/edit#gid=1444865654"",""articles_with_PRISMA_reasons!W2:W2113""), $A1966=IMPORTRANGE(""https://docs.google.co"&amp;"m/spreadsheets/d/1qpEmbGH0JjaJbUdp21-y2cPbobDbMjr09BbtdKROZWc/edit#gid=1444865654"",""articles_with_PRISMA_reasons!B2:B2113""))&gt;=2,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$A1966=IMPORTRANGE(""https://docs.google.com/spreadsheets/d/1qpEmbGH0JjaJbUdp21-y2cPbobDbMjr09BbtdKROZWc/edit#gid=1444865654"",""articles_with_PRISMA_reasons!B2:B2113""))&lt;2),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$A1966=IMPORTRANGE(""https://docs.google.com/spreadsheets/d/1qpEmbGH0JjaJbUdp21-y2cPbobDbMjr09Bbtd"&amp;"KROZWc/edit#gid=1444865654"",""articles_with_PRISMA_reasons!B2:B2113""))&lt;2,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$A1966=I"&amp;"MPORTRANGE(""https://docs.google.com/spreadsheets/d/1qpEmbGH0JjaJbUdp21-y2cPbobDbMjr09BbtdKROZWc/edit#gid=1444865654"",""articles_with_PRISMA_reasons!B2:B2113""))&gt;=2),
""Exclude""
)"),"Exclude")</f>
        <v>Exclude</v>
      </c>
      <c r="F1966" s="5" t="str">
        <f>IFERROR(__xludf.DUMMYFUNCTION("IFS(
E1966=""Exclude"",""Exclude"",
AND(
COUNTIF(
IMPORTRANGE(""https://docs.google.com/spreadsheets/d/1kGrh75X1cNR1D7_FcY9zMnHP8iPO4M5RCRjy6nZY0TY/edit#gid=0"",""Table 1: Study characteristics!B4:B171""),A1966)&gt;0,
COUNTIF(Studies!$A$2:$A$85,FILTER(IMPORT"&amp;"RANGE(""https://docs.google.com/spreadsheets/d/1kGrh75X1cNR1D7_FcY9zMnHP8iPO4M5RCRjy6nZY0TY/edit#gid=0"",""Table 1: Study characteristics!A4:A171""), $A1966=IMPORTRANGE(""https://docs.google.com/spreadsheets/d/1kGrh75X1cNR1D7_FcY9zMnHP8iPO4M5RCRjy6nZY0TY/"&amp;"edit#gid=0"",""Table 1: Study characteristics!B4:B171"")))&gt;0
),
""Include""
)"),"Exclude")</f>
        <v>Exclude</v>
      </c>
      <c r="G1966" s="2" t="s">
        <v>13</v>
      </c>
    </row>
    <row r="1967">
      <c r="A1967" s="4" t="str">
        <f>IFERROR(__xludf.DUMMYFUNCTION("""COMPUTED_VALUE"""),"Therapy of inflammatory bowel diseases in pregnancy and lactation")</f>
        <v>Therapy of inflammatory bowel diseases in pregnancy and lactation</v>
      </c>
      <c r="B1967" s="5" t="str">
        <f>IFERROR(__xludf.DUMMYFUNCTION("LEFT(FILTER(IMPORTRANGE(""https://docs.google.com/spreadsheets/d/1BJSV3WBYJGRhQ6zExamkszQ5VutGIcaQqmbD9ZTVXMQ/edit#gid=1251630045"",""articles_with_PRISMA_reasons!K2:K2113""), $A1967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$A1967=IMPORTRANGE(""https://docs.google.com/spreadsheets/d/1BJSV3WBYJGRhQ6zExamkszQ5VutGIcaQqmbD9ZTVXMQ/edit#gid=1251630045"",""articles_with_PRISMA_reasons!B2:B2113"")))-1)"),"Cassina")</f>
        <v>Cassina</v>
      </c>
      <c r="C1967" s="6">
        <f>IFERROR(__xludf.DUMMYFUNCTION("FILTER(IMPORTRANGE(""https://docs.google.com/spreadsheets/d/1BJSV3WBYJGRhQ6zExamkszQ5VutGIcaQqmbD9ZTVXMQ/edit#gid=1251630045"",""articles_with_PRISMA_reasons!C2:C2113""), $A1967=IMPORTRANGE(""https://docs.google.com/spreadsheets/d/1BJSV3WBYJGRhQ6zExamkszQ"&amp;"5VutGIcaQqmbD9ZTVXMQ/edit#gid=1251630045"",""articles_with_PRISMA_reasons!B2:B2113""))"),2009.0)</f>
        <v>2009</v>
      </c>
      <c r="D1967" s="5" t="str">
        <f>IFERROR(__xludf.DUMMYFUNCTION("IFS(AND(
FILTER(IMPORTRANGE(""https://docs.google.com/spreadsheets/d/1BJSV3WBYJGRhQ6zExamkszQ5VutGIcaQqmbD9ZTVXMQ/edit#gid=1251630045"",""articles_with_PRISMA_reasons!Y2:Y2113""), $A1967=IMPORTRANGE(""https://docs.google.com/spreadsheets/d/1BJSV3WBYJGRhQ6"&amp;"zExamkszQ5VutGIcaQqmbD9ZTVXMQ/edit#gid=1251630045"",""articles_with_PRISMA_reasons!B2:B2113""))&gt;=2,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$A1967=IMPORTRANGE(""https://docs.google.com/spreadsheets/d/1BJSV3WBYJGRhQ6zExamkszQ5VutGIcaQqmbD9ZTVXMQ/edit#gid=1251630045"",""articles_with_PRISMA_reasons!B2:B2113""))&lt;2),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$A1967=IMPORTRANGE(""https://docs.google.com/spreadsheets/d/1BJSV3WBYJGRhQ6zExamkszQ5VutGIcaQqmbD9ZTVXMQ/edit#gid=1251630045"",""a"&amp;"rticles_with_PRISMA_reasons!B2:B2113""))&lt;2,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$A1967=IMPORTRANGE(""https://docs.google"&amp;".com/spreadsheets/d/1BJSV3WBYJGRhQ6zExamkszQ5VutGIcaQqmbD9ZTVXMQ/edit#gid=1251630045"",""articles_with_PRISMA_reasons!B2:B2113""))&gt;=2),
""Exclude""
)"),"Exclude")</f>
        <v>Exclude</v>
      </c>
      <c r="E1967" s="5" t="str">
        <f>IFERROR(__xludf.DUMMYFUNCTION("IFS(
D1967=""Exclude"",""Exclude"",
AND(
FILTER(IMPORTRANGE(""https://docs.google.com/spreadsheets/d/1qpEmbGH0JjaJbUdp21-y2cPbobDbMjr09BbtdKROZWc/edit#gid=1444865654"",""articles_with_PRISMA_reasons!W2:W2113""), $A1967=IMPORTRANGE(""https://docs.google.co"&amp;"m/spreadsheets/d/1qpEmbGH0JjaJbUdp21-y2cPbobDbMjr09BbtdKROZWc/edit#gid=1444865654"",""articles_with_PRISMA_reasons!B2:B2113""))&gt;=2,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$A1967=IMPORTRANGE(""https://docs.google.com/spreadsheets/d/1qpEmbGH0JjaJbUdp21-y2cPbobDbMjr09BbtdKROZWc/edit#gid=1444865654"",""articles_with_PRISMA_reasons!B2:B2113""))&lt;2),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$A1967=IMPORTRANGE(""https://docs.google.com/spreadsheets/d/1qpEmbGH0JjaJbUdp21-y2cPbobDbMjr09Bbtd"&amp;"KROZWc/edit#gid=1444865654"",""articles_with_PRISMA_reasons!B2:B2113""))&lt;2,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$A1967=I"&amp;"MPORTRANGE(""https://docs.google.com/spreadsheets/d/1qpEmbGH0JjaJbUdp21-y2cPbobDbMjr09BbtdKROZWc/edit#gid=1444865654"",""articles_with_PRISMA_reasons!B2:B2113""))&gt;=2),
""Exclude""
)"),"Exclude")</f>
        <v>Exclude</v>
      </c>
      <c r="F1967" s="5" t="str">
        <f>IFERROR(__xludf.DUMMYFUNCTION("IFS(
E1967=""Exclude"",""Exclude"",
AND(
COUNTIF(
IMPORTRANGE(""https://docs.google.com/spreadsheets/d/1kGrh75X1cNR1D7_FcY9zMnHP8iPO4M5RCRjy6nZY0TY/edit#gid=0"",""Table 1: Study characteristics!B4:B171""),A1967)&gt;0,
COUNTIF(Studies!$A$2:$A$85,FILTER(IMPORT"&amp;"RANGE(""https://docs.google.com/spreadsheets/d/1kGrh75X1cNR1D7_FcY9zMnHP8iPO4M5RCRjy6nZY0TY/edit#gid=0"",""Table 1: Study characteristics!A4:A171""), $A1967=IMPORTRANGE(""https://docs.google.com/spreadsheets/d/1kGrh75X1cNR1D7_FcY9zMnHP8iPO4M5RCRjy6nZY0TY/"&amp;"edit#gid=0"",""Table 1: Study characteristics!B4:B171"")))&gt;0
),
""Include""
)"),"Exclude")</f>
        <v>Exclude</v>
      </c>
      <c r="G1967" s="5" t="str">
        <f>IFERROR(__xludf.DUMMYFUNCTION("IFS(
D1967=""Exclude"",
FILTER(IMPORTRANGE(""https://docs.google.com/spreadsheets/d/1BJSV3WBYJGRhQ6zExamkszQ5VutGIcaQqmbD9ZTVXMQ/edit#gid=1251630045"",""articles_with_PRISMA_reasons!AB2:AB2113""), $A1967=IMPORTRANGE(""https://docs.google.com/spreadsheets/"&amp;"d/1BJSV3WBYJGRhQ6zExamkszQ5VutGIcaQqmbD9ZTVXMQ/edit#gid=1251630045"",""articles_with_PRISMA_reasons!B2:B2113"")),
E1967=""Exclude"",
FILTER(IMPORTRANGE(""https://docs.google.com/spreadsheets/d/1qpEmbGH0JjaJbUdp21-y2cPbobDbMjr09BbtdKROZWc/edit#gid=14448656"&amp;"54"",""articles_with_PRISMA_reasons!Z2:Z2113""), $A1967=IMPORTRANGE(""https://docs.google.com/spreadsheets/d/1qpEmbGH0JjaJbUdp21-y2cPbobDbMjr09BbtdKROZWc/edit#gid=1444865654"",""articles_with_PRISMA_reasons!B2:B2113"")),F1967
=""Include"",FILTER(IMPORTRAN"&amp;"GE(""https://docs.google.com/spreadsheets/d/1kGrh75X1cNR1D7_FcY9zMnHP8iPO4M5RCRjy6nZY0TY/edit#gid=0"",""Table 1: Study characteristics!A4:A171""), $A1967=IMPORTRANGE(""https://docs.google.com/spreadsheets/d/1kGrh75X1cNR1D7_FcY9zMnHP8iPO4M5RCRjy6nZY0TY/edi"&amp;"t#gid=0"",""Table 1: Study characteristics!B4:B171""))
)"),"wrong study design")</f>
        <v>wrong study design</v>
      </c>
    </row>
    <row r="1968">
      <c r="A1968" s="4" t="str">
        <f>IFERROR(__xludf.DUMMYFUNCTION("""COMPUTED_VALUE"""),"Therapy of neural tube defects")</f>
        <v>Therapy of neural tube defects</v>
      </c>
      <c r="B1968" s="5" t="str">
        <f>IFERROR(__xludf.DUMMYFUNCTION("LEFT(FILTER(IMPORTRANGE(""https://docs.google.com/spreadsheets/d/1BJSV3WBYJGRhQ6zExamkszQ5VutGIcaQqmbD9ZTVXMQ/edit#gid=1251630045"",""articles_with_PRISMA_reasons!K2:K2113""), $A1968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$A1968=IMPORTRANGE(""https://docs.google.com/spreadsheets/d/1BJSV3WBYJGRhQ6zExamkszQ5VutGIcaQqmbD9ZTVXMQ/edit#gid=1251630045"",""articles_with_PRISMA_reasons!B2:B2113"")))-1)"),"Wieg and ")</f>
        <v>Wieg and </v>
      </c>
      <c r="C1968" s="6">
        <f>IFERROR(__xludf.DUMMYFUNCTION("FILTER(IMPORTRANGE(""https://docs.google.com/spreadsheets/d/1BJSV3WBYJGRhQ6zExamkszQ5VutGIcaQqmbD9ZTVXMQ/edit#gid=1251630045"",""articles_with_PRISMA_reasons!C2:C2113""), $A1968=IMPORTRANGE(""https://docs.google.com/spreadsheets/d/1BJSV3WBYJGRhQ6zExamkszQ"&amp;"5VutGIcaQqmbD9ZTVXMQ/edit#gid=1251630045"",""articles_with_PRISMA_reasons!B2:B2113""))"),2008.0)</f>
        <v>2008</v>
      </c>
      <c r="D1968" s="5" t="str">
        <f>IFERROR(__xludf.DUMMYFUNCTION("IFS(AND(
FILTER(IMPORTRANGE(""https://docs.google.com/spreadsheets/d/1BJSV3WBYJGRhQ6zExamkszQ5VutGIcaQqmbD9ZTVXMQ/edit#gid=1251630045"",""articles_with_PRISMA_reasons!Y2:Y2113""), $A1968=IMPORTRANGE(""https://docs.google.com/spreadsheets/d/1BJSV3WBYJGRhQ6"&amp;"zExamkszQ5VutGIcaQqmbD9ZTVXMQ/edit#gid=1251630045"",""articles_with_PRISMA_reasons!B2:B2113""))&gt;=2,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$A1968=IMPORTRANGE(""https://docs.google.com/spreadsheets/d/1BJSV3WBYJGRhQ6zExamkszQ5VutGIcaQqmbD9ZTVXMQ/edit#gid=1251630045"",""articles_with_PRISMA_reasons!B2:B2113""))&lt;2),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$A1968=IMPORTRANGE(""https://docs.google.com/spreadsheets/d/1BJSV3WBYJGRhQ6zExamkszQ5VutGIcaQqmbD9ZTVXMQ/edit#gid=1251630045"",""a"&amp;"rticles_with_PRISMA_reasons!B2:B2113""))&lt;2,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$A1968=IMPORTRANGE(""https://docs.google"&amp;".com/spreadsheets/d/1BJSV3WBYJGRhQ6zExamkszQ5VutGIcaQqmbD9ZTVXMQ/edit#gid=1251630045"",""articles_with_PRISMA_reasons!B2:B2113""))&gt;=2),
""Exclude""
)"),"Exclude")</f>
        <v>Exclude</v>
      </c>
      <c r="E1968" s="5" t="str">
        <f>IFERROR(__xludf.DUMMYFUNCTION("IFS(
D1968=""Exclude"",""Exclude"",
AND(
FILTER(IMPORTRANGE(""https://docs.google.com/spreadsheets/d/1qpEmbGH0JjaJbUdp21-y2cPbobDbMjr09BbtdKROZWc/edit#gid=1444865654"",""articles_with_PRISMA_reasons!W2:W2113""), $A1968=IMPORTRANGE(""https://docs.google.co"&amp;"m/spreadsheets/d/1qpEmbGH0JjaJbUdp21-y2cPbobDbMjr09BbtdKROZWc/edit#gid=1444865654"",""articles_with_PRISMA_reasons!B2:B2113""))&gt;=2,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$A1968=IMPORTRANGE(""https://docs.google.com/spreadsheets/d/1qpEmbGH0JjaJbUdp21-y2cPbobDbMjr09BbtdKROZWc/edit#gid=1444865654"",""articles_with_PRISMA_reasons!B2:B2113""))&lt;2),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$A1968=IMPORTRANGE(""https://docs.google.com/spreadsheets/d/1qpEmbGH0JjaJbUdp21-y2cPbobDbMjr09Bbtd"&amp;"KROZWc/edit#gid=1444865654"",""articles_with_PRISMA_reasons!B2:B2113""))&lt;2,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$A1968=I"&amp;"MPORTRANGE(""https://docs.google.com/spreadsheets/d/1qpEmbGH0JjaJbUdp21-y2cPbobDbMjr09BbtdKROZWc/edit#gid=1444865654"",""articles_with_PRISMA_reasons!B2:B2113""))&gt;=2),
""Exclude""
)"),"Exclude")</f>
        <v>Exclude</v>
      </c>
      <c r="F1968" s="5" t="str">
        <f>IFERROR(__xludf.DUMMYFUNCTION("IFS(
E1968=""Exclude"",""Exclude"",
AND(
COUNTIF(
IMPORTRANGE(""https://docs.google.com/spreadsheets/d/1kGrh75X1cNR1D7_FcY9zMnHP8iPO4M5RCRjy6nZY0TY/edit#gid=0"",""Table 1: Study characteristics!B4:B171""),A1968)&gt;0,
COUNTIF(Studies!$A$2:$A$85,FILTER(IMPORT"&amp;"RANGE(""https://docs.google.com/spreadsheets/d/1kGrh75X1cNR1D7_FcY9zMnHP8iPO4M5RCRjy6nZY0TY/edit#gid=0"",""Table 1: Study characteristics!A4:A171""), $A1968=IMPORTRANGE(""https://docs.google.com/spreadsheets/d/1kGrh75X1cNR1D7_FcY9zMnHP8iPO4M5RCRjy6nZY0TY/"&amp;"edit#gid=0"",""Table 1: Study characteristics!B4:B171"")))&gt;0
),
""Include""
)"),"Exclude")</f>
        <v>Exclude</v>
      </c>
      <c r="G1968" s="5" t="str">
        <f>IFERROR(__xludf.DUMMYFUNCTION("IFS(
D1968=""Exclude"",
FILTER(IMPORTRANGE(""https://docs.google.com/spreadsheets/d/1BJSV3WBYJGRhQ6zExamkszQ5VutGIcaQqmbD9ZTVXMQ/edit#gid=1251630045"",""articles_with_PRISMA_reasons!AB2:AB2113""), $A1968=IMPORTRANGE(""https://docs.google.com/spreadsheets/"&amp;"d/1BJSV3WBYJGRhQ6zExamkszQ5VutGIcaQqmbD9ZTVXMQ/edit#gid=1251630045"",""articles_with_PRISMA_reasons!B2:B2113"")),
E1968=""Exclude"",
FILTER(IMPORTRANGE(""https://docs.google.com/spreadsheets/d/1qpEmbGH0JjaJbUdp21-y2cPbobDbMjr09BbtdKROZWc/edit#gid=14448656"&amp;"54"",""articles_with_PRISMA_reasons!Z2:Z2113""), $A1968=IMPORTRANGE(""https://docs.google.com/spreadsheets/d/1qpEmbGH0JjaJbUdp21-y2cPbobDbMjr09BbtdKROZWc/edit#gid=1444865654"",""articles_with_PRISMA_reasons!B2:B2113"")),F1968
=""Include"",FILTER(IMPORTRAN"&amp;"GE(""https://docs.google.com/spreadsheets/d/1kGrh75X1cNR1D7_FcY9zMnHP8iPO4M5RCRjy6nZY0TY/edit#gid=0"",""Table 1: Study characteristics!A4:A171""), $A1968=IMPORTRANGE(""https://docs.google.com/spreadsheets/d/1kGrh75X1cNR1D7_FcY9zMnHP8iPO4M5RCRjy6nZY0TY/edi"&amp;"t#gid=0"",""Table 1: Study characteristics!B4:B171""))
)"),"background article")</f>
        <v>background article</v>
      </c>
    </row>
    <row r="1969">
      <c r="A1969" s="4" t="str">
        <f>IFERROR(__xludf.DUMMYFUNCTION("""COMPUTED_VALUE"""),"Third Ventricle Floor Variations and Abnormalities in Myelomeningocele-Associated Hydrocephalus: Our Experience with 455 Endoscopic Third Ventriculostomy Procedures")</f>
        <v>Third Ventricle Floor Variations and Abnormalities in Myelomeningocele-Associated Hydrocephalus: Our Experience with 455 Endoscopic Third Ventriculostomy Procedures</v>
      </c>
      <c r="B1969" s="5" t="str">
        <f>IFERROR(__xludf.DUMMYFUNCTION("LEFT(FILTER(IMPORTRANGE(""https://docs.google.com/spreadsheets/d/1BJSV3WBYJGRhQ6zExamkszQ5VutGIcaQqmbD9ZTVXMQ/edit#gid=1251630045"",""articles_with_PRISMA_reasons!K2:K2113""), $A1969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$A1969=IMPORTRANGE(""https://docs.google.com/spreadsheets/d/1BJSV3WBYJGRhQ6zExamkszQ5VutGIcaQqmbD9ZTVXMQ/edit#gid=1251630045"",""articles_with_PRISMA_reasons!B2:B2113"")))-1)"),"Etus")</f>
        <v>Etus</v>
      </c>
      <c r="C1969" s="6">
        <f>IFERROR(__xludf.DUMMYFUNCTION("FILTER(IMPORTRANGE(""https://docs.google.com/spreadsheets/d/1BJSV3WBYJGRhQ6zExamkszQ5VutGIcaQqmbD9ZTVXMQ/edit#gid=1251630045"",""articles_with_PRISMA_reasons!C2:C2113""), $A1969=IMPORTRANGE(""https://docs.google.com/spreadsheets/d/1BJSV3WBYJGRhQ6zExamkszQ"&amp;"5VutGIcaQqmbD9ZTVXMQ/edit#gid=1251630045"",""articles_with_PRISMA_reasons!B2:B2113""))"),2017.0)</f>
        <v>2017</v>
      </c>
      <c r="D1969" s="5" t="str">
        <f>IFERROR(__xludf.DUMMYFUNCTION("IFS(AND(
FILTER(IMPORTRANGE(""https://docs.google.com/spreadsheets/d/1BJSV3WBYJGRhQ6zExamkszQ5VutGIcaQqmbD9ZTVXMQ/edit#gid=1251630045"",""articles_with_PRISMA_reasons!Y2:Y2113""), $A1969=IMPORTRANGE(""https://docs.google.com/spreadsheets/d/1BJSV3WBYJGRhQ6"&amp;"zExamkszQ5VutGIcaQqmbD9ZTVXMQ/edit#gid=1251630045"",""articles_with_PRISMA_reasons!B2:B2113""))&gt;=2,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$A1969=IMPORTRANGE(""https://docs.google.com/spreadsheets/d/1BJSV3WBYJGRhQ6zExamkszQ5VutGIcaQqmbD9ZTVXMQ/edit#gid=1251630045"",""articles_with_PRISMA_reasons!B2:B2113""))&lt;2),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$A1969=IMPORTRANGE(""https://docs.google.com/spreadsheets/d/1BJSV3WBYJGRhQ6zExamkszQ5VutGIcaQqmbD9ZTVXMQ/edit#gid=1251630045"",""a"&amp;"rticles_with_PRISMA_reasons!B2:B2113""))&lt;2,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$A1969=IMPORTRANGE(""https://docs.google"&amp;".com/spreadsheets/d/1BJSV3WBYJGRhQ6zExamkszQ5VutGIcaQqmbD9ZTVXMQ/edit#gid=1251630045"",""articles_with_PRISMA_reasons!B2:B2113""))&gt;=2),
""Exclude""
)"),"Include")</f>
        <v>Include</v>
      </c>
      <c r="E1969" s="5" t="str">
        <f>IFERROR(__xludf.DUMMYFUNCTION("IFS(
D1969=""Exclude"",""Exclude"",
AND(
FILTER(IMPORTRANGE(""https://docs.google.com/spreadsheets/d/1qpEmbGH0JjaJbUdp21-y2cPbobDbMjr09BbtdKROZWc/edit#gid=1444865654"",""articles_with_PRISMA_reasons!W2:W2113""), $A1969=IMPORTRANGE(""https://docs.google.co"&amp;"m/spreadsheets/d/1qpEmbGH0JjaJbUdp21-y2cPbobDbMjr09BbtdKROZWc/edit#gid=1444865654"",""articles_with_PRISMA_reasons!B2:B2113""))&gt;=2,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$A1969=IMPORTRANGE(""https://docs.google.com/spreadsheets/d/1qpEmbGH0JjaJbUdp21-y2cPbobDbMjr09BbtdKROZWc/edit#gid=1444865654"",""articles_with_PRISMA_reasons!B2:B2113""))&lt;2),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$A1969=IMPORTRANGE(""https://docs.google.com/spreadsheets/d/1qpEmbGH0JjaJbUdp21-y2cPbobDbMjr09Bbtd"&amp;"KROZWc/edit#gid=1444865654"",""articles_with_PRISMA_reasons!B2:B2113""))&lt;2,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$A1969=I"&amp;"MPORTRANGE(""https://docs.google.com/spreadsheets/d/1qpEmbGH0JjaJbUdp21-y2cPbobDbMjr09BbtdKROZWc/edit#gid=1444865654"",""articles_with_PRISMA_reasons!B2:B2113""))&gt;=2),
""Exclude""
)"),"Exclude")</f>
        <v>Exclude</v>
      </c>
      <c r="F1969" s="5" t="str">
        <f>IFERROR(__xludf.DUMMYFUNCTION("IFS(
E1969=""Exclude"",""Exclude"",
AND(
COUNTIF(
IMPORTRANGE(""https://docs.google.com/spreadsheets/d/1kGrh75X1cNR1D7_FcY9zMnHP8iPO4M5RCRjy6nZY0TY/edit#gid=0"",""Table 1: Study characteristics!B4:B171""),A1969)&gt;0,
COUNTIF(Studies!$A$2:$A$85,FILTER(IMPORT"&amp;"RANGE(""https://docs.google.com/spreadsheets/d/1kGrh75X1cNR1D7_FcY9zMnHP8iPO4M5RCRjy6nZY0TY/edit#gid=0"",""Table 1: Study characteristics!A4:A171""), $A1969=IMPORTRANGE(""https://docs.google.com/spreadsheets/d/1kGrh75X1cNR1D7_FcY9zMnHP8iPO4M5RCRjy6nZY0TY/"&amp;"edit#gid=0"",""Table 1: Study characteristics!B4:B171"")))&gt;0
),
""Include""
)"),"Exclude")</f>
        <v>Exclude</v>
      </c>
      <c r="G1969" s="5" t="str">
        <f>IFERROR(__xludf.DUMMYFUNCTION("IFS(
D1969=""Exclude"",
FILTER(IMPORTRANGE(""https://docs.google.com/spreadsheets/d/1BJSV3WBYJGRhQ6zExamkszQ5VutGIcaQqmbD9ZTVXMQ/edit#gid=1251630045"",""articles_with_PRISMA_reasons!AB2:AB2113""), $A1969=IMPORTRANGE(""https://docs.google.com/spreadsheets/"&amp;"d/1BJSV3WBYJGRhQ6zExamkszQ5VutGIcaQqmbD9ZTVXMQ/edit#gid=1251630045"",""articles_with_PRISMA_reasons!B2:B2113"")),
E1969=""Exclude"",
FILTER(IMPORTRANGE(""https://docs.google.com/spreadsheets/d/1qpEmbGH0JjaJbUdp21-y2cPbobDbMjr09BbtdKROZWc/edit#gid=14448656"&amp;"54"",""articles_with_PRISMA_reasons!Z2:Z2113""), $A1969=IMPORTRANGE(""https://docs.google.com/spreadsheets/d/1qpEmbGH0JjaJbUdp21-y2cPbobDbMjr09BbtdKROZWc/edit#gid=1444865654"",""articles_with_PRISMA_reasons!B2:B2113"")),F1969
=""Include"",FILTER(IMPORTRAN"&amp;"GE(""https://docs.google.com/spreadsheets/d/1kGrh75X1cNR1D7_FcY9zMnHP8iPO4M5RCRjy6nZY0TY/edit#gid=0"",""Table 1: Study characteristics!A4:A171""), $A1969=IMPORTRANGE(""https://docs.google.com/spreadsheets/d/1kGrh75X1cNR1D7_FcY9zMnHP8iPO4M5RCRjy6nZY0TY/edi"&amp;"t#gid=0"",""Table 1: Study characteristics!B4:B171""))
)"),"wrong population")</f>
        <v>wrong population</v>
      </c>
    </row>
    <row r="1970">
      <c r="A1970" s="4" t="str">
        <f>IFERROR(__xludf.DUMMYFUNCTION("""COMPUTED_VALUE"""),"Third ventricular shape: A predictor of endoscopic third ventriculostomy success in pediatric patients. Clinical article")</f>
        <v>Third ventricular shape: A predictor of endoscopic third ventriculostomy success in pediatric patients. Clinical article</v>
      </c>
      <c r="B1970" s="5" t="str">
        <f>IFERROR(__xludf.DUMMYFUNCTION("LEFT(FILTER(IMPORTRANGE(""https://docs.google.com/spreadsheets/d/1BJSV3WBYJGRhQ6zExamkszQ5VutGIcaQqmbD9ZTVXMQ/edit#gid=1251630045"",""articles_with_PRISMA_reasons!K2:K2113""), $A1970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$A1970=IMPORTRANGE(""https://docs.google.com/spreadsheets/d/1BJSV3WBYJGRhQ6zExamkszQ5VutGIcaQqmbD9ZTVXMQ/edit#gid=1251630045"",""articles_with_PRISMA_reasons!B2:B2113"")))-1)"),"Foroughi")</f>
        <v>Foroughi</v>
      </c>
      <c r="C1970" s="6">
        <f>IFERROR(__xludf.DUMMYFUNCTION("FILTER(IMPORTRANGE(""https://docs.google.com/spreadsheets/d/1BJSV3WBYJGRhQ6zExamkszQ5VutGIcaQqmbD9ZTVXMQ/edit#gid=1251630045"",""articles_with_PRISMA_reasons!C2:C2113""), $A1970=IMPORTRANGE(""https://docs.google.com/spreadsheets/d/1BJSV3WBYJGRhQ6zExamkszQ"&amp;"5VutGIcaQqmbD9ZTVXMQ/edit#gid=1251630045"",""articles_with_PRISMA_reasons!B2:B2113""))"),2011.0)</f>
        <v>2011</v>
      </c>
      <c r="D1970" s="5" t="str">
        <f>IFERROR(__xludf.DUMMYFUNCTION("IFS(AND(
FILTER(IMPORTRANGE(""https://docs.google.com/spreadsheets/d/1BJSV3WBYJGRhQ6zExamkszQ5VutGIcaQqmbD9ZTVXMQ/edit#gid=1251630045"",""articles_with_PRISMA_reasons!Y2:Y2113""), $A1970=IMPORTRANGE(""https://docs.google.com/spreadsheets/d/1BJSV3WBYJGRhQ6"&amp;"zExamkszQ5VutGIcaQqmbD9ZTVXMQ/edit#gid=1251630045"",""articles_with_PRISMA_reasons!B2:B2113""))&gt;=2,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$A1970=IMPORTRANGE(""https://docs.google.com/spreadsheets/d/1BJSV3WBYJGRhQ6zExamkszQ5VutGIcaQqmbD9ZTVXMQ/edit#gid=1251630045"",""articles_with_PRISMA_reasons!B2:B2113""))&lt;2),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$A1970=IMPORTRANGE(""https://docs.google.com/spreadsheets/d/1BJSV3WBYJGRhQ6zExamkszQ5VutGIcaQqmbD9ZTVXMQ/edit#gid=1251630045"",""a"&amp;"rticles_with_PRISMA_reasons!B2:B2113""))&lt;2,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$A1970=IMPORTRANGE(""https://docs.google"&amp;".com/spreadsheets/d/1BJSV3WBYJGRhQ6zExamkszQ5VutGIcaQqmbD9ZTVXMQ/edit#gid=1251630045"",""articles_with_PRISMA_reasons!B2:B2113""))&gt;=2),
""Exclude""
)"),"Exclude")</f>
        <v>Exclude</v>
      </c>
      <c r="E1970" s="5" t="str">
        <f>IFERROR(__xludf.DUMMYFUNCTION("IFS(
D1970=""Exclude"",""Exclude"",
AND(
FILTER(IMPORTRANGE(""https://docs.google.com/spreadsheets/d/1qpEmbGH0JjaJbUdp21-y2cPbobDbMjr09BbtdKROZWc/edit#gid=1444865654"",""articles_with_PRISMA_reasons!W2:W2113""), $A1970=IMPORTRANGE(""https://docs.google.co"&amp;"m/spreadsheets/d/1qpEmbGH0JjaJbUdp21-y2cPbobDbMjr09BbtdKROZWc/edit#gid=1444865654"",""articles_with_PRISMA_reasons!B2:B2113""))&gt;=2,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$A1970=IMPORTRANGE(""https://docs.google.com/spreadsheets/d/1qpEmbGH0JjaJbUdp21-y2cPbobDbMjr09BbtdKROZWc/edit#gid=1444865654"",""articles_with_PRISMA_reasons!B2:B2113""))&lt;2),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$A1970=IMPORTRANGE(""https://docs.google.com/spreadsheets/d/1qpEmbGH0JjaJbUdp21-y2cPbobDbMjr09Bbtd"&amp;"KROZWc/edit#gid=1444865654"",""articles_with_PRISMA_reasons!B2:B2113""))&lt;2,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$A1970=I"&amp;"MPORTRANGE(""https://docs.google.com/spreadsheets/d/1qpEmbGH0JjaJbUdp21-y2cPbobDbMjr09BbtdKROZWc/edit#gid=1444865654"",""articles_with_PRISMA_reasons!B2:B2113""))&gt;=2),
""Exclude""
)"),"Exclude")</f>
        <v>Exclude</v>
      </c>
      <c r="F1970" s="5" t="str">
        <f>IFERROR(__xludf.DUMMYFUNCTION("IFS(
E1970=""Exclude"",""Exclude"",
AND(
COUNTIF(
IMPORTRANGE(""https://docs.google.com/spreadsheets/d/1kGrh75X1cNR1D7_FcY9zMnHP8iPO4M5RCRjy6nZY0TY/edit#gid=0"",""Table 1: Study characteristics!B4:B171""),A1970)&gt;0,
COUNTIF(Studies!$A$2:$A$85,FILTER(IMPORT"&amp;"RANGE(""https://docs.google.com/spreadsheets/d/1kGrh75X1cNR1D7_FcY9zMnHP8iPO4M5RCRjy6nZY0TY/edit#gid=0"",""Table 1: Study characteristics!A4:A171""), $A1970=IMPORTRANGE(""https://docs.google.com/spreadsheets/d/1kGrh75X1cNR1D7_FcY9zMnHP8iPO4M5RCRjy6nZY0TY/"&amp;"edit#gid=0"",""Table 1: Study characteristics!B4:B171"")))&gt;0
),
""Include""
)"),"Exclude")</f>
        <v>Exclude</v>
      </c>
      <c r="G1970" s="5" t="str">
        <f>IFERROR(__xludf.DUMMYFUNCTION("IFS(
D1970=""Exclude"",
FILTER(IMPORTRANGE(""https://docs.google.com/spreadsheets/d/1BJSV3WBYJGRhQ6zExamkszQ5VutGIcaQqmbD9ZTVXMQ/edit#gid=1251630045"",""articles_with_PRISMA_reasons!AB2:AB2113""), $A1970=IMPORTRANGE(""https://docs.google.com/spreadsheets/"&amp;"d/1BJSV3WBYJGRhQ6zExamkszQ5VutGIcaQqmbD9ZTVXMQ/edit#gid=1251630045"",""articles_with_PRISMA_reasons!B2:B2113"")),
E1970=""Exclude"",
FILTER(IMPORTRANGE(""https://docs.google.com/spreadsheets/d/1qpEmbGH0JjaJbUdp21-y2cPbobDbMjr09BbtdKROZWc/edit#gid=14448656"&amp;"54"",""articles_with_PRISMA_reasons!Z2:Z2113""), $A1970=IMPORTRANGE(""https://docs.google.com/spreadsheets/d/1qpEmbGH0JjaJbUdp21-y2cPbobDbMjr09BbtdKROZWc/edit#gid=1444865654"",""articles_with_PRISMA_reasons!B2:B2113"")),F1970
=""Include"",FILTER(IMPORTRAN"&amp;"GE(""https://docs.google.com/spreadsheets/d/1kGrh75X1cNR1D7_FcY9zMnHP8iPO4M5RCRjy6nZY0TY/edit#gid=0"",""Table 1: Study characteristics!A4:A171""), $A1970=IMPORTRANGE(""https://docs.google.com/spreadsheets/d/1kGrh75X1cNR1D7_FcY9zMnHP8iPO4M5RCRjy6nZY0TY/edi"&amp;"t#gid=0"",""Table 1: Study characteristics!B4:B171""))
)"),"wrong population")</f>
        <v>wrong population</v>
      </c>
    </row>
    <row r="1971">
      <c r="A1971" s="4" t="str">
        <f>IFERROR(__xludf.DUMMYFUNCTION("""COMPUTED_VALUE"""),"Third ventriculostomy for treatment of hydrocephalus: Results of 271 procedures")</f>
        <v>Third ventriculostomy for treatment of hydrocephalus: Results of 271 procedures</v>
      </c>
      <c r="B1971" s="5" t="str">
        <f>IFERROR(__xludf.DUMMYFUNCTION("LEFT(FILTER(IMPORTRANGE(""https://docs.google.com/spreadsheets/d/1BJSV3WBYJGRhQ6zExamkszQ5VutGIcaQqmbD9ZTVXMQ/edit#gid=1251630045"",""articles_with_PRISMA_reasons!K2:K2113""), $A1971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$A1971=IMPORTRANGE(""https://docs.google.com/spreadsheets/d/1BJSV3WBYJGRhQ6zExamkszQ5VutGIcaQqmbD9ZTVXMQ/edit#gid=1251630045"",""articles_with_PRISMA_reasons!B2:B2113"")))-1)"),"Schroeder")</f>
        <v>Schroeder</v>
      </c>
      <c r="C1971" s="6">
        <f>IFERROR(__xludf.DUMMYFUNCTION("FILTER(IMPORTRANGE(""https://docs.google.com/spreadsheets/d/1BJSV3WBYJGRhQ6zExamkszQ5VutGIcaQqmbD9ZTVXMQ/edit#gid=1251630045"",""articles_with_PRISMA_reasons!C2:C2113""), $A1971=IMPORTRANGE(""https://docs.google.com/spreadsheets/d/1BJSV3WBYJGRhQ6zExamkszQ"&amp;"5VutGIcaQqmbD9ZTVXMQ/edit#gid=1251630045"",""articles_with_PRISMA_reasons!B2:B2113""))"),2006.0)</f>
        <v>2006</v>
      </c>
      <c r="D1971" s="5" t="str">
        <f>IFERROR(__xludf.DUMMYFUNCTION("IFS(AND(
FILTER(IMPORTRANGE(""https://docs.google.com/spreadsheets/d/1BJSV3WBYJGRhQ6zExamkszQ5VutGIcaQqmbD9ZTVXMQ/edit#gid=1251630045"",""articles_with_PRISMA_reasons!Y2:Y2113""), $A1971=IMPORTRANGE(""https://docs.google.com/spreadsheets/d/1BJSV3WBYJGRhQ6"&amp;"zExamkszQ5VutGIcaQqmbD9ZTVXMQ/edit#gid=1251630045"",""articles_with_PRISMA_reasons!B2:B2113""))&gt;=2,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$A1971=IMPORTRANGE(""https://docs.google.com/spreadsheets/d/1BJSV3WBYJGRhQ6zExamkszQ5VutGIcaQqmbD9ZTVXMQ/edit#gid=1251630045"",""articles_with_PRISMA_reasons!B2:B2113""))&lt;2),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$A1971=IMPORTRANGE(""https://docs.google.com/spreadsheets/d/1BJSV3WBYJGRhQ6zExamkszQ5VutGIcaQqmbD9ZTVXMQ/edit#gid=1251630045"",""a"&amp;"rticles_with_PRISMA_reasons!B2:B2113""))&lt;2,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$A1971=IMPORTRANGE(""https://docs.google"&amp;".com/spreadsheets/d/1BJSV3WBYJGRhQ6zExamkszQ5VutGIcaQqmbD9ZTVXMQ/edit#gid=1251630045"",""articles_with_PRISMA_reasons!B2:B2113""))&gt;=2),
""Exclude""
)"),"Exclude")</f>
        <v>Exclude</v>
      </c>
      <c r="E1971" s="5" t="str">
        <f>IFERROR(__xludf.DUMMYFUNCTION("IFS(
D1971=""Exclude"",""Exclude"",
AND(
FILTER(IMPORTRANGE(""https://docs.google.com/spreadsheets/d/1qpEmbGH0JjaJbUdp21-y2cPbobDbMjr09BbtdKROZWc/edit#gid=1444865654"",""articles_with_PRISMA_reasons!W2:W2113""), $A1971=IMPORTRANGE(""https://docs.google.co"&amp;"m/spreadsheets/d/1qpEmbGH0JjaJbUdp21-y2cPbobDbMjr09BbtdKROZWc/edit#gid=1444865654"",""articles_with_PRISMA_reasons!B2:B2113""))&gt;=2,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$A1971=IMPORTRANGE(""https://docs.google.com/spreadsheets/d/1qpEmbGH0JjaJbUdp21-y2cPbobDbMjr09BbtdKROZWc/edit#gid=1444865654"",""articles_with_PRISMA_reasons!B2:B2113""))&lt;2),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$A1971=IMPORTRANGE(""https://docs.google.com/spreadsheets/d/1qpEmbGH0JjaJbUdp21-y2cPbobDbMjr09Bbtd"&amp;"KROZWc/edit#gid=1444865654"",""articles_with_PRISMA_reasons!B2:B2113""))&lt;2,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$A1971=I"&amp;"MPORTRANGE(""https://docs.google.com/spreadsheets/d/1qpEmbGH0JjaJbUdp21-y2cPbobDbMjr09BbtdKROZWc/edit#gid=1444865654"",""articles_with_PRISMA_reasons!B2:B2113""))&gt;=2),
""Exclude""
)"),"Exclude")</f>
        <v>Exclude</v>
      </c>
      <c r="F1971" s="5" t="str">
        <f>IFERROR(__xludf.DUMMYFUNCTION("IFS(
E1971=""Exclude"",""Exclude"",
AND(
COUNTIF(
IMPORTRANGE(""https://docs.google.com/spreadsheets/d/1kGrh75X1cNR1D7_FcY9zMnHP8iPO4M5RCRjy6nZY0TY/edit#gid=0"",""Table 1: Study characteristics!B4:B171""),A1971)&gt;0,
COUNTIF(Studies!$A$2:$A$85,FILTER(IMPORT"&amp;"RANGE(""https://docs.google.com/spreadsheets/d/1kGrh75X1cNR1D7_FcY9zMnHP8iPO4M5RCRjy6nZY0TY/edit#gid=0"",""Table 1: Study characteristics!A4:A171""), $A1971=IMPORTRANGE(""https://docs.google.com/spreadsheets/d/1kGrh75X1cNR1D7_FcY9zMnHP8iPO4M5RCRjy6nZY0TY/"&amp;"edit#gid=0"",""Table 1: Study characteristics!B4:B171"")))&gt;0
),
""Include""
)"),"Exclude")</f>
        <v>Exclude</v>
      </c>
      <c r="G1971" s="5" t="str">
        <f>IFERROR(__xludf.DUMMYFUNCTION("IFS(
D1971=""Exclude"",
FILTER(IMPORTRANGE(""https://docs.google.com/spreadsheets/d/1BJSV3WBYJGRhQ6zExamkszQ5VutGIcaQqmbD9ZTVXMQ/edit#gid=1251630045"",""articles_with_PRISMA_reasons!AB2:AB2113""), $A1971=IMPORTRANGE(""https://docs.google.com/spreadsheets/"&amp;"d/1BJSV3WBYJGRhQ6zExamkszQ5VutGIcaQqmbD9ZTVXMQ/edit#gid=1251630045"",""articles_with_PRISMA_reasons!B2:B2113"")),
E1971=""Exclude"",
FILTER(IMPORTRANGE(""https://docs.google.com/spreadsheets/d/1qpEmbGH0JjaJbUdp21-y2cPbobDbMjr09BbtdKROZWc/edit#gid=14448656"&amp;"54"",""articles_with_PRISMA_reasons!Z2:Z2113""), $A1971=IMPORTRANGE(""https://docs.google.com/spreadsheets/d/1qpEmbGH0JjaJbUdp21-y2cPbobDbMjr09BbtdKROZWc/edit#gid=1444865654"",""articles_with_PRISMA_reasons!B2:B2113"")),F1971
=""Include"",FILTER(IMPORTRAN"&amp;"GE(""https://docs.google.com/spreadsheets/d/1kGrh75X1cNR1D7_FcY9zMnHP8iPO4M5RCRjy6nZY0TY/edit#gid=0"",""Table 1: Study characteristics!A4:A171""), $A1971=IMPORTRANGE(""https://docs.google.com/spreadsheets/d/1kGrh75X1cNR1D7_FcY9zMnHP8iPO4M5RCRjy6nZY0TY/edi"&amp;"t#gid=0"",""Table 1: Study characteristics!B4:B171""))
)"),"wrong population")</f>
        <v>wrong population</v>
      </c>
    </row>
    <row r="1972">
      <c r="A1972" s="4" t="str">
        <f>IFERROR(__xludf.DUMMYFUNCTION("""COMPUTED_VALUE"""),"Thirty-day medical and surgical readmission following prenatal versus postnatal myelomeningocele repair")</f>
        <v>Thirty-day medical and surgical readmission following prenatal versus postnatal myelomeningocele repair</v>
      </c>
      <c r="B1972" s="5" t="str">
        <f>IFERROR(__xludf.DUMMYFUNCTION("LEFT(FILTER(IMPORTRANGE(""https://docs.google.com/spreadsheets/d/1BJSV3WBYJGRhQ6zExamkszQ5VutGIcaQqmbD9ZTVXMQ/edit#gid=1251630045"",""articles_with_PRISMA_reasons!K2:K2113""), $A1972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$A1972=IMPORTRANGE(""https://docs.google.com/spreadsheets/d/1BJSV3WBYJGRhQ6zExamkszQ5VutGIcaQqmbD9ZTVXMQ/edit#gid=1251630045"",""articles_with_PRISMA_reasons!B2:B2113"")))-1)"),"Cools")</f>
        <v>Cools</v>
      </c>
      <c r="C1972" s="6">
        <f>IFERROR(__xludf.DUMMYFUNCTION("FILTER(IMPORTRANGE(""https://docs.google.com/spreadsheets/d/1BJSV3WBYJGRhQ6zExamkszQ5VutGIcaQqmbD9ZTVXMQ/edit#gid=1251630045"",""articles_with_PRISMA_reasons!C2:C2113""), $A1972=IMPORTRANGE(""https://docs.google.com/spreadsheets/d/1BJSV3WBYJGRhQ6zExamkszQ"&amp;"5VutGIcaQqmbD9ZTVXMQ/edit#gid=1251630045"",""articles_with_PRISMA_reasons!B2:B2113""))"),2019.0)</f>
        <v>2019</v>
      </c>
      <c r="D1972" s="5" t="str">
        <f>IFERROR(__xludf.DUMMYFUNCTION("IFS(AND(
FILTER(IMPORTRANGE(""https://docs.google.com/spreadsheets/d/1BJSV3WBYJGRhQ6zExamkszQ5VutGIcaQqmbD9ZTVXMQ/edit#gid=1251630045"",""articles_with_PRISMA_reasons!Y2:Y2113""), $A1972=IMPORTRANGE(""https://docs.google.com/spreadsheets/d/1BJSV3WBYJGRhQ6"&amp;"zExamkszQ5VutGIcaQqmbD9ZTVXMQ/edit#gid=1251630045"",""articles_with_PRISMA_reasons!B2:B2113""))&gt;=2,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$A1972=IMPORTRANGE(""https://docs.google.com/spreadsheets/d/1BJSV3WBYJGRhQ6zExamkszQ5VutGIcaQqmbD9ZTVXMQ/edit#gid=1251630045"",""articles_with_PRISMA_reasons!B2:B2113""))&lt;2),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$A1972=IMPORTRANGE(""https://docs.google.com/spreadsheets/d/1BJSV3WBYJGRhQ6zExamkszQ5VutGIcaQqmbD9ZTVXMQ/edit#gid=1251630045"",""a"&amp;"rticles_with_PRISMA_reasons!B2:B2113""))&lt;2,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$A1972=IMPORTRANGE(""https://docs.google"&amp;".com/spreadsheets/d/1BJSV3WBYJGRhQ6zExamkszQ5VutGIcaQqmbD9ZTVXMQ/edit#gid=1251630045"",""articles_with_PRISMA_reasons!B2:B2113""))&gt;=2),
""Exclude""
)"),"Include")</f>
        <v>Include</v>
      </c>
      <c r="E1972" s="5" t="str">
        <f>IFERROR(__xludf.DUMMYFUNCTION("IFS(
D1972=""Exclude"",""Exclude"",
AND(
FILTER(IMPORTRANGE(""https://docs.google.com/spreadsheets/d/1qpEmbGH0JjaJbUdp21-y2cPbobDbMjr09BbtdKROZWc/edit#gid=1444865654"",""articles_with_PRISMA_reasons!W2:W2113""), $A1972=IMPORTRANGE(""https://docs.google.co"&amp;"m/spreadsheets/d/1qpEmbGH0JjaJbUdp21-y2cPbobDbMjr09BbtdKROZWc/edit#gid=1444865654"",""articles_with_PRISMA_reasons!B2:B2113""))&gt;=2,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$A1972=IMPORTRANGE(""https://docs.google.com/spreadsheets/d/1qpEmbGH0JjaJbUdp21-y2cPbobDbMjr09BbtdKROZWc/edit#gid=1444865654"",""articles_with_PRISMA_reasons!B2:B2113""))&lt;2),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$A1972=IMPORTRANGE(""https://docs.google.com/spreadsheets/d/1qpEmbGH0JjaJbUdp21-y2cPbobDbMjr09Bbtd"&amp;"KROZWc/edit#gid=1444865654"",""articles_with_PRISMA_reasons!B2:B2113""))&lt;2,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$A1972=I"&amp;"MPORTRANGE(""https://docs.google.com/spreadsheets/d/1qpEmbGH0JjaJbUdp21-y2cPbobDbMjr09BbtdKROZWc/edit#gid=1444865654"",""articles_with_PRISMA_reasons!B2:B2113""))&gt;=2),
""Exclude""
)"),"Include")</f>
        <v>Include</v>
      </c>
      <c r="F1972" s="5" t="str">
        <f>IFERROR(__xludf.DUMMYFUNCTION("IFS(
E1972=""Exclude"",""Exclude"",
AND(
COUNTIF(
IMPORTRANGE(""https://docs.google.com/spreadsheets/d/1kGrh75X1cNR1D7_FcY9zMnHP8iPO4M5RCRjy6nZY0TY/edit#gid=0"",""Table 1: Study characteristics!B4:B171""),A1972)&gt;0,
COUNTIF(Studies!$A$2:$A$85,FILTER(IMPORT"&amp;"RANGE(""https://docs.google.com/spreadsheets/d/1kGrh75X1cNR1D7_FcY9zMnHP8iPO4M5RCRjy6nZY0TY/edit#gid=0"",""Table 1: Study characteristics!A4:A171""), $A1972=IMPORTRANGE(""https://docs.google.com/spreadsheets/d/1kGrh75X1cNR1D7_FcY9zMnHP8iPO4M5RCRjy6nZY0TY/"&amp;"edit#gid=0"",""Table 1: Study characteristics!B4:B171"")))&gt;0
),
""Include""
)"),"Include")</f>
        <v>Include</v>
      </c>
      <c r="G1972" s="5" t="str">
        <f>IFERROR(__xludf.DUMMYFUNCTION("IFS(
D1972=""Exclude"",
FILTER(IMPORTRANGE(""https://docs.google.com/spreadsheets/d/1BJSV3WBYJGRhQ6zExamkszQ5VutGIcaQqmbD9ZTVXMQ/edit#gid=1251630045"",""articles_with_PRISMA_reasons!AB2:AB2113""), $A1972=IMPORTRANGE(""https://docs.google.com/spreadsheets/"&amp;"d/1BJSV3WBYJGRhQ6zExamkszQ5VutGIcaQqmbD9ZTVXMQ/edit#gid=1251630045"",""articles_with_PRISMA_reasons!B2:B2113"")),
E1972=""Exclude"",
FILTER(IMPORTRANGE(""https://docs.google.com/spreadsheets/d/1qpEmbGH0JjaJbUdp21-y2cPbobDbMjr09BbtdKROZWc/edit#gid=14448656"&amp;"54"",""articles_with_PRISMA_reasons!Z2:Z2113""), $A1972=IMPORTRANGE(""https://docs.google.com/spreadsheets/d/1qpEmbGH0JjaJbUdp21-y2cPbobDbMjr09BbtdKROZWc/edit#gid=1444865654"",""articles_with_PRISMA_reasons!B2:B2113"")),F1972
=""Include"",FILTER(IMPORTRAN"&amp;"GE(""https://docs.google.com/spreadsheets/d/1kGrh75X1cNR1D7_FcY9zMnHP8iPO4M5RCRjy6nZY0TY/edit#gid=0"",""Table 1: Study characteristics!A4:A171""), $A1972=IMPORTRANGE(""https://docs.google.com/spreadsheets/d/1kGrh75X1cNR1D7_FcY9zMnHP8iPO4M5RCRjy6nZY0TY/edi"&amp;"t#gid=0"",""Table 1: Study characteristics!B4:B171""))
)"),"ID 161")</f>
        <v>ID 161</v>
      </c>
    </row>
    <row r="1973">
      <c r="A1973" s="4" t="str">
        <f>IFERROR(__xludf.DUMMYFUNCTION("""COMPUTED_VALUE"""),"Thirty-day outcomes after postnatal myelomeningocele repair: A National Surgical Quality Improvement Program Pediatric database analysis")</f>
        <v>Thirty-day outcomes after postnatal myelomeningocele repair: A National Surgical Quality Improvement Program Pediatric database analysis</v>
      </c>
      <c r="B1973" s="5" t="str">
        <f>IFERROR(__xludf.DUMMYFUNCTION("LEFT(FILTER(IMPORTRANGE(""https://docs.google.com/spreadsheets/d/1BJSV3WBYJGRhQ6zExamkszQ5VutGIcaQqmbD9ZTVXMQ/edit#gid=1251630045"",""articles_with_PRISMA_reasons!K2:K2113""), $A1973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$A1973=IMPORTRANGE(""https://docs.google.com/spreadsheets/d/1BJSV3WBYJGRhQ6zExamkszQ5VutGIcaQqmbD9ZTVXMQ/edit#gid=1251630045"",""articles_with_PRISMA_reasons!B2:B2113"")))-1)"),"Cherian")</f>
        <v>Cherian</v>
      </c>
      <c r="C1973" s="6">
        <f>IFERROR(__xludf.DUMMYFUNCTION("FILTER(IMPORTRANGE(""https://docs.google.com/spreadsheets/d/1BJSV3WBYJGRhQ6zExamkszQ5VutGIcaQqmbD9ZTVXMQ/edit#gid=1251630045"",""articles_with_PRISMA_reasons!C2:C2113""), $A1973=IMPORTRANGE(""https://docs.google.com/spreadsheets/d/1BJSV3WBYJGRhQ6zExamkszQ"&amp;"5VutGIcaQqmbD9ZTVXMQ/edit#gid=1251630045"",""articles_with_PRISMA_reasons!B2:B2113""))"),2016.0)</f>
        <v>2016</v>
      </c>
      <c r="D1973" s="5" t="str">
        <f>IFERROR(__xludf.DUMMYFUNCTION("IFS(AND(
FILTER(IMPORTRANGE(""https://docs.google.com/spreadsheets/d/1BJSV3WBYJGRhQ6zExamkszQ5VutGIcaQqmbD9ZTVXMQ/edit#gid=1251630045"",""articles_with_PRISMA_reasons!Y2:Y2113""), $A1973=IMPORTRANGE(""https://docs.google.com/spreadsheets/d/1BJSV3WBYJGRhQ6"&amp;"zExamkszQ5VutGIcaQqmbD9ZTVXMQ/edit#gid=1251630045"",""articles_with_PRISMA_reasons!B2:B2113""))&gt;=2,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$A1973=IMPORTRANGE(""https://docs.google.com/spreadsheets/d/1BJSV3WBYJGRhQ6zExamkszQ5VutGIcaQqmbD9ZTVXMQ/edit#gid=1251630045"",""articles_with_PRISMA_reasons!B2:B2113""))&lt;2),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$A1973=IMPORTRANGE(""https://docs.google.com/spreadsheets/d/1BJSV3WBYJGRhQ6zExamkszQ5VutGIcaQqmbD9ZTVXMQ/edit#gid=1251630045"",""a"&amp;"rticles_with_PRISMA_reasons!B2:B2113""))&lt;2,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$A1973=IMPORTRANGE(""https://docs.google"&amp;".com/spreadsheets/d/1BJSV3WBYJGRhQ6zExamkszQ5VutGIcaQqmbD9ZTVXMQ/edit#gid=1251630045"",""articles_with_PRISMA_reasons!B2:B2113""))&gt;=2),
""Exclude""
)"),"Include")</f>
        <v>Include</v>
      </c>
      <c r="E1973" s="5" t="str">
        <f>IFERROR(__xludf.DUMMYFUNCTION("IFS(
D1973=""Exclude"",""Exclude"",
AND(
FILTER(IMPORTRANGE(""https://docs.google.com/spreadsheets/d/1qpEmbGH0JjaJbUdp21-y2cPbobDbMjr09BbtdKROZWc/edit#gid=1444865654"",""articles_with_PRISMA_reasons!W2:W2113""), $A1973=IMPORTRANGE(""https://docs.google.co"&amp;"m/spreadsheets/d/1qpEmbGH0JjaJbUdp21-y2cPbobDbMjr09BbtdKROZWc/edit#gid=1444865654"",""articles_with_PRISMA_reasons!B2:B2113""))&gt;=2,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$A1973=IMPORTRANGE(""https://docs.google.com/spreadsheets/d/1qpEmbGH0JjaJbUdp21-y2cPbobDbMjr09BbtdKROZWc/edit#gid=1444865654"",""articles_with_PRISMA_reasons!B2:B2113""))&lt;2),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$A1973=IMPORTRANGE(""https://docs.google.com/spreadsheets/d/1qpEmbGH0JjaJbUdp21-y2cPbobDbMjr09Bbtd"&amp;"KROZWc/edit#gid=1444865654"",""articles_with_PRISMA_reasons!B2:B2113""))&lt;2,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$A1973=I"&amp;"MPORTRANGE(""https://docs.google.com/spreadsheets/d/1qpEmbGH0JjaJbUdp21-y2cPbobDbMjr09BbtdKROZWc/edit#gid=1444865654"",""articles_with_PRISMA_reasons!B2:B2113""))&gt;=2),
""Exclude""
)"),"Exclude")</f>
        <v>Exclude</v>
      </c>
      <c r="F1973" s="5" t="str">
        <f>IFERROR(__xludf.DUMMYFUNCTION("IFS(
E1973=""Exclude"",""Exclude"",
AND(
COUNTIF(
IMPORTRANGE(""https://docs.google.com/spreadsheets/d/1kGrh75X1cNR1D7_FcY9zMnHP8iPO4M5RCRjy6nZY0TY/edit#gid=0"",""Table 1: Study characteristics!B4:B171""),A1973)&gt;0,
COUNTIF(Studies!$A$2:$A$85,FILTER(IMPORT"&amp;"RANGE(""https://docs.google.com/spreadsheets/d/1kGrh75X1cNR1D7_FcY9zMnHP8iPO4M5RCRjy6nZY0TY/edit#gid=0"",""Table 1: Study characteristics!A4:A171""), $A1973=IMPORTRANGE(""https://docs.google.com/spreadsheets/d/1kGrh75X1cNR1D7_FcY9zMnHP8iPO4M5RCRjy6nZY0TY/"&amp;"edit#gid=0"",""Table 1: Study characteristics!B4:B171"")))&gt;0
),
""Include""
)"),"Exclude")</f>
        <v>Exclude</v>
      </c>
      <c r="G1973" s="5" t="str">
        <f>IFERROR(__xludf.DUMMYFUNCTION("IFS(
D1973=""Exclude"",
FILTER(IMPORTRANGE(""https://docs.google.com/spreadsheets/d/1BJSV3WBYJGRhQ6zExamkszQ5VutGIcaQqmbD9ZTVXMQ/edit#gid=1251630045"",""articles_with_PRISMA_reasons!AB2:AB2113""), $A1973=IMPORTRANGE(""https://docs.google.com/spreadsheets/"&amp;"d/1BJSV3WBYJGRhQ6zExamkszQ5VutGIcaQqmbD9ZTVXMQ/edit#gid=1251630045"",""articles_with_PRISMA_reasons!B2:B2113"")),
E1973=""Exclude"",
FILTER(IMPORTRANGE(""https://docs.google.com/spreadsheets/d/1qpEmbGH0JjaJbUdp21-y2cPbobDbMjr09BbtdKROZWc/edit#gid=14448656"&amp;"54"",""articles_with_PRISMA_reasons!Z2:Z2113""), $A1973=IMPORTRANGE(""https://docs.google.com/spreadsheets/d/1qpEmbGH0JjaJbUdp21-y2cPbobDbMjr09BbtdKROZWc/edit#gid=1444865654"",""articles_with_PRISMA_reasons!B2:B2113"")),F1973
=""Include"",FILTER(IMPORTRAN"&amp;"GE(""https://docs.google.com/spreadsheets/d/1kGrh75X1cNR1D7_FcY9zMnHP8iPO4M5RCRjy6nZY0TY/edit#gid=0"",""Table 1: Study characteristics!A4:A171""), $A1973=IMPORTRANGE(""https://docs.google.com/spreadsheets/d/1kGrh75X1cNR1D7_FcY9zMnHP8iPO4M5RCRjy6nZY0TY/edi"&amp;"t#gid=0"",""Table 1: Study characteristics!B4:B171""))
)"),"wrong intervention")</f>
        <v>wrong intervention</v>
      </c>
    </row>
    <row r="1974">
      <c r="A1974" s="4" t="str">
        <f>IFERROR(__xludf.DUMMYFUNCTION("""COMPUTED_VALUE"""),"Thoracic meningocele, meningomyelocele or myelocystocele? Diagnostic difficulties, consequent implications and treatment")</f>
        <v>Thoracic meningocele, meningomyelocele or myelocystocele? Diagnostic difficulties, consequent implications and treatment</v>
      </c>
      <c r="B1974" s="5" t="str">
        <f>IFERROR(__xludf.DUMMYFUNCTION("LEFT(FILTER(IMPORTRANGE(""https://docs.google.com/spreadsheets/d/1BJSV3WBYJGRhQ6zExamkszQ5VutGIcaQqmbD9ZTVXMQ/edit#gid=1251630045"",""articles_with_PRISMA_reasons!K2:K2113""), $A1974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$A1974=IMPORTRANGE(""https://docs.google.com/spreadsheets/d/1BJSV3WBYJGRhQ6zExamkszQ5VutGIcaQqmbD9ZTVXMQ/edit#gid=1251630045"",""articles_with_PRISMA_reasons!B2:B2113"")))-1)"),"Arts")</f>
        <v>Arts</v>
      </c>
      <c r="C1974" s="6" t="str">
        <f>IFERROR(__xludf.DUMMYFUNCTION("FILTER(IMPORTRANGE(""https://docs.google.com/spreadsheets/d/1BJSV3WBYJGRhQ6zExamkszQ5VutGIcaQqmbD9ZTVXMQ/edit#gid=1251630045"",""articles_with_PRISMA_reasons!C2:C2113""), $A1974=IMPORTRANGE(""https://docs.google.com/spreadsheets/d/1BJSV3WBYJGRhQ6zExamkszQ"&amp;"5VutGIcaQqmbD9ZTVXMQ/edit#gid=1251630045"",""articles_with_PRISMA_reasons!B2:B2113""))"),"Mar")</f>
        <v>Mar</v>
      </c>
      <c r="D1974" s="5" t="str">
        <f>IFERROR(__xludf.DUMMYFUNCTION("IFS(AND(
FILTER(IMPORTRANGE(""https://docs.google.com/spreadsheets/d/1BJSV3WBYJGRhQ6zExamkszQ5VutGIcaQqmbD9ZTVXMQ/edit#gid=1251630045"",""articles_with_PRISMA_reasons!Y2:Y2113""), $A1974=IMPORTRANGE(""https://docs.google.com/spreadsheets/d/1BJSV3WBYJGRhQ6"&amp;"zExamkszQ5VutGIcaQqmbD9ZTVXMQ/edit#gid=1251630045"",""articles_with_PRISMA_reasons!B2:B2113""))&gt;=2,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$A1974=IMPORTRANGE(""https://docs.google.com/spreadsheets/d/1BJSV3WBYJGRhQ6zExamkszQ5VutGIcaQqmbD9ZTVXMQ/edit#gid=1251630045"",""articles_with_PRISMA_reasons!B2:B2113""))&lt;2),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$A1974=IMPORTRANGE(""https://docs.google.com/spreadsheets/d/1BJSV3WBYJGRhQ6zExamkszQ5VutGIcaQqmbD9ZTVXMQ/edit#gid=1251630045"",""a"&amp;"rticles_with_PRISMA_reasons!B2:B2113""))&lt;2,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$A1974=IMPORTRANGE(""https://docs.google"&amp;".com/spreadsheets/d/1BJSV3WBYJGRhQ6zExamkszQ5VutGIcaQqmbD9ZTVXMQ/edit#gid=1251630045"",""articles_with_PRISMA_reasons!B2:B2113""))&gt;=2),
""Exclude""
)"),"Exclude")</f>
        <v>Exclude</v>
      </c>
      <c r="E1974" s="5" t="str">
        <f>IFERROR(__xludf.DUMMYFUNCTION("IFS(
D1974=""Exclude"",""Exclude"",
AND(
FILTER(IMPORTRANGE(""https://docs.google.com/spreadsheets/d/1qpEmbGH0JjaJbUdp21-y2cPbobDbMjr09BbtdKROZWc/edit#gid=1444865654"",""articles_with_PRISMA_reasons!W2:W2113""), $A1974=IMPORTRANGE(""https://docs.google.co"&amp;"m/spreadsheets/d/1qpEmbGH0JjaJbUdp21-y2cPbobDbMjr09BbtdKROZWc/edit#gid=1444865654"",""articles_with_PRISMA_reasons!B2:B2113""))&gt;=2,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$A1974=IMPORTRANGE(""https://docs.google.com/spreadsheets/d/1qpEmbGH0JjaJbUdp21-y2cPbobDbMjr09BbtdKROZWc/edit#gid=1444865654"",""articles_with_PRISMA_reasons!B2:B2113""))&lt;2),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$A1974=IMPORTRANGE(""https://docs.google.com/spreadsheets/d/1qpEmbGH0JjaJbUdp21-y2cPbobDbMjr09Bbtd"&amp;"KROZWc/edit#gid=1444865654"",""articles_with_PRISMA_reasons!B2:B2113""))&lt;2,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$A1974=I"&amp;"MPORTRANGE(""https://docs.google.com/spreadsheets/d/1qpEmbGH0JjaJbUdp21-y2cPbobDbMjr09BbtdKROZWc/edit#gid=1444865654"",""articles_with_PRISMA_reasons!B2:B2113""))&gt;=2),
""Exclude""
)"),"Exclude")</f>
        <v>Exclude</v>
      </c>
      <c r="F1974" s="5" t="str">
        <f>IFERROR(__xludf.DUMMYFUNCTION("IFS(
E1974=""Exclude"",""Exclude"",
AND(
COUNTIF(
IMPORTRANGE(""https://docs.google.com/spreadsheets/d/1kGrh75X1cNR1D7_FcY9zMnHP8iPO4M5RCRjy6nZY0TY/edit#gid=0"",""Table 1: Study characteristics!B4:B171""),A1974)&gt;0,
COUNTIF(Studies!$A$2:$A$85,FILTER(IMPORT"&amp;"RANGE(""https://docs.google.com/spreadsheets/d/1kGrh75X1cNR1D7_FcY9zMnHP8iPO4M5RCRjy6nZY0TY/edit#gid=0"",""Table 1: Study characteristics!A4:A171""), $A1974=IMPORTRANGE(""https://docs.google.com/spreadsheets/d/1kGrh75X1cNR1D7_FcY9zMnHP8iPO4M5RCRjy6nZY0TY/"&amp;"edit#gid=0"",""Table 1: Study characteristics!B4:B171"")))&gt;0
),
""Include""
)"),"Exclude")</f>
        <v>Exclude</v>
      </c>
      <c r="G1974" s="5" t="str">
        <f>IFERROR(__xludf.DUMMYFUNCTION("IFS(
D1974=""Exclude"",
FILTER(IMPORTRANGE(""https://docs.google.com/spreadsheets/d/1BJSV3WBYJGRhQ6zExamkszQ5VutGIcaQqmbD9ZTVXMQ/edit#gid=1251630045"",""articles_with_PRISMA_reasons!AB2:AB2113""), $A1974=IMPORTRANGE(""https://docs.google.com/spreadsheets/"&amp;"d/1BJSV3WBYJGRhQ6zExamkszQ5VutGIcaQqmbD9ZTVXMQ/edit#gid=1251630045"",""articles_with_PRISMA_reasons!B2:B2113"")),
E1974=""Exclude"",
FILTER(IMPORTRANGE(""https://docs.google.com/spreadsheets/d/1qpEmbGH0JjaJbUdp21-y2cPbobDbMjr09BbtdKROZWc/edit#gid=14448656"&amp;"54"",""articles_with_PRISMA_reasons!Z2:Z2113""), $A1974=IMPORTRANGE(""https://docs.google.com/spreadsheets/d/1qpEmbGH0JjaJbUdp21-y2cPbobDbMjr09BbtdKROZWc/edit#gid=1444865654"",""articles_with_PRISMA_reasons!B2:B2113"")),F1974
=""Include"",FILTER(IMPORTRAN"&amp;"GE(""https://docs.google.com/spreadsheets/d/1kGrh75X1cNR1D7_FcY9zMnHP8iPO4M5RCRjy6nZY0TY/edit#gid=0"",""Table 1: Study characteristics!A4:A171""), $A1974=IMPORTRANGE(""https://docs.google.com/spreadsheets/d/1kGrh75X1cNR1D7_FcY9zMnHP8iPO4M5RCRjy6nZY0TY/edi"&amp;"t#gid=0"",""Table 1: Study characteristics!B4:B171""))
)"),"Duplicate")</f>
        <v>Duplicate</v>
      </c>
    </row>
    <row r="1975">
      <c r="A1975" s="4" t="str">
        <f>IFERROR(__xludf.DUMMYFUNCTION("""COMPUTED_VALUE"""),"Thoracic myelocystoceles--two variants")</f>
        <v>Thoracic myelocystoceles--two variants</v>
      </c>
      <c r="B1975" s="5" t="str">
        <f>IFERROR(__xludf.DUMMYFUNCTION("LEFT(FILTER(IMPORTRANGE(""https://docs.google.com/spreadsheets/d/1BJSV3WBYJGRhQ6zExamkszQ5VutGIcaQqmbD9ZTVXMQ/edit#gid=1251630045"",""articles_with_PRISMA_reasons!K2:K2113""), $A1975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$A1975=IMPORTRANGE(""https://docs.google.com/spreadsheets/d/1BJSV3WBYJGRhQ6zExamkszQ5VutGIcaQqmbD9ZTVXMQ/edit#gid=1251630045"",""articles_with_PRISMA_reasons!B2:B2113"")))-1)"),"Muthukumar")</f>
        <v>Muthukumar</v>
      </c>
      <c r="C1975" s="6" t="str">
        <f>IFERROR(__xludf.DUMMYFUNCTION("FILTER(IMPORTRANGE(""https://docs.google.com/spreadsheets/d/1BJSV3WBYJGRhQ6zExamkszQ5VutGIcaQqmbD9ZTVXMQ/edit#gid=1251630045"",""articles_with_PRISMA_reasons!C2:C2113""), $A1975=IMPORTRANGE(""https://docs.google.com/spreadsheets/d/1BJSV3WBYJGRhQ6zExamkszQ"&amp;"5VutGIcaQqmbD9ZTVXMQ/edit#gid=1251630045"",""articles_with_PRISMA_reasons!B2:B2113""))"),"Jul")</f>
        <v>Jul</v>
      </c>
      <c r="D1975" s="5" t="str">
        <f>IFERROR(__xludf.DUMMYFUNCTION("IFS(AND(
FILTER(IMPORTRANGE(""https://docs.google.com/spreadsheets/d/1BJSV3WBYJGRhQ6zExamkszQ5VutGIcaQqmbD9ZTVXMQ/edit#gid=1251630045"",""articles_with_PRISMA_reasons!Y2:Y2113""), $A1975=IMPORTRANGE(""https://docs.google.com/spreadsheets/d/1BJSV3WBYJGRhQ6"&amp;"zExamkszQ5VutGIcaQqmbD9ZTVXMQ/edit#gid=1251630045"",""articles_with_PRISMA_reasons!B2:B2113""))&gt;=2,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$A1975=IMPORTRANGE(""https://docs.google.com/spreadsheets/d/1BJSV3WBYJGRhQ6zExamkszQ5VutGIcaQqmbD9ZTVXMQ/edit#gid=1251630045"",""articles_with_PRISMA_reasons!B2:B2113""))&lt;2),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$A1975=IMPORTRANGE(""https://docs.google.com/spreadsheets/d/1BJSV3WBYJGRhQ6zExamkszQ5VutGIcaQqmbD9ZTVXMQ/edit#gid=1251630045"",""a"&amp;"rticles_with_PRISMA_reasons!B2:B2113""))&lt;2,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$A1975=IMPORTRANGE(""https://docs.google"&amp;".com/spreadsheets/d/1BJSV3WBYJGRhQ6zExamkszQ5VutGIcaQqmbD9ZTVXMQ/edit#gid=1251630045"",""articles_with_PRISMA_reasons!B2:B2113""))&gt;=2),
""Exclude""
)"),"Exclude")</f>
        <v>Exclude</v>
      </c>
      <c r="E1975" s="5" t="str">
        <f>IFERROR(__xludf.DUMMYFUNCTION("IFS(
D1975=""Exclude"",""Exclude"",
AND(
FILTER(IMPORTRANGE(""https://docs.google.com/spreadsheets/d/1qpEmbGH0JjaJbUdp21-y2cPbobDbMjr09BbtdKROZWc/edit#gid=1444865654"",""articles_with_PRISMA_reasons!W2:W2113""), $A1975=IMPORTRANGE(""https://docs.google.co"&amp;"m/spreadsheets/d/1qpEmbGH0JjaJbUdp21-y2cPbobDbMjr09BbtdKROZWc/edit#gid=1444865654"",""articles_with_PRISMA_reasons!B2:B2113""))&gt;=2,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$A1975=IMPORTRANGE(""https://docs.google.com/spreadsheets/d/1qpEmbGH0JjaJbUdp21-y2cPbobDbMjr09BbtdKROZWc/edit#gid=1444865654"",""articles_with_PRISMA_reasons!B2:B2113""))&lt;2),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$A1975=IMPORTRANGE(""https://docs.google.com/spreadsheets/d/1qpEmbGH0JjaJbUdp21-y2cPbobDbMjr09Bbtd"&amp;"KROZWc/edit#gid=1444865654"",""articles_with_PRISMA_reasons!B2:B2113""))&lt;2,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$A1975=I"&amp;"MPORTRANGE(""https://docs.google.com/spreadsheets/d/1qpEmbGH0JjaJbUdp21-y2cPbobDbMjr09BbtdKROZWc/edit#gid=1444865654"",""articles_with_PRISMA_reasons!B2:B2113""))&gt;=2),
""Exclude""
)"),"Exclude")</f>
        <v>Exclude</v>
      </c>
      <c r="F1975" s="5" t="str">
        <f>IFERROR(__xludf.DUMMYFUNCTION("IFS(
E1975=""Exclude"",""Exclude"",
AND(
COUNTIF(
IMPORTRANGE(""https://docs.google.com/spreadsheets/d/1kGrh75X1cNR1D7_FcY9zMnHP8iPO4M5RCRjy6nZY0TY/edit#gid=0"",""Table 1: Study characteristics!B4:B171""),A1975)&gt;0,
COUNTIF(Studies!$A$2:$A$85,FILTER(IMPORT"&amp;"RANGE(""https://docs.google.com/spreadsheets/d/1kGrh75X1cNR1D7_FcY9zMnHP8iPO4M5RCRjy6nZY0TY/edit#gid=0"",""Table 1: Study characteristics!A4:A171""), $A1975=IMPORTRANGE(""https://docs.google.com/spreadsheets/d/1kGrh75X1cNR1D7_FcY9zMnHP8iPO4M5RCRjy6nZY0TY/"&amp;"edit#gid=0"",""Table 1: Study characteristics!B4:B171"")))&gt;0
),
""Include""
)"),"Exclude")</f>
        <v>Exclude</v>
      </c>
      <c r="G1975" s="5" t="str">
        <f>IFERROR(__xludf.DUMMYFUNCTION("IFS(
D1975=""Exclude"",
FILTER(IMPORTRANGE(""https://docs.google.com/spreadsheets/d/1BJSV3WBYJGRhQ6zExamkszQ5VutGIcaQqmbD9ZTVXMQ/edit#gid=1251630045"",""articles_with_PRISMA_reasons!AB2:AB2113""), $A1975=IMPORTRANGE(""https://docs.google.com/spreadsheets/"&amp;"d/1BJSV3WBYJGRhQ6zExamkszQ5VutGIcaQqmbD9ZTVXMQ/edit#gid=1251630045"",""articles_with_PRISMA_reasons!B2:B2113"")),
E1975=""Exclude"",
FILTER(IMPORTRANGE(""https://docs.google.com/spreadsheets/d/1qpEmbGH0JjaJbUdp21-y2cPbobDbMjr09BbtdKROZWc/edit#gid=14448656"&amp;"54"",""articles_with_PRISMA_reasons!Z2:Z2113""), $A1975=IMPORTRANGE(""https://docs.google.com/spreadsheets/d/1qpEmbGH0JjaJbUdp21-y2cPbobDbMjr09BbtdKROZWc/edit#gid=1444865654"",""articles_with_PRISMA_reasons!B2:B2113"")),F1975
=""Include"",FILTER(IMPORTRAN"&amp;"GE(""https://docs.google.com/spreadsheets/d/1kGrh75X1cNR1D7_FcY9zMnHP8iPO4M5RCRjy6nZY0TY/edit#gid=0"",""Table 1: Study characteristics!A4:A171""), $A1975=IMPORTRANGE(""https://docs.google.com/spreadsheets/d/1kGrh75X1cNR1D7_FcY9zMnHP8iPO4M5RCRjy6nZY0TY/edi"&amp;"t#gid=0"",""Table 1: Study characteristics!B4:B171""))
)"),"wrong population")</f>
        <v>wrong population</v>
      </c>
    </row>
    <row r="1976">
      <c r="A1976" s="4" t="str">
        <f>IFERROR(__xludf.DUMMYFUNCTION("""COMPUTED_VALUE"""),"Thoracic myelocystomeningocele in a neurologically intact infant")</f>
        <v>Thoracic myelocystomeningocele in a neurologically intact infant</v>
      </c>
      <c r="B1976" s="5" t="str">
        <f>IFERROR(__xludf.DUMMYFUNCTION("LEFT(FILTER(IMPORTRANGE(""https://docs.google.com/spreadsheets/d/1BJSV3WBYJGRhQ6zExamkszQ5VutGIcaQqmbD9ZTVXMQ/edit#gid=1251630045"",""articles_with_PRISMA_reasons!K2:K2113""), $A1976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$A1976=IMPORTRANGE(""https://docs.google.com/spreadsheets/d/1BJSV3WBYJGRhQ6zExamkszQ5VutGIcaQqmbD9ZTVXMQ/edit#gid=1251630045"",""articles_with_PRISMA_reasons!B2:B2113"")))-1)"),"Komolafe")</f>
        <v>Komolafe</v>
      </c>
      <c r="C1976" s="6">
        <f>IFERROR(__xludf.DUMMYFUNCTION("FILTER(IMPORTRANGE(""https://docs.google.com/spreadsheets/d/1BJSV3WBYJGRhQ6zExamkszQ5VutGIcaQqmbD9ZTVXMQ/edit#gid=1251630045"",""articles_with_PRISMA_reasons!C2:C2113""), $A1976=IMPORTRANGE(""https://docs.google.com/spreadsheets/d/1BJSV3WBYJGRhQ6zExamkszQ"&amp;"5VutGIcaQqmbD9ZTVXMQ/edit#gid=1251630045"",""articles_with_PRISMA_reasons!B2:B2113""))"),2004.0)</f>
        <v>2004</v>
      </c>
      <c r="D1976" s="5" t="str">
        <f>IFERROR(__xludf.DUMMYFUNCTION("IFS(AND(
FILTER(IMPORTRANGE(""https://docs.google.com/spreadsheets/d/1BJSV3WBYJGRhQ6zExamkszQ5VutGIcaQqmbD9ZTVXMQ/edit#gid=1251630045"",""articles_with_PRISMA_reasons!Y2:Y2113""), $A1976=IMPORTRANGE(""https://docs.google.com/spreadsheets/d/1BJSV3WBYJGRhQ6"&amp;"zExamkszQ5VutGIcaQqmbD9ZTVXMQ/edit#gid=1251630045"",""articles_with_PRISMA_reasons!B2:B2113""))&gt;=2,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$A1976=IMPORTRANGE(""https://docs.google.com/spreadsheets/d/1BJSV3WBYJGRhQ6zExamkszQ5VutGIcaQqmbD9ZTVXMQ/edit#gid=1251630045"",""articles_with_PRISMA_reasons!B2:B2113""))&lt;2),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$A1976=IMPORTRANGE(""https://docs.google.com/spreadsheets/d/1BJSV3WBYJGRhQ6zExamkszQ5VutGIcaQqmbD9ZTVXMQ/edit#gid=1251630045"",""a"&amp;"rticles_with_PRISMA_reasons!B2:B2113""))&lt;2,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$A1976=IMPORTRANGE(""https://docs.google"&amp;".com/spreadsheets/d/1BJSV3WBYJGRhQ6zExamkszQ5VutGIcaQqmbD9ZTVXMQ/edit#gid=1251630045"",""articles_with_PRISMA_reasons!B2:B2113""))&gt;=2),
""Exclude""
)"),"Exclude")</f>
        <v>Exclude</v>
      </c>
      <c r="E1976" s="5" t="str">
        <f>IFERROR(__xludf.DUMMYFUNCTION("IFS(
D1976=""Exclude"",""Exclude"",
AND(
FILTER(IMPORTRANGE(""https://docs.google.com/spreadsheets/d/1qpEmbGH0JjaJbUdp21-y2cPbobDbMjr09BbtdKROZWc/edit#gid=1444865654"",""articles_with_PRISMA_reasons!W2:W2113""), $A1976=IMPORTRANGE(""https://docs.google.co"&amp;"m/spreadsheets/d/1qpEmbGH0JjaJbUdp21-y2cPbobDbMjr09BbtdKROZWc/edit#gid=1444865654"",""articles_with_PRISMA_reasons!B2:B2113""))&gt;=2,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$A1976=IMPORTRANGE(""https://docs.google.com/spreadsheets/d/1qpEmbGH0JjaJbUdp21-y2cPbobDbMjr09BbtdKROZWc/edit#gid=1444865654"",""articles_with_PRISMA_reasons!B2:B2113""))&lt;2),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$A1976=IMPORTRANGE(""https://docs.google.com/spreadsheets/d/1qpEmbGH0JjaJbUdp21-y2cPbobDbMjr09Bbtd"&amp;"KROZWc/edit#gid=1444865654"",""articles_with_PRISMA_reasons!B2:B2113""))&lt;2,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$A1976=I"&amp;"MPORTRANGE(""https://docs.google.com/spreadsheets/d/1qpEmbGH0JjaJbUdp21-y2cPbobDbMjr09BbtdKROZWc/edit#gid=1444865654"",""articles_with_PRISMA_reasons!B2:B2113""))&gt;=2),
""Exclude""
)"),"Exclude")</f>
        <v>Exclude</v>
      </c>
      <c r="F1976" s="5" t="str">
        <f>IFERROR(__xludf.DUMMYFUNCTION("IFS(
E1976=""Exclude"",""Exclude"",
AND(
COUNTIF(
IMPORTRANGE(""https://docs.google.com/spreadsheets/d/1kGrh75X1cNR1D7_FcY9zMnHP8iPO4M5RCRjy6nZY0TY/edit#gid=0"",""Table 1: Study characteristics!B4:B171""),A1976)&gt;0,
COUNTIF(Studies!$A$2:$A$85,FILTER(IMPORT"&amp;"RANGE(""https://docs.google.com/spreadsheets/d/1kGrh75X1cNR1D7_FcY9zMnHP8iPO4M5RCRjy6nZY0TY/edit#gid=0"",""Table 1: Study characteristics!A4:A171""), $A1976=IMPORTRANGE(""https://docs.google.com/spreadsheets/d/1kGrh75X1cNR1D7_FcY9zMnHP8iPO4M5RCRjy6nZY0TY/"&amp;"edit#gid=0"",""Table 1: Study characteristics!B4:B171"")))&gt;0
),
""Include""
)"),"Exclude")</f>
        <v>Exclude</v>
      </c>
      <c r="G1976" s="5" t="str">
        <f>IFERROR(__xludf.DUMMYFUNCTION("IFS(
D1976=""Exclude"",
FILTER(IMPORTRANGE(""https://docs.google.com/spreadsheets/d/1BJSV3WBYJGRhQ6zExamkszQ5VutGIcaQqmbD9ZTVXMQ/edit#gid=1251630045"",""articles_with_PRISMA_reasons!AB2:AB2113""), $A1976=IMPORTRANGE(""https://docs.google.com/spreadsheets/"&amp;"d/1BJSV3WBYJGRhQ6zExamkszQ5VutGIcaQqmbD9ZTVXMQ/edit#gid=1251630045"",""articles_with_PRISMA_reasons!B2:B2113"")),
E1976=""Exclude"",
FILTER(IMPORTRANGE(""https://docs.google.com/spreadsheets/d/1qpEmbGH0JjaJbUdp21-y2cPbobDbMjr09BbtdKROZWc/edit#gid=14448656"&amp;"54"",""articles_with_PRISMA_reasons!Z2:Z2113""), $A1976=IMPORTRANGE(""https://docs.google.com/spreadsheets/d/1qpEmbGH0JjaJbUdp21-y2cPbobDbMjr09BbtdKROZWc/edit#gid=1444865654"",""articles_with_PRISMA_reasons!B2:B2113"")),F1976
=""Include"",FILTER(IMPORTRAN"&amp;"GE(""https://docs.google.com/spreadsheets/d/1kGrh75X1cNR1D7_FcY9zMnHP8iPO4M5RCRjy6nZY0TY/edit#gid=0"",""Table 1: Study characteristics!A4:A171""), $A1976=IMPORTRANGE(""https://docs.google.com/spreadsheets/d/1kGrh75X1cNR1D7_FcY9zMnHP8iPO4M5RCRjy6nZY0TY/edi"&amp;"t#gid=0"",""Table 1: Study characteristics!B4:B171""))
)"),"wrong publication type")</f>
        <v>wrong publication type</v>
      </c>
    </row>
    <row r="1977">
      <c r="A1977" s="4" t="str">
        <f>IFERROR(__xludf.DUMMYFUNCTION("""COMPUTED_VALUE"""),"Three-Dimensional Modelization of the Female Human Inferior Hypogastric Plexus: Implications for Nerve-Sparing Radical Hysterectomy")</f>
        <v>Three-Dimensional Modelization of the Female Human Inferior Hypogastric Plexus: Implications for Nerve-Sparing Radical Hysterectomy</v>
      </c>
      <c r="B1977" s="5" t="str">
        <f>IFERROR(__xludf.DUMMYFUNCTION("LEFT(FILTER(IMPORTRANGE(""https://docs.google.com/spreadsheets/d/1BJSV3WBYJGRhQ6zExamkszQ5VutGIcaQqmbD9ZTVXMQ/edit#gid=1251630045"",""articles_with_PRISMA_reasons!K2:K2113""), $A1977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$A1977=IMPORTRANGE(""https://docs.google.com/spreadsheets/d/1BJSV3WBYJGRhQ6zExamkszQ5VutGIcaQqmbD9ZTVXMQ/edit#gid=1251630045"",""articles_with_PRISMA_reasons!B2:B2113"")))-1)"),"Balaya")</f>
        <v>Balaya</v>
      </c>
      <c r="C1977" s="6">
        <f>IFERROR(__xludf.DUMMYFUNCTION("FILTER(IMPORTRANGE(""https://docs.google.com/spreadsheets/d/1BJSV3WBYJGRhQ6zExamkszQ5VutGIcaQqmbD9ZTVXMQ/edit#gid=1251630045"",""articles_with_PRISMA_reasons!C2:C2113""), $A1977=IMPORTRANGE(""https://docs.google.com/spreadsheets/d/1BJSV3WBYJGRhQ6zExamkszQ"&amp;"5VutGIcaQqmbD9ZTVXMQ/edit#gid=1251630045"",""articles_with_PRISMA_reasons!B2:B2113""))"),2019.0)</f>
        <v>2019</v>
      </c>
      <c r="D1977" s="5" t="str">
        <f>IFERROR(__xludf.DUMMYFUNCTION("IFS(AND(
FILTER(IMPORTRANGE(""https://docs.google.com/spreadsheets/d/1BJSV3WBYJGRhQ6zExamkszQ5VutGIcaQqmbD9ZTVXMQ/edit#gid=1251630045"",""articles_with_PRISMA_reasons!Y2:Y2113""), $A1977=IMPORTRANGE(""https://docs.google.com/spreadsheets/d/1BJSV3WBYJGRhQ6"&amp;"zExamkszQ5VutGIcaQqmbD9ZTVXMQ/edit#gid=1251630045"",""articles_with_PRISMA_reasons!B2:B2113""))&gt;=2,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$A1977=IMPORTRANGE(""https://docs.google.com/spreadsheets/d/1BJSV3WBYJGRhQ6zExamkszQ5VutGIcaQqmbD9ZTVXMQ/edit#gid=1251630045"",""articles_with_PRISMA_reasons!B2:B2113""))&lt;2),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$A1977=IMPORTRANGE(""https://docs.google.com/spreadsheets/d/1BJSV3WBYJGRhQ6zExamkszQ5VutGIcaQqmbD9ZTVXMQ/edit#gid=1251630045"",""a"&amp;"rticles_with_PRISMA_reasons!B2:B2113""))&lt;2,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$A1977=IMPORTRANGE(""https://docs.google"&amp;".com/spreadsheets/d/1BJSV3WBYJGRhQ6zExamkszQ5VutGIcaQqmbD9ZTVXMQ/edit#gid=1251630045"",""articles_with_PRISMA_reasons!B2:B2113""))&gt;=2),
""Exclude""
)"),"Exclude")</f>
        <v>Exclude</v>
      </c>
      <c r="E1977" s="5" t="str">
        <f>IFERROR(__xludf.DUMMYFUNCTION("IFS(
D1977=""Exclude"",""Exclude"",
AND(
FILTER(IMPORTRANGE(""https://docs.google.com/spreadsheets/d/1qpEmbGH0JjaJbUdp21-y2cPbobDbMjr09BbtdKROZWc/edit#gid=1444865654"",""articles_with_PRISMA_reasons!W2:W2113""), $A1977=IMPORTRANGE(""https://docs.google.co"&amp;"m/spreadsheets/d/1qpEmbGH0JjaJbUdp21-y2cPbobDbMjr09BbtdKROZWc/edit#gid=1444865654"",""articles_with_PRISMA_reasons!B2:B2113""))&gt;=2,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$A1977=IMPORTRANGE(""https://docs.google.com/spreadsheets/d/1qpEmbGH0JjaJbUdp21-y2cPbobDbMjr09BbtdKROZWc/edit#gid=1444865654"",""articles_with_PRISMA_reasons!B2:B2113""))&lt;2),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$A1977=IMPORTRANGE(""https://docs.google.com/spreadsheets/d/1qpEmbGH0JjaJbUdp21-y2cPbobDbMjr09Bbtd"&amp;"KROZWc/edit#gid=1444865654"",""articles_with_PRISMA_reasons!B2:B2113""))&lt;2,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$A1977=I"&amp;"MPORTRANGE(""https://docs.google.com/spreadsheets/d/1qpEmbGH0JjaJbUdp21-y2cPbobDbMjr09BbtdKROZWc/edit#gid=1444865654"",""articles_with_PRISMA_reasons!B2:B2113""))&gt;=2),
""Exclude""
)"),"Exclude")</f>
        <v>Exclude</v>
      </c>
      <c r="F1977" s="5" t="str">
        <f>IFERROR(__xludf.DUMMYFUNCTION("IFS(
E1977=""Exclude"",""Exclude"",
AND(
COUNTIF(
IMPORTRANGE(""https://docs.google.com/spreadsheets/d/1kGrh75X1cNR1D7_FcY9zMnHP8iPO4M5RCRjy6nZY0TY/edit#gid=0"",""Table 1: Study characteristics!B4:B171""),A1977)&gt;0,
COUNTIF(Studies!$A$2:$A$85,FILTER(IMPORT"&amp;"RANGE(""https://docs.google.com/spreadsheets/d/1kGrh75X1cNR1D7_FcY9zMnHP8iPO4M5RCRjy6nZY0TY/edit#gid=0"",""Table 1: Study characteristics!A4:A171""), $A1977=IMPORTRANGE(""https://docs.google.com/spreadsheets/d/1kGrh75X1cNR1D7_FcY9zMnHP8iPO4M5RCRjy6nZY0TY/"&amp;"edit#gid=0"",""Table 1: Study characteristics!B4:B171"")))&gt;0
),
""Include""
)"),"Exclude")</f>
        <v>Exclude</v>
      </c>
      <c r="G1977" s="5" t="str">
        <f>IFERROR(__xludf.DUMMYFUNCTION("IFS(
D1977=""Exclude"",
FILTER(IMPORTRANGE(""https://docs.google.com/spreadsheets/d/1BJSV3WBYJGRhQ6zExamkszQ5VutGIcaQqmbD9ZTVXMQ/edit#gid=1251630045"",""articles_with_PRISMA_reasons!AB2:AB2113""), $A1977=IMPORTRANGE(""https://docs.google.com/spreadsheets/"&amp;"d/1BJSV3WBYJGRhQ6zExamkszQ5VutGIcaQqmbD9ZTVXMQ/edit#gid=1251630045"",""articles_with_PRISMA_reasons!B2:B2113"")),
E1977=""Exclude"",
FILTER(IMPORTRANGE(""https://docs.google.com/spreadsheets/d/1qpEmbGH0JjaJbUdp21-y2cPbobDbMjr09BbtdKROZWc/edit#gid=14448656"&amp;"54"",""articles_with_PRISMA_reasons!Z2:Z2113""), $A1977=IMPORTRANGE(""https://docs.google.com/spreadsheets/d/1qpEmbGH0JjaJbUdp21-y2cPbobDbMjr09BbtdKROZWc/edit#gid=1444865654"",""articles_with_PRISMA_reasons!B2:B2113"")),F1977
=""Include"",FILTER(IMPORTRAN"&amp;"GE(""https://docs.google.com/spreadsheets/d/1kGrh75X1cNR1D7_FcY9zMnHP8iPO4M5RCRjy6nZY0TY/edit#gid=0"",""Table 1: Study characteristics!A4:A171""), $A1977=IMPORTRANGE(""https://docs.google.com/spreadsheets/d/1kGrh75X1cNR1D7_FcY9zMnHP8iPO4M5RCRjy6nZY0TY/edi"&amp;"t#gid=0"",""Table 1: Study characteristics!B4:B171""))
)"),"wrong study design")</f>
        <v>wrong study design</v>
      </c>
    </row>
    <row r="1978">
      <c r="A1978" s="4" t="str">
        <f>IFERROR(__xludf.DUMMYFUNCTION("""COMPUTED_VALUE"""),"Three-dimensional update: Impact on pediatric intervention on the central nervous system")</f>
        <v>Three-dimensional update: Impact on pediatric intervention on the central nervous system</v>
      </c>
      <c r="B1978" s="5" t="str">
        <f>IFERROR(__xludf.DUMMYFUNCTION("LEFT(FILTER(IMPORTRANGE(""https://docs.google.com/spreadsheets/d/1BJSV3WBYJGRhQ6zExamkszQ5VutGIcaQqmbD9ZTVXMQ/edit#gid=1251630045"",""articles_with_PRISMA_reasons!K2:K2113""), $A1978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$A1978=IMPORTRANGE(""https://docs.google.com/spreadsheets/d/1BJSV3WBYJGRhQ6zExamkszQ5VutGIcaQqmbD9ZTVXMQ/edit#gid=1251630045"",""articles_with_PRISMA_reasons!B2:B2113"")))-1)"),"Jackson")</f>
        <v>Jackson</v>
      </c>
      <c r="C1978" s="6">
        <f>IFERROR(__xludf.DUMMYFUNCTION("FILTER(IMPORTRANGE(""https://docs.google.com/spreadsheets/d/1BJSV3WBYJGRhQ6zExamkszQ5VutGIcaQqmbD9ZTVXMQ/edit#gid=1251630045"",""articles_with_PRISMA_reasons!C2:C2113""), $A1978=IMPORTRANGE(""https://docs.google.com/spreadsheets/d/1BJSV3WBYJGRhQ6zExamkszQ"&amp;"5VutGIcaQqmbD9ZTVXMQ/edit#gid=1251630045"",""articles_with_PRISMA_reasons!B2:B2113""))"),2003.0)</f>
        <v>2003</v>
      </c>
      <c r="D1978" s="5" t="str">
        <f>IFERROR(__xludf.DUMMYFUNCTION("IFS(AND(
FILTER(IMPORTRANGE(""https://docs.google.com/spreadsheets/d/1BJSV3WBYJGRhQ6zExamkszQ5VutGIcaQqmbD9ZTVXMQ/edit#gid=1251630045"",""articles_with_PRISMA_reasons!Y2:Y2113""), $A1978=IMPORTRANGE(""https://docs.google.com/spreadsheets/d/1BJSV3WBYJGRhQ6"&amp;"zExamkszQ5VutGIcaQqmbD9ZTVXMQ/edit#gid=1251630045"",""articles_with_PRISMA_reasons!B2:B2113""))&gt;=2,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$A1978=IMPORTRANGE(""https://docs.google.com/spreadsheets/d/1BJSV3WBYJGRhQ6zExamkszQ5VutGIcaQqmbD9ZTVXMQ/edit#gid=1251630045"",""articles_with_PRISMA_reasons!B2:B2113""))&lt;2),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$A1978=IMPORTRANGE(""https://docs.google.com/spreadsheets/d/1BJSV3WBYJGRhQ6zExamkszQ5VutGIcaQqmbD9ZTVXMQ/edit#gid=1251630045"",""a"&amp;"rticles_with_PRISMA_reasons!B2:B2113""))&lt;2,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$A1978=IMPORTRANGE(""https://docs.google"&amp;".com/spreadsheets/d/1BJSV3WBYJGRhQ6zExamkszQ5VutGIcaQqmbD9ZTVXMQ/edit#gid=1251630045"",""articles_with_PRISMA_reasons!B2:B2113""))&gt;=2),
""Exclude""
)"),"Exclude")</f>
        <v>Exclude</v>
      </c>
      <c r="E1978" s="5" t="str">
        <f>IFERROR(__xludf.DUMMYFUNCTION("IFS(
D1978=""Exclude"",""Exclude"",
AND(
FILTER(IMPORTRANGE(""https://docs.google.com/spreadsheets/d/1qpEmbGH0JjaJbUdp21-y2cPbobDbMjr09BbtdKROZWc/edit#gid=1444865654"",""articles_with_PRISMA_reasons!W2:W2113""), $A1978=IMPORTRANGE(""https://docs.google.co"&amp;"m/spreadsheets/d/1qpEmbGH0JjaJbUdp21-y2cPbobDbMjr09BbtdKROZWc/edit#gid=1444865654"",""articles_with_PRISMA_reasons!B2:B2113""))&gt;=2,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$A1978=IMPORTRANGE(""https://docs.google.com/spreadsheets/d/1qpEmbGH0JjaJbUdp21-y2cPbobDbMjr09BbtdKROZWc/edit#gid=1444865654"",""articles_with_PRISMA_reasons!B2:B2113""))&lt;2),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$A1978=IMPORTRANGE(""https://docs.google.com/spreadsheets/d/1qpEmbGH0JjaJbUdp21-y2cPbobDbMjr09Bbtd"&amp;"KROZWc/edit#gid=1444865654"",""articles_with_PRISMA_reasons!B2:B2113""))&lt;2,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$A1978=I"&amp;"MPORTRANGE(""https://docs.google.com/spreadsheets/d/1qpEmbGH0JjaJbUdp21-y2cPbobDbMjr09BbtdKROZWc/edit#gid=1444865654"",""articles_with_PRISMA_reasons!B2:B2113""))&gt;=2),
""Exclude""
)"),"Exclude")</f>
        <v>Exclude</v>
      </c>
      <c r="F1978" s="5" t="str">
        <f>IFERROR(__xludf.DUMMYFUNCTION("IFS(
E1978=""Exclude"",""Exclude"",
AND(
COUNTIF(
IMPORTRANGE(""https://docs.google.com/spreadsheets/d/1kGrh75X1cNR1D7_FcY9zMnHP8iPO4M5RCRjy6nZY0TY/edit#gid=0"",""Table 1: Study characteristics!B4:B171""),A1978)&gt;0,
COUNTIF(Studies!$A$2:$A$85,FILTER(IMPORT"&amp;"RANGE(""https://docs.google.com/spreadsheets/d/1kGrh75X1cNR1D7_FcY9zMnHP8iPO4M5RCRjy6nZY0TY/edit#gid=0"",""Table 1: Study characteristics!A4:A171""), $A1978=IMPORTRANGE(""https://docs.google.com/spreadsheets/d/1kGrh75X1cNR1D7_FcY9zMnHP8iPO4M5RCRjy6nZY0TY/"&amp;"edit#gid=0"",""Table 1: Study characteristics!B4:B171"")))&gt;0
),
""Include""
)"),"Exclude")</f>
        <v>Exclude</v>
      </c>
      <c r="G1978" s="5" t="str">
        <f>IFERROR(__xludf.DUMMYFUNCTION("IFS(
D1978=""Exclude"",
FILTER(IMPORTRANGE(""https://docs.google.com/spreadsheets/d/1BJSV3WBYJGRhQ6zExamkszQ5VutGIcaQqmbD9ZTVXMQ/edit#gid=1251630045"",""articles_with_PRISMA_reasons!AB2:AB2113""), $A1978=IMPORTRANGE(""https://docs.google.com/spreadsheets/"&amp;"d/1BJSV3WBYJGRhQ6zExamkszQ5VutGIcaQqmbD9ZTVXMQ/edit#gid=1251630045"",""articles_with_PRISMA_reasons!B2:B2113"")),
E1978=""Exclude"",
FILTER(IMPORTRANGE(""https://docs.google.com/spreadsheets/d/1qpEmbGH0JjaJbUdp21-y2cPbobDbMjr09BbtdKROZWc/edit#gid=14448656"&amp;"54"",""articles_with_PRISMA_reasons!Z2:Z2113""), $A1978=IMPORTRANGE(""https://docs.google.com/spreadsheets/d/1qpEmbGH0JjaJbUdp21-y2cPbobDbMjr09BbtdKROZWc/edit#gid=1444865654"",""articles_with_PRISMA_reasons!B2:B2113"")),F1978
=""Include"",FILTER(IMPORTRAN"&amp;"GE(""https://docs.google.com/spreadsheets/d/1kGrh75X1cNR1D7_FcY9zMnHP8iPO4M5RCRjy6nZY0TY/edit#gid=0"",""Table 1: Study characteristics!A4:A171""), $A1978=IMPORTRANGE(""https://docs.google.com/spreadsheets/d/1kGrh75X1cNR1D7_FcY9zMnHP8iPO4M5RCRjy6nZY0TY/edi"&amp;"t#gid=0"",""Table 1: Study characteristics!B4:B171""))
)"),"wrong study design")</f>
        <v>wrong study design</v>
      </c>
    </row>
    <row r="1979">
      <c r="A1979" s="4" t="str">
        <f>IFERROR(__xludf.DUMMYFUNCTION("""COMPUTED_VALUE"""),"Thrombosis and thrombophilebitis of the internal jugular vein as a very rare complication of the ventriculoatrial shunt")</f>
        <v>Thrombosis and thrombophilebitis of the internal jugular vein as a very rare complication of the ventriculoatrial shunt</v>
      </c>
      <c r="B1979" s="5" t="str">
        <f>IFERROR(__xludf.DUMMYFUNCTION("LEFT(FILTER(IMPORTRANGE(""https://docs.google.com/spreadsheets/d/1BJSV3WBYJGRhQ6zExamkszQ5VutGIcaQqmbD9ZTVXMQ/edit#gid=1251630045"",""articles_with_PRISMA_reasons!K2:K2113""), $A1979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$A1979=IMPORTRANGE(""https://docs.google.com/spreadsheets/d/1BJSV3WBYJGRhQ6zExamkszQ5VutGIcaQqmbD9ZTVXMQ/edit#gid=1251630045"",""articles_with_PRISMA_reasons!B2:B2113"")))-1)"),"Yurtseven")</f>
        <v>Yurtseven</v>
      </c>
      <c r="C1979" s="3">
        <v>2005.0</v>
      </c>
      <c r="D1979" s="5" t="str">
        <f>IFERROR(__xludf.DUMMYFUNCTION("IFS(AND(
FILTER(IMPORTRANGE(""https://docs.google.com/spreadsheets/d/1BJSV3WBYJGRhQ6zExamkszQ5VutGIcaQqmbD9ZTVXMQ/edit#gid=1251630045"",""articles_with_PRISMA_reasons!Y2:Y2113""), $A1979=IMPORTRANGE(""https://docs.google.com/spreadsheets/d/1BJSV3WBYJGRhQ6"&amp;"zExamkszQ5VutGIcaQqmbD9ZTVXMQ/edit#gid=1251630045"",""articles_with_PRISMA_reasons!B2:B2113""))&gt;=2,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$A1979=IMPORTRANGE(""https://docs.google.com/spreadsheets/d/1BJSV3WBYJGRhQ6zExamkszQ5VutGIcaQqmbD9ZTVXMQ/edit#gid=1251630045"",""articles_with_PRISMA_reasons!B2:B2113""))&lt;2),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$A1979=IMPORTRANGE(""https://docs.google.com/spreadsheets/d/1BJSV3WBYJGRhQ6zExamkszQ5VutGIcaQqmbD9ZTVXMQ/edit#gid=1251630045"",""a"&amp;"rticles_with_PRISMA_reasons!B2:B2113""))&lt;2,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$A1979=IMPORTRANGE(""https://docs.google"&amp;".com/spreadsheets/d/1BJSV3WBYJGRhQ6zExamkszQ5VutGIcaQqmbD9ZTVXMQ/edit#gid=1251630045"",""articles_with_PRISMA_reasons!B2:B2113""))&gt;=2),
""Exclude""
)"),"Exclude")</f>
        <v>Exclude</v>
      </c>
      <c r="E1979" s="5" t="str">
        <f>IFERROR(__xludf.DUMMYFUNCTION("IFS(
D1979=""Exclude"",""Exclude"",
AND(
FILTER(IMPORTRANGE(""https://docs.google.com/spreadsheets/d/1qpEmbGH0JjaJbUdp21-y2cPbobDbMjr09BbtdKROZWc/edit#gid=1444865654"",""articles_with_PRISMA_reasons!W2:W2113""), $A1979=IMPORTRANGE(""https://docs.google.co"&amp;"m/spreadsheets/d/1qpEmbGH0JjaJbUdp21-y2cPbobDbMjr09BbtdKROZWc/edit#gid=1444865654"",""articles_with_PRISMA_reasons!B2:B2113""))&gt;=2,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$A1979=IMPORTRANGE(""https://docs.google.com/spreadsheets/d/1qpEmbGH0JjaJbUdp21-y2cPbobDbMjr09BbtdKROZWc/edit#gid=1444865654"",""articles_with_PRISMA_reasons!B2:B2113""))&lt;2),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$A1979=IMPORTRANGE(""https://docs.google.com/spreadsheets/d/1qpEmbGH0JjaJbUdp21-y2cPbobDbMjr09Bbtd"&amp;"KROZWc/edit#gid=1444865654"",""articles_with_PRISMA_reasons!B2:B2113""))&lt;2,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$A1979=I"&amp;"MPORTRANGE(""https://docs.google.com/spreadsheets/d/1qpEmbGH0JjaJbUdp21-y2cPbobDbMjr09BbtdKROZWc/edit#gid=1444865654"",""articles_with_PRISMA_reasons!B2:B2113""))&gt;=2),
""Exclude""
)"),"Exclude")</f>
        <v>Exclude</v>
      </c>
      <c r="F1979" s="5" t="str">
        <f>IFERROR(__xludf.DUMMYFUNCTION("IFS(
E1979=""Exclude"",""Exclude"",
AND(
COUNTIF(
IMPORTRANGE(""https://docs.google.com/spreadsheets/d/1kGrh75X1cNR1D7_FcY9zMnHP8iPO4M5RCRjy6nZY0TY/edit#gid=0"",""Table 1: Study characteristics!B4:B171""),A1979)&gt;0,
COUNTIF(Studies!$A$2:$A$85,FILTER(IMPORT"&amp;"RANGE(""https://docs.google.com/spreadsheets/d/1kGrh75X1cNR1D7_FcY9zMnHP8iPO4M5RCRjy6nZY0TY/edit#gid=0"",""Table 1: Study characteristics!A4:A171""), $A1979=IMPORTRANGE(""https://docs.google.com/spreadsheets/d/1kGrh75X1cNR1D7_FcY9zMnHP8iPO4M5RCRjy6nZY0TY/"&amp;"edit#gid=0"",""Table 1: Study characteristics!B4:B171"")))&gt;0
),
""Include""
)"),"Exclude")</f>
        <v>Exclude</v>
      </c>
      <c r="G1979" s="5" t="s">
        <v>7</v>
      </c>
    </row>
    <row r="1980">
      <c r="A1980" s="4" t="str">
        <f>IFERROR(__xludf.DUMMYFUNCTION("""COMPUTED_VALUE"""),"Thrombosis and thrombophilebitis of the internal jugular vein as a very rare complication of the ventriculoatrial shunt")</f>
        <v>Thrombosis and thrombophilebitis of the internal jugular vein as a very rare complication of the ventriculoatrial shunt</v>
      </c>
      <c r="B1980" s="5" t="str">
        <f>IFERROR(__xludf.DUMMYFUNCTION("LEFT(FILTER(IMPORTRANGE(""https://docs.google.com/spreadsheets/d/1BJSV3WBYJGRhQ6zExamkszQ5VutGIcaQqmbD9ZTVXMQ/edit#gid=1251630045"",""articles_with_PRISMA_reasons!K2:K2113""), $A1980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$A1980=IMPORTRANGE(""https://docs.google.com/spreadsheets/d/1BJSV3WBYJGRhQ6zExamkszQ5VutGIcaQqmbD9ZTVXMQ/edit#gid=1251630045"",""articles_with_PRISMA_reasons!B2:B2113"")))-1)"),"Yurtseven")</f>
        <v>Yurtseven</v>
      </c>
      <c r="C1980" s="3">
        <v>2005.0</v>
      </c>
      <c r="D1980" s="5" t="str">
        <f>IFERROR(__xludf.DUMMYFUNCTION("IFS(AND(
FILTER(IMPORTRANGE(""https://docs.google.com/spreadsheets/d/1BJSV3WBYJGRhQ6zExamkszQ5VutGIcaQqmbD9ZTVXMQ/edit#gid=1251630045"",""articles_with_PRISMA_reasons!Y2:Y2113""), $A1980=IMPORTRANGE(""https://docs.google.com/spreadsheets/d/1BJSV3WBYJGRhQ6"&amp;"zExamkszQ5VutGIcaQqmbD9ZTVXMQ/edit#gid=1251630045"",""articles_with_PRISMA_reasons!B2:B2113""))&gt;=2,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$A1980=IMPORTRANGE(""https://docs.google.com/spreadsheets/d/1BJSV3WBYJGRhQ6zExamkszQ5VutGIcaQqmbD9ZTVXMQ/edit#gid=1251630045"",""articles_with_PRISMA_reasons!B2:B2113""))&lt;2),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$A1980=IMPORTRANGE(""https://docs.google.com/spreadsheets/d/1BJSV3WBYJGRhQ6zExamkszQ5VutGIcaQqmbD9ZTVXMQ/edit#gid=1251630045"",""a"&amp;"rticles_with_PRISMA_reasons!B2:B2113""))&lt;2,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$A1980=IMPORTRANGE(""https://docs.google"&amp;".com/spreadsheets/d/1BJSV3WBYJGRhQ6zExamkszQ5VutGIcaQqmbD9ZTVXMQ/edit#gid=1251630045"",""articles_with_PRISMA_reasons!B2:B2113""))&gt;=2),
""Exclude""
)"),"Exclude")</f>
        <v>Exclude</v>
      </c>
      <c r="E1980" s="5" t="str">
        <f>IFERROR(__xludf.DUMMYFUNCTION("IFS(
D1980=""Exclude"",""Exclude"",
AND(
FILTER(IMPORTRANGE(""https://docs.google.com/spreadsheets/d/1qpEmbGH0JjaJbUdp21-y2cPbobDbMjr09BbtdKROZWc/edit#gid=1444865654"",""articles_with_PRISMA_reasons!W2:W2113""), $A1980=IMPORTRANGE(""https://docs.google.co"&amp;"m/spreadsheets/d/1qpEmbGH0JjaJbUdp21-y2cPbobDbMjr09BbtdKROZWc/edit#gid=1444865654"",""articles_with_PRISMA_reasons!B2:B2113""))&gt;=2,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$A1980=IMPORTRANGE(""https://docs.google.com/spreadsheets/d/1qpEmbGH0JjaJbUdp21-y2cPbobDbMjr09BbtdKROZWc/edit#gid=1444865654"",""articles_with_PRISMA_reasons!B2:B2113""))&lt;2),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$A1980=IMPORTRANGE(""https://docs.google.com/spreadsheets/d/1qpEmbGH0JjaJbUdp21-y2cPbobDbMjr09Bbtd"&amp;"KROZWc/edit#gid=1444865654"",""articles_with_PRISMA_reasons!B2:B2113""))&lt;2,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$A1980=I"&amp;"MPORTRANGE(""https://docs.google.com/spreadsheets/d/1qpEmbGH0JjaJbUdp21-y2cPbobDbMjr09BbtdKROZWc/edit#gid=1444865654"",""articles_with_PRISMA_reasons!B2:B2113""))&gt;=2),
""Exclude""
)"),"Exclude")</f>
        <v>Exclude</v>
      </c>
      <c r="F1980" s="5" t="str">
        <f>IFERROR(__xludf.DUMMYFUNCTION("IFS(
E1980=""Exclude"",""Exclude"",
AND(
COUNTIF(
IMPORTRANGE(""https://docs.google.com/spreadsheets/d/1kGrh75X1cNR1D7_FcY9zMnHP8iPO4M5RCRjy6nZY0TY/edit#gid=0"",""Table 1: Study characteristics!B4:B171""),A1980)&gt;0,
COUNTIF(Studies!$A$2:$A$85,FILTER(IMPORT"&amp;"RANGE(""https://docs.google.com/spreadsheets/d/1kGrh75X1cNR1D7_FcY9zMnHP8iPO4M5RCRjy6nZY0TY/edit#gid=0"",""Table 1: Study characteristics!A4:A171""), $A1980=IMPORTRANGE(""https://docs.google.com/spreadsheets/d/1kGrh75X1cNR1D7_FcY9zMnHP8iPO4M5RCRjy6nZY0TY/"&amp;"edit#gid=0"",""Table 1: Study characteristics!B4:B171"")))&gt;0
),
""Include""
)"),"Exclude")</f>
        <v>Exclude</v>
      </c>
      <c r="G1980" s="2" t="s">
        <v>13</v>
      </c>
    </row>
    <row r="1981">
      <c r="A1981" s="4" t="str">
        <f>IFERROR(__xludf.DUMMYFUNCTION("""COMPUTED_VALUE"""),"Thrombosis associated with ventriculoatrial shunts: Clinical article")</f>
        <v>Thrombosis associated with ventriculoatrial shunts: Clinical article</v>
      </c>
      <c r="B1981" s="2" t="s">
        <v>45</v>
      </c>
      <c r="C1981" s="6">
        <f>IFERROR(__xludf.DUMMYFUNCTION("FILTER(IMPORTRANGE(""https://docs.google.com/spreadsheets/d/1BJSV3WBYJGRhQ6zExamkszQ5VutGIcaQqmbD9ZTVXMQ/edit#gid=1251630045"",""articles_with_PRISMA_reasons!C2:C2113""), $A1981=IMPORTRANGE(""https://docs.google.com/spreadsheets/d/1BJSV3WBYJGRhQ6zExamkszQ"&amp;"5VutGIcaQqmbD9ZTVXMQ/edit#gid=1251630045"",""articles_with_PRISMA_reasons!B2:B2113""))"),2008.0)</f>
        <v>2008</v>
      </c>
      <c r="D1981" s="5" t="str">
        <f>IFERROR(__xludf.DUMMYFUNCTION("IFS(AND(
FILTER(IMPORTRANGE(""https://docs.google.com/spreadsheets/d/1BJSV3WBYJGRhQ6zExamkszQ5VutGIcaQqmbD9ZTVXMQ/edit#gid=1251630045"",""articles_with_PRISMA_reasons!Y2:Y2113""), $A1981=IMPORTRANGE(""https://docs.google.com/spreadsheets/d/1BJSV3WBYJGRhQ6"&amp;"zExamkszQ5VutGIcaQqmbD9ZTVXMQ/edit#gid=1251630045"",""articles_with_PRISMA_reasons!B2:B2113""))&gt;=2,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$A1981=IMPORTRANGE(""https://docs.google.com/spreadsheets/d/1BJSV3WBYJGRhQ6zExamkszQ5VutGIcaQqmbD9ZTVXMQ/edit#gid=1251630045"",""articles_with_PRISMA_reasons!B2:B2113""))&lt;2),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$A1981=IMPORTRANGE(""https://docs.google.com/spreadsheets/d/1BJSV3WBYJGRhQ6zExamkszQ5VutGIcaQqmbD9ZTVXMQ/edit#gid=1251630045"",""a"&amp;"rticles_with_PRISMA_reasons!B2:B2113""))&lt;2,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$A1981=IMPORTRANGE(""https://docs.google"&amp;".com/spreadsheets/d/1BJSV3WBYJGRhQ6zExamkszQ5VutGIcaQqmbD9ZTVXMQ/edit#gid=1251630045"",""articles_with_PRISMA_reasons!B2:B2113""))&gt;=2),
""Exclude""
)"),"Exclude")</f>
        <v>Exclude</v>
      </c>
      <c r="E1981" s="5" t="str">
        <f>IFERROR(__xludf.DUMMYFUNCTION("IFS(
D1981=""Exclude"",""Exclude"",
AND(
FILTER(IMPORTRANGE(""https://docs.google.com/spreadsheets/d/1qpEmbGH0JjaJbUdp21-y2cPbobDbMjr09BbtdKROZWc/edit#gid=1444865654"",""articles_with_PRISMA_reasons!W2:W2113""), $A1981=IMPORTRANGE(""https://docs.google.co"&amp;"m/spreadsheets/d/1qpEmbGH0JjaJbUdp21-y2cPbobDbMjr09BbtdKROZWc/edit#gid=1444865654"",""articles_with_PRISMA_reasons!B2:B2113""))&gt;=2,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$A1981=IMPORTRANGE(""https://docs.google.com/spreadsheets/d/1qpEmbGH0JjaJbUdp21-y2cPbobDbMjr09BbtdKROZWc/edit#gid=1444865654"",""articles_with_PRISMA_reasons!B2:B2113""))&lt;2),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$A1981=IMPORTRANGE(""https://docs.google.com/spreadsheets/d/1qpEmbGH0JjaJbUdp21-y2cPbobDbMjr09Bbtd"&amp;"KROZWc/edit#gid=1444865654"",""articles_with_PRISMA_reasons!B2:B2113""))&lt;2,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$A1981=I"&amp;"MPORTRANGE(""https://docs.google.com/spreadsheets/d/1qpEmbGH0JjaJbUdp21-y2cPbobDbMjr09BbtdKROZWc/edit#gid=1444865654"",""articles_with_PRISMA_reasons!B2:B2113""))&gt;=2),
""Exclude""
)"),"Exclude")</f>
        <v>Exclude</v>
      </c>
      <c r="F1981" s="5" t="str">
        <f>IFERROR(__xludf.DUMMYFUNCTION("IFS(
E1981=""Exclude"",""Exclude"",
AND(
COUNTIF(
IMPORTRANGE(""https://docs.google.com/spreadsheets/d/1kGrh75X1cNR1D7_FcY9zMnHP8iPO4M5RCRjy6nZY0TY/edit#gid=0"",""Table 1: Study characteristics!B4:B171""),A1981)&gt;0,
COUNTIF(Studies!$A$2:$A$85,FILTER(IMPORT"&amp;"RANGE(""https://docs.google.com/spreadsheets/d/1kGrh75X1cNR1D7_FcY9zMnHP8iPO4M5RCRjy6nZY0TY/edit#gid=0"",""Table 1: Study characteristics!A4:A171""), $A1981=IMPORTRANGE(""https://docs.google.com/spreadsheets/d/1kGrh75X1cNR1D7_FcY9zMnHP8iPO4M5RCRjy6nZY0TY/"&amp;"edit#gid=0"",""Table 1: Study characteristics!B4:B171"")))&gt;0
),
""Include""
)"),"Exclude")</f>
        <v>Exclude</v>
      </c>
      <c r="G1981" s="5" t="str">
        <f>IFERROR(__xludf.DUMMYFUNCTION("IFS(
D1981=""Exclude"",
FILTER(IMPORTRANGE(""https://docs.google.com/spreadsheets/d/1BJSV3WBYJGRhQ6zExamkszQ5VutGIcaQqmbD9ZTVXMQ/edit#gid=1251630045"",""articles_with_PRISMA_reasons!AB2:AB2113""), $A1981=IMPORTRANGE(""https://docs.google.com/spreadsheets/"&amp;"d/1BJSV3WBYJGRhQ6zExamkszQ5VutGIcaQqmbD9ZTVXMQ/edit#gid=1251630045"",""articles_with_PRISMA_reasons!B2:B2113"")),
E1981=""Exclude"",
FILTER(IMPORTRANGE(""https://docs.google.com/spreadsheets/d/1qpEmbGH0JjaJbUdp21-y2cPbobDbMjr09BbtdKROZWc/edit#gid=14448656"&amp;"54"",""articles_with_PRISMA_reasons!Z2:Z2113""), $A1981=IMPORTRANGE(""https://docs.google.com/spreadsheets/d/1qpEmbGH0JjaJbUdp21-y2cPbobDbMjr09BbtdKROZWc/edit#gid=1444865654"",""articles_with_PRISMA_reasons!B2:B2113"")),F1981
=""Include"",FILTER(IMPORTRAN"&amp;"GE(""https://docs.google.com/spreadsheets/d/1kGrh75X1cNR1D7_FcY9zMnHP8iPO4M5RCRjy6nZY0TY/edit#gid=0"",""Table 1: Study characteristics!A4:A171""), $A1981=IMPORTRANGE(""https://docs.google.com/spreadsheets/d/1kGrh75X1cNR1D7_FcY9zMnHP8iPO4M5RCRjy6nZY0TY/edi"&amp;"t#gid=0"",""Table 1: Study characteristics!B4:B171""))
)"),"wrong population")</f>
        <v>wrong population</v>
      </c>
    </row>
    <row r="1982">
      <c r="A1982" s="4" t="str">
        <f>IFERROR(__xludf.DUMMYFUNCTION("""COMPUTED_VALUE"""),"Timing of Shunt Insertion in Children with Neural Tube Defects and Hydrocephalus: A Clinical Study")</f>
        <v>Timing of Shunt Insertion in Children with Neural Tube Defects and Hydrocephalus: A Clinical Study</v>
      </c>
      <c r="B1982" s="5" t="str">
        <f>IFERROR(__xludf.DUMMYFUNCTION("LEFT(FILTER(IMPORTRANGE(""https://docs.google.com/spreadsheets/d/1BJSV3WBYJGRhQ6zExamkszQ5VutGIcaQqmbD9ZTVXMQ/edit#gid=1251630045"",""articles_with_PRISMA_reasons!K2:K2113""), $A1982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$A1982=IMPORTRANGE(""https://docs.google.com/spreadsheets/d/1BJSV3WBYJGRhQ6zExamkszQ5VutGIcaQqmbD9ZTVXMQ/edit#gid=1251630045"",""articles_with_PRISMA_reasons!B2:B2113"")))-1)"),"Ozgural")</f>
        <v>Ozgural</v>
      </c>
      <c r="C1982" s="6">
        <f>IFERROR(__xludf.DUMMYFUNCTION("FILTER(IMPORTRANGE(""https://docs.google.com/spreadsheets/d/1BJSV3WBYJGRhQ6zExamkszQ5VutGIcaQqmbD9ZTVXMQ/edit#gid=1251630045"",""articles_with_PRISMA_reasons!C2:C2113""), $A1982=IMPORTRANGE(""https://docs.google.com/spreadsheets/d/1BJSV3WBYJGRhQ6zExamkszQ"&amp;"5VutGIcaQqmbD9ZTVXMQ/edit#gid=1251630045"",""articles_with_PRISMA_reasons!B2:B2113""))"),2020.0)</f>
        <v>2020</v>
      </c>
      <c r="D1982" s="5" t="str">
        <f>IFERROR(__xludf.DUMMYFUNCTION("IFS(AND(
FILTER(IMPORTRANGE(""https://docs.google.com/spreadsheets/d/1BJSV3WBYJGRhQ6zExamkszQ5VutGIcaQqmbD9ZTVXMQ/edit#gid=1251630045"",""articles_with_PRISMA_reasons!Y2:Y2113""), $A1982=IMPORTRANGE(""https://docs.google.com/spreadsheets/d/1BJSV3WBYJGRhQ6"&amp;"zExamkszQ5VutGIcaQqmbD9ZTVXMQ/edit#gid=1251630045"",""articles_with_PRISMA_reasons!B2:B2113""))&gt;=2,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$A1982=IMPORTRANGE(""https://docs.google.com/spreadsheets/d/1BJSV3WBYJGRhQ6zExamkszQ5VutGIcaQqmbD9ZTVXMQ/edit#gid=1251630045"",""articles_with_PRISMA_reasons!B2:B2113""))&lt;2),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$A1982=IMPORTRANGE(""https://docs.google.com/spreadsheets/d/1BJSV3WBYJGRhQ6zExamkszQ5VutGIcaQqmbD9ZTVXMQ/edit#gid=1251630045"",""a"&amp;"rticles_with_PRISMA_reasons!B2:B2113""))&lt;2,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$A1982=IMPORTRANGE(""https://docs.google"&amp;".com/spreadsheets/d/1BJSV3WBYJGRhQ6zExamkszQ5VutGIcaQqmbD9ZTVXMQ/edit#gid=1251630045"",""articles_with_PRISMA_reasons!B2:B2113""))&gt;=2),
""Exclude""
)"),"Include")</f>
        <v>Include</v>
      </c>
      <c r="E1982" s="5" t="str">
        <f>IFERROR(__xludf.DUMMYFUNCTION("IFS(
D1982=""Exclude"",""Exclude"",
AND(
FILTER(IMPORTRANGE(""https://docs.google.com/spreadsheets/d/1qpEmbGH0JjaJbUdp21-y2cPbobDbMjr09BbtdKROZWc/edit#gid=1444865654"",""articles_with_PRISMA_reasons!W2:W2113""), $A1982=IMPORTRANGE(""https://docs.google.co"&amp;"m/spreadsheets/d/1qpEmbGH0JjaJbUdp21-y2cPbobDbMjr09BbtdKROZWc/edit#gid=1444865654"",""articles_with_PRISMA_reasons!B2:B2113""))&gt;=2,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$A1982=IMPORTRANGE(""https://docs.google.com/spreadsheets/d/1qpEmbGH0JjaJbUdp21-y2cPbobDbMjr09BbtdKROZWc/edit#gid=1444865654"",""articles_with_PRISMA_reasons!B2:B2113""))&lt;2),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$A1982=IMPORTRANGE(""https://docs.google.com/spreadsheets/d/1qpEmbGH0JjaJbUdp21-y2cPbobDbMjr09Bbtd"&amp;"KROZWc/edit#gid=1444865654"",""articles_with_PRISMA_reasons!B2:B2113""))&lt;2,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$A1982=I"&amp;"MPORTRANGE(""https://docs.google.com/spreadsheets/d/1qpEmbGH0JjaJbUdp21-y2cPbobDbMjr09BbtdKROZWc/edit#gid=1444865654"",""articles_with_PRISMA_reasons!B2:B2113""))&gt;=2),
""Exclude""
)"),"Include")</f>
        <v>Include</v>
      </c>
      <c r="F1982" s="5" t="str">
        <f>IFERROR(__xludf.DUMMYFUNCTION("IFS(
E1982=""Exclude"",""Exclude"",
AND(
COUNTIF(
IMPORTRANGE(""https://docs.google.com/spreadsheets/d/1kGrh75X1cNR1D7_FcY9zMnHP8iPO4M5RCRjy6nZY0TY/edit#gid=0"",""Table 1: Study characteristics!B4:B171""),A1982)&gt;0,
COUNTIF(Studies!$A$2:$A$85,FILTER(IMPORT"&amp;"RANGE(""https://docs.google.com/spreadsheets/d/1kGrh75X1cNR1D7_FcY9zMnHP8iPO4M5RCRjy6nZY0TY/edit#gid=0"",""Table 1: Study characteristics!A4:A171""), $A1982=IMPORTRANGE(""https://docs.google.com/spreadsheets/d/1kGrh75X1cNR1D7_FcY9zMnHP8iPO4M5RCRjy6nZY0TY/"&amp;"edit#gid=0"",""Table 1: Study characteristics!B4:B171"")))&gt;0
),
""Include""
)"),"Include")</f>
        <v>Include</v>
      </c>
      <c r="G1982" s="5" t="str">
        <f>IFERROR(__xludf.DUMMYFUNCTION("IFS(
D1982=""Exclude"",
FILTER(IMPORTRANGE(""https://docs.google.com/spreadsheets/d/1BJSV3WBYJGRhQ6zExamkszQ5VutGIcaQqmbD9ZTVXMQ/edit#gid=1251630045"",""articles_with_PRISMA_reasons!AB2:AB2113""), $A1982=IMPORTRANGE(""https://docs.google.com/spreadsheets/"&amp;"d/1BJSV3WBYJGRhQ6zExamkszQ5VutGIcaQqmbD9ZTVXMQ/edit#gid=1251630045"",""articles_with_PRISMA_reasons!B2:B2113"")),
E1982=""Exclude"",
FILTER(IMPORTRANGE(""https://docs.google.com/spreadsheets/d/1qpEmbGH0JjaJbUdp21-y2cPbobDbMjr09BbtdKROZWc/edit#gid=14448656"&amp;"54"",""articles_with_PRISMA_reasons!Z2:Z2113""), $A1982=IMPORTRANGE(""https://docs.google.com/spreadsheets/d/1qpEmbGH0JjaJbUdp21-y2cPbobDbMjr09BbtdKROZWc/edit#gid=1444865654"",""articles_with_PRISMA_reasons!B2:B2113"")),F1982
=""Include"",FILTER(IMPORTRAN"&amp;"GE(""https://docs.google.com/spreadsheets/d/1kGrh75X1cNR1D7_FcY9zMnHP8iPO4M5RCRjy6nZY0TY/edit#gid=0"",""Table 1: Study characteristics!A4:A171""), $A1982=IMPORTRANGE(""https://docs.google.com/spreadsheets/d/1kGrh75X1cNR1D7_FcY9zMnHP8iPO4M5RCRjy6nZY0TY/edi"&amp;"t#gid=0"",""Table 1: Study characteristics!B4:B171""))
)"),"ID 162")</f>
        <v>ID 162</v>
      </c>
    </row>
    <row r="1983">
      <c r="A1983" s="4" t="str">
        <f>IFERROR(__xludf.DUMMYFUNCTION("""COMPUTED_VALUE"""),"Timing of ventriculoperitoneal shunt insertion following spina bifida closure in Kenya")</f>
        <v>Timing of ventriculoperitoneal shunt insertion following spina bifida closure in Kenya</v>
      </c>
      <c r="B1983" s="5" t="str">
        <f>IFERROR(__xludf.DUMMYFUNCTION("LEFT(FILTER(IMPORTRANGE(""https://docs.google.com/spreadsheets/d/1BJSV3WBYJGRhQ6zExamkszQ5VutGIcaQqmbD9ZTVXMQ/edit#gid=1251630045"",""articles_with_PRISMA_reasons!K2:K2113""), $A1983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$A1983=IMPORTRANGE(""https://docs.google.com/spreadsheets/d/1BJSV3WBYJGRhQ6zExamkszQ5VutGIcaQqmbD9ZTVXMQ/edit#gid=1251630045"",""articles_with_PRISMA_reasons!B2:B2113"")))-1)"),"Margaron")</f>
        <v>Margaron</v>
      </c>
      <c r="C1983" s="6">
        <f>IFERROR(__xludf.DUMMYFUNCTION("FILTER(IMPORTRANGE(""https://docs.google.com/spreadsheets/d/1BJSV3WBYJGRhQ6zExamkszQ5VutGIcaQqmbD9ZTVXMQ/edit#gid=1251630045"",""articles_with_PRISMA_reasons!C2:C2113""), $A1983=IMPORTRANGE(""https://docs.google.com/spreadsheets/d/1BJSV3WBYJGRhQ6zExamkszQ"&amp;"5VutGIcaQqmbD9ZTVXMQ/edit#gid=1251630045"",""articles_with_PRISMA_reasons!B2:B2113""))"),2010.0)</f>
        <v>2010</v>
      </c>
      <c r="D1983" s="5" t="str">
        <f>IFERROR(__xludf.DUMMYFUNCTION("IFS(AND(
FILTER(IMPORTRANGE(""https://docs.google.com/spreadsheets/d/1BJSV3WBYJGRhQ6zExamkszQ5VutGIcaQqmbD9ZTVXMQ/edit#gid=1251630045"",""articles_with_PRISMA_reasons!Y2:Y2113""), $A1983=IMPORTRANGE(""https://docs.google.com/spreadsheets/d/1BJSV3WBYJGRhQ6"&amp;"zExamkszQ5VutGIcaQqmbD9ZTVXMQ/edit#gid=1251630045"",""articles_with_PRISMA_reasons!B2:B2113""))&gt;=2,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$A1983=IMPORTRANGE(""https://docs.google.com/spreadsheets/d/1BJSV3WBYJGRhQ6zExamkszQ5VutGIcaQqmbD9ZTVXMQ/edit#gid=1251630045"",""articles_with_PRISMA_reasons!B2:B2113""))&lt;2),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$A1983=IMPORTRANGE(""https://docs.google.com/spreadsheets/d/1BJSV3WBYJGRhQ6zExamkszQ5VutGIcaQqmbD9ZTVXMQ/edit#gid=1251630045"",""a"&amp;"rticles_with_PRISMA_reasons!B2:B2113""))&lt;2,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$A1983=IMPORTRANGE(""https://docs.google"&amp;".com/spreadsheets/d/1BJSV3WBYJGRhQ6zExamkszQ5VutGIcaQqmbD9ZTVXMQ/edit#gid=1251630045"",""articles_with_PRISMA_reasons!B2:B2113""))&gt;=2),
""Exclude""
)"),"Include")</f>
        <v>Include</v>
      </c>
      <c r="E1983" s="5" t="str">
        <f>IFERROR(__xludf.DUMMYFUNCTION("IFS(
D1983=""Exclude"",""Exclude"",
AND(
FILTER(IMPORTRANGE(""https://docs.google.com/spreadsheets/d/1qpEmbGH0JjaJbUdp21-y2cPbobDbMjr09BbtdKROZWc/edit#gid=1444865654"",""articles_with_PRISMA_reasons!W2:W2113""), $A1983=IMPORTRANGE(""https://docs.google.co"&amp;"m/spreadsheets/d/1qpEmbGH0JjaJbUdp21-y2cPbobDbMjr09BbtdKROZWc/edit#gid=1444865654"",""articles_with_PRISMA_reasons!B2:B2113""))&gt;=2,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$A1983=IMPORTRANGE(""https://docs.google.com/spreadsheets/d/1qpEmbGH0JjaJbUdp21-y2cPbobDbMjr09BbtdKROZWc/edit#gid=1444865654"",""articles_with_PRISMA_reasons!B2:B2113""))&lt;2),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$A1983=IMPORTRANGE(""https://docs.google.com/spreadsheets/d/1qpEmbGH0JjaJbUdp21-y2cPbobDbMjr09Bbtd"&amp;"KROZWc/edit#gid=1444865654"",""articles_with_PRISMA_reasons!B2:B2113""))&lt;2,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$A1983=I"&amp;"MPORTRANGE(""https://docs.google.com/spreadsheets/d/1qpEmbGH0JjaJbUdp21-y2cPbobDbMjr09BbtdKROZWc/edit#gid=1444865654"",""articles_with_PRISMA_reasons!B2:B2113""))&gt;=2),
""Exclude""
)"),"Include")</f>
        <v>Include</v>
      </c>
      <c r="F1983" s="5" t="str">
        <f>IFERROR(__xludf.DUMMYFUNCTION("IFS(
E1983=""Exclude"",""Exclude"",
AND(
COUNTIF(
IMPORTRANGE(""https://docs.google.com/spreadsheets/d/1kGrh75X1cNR1D7_FcY9zMnHP8iPO4M5RCRjy6nZY0TY/edit#gid=0"",""Table 1: Study characteristics!B4:B171""),A1983)&gt;0,
COUNTIF(Studies!$A$2:$A$85,FILTER(IMPORT"&amp;"RANGE(""https://docs.google.com/spreadsheets/d/1kGrh75X1cNR1D7_FcY9zMnHP8iPO4M5RCRjy6nZY0TY/edit#gid=0"",""Table 1: Study characteristics!A4:A171""), $A1983=IMPORTRANGE(""https://docs.google.com/spreadsheets/d/1kGrh75X1cNR1D7_FcY9zMnHP8iPO4M5RCRjy6nZY0TY/"&amp;"edit#gid=0"",""Table 1: Study characteristics!B4:B171"")))&gt;0
),
""Include""
)"),"Include")</f>
        <v>Include</v>
      </c>
      <c r="G1983" s="5" t="str">
        <f>IFERROR(__xludf.DUMMYFUNCTION("IFS(
D1983=""Exclude"",
FILTER(IMPORTRANGE(""https://docs.google.com/spreadsheets/d/1BJSV3WBYJGRhQ6zExamkszQ5VutGIcaQqmbD9ZTVXMQ/edit#gid=1251630045"",""articles_with_PRISMA_reasons!AB2:AB2113""), $A1983=IMPORTRANGE(""https://docs.google.com/spreadsheets/"&amp;"d/1BJSV3WBYJGRhQ6zExamkszQ5VutGIcaQqmbD9ZTVXMQ/edit#gid=1251630045"",""articles_with_PRISMA_reasons!B2:B2113"")),
E1983=""Exclude"",
FILTER(IMPORTRANGE(""https://docs.google.com/spreadsheets/d/1qpEmbGH0JjaJbUdp21-y2cPbobDbMjr09BbtdKROZWc/edit#gid=14448656"&amp;"54"",""articles_with_PRISMA_reasons!Z2:Z2113""), $A1983=IMPORTRANGE(""https://docs.google.com/spreadsheets/d/1qpEmbGH0JjaJbUdp21-y2cPbobDbMjr09BbtdKROZWc/edit#gid=1444865654"",""articles_with_PRISMA_reasons!B2:B2113"")),F1983
=""Include"",FILTER(IMPORTRAN"&amp;"GE(""https://docs.google.com/spreadsheets/d/1kGrh75X1cNR1D7_FcY9zMnHP8iPO4M5RCRjy6nZY0TY/edit#gid=0"",""Table 1: Study characteristics!A4:A171""), $A1983=IMPORTRANGE(""https://docs.google.com/spreadsheets/d/1kGrh75X1cNR1D7_FcY9zMnHP8iPO4M5RCRjy6nZY0TY/edi"&amp;"t#gid=0"",""Table 1: Study characteristics!B4:B171""))
)"),"ID 163")</f>
        <v>ID 163</v>
      </c>
    </row>
    <row r="1984">
      <c r="A1984" s="4" t="str">
        <f>IFERROR(__xludf.DUMMYFUNCTION("""COMPUTED_VALUE"""),"To shunt or not to shunt: hydrocephalus and dysraphism")</f>
        <v>To shunt or not to shunt: hydrocephalus and dysraphism</v>
      </c>
      <c r="B1984" s="5" t="str">
        <f>IFERROR(__xludf.DUMMYFUNCTION("LEFT(FILTER(IMPORTRANGE(""https://docs.google.com/spreadsheets/d/1BJSV3WBYJGRhQ6zExamkszQ5VutGIcaQqmbD9ZTVXMQ/edit#gid=1251630045"",""articles_with_PRISMA_reasons!K2:K2113""), $A1984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$A1984=IMPORTRANGE(""https://docs.google.com/spreadsheets/d/1BJSV3WBYJGRhQ6zExamkszQ5VutGIcaQqmbD9ZTVXMQ/edit#gid=1251630045"",""articles_with_PRISMA_reasons!B2:B2113"")))-1)"),"Rekate")</f>
        <v>Rekate</v>
      </c>
      <c r="C1984" s="6">
        <f>IFERROR(__xludf.DUMMYFUNCTION("FILTER(IMPORTRANGE(""https://docs.google.com/spreadsheets/d/1BJSV3WBYJGRhQ6zExamkszQ5VutGIcaQqmbD9ZTVXMQ/edit#gid=1251630045"",""articles_with_PRISMA_reasons!C2:C2113""), $A1984=IMPORTRANGE(""https://docs.google.com/spreadsheets/d/1BJSV3WBYJGRhQ6zExamkszQ"&amp;"5VutGIcaQqmbD9ZTVXMQ/edit#gid=1251630045"",""articles_with_PRISMA_reasons!B2:B2113""))"),1985.0)</f>
        <v>1985</v>
      </c>
      <c r="D1984" s="5" t="str">
        <f>IFERROR(__xludf.DUMMYFUNCTION("IFS(AND(
FILTER(IMPORTRANGE(""https://docs.google.com/spreadsheets/d/1BJSV3WBYJGRhQ6zExamkszQ5VutGIcaQqmbD9ZTVXMQ/edit#gid=1251630045"",""articles_with_PRISMA_reasons!Y2:Y2113""), $A1984=IMPORTRANGE(""https://docs.google.com/spreadsheets/d/1BJSV3WBYJGRhQ6"&amp;"zExamkszQ5VutGIcaQqmbD9ZTVXMQ/edit#gid=1251630045"",""articles_with_PRISMA_reasons!B2:B2113""))&gt;=2,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$A1984=IMPORTRANGE(""https://docs.google.com/spreadsheets/d/1BJSV3WBYJGRhQ6zExamkszQ5VutGIcaQqmbD9ZTVXMQ/edit#gid=1251630045"",""articles_with_PRISMA_reasons!B2:B2113""))&lt;2),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$A1984=IMPORTRANGE(""https://docs.google.com/spreadsheets/d/1BJSV3WBYJGRhQ6zExamkszQ5VutGIcaQqmbD9ZTVXMQ/edit#gid=1251630045"",""a"&amp;"rticles_with_PRISMA_reasons!B2:B2113""))&lt;2,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$A1984=IMPORTRANGE(""https://docs.google"&amp;".com/spreadsheets/d/1BJSV3WBYJGRhQ6zExamkszQ5VutGIcaQqmbD9ZTVXMQ/edit#gid=1251630045"",""articles_with_PRISMA_reasons!B2:B2113""))&gt;=2),
""Exclude""
)"),"Exclude")</f>
        <v>Exclude</v>
      </c>
      <c r="E1984" s="5" t="str">
        <f>IFERROR(__xludf.DUMMYFUNCTION("IFS(
D1984=""Exclude"",""Exclude"",
AND(
FILTER(IMPORTRANGE(""https://docs.google.com/spreadsheets/d/1qpEmbGH0JjaJbUdp21-y2cPbobDbMjr09BbtdKROZWc/edit#gid=1444865654"",""articles_with_PRISMA_reasons!W2:W2113""), $A1984=IMPORTRANGE(""https://docs.google.co"&amp;"m/spreadsheets/d/1qpEmbGH0JjaJbUdp21-y2cPbobDbMjr09BbtdKROZWc/edit#gid=1444865654"",""articles_with_PRISMA_reasons!B2:B2113""))&gt;=2,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$A1984=IMPORTRANGE(""https://docs.google.com/spreadsheets/d/1qpEmbGH0JjaJbUdp21-y2cPbobDbMjr09BbtdKROZWc/edit#gid=1444865654"",""articles_with_PRISMA_reasons!B2:B2113""))&lt;2),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$A1984=IMPORTRANGE(""https://docs.google.com/spreadsheets/d/1qpEmbGH0JjaJbUdp21-y2cPbobDbMjr09Bbtd"&amp;"KROZWc/edit#gid=1444865654"",""articles_with_PRISMA_reasons!B2:B2113""))&lt;2,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$A1984=I"&amp;"MPORTRANGE(""https://docs.google.com/spreadsheets/d/1qpEmbGH0JjaJbUdp21-y2cPbobDbMjr09BbtdKROZWc/edit#gid=1444865654"",""articles_with_PRISMA_reasons!B2:B2113""))&gt;=2),
""Exclude""
)"),"Exclude")</f>
        <v>Exclude</v>
      </c>
      <c r="F1984" s="5" t="str">
        <f>IFERROR(__xludf.DUMMYFUNCTION("IFS(
E1984=""Exclude"",""Exclude"",
AND(
COUNTIF(
IMPORTRANGE(""https://docs.google.com/spreadsheets/d/1kGrh75X1cNR1D7_FcY9zMnHP8iPO4M5RCRjy6nZY0TY/edit#gid=0"",""Table 1: Study characteristics!B4:B171""),A1984)&gt;0,
COUNTIF(Studies!$A$2:$A$85,FILTER(IMPORT"&amp;"RANGE(""https://docs.google.com/spreadsheets/d/1kGrh75X1cNR1D7_FcY9zMnHP8iPO4M5RCRjy6nZY0TY/edit#gid=0"",""Table 1: Study characteristics!A4:A171""), $A1984=IMPORTRANGE(""https://docs.google.com/spreadsheets/d/1kGrh75X1cNR1D7_FcY9zMnHP8iPO4M5RCRjy6nZY0TY/"&amp;"edit#gid=0"",""Table 1: Study characteristics!B4:B171"")))&gt;0
),
""Include""
)"),"Exclude")</f>
        <v>Exclude</v>
      </c>
      <c r="G1984" s="5" t="str">
        <f>IFERROR(__xludf.DUMMYFUNCTION("IFS(
D1984=""Exclude"",
FILTER(IMPORTRANGE(""https://docs.google.com/spreadsheets/d/1BJSV3WBYJGRhQ6zExamkszQ5VutGIcaQqmbD9ZTVXMQ/edit#gid=1251630045"",""articles_with_PRISMA_reasons!AB2:AB2113""), $A1984=IMPORTRANGE(""https://docs.google.com/spreadsheets/"&amp;"d/1BJSV3WBYJGRhQ6zExamkszQ5VutGIcaQqmbD9ZTVXMQ/edit#gid=1251630045"",""articles_with_PRISMA_reasons!B2:B2113"")),
E1984=""Exclude"",
FILTER(IMPORTRANGE(""https://docs.google.com/spreadsheets/d/1qpEmbGH0JjaJbUdp21-y2cPbobDbMjr09BbtdKROZWc/edit#gid=14448656"&amp;"54"",""articles_with_PRISMA_reasons!Z2:Z2113""), $A1984=IMPORTRANGE(""https://docs.google.com/spreadsheets/d/1qpEmbGH0JjaJbUdp21-y2cPbobDbMjr09BbtdKROZWc/edit#gid=1444865654"",""articles_with_PRISMA_reasons!B2:B2113"")),F1984
=""Include"",FILTER(IMPORTRAN"&amp;"GE(""https://docs.google.com/spreadsheets/d/1kGrh75X1cNR1D7_FcY9zMnHP8iPO4M5RCRjy6nZY0TY/edit#gid=0"",""Table 1: Study characteristics!A4:A171""), $A1984=IMPORTRANGE(""https://docs.google.com/spreadsheets/d/1kGrh75X1cNR1D7_FcY9zMnHP8iPO4M5RCRjy6nZY0TY/edi"&amp;"t#gid=0"",""Table 1: Study characteristics!B4:B171""))
)"),"wrong population")</f>
        <v>wrong population</v>
      </c>
    </row>
    <row r="1985">
      <c r="A1985" s="4" t="str">
        <f>IFERROR(__xludf.DUMMYFUNCTION("""COMPUTED_VALUE"""),"Toileting skills in children with myelomeningocele: rates of learning")</f>
        <v>Toileting skills in children with myelomeningocele: rates of learning</v>
      </c>
      <c r="B1985" s="5" t="str">
        <f>IFERROR(__xludf.DUMMYFUNCTION("LEFT(FILTER(IMPORTRANGE(""https://docs.google.com/spreadsheets/d/1BJSV3WBYJGRhQ6zExamkszQ5VutGIcaQqmbD9ZTVXMQ/edit#gid=1251630045"",""articles_with_PRISMA_reasons!K2:K2113""), $A1985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$A1985=IMPORTRANGE(""https://docs.google.com/spreadsheets/d/1BJSV3WBYJGRhQ6zExamkszQ5VutGIcaQqmbD9ZTVXMQ/edit#gid=1251630045"",""articles_with_PRISMA_reasons!B2:B2113"")))-1)"),"Okamoto")</f>
        <v>Okamoto</v>
      </c>
      <c r="C1985" s="6" t="str">
        <f>IFERROR(__xludf.DUMMYFUNCTION("FILTER(IMPORTRANGE(""https://docs.google.com/spreadsheets/d/1BJSV3WBYJGRhQ6zExamkszQ5VutGIcaQqmbD9ZTVXMQ/edit#gid=1251630045"",""articles_with_PRISMA_reasons!C2:C2113""), $A1985=IMPORTRANGE(""https://docs.google.com/spreadsheets/d/1BJSV3WBYJGRhQ6zExamkszQ"&amp;"5VutGIcaQqmbD9ZTVXMQ/edit#gid=1251630045"",""articles_with_PRISMA_reasons!B2:B2113""))"),"Apr")</f>
        <v>Apr</v>
      </c>
      <c r="D1985" s="5" t="str">
        <f>IFERROR(__xludf.DUMMYFUNCTION("IFS(AND(
FILTER(IMPORTRANGE(""https://docs.google.com/spreadsheets/d/1BJSV3WBYJGRhQ6zExamkszQ5VutGIcaQqmbD9ZTVXMQ/edit#gid=1251630045"",""articles_with_PRISMA_reasons!Y2:Y2113""), $A1985=IMPORTRANGE(""https://docs.google.com/spreadsheets/d/1BJSV3WBYJGRhQ6"&amp;"zExamkszQ5VutGIcaQqmbD9ZTVXMQ/edit#gid=1251630045"",""articles_with_PRISMA_reasons!B2:B2113""))&gt;=2,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$A1985=IMPORTRANGE(""https://docs.google.com/spreadsheets/d/1BJSV3WBYJGRhQ6zExamkszQ5VutGIcaQqmbD9ZTVXMQ/edit#gid=1251630045"",""articles_with_PRISMA_reasons!B2:B2113""))&lt;2),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$A1985=IMPORTRANGE(""https://docs.google.com/spreadsheets/d/1BJSV3WBYJGRhQ6zExamkszQ5VutGIcaQqmbD9ZTVXMQ/edit#gid=1251630045"",""a"&amp;"rticles_with_PRISMA_reasons!B2:B2113""))&lt;2,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$A1985=IMPORTRANGE(""https://docs.google"&amp;".com/spreadsheets/d/1BJSV3WBYJGRhQ6zExamkszQ5VutGIcaQqmbD9ZTVXMQ/edit#gid=1251630045"",""articles_with_PRISMA_reasons!B2:B2113""))&gt;=2),
""Exclude""
)"),"Exclude")</f>
        <v>Exclude</v>
      </c>
      <c r="E1985" s="5" t="str">
        <f>IFERROR(__xludf.DUMMYFUNCTION("IFS(
D1985=""Exclude"",""Exclude"",
AND(
FILTER(IMPORTRANGE(""https://docs.google.com/spreadsheets/d/1qpEmbGH0JjaJbUdp21-y2cPbobDbMjr09BbtdKROZWc/edit#gid=1444865654"",""articles_with_PRISMA_reasons!W2:W2113""), $A1985=IMPORTRANGE(""https://docs.google.co"&amp;"m/spreadsheets/d/1qpEmbGH0JjaJbUdp21-y2cPbobDbMjr09BbtdKROZWc/edit#gid=1444865654"",""articles_with_PRISMA_reasons!B2:B2113""))&gt;=2,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$A1985=IMPORTRANGE(""https://docs.google.com/spreadsheets/d/1qpEmbGH0JjaJbUdp21-y2cPbobDbMjr09BbtdKROZWc/edit#gid=1444865654"",""articles_with_PRISMA_reasons!B2:B2113""))&lt;2),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$A1985=IMPORTRANGE(""https://docs.google.com/spreadsheets/d/1qpEmbGH0JjaJbUdp21-y2cPbobDbMjr09Bbtd"&amp;"KROZWc/edit#gid=1444865654"",""articles_with_PRISMA_reasons!B2:B2113""))&lt;2,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$A1985=I"&amp;"MPORTRANGE(""https://docs.google.com/spreadsheets/d/1qpEmbGH0JjaJbUdp21-y2cPbobDbMjr09BbtdKROZWc/edit#gid=1444865654"",""articles_with_PRISMA_reasons!B2:B2113""))&gt;=2),
""Exclude""
)"),"Exclude")</f>
        <v>Exclude</v>
      </c>
      <c r="F1985" s="5" t="str">
        <f>IFERROR(__xludf.DUMMYFUNCTION("IFS(
E1985=""Exclude"",""Exclude"",
AND(
COUNTIF(
IMPORTRANGE(""https://docs.google.com/spreadsheets/d/1kGrh75X1cNR1D7_FcY9zMnHP8iPO4M5RCRjy6nZY0TY/edit#gid=0"",""Table 1: Study characteristics!B4:B171""),A1985)&gt;0,
COUNTIF(Studies!$A$2:$A$85,FILTER(IMPORT"&amp;"RANGE(""https://docs.google.com/spreadsheets/d/1kGrh75X1cNR1D7_FcY9zMnHP8iPO4M5RCRjy6nZY0TY/edit#gid=0"",""Table 1: Study characteristics!A4:A171""), $A1985=IMPORTRANGE(""https://docs.google.com/spreadsheets/d/1kGrh75X1cNR1D7_FcY9zMnHP8iPO4M5RCRjy6nZY0TY/"&amp;"edit#gid=0"",""Table 1: Study characteristics!B4:B171"")))&gt;0
),
""Include""
)"),"Exclude")</f>
        <v>Exclude</v>
      </c>
      <c r="G1985" s="5" t="str">
        <f>IFERROR(__xludf.DUMMYFUNCTION("IFS(
D1985=""Exclude"",
FILTER(IMPORTRANGE(""https://docs.google.com/spreadsheets/d/1BJSV3WBYJGRhQ6zExamkszQ5VutGIcaQqmbD9ZTVXMQ/edit#gid=1251630045"",""articles_with_PRISMA_reasons!AB2:AB2113""), $A1985=IMPORTRANGE(""https://docs.google.com/spreadsheets/"&amp;"d/1BJSV3WBYJGRhQ6zExamkszQ5VutGIcaQqmbD9ZTVXMQ/edit#gid=1251630045"",""articles_with_PRISMA_reasons!B2:B2113"")),
E1985=""Exclude"",
FILTER(IMPORTRANGE(""https://docs.google.com/spreadsheets/d/1qpEmbGH0JjaJbUdp21-y2cPbobDbMjr09BbtdKROZWc/edit#gid=14448656"&amp;"54"",""articles_with_PRISMA_reasons!Z2:Z2113""), $A1985=IMPORTRANGE(""https://docs.google.com/spreadsheets/d/1qpEmbGH0JjaJbUdp21-y2cPbobDbMjr09BbtdKROZWc/edit#gid=1444865654"",""articles_with_PRISMA_reasons!B2:B2113"")),F1985
=""Include"",FILTER(IMPORTRAN"&amp;"GE(""https://docs.google.com/spreadsheets/d/1kGrh75X1cNR1D7_FcY9zMnHP8iPO4M5RCRjy6nZY0TY/edit#gid=0"",""Table 1: Study characteristics!A4:A171""), $A1985=IMPORTRANGE(""https://docs.google.com/spreadsheets/d/1kGrh75X1cNR1D7_FcY9zMnHP8iPO4M5RCRjy6nZY0TY/edi"&amp;"t#gid=0"",""Table 1: Study characteristics!B4:B171""))
)"),"wrong population")</f>
        <v>wrong population</v>
      </c>
    </row>
    <row r="1986">
      <c r="A1986" s="4" t="str">
        <f>IFERROR(__xludf.DUMMYFUNCTION("""COMPUTED_VALUE"""),"Toward reducing shunt placement rates in patients with myelomeningocele")</f>
        <v>Toward reducing shunt placement rates in patients with myelomeningocele</v>
      </c>
      <c r="B1986" s="5" t="str">
        <f>IFERROR(__xludf.DUMMYFUNCTION("LEFT(FILTER(IMPORTRANGE(""https://docs.google.com/spreadsheets/d/1BJSV3WBYJGRhQ6zExamkszQ5VutGIcaQqmbD9ZTVXMQ/edit#gid=1251630045"",""articles_with_PRISMA_reasons!K2:K2113""), $A1986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$A1986=IMPORTRANGE(""https://docs.google.com/spreadsheets/d/1BJSV3WBYJGRhQ6zExamkszQ5VutGIcaQqmbD9ZTVXMQ/edit#gid=1251630045"",""articles_with_PRISMA_reasons!B2:B2113"")))-1)"),"Chakraborty")</f>
        <v>Chakraborty</v>
      </c>
      <c r="C1986" s="6">
        <f>IFERROR(__xludf.DUMMYFUNCTION("FILTER(IMPORTRANGE(""https://docs.google.com/spreadsheets/d/1BJSV3WBYJGRhQ6zExamkszQ5VutGIcaQqmbD9ZTVXMQ/edit#gid=1251630045"",""articles_with_PRISMA_reasons!C2:C2113""), $A1986=IMPORTRANGE(""https://docs.google.com/spreadsheets/d/1BJSV3WBYJGRhQ6zExamkszQ"&amp;"5VutGIcaQqmbD9ZTVXMQ/edit#gid=1251630045"",""articles_with_PRISMA_reasons!B2:B2113""))"),2008.0)</f>
        <v>2008</v>
      </c>
      <c r="D1986" s="5" t="str">
        <f>IFERROR(__xludf.DUMMYFUNCTION("IFS(AND(
FILTER(IMPORTRANGE(""https://docs.google.com/spreadsheets/d/1BJSV3WBYJGRhQ6zExamkszQ5VutGIcaQqmbD9ZTVXMQ/edit#gid=1251630045"",""articles_with_PRISMA_reasons!Y2:Y2113""), $A1986=IMPORTRANGE(""https://docs.google.com/spreadsheets/d/1BJSV3WBYJGRhQ6"&amp;"zExamkszQ5VutGIcaQqmbD9ZTVXMQ/edit#gid=1251630045"",""articles_with_PRISMA_reasons!B2:B2113""))&gt;=2,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$A1986=IMPORTRANGE(""https://docs.google.com/spreadsheets/d/1BJSV3WBYJGRhQ6zExamkszQ5VutGIcaQqmbD9ZTVXMQ/edit#gid=1251630045"",""articles_with_PRISMA_reasons!B2:B2113""))&lt;2),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$A1986=IMPORTRANGE(""https://docs.google.com/spreadsheets/d/1BJSV3WBYJGRhQ6zExamkszQ5VutGIcaQqmbD9ZTVXMQ/edit#gid=1251630045"",""a"&amp;"rticles_with_PRISMA_reasons!B2:B2113""))&lt;2,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$A1986=IMPORTRANGE(""https://docs.google"&amp;".com/spreadsheets/d/1BJSV3WBYJGRhQ6zExamkszQ5VutGIcaQqmbD9ZTVXMQ/edit#gid=1251630045"",""articles_with_PRISMA_reasons!B2:B2113""))&gt;=2),
""Exclude""
)"),"Include")</f>
        <v>Include</v>
      </c>
      <c r="E1986" s="5" t="str">
        <f>IFERROR(__xludf.DUMMYFUNCTION("IFS(
D1986=""Exclude"",""Exclude"",
AND(
FILTER(IMPORTRANGE(""https://docs.google.com/spreadsheets/d/1qpEmbGH0JjaJbUdp21-y2cPbobDbMjr09BbtdKROZWc/edit#gid=1444865654"",""articles_with_PRISMA_reasons!W2:W2113""), $A1986=IMPORTRANGE(""https://docs.google.co"&amp;"m/spreadsheets/d/1qpEmbGH0JjaJbUdp21-y2cPbobDbMjr09BbtdKROZWc/edit#gid=1444865654"",""articles_with_PRISMA_reasons!B2:B2113""))&gt;=2,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$A1986=IMPORTRANGE(""https://docs.google.com/spreadsheets/d/1qpEmbGH0JjaJbUdp21-y2cPbobDbMjr09BbtdKROZWc/edit#gid=1444865654"",""articles_with_PRISMA_reasons!B2:B2113""))&lt;2),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$A1986=IMPORTRANGE(""https://docs.google.com/spreadsheets/d/1qpEmbGH0JjaJbUdp21-y2cPbobDbMjr09Bbtd"&amp;"KROZWc/edit#gid=1444865654"",""articles_with_PRISMA_reasons!B2:B2113""))&lt;2,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$A1986=I"&amp;"MPORTRANGE(""https://docs.google.com/spreadsheets/d/1qpEmbGH0JjaJbUdp21-y2cPbobDbMjr09BbtdKROZWc/edit#gid=1444865654"",""articles_with_PRISMA_reasons!B2:B2113""))&gt;=2),
""Exclude""
)"),"Exclude")</f>
        <v>Exclude</v>
      </c>
      <c r="F1986" s="5" t="str">
        <f>IFERROR(__xludf.DUMMYFUNCTION("IFS(
E1986=""Exclude"",""Exclude"",
AND(
COUNTIF(
IMPORTRANGE(""https://docs.google.com/spreadsheets/d/1kGrh75X1cNR1D7_FcY9zMnHP8iPO4M5RCRjy6nZY0TY/edit#gid=0"",""Table 1: Study characteristics!B4:B171""),A1986)&gt;0,
COUNTIF(Studies!$A$2:$A$85,FILTER(IMPORT"&amp;"RANGE(""https://docs.google.com/spreadsheets/d/1kGrh75X1cNR1D7_FcY9zMnHP8iPO4M5RCRjy6nZY0TY/edit#gid=0"",""Table 1: Study characteristics!A4:A171""), $A1986=IMPORTRANGE(""https://docs.google.com/spreadsheets/d/1kGrh75X1cNR1D7_FcY9zMnHP8iPO4M5RCRjy6nZY0TY/"&amp;"edit#gid=0"",""Table 1: Study characteristics!B4:B171"")))&gt;0
),
""Include""
)"),"Exclude")</f>
        <v>Exclude</v>
      </c>
      <c r="G1986" s="5" t="str">
        <f>IFERROR(__xludf.DUMMYFUNCTION("IFS(
D1986=""Exclude"",
FILTER(IMPORTRANGE(""https://docs.google.com/spreadsheets/d/1BJSV3WBYJGRhQ6zExamkszQ5VutGIcaQqmbD9ZTVXMQ/edit#gid=1251630045"",""articles_with_PRISMA_reasons!AB2:AB2113""), $A1986=IMPORTRANGE(""https://docs.google.com/spreadsheets/"&amp;"d/1BJSV3WBYJGRhQ6zExamkszQ5VutGIcaQqmbD9ZTVXMQ/edit#gid=1251630045"",""articles_with_PRISMA_reasons!B2:B2113"")),
E1986=""Exclude"",
FILTER(IMPORTRANGE(""https://docs.google.com/spreadsheets/d/1qpEmbGH0JjaJbUdp21-y2cPbobDbMjr09BbtdKROZWc/edit#gid=14448656"&amp;"54"",""articles_with_PRISMA_reasons!Z2:Z2113""), $A1986=IMPORTRANGE(""https://docs.google.com/spreadsheets/d/1qpEmbGH0JjaJbUdp21-y2cPbobDbMjr09BbtdKROZWc/edit#gid=1444865654"",""articles_with_PRISMA_reasons!B2:B2113"")),F1986
=""Include"",FILTER(IMPORTRAN"&amp;"GE(""https://docs.google.com/spreadsheets/d/1kGrh75X1cNR1D7_FcY9zMnHP8iPO4M5RCRjy6nZY0TY/edit#gid=0"",""Table 1: Study characteristics!A4:A171""), $A1986=IMPORTRANGE(""https://docs.google.com/spreadsheets/d/1kGrh75X1cNR1D7_FcY9zMnHP8iPO4M5RCRjy6nZY0TY/edi"&amp;"t#gid=0"",""Table 1: Study characteristics!B4:B171""))
)"),"wrong population")</f>
        <v>wrong population</v>
      </c>
    </row>
    <row r="1987">
      <c r="A1987" s="4" t="str">
        <f>IFERROR(__xludf.DUMMYFUNCTION("""COMPUTED_VALUE"""),"Transanal prolapse of a ventriculoperitoneal shunt catheter - Case report")</f>
        <v>Transanal prolapse of a ventriculoperitoneal shunt catheter - Case report</v>
      </c>
      <c r="B1987" s="5" t="str">
        <f>IFERROR(__xludf.DUMMYFUNCTION("LEFT(FILTER(IMPORTRANGE(""https://docs.google.com/spreadsheets/d/1BJSV3WBYJGRhQ6zExamkszQ5VutGIcaQqmbD9ZTVXMQ/edit#gid=1251630045"",""articles_with_PRISMA_reasons!K2:K2113""), $A1987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$A1987=IMPORTRANGE(""https://docs.google.com/spreadsheets/d/1BJSV3WBYJGRhQ6zExamkszQ5VutGIcaQqmbD9ZTVXMQ/edit#gid=1251630045"",""articles_with_PRISMA_reasons!B2:B2113"")))-1)"),"Takegami")</f>
        <v>Takegami</v>
      </c>
      <c r="C1987" s="6">
        <f>IFERROR(__xludf.DUMMYFUNCTION("FILTER(IMPORTRANGE(""https://docs.google.com/spreadsheets/d/1BJSV3WBYJGRhQ6zExamkszQ5VutGIcaQqmbD9ZTVXMQ/edit#gid=1251630045"",""articles_with_PRISMA_reasons!C2:C2113""), $A1987=IMPORTRANGE(""https://docs.google.com/spreadsheets/d/1BJSV3WBYJGRhQ6zExamkszQ"&amp;"5VutGIcaQqmbD9ZTVXMQ/edit#gid=1251630045"",""articles_with_PRISMA_reasons!B2:B2113""))"),2008.0)</f>
        <v>2008</v>
      </c>
      <c r="D1987" s="5" t="str">
        <f>IFERROR(__xludf.DUMMYFUNCTION("IFS(AND(
FILTER(IMPORTRANGE(""https://docs.google.com/spreadsheets/d/1BJSV3WBYJGRhQ6zExamkszQ5VutGIcaQqmbD9ZTVXMQ/edit#gid=1251630045"",""articles_with_PRISMA_reasons!Y2:Y2113""), $A1987=IMPORTRANGE(""https://docs.google.com/spreadsheets/d/1BJSV3WBYJGRhQ6"&amp;"zExamkszQ5VutGIcaQqmbD9ZTVXMQ/edit#gid=1251630045"",""articles_with_PRISMA_reasons!B2:B2113""))&gt;=2,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$A1987=IMPORTRANGE(""https://docs.google.com/spreadsheets/d/1BJSV3WBYJGRhQ6zExamkszQ5VutGIcaQqmbD9ZTVXMQ/edit#gid=1251630045"",""articles_with_PRISMA_reasons!B2:B2113""))&lt;2),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$A1987=IMPORTRANGE(""https://docs.google.com/spreadsheets/d/1BJSV3WBYJGRhQ6zExamkszQ5VutGIcaQqmbD9ZTVXMQ/edit#gid=1251630045"",""a"&amp;"rticles_with_PRISMA_reasons!B2:B2113""))&lt;2,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$A1987=IMPORTRANGE(""https://docs.google"&amp;".com/spreadsheets/d/1BJSV3WBYJGRhQ6zExamkszQ5VutGIcaQqmbD9ZTVXMQ/edit#gid=1251630045"",""articles_with_PRISMA_reasons!B2:B2113""))&gt;=2),
""Exclude""
)"),"Exclude")</f>
        <v>Exclude</v>
      </c>
      <c r="E1987" s="5" t="str">
        <f>IFERROR(__xludf.DUMMYFUNCTION("IFS(
D1987=""Exclude"",""Exclude"",
AND(
FILTER(IMPORTRANGE(""https://docs.google.com/spreadsheets/d/1qpEmbGH0JjaJbUdp21-y2cPbobDbMjr09BbtdKROZWc/edit#gid=1444865654"",""articles_with_PRISMA_reasons!W2:W2113""), $A1987=IMPORTRANGE(""https://docs.google.co"&amp;"m/spreadsheets/d/1qpEmbGH0JjaJbUdp21-y2cPbobDbMjr09BbtdKROZWc/edit#gid=1444865654"",""articles_with_PRISMA_reasons!B2:B2113""))&gt;=2,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$A1987=IMPORTRANGE(""https://docs.google.com/spreadsheets/d/1qpEmbGH0JjaJbUdp21-y2cPbobDbMjr09BbtdKROZWc/edit#gid=1444865654"",""articles_with_PRISMA_reasons!B2:B2113""))&lt;2),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$A1987=IMPORTRANGE(""https://docs.google.com/spreadsheets/d/1qpEmbGH0JjaJbUdp21-y2cPbobDbMjr09Bbtd"&amp;"KROZWc/edit#gid=1444865654"",""articles_with_PRISMA_reasons!B2:B2113""))&lt;2,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$A1987=I"&amp;"MPORTRANGE(""https://docs.google.com/spreadsheets/d/1qpEmbGH0JjaJbUdp21-y2cPbobDbMjr09BbtdKROZWc/edit#gid=1444865654"",""articles_with_PRISMA_reasons!B2:B2113""))&gt;=2),
""Exclude""
)"),"Exclude")</f>
        <v>Exclude</v>
      </c>
      <c r="F1987" s="5" t="str">
        <f>IFERROR(__xludf.DUMMYFUNCTION("IFS(
E1987=""Exclude"",""Exclude"",
AND(
COUNTIF(
IMPORTRANGE(""https://docs.google.com/spreadsheets/d/1kGrh75X1cNR1D7_FcY9zMnHP8iPO4M5RCRjy6nZY0TY/edit#gid=0"",""Table 1: Study characteristics!B4:B171""),A1987)&gt;0,
COUNTIF(Studies!$A$2:$A$85,FILTER(IMPORT"&amp;"RANGE(""https://docs.google.com/spreadsheets/d/1kGrh75X1cNR1D7_FcY9zMnHP8iPO4M5RCRjy6nZY0TY/edit#gid=0"",""Table 1: Study characteristics!A4:A171""), $A1987=IMPORTRANGE(""https://docs.google.com/spreadsheets/d/1kGrh75X1cNR1D7_FcY9zMnHP8iPO4M5RCRjy6nZY0TY/"&amp;"edit#gid=0"",""Table 1: Study characteristics!B4:B171"")))&gt;0
),
""Include""
)"),"Exclude")</f>
        <v>Exclude</v>
      </c>
      <c r="G1987" s="5" t="str">
        <f>IFERROR(__xludf.DUMMYFUNCTION("IFS(
D1987=""Exclude"",
FILTER(IMPORTRANGE(""https://docs.google.com/spreadsheets/d/1BJSV3WBYJGRhQ6zExamkszQ5VutGIcaQqmbD9ZTVXMQ/edit#gid=1251630045"",""articles_with_PRISMA_reasons!AB2:AB2113""), $A1987=IMPORTRANGE(""https://docs.google.com/spreadsheets/"&amp;"d/1BJSV3WBYJGRhQ6zExamkszQ5VutGIcaQqmbD9ZTVXMQ/edit#gid=1251630045"",""articles_with_PRISMA_reasons!B2:B2113"")),
E1987=""Exclude"",
FILTER(IMPORTRANGE(""https://docs.google.com/spreadsheets/d/1qpEmbGH0JjaJbUdp21-y2cPbobDbMjr09BbtdKROZWc/edit#gid=14448656"&amp;"54"",""articles_with_PRISMA_reasons!Z2:Z2113""), $A1987=IMPORTRANGE(""https://docs.google.com/spreadsheets/d/1qpEmbGH0JjaJbUdp21-y2cPbobDbMjr09BbtdKROZWc/edit#gid=1444865654"",""articles_with_PRISMA_reasons!B2:B2113"")),F1987
=""Include"",FILTER(IMPORTRAN"&amp;"GE(""https://docs.google.com/spreadsheets/d/1kGrh75X1cNR1D7_FcY9zMnHP8iPO4M5RCRjy6nZY0TY/edit#gid=0"",""Table 1: Study characteristics!A4:A171""), $A1987=IMPORTRANGE(""https://docs.google.com/spreadsheets/d/1kGrh75X1cNR1D7_FcY9zMnHP8iPO4M5RCRjy6nZY0TY/edi"&amp;"t#gid=0"",""Table 1: Study characteristics!B4:B171""))
)"),"Duplicate")</f>
        <v>Duplicate</v>
      </c>
    </row>
    <row r="1988">
      <c r="A1988" s="4" t="str">
        <f>IFERROR(__xludf.DUMMYFUNCTION("""COMPUTED_VALUE"""),"Transcephalic impedance in neonatal hydrocephalics with myelomeningocele")</f>
        <v>Transcephalic impedance in neonatal hydrocephalics with myelomeningocele</v>
      </c>
      <c r="B1988" s="5" t="str">
        <f>IFERROR(__xludf.DUMMYFUNCTION("LEFT(FILTER(IMPORTRANGE(""https://docs.google.com/spreadsheets/d/1BJSV3WBYJGRhQ6zExamkszQ5VutGIcaQqmbD9ZTVXMQ/edit#gid=1251630045"",""articles_with_PRISMA_reasons!K2:K2113""), $A1988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$A1988=IMPORTRANGE(""https://docs.google.com/spreadsheets/d/1BJSV3WBYJGRhQ6zExamkszQ5VutGIcaQqmbD9ZTVXMQ/edit#gid=1251630045"",""articles_with_PRISMA_reasons!B2:B2113"")))-1)"),"Reigel")</f>
        <v>Reigel</v>
      </c>
      <c r="C1988" s="6">
        <f>IFERROR(__xludf.DUMMYFUNCTION("FILTER(IMPORTRANGE(""https://docs.google.com/spreadsheets/d/1BJSV3WBYJGRhQ6zExamkszQ5VutGIcaQqmbD9ZTVXMQ/edit#gid=1251630045"",""articles_with_PRISMA_reasons!C2:C2113""), $A1988=IMPORTRANGE(""https://docs.google.com/spreadsheets/d/1BJSV3WBYJGRhQ6zExamkszQ"&amp;"5VutGIcaQqmbD9ZTVXMQ/edit#gid=1251630045"",""articles_with_PRISMA_reasons!B2:B2113""))"),1975.0)</f>
        <v>1975</v>
      </c>
      <c r="D1988" s="5" t="str">
        <f>IFERROR(__xludf.DUMMYFUNCTION("IFS(AND(
FILTER(IMPORTRANGE(""https://docs.google.com/spreadsheets/d/1BJSV3WBYJGRhQ6zExamkszQ5VutGIcaQqmbD9ZTVXMQ/edit#gid=1251630045"",""articles_with_PRISMA_reasons!Y2:Y2113""), $A1988=IMPORTRANGE(""https://docs.google.com/spreadsheets/d/1BJSV3WBYJGRhQ6"&amp;"zExamkszQ5VutGIcaQqmbD9ZTVXMQ/edit#gid=1251630045"",""articles_with_PRISMA_reasons!B2:B2113""))&gt;=2,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$A1988=IMPORTRANGE(""https://docs.google.com/spreadsheets/d/1BJSV3WBYJGRhQ6zExamkszQ5VutGIcaQqmbD9ZTVXMQ/edit#gid=1251630045"",""articles_with_PRISMA_reasons!B2:B2113""))&lt;2),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$A1988=IMPORTRANGE(""https://docs.google.com/spreadsheets/d/1BJSV3WBYJGRhQ6zExamkszQ5VutGIcaQqmbD9ZTVXMQ/edit#gid=1251630045"",""a"&amp;"rticles_with_PRISMA_reasons!B2:B2113""))&lt;2,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$A1988=IMPORTRANGE(""https://docs.google"&amp;".com/spreadsheets/d/1BJSV3WBYJGRhQ6zExamkszQ5VutGIcaQqmbD9ZTVXMQ/edit#gid=1251630045"",""articles_with_PRISMA_reasons!B2:B2113""))&gt;=2),
""Exclude""
)"),"Exclude")</f>
        <v>Exclude</v>
      </c>
      <c r="E1988" s="5" t="str">
        <f>IFERROR(__xludf.DUMMYFUNCTION("IFS(
D1988=""Exclude"",""Exclude"",
AND(
FILTER(IMPORTRANGE(""https://docs.google.com/spreadsheets/d/1qpEmbGH0JjaJbUdp21-y2cPbobDbMjr09BbtdKROZWc/edit#gid=1444865654"",""articles_with_PRISMA_reasons!W2:W2113""), $A1988=IMPORTRANGE(""https://docs.google.co"&amp;"m/spreadsheets/d/1qpEmbGH0JjaJbUdp21-y2cPbobDbMjr09BbtdKROZWc/edit#gid=1444865654"",""articles_with_PRISMA_reasons!B2:B2113""))&gt;=2,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$A1988=IMPORTRANGE(""https://docs.google.com/spreadsheets/d/1qpEmbGH0JjaJbUdp21-y2cPbobDbMjr09BbtdKROZWc/edit#gid=1444865654"",""articles_with_PRISMA_reasons!B2:B2113""))&lt;2),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$A1988=IMPORTRANGE(""https://docs.google.com/spreadsheets/d/1qpEmbGH0JjaJbUdp21-y2cPbobDbMjr09Bbtd"&amp;"KROZWc/edit#gid=1444865654"",""articles_with_PRISMA_reasons!B2:B2113""))&lt;2,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$A1988=I"&amp;"MPORTRANGE(""https://docs.google.com/spreadsheets/d/1qpEmbGH0JjaJbUdp21-y2cPbobDbMjr09BbtdKROZWc/edit#gid=1444865654"",""articles_with_PRISMA_reasons!B2:B2113""))&gt;=2),
""Exclude""
)"),"Exclude")</f>
        <v>Exclude</v>
      </c>
      <c r="F1988" s="5" t="str">
        <f>IFERROR(__xludf.DUMMYFUNCTION("IFS(
E1988=""Exclude"",""Exclude"",
AND(
COUNTIF(
IMPORTRANGE(""https://docs.google.com/spreadsheets/d/1kGrh75X1cNR1D7_FcY9zMnHP8iPO4M5RCRjy6nZY0TY/edit#gid=0"",""Table 1: Study characteristics!B4:B171""),A1988)&gt;0,
COUNTIF(Studies!$A$2:$A$85,FILTER(IMPORT"&amp;"RANGE(""https://docs.google.com/spreadsheets/d/1kGrh75X1cNR1D7_FcY9zMnHP8iPO4M5RCRjy6nZY0TY/edit#gid=0"",""Table 1: Study characteristics!A4:A171""), $A1988=IMPORTRANGE(""https://docs.google.com/spreadsheets/d/1kGrh75X1cNR1D7_FcY9zMnHP8iPO4M5RCRjy6nZY0TY/"&amp;"edit#gid=0"",""Table 1: Study characteristics!B4:B171"")))&gt;0
),
""Include""
)"),"Exclude")</f>
        <v>Exclude</v>
      </c>
      <c r="G1988" s="5" t="str">
        <f>IFERROR(__xludf.DUMMYFUNCTION("IFS(
D1988=""Exclude"",
FILTER(IMPORTRANGE(""https://docs.google.com/spreadsheets/d/1BJSV3WBYJGRhQ6zExamkszQ5VutGIcaQqmbD9ZTVXMQ/edit#gid=1251630045"",""articles_with_PRISMA_reasons!AB2:AB2113""), $A1988=IMPORTRANGE(""https://docs.google.com/spreadsheets/"&amp;"d/1BJSV3WBYJGRhQ6zExamkszQ5VutGIcaQqmbD9ZTVXMQ/edit#gid=1251630045"",""articles_with_PRISMA_reasons!B2:B2113"")),
E1988=""Exclude"",
FILTER(IMPORTRANGE(""https://docs.google.com/spreadsheets/d/1qpEmbGH0JjaJbUdp21-y2cPbobDbMjr09BbtdKROZWc/edit#gid=14448656"&amp;"54"",""articles_with_PRISMA_reasons!Z2:Z2113""), $A1988=IMPORTRANGE(""https://docs.google.com/spreadsheets/d/1qpEmbGH0JjaJbUdp21-y2cPbobDbMjr09BbtdKROZWc/edit#gid=1444865654"",""articles_with_PRISMA_reasons!B2:B2113"")),F1988
=""Include"",FILTER(IMPORTRAN"&amp;"GE(""https://docs.google.com/spreadsheets/d/1kGrh75X1cNR1D7_FcY9zMnHP8iPO4M5RCRjy6nZY0TY/edit#gid=0"",""Table 1: Study characteristics!A4:A171""), $A1988=IMPORTRANGE(""https://docs.google.com/spreadsheets/d/1kGrh75X1cNR1D7_FcY9zMnHP8iPO4M5RCRjy6nZY0TY/edi"&amp;"t#gid=0"",""Table 1: Study characteristics!B4:B171""))
)"),"wrong population")</f>
        <v>wrong population</v>
      </c>
    </row>
    <row r="1989">
      <c r="A1989" s="4" t="str">
        <f>IFERROR(__xludf.DUMMYFUNCTION("""COMPUTED_VALUE"""),"Transcephalic impedance measurement during infancy")</f>
        <v>Transcephalic impedance measurement during infancy</v>
      </c>
      <c r="B1989" s="5" t="str">
        <f>IFERROR(__xludf.DUMMYFUNCTION("LEFT(FILTER(IMPORTRANGE(""https://docs.google.com/spreadsheets/d/1BJSV3WBYJGRhQ6zExamkszQ5VutGIcaQqmbD9ZTVXMQ/edit#gid=1251630045"",""articles_with_PRISMA_reasons!K2:K2113""), $A1989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$A1989=IMPORTRANGE(""https://docs.google.com/spreadsheets/d/1BJSV3WBYJGRhQ6zExamkszQ5VutGIcaQqmbD9ZTVXMQ/edit#gid=1251630045"",""articles_with_PRISMA_reasons!B2:B2113"")))-1)"),"Reigel")</f>
        <v>Reigel</v>
      </c>
      <c r="C1989" s="6">
        <f>IFERROR(__xludf.DUMMYFUNCTION("FILTER(IMPORTRANGE(""https://docs.google.com/spreadsheets/d/1BJSV3WBYJGRhQ6zExamkszQ5VutGIcaQqmbD9ZTVXMQ/edit#gid=1251630045"",""articles_with_PRISMA_reasons!C2:C2113""), $A1989=IMPORTRANGE(""https://docs.google.com/spreadsheets/d/1BJSV3WBYJGRhQ6zExamkszQ"&amp;"5VutGIcaQqmbD9ZTVXMQ/edit#gid=1251630045"",""articles_with_PRISMA_reasons!B2:B2113""))"),1977.0)</f>
        <v>1977</v>
      </c>
      <c r="D1989" s="5" t="str">
        <f>IFERROR(__xludf.DUMMYFUNCTION("IFS(AND(
FILTER(IMPORTRANGE(""https://docs.google.com/spreadsheets/d/1BJSV3WBYJGRhQ6zExamkszQ5VutGIcaQqmbD9ZTVXMQ/edit#gid=1251630045"",""articles_with_PRISMA_reasons!Y2:Y2113""), $A1989=IMPORTRANGE(""https://docs.google.com/spreadsheets/d/1BJSV3WBYJGRhQ6"&amp;"zExamkszQ5VutGIcaQqmbD9ZTVXMQ/edit#gid=1251630045"",""articles_with_PRISMA_reasons!B2:B2113""))&gt;=2,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$A1989=IMPORTRANGE(""https://docs.google.com/spreadsheets/d/1BJSV3WBYJGRhQ6zExamkszQ5VutGIcaQqmbD9ZTVXMQ/edit#gid=1251630045"",""articles_with_PRISMA_reasons!B2:B2113""))&lt;2),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$A1989=IMPORTRANGE(""https://docs.google.com/spreadsheets/d/1BJSV3WBYJGRhQ6zExamkszQ5VutGIcaQqmbD9ZTVXMQ/edit#gid=1251630045"",""a"&amp;"rticles_with_PRISMA_reasons!B2:B2113""))&lt;2,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$A1989=IMPORTRANGE(""https://docs.google"&amp;".com/spreadsheets/d/1BJSV3WBYJGRhQ6zExamkszQ5VutGIcaQqmbD9ZTVXMQ/edit#gid=1251630045"",""articles_with_PRISMA_reasons!B2:B2113""))&gt;=2),
""Exclude""
)"),"Exclude")</f>
        <v>Exclude</v>
      </c>
      <c r="E1989" s="5" t="str">
        <f>IFERROR(__xludf.DUMMYFUNCTION("IFS(
D1989=""Exclude"",""Exclude"",
AND(
FILTER(IMPORTRANGE(""https://docs.google.com/spreadsheets/d/1qpEmbGH0JjaJbUdp21-y2cPbobDbMjr09BbtdKROZWc/edit#gid=1444865654"",""articles_with_PRISMA_reasons!W2:W2113""), $A1989=IMPORTRANGE(""https://docs.google.co"&amp;"m/spreadsheets/d/1qpEmbGH0JjaJbUdp21-y2cPbobDbMjr09BbtdKROZWc/edit#gid=1444865654"",""articles_with_PRISMA_reasons!B2:B2113""))&gt;=2,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$A1989=IMPORTRANGE(""https://docs.google.com/spreadsheets/d/1qpEmbGH0JjaJbUdp21-y2cPbobDbMjr09BbtdKROZWc/edit#gid=1444865654"",""articles_with_PRISMA_reasons!B2:B2113""))&lt;2),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$A1989=IMPORTRANGE(""https://docs.google.com/spreadsheets/d/1qpEmbGH0JjaJbUdp21-y2cPbobDbMjr09Bbtd"&amp;"KROZWc/edit#gid=1444865654"",""articles_with_PRISMA_reasons!B2:B2113""))&lt;2,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$A1989=I"&amp;"MPORTRANGE(""https://docs.google.com/spreadsheets/d/1qpEmbGH0JjaJbUdp21-y2cPbobDbMjr09BbtdKROZWc/edit#gid=1444865654"",""articles_with_PRISMA_reasons!B2:B2113""))&gt;=2),
""Exclude""
)"),"Exclude")</f>
        <v>Exclude</v>
      </c>
      <c r="F1989" s="5" t="str">
        <f>IFERROR(__xludf.DUMMYFUNCTION("IFS(
E1989=""Exclude"",""Exclude"",
AND(
COUNTIF(
IMPORTRANGE(""https://docs.google.com/spreadsheets/d/1kGrh75X1cNR1D7_FcY9zMnHP8iPO4M5RCRjy6nZY0TY/edit#gid=0"",""Table 1: Study characteristics!B4:B171""),A1989)&gt;0,
COUNTIF(Studies!$A$2:$A$85,FILTER(IMPORT"&amp;"RANGE(""https://docs.google.com/spreadsheets/d/1kGrh75X1cNR1D7_FcY9zMnHP8iPO4M5RCRjy6nZY0TY/edit#gid=0"",""Table 1: Study characteristics!A4:A171""), $A1989=IMPORTRANGE(""https://docs.google.com/spreadsheets/d/1kGrh75X1cNR1D7_FcY9zMnHP8iPO4M5RCRjy6nZY0TY/"&amp;"edit#gid=0"",""Table 1: Study characteristics!B4:B171"")))&gt;0
),
""Include""
)"),"Exclude")</f>
        <v>Exclude</v>
      </c>
      <c r="G1989" s="5" t="str">
        <f>IFERROR(__xludf.DUMMYFUNCTION("IFS(
D1989=""Exclude"",
FILTER(IMPORTRANGE(""https://docs.google.com/spreadsheets/d/1BJSV3WBYJGRhQ6zExamkszQ5VutGIcaQqmbD9ZTVXMQ/edit#gid=1251630045"",""articles_with_PRISMA_reasons!AB2:AB2113""), $A1989=IMPORTRANGE(""https://docs.google.com/spreadsheets/"&amp;"d/1BJSV3WBYJGRhQ6zExamkszQ5VutGIcaQqmbD9ZTVXMQ/edit#gid=1251630045"",""articles_with_PRISMA_reasons!B2:B2113"")),
E1989=""Exclude"",
FILTER(IMPORTRANGE(""https://docs.google.com/spreadsheets/d/1qpEmbGH0JjaJbUdp21-y2cPbobDbMjr09BbtdKROZWc/edit#gid=14448656"&amp;"54"",""articles_with_PRISMA_reasons!Z2:Z2113""), $A1989=IMPORTRANGE(""https://docs.google.com/spreadsheets/d/1qpEmbGH0JjaJbUdp21-y2cPbobDbMjr09BbtdKROZWc/edit#gid=1444865654"",""articles_with_PRISMA_reasons!B2:B2113"")),F1989
=""Include"",FILTER(IMPORTRAN"&amp;"GE(""https://docs.google.com/spreadsheets/d/1kGrh75X1cNR1D7_FcY9zMnHP8iPO4M5RCRjy6nZY0TY/edit#gid=0"",""Table 1: Study characteristics!A4:A171""), $A1989=IMPORTRANGE(""https://docs.google.com/spreadsheets/d/1kGrh75X1cNR1D7_FcY9zMnHP8iPO4M5RCRjy6nZY0TY/edi"&amp;"t#gid=0"",""Table 1: Study characteristics!B4:B171""))
)"),"wrong population")</f>
        <v>wrong population</v>
      </c>
    </row>
    <row r="1990">
      <c r="A1990" s="4" t="str">
        <f>IFERROR(__xludf.DUMMYFUNCTION("""COMPUTED_VALUE"""),"Transcranial Doppler in the evaluation of infants treated with retrograde ventriculosinus shunt")</f>
        <v>Transcranial Doppler in the evaluation of infants treated with retrograde ventriculosinus shunt</v>
      </c>
      <c r="B1990" s="5" t="str">
        <f>IFERROR(__xludf.DUMMYFUNCTION("LEFT(FILTER(IMPORTRANGE(""https://docs.google.com/spreadsheets/d/1BJSV3WBYJGRhQ6zExamkszQ5VutGIcaQqmbD9ZTVXMQ/edit#gid=1251630045"",""articles_with_PRISMA_reasons!K2:K2113""), $A1990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$A1990=IMPORTRANGE(""https://docs.google.com/spreadsheets/d/1BJSV3WBYJGRhQ6zExamkszQ5VutGIcaQqmbD9ZTVXMQ/edit#gid=1251630045"",""articles_with_PRISMA_reasons!B2:B2113"")))-1)"),"de Oliveira")</f>
        <v>de Oliveira</v>
      </c>
      <c r="C1990" s="6">
        <f>IFERROR(__xludf.DUMMYFUNCTION("FILTER(IMPORTRANGE(""https://docs.google.com/spreadsheets/d/1BJSV3WBYJGRhQ6zExamkszQ5VutGIcaQqmbD9ZTVXMQ/edit#gid=1251630045"",""articles_with_PRISMA_reasons!C2:C2113""), $A1990=IMPORTRANGE(""https://docs.google.com/spreadsheets/d/1BJSV3WBYJGRhQ6zExamkszQ"&amp;"5VutGIcaQqmbD9ZTVXMQ/edit#gid=1251630045"",""articles_with_PRISMA_reasons!B2:B2113""))"),2016.0)</f>
        <v>2016</v>
      </c>
      <c r="D1990" s="5" t="str">
        <f>IFERROR(__xludf.DUMMYFUNCTION("IFS(AND(
FILTER(IMPORTRANGE(""https://docs.google.com/spreadsheets/d/1BJSV3WBYJGRhQ6zExamkszQ5VutGIcaQqmbD9ZTVXMQ/edit#gid=1251630045"",""articles_with_PRISMA_reasons!Y2:Y2113""), $A1990=IMPORTRANGE(""https://docs.google.com/spreadsheets/d/1BJSV3WBYJGRhQ6"&amp;"zExamkszQ5VutGIcaQqmbD9ZTVXMQ/edit#gid=1251630045"",""articles_with_PRISMA_reasons!B2:B2113""))&gt;=2,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$A1990=IMPORTRANGE(""https://docs.google.com/spreadsheets/d/1BJSV3WBYJGRhQ6zExamkszQ5VutGIcaQqmbD9ZTVXMQ/edit#gid=1251630045"",""articles_with_PRISMA_reasons!B2:B2113""))&lt;2),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$A1990=IMPORTRANGE(""https://docs.google.com/spreadsheets/d/1BJSV3WBYJGRhQ6zExamkszQ5VutGIcaQqmbD9ZTVXMQ/edit#gid=1251630045"",""a"&amp;"rticles_with_PRISMA_reasons!B2:B2113""))&lt;2,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$A1990=IMPORTRANGE(""https://docs.google"&amp;".com/spreadsheets/d/1BJSV3WBYJGRhQ6zExamkszQ5VutGIcaQqmbD9ZTVXMQ/edit#gid=1251630045"",""articles_with_PRISMA_reasons!B2:B2113""))&gt;=2),
""Exclude""
)"),"Include")</f>
        <v>Include</v>
      </c>
      <c r="E1990" s="5" t="str">
        <f>IFERROR(__xludf.DUMMYFUNCTION("IFS(
D1990=""Exclude"",""Exclude"",
AND(
FILTER(IMPORTRANGE(""https://docs.google.com/spreadsheets/d/1qpEmbGH0JjaJbUdp21-y2cPbobDbMjr09BbtdKROZWc/edit#gid=1444865654"",""articles_with_PRISMA_reasons!W2:W2113""), $A1990=IMPORTRANGE(""https://docs.google.co"&amp;"m/spreadsheets/d/1qpEmbGH0JjaJbUdp21-y2cPbobDbMjr09BbtdKROZWc/edit#gid=1444865654"",""articles_with_PRISMA_reasons!B2:B2113""))&gt;=2,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$A1990=IMPORTRANGE(""https://docs.google.com/spreadsheets/d/1qpEmbGH0JjaJbUdp21-y2cPbobDbMjr09BbtdKROZWc/edit#gid=1444865654"",""articles_with_PRISMA_reasons!B2:B2113""))&lt;2),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$A1990=IMPORTRANGE(""https://docs.google.com/spreadsheets/d/1qpEmbGH0JjaJbUdp21-y2cPbobDbMjr09Bbtd"&amp;"KROZWc/edit#gid=1444865654"",""articles_with_PRISMA_reasons!B2:B2113""))&lt;2,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$A1990=I"&amp;"MPORTRANGE(""https://docs.google.com/spreadsheets/d/1qpEmbGH0JjaJbUdp21-y2cPbobDbMjr09BbtdKROZWc/edit#gid=1444865654"",""articles_with_PRISMA_reasons!B2:B2113""))&gt;=2),
""Exclude""
)"),"Include")</f>
        <v>Include</v>
      </c>
      <c r="F1990" s="5" t="str">
        <f>IFERROR(__xludf.DUMMYFUNCTION("IFS(
E1990=""Exclude"",""Exclude"",
AND(
COUNTIF(
IMPORTRANGE(""https://docs.google.com/spreadsheets/d/1kGrh75X1cNR1D7_FcY9zMnHP8iPO4M5RCRjy6nZY0TY/edit#gid=0"",""Table 1: Study characteristics!B4:B171""),A1990)&gt;0,
COUNTIF(Studies!$A$2:$A$85,FILTER(IMPORT"&amp;"RANGE(""https://docs.google.com/spreadsheets/d/1kGrh75X1cNR1D7_FcY9zMnHP8iPO4M5RCRjy6nZY0TY/edit#gid=0"",""Table 1: Study characteristics!A4:A171""), $A1990=IMPORTRANGE(""https://docs.google.com/spreadsheets/d/1kGrh75X1cNR1D7_FcY9zMnHP8iPO4M5RCRjy6nZY0TY/"&amp;"edit#gid=0"",""Table 1: Study characteristics!B4:B171"")))&gt;0
),
""Include""
)"),"Include")</f>
        <v>Include</v>
      </c>
      <c r="G1990" s="5" t="str">
        <f>IFERROR(__xludf.DUMMYFUNCTION("IFS(
D1990=""Exclude"",
FILTER(IMPORTRANGE(""https://docs.google.com/spreadsheets/d/1BJSV3WBYJGRhQ6zExamkszQ5VutGIcaQqmbD9ZTVXMQ/edit#gid=1251630045"",""articles_with_PRISMA_reasons!AB2:AB2113""), $A1990=IMPORTRANGE(""https://docs.google.com/spreadsheets/"&amp;"d/1BJSV3WBYJGRhQ6zExamkszQ5VutGIcaQqmbD9ZTVXMQ/edit#gid=1251630045"",""articles_with_PRISMA_reasons!B2:B2113"")),
E1990=""Exclude"",
FILTER(IMPORTRANGE(""https://docs.google.com/spreadsheets/d/1qpEmbGH0JjaJbUdp21-y2cPbobDbMjr09BbtdKROZWc/edit#gid=14448656"&amp;"54"",""articles_with_PRISMA_reasons!Z2:Z2113""), $A1990=IMPORTRANGE(""https://docs.google.com/spreadsheets/d/1qpEmbGH0JjaJbUdp21-y2cPbobDbMjr09BbtdKROZWc/edit#gid=1444865654"",""articles_with_PRISMA_reasons!B2:B2113"")),F1990
=""Include"",FILTER(IMPORTRAN"&amp;"GE(""https://docs.google.com/spreadsheets/d/1kGrh75X1cNR1D7_FcY9zMnHP8iPO4M5RCRjy6nZY0TY/edit#gid=0"",""Table 1: Study characteristics!A4:A171""), $A1990=IMPORTRANGE(""https://docs.google.com/spreadsheets/d/1kGrh75X1cNR1D7_FcY9zMnHP8iPO4M5RCRjy6nZY0TY/edi"&amp;"t#gid=0"",""Table 1: Study characteristics!B4:B171""))
)"),"ID 164")</f>
        <v>ID 164</v>
      </c>
    </row>
    <row r="1991">
      <c r="A1991" s="4" t="str">
        <f>IFERROR(__xludf.DUMMYFUNCTION("""COMPUTED_VALUE"""),"Transcranial Doppler: A noninvasive method to monitor hydrocephalus")</f>
        <v>Transcranial Doppler: A noninvasive method to monitor hydrocephalus</v>
      </c>
      <c r="B1991" s="5" t="str">
        <f>IFERROR(__xludf.DUMMYFUNCTION("LEFT(FILTER(IMPORTRANGE(""https://docs.google.com/spreadsheets/d/1BJSV3WBYJGRhQ6zExamkszQ5VutGIcaQqmbD9ZTVXMQ/edit#gid=1251630045"",""articles_with_PRISMA_reasons!K2:K2113""), $A1991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$A1991=IMPORTRANGE(""https://docs.google.com/spreadsheets/d/1BJSV3WBYJGRhQ6zExamkszQ5VutGIcaQqmbD9ZTVXMQ/edit#gid=1251630045"",""articles_with_PRISMA_reasons!B2:B2113"")))-1)"),"Norelle")</f>
        <v>Norelle</v>
      </c>
      <c r="C1991" s="6">
        <f>IFERROR(__xludf.DUMMYFUNCTION("FILTER(IMPORTRANGE(""https://docs.google.com/spreadsheets/d/1BJSV3WBYJGRhQ6zExamkszQ5VutGIcaQqmbD9ZTVXMQ/edit#gid=1251630045"",""articles_with_PRISMA_reasons!C2:C2113""), $A1991=IMPORTRANGE(""https://docs.google.com/spreadsheets/d/1BJSV3WBYJGRhQ6zExamkszQ"&amp;"5VutGIcaQqmbD9ZTVXMQ/edit#gid=1251630045"",""articles_with_PRISMA_reasons!B2:B2113""))"),1989.0)</f>
        <v>1989</v>
      </c>
      <c r="D1991" s="5" t="str">
        <f>IFERROR(__xludf.DUMMYFUNCTION("IFS(AND(
FILTER(IMPORTRANGE(""https://docs.google.com/spreadsheets/d/1BJSV3WBYJGRhQ6zExamkszQ5VutGIcaQqmbD9ZTVXMQ/edit#gid=1251630045"",""articles_with_PRISMA_reasons!Y2:Y2113""), $A1991=IMPORTRANGE(""https://docs.google.com/spreadsheets/d/1BJSV3WBYJGRhQ6"&amp;"zExamkszQ5VutGIcaQqmbD9ZTVXMQ/edit#gid=1251630045"",""articles_with_PRISMA_reasons!B2:B2113""))&gt;=2,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$A1991=IMPORTRANGE(""https://docs.google.com/spreadsheets/d/1BJSV3WBYJGRhQ6zExamkszQ5VutGIcaQqmbD9ZTVXMQ/edit#gid=1251630045"",""articles_with_PRISMA_reasons!B2:B2113""))&lt;2),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$A1991=IMPORTRANGE(""https://docs.google.com/spreadsheets/d/1BJSV3WBYJGRhQ6zExamkszQ5VutGIcaQqmbD9ZTVXMQ/edit#gid=1251630045"",""a"&amp;"rticles_with_PRISMA_reasons!B2:B2113""))&lt;2,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$A1991=IMPORTRANGE(""https://docs.google"&amp;".com/spreadsheets/d/1BJSV3WBYJGRhQ6zExamkszQ5VutGIcaQqmbD9ZTVXMQ/edit#gid=1251630045"",""articles_with_PRISMA_reasons!B2:B2113""))&gt;=2),
""Exclude""
)"),"Exclude")</f>
        <v>Exclude</v>
      </c>
      <c r="E1991" s="5" t="str">
        <f>IFERROR(__xludf.DUMMYFUNCTION("IFS(
D1991=""Exclude"",""Exclude"",
AND(
FILTER(IMPORTRANGE(""https://docs.google.com/spreadsheets/d/1qpEmbGH0JjaJbUdp21-y2cPbobDbMjr09BbtdKROZWc/edit#gid=1444865654"",""articles_with_PRISMA_reasons!W2:W2113""), $A1991=IMPORTRANGE(""https://docs.google.co"&amp;"m/spreadsheets/d/1qpEmbGH0JjaJbUdp21-y2cPbobDbMjr09BbtdKROZWc/edit#gid=1444865654"",""articles_with_PRISMA_reasons!B2:B2113""))&gt;=2,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$A1991=IMPORTRANGE(""https://docs.google.com/spreadsheets/d/1qpEmbGH0JjaJbUdp21-y2cPbobDbMjr09BbtdKROZWc/edit#gid=1444865654"",""articles_with_PRISMA_reasons!B2:B2113""))&lt;2),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$A1991=IMPORTRANGE(""https://docs.google.com/spreadsheets/d/1qpEmbGH0JjaJbUdp21-y2cPbobDbMjr09Bbtd"&amp;"KROZWc/edit#gid=1444865654"",""articles_with_PRISMA_reasons!B2:B2113""))&lt;2,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$A1991=I"&amp;"MPORTRANGE(""https://docs.google.com/spreadsheets/d/1qpEmbGH0JjaJbUdp21-y2cPbobDbMjr09BbtdKROZWc/edit#gid=1444865654"",""articles_with_PRISMA_reasons!B2:B2113""))&gt;=2),
""Exclude""
)"),"Exclude")</f>
        <v>Exclude</v>
      </c>
      <c r="F1991" s="5" t="str">
        <f>IFERROR(__xludf.DUMMYFUNCTION("IFS(
E1991=""Exclude"",""Exclude"",
AND(
COUNTIF(
IMPORTRANGE(""https://docs.google.com/spreadsheets/d/1kGrh75X1cNR1D7_FcY9zMnHP8iPO4M5RCRjy6nZY0TY/edit#gid=0"",""Table 1: Study characteristics!B4:B171""),A1991)&gt;0,
COUNTIF(Studies!$A$2:$A$85,FILTER(IMPORT"&amp;"RANGE(""https://docs.google.com/spreadsheets/d/1kGrh75X1cNR1D7_FcY9zMnHP8iPO4M5RCRjy6nZY0TY/edit#gid=0"",""Table 1: Study characteristics!A4:A171""), $A1991=IMPORTRANGE(""https://docs.google.com/spreadsheets/d/1kGrh75X1cNR1D7_FcY9zMnHP8iPO4M5RCRjy6nZY0TY/"&amp;"edit#gid=0"",""Table 1: Study characteristics!B4:B171"")))&gt;0
),
""Include""
)"),"Exclude")</f>
        <v>Exclude</v>
      </c>
      <c r="G1991" s="5" t="str">
        <f>IFERROR(__xludf.DUMMYFUNCTION("IFS(
D1991=""Exclude"",
FILTER(IMPORTRANGE(""https://docs.google.com/spreadsheets/d/1BJSV3WBYJGRhQ6zExamkszQ5VutGIcaQqmbD9ZTVXMQ/edit#gid=1251630045"",""articles_with_PRISMA_reasons!AB2:AB2113""), $A1991=IMPORTRANGE(""https://docs.google.com/spreadsheets/"&amp;"d/1BJSV3WBYJGRhQ6zExamkszQ5VutGIcaQqmbD9ZTVXMQ/edit#gid=1251630045"",""articles_with_PRISMA_reasons!B2:B2113"")),
E1991=""Exclude"",
FILTER(IMPORTRANGE(""https://docs.google.com/spreadsheets/d/1qpEmbGH0JjaJbUdp21-y2cPbobDbMjr09BbtdKROZWc/edit#gid=14448656"&amp;"54"",""articles_with_PRISMA_reasons!Z2:Z2113""), $A1991=IMPORTRANGE(""https://docs.google.com/spreadsheets/d/1qpEmbGH0JjaJbUdp21-y2cPbobDbMjr09BbtdKROZWc/edit#gid=1444865654"",""articles_with_PRISMA_reasons!B2:B2113"")),F1991
=""Include"",FILTER(IMPORTRAN"&amp;"GE(""https://docs.google.com/spreadsheets/d/1kGrh75X1cNR1D7_FcY9zMnHP8iPO4M5RCRjy6nZY0TY/edit#gid=0"",""Table 1: Study characteristics!A4:A171""), $A1991=IMPORTRANGE(""https://docs.google.com/spreadsheets/d/1kGrh75X1cNR1D7_FcY9zMnHP8iPO4M5RCRjy6nZY0TY/edi"&amp;"t#gid=0"",""Table 1: Study characteristics!B4:B171""))
)"),"wrong population")</f>
        <v>wrong population</v>
      </c>
    </row>
    <row r="1992">
      <c r="A1992" s="4" t="str">
        <f>IFERROR(__xludf.DUMMYFUNCTION("""COMPUTED_VALUE"""),"Transdiaphragmatic ventriculoperitoneal shunting: technical case report")</f>
        <v>Transdiaphragmatic ventriculoperitoneal shunting: technical case report</v>
      </c>
      <c r="B1992" s="5" t="str">
        <f>IFERROR(__xludf.DUMMYFUNCTION("LEFT(FILTER(IMPORTRANGE(""https://docs.google.com/spreadsheets/d/1BJSV3WBYJGRhQ6zExamkszQ5VutGIcaQqmbD9ZTVXMQ/edit#gid=1251630045"",""articles_with_PRISMA_reasons!K2:K2113""), $A1992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$A1992=IMPORTRANGE(""https://docs.google.com/spreadsheets/d/1BJSV3WBYJGRhQ6zExamkszQ5VutGIcaQqmbD9ZTVXMQ/edit#gid=1251630045"",""articles_with_PRISMA_reasons!B2:B2113"")))-1)"),"Rengachary")</f>
        <v>Rengachary</v>
      </c>
      <c r="C1992" s="6">
        <f>IFERROR(__xludf.DUMMYFUNCTION("FILTER(IMPORTRANGE(""https://docs.google.com/spreadsheets/d/1BJSV3WBYJGRhQ6zExamkszQ5VutGIcaQqmbD9ZTVXMQ/edit#gid=1251630045"",""articles_with_PRISMA_reasons!C2:C2113""), $A1992=IMPORTRANGE(""https://docs.google.com/spreadsheets/d/1BJSV3WBYJGRhQ6zExamkszQ"&amp;"5VutGIcaQqmbD9ZTVXMQ/edit#gid=1251630045"",""articles_with_PRISMA_reasons!B2:B2113""))"),1997.0)</f>
        <v>1997</v>
      </c>
      <c r="D1992" s="5" t="str">
        <f>IFERROR(__xludf.DUMMYFUNCTION("IFS(AND(
FILTER(IMPORTRANGE(""https://docs.google.com/spreadsheets/d/1BJSV3WBYJGRhQ6zExamkszQ5VutGIcaQqmbD9ZTVXMQ/edit#gid=1251630045"",""articles_with_PRISMA_reasons!Y2:Y2113""), $A1992=IMPORTRANGE(""https://docs.google.com/spreadsheets/d/1BJSV3WBYJGRhQ6"&amp;"zExamkszQ5VutGIcaQqmbD9ZTVXMQ/edit#gid=1251630045"",""articles_with_PRISMA_reasons!B2:B2113""))&gt;=2,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$A1992=IMPORTRANGE(""https://docs.google.com/spreadsheets/d/1BJSV3WBYJGRhQ6zExamkszQ5VutGIcaQqmbD9ZTVXMQ/edit#gid=1251630045"",""articles_with_PRISMA_reasons!B2:B2113""))&lt;2),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$A1992=IMPORTRANGE(""https://docs.google.com/spreadsheets/d/1BJSV3WBYJGRhQ6zExamkszQ5VutGIcaQqmbD9ZTVXMQ/edit#gid=1251630045"",""a"&amp;"rticles_with_PRISMA_reasons!B2:B2113""))&lt;2,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$A1992=IMPORTRANGE(""https://docs.google"&amp;".com/spreadsheets/d/1BJSV3WBYJGRhQ6zExamkszQ5VutGIcaQqmbD9ZTVXMQ/edit#gid=1251630045"",""articles_with_PRISMA_reasons!B2:B2113""))&gt;=2),
""Exclude""
)"),"Exclude")</f>
        <v>Exclude</v>
      </c>
      <c r="E1992" s="5" t="str">
        <f>IFERROR(__xludf.DUMMYFUNCTION("IFS(
D1992=""Exclude"",""Exclude"",
AND(
FILTER(IMPORTRANGE(""https://docs.google.com/spreadsheets/d/1qpEmbGH0JjaJbUdp21-y2cPbobDbMjr09BbtdKROZWc/edit#gid=1444865654"",""articles_with_PRISMA_reasons!W2:W2113""), $A1992=IMPORTRANGE(""https://docs.google.co"&amp;"m/spreadsheets/d/1qpEmbGH0JjaJbUdp21-y2cPbobDbMjr09BbtdKROZWc/edit#gid=1444865654"",""articles_with_PRISMA_reasons!B2:B2113""))&gt;=2,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$A1992=IMPORTRANGE(""https://docs.google.com/spreadsheets/d/1qpEmbGH0JjaJbUdp21-y2cPbobDbMjr09BbtdKROZWc/edit#gid=1444865654"",""articles_with_PRISMA_reasons!B2:B2113""))&lt;2),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$A1992=IMPORTRANGE(""https://docs.google.com/spreadsheets/d/1qpEmbGH0JjaJbUdp21-y2cPbobDbMjr09Bbtd"&amp;"KROZWc/edit#gid=1444865654"",""articles_with_PRISMA_reasons!B2:B2113""))&lt;2,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$A1992=I"&amp;"MPORTRANGE(""https://docs.google.com/spreadsheets/d/1qpEmbGH0JjaJbUdp21-y2cPbobDbMjr09BbtdKROZWc/edit#gid=1444865654"",""articles_with_PRISMA_reasons!B2:B2113""))&gt;=2),
""Exclude""
)"),"Exclude")</f>
        <v>Exclude</v>
      </c>
      <c r="F1992" s="5" t="str">
        <f>IFERROR(__xludf.DUMMYFUNCTION("IFS(
E1992=""Exclude"",""Exclude"",
AND(
COUNTIF(
IMPORTRANGE(""https://docs.google.com/spreadsheets/d/1kGrh75X1cNR1D7_FcY9zMnHP8iPO4M5RCRjy6nZY0TY/edit#gid=0"",""Table 1: Study characteristics!B4:B171""),A1992)&gt;0,
COUNTIF(Studies!$A$2:$A$85,FILTER(IMPORT"&amp;"RANGE(""https://docs.google.com/spreadsheets/d/1kGrh75X1cNR1D7_FcY9zMnHP8iPO4M5RCRjy6nZY0TY/edit#gid=0"",""Table 1: Study characteristics!A4:A171""), $A1992=IMPORTRANGE(""https://docs.google.com/spreadsheets/d/1kGrh75X1cNR1D7_FcY9zMnHP8iPO4M5RCRjy6nZY0TY/"&amp;"edit#gid=0"",""Table 1: Study characteristics!B4:B171"")))&gt;0
),
""Include""
)"),"Exclude")</f>
        <v>Exclude</v>
      </c>
      <c r="G1992" s="5" t="str">
        <f>IFERROR(__xludf.DUMMYFUNCTION("IFS(
D1992=""Exclude"",
FILTER(IMPORTRANGE(""https://docs.google.com/spreadsheets/d/1BJSV3WBYJGRhQ6zExamkszQ5VutGIcaQqmbD9ZTVXMQ/edit#gid=1251630045"",""articles_with_PRISMA_reasons!AB2:AB2113""), $A1992=IMPORTRANGE(""https://docs.google.com/spreadsheets/"&amp;"d/1BJSV3WBYJGRhQ6zExamkszQ5VutGIcaQqmbD9ZTVXMQ/edit#gid=1251630045"",""articles_with_PRISMA_reasons!B2:B2113"")),
E1992=""Exclude"",
FILTER(IMPORTRANGE(""https://docs.google.com/spreadsheets/d/1qpEmbGH0JjaJbUdp21-y2cPbobDbMjr09BbtdKROZWc/edit#gid=14448656"&amp;"54"",""articles_with_PRISMA_reasons!Z2:Z2113""), $A1992=IMPORTRANGE(""https://docs.google.com/spreadsheets/d/1qpEmbGH0JjaJbUdp21-y2cPbobDbMjr09BbtdKROZWc/edit#gid=1444865654"",""articles_with_PRISMA_reasons!B2:B2113"")),F1992
=""Include"",FILTER(IMPORTRAN"&amp;"GE(""https://docs.google.com/spreadsheets/d/1kGrh75X1cNR1D7_FcY9zMnHP8iPO4M5RCRjy6nZY0TY/edit#gid=0"",""Table 1: Study characteristics!A4:A171""), $A1992=IMPORTRANGE(""https://docs.google.com/spreadsheets/d/1kGrh75X1cNR1D7_FcY9zMnHP8iPO4M5RCRjy6nZY0TY/edi"&amp;"t#gid=0"",""Table 1: Study characteristics!B4:B171""))
)"),"wrong publication type")</f>
        <v>wrong publication type</v>
      </c>
    </row>
    <row r="1993">
      <c r="A1993" s="4" t="str">
        <f>IFERROR(__xludf.DUMMYFUNCTION("""COMPUTED_VALUE"""),"Transfusion-related acute lung injury (TRALI): A report of two pediatric cases")</f>
        <v>Transfusion-related acute lung injury (TRALI): A report of two pediatric cases</v>
      </c>
      <c r="B1993" s="5" t="str">
        <f>IFERROR(__xludf.DUMMYFUNCTION("LEFT(FILTER(IMPORTRANGE(""https://docs.google.com/spreadsheets/d/1BJSV3WBYJGRhQ6zExamkszQ5VutGIcaQqmbD9ZTVXMQ/edit#gid=1251630045"",""articles_with_PRISMA_reasons!K2:K2113""), $A1993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$A1993=IMPORTRANGE(""https://docs.google.com/spreadsheets/d/1BJSV3WBYJGRhQ6zExamkszQ5VutGIcaQqmbD9ZTVXMQ/edit#gid=1251630045"",""articles_with_PRISMA_reasons!B2:B2113"")))-1)"),"Yildirim")</f>
        <v>Yildirim</v>
      </c>
      <c r="C1993" s="6">
        <f>IFERROR(__xludf.DUMMYFUNCTION("FILTER(IMPORTRANGE(""https://docs.google.com/spreadsheets/d/1BJSV3WBYJGRhQ6zExamkszQ5VutGIcaQqmbD9ZTVXMQ/edit#gid=1251630045"",""articles_with_PRISMA_reasons!C2:C2113""), $A1993=IMPORTRANGE(""https://docs.google.com/spreadsheets/d/1BJSV3WBYJGRhQ6zExamkszQ"&amp;"5VutGIcaQqmbD9ZTVXMQ/edit#gid=1251630045"",""articles_with_PRISMA_reasons!B2:B2113""))"),2008.0)</f>
        <v>2008</v>
      </c>
      <c r="D1993" s="5" t="str">
        <f>IFERROR(__xludf.DUMMYFUNCTION("IFS(AND(
FILTER(IMPORTRANGE(""https://docs.google.com/spreadsheets/d/1BJSV3WBYJGRhQ6zExamkszQ5VutGIcaQqmbD9ZTVXMQ/edit#gid=1251630045"",""articles_with_PRISMA_reasons!Y2:Y2113""), $A1993=IMPORTRANGE(""https://docs.google.com/spreadsheets/d/1BJSV3WBYJGRhQ6"&amp;"zExamkszQ5VutGIcaQqmbD9ZTVXMQ/edit#gid=1251630045"",""articles_with_PRISMA_reasons!B2:B2113""))&gt;=2,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$A1993=IMPORTRANGE(""https://docs.google.com/spreadsheets/d/1BJSV3WBYJGRhQ6zExamkszQ5VutGIcaQqmbD9ZTVXMQ/edit#gid=1251630045"",""articles_with_PRISMA_reasons!B2:B2113""))&lt;2),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$A1993=IMPORTRANGE(""https://docs.google.com/spreadsheets/d/1BJSV3WBYJGRhQ6zExamkszQ5VutGIcaQqmbD9ZTVXMQ/edit#gid=1251630045"",""a"&amp;"rticles_with_PRISMA_reasons!B2:B2113""))&lt;2,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$A1993=IMPORTRANGE(""https://docs.google"&amp;".com/spreadsheets/d/1BJSV3WBYJGRhQ6zExamkszQ5VutGIcaQqmbD9ZTVXMQ/edit#gid=1251630045"",""articles_with_PRISMA_reasons!B2:B2113""))&gt;=2),
""Exclude""
)"),"Exclude")</f>
        <v>Exclude</v>
      </c>
      <c r="E1993" s="5" t="str">
        <f>IFERROR(__xludf.DUMMYFUNCTION("IFS(
D1993=""Exclude"",""Exclude"",
AND(
FILTER(IMPORTRANGE(""https://docs.google.com/spreadsheets/d/1qpEmbGH0JjaJbUdp21-y2cPbobDbMjr09BbtdKROZWc/edit#gid=1444865654"",""articles_with_PRISMA_reasons!W2:W2113""), $A1993=IMPORTRANGE(""https://docs.google.co"&amp;"m/spreadsheets/d/1qpEmbGH0JjaJbUdp21-y2cPbobDbMjr09BbtdKROZWc/edit#gid=1444865654"",""articles_with_PRISMA_reasons!B2:B2113""))&gt;=2,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$A1993=IMPORTRANGE(""https://docs.google.com/spreadsheets/d/1qpEmbGH0JjaJbUdp21-y2cPbobDbMjr09BbtdKROZWc/edit#gid=1444865654"",""articles_with_PRISMA_reasons!B2:B2113""))&lt;2),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$A1993=IMPORTRANGE(""https://docs.google.com/spreadsheets/d/1qpEmbGH0JjaJbUdp21-y2cPbobDbMjr09Bbtd"&amp;"KROZWc/edit#gid=1444865654"",""articles_with_PRISMA_reasons!B2:B2113""))&lt;2,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$A1993=I"&amp;"MPORTRANGE(""https://docs.google.com/spreadsheets/d/1qpEmbGH0JjaJbUdp21-y2cPbobDbMjr09BbtdKROZWc/edit#gid=1444865654"",""articles_with_PRISMA_reasons!B2:B2113""))&gt;=2),
""Exclude""
)"),"Exclude")</f>
        <v>Exclude</v>
      </c>
      <c r="F1993" s="5" t="str">
        <f>IFERROR(__xludf.DUMMYFUNCTION("IFS(
E1993=""Exclude"",""Exclude"",
AND(
COUNTIF(
IMPORTRANGE(""https://docs.google.com/spreadsheets/d/1kGrh75X1cNR1D7_FcY9zMnHP8iPO4M5RCRjy6nZY0TY/edit#gid=0"",""Table 1: Study characteristics!B4:B171""),A1993)&gt;0,
COUNTIF(Studies!$A$2:$A$85,FILTER(IMPORT"&amp;"RANGE(""https://docs.google.com/spreadsheets/d/1kGrh75X1cNR1D7_FcY9zMnHP8iPO4M5RCRjy6nZY0TY/edit#gid=0"",""Table 1: Study characteristics!A4:A171""), $A1993=IMPORTRANGE(""https://docs.google.com/spreadsheets/d/1kGrh75X1cNR1D7_FcY9zMnHP8iPO4M5RCRjy6nZY0TY/"&amp;"edit#gid=0"",""Table 1: Study characteristics!B4:B171"")))&gt;0
),
""Include""
)"),"Exclude")</f>
        <v>Exclude</v>
      </c>
      <c r="G1993" s="5" t="str">
        <f>IFERROR(__xludf.DUMMYFUNCTION("IFS(
D1993=""Exclude"",
FILTER(IMPORTRANGE(""https://docs.google.com/spreadsheets/d/1BJSV3WBYJGRhQ6zExamkszQ5VutGIcaQqmbD9ZTVXMQ/edit#gid=1251630045"",""articles_with_PRISMA_reasons!AB2:AB2113""), $A1993=IMPORTRANGE(""https://docs.google.com/spreadsheets/"&amp;"d/1BJSV3WBYJGRhQ6zExamkszQ5VutGIcaQqmbD9ZTVXMQ/edit#gid=1251630045"",""articles_with_PRISMA_reasons!B2:B2113"")),
E1993=""Exclude"",
FILTER(IMPORTRANGE(""https://docs.google.com/spreadsheets/d/1qpEmbGH0JjaJbUdp21-y2cPbobDbMjr09BbtdKROZWc/edit#gid=14448656"&amp;"54"",""articles_with_PRISMA_reasons!Z2:Z2113""), $A1993=IMPORTRANGE(""https://docs.google.com/spreadsheets/d/1qpEmbGH0JjaJbUdp21-y2cPbobDbMjr09BbtdKROZWc/edit#gid=1444865654"",""articles_with_PRISMA_reasons!B2:B2113"")),F1993
=""Include"",FILTER(IMPORTRAN"&amp;"GE(""https://docs.google.com/spreadsheets/d/1kGrh75X1cNR1D7_FcY9zMnHP8iPO4M5RCRjy6nZY0TY/edit#gid=0"",""Table 1: Study characteristics!A4:A171""), $A1993=IMPORTRANGE(""https://docs.google.com/spreadsheets/d/1kGrh75X1cNR1D7_FcY9zMnHP8iPO4M5RCRjy6nZY0TY/edi"&amp;"t#gid=0"",""Table 1: Study characteristics!B4:B171""))
)"),"wrong study design")</f>
        <v>wrong study design</v>
      </c>
    </row>
    <row r="1994">
      <c r="A1994" s="4" t="str">
        <f>IFERROR(__xludf.DUMMYFUNCTION("""COMPUTED_VALUE"""),"Transient ventriculomegaly in a child presenting with hypernatremia. Case report")</f>
        <v>Transient ventriculomegaly in a child presenting with hypernatremia. Case report</v>
      </c>
      <c r="B1994" s="5" t="str">
        <f>IFERROR(__xludf.DUMMYFUNCTION("LEFT(FILTER(IMPORTRANGE(""https://docs.google.com/spreadsheets/d/1BJSV3WBYJGRhQ6zExamkszQ5VutGIcaQqmbD9ZTVXMQ/edit#gid=1251630045"",""articles_with_PRISMA_reasons!K2:K2113""), $A1994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$A1994=IMPORTRANGE(""https://docs.google.com/spreadsheets/d/1BJSV3WBYJGRhQ6zExamkszQ5VutGIcaQqmbD9ZTVXMQ/edit#gid=1251630045"",""articles_with_PRISMA_reasons!B2:B2113"")))-1)"),"Fahrbach")</f>
        <v>Fahrbach</v>
      </c>
      <c r="C1994" s="6">
        <f>IFERROR(__xludf.DUMMYFUNCTION("FILTER(IMPORTRANGE(""https://docs.google.com/spreadsheets/d/1BJSV3WBYJGRhQ6zExamkszQ5VutGIcaQqmbD9ZTVXMQ/edit#gid=1251630045"",""articles_with_PRISMA_reasons!C2:C2113""), $A1994=IMPORTRANGE(""https://docs.google.com/spreadsheets/d/1BJSV3WBYJGRhQ6zExamkszQ"&amp;"5VutGIcaQqmbD9ZTVXMQ/edit#gid=1251630045"",""articles_with_PRISMA_reasons!B2:B2113""))"),2006.0)</f>
        <v>2006</v>
      </c>
      <c r="D1994" s="5" t="str">
        <f>IFERROR(__xludf.DUMMYFUNCTION("IFS(AND(
FILTER(IMPORTRANGE(""https://docs.google.com/spreadsheets/d/1BJSV3WBYJGRhQ6zExamkszQ5VutGIcaQqmbD9ZTVXMQ/edit#gid=1251630045"",""articles_with_PRISMA_reasons!Y2:Y2113""), $A1994=IMPORTRANGE(""https://docs.google.com/spreadsheets/d/1BJSV3WBYJGRhQ6"&amp;"zExamkszQ5VutGIcaQqmbD9ZTVXMQ/edit#gid=1251630045"",""articles_with_PRISMA_reasons!B2:B2113""))&gt;=2,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$A1994=IMPORTRANGE(""https://docs.google.com/spreadsheets/d/1BJSV3WBYJGRhQ6zExamkszQ5VutGIcaQqmbD9ZTVXMQ/edit#gid=1251630045"",""articles_with_PRISMA_reasons!B2:B2113""))&lt;2),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$A1994=IMPORTRANGE(""https://docs.google.com/spreadsheets/d/1BJSV3WBYJGRhQ6zExamkszQ5VutGIcaQqmbD9ZTVXMQ/edit#gid=1251630045"",""a"&amp;"rticles_with_PRISMA_reasons!B2:B2113""))&lt;2,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$A1994=IMPORTRANGE(""https://docs.google"&amp;".com/spreadsheets/d/1BJSV3WBYJGRhQ6zExamkszQ5VutGIcaQqmbD9ZTVXMQ/edit#gid=1251630045"",""articles_with_PRISMA_reasons!B2:B2113""))&gt;=2),
""Exclude""
)"),"Exclude")</f>
        <v>Exclude</v>
      </c>
      <c r="E1994" s="5" t="str">
        <f>IFERROR(__xludf.DUMMYFUNCTION("IFS(
D1994=""Exclude"",""Exclude"",
AND(
FILTER(IMPORTRANGE(""https://docs.google.com/spreadsheets/d/1qpEmbGH0JjaJbUdp21-y2cPbobDbMjr09BbtdKROZWc/edit#gid=1444865654"",""articles_with_PRISMA_reasons!W2:W2113""), $A1994=IMPORTRANGE(""https://docs.google.co"&amp;"m/spreadsheets/d/1qpEmbGH0JjaJbUdp21-y2cPbobDbMjr09BbtdKROZWc/edit#gid=1444865654"",""articles_with_PRISMA_reasons!B2:B2113""))&gt;=2,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$A1994=IMPORTRANGE(""https://docs.google.com/spreadsheets/d/1qpEmbGH0JjaJbUdp21-y2cPbobDbMjr09BbtdKROZWc/edit#gid=1444865654"",""articles_with_PRISMA_reasons!B2:B2113""))&lt;2),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$A1994=IMPORTRANGE(""https://docs.google.com/spreadsheets/d/1qpEmbGH0JjaJbUdp21-y2cPbobDbMjr09Bbtd"&amp;"KROZWc/edit#gid=1444865654"",""articles_with_PRISMA_reasons!B2:B2113""))&lt;2,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$A1994=I"&amp;"MPORTRANGE(""https://docs.google.com/spreadsheets/d/1qpEmbGH0JjaJbUdp21-y2cPbobDbMjr09BbtdKROZWc/edit#gid=1444865654"",""articles_with_PRISMA_reasons!B2:B2113""))&gt;=2),
""Exclude""
)"),"Exclude")</f>
        <v>Exclude</v>
      </c>
      <c r="F1994" s="5" t="str">
        <f>IFERROR(__xludf.DUMMYFUNCTION("IFS(
E1994=""Exclude"",""Exclude"",
AND(
COUNTIF(
IMPORTRANGE(""https://docs.google.com/spreadsheets/d/1kGrh75X1cNR1D7_FcY9zMnHP8iPO4M5RCRjy6nZY0TY/edit#gid=0"",""Table 1: Study characteristics!B4:B171""),A1994)&gt;0,
COUNTIF(Studies!$A$2:$A$85,FILTER(IMPORT"&amp;"RANGE(""https://docs.google.com/spreadsheets/d/1kGrh75X1cNR1D7_FcY9zMnHP8iPO4M5RCRjy6nZY0TY/edit#gid=0"",""Table 1: Study characteristics!A4:A171""), $A1994=IMPORTRANGE(""https://docs.google.com/spreadsheets/d/1kGrh75X1cNR1D7_FcY9zMnHP8iPO4M5RCRjy6nZY0TY/"&amp;"edit#gid=0"",""Table 1: Study characteristics!B4:B171"")))&gt;0
),
""Include""
)"),"Exclude")</f>
        <v>Exclude</v>
      </c>
      <c r="G1994" s="5" t="str">
        <f>IFERROR(__xludf.DUMMYFUNCTION("IFS(
D1994=""Exclude"",
FILTER(IMPORTRANGE(""https://docs.google.com/spreadsheets/d/1BJSV3WBYJGRhQ6zExamkszQ5VutGIcaQqmbD9ZTVXMQ/edit#gid=1251630045"",""articles_with_PRISMA_reasons!AB2:AB2113""), $A1994=IMPORTRANGE(""https://docs.google.com/spreadsheets/"&amp;"d/1BJSV3WBYJGRhQ6zExamkszQ5VutGIcaQqmbD9ZTVXMQ/edit#gid=1251630045"",""articles_with_PRISMA_reasons!B2:B2113"")),
E1994=""Exclude"",
FILTER(IMPORTRANGE(""https://docs.google.com/spreadsheets/d/1qpEmbGH0JjaJbUdp21-y2cPbobDbMjr09BbtdKROZWc/edit#gid=14448656"&amp;"54"",""articles_with_PRISMA_reasons!Z2:Z2113""), $A1994=IMPORTRANGE(""https://docs.google.com/spreadsheets/d/1qpEmbGH0JjaJbUdp21-y2cPbobDbMjr09BbtdKROZWc/edit#gid=1444865654"",""articles_with_PRISMA_reasons!B2:B2113"")),F1994
=""Include"",FILTER(IMPORTRAN"&amp;"GE(""https://docs.google.com/spreadsheets/d/1kGrh75X1cNR1D7_FcY9zMnHP8iPO4M5RCRjy6nZY0TY/edit#gid=0"",""Table 1: Study characteristics!A4:A171""), $A1994=IMPORTRANGE(""https://docs.google.com/spreadsheets/d/1kGrh75X1cNR1D7_FcY9zMnHP8iPO4M5RCRjy6nZY0TY/edi"&amp;"t#gid=0"",""Table 1: Study characteristics!B4:B171""))
)"),"wrong publication type")</f>
        <v>wrong publication type</v>
      </c>
    </row>
    <row r="1995">
      <c r="A1995" s="4" t="str">
        <f>IFERROR(__xludf.DUMMYFUNCTION("""COMPUTED_VALUE"""),"Transient ventriculomegaly in an adolescent presenting with shunted hydrocephalus, diabetic ketoacidosis, and hyperglycemia")</f>
        <v>Transient ventriculomegaly in an adolescent presenting with shunted hydrocephalus, diabetic ketoacidosis, and hyperglycemia</v>
      </c>
      <c r="B1995" s="5" t="str">
        <f>IFERROR(__xludf.DUMMYFUNCTION("LEFT(FILTER(IMPORTRANGE(""https://docs.google.com/spreadsheets/d/1BJSV3WBYJGRhQ6zExamkszQ5VutGIcaQqmbD9ZTVXMQ/edit#gid=1251630045"",""articles_with_PRISMA_reasons!K2:K2113""), $A1995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$A1995=IMPORTRANGE(""https://docs.google.com/spreadsheets/d/1BJSV3WBYJGRhQ6zExamkszQ5VutGIcaQqmbD9ZTVXMQ/edit#gid=1251630045"",""articles_with_PRISMA_reasons!B2:B2113"")))-1)"),"Gruber")</f>
        <v>Gruber</v>
      </c>
      <c r="C1995" s="6">
        <f>IFERROR(__xludf.DUMMYFUNCTION("FILTER(IMPORTRANGE(""https://docs.google.com/spreadsheets/d/1BJSV3WBYJGRhQ6zExamkszQ5VutGIcaQqmbD9ZTVXMQ/edit#gid=1251630045"",""articles_with_PRISMA_reasons!C2:C2113""), $A1995=IMPORTRANGE(""https://docs.google.com/spreadsheets/d/1BJSV3WBYJGRhQ6zExamkszQ"&amp;"5VutGIcaQqmbD9ZTVXMQ/edit#gid=1251630045"",""articles_with_PRISMA_reasons!B2:B2113""))"),2008.0)</f>
        <v>2008</v>
      </c>
      <c r="D1995" s="5" t="str">
        <f>IFERROR(__xludf.DUMMYFUNCTION("IFS(AND(
FILTER(IMPORTRANGE(""https://docs.google.com/spreadsheets/d/1BJSV3WBYJGRhQ6zExamkszQ5VutGIcaQqmbD9ZTVXMQ/edit#gid=1251630045"",""articles_with_PRISMA_reasons!Y2:Y2113""), $A1995=IMPORTRANGE(""https://docs.google.com/spreadsheets/d/1BJSV3WBYJGRhQ6"&amp;"zExamkszQ5VutGIcaQqmbD9ZTVXMQ/edit#gid=1251630045"",""articles_with_PRISMA_reasons!B2:B2113""))&gt;=2,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$A1995=IMPORTRANGE(""https://docs.google.com/spreadsheets/d/1BJSV3WBYJGRhQ6zExamkszQ5VutGIcaQqmbD9ZTVXMQ/edit#gid=1251630045"",""articles_with_PRISMA_reasons!B2:B2113""))&lt;2),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$A1995=IMPORTRANGE(""https://docs.google.com/spreadsheets/d/1BJSV3WBYJGRhQ6zExamkszQ5VutGIcaQqmbD9ZTVXMQ/edit#gid=1251630045"",""a"&amp;"rticles_with_PRISMA_reasons!B2:B2113""))&lt;2,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$A1995=IMPORTRANGE(""https://docs.google"&amp;".com/spreadsheets/d/1BJSV3WBYJGRhQ6zExamkszQ5VutGIcaQqmbD9ZTVXMQ/edit#gid=1251630045"",""articles_with_PRISMA_reasons!B2:B2113""))&gt;=2),
""Exclude""
)"),"Exclude")</f>
        <v>Exclude</v>
      </c>
      <c r="E1995" s="5" t="str">
        <f>IFERROR(__xludf.DUMMYFUNCTION("IFS(
D1995=""Exclude"",""Exclude"",
AND(
FILTER(IMPORTRANGE(""https://docs.google.com/spreadsheets/d/1qpEmbGH0JjaJbUdp21-y2cPbobDbMjr09BbtdKROZWc/edit#gid=1444865654"",""articles_with_PRISMA_reasons!W2:W2113""), $A1995=IMPORTRANGE(""https://docs.google.co"&amp;"m/spreadsheets/d/1qpEmbGH0JjaJbUdp21-y2cPbobDbMjr09BbtdKROZWc/edit#gid=1444865654"",""articles_with_PRISMA_reasons!B2:B2113""))&gt;=2,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$A1995=IMPORTRANGE(""https://docs.google.com/spreadsheets/d/1qpEmbGH0JjaJbUdp21-y2cPbobDbMjr09BbtdKROZWc/edit#gid=1444865654"",""articles_with_PRISMA_reasons!B2:B2113""))&lt;2),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$A1995=IMPORTRANGE(""https://docs.google.com/spreadsheets/d/1qpEmbGH0JjaJbUdp21-y2cPbobDbMjr09Bbtd"&amp;"KROZWc/edit#gid=1444865654"",""articles_with_PRISMA_reasons!B2:B2113""))&lt;2,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$A1995=I"&amp;"MPORTRANGE(""https://docs.google.com/spreadsheets/d/1qpEmbGH0JjaJbUdp21-y2cPbobDbMjr09BbtdKROZWc/edit#gid=1444865654"",""articles_with_PRISMA_reasons!B2:B2113""))&gt;=2),
""Exclude""
)"),"Exclude")</f>
        <v>Exclude</v>
      </c>
      <c r="F1995" s="5" t="str">
        <f>IFERROR(__xludf.DUMMYFUNCTION("IFS(
E1995=""Exclude"",""Exclude"",
AND(
COUNTIF(
IMPORTRANGE(""https://docs.google.com/spreadsheets/d/1kGrh75X1cNR1D7_FcY9zMnHP8iPO4M5RCRjy6nZY0TY/edit#gid=0"",""Table 1: Study characteristics!B4:B171""),A1995)&gt;0,
COUNTIF(Studies!$A$2:$A$85,FILTER(IMPORT"&amp;"RANGE(""https://docs.google.com/spreadsheets/d/1kGrh75X1cNR1D7_FcY9zMnHP8iPO4M5RCRjy6nZY0TY/edit#gid=0"",""Table 1: Study characteristics!A4:A171""), $A1995=IMPORTRANGE(""https://docs.google.com/spreadsheets/d/1kGrh75X1cNR1D7_FcY9zMnHP8iPO4M5RCRjy6nZY0TY/"&amp;"edit#gid=0"",""Table 1: Study characteristics!B4:B171"")))&gt;0
),
""Include""
)"),"Exclude")</f>
        <v>Exclude</v>
      </c>
      <c r="G1995" s="5" t="str">
        <f>IFERROR(__xludf.DUMMYFUNCTION("IFS(
D1995=""Exclude"",
FILTER(IMPORTRANGE(""https://docs.google.com/spreadsheets/d/1BJSV3WBYJGRhQ6zExamkszQ5VutGIcaQqmbD9ZTVXMQ/edit#gid=1251630045"",""articles_with_PRISMA_reasons!AB2:AB2113""), $A1995=IMPORTRANGE(""https://docs.google.com/spreadsheets/"&amp;"d/1BJSV3WBYJGRhQ6zExamkszQ5VutGIcaQqmbD9ZTVXMQ/edit#gid=1251630045"",""articles_with_PRISMA_reasons!B2:B2113"")),
E1995=""Exclude"",
FILTER(IMPORTRANGE(""https://docs.google.com/spreadsheets/d/1qpEmbGH0JjaJbUdp21-y2cPbobDbMjr09BbtdKROZWc/edit#gid=14448656"&amp;"54"",""articles_with_PRISMA_reasons!Z2:Z2113""), $A1995=IMPORTRANGE(""https://docs.google.com/spreadsheets/d/1qpEmbGH0JjaJbUdp21-y2cPbobDbMjr09BbtdKROZWc/edit#gid=1444865654"",""articles_with_PRISMA_reasons!B2:B2113"")),F1995
=""Include"",FILTER(IMPORTRAN"&amp;"GE(""https://docs.google.com/spreadsheets/d/1kGrh75X1cNR1D7_FcY9zMnHP8iPO4M5RCRjy6nZY0TY/edit#gid=0"",""Table 1: Study characteristics!A4:A171""), $A1995=IMPORTRANGE(""https://docs.google.com/spreadsheets/d/1kGrh75X1cNR1D7_FcY9zMnHP8iPO4M5RCRjy6nZY0TY/edi"&amp;"t#gid=0"",""Table 1: Study characteristics!B4:B171""))
)"),"wrong study design")</f>
        <v>wrong study design</v>
      </c>
    </row>
    <row r="1996">
      <c r="A1996" s="4" t="str">
        <f>IFERROR(__xludf.DUMMYFUNCTION("""COMPUTED_VALUE"""),"Transient ventriculoperitoneal shunt dysfunction in children with myelodysplasia and urinary bladder infection. Report of three cases")</f>
        <v>Transient ventriculoperitoneal shunt dysfunction in children with myelodysplasia and urinary bladder infection. Report of three cases</v>
      </c>
      <c r="B1996" s="5" t="str">
        <f>IFERROR(__xludf.DUMMYFUNCTION("LEFT(FILTER(IMPORTRANGE(""https://docs.google.com/spreadsheets/d/1BJSV3WBYJGRhQ6zExamkszQ5VutGIcaQqmbD9ZTVXMQ/edit#gid=1251630045"",""articles_with_PRISMA_reasons!K2:K2113""), $A1996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$A1996=IMPORTRANGE(""https://docs.google.com/spreadsheets/d/1BJSV3WBYJGRhQ6zExamkszQ5VutGIcaQqmbD9ZTVXMQ/edit#gid=1251630045"",""articles_with_PRISMA_reasons!B2:B2113"")))-1)"),"Tubbs")</f>
        <v>Tubbs</v>
      </c>
      <c r="C1996" s="6">
        <f>IFERROR(__xludf.DUMMYFUNCTION("FILTER(IMPORTRANGE(""https://docs.google.com/spreadsheets/d/1BJSV3WBYJGRhQ6zExamkszQ5VutGIcaQqmbD9ZTVXMQ/edit#gid=1251630045"",""articles_with_PRISMA_reasons!C2:C2113""), $A1996=IMPORTRANGE(""https://docs.google.com/spreadsheets/d/1BJSV3WBYJGRhQ6zExamkszQ"&amp;"5VutGIcaQqmbD9ZTVXMQ/edit#gid=1251630045"",""articles_with_PRISMA_reasons!B2:B2113""))"),2005.0)</f>
        <v>2005</v>
      </c>
      <c r="D1996" s="5" t="str">
        <f>IFERROR(__xludf.DUMMYFUNCTION("IFS(AND(
FILTER(IMPORTRANGE(""https://docs.google.com/spreadsheets/d/1BJSV3WBYJGRhQ6zExamkszQ5VutGIcaQqmbD9ZTVXMQ/edit#gid=1251630045"",""articles_with_PRISMA_reasons!Y2:Y2113""), $A1996=IMPORTRANGE(""https://docs.google.com/spreadsheets/d/1BJSV3WBYJGRhQ6"&amp;"zExamkszQ5VutGIcaQqmbD9ZTVXMQ/edit#gid=1251630045"",""articles_with_PRISMA_reasons!B2:B2113""))&gt;=2,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$A1996=IMPORTRANGE(""https://docs.google.com/spreadsheets/d/1BJSV3WBYJGRhQ6zExamkszQ5VutGIcaQqmbD9ZTVXMQ/edit#gid=1251630045"",""articles_with_PRISMA_reasons!B2:B2113""))&lt;2),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$A1996=IMPORTRANGE(""https://docs.google.com/spreadsheets/d/1BJSV3WBYJGRhQ6zExamkszQ5VutGIcaQqmbD9ZTVXMQ/edit#gid=1251630045"",""a"&amp;"rticles_with_PRISMA_reasons!B2:B2113""))&lt;2,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$A1996=IMPORTRANGE(""https://docs.google"&amp;".com/spreadsheets/d/1BJSV3WBYJGRhQ6zExamkszQ5VutGIcaQqmbD9ZTVXMQ/edit#gid=1251630045"",""articles_with_PRISMA_reasons!B2:B2113""))&gt;=2),
""Exclude""
)"),"Include")</f>
        <v>Include</v>
      </c>
      <c r="E1996" s="5" t="str">
        <f>IFERROR(__xludf.DUMMYFUNCTION("IFS(
D1996=""Exclude"",""Exclude"",
AND(
FILTER(IMPORTRANGE(""https://docs.google.com/spreadsheets/d/1qpEmbGH0JjaJbUdp21-y2cPbobDbMjr09BbtdKROZWc/edit#gid=1444865654"",""articles_with_PRISMA_reasons!W2:W2113""), $A1996=IMPORTRANGE(""https://docs.google.co"&amp;"m/spreadsheets/d/1qpEmbGH0JjaJbUdp21-y2cPbobDbMjr09BbtdKROZWc/edit#gid=1444865654"",""articles_with_PRISMA_reasons!B2:B2113""))&gt;=2,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$A1996=IMPORTRANGE(""https://docs.google.com/spreadsheets/d/1qpEmbGH0JjaJbUdp21-y2cPbobDbMjr09BbtdKROZWc/edit#gid=1444865654"",""articles_with_PRISMA_reasons!B2:B2113""))&lt;2),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$A1996=IMPORTRANGE(""https://docs.google.com/spreadsheets/d/1qpEmbGH0JjaJbUdp21-y2cPbobDbMjr09Bbtd"&amp;"KROZWc/edit#gid=1444865654"",""articles_with_PRISMA_reasons!B2:B2113""))&lt;2,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$A1996=I"&amp;"MPORTRANGE(""https://docs.google.com/spreadsheets/d/1qpEmbGH0JjaJbUdp21-y2cPbobDbMjr09BbtdKROZWc/edit#gid=1444865654"",""articles_with_PRISMA_reasons!B2:B2113""))&gt;=2),
""Exclude""
)"),"Exclude")</f>
        <v>Exclude</v>
      </c>
      <c r="F1996" s="5" t="str">
        <f>IFERROR(__xludf.DUMMYFUNCTION("IFS(
E1996=""Exclude"",""Exclude"",
AND(
COUNTIF(
IMPORTRANGE(""https://docs.google.com/spreadsheets/d/1kGrh75X1cNR1D7_FcY9zMnHP8iPO4M5RCRjy6nZY0TY/edit#gid=0"",""Table 1: Study characteristics!B4:B171""),A1996)&gt;0,
COUNTIF(Studies!$A$2:$A$85,FILTER(IMPORT"&amp;"RANGE(""https://docs.google.com/spreadsheets/d/1kGrh75X1cNR1D7_FcY9zMnHP8iPO4M5RCRjy6nZY0TY/edit#gid=0"",""Table 1: Study characteristics!A4:A171""), $A1996=IMPORTRANGE(""https://docs.google.com/spreadsheets/d/1kGrh75X1cNR1D7_FcY9zMnHP8iPO4M5RCRjy6nZY0TY/"&amp;"edit#gid=0"",""Table 1: Study characteristics!B4:B171"")))&gt;0
),
""Include""
)"),"Exclude")</f>
        <v>Exclude</v>
      </c>
      <c r="G1996" s="5" t="str">
        <f>IFERROR(__xludf.DUMMYFUNCTION("IFS(
D1996=""Exclude"",
FILTER(IMPORTRANGE(""https://docs.google.com/spreadsheets/d/1BJSV3WBYJGRhQ6zExamkszQ5VutGIcaQqmbD9ZTVXMQ/edit#gid=1251630045"",""articles_with_PRISMA_reasons!AB2:AB2113""), $A1996=IMPORTRANGE(""https://docs.google.com/spreadsheets/"&amp;"d/1BJSV3WBYJGRhQ6zExamkszQ5VutGIcaQqmbD9ZTVXMQ/edit#gid=1251630045"",""articles_with_PRISMA_reasons!B2:B2113"")),
E1996=""Exclude"",
FILTER(IMPORTRANGE(""https://docs.google.com/spreadsheets/d/1qpEmbGH0JjaJbUdp21-y2cPbobDbMjr09BbtdKROZWc/edit#gid=14448656"&amp;"54"",""articles_with_PRISMA_reasons!Z2:Z2113""), $A1996=IMPORTRANGE(""https://docs.google.com/spreadsheets/d/1qpEmbGH0JjaJbUdp21-y2cPbobDbMjr09BbtdKROZWc/edit#gid=1444865654"",""articles_with_PRISMA_reasons!B2:B2113"")),F1996
=""Include"",FILTER(IMPORTRAN"&amp;"GE(""https://docs.google.com/spreadsheets/d/1kGrh75X1cNR1D7_FcY9zMnHP8iPO4M5RCRjy6nZY0TY/edit#gid=0"",""Table 1: Study characteristics!A4:A171""), $A1996=IMPORTRANGE(""https://docs.google.com/spreadsheets/d/1kGrh75X1cNR1D7_FcY9zMnHP8iPO4M5RCRjy6nZY0TY/edi"&amp;"t#gid=0"",""Table 1: Study characteristics!B4:B171""))
)"),"wrong population")</f>
        <v>wrong population</v>
      </c>
    </row>
    <row r="1997">
      <c r="A1997" s="4" t="str">
        <f>IFERROR(__xludf.DUMMYFUNCTION("""COMPUTED_VALUE"""),"Transitional care in pediatric neurosurgical patients")</f>
        <v>Transitional care in pediatric neurosurgical patients</v>
      </c>
      <c r="B1997" s="5" t="str">
        <f>IFERROR(__xludf.DUMMYFUNCTION("LEFT(FILTER(IMPORTRANGE(""https://docs.google.com/spreadsheets/d/1BJSV3WBYJGRhQ6zExamkszQ5VutGIcaQqmbD9ZTVXMQ/edit#gid=1251630045"",""articles_with_PRISMA_reasons!K2:K2113""), $A1997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$A1997=IMPORTRANGE(""https://docs.google.com/spreadsheets/d/1BJSV3WBYJGRhQ6zExamkszQ5VutGIcaQqmbD9ZTVXMQ/edit#gid=1251630045"",""articles_with_PRISMA_reasons!B2:B2113"")))-1)"),"Rothstein")</f>
        <v>Rothstein</v>
      </c>
      <c r="C1997" s="6">
        <f>IFERROR(__xludf.DUMMYFUNCTION("FILTER(IMPORTRANGE(""https://docs.google.com/spreadsheets/d/1BJSV3WBYJGRhQ6zExamkszQ5VutGIcaQqmbD9ZTVXMQ/edit#gid=1251630045"",""articles_with_PRISMA_reasons!C2:C2113""), $A1997=IMPORTRANGE(""https://docs.google.com/spreadsheets/d/1BJSV3WBYJGRhQ6zExamkszQ"&amp;"5VutGIcaQqmbD9ZTVXMQ/edit#gid=1251630045"",""articles_with_PRISMA_reasons!B2:B2113""))"),2015.0)</f>
        <v>2015</v>
      </c>
      <c r="D1997" s="5" t="str">
        <f>IFERROR(__xludf.DUMMYFUNCTION("IFS(AND(
FILTER(IMPORTRANGE(""https://docs.google.com/spreadsheets/d/1BJSV3WBYJGRhQ6zExamkszQ5VutGIcaQqmbD9ZTVXMQ/edit#gid=1251630045"",""articles_with_PRISMA_reasons!Y2:Y2113""), $A1997=IMPORTRANGE(""https://docs.google.com/spreadsheets/d/1BJSV3WBYJGRhQ6"&amp;"zExamkszQ5VutGIcaQqmbD9ZTVXMQ/edit#gid=1251630045"",""articles_with_PRISMA_reasons!B2:B2113""))&gt;=2,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$A1997=IMPORTRANGE(""https://docs.google.com/spreadsheets/d/1BJSV3WBYJGRhQ6zExamkszQ5VutGIcaQqmbD9ZTVXMQ/edit#gid=1251630045"",""articles_with_PRISMA_reasons!B2:B2113""))&lt;2),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$A1997=IMPORTRANGE(""https://docs.google.com/spreadsheets/d/1BJSV3WBYJGRhQ6zExamkszQ5VutGIcaQqmbD9ZTVXMQ/edit#gid=1251630045"",""a"&amp;"rticles_with_PRISMA_reasons!B2:B2113""))&lt;2,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$A1997=IMPORTRANGE(""https://docs.google"&amp;".com/spreadsheets/d/1BJSV3WBYJGRhQ6zExamkszQ5VutGIcaQqmbD9ZTVXMQ/edit#gid=1251630045"",""articles_with_PRISMA_reasons!B2:B2113""))&gt;=2),
""Exclude""
)"),"Exclude")</f>
        <v>Exclude</v>
      </c>
      <c r="E1997" s="5" t="str">
        <f>IFERROR(__xludf.DUMMYFUNCTION("IFS(
D1997=""Exclude"",""Exclude"",
AND(
FILTER(IMPORTRANGE(""https://docs.google.com/spreadsheets/d/1qpEmbGH0JjaJbUdp21-y2cPbobDbMjr09BbtdKROZWc/edit#gid=1444865654"",""articles_with_PRISMA_reasons!W2:W2113""), $A1997=IMPORTRANGE(""https://docs.google.co"&amp;"m/spreadsheets/d/1qpEmbGH0JjaJbUdp21-y2cPbobDbMjr09BbtdKROZWc/edit#gid=1444865654"",""articles_with_PRISMA_reasons!B2:B2113""))&gt;=2,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$A1997=IMPORTRANGE(""https://docs.google.com/spreadsheets/d/1qpEmbGH0JjaJbUdp21-y2cPbobDbMjr09BbtdKROZWc/edit#gid=1444865654"",""articles_with_PRISMA_reasons!B2:B2113""))&lt;2),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$A1997=IMPORTRANGE(""https://docs.google.com/spreadsheets/d/1qpEmbGH0JjaJbUdp21-y2cPbobDbMjr09Bbtd"&amp;"KROZWc/edit#gid=1444865654"",""articles_with_PRISMA_reasons!B2:B2113""))&lt;2,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$A1997=I"&amp;"MPORTRANGE(""https://docs.google.com/spreadsheets/d/1qpEmbGH0JjaJbUdp21-y2cPbobDbMjr09BbtdKROZWc/edit#gid=1444865654"",""articles_with_PRISMA_reasons!B2:B2113""))&gt;=2),
""Exclude""
)"),"Exclude")</f>
        <v>Exclude</v>
      </c>
      <c r="F1997" s="5" t="str">
        <f>IFERROR(__xludf.DUMMYFUNCTION("IFS(
E1997=""Exclude"",""Exclude"",
AND(
COUNTIF(
IMPORTRANGE(""https://docs.google.com/spreadsheets/d/1kGrh75X1cNR1D7_FcY9zMnHP8iPO4M5RCRjy6nZY0TY/edit#gid=0"",""Table 1: Study characteristics!B4:B171""),A1997)&gt;0,
COUNTIF(Studies!$A$2:$A$85,FILTER(IMPORT"&amp;"RANGE(""https://docs.google.com/spreadsheets/d/1kGrh75X1cNR1D7_FcY9zMnHP8iPO4M5RCRjy6nZY0TY/edit#gid=0"",""Table 1: Study characteristics!A4:A171""), $A1997=IMPORTRANGE(""https://docs.google.com/spreadsheets/d/1kGrh75X1cNR1D7_FcY9zMnHP8iPO4M5RCRjy6nZY0TY/"&amp;"edit#gid=0"",""Table 1: Study characteristics!B4:B171"")))&gt;0
),
""Include""
)"),"Exclude")</f>
        <v>Exclude</v>
      </c>
      <c r="G1997" s="5" t="str">
        <f>IFERROR(__xludf.DUMMYFUNCTION("IFS(
D1997=""Exclude"",
FILTER(IMPORTRANGE(""https://docs.google.com/spreadsheets/d/1BJSV3WBYJGRhQ6zExamkszQ5VutGIcaQqmbD9ZTVXMQ/edit#gid=1251630045"",""articles_with_PRISMA_reasons!AB2:AB2113""), $A1997=IMPORTRANGE(""https://docs.google.com/spreadsheets/"&amp;"d/1BJSV3WBYJGRhQ6zExamkszQ5VutGIcaQqmbD9ZTVXMQ/edit#gid=1251630045"",""articles_with_PRISMA_reasons!B2:B2113"")),
E1997=""Exclude"",
FILTER(IMPORTRANGE(""https://docs.google.com/spreadsheets/d/1qpEmbGH0JjaJbUdp21-y2cPbobDbMjr09BbtdKROZWc/edit#gid=14448656"&amp;"54"",""articles_with_PRISMA_reasons!Z2:Z2113""), $A1997=IMPORTRANGE(""https://docs.google.com/spreadsheets/d/1qpEmbGH0JjaJbUdp21-y2cPbobDbMjr09BbtdKROZWc/edit#gid=1444865654"",""articles_with_PRISMA_reasons!B2:B2113"")),F1997
=""Include"",FILTER(IMPORTRAN"&amp;"GE(""https://docs.google.com/spreadsheets/d/1kGrh75X1cNR1D7_FcY9zMnHP8iPO4M5RCRjy6nZY0TY/edit#gid=0"",""Table 1: Study characteristics!A4:A171""), $A1997=IMPORTRANGE(""https://docs.google.com/spreadsheets/d/1kGrh75X1cNR1D7_FcY9zMnHP8iPO4M5RCRjy6nZY0TY/edi"&amp;"t#gid=0"",""Table 1: Study characteristics!B4:B171""))
)"),"wrong study design")</f>
        <v>wrong study design</v>
      </c>
    </row>
    <row r="1998">
      <c r="A1998" s="4" t="str">
        <f>IFERROR(__xludf.DUMMYFUNCTION("""COMPUTED_VALUE"""),"Transitional forms of Arnold-Chiari and Dandy-Walker malformations")</f>
        <v>Transitional forms of Arnold-Chiari and Dandy-Walker malformations</v>
      </c>
      <c r="B1998" s="5" t="str">
        <f>IFERROR(__xludf.DUMMYFUNCTION("LEFT(FILTER(IMPORTRANGE(""https://docs.google.com/spreadsheets/d/1BJSV3WBYJGRhQ6zExamkszQ5VutGIcaQqmbD9ZTVXMQ/edit#gid=1251630045"",""articles_with_PRISMA_reasons!K2:K2113""), $A1998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$A1998=IMPORTRANGE(""https://docs.google.com/spreadsheets/d/1BJSV3WBYJGRhQ6zExamkszQ5VutGIcaQqmbD9ZTVXMQ/edit#gid=1251630045"",""articles_with_PRISMA_reasons!B2:B2113"")))-1)"),"De Reuck")</f>
        <v>De Reuck</v>
      </c>
      <c r="C1998" s="6">
        <f>IFERROR(__xludf.DUMMYFUNCTION("FILTER(IMPORTRANGE(""https://docs.google.com/spreadsheets/d/1BJSV3WBYJGRhQ6zExamkszQ5VutGIcaQqmbD9ZTVXMQ/edit#gid=1251630045"",""articles_with_PRISMA_reasons!C2:C2113""), $A1998=IMPORTRANGE(""https://docs.google.com/spreadsheets/d/1BJSV3WBYJGRhQ6zExamkszQ"&amp;"5VutGIcaQqmbD9ZTVXMQ/edit#gid=1251630045"",""articles_with_PRISMA_reasons!B2:B2113""))"),1975.0)</f>
        <v>1975</v>
      </c>
      <c r="D1998" s="5" t="str">
        <f>IFERROR(__xludf.DUMMYFUNCTION("IFS(AND(
FILTER(IMPORTRANGE(""https://docs.google.com/spreadsheets/d/1BJSV3WBYJGRhQ6zExamkszQ5VutGIcaQqmbD9ZTVXMQ/edit#gid=1251630045"",""articles_with_PRISMA_reasons!Y2:Y2113""), $A1998=IMPORTRANGE(""https://docs.google.com/spreadsheets/d/1BJSV3WBYJGRhQ6"&amp;"zExamkszQ5VutGIcaQqmbD9ZTVXMQ/edit#gid=1251630045"",""articles_with_PRISMA_reasons!B2:B2113""))&gt;=2,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$A1998=IMPORTRANGE(""https://docs.google.com/spreadsheets/d/1BJSV3WBYJGRhQ6zExamkszQ5VutGIcaQqmbD9ZTVXMQ/edit#gid=1251630045"",""articles_with_PRISMA_reasons!B2:B2113""))&lt;2),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$A1998=IMPORTRANGE(""https://docs.google.com/spreadsheets/d/1BJSV3WBYJGRhQ6zExamkszQ5VutGIcaQqmbD9ZTVXMQ/edit#gid=1251630045"",""a"&amp;"rticles_with_PRISMA_reasons!B2:B2113""))&lt;2,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$A1998=IMPORTRANGE(""https://docs.google"&amp;".com/spreadsheets/d/1BJSV3WBYJGRhQ6zExamkszQ5VutGIcaQqmbD9ZTVXMQ/edit#gid=1251630045"",""articles_with_PRISMA_reasons!B2:B2113""))&gt;=2),
""Exclude""
)"),"Exclude")</f>
        <v>Exclude</v>
      </c>
      <c r="E1998" s="5" t="str">
        <f>IFERROR(__xludf.DUMMYFUNCTION("IFS(
D1998=""Exclude"",""Exclude"",
AND(
FILTER(IMPORTRANGE(""https://docs.google.com/spreadsheets/d/1qpEmbGH0JjaJbUdp21-y2cPbobDbMjr09BbtdKROZWc/edit#gid=1444865654"",""articles_with_PRISMA_reasons!W2:W2113""), $A1998=IMPORTRANGE(""https://docs.google.co"&amp;"m/spreadsheets/d/1qpEmbGH0JjaJbUdp21-y2cPbobDbMjr09BbtdKROZWc/edit#gid=1444865654"",""articles_with_PRISMA_reasons!B2:B2113""))&gt;=2,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$A1998=IMPORTRANGE(""https://docs.google.com/spreadsheets/d/1qpEmbGH0JjaJbUdp21-y2cPbobDbMjr09BbtdKROZWc/edit#gid=1444865654"",""articles_with_PRISMA_reasons!B2:B2113""))&lt;2),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$A1998=IMPORTRANGE(""https://docs.google.com/spreadsheets/d/1qpEmbGH0JjaJbUdp21-y2cPbobDbMjr09Bbtd"&amp;"KROZWc/edit#gid=1444865654"",""articles_with_PRISMA_reasons!B2:B2113""))&lt;2,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$A1998=I"&amp;"MPORTRANGE(""https://docs.google.com/spreadsheets/d/1qpEmbGH0JjaJbUdp21-y2cPbobDbMjr09BbtdKROZWc/edit#gid=1444865654"",""articles_with_PRISMA_reasons!B2:B2113""))&gt;=2),
""Exclude""
)"),"Exclude")</f>
        <v>Exclude</v>
      </c>
      <c r="F1998" s="5" t="str">
        <f>IFERROR(__xludf.DUMMYFUNCTION("IFS(
E1998=""Exclude"",""Exclude"",
AND(
COUNTIF(
IMPORTRANGE(""https://docs.google.com/spreadsheets/d/1kGrh75X1cNR1D7_FcY9zMnHP8iPO4M5RCRjy6nZY0TY/edit#gid=0"",""Table 1: Study characteristics!B4:B171""),A1998)&gt;0,
COUNTIF(Studies!$A$2:$A$85,FILTER(IMPORT"&amp;"RANGE(""https://docs.google.com/spreadsheets/d/1kGrh75X1cNR1D7_FcY9zMnHP8iPO4M5RCRjy6nZY0TY/edit#gid=0"",""Table 1: Study characteristics!A4:A171""), $A1998=IMPORTRANGE(""https://docs.google.com/spreadsheets/d/1kGrh75X1cNR1D7_FcY9zMnHP8iPO4M5RCRjy6nZY0TY/"&amp;"edit#gid=0"",""Table 1: Study characteristics!B4:B171"")))&gt;0
),
""Include""
)"),"Exclude")</f>
        <v>Exclude</v>
      </c>
      <c r="G1998" s="5" t="str">
        <f>IFERROR(__xludf.DUMMYFUNCTION("IFS(
D1998=""Exclude"",
FILTER(IMPORTRANGE(""https://docs.google.com/spreadsheets/d/1BJSV3WBYJGRhQ6zExamkszQ5VutGIcaQqmbD9ZTVXMQ/edit#gid=1251630045"",""articles_with_PRISMA_reasons!AB2:AB2113""), $A1998=IMPORTRANGE(""https://docs.google.com/spreadsheets/"&amp;"d/1BJSV3WBYJGRhQ6zExamkszQ5VutGIcaQqmbD9ZTVXMQ/edit#gid=1251630045"",""articles_with_PRISMA_reasons!B2:B2113"")),
E1998=""Exclude"",
FILTER(IMPORTRANGE(""https://docs.google.com/spreadsheets/d/1qpEmbGH0JjaJbUdp21-y2cPbobDbMjr09BbtdKROZWc/edit#gid=14448656"&amp;"54"",""articles_with_PRISMA_reasons!Z2:Z2113""), $A1998=IMPORTRANGE(""https://docs.google.com/spreadsheets/d/1qpEmbGH0JjaJbUdp21-y2cPbobDbMjr09BbtdKROZWc/edit#gid=1444865654"",""articles_with_PRISMA_reasons!B2:B2113"")),F1998
=""Include"",FILTER(IMPORTRAN"&amp;"GE(""https://docs.google.com/spreadsheets/d/1kGrh75X1cNR1D7_FcY9zMnHP8iPO4M5RCRjy6nZY0TY/edit#gid=0"",""Table 1: Study characteristics!A4:A171""), $A1998=IMPORTRANGE(""https://docs.google.com/spreadsheets/d/1kGrh75X1cNR1D7_FcY9zMnHP8iPO4M5RCRjy6nZY0TY/edi"&amp;"t#gid=0"",""Table 1: Study characteristics!B4:B171""))
)"),"wrong study design")</f>
        <v>wrong study design</v>
      </c>
    </row>
    <row r="1999">
      <c r="A1999" s="4" t="str">
        <f>IFERROR(__xludf.DUMMYFUNCTION("""COMPUTED_VALUE"""),"Transitioning young adults with neurogenic bladder-Are providers asking too much?")</f>
        <v>Transitioning young adults with neurogenic bladder-Are providers asking too much?</v>
      </c>
      <c r="B1999" s="5" t="str">
        <f>IFERROR(__xludf.DUMMYFUNCTION("LEFT(FILTER(IMPORTRANGE(""https://docs.google.com/spreadsheets/d/1BJSV3WBYJGRhQ6zExamkszQ5VutGIcaQqmbD9ZTVXMQ/edit#gid=1251630045"",""articles_with_PRISMA_reasons!K2:K2113""), $A1999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$A1999=IMPORTRANGE(""https://docs.google.com/spreadsheets/d/1BJSV3WBYJGRhQ6zExamkszQ5VutGIcaQqmbD9ZTVXMQ/edit#gid=1251630045"",""articles_with_PRISMA_reasons!B2:B2113"")))-1)"),"Roth")</f>
        <v>Roth</v>
      </c>
      <c r="C1999" s="6">
        <f>IFERROR(__xludf.DUMMYFUNCTION("FILTER(IMPORTRANGE(""https://docs.google.com/spreadsheets/d/1BJSV3WBYJGRhQ6zExamkszQ5VutGIcaQqmbD9ZTVXMQ/edit#gid=1251630045"",""articles_with_PRISMA_reasons!C2:C2113""), $A1999=IMPORTRANGE(""https://docs.google.com/spreadsheets/d/1BJSV3WBYJGRhQ6zExamkszQ"&amp;"5VutGIcaQqmbD9ZTVXMQ/edit#gid=1251630045"",""articles_with_PRISMA_reasons!B2:B2113""))"),2019.0)</f>
        <v>2019</v>
      </c>
      <c r="D1999" s="5" t="str">
        <f>IFERROR(__xludf.DUMMYFUNCTION("IFS(AND(
FILTER(IMPORTRANGE(""https://docs.google.com/spreadsheets/d/1BJSV3WBYJGRhQ6zExamkszQ5VutGIcaQqmbD9ZTVXMQ/edit#gid=1251630045"",""articles_with_PRISMA_reasons!Y2:Y2113""), $A1999=IMPORTRANGE(""https://docs.google.com/spreadsheets/d/1BJSV3WBYJGRhQ6"&amp;"zExamkszQ5VutGIcaQqmbD9ZTVXMQ/edit#gid=1251630045"",""articles_with_PRISMA_reasons!B2:B2113""))&gt;=2,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$A1999=IMPORTRANGE(""https://docs.google.com/spreadsheets/d/1BJSV3WBYJGRhQ6zExamkszQ5VutGIcaQqmbD9ZTVXMQ/edit#gid=1251630045"",""articles_with_PRISMA_reasons!B2:B2113""))&lt;2),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$A1999=IMPORTRANGE(""https://docs.google.com/spreadsheets/d/1BJSV3WBYJGRhQ6zExamkszQ5VutGIcaQqmbD9ZTVXMQ/edit#gid=1251630045"",""a"&amp;"rticles_with_PRISMA_reasons!B2:B2113""))&lt;2,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$A1999=IMPORTRANGE(""https://docs.google"&amp;".com/spreadsheets/d/1BJSV3WBYJGRhQ6zExamkszQ5VutGIcaQqmbD9ZTVXMQ/edit#gid=1251630045"",""articles_with_PRISMA_reasons!B2:B2113""))&gt;=2),
""Exclude""
)"),"Exclude")</f>
        <v>Exclude</v>
      </c>
      <c r="E1999" s="5" t="str">
        <f>IFERROR(__xludf.DUMMYFUNCTION("IFS(
D1999=""Exclude"",""Exclude"",
AND(
FILTER(IMPORTRANGE(""https://docs.google.com/spreadsheets/d/1qpEmbGH0JjaJbUdp21-y2cPbobDbMjr09BbtdKROZWc/edit#gid=1444865654"",""articles_with_PRISMA_reasons!W2:W2113""), $A1999=IMPORTRANGE(""https://docs.google.co"&amp;"m/spreadsheets/d/1qpEmbGH0JjaJbUdp21-y2cPbobDbMjr09BbtdKROZWc/edit#gid=1444865654"",""articles_with_PRISMA_reasons!B2:B2113""))&gt;=2,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$A1999=IMPORTRANGE(""https://docs.google.com/spreadsheets/d/1qpEmbGH0JjaJbUdp21-y2cPbobDbMjr09BbtdKROZWc/edit#gid=1444865654"",""articles_with_PRISMA_reasons!B2:B2113""))&lt;2),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$A1999=IMPORTRANGE(""https://docs.google.com/spreadsheets/d/1qpEmbGH0JjaJbUdp21-y2cPbobDbMjr09Bbtd"&amp;"KROZWc/edit#gid=1444865654"",""articles_with_PRISMA_reasons!B2:B2113""))&lt;2,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$A1999=I"&amp;"MPORTRANGE(""https://docs.google.com/spreadsheets/d/1qpEmbGH0JjaJbUdp21-y2cPbobDbMjr09BbtdKROZWc/edit#gid=1444865654"",""articles_with_PRISMA_reasons!B2:B2113""))&gt;=2),
""Exclude""
)"),"Exclude")</f>
        <v>Exclude</v>
      </c>
      <c r="F1999" s="5" t="str">
        <f>IFERROR(__xludf.DUMMYFUNCTION("IFS(
E1999=""Exclude"",""Exclude"",
AND(
COUNTIF(
IMPORTRANGE(""https://docs.google.com/spreadsheets/d/1kGrh75X1cNR1D7_FcY9zMnHP8iPO4M5RCRjy6nZY0TY/edit#gid=0"",""Table 1: Study characteristics!B4:B171""),A1999)&gt;0,
COUNTIF(Studies!$A$2:$A$85,FILTER(IMPORT"&amp;"RANGE(""https://docs.google.com/spreadsheets/d/1kGrh75X1cNR1D7_FcY9zMnHP8iPO4M5RCRjy6nZY0TY/edit#gid=0"",""Table 1: Study characteristics!A4:A171""), $A1999=IMPORTRANGE(""https://docs.google.com/spreadsheets/d/1kGrh75X1cNR1D7_FcY9zMnHP8iPO4M5RCRjy6nZY0TY/"&amp;"edit#gid=0"",""Table 1: Study characteristics!B4:B171"")))&gt;0
),
""Include""
)"),"Exclude")</f>
        <v>Exclude</v>
      </c>
      <c r="G1999" s="5" t="str">
        <f>IFERROR(__xludf.DUMMYFUNCTION("IFS(
D1999=""Exclude"",
FILTER(IMPORTRANGE(""https://docs.google.com/spreadsheets/d/1BJSV3WBYJGRhQ6zExamkszQ5VutGIcaQqmbD9ZTVXMQ/edit#gid=1251630045"",""articles_with_PRISMA_reasons!AB2:AB2113""), $A1999=IMPORTRANGE(""https://docs.google.com/spreadsheets/"&amp;"d/1BJSV3WBYJGRhQ6zExamkszQ5VutGIcaQqmbD9ZTVXMQ/edit#gid=1251630045"",""articles_with_PRISMA_reasons!B2:B2113"")),
E1999=""Exclude"",
FILTER(IMPORTRANGE(""https://docs.google.com/spreadsheets/d/1qpEmbGH0JjaJbUdp21-y2cPbobDbMjr09BbtdKROZWc/edit#gid=14448656"&amp;"54"",""articles_with_PRISMA_reasons!Z2:Z2113""), $A1999=IMPORTRANGE(""https://docs.google.com/spreadsheets/d/1qpEmbGH0JjaJbUdp21-y2cPbobDbMjr09BbtdKROZWc/edit#gid=1444865654"",""articles_with_PRISMA_reasons!B2:B2113"")),F1999
=""Include"",FILTER(IMPORTRAN"&amp;"GE(""https://docs.google.com/spreadsheets/d/1kGrh75X1cNR1D7_FcY9zMnHP8iPO4M5RCRjy6nZY0TY/edit#gid=0"",""Table 1: Study characteristics!A4:A171""), $A1999=IMPORTRANGE(""https://docs.google.com/spreadsheets/d/1kGrh75X1cNR1D7_FcY9zMnHP8iPO4M5RCRjy6nZY0TY/edi"&amp;"t#gid=0"",""Table 1: Study characteristics!B4:B171""))
)"),"wrong population")</f>
        <v>wrong population</v>
      </c>
    </row>
    <row r="2000">
      <c r="A2000" s="4" t="str">
        <f>IFERROR(__xludf.DUMMYFUNCTION("""COMPUTED_VALUE"""),"Treated hydrocephalus in individuals with myelomeningocele in the National Spina Bifida Patient Registry")</f>
        <v>Treated hydrocephalus in individuals with myelomeningocele in the National Spina Bifida Patient Registry</v>
      </c>
      <c r="B2000" s="5" t="str">
        <f>IFERROR(__xludf.DUMMYFUNCTION("LEFT(FILTER(IMPORTRANGE(""https://docs.google.com/spreadsheets/d/1BJSV3WBYJGRhQ6zExamkszQ5VutGIcaQqmbD9ZTVXMQ/edit#gid=1251630045"",""articles_with_PRISMA_reasons!K2:K2113""), $A2000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$A2000=IMPORTRANGE(""https://docs.google.com/spreadsheets/d/1BJSV3WBYJGRhQ6zExamkszQ5VutGIcaQqmbD9ZTVXMQ/edit#gid=1251630045"",""articles_with_PRISMA_reasons!B2:B2113"")))-1)"),"Kim")</f>
        <v>Kim</v>
      </c>
      <c r="C2000" s="6">
        <f>IFERROR(__xludf.DUMMYFUNCTION("FILTER(IMPORTRANGE(""https://docs.google.com/spreadsheets/d/1BJSV3WBYJGRhQ6zExamkszQ5VutGIcaQqmbD9ZTVXMQ/edit#gid=1251630045"",""articles_with_PRISMA_reasons!C2:C2113""), $A2000=IMPORTRANGE(""https://docs.google.com/spreadsheets/d/1BJSV3WBYJGRhQ6zExamkszQ"&amp;"5VutGIcaQqmbD9ZTVXMQ/edit#gid=1251630045"",""articles_with_PRISMA_reasons!B2:B2113""))"),2018.0)</f>
        <v>2018</v>
      </c>
      <c r="D2000" s="5" t="str">
        <f>IFERROR(__xludf.DUMMYFUNCTION("IFS(AND(
FILTER(IMPORTRANGE(""https://docs.google.com/spreadsheets/d/1BJSV3WBYJGRhQ6zExamkszQ5VutGIcaQqmbD9ZTVXMQ/edit#gid=1251630045"",""articles_with_PRISMA_reasons!Y2:Y2113""), $A2000=IMPORTRANGE(""https://docs.google.com/spreadsheets/d/1BJSV3WBYJGRhQ6"&amp;"zExamkszQ5VutGIcaQqmbD9ZTVXMQ/edit#gid=1251630045"",""articles_with_PRISMA_reasons!B2:B2113""))&gt;=2,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$A2000=IMPORTRANGE(""https://docs.google"&amp;".com/spreadsheets/d/1BJSV3WBYJGRhQ6zExamkszQ5VutGIcaQqmbD9ZTVXMQ/edit#gid=1251630045"",""articles_with_PRISMA_reasons!B2:B2113""))&gt;=2),
""Exclude""
)"),"Include")</f>
        <v>Include</v>
      </c>
      <c r="E2000" s="5" t="str">
        <f>IFERROR(__xludf.DUMMYFUNCTION("IFS(
D2000=""Exclude"",""Exclude"",
AND(
FILTER(IMPORTRANGE(""https://docs.google.com/spreadsheets/d/1qpEmbGH0JjaJbUdp21-y2cPbobDbMjr09BbtdKROZWc/edit#gid=1444865654"",""articles_with_PRISMA_reasons!W2:W2113""), $A2000=IMPORTRANGE(""https://docs.google.co"&amp;"m/spreadsheets/d/1qpEmbGH0JjaJbUdp21-y2cPbobDbMjr09BbtdKROZWc/edit#gid=1444865654"",""articles_with_PRISMA_reasons!B2:B2113""))&gt;=2,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$A2000=IMPORTRANGE(""https://docs.google.com/spreadsheets/d/1qpEmbGH0JjaJbUdp21-y2cPbobDbMjr09BbtdKROZWc/edit#gid=1444865654"",""articles_with_PRISMA_reasons!B2:B2113""))&lt;2),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$A2000=IMPORTRANGE(""https://docs.google.com/spreadsheets/d/1qpEmbGH0JjaJbUdp21-y2cPbobDbMjr09Bbtd"&amp;"KROZWc/edit#gid=1444865654"",""articles_with_PRISMA_reasons!B2:B2113""))&lt;2,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$A2000=I"&amp;"MPORTRANGE(""https://docs.google.com/spreadsheets/d/1qpEmbGH0JjaJbUdp21-y2cPbobDbMjr09BbtdKROZWc/edit#gid=1444865654"",""articles_with_PRISMA_reasons!B2:B2113""))&gt;=2),
""Exclude""
)"),"Exclude")</f>
        <v>Exclude</v>
      </c>
      <c r="F2000" s="5" t="str">
        <f>IFERROR(__xludf.DUMMYFUNCTION("IFS(
E2000=""Exclude"",""Exclude"",
AND(
COUNTIF(
IMPORTRANGE(""https://docs.google.com/spreadsheets/d/1kGrh75X1cNR1D7_FcY9zMnHP8iPO4M5RCRjy6nZY0TY/edit#gid=0"",""Table 1: Study characteristics!B4:B171""),A2000)&gt;0,
COUNTIF(Studies!$A$2:$A$85,FILTER(IMPORT"&amp;"RANGE(""https://docs.google.com/spreadsheets/d/1kGrh75X1cNR1D7_FcY9zMnHP8iPO4M5RCRjy6nZY0TY/edit#gid=0"",""Table 1: Study characteristics!A4:A171""), $A2000=IMPORTRANGE(""https://docs.google.com/spreadsheets/d/1kGrh75X1cNR1D7_FcY9zMnHP8iPO4M5RCRjy6nZY0TY/"&amp;"edit#gid=0"",""Table 1: Study characteristics!B4:B171"")))&gt;0
),
""Include""
)"),"Exclude")</f>
        <v>Exclude</v>
      </c>
      <c r="G2000" s="5" t="str">
        <f>IFERROR(__xludf.DUMMYFUNCTION("IFS(
D2000=""Exclude"",
FILTER(IMPORTRANGE(""https://docs.google.com/spreadsheets/d/1BJSV3WBYJGRhQ6zExamkszQ5VutGIcaQqmbD9ZTVXMQ/edit#gid=1251630045"",""articles_with_PRISMA_reasons!AB2:AB2113""), $A2000=IMPORTRANGE(""https://docs.google.com/spreadsheets/"&amp;"d/1BJSV3WBYJGRhQ6zExamkszQ5VutGIcaQqmbD9ZTVXMQ/edit#gid=1251630045"",""articles_with_PRISMA_reasons!B2:B2113"")),
E2000=""Exclude"",
FILTER(IMPORTRANGE(""https://docs.google.com/spreadsheets/d/1qpEmbGH0JjaJbUdp21-y2cPbobDbMjr09BbtdKROZWc/edit#gid=14448656"&amp;"54"",""articles_with_PRISMA_reasons!Z2:Z2113""), $A2000=IMPORTRANGE(""https://docs.google.com/spreadsheets/d/1qpEmbGH0JjaJbUdp21-y2cPbobDbMjr09BbtdKROZWc/edit#gid=1444865654"",""articles_with_PRISMA_reasons!B2:B2113"")),F2000
=""Include"",FILTER(IMPORTRAN"&amp;"GE(""https://docs.google.com/spreadsheets/d/1kGrh75X1cNR1D7_FcY9zMnHP8iPO4M5RCRjy6nZY0TY/edit#gid=0"",""Table 1: Study characteristics!A4:A171""), $A2000=IMPORTRANGE(""https://docs.google.com/spreadsheets/d/1kGrh75X1cNR1D7_FcY9zMnHP8iPO4M5RCRjy6nZY0TY/edi"&amp;"t#gid=0"",""Table 1: Study characteristics!B4:B171""))
)"),"wrong population")</f>
        <v>wrong population</v>
      </c>
    </row>
    <row r="2001">
      <c r="A2001" s="4" t="str">
        <f>IFERROR(__xludf.DUMMYFUNCTION("""COMPUTED_VALUE"""),"Treating Pediatric Hydrocephalus at the Neurosurgery Education and Development Institute: The Reality in the Zanzibar Archipelago, Tanzania")</f>
        <v>Treating Pediatric Hydrocephalus at the Neurosurgery Education and Development Institute: The Reality in the Zanzibar Archipelago, Tanzania</v>
      </c>
      <c r="B2001" s="5" t="str">
        <f>IFERROR(__xludf.DUMMYFUNCTION("LEFT(FILTER(IMPORTRANGE(""https://docs.google.com/spreadsheets/d/1BJSV3WBYJGRhQ6zExamkszQ5VutGIcaQqmbD9ZTVXMQ/edit#gid=1251630045"",""articles_with_PRISMA_reasons!K2:K2113""), $A2001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$A2001=IMPORTRANGE(""https://docs.google.com/spreadsheets/d/1BJSV3WBYJGRhQ6zExamkszQ5VutGIcaQqmbD9ZTVXMQ/edit#gid=1251630045"",""articles_with_PRISMA_reasons!B2:B2113"")))-1)"),"Leidinger")</f>
        <v>Leidinger</v>
      </c>
      <c r="C2001" s="6">
        <f>IFERROR(__xludf.DUMMYFUNCTION("FILTER(IMPORTRANGE(""https://docs.google.com/spreadsheets/d/1BJSV3WBYJGRhQ6zExamkszQ5VutGIcaQqmbD9ZTVXMQ/edit#gid=1251630045"",""articles_with_PRISMA_reasons!C2:C2113""), $A2001=IMPORTRANGE(""https://docs.google.com/spreadsheets/d/1BJSV3WBYJGRhQ6zExamkszQ"&amp;"5VutGIcaQqmbD9ZTVXMQ/edit#gid=1251630045"",""articles_with_PRISMA_reasons!B2:B2113""))"),2018.0)</f>
        <v>2018</v>
      </c>
      <c r="D2001" s="5" t="str">
        <f>IFERROR(__xludf.DUMMYFUNCTION("IFS(AND(
FILTER(IMPORTRANGE(""https://docs.google.com/spreadsheets/d/1BJSV3WBYJGRhQ6zExamkszQ5VutGIcaQqmbD9ZTVXMQ/edit#gid=1251630045"",""articles_with_PRISMA_reasons!Y2:Y2113""), $A2001=IMPORTRANGE(""https://docs.google.com/spreadsheets/d/1BJSV3WBYJGRhQ6"&amp;"zExamkszQ5VutGIcaQqmbD9ZTVXMQ/edit#gid=1251630045"",""articles_with_PRISMA_reasons!B2:B2113""))&gt;=2,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$A2001=IMPORTRANGE(""https://docs.google"&amp;".com/spreadsheets/d/1BJSV3WBYJGRhQ6zExamkszQ5VutGIcaQqmbD9ZTVXMQ/edit#gid=1251630045"",""articles_with_PRISMA_reasons!B2:B2113""))&gt;=2),
""Exclude""
)"),"Include")</f>
        <v>Include</v>
      </c>
      <c r="E2001" s="5" t="str">
        <f>IFERROR(__xludf.DUMMYFUNCTION("IFS(
D2001=""Exclude"",""Exclude"",
AND(
FILTER(IMPORTRANGE(""https://docs.google.com/spreadsheets/d/1qpEmbGH0JjaJbUdp21-y2cPbobDbMjr09BbtdKROZWc/edit#gid=1444865654"",""articles_with_PRISMA_reasons!W2:W2113""), $A2001=IMPORTRANGE(""https://docs.google.co"&amp;"m/spreadsheets/d/1qpEmbGH0JjaJbUdp21-y2cPbobDbMjr09BbtdKROZWc/edit#gid=1444865654"",""articles_with_PRISMA_reasons!B2:B2113""))&gt;=2,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$A2001=IMPORTRANGE(""https://docs.google.com/spreadsheets/d/1qpEmbGH0JjaJbUdp21-y2cPbobDbMjr09BbtdKROZWc/edit#gid=1444865654"",""articles_with_PRISMA_reasons!B2:B2113""))&lt;2),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$A2001=IMPORTRANGE(""https://docs.google.com/spreadsheets/d/1qpEmbGH0JjaJbUdp21-y2cPbobDbMjr09Bbtd"&amp;"KROZWc/edit#gid=1444865654"",""articles_with_PRISMA_reasons!B2:B2113""))&lt;2,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$A2001=I"&amp;"MPORTRANGE(""https://docs.google.com/spreadsheets/d/1qpEmbGH0JjaJbUdp21-y2cPbobDbMjr09BbtdKROZWc/edit#gid=1444865654"",""articles_with_PRISMA_reasons!B2:B2113""))&gt;=2),
""Exclude""
)"),"Exclude")</f>
        <v>Exclude</v>
      </c>
      <c r="F2001" s="5" t="str">
        <f>IFERROR(__xludf.DUMMYFUNCTION("IFS(
E2001=""Exclude"",""Exclude"",
AND(
COUNTIF(
IMPORTRANGE(""https://docs.google.com/spreadsheets/d/1kGrh75X1cNR1D7_FcY9zMnHP8iPO4M5RCRjy6nZY0TY/edit#gid=0"",""Table 1: Study characteristics!B4:B171""),A2001)&gt;0,
COUNTIF(Studies!$A$2:$A$85,FILTER(IMPORT"&amp;"RANGE(""https://docs.google.com/spreadsheets/d/1kGrh75X1cNR1D7_FcY9zMnHP8iPO4M5RCRjy6nZY0TY/edit#gid=0"",""Table 1: Study characteristics!A4:A171""), $A2001=IMPORTRANGE(""https://docs.google.com/spreadsheets/d/1kGrh75X1cNR1D7_FcY9zMnHP8iPO4M5RCRjy6nZY0TY/"&amp;"edit#gid=0"",""Table 1: Study characteristics!B4:B171"")))&gt;0
),
""Include""
)"),"Exclude")</f>
        <v>Exclude</v>
      </c>
      <c r="G2001" s="5" t="str">
        <f>IFERROR(__xludf.DUMMYFUNCTION("IFS(
D2001=""Exclude"",
FILTER(IMPORTRANGE(""https://docs.google.com/spreadsheets/d/1BJSV3WBYJGRhQ6zExamkszQ5VutGIcaQqmbD9ZTVXMQ/edit#gid=1251630045"",""articles_with_PRISMA_reasons!AB2:AB2113""), $A2001=IMPORTRANGE(""https://docs.google.com/spreadsheets/"&amp;"d/1BJSV3WBYJGRhQ6zExamkszQ5VutGIcaQqmbD9ZTVXMQ/edit#gid=1251630045"",""articles_with_PRISMA_reasons!B2:B2113"")),
E2001=""Exclude"",
FILTER(IMPORTRANGE(""https://docs.google.com/spreadsheets/d/1qpEmbGH0JjaJbUdp21-y2cPbobDbMjr09BbtdKROZWc/edit#gid=14448656"&amp;"54"",""articles_with_PRISMA_reasons!Z2:Z2113""), $A2001=IMPORTRANGE(""https://docs.google.com/spreadsheets/d/1qpEmbGH0JjaJbUdp21-y2cPbobDbMjr09BbtdKROZWc/edit#gid=1444865654"",""articles_with_PRISMA_reasons!B2:B2113"")),F2001
=""Include"",FILTER(IMPORTRAN"&amp;"GE(""https://docs.google.com/spreadsheets/d/1kGrh75X1cNR1D7_FcY9zMnHP8iPO4M5RCRjy6nZY0TY/edit#gid=0"",""Table 1: Study characteristics!A4:A171""), $A2001=IMPORTRANGE(""https://docs.google.com/spreadsheets/d/1kGrh75X1cNR1D7_FcY9zMnHP8iPO4M5RCRjy6nZY0TY/edi"&amp;"t#gid=0"",""Table 1: Study characteristics!B4:B171""))
)"),"wrong population")</f>
        <v>wrong population</v>
      </c>
    </row>
    <row r="2002">
      <c r="A2002" s="4" t="str">
        <f>IFERROR(__xludf.DUMMYFUNCTION("""COMPUTED_VALUE"""),"Treating pediatric hydrocephalus in Australia: a 3-year hospital-based cost analysis and comparison with other studies")</f>
        <v>Treating pediatric hydrocephalus in Australia: a 3-year hospital-based cost analysis and comparison with other studies</v>
      </c>
      <c r="B2002" s="5" t="str">
        <f>IFERROR(__xludf.DUMMYFUNCTION("LEFT(FILTER(IMPORTRANGE(""https://docs.google.com/spreadsheets/d/1BJSV3WBYJGRhQ6zExamkszQ5VutGIcaQqmbD9ZTVXMQ/edit#gid=1251630045"",""articles_with_PRISMA_reasons!K2:K2113""), $A2002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$A2002=IMPORTRANGE(""https://docs.google.com/spreadsheets/d/1BJSV3WBYJGRhQ6zExamkszQ5VutGIcaQqmbD9ZTVXMQ/edit#gid=1251630045"",""articles_with_PRISMA_reasons!B2:B2113"")))-1)"),"Pham")</f>
        <v>Pham</v>
      </c>
      <c r="C2002" s="6">
        <f>IFERROR(__xludf.DUMMYFUNCTION("FILTER(IMPORTRANGE(""https://docs.google.com/spreadsheets/d/1BJSV3WBYJGRhQ6zExamkszQ5VutGIcaQqmbD9ZTVXMQ/edit#gid=1251630045"",""articles_with_PRISMA_reasons!C2:C2113""), $A2002=IMPORTRANGE(""https://docs.google.com/spreadsheets/d/1BJSV3WBYJGRhQ6zExamkszQ"&amp;"5VutGIcaQqmbD9ZTVXMQ/edit#gid=1251630045"",""articles_with_PRISMA_reasons!B2:B2113""))"),2013.0)</f>
        <v>2013</v>
      </c>
      <c r="D2002" s="5" t="str">
        <f>IFERROR(__xludf.DUMMYFUNCTION("IFS(AND(
FILTER(IMPORTRANGE(""https://docs.google.com/spreadsheets/d/1BJSV3WBYJGRhQ6zExamkszQ5VutGIcaQqmbD9ZTVXMQ/edit#gid=1251630045"",""articles_with_PRISMA_reasons!Y2:Y2113""), $A2002=IMPORTRANGE(""https://docs.google.com/spreadsheets/d/1BJSV3WBYJGRhQ6"&amp;"zExamkszQ5VutGIcaQqmbD9ZTVXMQ/edit#gid=1251630045"",""articles_with_PRISMA_reasons!B2:B2113""))&gt;=2,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$A2002=IMPORTRANGE(""https://docs.google.com/spreadsheets/d/1BJSV3WBYJGRhQ6zExamkszQ5VutGIcaQqmbD9ZTVXMQ/edit#gid=1251630045"",""articles_with_PRISMA_reasons!B2:B2113""))&lt;2),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$A2002=IMPORTRANGE(""https://docs.google.com/spreadsheets/d/1BJSV3WBYJGRhQ6zExamkszQ5VutGIcaQqmbD9ZTVXMQ/edit#gid=1251630045"",""a"&amp;"rticles_with_PRISMA_reasons!B2:B2113""))&lt;2,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$A2002=IMPORTRANGE(""https://docs.google"&amp;".com/spreadsheets/d/1BJSV3WBYJGRhQ6zExamkszQ5VutGIcaQqmbD9ZTVXMQ/edit#gid=1251630045"",""articles_with_PRISMA_reasons!B2:B2113""))&gt;=2),
""Exclude""
)"),"Exclude")</f>
        <v>Exclude</v>
      </c>
      <c r="E2002" s="5" t="str">
        <f>IFERROR(__xludf.DUMMYFUNCTION("IFS(
D2002=""Exclude"",""Exclude"",
AND(
FILTER(IMPORTRANGE(""https://docs.google.com/spreadsheets/d/1qpEmbGH0JjaJbUdp21-y2cPbobDbMjr09BbtdKROZWc/edit#gid=1444865654"",""articles_with_PRISMA_reasons!W2:W2113""), $A2002=IMPORTRANGE(""https://docs.google.co"&amp;"m/spreadsheets/d/1qpEmbGH0JjaJbUdp21-y2cPbobDbMjr09BbtdKROZWc/edit#gid=1444865654"",""articles_with_PRISMA_reasons!B2:B2113""))&gt;=2,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$A2002=I"&amp;"MPORTRANGE(""https://docs.google.com/spreadsheets/d/1qpEmbGH0JjaJbUdp21-y2cPbobDbMjr09BbtdKROZWc/edit#gid=1444865654"",""articles_with_PRISMA_reasons!B2:B2113""))&gt;=2),
""Exclude""
)"),"Exclude")</f>
        <v>Exclude</v>
      </c>
      <c r="F2002" s="5" t="str">
        <f>IFERROR(__xludf.DUMMYFUNCTION("IFS(
E2002=""Exclude"",""Exclude"",
AND(
COUNTIF(
IMPORTRANGE(""https://docs.google.com/spreadsheets/d/1kGrh75X1cNR1D7_FcY9zMnHP8iPO4M5RCRjy6nZY0TY/edit#gid=0"",""Table 1: Study characteristics!B4:B171""),A2002)&gt;0,
COUNTIF(Studies!$A$2:$A$85,FILTER(IMPORT"&amp;"RANGE(""https://docs.google.com/spreadsheets/d/1kGrh75X1cNR1D7_FcY9zMnHP8iPO4M5RCRjy6nZY0TY/edit#gid=0"",""Table 1: Study characteristics!A4:A171""), $A2002=IMPORTRANGE(""https://docs.google.com/spreadsheets/d/1kGrh75X1cNR1D7_FcY9zMnHP8iPO4M5RCRjy6nZY0TY/"&amp;"edit#gid=0"",""Table 1: Study characteristics!B4:B171"")))&gt;0
),
""Include""
)"),"Exclude")</f>
        <v>Exclude</v>
      </c>
      <c r="G2002" s="5" t="str">
        <f>IFERROR(__xludf.DUMMYFUNCTION("IFS(
D2002=""Exclude"",
FILTER(IMPORTRANGE(""https://docs.google.com/spreadsheets/d/1BJSV3WBYJGRhQ6zExamkszQ5VutGIcaQqmbD9ZTVXMQ/edit#gid=1251630045"",""articles_with_PRISMA_reasons!AB2:AB2113""), $A2002=IMPORTRANGE(""https://docs.google.com/spreadsheets/"&amp;"d/1BJSV3WBYJGRhQ6zExamkszQ5VutGIcaQqmbD9ZTVXMQ/edit#gid=1251630045"",""articles_with_PRISMA_reasons!B2:B2113"")),
E2002=""Exclude"",
FILTER(IMPORTRANGE(""https://docs.google.com/spreadsheets/d/1qpEmbGH0JjaJbUdp21-y2cPbobDbMjr09BbtdKROZWc/edit#gid=14448656"&amp;"54"",""articles_with_PRISMA_reasons!Z2:Z2113""), $A2002=IMPORTRANGE(""https://docs.google.com/spreadsheets/d/1qpEmbGH0JjaJbUdp21-y2cPbobDbMjr09BbtdKROZWc/edit#gid=1444865654"",""articles_with_PRISMA_reasons!B2:B2113"")),F2002
=""Include"",FILTER(IMPORTRAN"&amp;"GE(""https://docs.google.com/spreadsheets/d/1kGrh75X1cNR1D7_FcY9zMnHP8iPO4M5RCRjy6nZY0TY/edit#gid=0"",""Table 1: Study characteristics!A4:A171""), $A2002=IMPORTRANGE(""https://docs.google.com/spreadsheets/d/1kGrh75X1cNR1D7_FcY9zMnHP8iPO4M5RCRjy6nZY0TY/edi"&amp;"t#gid=0"",""Table 1: Study characteristics!B4:B171""))
)"),"wrong population")</f>
        <v>wrong population</v>
      </c>
    </row>
    <row r="2003">
      <c r="A2003" s="4" t="str">
        <f>IFERROR(__xludf.DUMMYFUNCTION("""COMPUTED_VALUE"""),"Treatment for open myelomeningocele. Results at early childhood")</f>
        <v>Treatment for open myelomeningocele. Results at early childhood</v>
      </c>
      <c r="B2003" s="5" t="str">
        <f>IFERROR(__xludf.DUMMYFUNCTION("LEFT(FILTER(IMPORTRANGE(""https://docs.google.com/spreadsheets/d/1BJSV3WBYJGRhQ6zExamkszQ5VutGIcaQqmbD9ZTVXMQ/edit#gid=1251630045"",""articles_with_PRISMA_reasons!K2:K2113""), $A2003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$A2003=IMPORTRANGE(""https://docs.google.com/spreadsheets/d/1BJSV3WBYJGRhQ6zExamkszQ5VutGIcaQqmbD9ZTVXMQ/edit#gid=1251630045"",""articles_with_PRISMA_reasons!B2:B2113"")))-1)"),"Iwaya")</f>
        <v>Iwaya</v>
      </c>
      <c r="C2003" s="6">
        <f>IFERROR(__xludf.DUMMYFUNCTION("FILTER(IMPORTRANGE(""https://docs.google.com/spreadsheets/d/1BJSV3WBYJGRhQ6zExamkszQ5VutGIcaQqmbD9ZTVXMQ/edit#gid=1251630045"",""articles_with_PRISMA_reasons!C2:C2113""), $A2003=IMPORTRANGE(""https://docs.google.com/spreadsheets/d/1BJSV3WBYJGRhQ6zExamkszQ"&amp;"5VutGIcaQqmbD9ZTVXMQ/edit#gid=1251630045"",""articles_with_PRISMA_reasons!B2:B2113""))"),1985.0)</f>
        <v>1985</v>
      </c>
      <c r="D2003" s="5" t="str">
        <f>IFERROR(__xludf.DUMMYFUNCTION("IFS(AND(
FILTER(IMPORTRANGE(""https://docs.google.com/spreadsheets/d/1BJSV3WBYJGRhQ6zExamkszQ5VutGIcaQqmbD9ZTVXMQ/edit#gid=1251630045"",""articles_with_PRISMA_reasons!Y2:Y2113""), $A2003=IMPORTRANGE(""https://docs.google.com/spreadsheets/d/1BJSV3WBYJGRhQ6"&amp;"zExamkszQ5VutGIcaQqmbD9ZTVXMQ/edit#gid=1251630045"",""articles_with_PRISMA_reasons!B2:B2113""))&gt;=2,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$A2003=IMPORTRANGE(""https://docs.google"&amp;".com/spreadsheets/d/1BJSV3WBYJGRhQ6zExamkszQ5VutGIcaQqmbD9ZTVXMQ/edit#gid=1251630045"",""articles_with_PRISMA_reasons!B2:B2113""))&gt;=2),
""Exclude""
)"),"Include")</f>
        <v>Include</v>
      </c>
      <c r="E2003" s="5" t="str">
        <f>IFERROR(__xludf.DUMMYFUNCTION("IFS(
D2003=""Exclude"",""Exclude"",
AND(
FILTER(IMPORTRANGE(""https://docs.google.com/spreadsheets/d/1qpEmbGH0JjaJbUdp21-y2cPbobDbMjr09BbtdKROZWc/edit#gid=1444865654"",""articles_with_PRISMA_reasons!W2:W2113""), $A2003=IMPORTRANGE(""https://docs.google.co"&amp;"m/spreadsheets/d/1qpEmbGH0JjaJbUdp21-y2cPbobDbMjr09BbtdKROZWc/edit#gid=1444865654"",""articles_with_PRISMA_reasons!B2:B2113""))&gt;=2,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$A2003=I"&amp;"MPORTRANGE(""https://docs.google.com/spreadsheets/d/1qpEmbGH0JjaJbUdp21-y2cPbobDbMjr09BbtdKROZWc/edit#gid=1444865654"",""articles_with_PRISMA_reasons!B2:B2113""))&gt;=2),
""Exclude""
)"),"Exclude")</f>
        <v>Exclude</v>
      </c>
      <c r="F2003" s="5" t="str">
        <f>IFERROR(__xludf.DUMMYFUNCTION("IFS(
E2003=""Exclude"",""Exclude"",
AND(
COUNTIF(
IMPORTRANGE(""https://docs.google.com/spreadsheets/d/1kGrh75X1cNR1D7_FcY9zMnHP8iPO4M5RCRjy6nZY0TY/edit#gid=0"",""Table 1: Study characteristics!B4:B171""),A2003)&gt;0,
COUNTIF(Studies!$A$2:$A$85,FILTER(IMPORT"&amp;"RANGE(""https://docs.google.com/spreadsheets/d/1kGrh75X1cNR1D7_FcY9zMnHP8iPO4M5RCRjy6nZY0TY/edit#gid=0"",""Table 1: Study characteristics!A4:A171""), $A2003=IMPORTRANGE(""https://docs.google.com/spreadsheets/d/1kGrh75X1cNR1D7_FcY9zMnHP8iPO4M5RCRjy6nZY0TY/"&amp;"edit#gid=0"",""Table 1: Study characteristics!B4:B171"")))&gt;0
),
""Include""
)"),"Exclude")</f>
        <v>Exclude</v>
      </c>
      <c r="G2003" s="5" t="str">
        <f>IFERROR(__xludf.DUMMYFUNCTION("IFS(
D2003=""Exclude"",
FILTER(IMPORTRANGE(""https://docs.google.com/spreadsheets/d/1BJSV3WBYJGRhQ6zExamkszQ5VutGIcaQqmbD9ZTVXMQ/edit#gid=1251630045"",""articles_with_PRISMA_reasons!AB2:AB2113""), $A2003=IMPORTRANGE(""https://docs.google.com/spreadsheets/"&amp;"d/1BJSV3WBYJGRhQ6zExamkszQ5VutGIcaQqmbD9ZTVXMQ/edit#gid=1251630045"",""articles_with_PRISMA_reasons!B2:B2113"")),
E2003=""Exclude"",
FILTER(IMPORTRANGE(""https://docs.google.com/spreadsheets/d/1qpEmbGH0JjaJbUdp21-y2cPbobDbMjr09BbtdKROZWc/edit#gid=14448656"&amp;"54"",""articles_with_PRISMA_reasons!Z2:Z2113""), $A2003=IMPORTRANGE(""https://docs.google.com/spreadsheets/d/1qpEmbGH0JjaJbUdp21-y2cPbobDbMjr09BbtdKROZWc/edit#gid=1444865654"",""articles_with_PRISMA_reasons!B2:B2113"")),F2003
=""Include"",FILTER(IMPORTRAN"&amp;"GE(""https://docs.google.com/spreadsheets/d/1kGrh75X1cNR1D7_FcY9zMnHP8iPO4M5RCRjy6nZY0TY/edit#gid=0"",""Table 1: Study characteristics!A4:A171""), $A2003=IMPORTRANGE(""https://docs.google.com/spreadsheets/d/1kGrh75X1cNR1D7_FcY9zMnHP8iPO4M5RCRjy6nZY0TY/edi"&amp;"t#gid=0"",""Table 1: Study characteristics!B4:B171""))
)"),"no full text")</f>
        <v>no full text</v>
      </c>
    </row>
    <row r="2004">
      <c r="A2004" s="4" t="str">
        <f>IFERROR(__xludf.DUMMYFUNCTION("""COMPUTED_VALUE"""),"Treatment of central precocious puberty")</f>
        <v>Treatment of central precocious puberty</v>
      </c>
      <c r="B2004" s="5" t="str">
        <f>IFERROR(__xludf.DUMMYFUNCTION("LEFT(FILTER(IMPORTRANGE(""https://docs.google.com/spreadsheets/d/1BJSV3WBYJGRhQ6zExamkszQ5VutGIcaQqmbD9ZTVXMQ/edit#gid=1251630045"",""articles_with_PRISMA_reasons!K2:K2113""), $A2004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$A2004=IMPORTRANGE(""https://docs.google.com/spreadsheets/d/1BJSV3WBYJGRhQ6zExamkszQ5VutGIcaQqmbD9ZTVXMQ/edit#gid=1251630045"",""articles_with_PRISMA_reasons!B2:B2113"")))-1)"),"Partsch")</f>
        <v>Partsch</v>
      </c>
      <c r="C2004" s="6">
        <f>IFERROR(__xludf.DUMMYFUNCTION("FILTER(IMPORTRANGE(""https://docs.google.com/spreadsheets/d/1BJSV3WBYJGRhQ6zExamkszQ5VutGIcaQqmbD9ZTVXMQ/edit#gid=1251630045"",""articles_with_PRISMA_reasons!C2:C2113""), $A2004=IMPORTRANGE(""https://docs.google.com/spreadsheets/d/1BJSV3WBYJGRhQ6zExamkszQ"&amp;"5VutGIcaQqmbD9ZTVXMQ/edit#gid=1251630045"",""articles_with_PRISMA_reasons!B2:B2113""))"),2002.0)</f>
        <v>2002</v>
      </c>
      <c r="D2004" s="5" t="str">
        <f>IFERROR(__xludf.DUMMYFUNCTION("IFS(AND(
FILTER(IMPORTRANGE(""https://docs.google.com/spreadsheets/d/1BJSV3WBYJGRhQ6zExamkszQ5VutGIcaQqmbD9ZTVXMQ/edit#gid=1251630045"",""articles_with_PRISMA_reasons!Y2:Y2113""), $A2004=IMPORTRANGE(""https://docs.google.com/spreadsheets/d/1BJSV3WBYJGRhQ6"&amp;"zExamkszQ5VutGIcaQqmbD9ZTVXMQ/edit#gid=1251630045"",""articles_with_PRISMA_reasons!B2:B2113""))&gt;=2,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$A2004=IMPORTRANGE(""https://docs.google"&amp;".com/spreadsheets/d/1BJSV3WBYJGRhQ6zExamkszQ5VutGIcaQqmbD9ZTVXMQ/edit#gid=1251630045"",""articles_with_PRISMA_reasons!B2:B2113""))&gt;=2),
""Exclude""
)"),"Exclude")</f>
        <v>Exclude</v>
      </c>
      <c r="E2004" s="5" t="str">
        <f>IFERROR(__xludf.DUMMYFUNCTION("IFS(
D2004=""Exclude"",""Exclude"",
AND(
FILTER(IMPORTRANGE(""https://docs.google.com/spreadsheets/d/1qpEmbGH0JjaJbUdp21-y2cPbobDbMjr09BbtdKROZWc/edit#gid=1444865654"",""articles_with_PRISMA_reasons!W2:W2113""), $A2004=IMPORTRANGE(""https://docs.google.co"&amp;"m/spreadsheets/d/1qpEmbGH0JjaJbUdp21-y2cPbobDbMjr09BbtdKROZWc/edit#gid=1444865654"",""articles_with_PRISMA_reasons!B2:B2113""))&gt;=2,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$A2004=I"&amp;"MPORTRANGE(""https://docs.google.com/spreadsheets/d/1qpEmbGH0JjaJbUdp21-y2cPbobDbMjr09BbtdKROZWc/edit#gid=1444865654"",""articles_with_PRISMA_reasons!B2:B2113""))&gt;=2),
""Exclude""
)"),"Exclude")</f>
        <v>Exclude</v>
      </c>
      <c r="F2004" s="5" t="str">
        <f>IFERROR(__xludf.DUMMYFUNCTION("IFS(
E2004=""Exclude"",""Exclude"",
AND(
COUNTIF(
IMPORTRANGE(""https://docs.google.com/spreadsheets/d/1kGrh75X1cNR1D7_FcY9zMnHP8iPO4M5RCRjy6nZY0TY/edit#gid=0"",""Table 1: Study characteristics!B4:B171""),A2004)&gt;0,
COUNTIF(Studies!$A$2:$A$85,FILTER(IMPORT"&amp;"RANGE(""https://docs.google.com/spreadsheets/d/1kGrh75X1cNR1D7_FcY9zMnHP8iPO4M5RCRjy6nZY0TY/edit#gid=0"",""Table 1: Study characteristics!A4:A171""), $A2004=IMPORTRANGE(""https://docs.google.com/spreadsheets/d/1kGrh75X1cNR1D7_FcY9zMnHP8iPO4M5RCRjy6nZY0TY/"&amp;"edit#gid=0"",""Table 1: Study characteristics!B4:B171"")))&gt;0
),
""Include""
)"),"Exclude")</f>
        <v>Exclude</v>
      </c>
      <c r="G2004" s="5" t="str">
        <f>IFERROR(__xludf.DUMMYFUNCTION("IFS(
D2004=""Exclude"",
FILTER(IMPORTRANGE(""https://docs.google.com/spreadsheets/d/1BJSV3WBYJGRhQ6zExamkszQ5VutGIcaQqmbD9ZTVXMQ/edit#gid=1251630045"",""articles_with_PRISMA_reasons!AB2:AB2113""), $A2004=IMPORTRANGE(""https://docs.google.com/spreadsheets/"&amp;"d/1BJSV3WBYJGRhQ6zExamkszQ5VutGIcaQqmbD9ZTVXMQ/edit#gid=1251630045"",""articles_with_PRISMA_reasons!B2:B2113"")),
E2004=""Exclude"",
FILTER(IMPORTRANGE(""https://docs.google.com/spreadsheets/d/1qpEmbGH0JjaJbUdp21-y2cPbobDbMjr09BbtdKROZWc/edit#gid=14448656"&amp;"54"",""articles_with_PRISMA_reasons!Z2:Z2113""), $A2004=IMPORTRANGE(""https://docs.google.com/spreadsheets/d/1qpEmbGH0JjaJbUdp21-y2cPbobDbMjr09BbtdKROZWc/edit#gid=1444865654"",""articles_with_PRISMA_reasons!B2:B2113"")),F2004
=""Include"",FILTER(IMPORTRAN"&amp;"GE(""https://docs.google.com/spreadsheets/d/1kGrh75X1cNR1D7_FcY9zMnHP8iPO4M5RCRjy6nZY0TY/edit#gid=0"",""Table 1: Study characteristics!A4:A171""), $A2004=IMPORTRANGE(""https://docs.google.com/spreadsheets/d/1kGrh75X1cNR1D7_FcY9zMnHP8iPO4M5RCRjy6nZY0TY/edi"&amp;"t#gid=0"",""Table 1: Study characteristics!B4:B171""))
)"),"wrong study design")</f>
        <v>wrong study design</v>
      </c>
    </row>
    <row r="2005">
      <c r="A2005" s="4" t="str">
        <f>IFERROR(__xludf.DUMMYFUNCTION("""COMPUTED_VALUE"""),"Treatment of Chiari malformation, syringomyelia and hydrocephalus by neuroendoscopic third ventriculostomy")</f>
        <v>Treatment of Chiari malformation, syringomyelia and hydrocephalus by neuroendoscopic third ventriculostomy</v>
      </c>
      <c r="B2005" s="5" t="str">
        <f>IFERROR(__xludf.DUMMYFUNCTION("LEFT(FILTER(IMPORTRANGE(""https://docs.google.com/spreadsheets/d/1BJSV3WBYJGRhQ6zExamkszQ5VutGIcaQqmbD9ZTVXMQ/edit#gid=1251630045"",""articles_with_PRISMA_reasons!K2:K2113""), $A2005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$A2005=IMPORTRANGE(""https://docs.google.com/spreadsheets/d/1BJSV3WBYJGRhQ6zExamkszQ5VutGIcaQqmbD9ZTVXMQ/edit#gid=1251630045"",""articles_with_PRISMA_reasons!B2:B2113"")))-1)"),"Buxton")</f>
        <v>Buxton</v>
      </c>
      <c r="C2005" s="6">
        <f>IFERROR(__xludf.DUMMYFUNCTION("FILTER(IMPORTRANGE(""https://docs.google.com/spreadsheets/d/1BJSV3WBYJGRhQ6zExamkszQ5VutGIcaQqmbD9ZTVXMQ/edit#gid=1251630045"",""articles_with_PRISMA_reasons!C2:C2113""), $A2005=IMPORTRANGE(""https://docs.google.com/spreadsheets/d/1BJSV3WBYJGRhQ6zExamkszQ"&amp;"5VutGIcaQqmbD9ZTVXMQ/edit#gid=1251630045"",""articles_with_PRISMA_reasons!B2:B2113""))"),2002.0)</f>
        <v>2002</v>
      </c>
      <c r="D2005" s="5" t="str">
        <f>IFERROR(__xludf.DUMMYFUNCTION("IFS(AND(
FILTER(IMPORTRANGE(""https://docs.google.com/spreadsheets/d/1BJSV3WBYJGRhQ6zExamkszQ5VutGIcaQqmbD9ZTVXMQ/edit#gid=1251630045"",""articles_with_PRISMA_reasons!Y2:Y2113""), $A2005=IMPORTRANGE(""https://docs.google.com/spreadsheets/d/1BJSV3WBYJGRhQ6"&amp;"zExamkszQ5VutGIcaQqmbD9ZTVXMQ/edit#gid=1251630045"",""articles_with_PRISMA_reasons!B2:B2113""))&gt;=2,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$A2005=IMPORTRANGE(""https://docs.google"&amp;".com/spreadsheets/d/1BJSV3WBYJGRhQ6zExamkszQ5VutGIcaQqmbD9ZTVXMQ/edit#gid=1251630045"",""articles_with_PRISMA_reasons!B2:B2113""))&gt;=2),
""Exclude""
)"),"Exclude")</f>
        <v>Exclude</v>
      </c>
      <c r="E2005" s="5" t="str">
        <f>IFERROR(__xludf.DUMMYFUNCTION("IFS(
D2005=""Exclude"",""Exclude"",
AND(
FILTER(IMPORTRANGE(""https://docs.google.com/spreadsheets/d/1qpEmbGH0JjaJbUdp21-y2cPbobDbMjr09BbtdKROZWc/edit#gid=1444865654"",""articles_with_PRISMA_reasons!W2:W2113""), $A2005=IMPORTRANGE(""https://docs.google.co"&amp;"m/spreadsheets/d/1qpEmbGH0JjaJbUdp21-y2cPbobDbMjr09BbtdKROZWc/edit#gid=1444865654"",""articles_with_PRISMA_reasons!B2:B2113""))&gt;=2,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$A2005=I"&amp;"MPORTRANGE(""https://docs.google.com/spreadsheets/d/1qpEmbGH0JjaJbUdp21-y2cPbobDbMjr09BbtdKROZWc/edit#gid=1444865654"",""articles_with_PRISMA_reasons!B2:B2113""))&gt;=2),
""Exclude""
)"),"Exclude")</f>
        <v>Exclude</v>
      </c>
      <c r="F2005" s="5" t="str">
        <f>IFERROR(__xludf.DUMMYFUNCTION("IFS(
E2005=""Exclude"",""Exclude"",
AND(
COUNTIF(
IMPORTRANGE(""https://docs.google.com/spreadsheets/d/1kGrh75X1cNR1D7_FcY9zMnHP8iPO4M5RCRjy6nZY0TY/edit#gid=0"",""Table 1: Study characteristics!B4:B171""),A2005)&gt;0,
COUNTIF(Studies!$A$2:$A$85,FILTER(IMPORT"&amp;"RANGE(""https://docs.google.com/spreadsheets/d/1kGrh75X1cNR1D7_FcY9zMnHP8iPO4M5RCRjy6nZY0TY/edit#gid=0"",""Table 1: Study characteristics!A4:A171""), $A2005=IMPORTRANGE(""https://docs.google.com/spreadsheets/d/1kGrh75X1cNR1D7_FcY9zMnHP8iPO4M5RCRjy6nZY0TY/"&amp;"edit#gid=0"",""Table 1: Study characteristics!B4:B171"")))&gt;0
),
""Include""
)"),"Exclude")</f>
        <v>Exclude</v>
      </c>
      <c r="G2005" s="5" t="str">
        <f>IFERROR(__xludf.DUMMYFUNCTION("IFS(
D2005=""Exclude"",
FILTER(IMPORTRANGE(""https://docs.google.com/spreadsheets/d/1BJSV3WBYJGRhQ6zExamkszQ5VutGIcaQqmbD9ZTVXMQ/edit#gid=1251630045"",""articles_with_PRISMA_reasons!AB2:AB2113""), $A2005=IMPORTRANGE(""https://docs.google.com/spreadsheets/"&amp;"d/1BJSV3WBYJGRhQ6zExamkszQ5VutGIcaQqmbD9ZTVXMQ/edit#gid=1251630045"",""articles_with_PRISMA_reasons!B2:B2113"")),
E2005=""Exclude"",
FILTER(IMPORTRANGE(""https://docs.google.com/spreadsheets/d/1qpEmbGH0JjaJbUdp21-y2cPbobDbMjr09BbtdKROZWc/edit#gid=14448656"&amp;"54"",""articles_with_PRISMA_reasons!Z2:Z2113""), $A2005=IMPORTRANGE(""https://docs.google.com/spreadsheets/d/1qpEmbGH0JjaJbUdp21-y2cPbobDbMjr09BbtdKROZWc/edit#gid=1444865654"",""articles_with_PRISMA_reasons!B2:B2113"")),F2005
=""Include"",FILTER(IMPORTRAN"&amp;"GE(""https://docs.google.com/spreadsheets/d/1kGrh75X1cNR1D7_FcY9zMnHP8iPO4M5RCRjy6nZY0TY/edit#gid=0"",""Table 1: Study characteristics!A4:A171""), $A2005=IMPORTRANGE(""https://docs.google.com/spreadsheets/d/1kGrh75X1cNR1D7_FcY9zMnHP8iPO4M5RCRjy6nZY0TY/edi"&amp;"t#gid=0"",""Table 1: Study characteristics!B4:B171""))
)"),"wrong study design")</f>
        <v>wrong study design</v>
      </c>
    </row>
    <row r="2006">
      <c r="A2006" s="4" t="str">
        <f>IFERROR(__xludf.DUMMYFUNCTION("""COMPUTED_VALUE"""),"Treatment of CSF shunt system infections in hydrocephalic children")</f>
        <v>Treatment of CSF shunt system infections in hydrocephalic children</v>
      </c>
      <c r="B2006" s="5" t="str">
        <f>IFERROR(__xludf.DUMMYFUNCTION("LEFT(FILTER(IMPORTRANGE(""https://docs.google.com/spreadsheets/d/1BJSV3WBYJGRhQ6zExamkszQ5VutGIcaQqmbD9ZTVXMQ/edit#gid=1251630045"",""articles_with_PRISMA_reasons!K2:K2113""), $A2006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$A2006=IMPORTRANGE(""https://docs.google.com/spreadsheets/d/1BJSV3WBYJGRhQ6zExamkszQ5VutGIcaQqmbD9ZTVXMQ/edit#gid=1251630045"",""articles_with_PRISMA_reasons!B2:B2113"")))-1)"),"Roszkowski")</f>
        <v>Roszkowski</v>
      </c>
      <c r="C2006" s="6">
        <f>IFERROR(__xludf.DUMMYFUNCTION("FILTER(IMPORTRANGE(""https://docs.google.com/spreadsheets/d/1BJSV3WBYJGRhQ6zExamkszQ5VutGIcaQqmbD9ZTVXMQ/edit#gid=1251630045"",""articles_with_PRISMA_reasons!C2:C2113""), $A2006=IMPORTRANGE(""https://docs.google.com/spreadsheets/d/1BJSV3WBYJGRhQ6zExamkszQ"&amp;"5VutGIcaQqmbD9ZTVXMQ/edit#gid=1251630045"",""articles_with_PRISMA_reasons!B2:B2113""))"),2005.0)</f>
        <v>2005</v>
      </c>
      <c r="D2006" s="5" t="str">
        <f>IFERROR(__xludf.DUMMYFUNCTION("IFS(AND(
FILTER(IMPORTRANGE(""https://docs.google.com/spreadsheets/d/1BJSV3WBYJGRhQ6zExamkszQ5VutGIcaQqmbD9ZTVXMQ/edit#gid=1251630045"",""articles_with_PRISMA_reasons!Y2:Y2113""), $A2006=IMPORTRANGE(""https://docs.google.com/spreadsheets/d/1BJSV3WBYJGRhQ6"&amp;"zExamkszQ5VutGIcaQqmbD9ZTVXMQ/edit#gid=1251630045"",""articles_with_PRISMA_reasons!B2:B2113""))&gt;=2,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$A2006=IMPORTRANGE(""https://docs.google"&amp;".com/spreadsheets/d/1BJSV3WBYJGRhQ6zExamkszQ5VutGIcaQqmbD9ZTVXMQ/edit#gid=1251630045"",""articles_with_PRISMA_reasons!B2:B2113""))&gt;=2),
""Exclude""
)"),"Include")</f>
        <v>Include</v>
      </c>
      <c r="E2006" s="5" t="str">
        <f>IFERROR(__xludf.DUMMYFUNCTION("IFS(
D2006=""Exclude"",""Exclude"",
AND(
FILTER(IMPORTRANGE(""https://docs.google.com/spreadsheets/d/1qpEmbGH0JjaJbUdp21-y2cPbobDbMjr09BbtdKROZWc/edit#gid=1444865654"",""articles_with_PRISMA_reasons!W2:W2113""), $A2006=IMPORTRANGE(""https://docs.google.co"&amp;"m/spreadsheets/d/1qpEmbGH0JjaJbUdp21-y2cPbobDbMjr09BbtdKROZWc/edit#gid=1444865654"",""articles_with_PRISMA_reasons!B2:B2113""))&gt;=2,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$A2006=I"&amp;"MPORTRANGE(""https://docs.google.com/spreadsheets/d/1qpEmbGH0JjaJbUdp21-y2cPbobDbMjr09BbtdKROZWc/edit#gid=1444865654"",""articles_with_PRISMA_reasons!B2:B2113""))&gt;=2),
""Exclude""
)"),"Exclude")</f>
        <v>Exclude</v>
      </c>
      <c r="F2006" s="5" t="str">
        <f>IFERROR(__xludf.DUMMYFUNCTION("IFS(
E2006=""Exclude"",""Exclude"",
AND(
COUNTIF(
IMPORTRANGE(""https://docs.google.com/spreadsheets/d/1kGrh75X1cNR1D7_FcY9zMnHP8iPO4M5RCRjy6nZY0TY/edit#gid=0"",""Table 1: Study characteristics!B4:B171""),A2006)&gt;0,
COUNTIF(Studies!$A$2:$A$85,FILTER(IMPORT"&amp;"RANGE(""https://docs.google.com/spreadsheets/d/1kGrh75X1cNR1D7_FcY9zMnHP8iPO4M5RCRjy6nZY0TY/edit#gid=0"",""Table 1: Study characteristics!A4:A171""), $A2006=IMPORTRANGE(""https://docs.google.com/spreadsheets/d/1kGrh75X1cNR1D7_FcY9zMnHP8iPO4M5RCRjy6nZY0TY/"&amp;"edit#gid=0"",""Table 1: Study characteristics!B4:B171"")))&gt;0
),
""Include""
)"),"Exclude")</f>
        <v>Exclude</v>
      </c>
      <c r="G2006" s="5" t="str">
        <f>IFERROR(__xludf.DUMMYFUNCTION("IFS(
D2006=""Exclude"",
FILTER(IMPORTRANGE(""https://docs.google.com/spreadsheets/d/1BJSV3WBYJGRhQ6zExamkszQ5VutGIcaQqmbD9ZTVXMQ/edit#gid=1251630045"",""articles_with_PRISMA_reasons!AB2:AB2113""), $A2006=IMPORTRANGE(""https://docs.google.com/spreadsheets/"&amp;"d/1BJSV3WBYJGRhQ6zExamkszQ5VutGIcaQqmbD9ZTVXMQ/edit#gid=1251630045"",""articles_with_PRISMA_reasons!B2:B2113"")),
E2006=""Exclude"",
FILTER(IMPORTRANGE(""https://docs.google.com/spreadsheets/d/1qpEmbGH0JjaJbUdp21-y2cPbobDbMjr09BbtdKROZWc/edit#gid=14448656"&amp;"54"",""articles_with_PRISMA_reasons!Z2:Z2113""), $A2006=IMPORTRANGE(""https://docs.google.com/spreadsheets/d/1qpEmbGH0JjaJbUdp21-y2cPbobDbMjr09BbtdKROZWc/edit#gid=1444865654"",""articles_with_PRISMA_reasons!B2:B2113"")),F2006
=""Include"",FILTER(IMPORTRAN"&amp;"GE(""https://docs.google.com/spreadsheets/d/1kGrh75X1cNR1D7_FcY9zMnHP8iPO4M5RCRjy6nZY0TY/edit#gid=0"",""Table 1: Study characteristics!A4:A171""), $A2006=IMPORTRANGE(""https://docs.google.com/spreadsheets/d/1kGrh75X1cNR1D7_FcY9zMnHP8iPO4M5RCRjy6nZY0TY/edi"&amp;"t#gid=0"",""Table 1: Study characteristics!B4:B171""))
)"),"wrong population")</f>
        <v>wrong population</v>
      </c>
    </row>
    <row r="2007">
      <c r="A2007" s="4" t="str">
        <f>IFERROR(__xludf.DUMMYFUNCTION("""COMPUTED_VALUE"""),"Treatment of Hydrocephalus in Adults")</f>
        <v>Treatment of Hydrocephalus in Adults</v>
      </c>
      <c r="B2007" s="5" t="str">
        <f>IFERROR(__xludf.DUMMYFUNCTION("LEFT(FILTER(IMPORTRANGE(""https://docs.google.com/spreadsheets/d/1BJSV3WBYJGRhQ6zExamkszQ5VutGIcaQqmbD9ZTVXMQ/edit#gid=1251630045"",""articles_with_PRISMA_reasons!K2:K2113""), $A2007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$A2007=IMPORTRANGE(""https://docs.google.com/spreadsheets/d/1BJSV3WBYJGRhQ6zExamkszQ5VutGIcaQqmbD9ZTVXMQ/edit#gid=1251630045"",""articles_with_PRISMA_reasons!B2:B2113"")))-1)"),"Hamilton")</f>
        <v>Hamilton</v>
      </c>
      <c r="C2007" s="6">
        <f>IFERROR(__xludf.DUMMYFUNCTION("FILTER(IMPORTRANGE(""https://docs.google.com/spreadsheets/d/1BJSV3WBYJGRhQ6zExamkszQ5VutGIcaQqmbD9ZTVXMQ/edit#gid=1251630045"",""articles_with_PRISMA_reasons!C2:C2113""), $A2007=IMPORTRANGE(""https://docs.google.com/spreadsheets/d/1BJSV3WBYJGRhQ6zExamkszQ"&amp;"5VutGIcaQqmbD9ZTVXMQ/edit#gid=1251630045"",""articles_with_PRISMA_reasons!B2:B2113""))"),2009.0)</f>
        <v>2009</v>
      </c>
      <c r="D2007" s="5" t="str">
        <f>IFERROR(__xludf.DUMMYFUNCTION("IFS(AND(
FILTER(IMPORTRANGE(""https://docs.google.com/spreadsheets/d/1BJSV3WBYJGRhQ6zExamkszQ5VutGIcaQqmbD9ZTVXMQ/edit#gid=1251630045"",""articles_with_PRISMA_reasons!Y2:Y2113""), $A2007=IMPORTRANGE(""https://docs.google.com/spreadsheets/d/1BJSV3WBYJGRhQ6"&amp;"zExamkszQ5VutGIcaQqmbD9ZTVXMQ/edit#gid=1251630045"",""articles_with_PRISMA_reasons!B2:B2113""))&gt;=2,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$A2007=IMPORTRANGE(""https://docs.google"&amp;".com/spreadsheets/d/1BJSV3WBYJGRhQ6zExamkszQ5VutGIcaQqmbD9ZTVXMQ/edit#gid=1251630045"",""articles_with_PRISMA_reasons!B2:B2113""))&gt;=2),
""Exclude""
)"),"Exclude")</f>
        <v>Exclude</v>
      </c>
      <c r="E2007" s="5" t="str">
        <f>IFERROR(__xludf.DUMMYFUNCTION("IFS(
D2007=""Exclude"",""Exclude"",
AND(
FILTER(IMPORTRANGE(""https://docs.google.com/spreadsheets/d/1qpEmbGH0JjaJbUdp21-y2cPbobDbMjr09BbtdKROZWc/edit#gid=1444865654"",""articles_with_PRISMA_reasons!W2:W2113""), $A2007=IMPORTRANGE(""https://docs.google.co"&amp;"m/spreadsheets/d/1qpEmbGH0JjaJbUdp21-y2cPbobDbMjr09BbtdKROZWc/edit#gid=1444865654"",""articles_with_PRISMA_reasons!B2:B2113""))&gt;=2,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$A2007=I"&amp;"MPORTRANGE(""https://docs.google.com/spreadsheets/d/1qpEmbGH0JjaJbUdp21-y2cPbobDbMjr09BbtdKROZWc/edit#gid=1444865654"",""articles_with_PRISMA_reasons!B2:B2113""))&gt;=2),
""Exclude""
)"),"Exclude")</f>
        <v>Exclude</v>
      </c>
      <c r="F2007" s="5" t="str">
        <f>IFERROR(__xludf.DUMMYFUNCTION("IFS(
E2007=""Exclude"",""Exclude"",
AND(
COUNTIF(
IMPORTRANGE(""https://docs.google.com/spreadsheets/d/1kGrh75X1cNR1D7_FcY9zMnHP8iPO4M5RCRjy6nZY0TY/edit#gid=0"",""Table 1: Study characteristics!B4:B171""),A2007)&gt;0,
COUNTIF(Studies!$A$2:$A$85,FILTER(IMPORT"&amp;"RANGE(""https://docs.google.com/spreadsheets/d/1kGrh75X1cNR1D7_FcY9zMnHP8iPO4M5RCRjy6nZY0TY/edit#gid=0"",""Table 1: Study characteristics!A4:A171""), $A2007=IMPORTRANGE(""https://docs.google.com/spreadsheets/d/1kGrh75X1cNR1D7_FcY9zMnHP8iPO4M5RCRjy6nZY0TY/"&amp;"edit#gid=0"",""Table 1: Study characteristics!B4:B171"")))&gt;0
),
""Include""
)"),"Exclude")</f>
        <v>Exclude</v>
      </c>
      <c r="G2007" s="5" t="str">
        <f>IFERROR(__xludf.DUMMYFUNCTION("IFS(
D2007=""Exclude"",
FILTER(IMPORTRANGE(""https://docs.google.com/spreadsheets/d/1BJSV3WBYJGRhQ6zExamkszQ5VutGIcaQqmbD9ZTVXMQ/edit#gid=1251630045"",""articles_with_PRISMA_reasons!AB2:AB2113""), $A2007=IMPORTRANGE(""https://docs.google.com/spreadsheets/"&amp;"d/1BJSV3WBYJGRhQ6zExamkszQ5VutGIcaQqmbD9ZTVXMQ/edit#gid=1251630045"",""articles_with_PRISMA_reasons!B2:B2113"")),
E2007=""Exclude"",
FILTER(IMPORTRANGE(""https://docs.google.com/spreadsheets/d/1qpEmbGH0JjaJbUdp21-y2cPbobDbMjr09BbtdKROZWc/edit#gid=14448656"&amp;"54"",""articles_with_PRISMA_reasons!Z2:Z2113""), $A2007=IMPORTRANGE(""https://docs.google.com/spreadsheets/d/1qpEmbGH0JjaJbUdp21-y2cPbobDbMjr09BbtdKROZWc/edit#gid=1444865654"",""articles_with_PRISMA_reasons!B2:B2113"")),F2007
=""Include"",FILTER(IMPORTRAN"&amp;"GE(""https://docs.google.com/spreadsheets/d/1kGrh75X1cNR1D7_FcY9zMnHP8iPO4M5RCRjy6nZY0TY/edit#gid=0"",""Table 1: Study characteristics!A4:A171""), $A2007=IMPORTRANGE(""https://docs.google.com/spreadsheets/d/1kGrh75X1cNR1D7_FcY9zMnHP8iPO4M5RCRjy6nZY0TY/edi"&amp;"t#gid=0"",""Table 1: Study characteristics!B4:B171""))
)"),"wrong population")</f>
        <v>wrong population</v>
      </c>
    </row>
    <row r="2008">
      <c r="A2008" s="4" t="str">
        <f>IFERROR(__xludf.DUMMYFUNCTION("""COMPUTED_VALUE"""),"Treatment of hydrocephalus in children with open meningomyelocele - A 10-year experience")</f>
        <v>Treatment of hydrocephalus in children with open meningomyelocele - A 10-year experience</v>
      </c>
      <c r="B2008" s="5" t="str">
        <f>IFERROR(__xludf.DUMMYFUNCTION("LEFT(FILTER(IMPORTRANGE(""https://docs.google.com/spreadsheets/d/1BJSV3WBYJGRhQ6zExamkszQ5VutGIcaQqmbD9ZTVXMQ/edit#gid=1251630045"",""articles_with_PRISMA_reasons!K2:K2113""), $A2008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$A2008=IMPORTRANGE(""https://docs.google.com/spreadsheets/d/1BJSV3WBYJGRhQ6zExamkszQ5VutGIcaQqmbD9ZTVXMQ/edit#gid=1251630045"",""articles_with_PRISMA_reasons!B2:B2113"")))-1)"),"Rysiakiewicz")</f>
        <v>Rysiakiewicz</v>
      </c>
      <c r="C2008" s="6">
        <f>IFERROR(__xludf.DUMMYFUNCTION("FILTER(IMPORTRANGE(""https://docs.google.com/spreadsheets/d/1BJSV3WBYJGRhQ6zExamkszQ5VutGIcaQqmbD9ZTVXMQ/edit#gid=1251630045"",""articles_with_PRISMA_reasons!C2:C2113""), $A2008=IMPORTRANGE(""https://docs.google.com/spreadsheets/d/1BJSV3WBYJGRhQ6zExamkszQ"&amp;"5VutGIcaQqmbD9ZTVXMQ/edit#gid=1251630045"",""articles_with_PRISMA_reasons!B2:B2113""))"),2011.0)</f>
        <v>2011</v>
      </c>
      <c r="D2008" s="5" t="str">
        <f>IFERROR(__xludf.DUMMYFUNCTION("IFS(AND(
FILTER(IMPORTRANGE(""https://docs.google.com/spreadsheets/d/1BJSV3WBYJGRhQ6zExamkszQ5VutGIcaQqmbD9ZTVXMQ/edit#gid=1251630045"",""articles_with_PRISMA_reasons!Y2:Y2113""), $A2008=IMPORTRANGE(""https://docs.google.com/spreadsheets/d/1BJSV3WBYJGRhQ6"&amp;"zExamkszQ5VutGIcaQqmbD9ZTVXMQ/edit#gid=1251630045"",""articles_with_PRISMA_reasons!B2:B2113""))&gt;=2,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$A2008=IMPORTRANGE(""https://docs.google"&amp;".com/spreadsheets/d/1BJSV3WBYJGRhQ6zExamkszQ5VutGIcaQqmbD9ZTVXMQ/edit#gid=1251630045"",""articles_with_PRISMA_reasons!B2:B2113""))&gt;=2),
""Exclude""
)"),"Include")</f>
        <v>Include</v>
      </c>
      <c r="E2008" s="5" t="str">
        <f>IFERROR(__xludf.DUMMYFUNCTION("IFS(
D2008=""Exclude"",""Exclude"",
AND(
FILTER(IMPORTRANGE(""https://docs.google.com/spreadsheets/d/1qpEmbGH0JjaJbUdp21-y2cPbobDbMjr09BbtdKROZWc/edit#gid=1444865654"",""articles_with_PRISMA_reasons!W2:W2113""), $A2008=IMPORTRANGE(""https://docs.google.co"&amp;"m/spreadsheets/d/1qpEmbGH0JjaJbUdp21-y2cPbobDbMjr09BbtdKROZWc/edit#gid=1444865654"",""articles_with_PRISMA_reasons!B2:B2113""))&gt;=2,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$A2008=I"&amp;"MPORTRANGE(""https://docs.google.com/spreadsheets/d/1qpEmbGH0JjaJbUdp21-y2cPbobDbMjr09BbtdKROZWc/edit#gid=1444865654"",""articles_with_PRISMA_reasons!B2:B2113""))&gt;=2),
""Exclude""
)"),"Include")</f>
        <v>Include</v>
      </c>
      <c r="F2008" s="5" t="str">
        <f>IFERROR(__xludf.DUMMYFUNCTION("IFS(
E2008=""Exclude"",""Exclude"",
AND(
COUNTIF(
IMPORTRANGE(""https://docs.google.com/spreadsheets/d/1kGrh75X1cNR1D7_FcY9zMnHP8iPO4M5RCRjy6nZY0TY/edit#gid=0"",""Table 1: Study characteristics!B4:B171""),A2008)&gt;0,
COUNTIF(Studies!$A$2:$A$85,FILTER(IMPORT"&amp;"RANGE(""https://docs.google.com/spreadsheets/d/1kGrh75X1cNR1D7_FcY9zMnHP8iPO4M5RCRjy6nZY0TY/edit#gid=0"",""Table 1: Study characteristics!A4:A171""), $A2008=IMPORTRANGE(""https://docs.google.com/spreadsheets/d/1kGrh75X1cNR1D7_FcY9zMnHP8iPO4M5RCRjy6nZY0TY/"&amp;"edit#gid=0"",""Table 1: Study characteristics!B4:B171"")))&gt;0
),
""Include""
)"),"Include")</f>
        <v>Include</v>
      </c>
      <c r="G2008" s="5" t="str">
        <f>IFERROR(__xludf.DUMMYFUNCTION("IFS(
D2008=""Exclude"",
FILTER(IMPORTRANGE(""https://docs.google.com/spreadsheets/d/1BJSV3WBYJGRhQ6zExamkszQ5VutGIcaQqmbD9ZTVXMQ/edit#gid=1251630045"",""articles_with_PRISMA_reasons!AB2:AB2113""), $A2008=IMPORTRANGE(""https://docs.google.com/spreadsheets/"&amp;"d/1BJSV3WBYJGRhQ6zExamkszQ5VutGIcaQqmbD9ZTVXMQ/edit#gid=1251630045"",""articles_with_PRISMA_reasons!B2:B2113"")),
E2008=""Exclude"",
FILTER(IMPORTRANGE(""https://docs.google.com/spreadsheets/d/1qpEmbGH0JjaJbUdp21-y2cPbobDbMjr09BbtdKROZWc/edit#gid=14448656"&amp;"54"",""articles_with_PRISMA_reasons!Z2:Z2113""), $A2008=IMPORTRANGE(""https://docs.google.com/spreadsheets/d/1qpEmbGH0JjaJbUdp21-y2cPbobDbMjr09BbtdKROZWc/edit#gid=1444865654"",""articles_with_PRISMA_reasons!B2:B2113"")),F2008
=""Include"",FILTER(IMPORTRAN"&amp;"GE(""https://docs.google.com/spreadsheets/d/1kGrh75X1cNR1D7_FcY9zMnHP8iPO4M5RCRjy6nZY0TY/edit#gid=0"",""Table 1: Study characteristics!A4:A171""), $A2008=IMPORTRANGE(""https://docs.google.com/spreadsheets/d/1kGrh75X1cNR1D7_FcY9zMnHP8iPO4M5RCRjy6nZY0TY/edi"&amp;"t#gid=0"",""Table 1: Study characteristics!B4:B171""))
)"),"ID 165")</f>
        <v>ID 165</v>
      </c>
    </row>
    <row r="2009">
      <c r="A2009" s="4" t="str">
        <f>IFERROR(__xludf.DUMMYFUNCTION("""COMPUTED_VALUE"""),"Treatment of hydrocephalus in patients with meningomyelocele of encephalocele: A recent series")</f>
        <v>Treatment of hydrocephalus in patients with meningomyelocele of encephalocele: A recent series</v>
      </c>
      <c r="B2009" s="5" t="str">
        <f>IFERROR(__xludf.DUMMYFUNCTION("LEFT(FILTER(IMPORTRANGE(""https://docs.google.com/spreadsheets/d/1BJSV3WBYJGRhQ6zExamkszQ5VutGIcaQqmbD9ZTVXMQ/edit#gid=1251630045"",""articles_with_PRISMA_reasons!K2:K2113""), $A2009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$A2009=IMPORTRANGE(""https://docs.google.com/spreadsheets/d/1BJSV3WBYJGRhQ6zExamkszQ5VutGIcaQqmbD9ZTVXMQ/edit#gid=1251630045"",""articles_with_PRISMA_reasons!B2:B2113"")))-1)"),"Gamache Jr")</f>
        <v>Gamache Jr</v>
      </c>
      <c r="C2009" s="6">
        <f>IFERROR(__xludf.DUMMYFUNCTION("FILTER(IMPORTRANGE(""https://docs.google.com/spreadsheets/d/1BJSV3WBYJGRhQ6zExamkszQ5VutGIcaQqmbD9ZTVXMQ/edit#gid=1251630045"",""articles_with_PRISMA_reasons!C2:C2113""), $A2009=IMPORTRANGE(""https://docs.google.com/spreadsheets/d/1BJSV3WBYJGRhQ6zExamkszQ"&amp;"5VutGIcaQqmbD9ZTVXMQ/edit#gid=1251630045"",""articles_with_PRISMA_reasons!B2:B2113""))"),1995.0)</f>
        <v>1995</v>
      </c>
      <c r="D2009" s="5" t="str">
        <f>IFERROR(__xludf.DUMMYFUNCTION("IFS(AND(
FILTER(IMPORTRANGE(""https://docs.google.com/spreadsheets/d/1BJSV3WBYJGRhQ6zExamkszQ5VutGIcaQqmbD9ZTVXMQ/edit#gid=1251630045"",""articles_with_PRISMA_reasons!Y2:Y2113""), $A2009=IMPORTRANGE(""https://docs.google.com/spreadsheets/d/1BJSV3WBYJGRhQ6"&amp;"zExamkszQ5VutGIcaQqmbD9ZTVXMQ/edit#gid=1251630045"",""articles_with_PRISMA_reasons!B2:B2113""))&gt;=2,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$A2009=IMPORTRANGE(""https://docs.google"&amp;".com/spreadsheets/d/1BJSV3WBYJGRhQ6zExamkszQ5VutGIcaQqmbD9ZTVXMQ/edit#gid=1251630045"",""articles_with_PRISMA_reasons!B2:B2113""))&gt;=2),
""Exclude""
)"),"Include")</f>
        <v>Include</v>
      </c>
      <c r="E2009" s="5" t="str">
        <f>IFERROR(__xludf.DUMMYFUNCTION("IFS(
D2009=""Exclude"",""Exclude"",
AND(
FILTER(IMPORTRANGE(""https://docs.google.com/spreadsheets/d/1qpEmbGH0JjaJbUdp21-y2cPbobDbMjr09BbtdKROZWc/edit#gid=1444865654"",""articles_with_PRISMA_reasons!W2:W2113""), $A2009=IMPORTRANGE(""https://docs.google.co"&amp;"m/spreadsheets/d/1qpEmbGH0JjaJbUdp21-y2cPbobDbMjr09BbtdKROZWc/edit#gid=1444865654"",""articles_with_PRISMA_reasons!B2:B2113""))&gt;=2,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$A2009=I"&amp;"MPORTRANGE(""https://docs.google.com/spreadsheets/d/1qpEmbGH0JjaJbUdp21-y2cPbobDbMjr09BbtdKROZWc/edit#gid=1444865654"",""articles_with_PRISMA_reasons!B2:B2113""))&gt;=2),
""Exclude""
)"),"Exclude")</f>
        <v>Exclude</v>
      </c>
      <c r="F2009" s="5" t="str">
        <f>IFERROR(__xludf.DUMMYFUNCTION("IFS(
E2009=""Exclude"",""Exclude"",
AND(
COUNTIF(
IMPORTRANGE(""https://docs.google.com/spreadsheets/d/1kGrh75X1cNR1D7_FcY9zMnHP8iPO4M5RCRjy6nZY0TY/edit#gid=0"",""Table 1: Study characteristics!B4:B171""),A2009)&gt;0,
COUNTIF(Studies!$A$2:$A$85,FILTER(IMPORT"&amp;"RANGE(""https://docs.google.com/spreadsheets/d/1kGrh75X1cNR1D7_FcY9zMnHP8iPO4M5RCRjy6nZY0TY/edit#gid=0"",""Table 1: Study characteristics!A4:A171""), $A2009=IMPORTRANGE(""https://docs.google.com/spreadsheets/d/1kGrh75X1cNR1D7_FcY9zMnHP8iPO4M5RCRjy6nZY0TY/"&amp;"edit#gid=0"",""Table 1: Study characteristics!B4:B171"")))&gt;0
),
""Include""
)"),"Exclude")</f>
        <v>Exclude</v>
      </c>
      <c r="G2009" s="5" t="str">
        <f>IFERROR(__xludf.DUMMYFUNCTION("IFS(
D2009=""Exclude"",
FILTER(IMPORTRANGE(""https://docs.google.com/spreadsheets/d/1BJSV3WBYJGRhQ6zExamkszQ5VutGIcaQqmbD9ZTVXMQ/edit#gid=1251630045"",""articles_with_PRISMA_reasons!AB2:AB2113""), $A2009=IMPORTRANGE(""https://docs.google.com/spreadsheets/"&amp;"d/1BJSV3WBYJGRhQ6zExamkszQ5VutGIcaQqmbD9ZTVXMQ/edit#gid=1251630045"",""articles_with_PRISMA_reasons!B2:B2113"")),
E2009=""Exclude"",
FILTER(IMPORTRANGE(""https://docs.google.com/spreadsheets/d/1qpEmbGH0JjaJbUdp21-y2cPbobDbMjr09BbtdKROZWc/edit#gid=14448656"&amp;"54"",""articles_with_PRISMA_reasons!Z2:Z2113""), $A2009=IMPORTRANGE(""https://docs.google.com/spreadsheets/d/1qpEmbGH0JjaJbUdp21-y2cPbobDbMjr09BbtdKROZWc/edit#gid=1444865654"",""articles_with_PRISMA_reasons!B2:B2113"")),F2009
=""Include"",FILTER(IMPORTRAN"&amp;"GE(""https://docs.google.com/spreadsheets/d/1kGrh75X1cNR1D7_FcY9zMnHP8iPO4M5RCRjy6nZY0TY/edit#gid=0"",""Table 1: Study characteristics!A4:A171""), $A2009=IMPORTRANGE(""https://docs.google.com/spreadsheets/d/1kGrh75X1cNR1D7_FcY9zMnHP8iPO4M5RCRjy6nZY0TY/edi"&amp;"t#gid=0"",""Table 1: Study characteristics!B4:B171""))
)"),"wrong population")</f>
        <v>wrong population</v>
      </c>
    </row>
    <row r="2010">
      <c r="A2010" s="4" t="str">
        <f>IFERROR(__xludf.DUMMYFUNCTION("""COMPUTED_VALUE"""),"Treatment of hydromyelia in spina bifida")</f>
        <v>Treatment of hydromyelia in spina bifida</v>
      </c>
      <c r="B2010" s="5" t="str">
        <f>IFERROR(__xludf.DUMMYFUNCTION("LEFT(FILTER(IMPORTRANGE(""https://docs.google.com/spreadsheets/d/1BJSV3WBYJGRhQ6zExamkszQ5VutGIcaQqmbD9ZTVXMQ/edit#gid=1251630045"",""articles_with_PRISMA_reasons!K2:K2113""), $A2010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$A2010=IMPORTRANGE(""https://docs.google.com/spreadsheets/d/1BJSV3WBYJGRhQ6zExamkszQ5VutGIcaQqmbD9ZTVXMQ/edit#gid=1251630045"",""articles_with_PRISMA_reasons!B2:B2113"")))-1)"),"Caldarelli")</f>
        <v>Caldarelli</v>
      </c>
      <c r="C2010" s="6" t="str">
        <f>IFERROR(__xludf.DUMMYFUNCTION("FILTER(IMPORTRANGE(""https://docs.google.com/spreadsheets/d/1BJSV3WBYJGRhQ6zExamkszQ5VutGIcaQqmbD9ZTVXMQ/edit#gid=1251630045"",""articles_with_PRISMA_reasons!C2:C2113""), $A2010=IMPORTRANGE(""https://docs.google.com/spreadsheets/d/1BJSV3WBYJGRhQ6zExamkszQ"&amp;"5VutGIcaQqmbD9ZTVXMQ/edit#gid=1251630045"",""articles_with_PRISMA_reasons!B2:B2113""))"),"Nov")</f>
        <v>Nov</v>
      </c>
      <c r="D2010" s="5" t="str">
        <f>IFERROR(__xludf.DUMMYFUNCTION("IFS(AND(
FILTER(IMPORTRANGE(""https://docs.google.com/spreadsheets/d/1BJSV3WBYJGRhQ6zExamkszQ5VutGIcaQqmbD9ZTVXMQ/edit#gid=1251630045"",""articles_with_PRISMA_reasons!Y2:Y2113""), $A2010=IMPORTRANGE(""https://docs.google.com/spreadsheets/d/1BJSV3WBYJGRhQ6"&amp;"zExamkszQ5VutGIcaQqmbD9ZTVXMQ/edit#gid=1251630045"",""articles_with_PRISMA_reasons!B2:B2113""))&gt;=2,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$A2010=IMPORTRANGE(""https://docs.google"&amp;".com/spreadsheets/d/1BJSV3WBYJGRhQ6zExamkszQ5VutGIcaQqmbD9ZTVXMQ/edit#gid=1251630045"",""articles_with_PRISMA_reasons!B2:B2113""))&gt;=2),
""Exclude""
)"),"Exclude")</f>
        <v>Exclude</v>
      </c>
      <c r="E2010" s="5" t="str">
        <f>IFERROR(__xludf.DUMMYFUNCTION("IFS(
D2010=""Exclude"",""Exclude"",
AND(
FILTER(IMPORTRANGE(""https://docs.google.com/spreadsheets/d/1qpEmbGH0JjaJbUdp21-y2cPbobDbMjr09BbtdKROZWc/edit#gid=1444865654"",""articles_with_PRISMA_reasons!W2:W2113""), $A2010=IMPORTRANGE(""https://docs.google.co"&amp;"m/spreadsheets/d/1qpEmbGH0JjaJbUdp21-y2cPbobDbMjr09BbtdKROZWc/edit#gid=1444865654"",""articles_with_PRISMA_reasons!B2:B2113""))&gt;=2,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$A2010=I"&amp;"MPORTRANGE(""https://docs.google.com/spreadsheets/d/1qpEmbGH0JjaJbUdp21-y2cPbobDbMjr09BbtdKROZWc/edit#gid=1444865654"",""articles_with_PRISMA_reasons!B2:B2113""))&gt;=2),
""Exclude""
)"),"Exclude")</f>
        <v>Exclude</v>
      </c>
      <c r="F2010" s="5" t="str">
        <f>IFERROR(__xludf.DUMMYFUNCTION("IFS(
E2010=""Exclude"",""Exclude"",
AND(
COUNTIF(
IMPORTRANGE(""https://docs.google.com/spreadsheets/d/1kGrh75X1cNR1D7_FcY9zMnHP8iPO4M5RCRjy6nZY0TY/edit#gid=0"",""Table 1: Study characteristics!B4:B171""),A2010)&gt;0,
COUNTIF(Studies!$A$2:$A$85,FILTER(IMPORT"&amp;"RANGE(""https://docs.google.com/spreadsheets/d/1kGrh75X1cNR1D7_FcY9zMnHP8iPO4M5RCRjy6nZY0TY/edit#gid=0"",""Table 1: Study characteristics!A4:A171""), $A2010=IMPORTRANGE(""https://docs.google.com/spreadsheets/d/1kGrh75X1cNR1D7_FcY9zMnHP8iPO4M5RCRjy6nZY0TY/"&amp;"edit#gid=0"",""Table 1: Study characteristics!B4:B171"")))&gt;0
),
""Include""
)"),"Exclude")</f>
        <v>Exclude</v>
      </c>
      <c r="G2010" s="5" t="str">
        <f>IFERROR(__xludf.DUMMYFUNCTION("IFS(
D2010=""Exclude"",
FILTER(IMPORTRANGE(""https://docs.google.com/spreadsheets/d/1BJSV3WBYJGRhQ6zExamkszQ5VutGIcaQqmbD9ZTVXMQ/edit#gid=1251630045"",""articles_with_PRISMA_reasons!AB2:AB2113""), $A2010=IMPORTRANGE(""https://docs.google.com/spreadsheets/"&amp;"d/1BJSV3WBYJGRhQ6zExamkszQ5VutGIcaQqmbD9ZTVXMQ/edit#gid=1251630045"",""articles_with_PRISMA_reasons!B2:B2113"")),
E2010=""Exclude"",
FILTER(IMPORTRANGE(""https://docs.google.com/spreadsheets/d/1qpEmbGH0JjaJbUdp21-y2cPbobDbMjr09BbtdKROZWc/edit#gid=14448656"&amp;"54"",""articles_with_PRISMA_reasons!Z2:Z2113""), $A2010=IMPORTRANGE(""https://docs.google.com/spreadsheets/d/1qpEmbGH0JjaJbUdp21-y2cPbobDbMjr09BbtdKROZWc/edit#gid=1444865654"",""articles_with_PRISMA_reasons!B2:B2113"")),F2010
=""Include"",FILTER(IMPORTRAN"&amp;"GE(""https://docs.google.com/spreadsheets/d/1kGrh75X1cNR1D7_FcY9zMnHP8iPO4M5RCRjy6nZY0TY/edit#gid=0"",""Table 1: Study characteristics!A4:A171""), $A2010=IMPORTRANGE(""https://docs.google.com/spreadsheets/d/1kGrh75X1cNR1D7_FcY9zMnHP8iPO4M5RCRjy6nZY0TY/edi"&amp;"t#gid=0"",""Table 1: Study characteristics!B4:B171""))
)"),"Duplicate")</f>
        <v>Duplicate</v>
      </c>
    </row>
    <row r="2011">
      <c r="A2011" s="4" t="str">
        <f>IFERROR(__xludf.DUMMYFUNCTION("""COMPUTED_VALUE"""),"Treatment of lumbar and intrathoracic meningocele: Bioethical implications")</f>
        <v>Treatment of lumbar and intrathoracic meningocele: Bioethical implications</v>
      </c>
      <c r="B2011" s="5" t="str">
        <f>IFERROR(__xludf.DUMMYFUNCTION("LEFT(FILTER(IMPORTRANGE(""https://docs.google.com/spreadsheets/d/1BJSV3WBYJGRhQ6zExamkszQ5VutGIcaQqmbD9ZTVXMQ/edit#gid=1251630045"",""articles_with_PRISMA_reasons!K2:K2113""), $A2011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$A2011=IMPORTRANGE(""https://docs.google.com/spreadsheets/d/1BJSV3WBYJGRhQ6zExamkszQ5VutGIcaQqmbD9ZTVXMQ/edit#gid=1251630045"",""articles_with_PRISMA_reasons!B2:B2113"")))-1)"),"Tornali")</f>
        <v>Tornali</v>
      </c>
      <c r="C2011" s="6">
        <f>IFERROR(__xludf.DUMMYFUNCTION("FILTER(IMPORTRANGE(""https://docs.google.com/spreadsheets/d/1BJSV3WBYJGRhQ6zExamkszQ5VutGIcaQqmbD9ZTVXMQ/edit#gid=1251630045"",""articles_with_PRISMA_reasons!C2:C2113""), $A2011=IMPORTRANGE(""https://docs.google.com/spreadsheets/d/1BJSV3WBYJGRhQ6zExamkszQ"&amp;"5VutGIcaQqmbD9ZTVXMQ/edit#gid=1251630045"",""articles_with_PRISMA_reasons!B2:B2113""))"),2021.0)</f>
        <v>2021</v>
      </c>
      <c r="D2011" s="5" t="str">
        <f>IFERROR(__xludf.DUMMYFUNCTION("IFS(AND(
FILTER(IMPORTRANGE(""https://docs.google.com/spreadsheets/d/1BJSV3WBYJGRhQ6zExamkszQ5VutGIcaQqmbD9ZTVXMQ/edit#gid=1251630045"",""articles_with_PRISMA_reasons!Y2:Y2113""), $A2011=IMPORTRANGE(""https://docs.google.com/spreadsheets/d/1BJSV3WBYJGRhQ6"&amp;"zExamkszQ5VutGIcaQqmbD9ZTVXMQ/edit#gid=1251630045"",""articles_with_PRISMA_reasons!B2:B2113""))&gt;=2,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$A2011=IMPORTRANGE(""https://docs.google"&amp;".com/spreadsheets/d/1BJSV3WBYJGRhQ6zExamkszQ5VutGIcaQqmbD9ZTVXMQ/edit#gid=1251630045"",""articles_with_PRISMA_reasons!B2:B2113""))&gt;=2),
""Exclude""
)"),"Exclude")</f>
        <v>Exclude</v>
      </c>
      <c r="E2011" s="5" t="str">
        <f>IFERROR(__xludf.DUMMYFUNCTION("IFS(
D2011=""Exclude"",""Exclude"",
AND(
FILTER(IMPORTRANGE(""https://docs.google.com/spreadsheets/d/1qpEmbGH0JjaJbUdp21-y2cPbobDbMjr09BbtdKROZWc/edit#gid=1444865654"",""articles_with_PRISMA_reasons!W2:W2113""), $A2011=IMPORTRANGE(""https://docs.google.co"&amp;"m/spreadsheets/d/1qpEmbGH0JjaJbUdp21-y2cPbobDbMjr09BbtdKROZWc/edit#gid=1444865654"",""articles_with_PRISMA_reasons!B2:B2113""))&gt;=2,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$A2011=I"&amp;"MPORTRANGE(""https://docs.google.com/spreadsheets/d/1qpEmbGH0JjaJbUdp21-y2cPbobDbMjr09BbtdKROZWc/edit#gid=1444865654"",""articles_with_PRISMA_reasons!B2:B2113""))&gt;=2),
""Exclude""
)"),"Exclude")</f>
        <v>Exclude</v>
      </c>
      <c r="F2011" s="5" t="str">
        <f>IFERROR(__xludf.DUMMYFUNCTION("IFS(
E2011=""Exclude"",""Exclude"",
AND(
COUNTIF(
IMPORTRANGE(""https://docs.google.com/spreadsheets/d/1kGrh75X1cNR1D7_FcY9zMnHP8iPO4M5RCRjy6nZY0TY/edit#gid=0"",""Table 1: Study characteristics!B4:B171""),A2011)&gt;0,
COUNTIF(Studies!$A$2:$A$85,FILTER(IMPORT"&amp;"RANGE(""https://docs.google.com/spreadsheets/d/1kGrh75X1cNR1D7_FcY9zMnHP8iPO4M5RCRjy6nZY0TY/edit#gid=0"",""Table 1: Study characteristics!A4:A171""), $A2011=IMPORTRANGE(""https://docs.google.com/spreadsheets/d/1kGrh75X1cNR1D7_FcY9zMnHP8iPO4M5RCRjy6nZY0TY/"&amp;"edit#gid=0"",""Table 1: Study characteristics!B4:B171"")))&gt;0
),
""Include""
)"),"Exclude")</f>
        <v>Exclude</v>
      </c>
      <c r="G2011" s="5" t="str">
        <f>IFERROR(__xludf.DUMMYFUNCTION("IFS(
D2011=""Exclude"",
FILTER(IMPORTRANGE(""https://docs.google.com/spreadsheets/d/1BJSV3WBYJGRhQ6zExamkszQ5VutGIcaQqmbD9ZTVXMQ/edit#gid=1251630045"",""articles_with_PRISMA_reasons!AB2:AB2113""), $A2011=IMPORTRANGE(""https://docs.google.com/spreadsheets/"&amp;"d/1BJSV3WBYJGRhQ6zExamkszQ5VutGIcaQqmbD9ZTVXMQ/edit#gid=1251630045"",""articles_with_PRISMA_reasons!B2:B2113"")),
E2011=""Exclude"",
FILTER(IMPORTRANGE(""https://docs.google.com/spreadsheets/d/1qpEmbGH0JjaJbUdp21-y2cPbobDbMjr09BbtdKROZWc/edit#gid=14448656"&amp;"54"",""articles_with_PRISMA_reasons!Z2:Z2113""), $A2011=IMPORTRANGE(""https://docs.google.com/spreadsheets/d/1qpEmbGH0JjaJbUdp21-y2cPbobDbMjr09BbtdKROZWc/edit#gid=1444865654"",""articles_with_PRISMA_reasons!B2:B2113"")),F2011
=""Include"",FILTER(IMPORTRAN"&amp;"GE(""https://docs.google.com/spreadsheets/d/1kGrh75X1cNR1D7_FcY9zMnHP8iPO4M5RCRjy6nZY0TY/edit#gid=0"",""Table 1: Study characteristics!A4:A171""), $A2011=IMPORTRANGE(""https://docs.google.com/spreadsheets/d/1kGrh75X1cNR1D7_FcY9zMnHP8iPO4M5RCRjy6nZY0TY/edi"&amp;"t#gid=0"",""Table 1: Study characteristics!B4:B171""))
)"),"wrong population")</f>
        <v>wrong population</v>
      </c>
    </row>
    <row r="2012">
      <c r="A2012" s="4" t="str">
        <f>IFERROR(__xludf.DUMMYFUNCTION("""COMPUTED_VALUE"""),"Treatment of meningocele")</f>
        <v>Treatment of meningocele</v>
      </c>
      <c r="B2012" s="5" t="str">
        <f>IFERROR(__xludf.DUMMYFUNCTION("LEFT(FILTER(IMPORTRANGE(""https://docs.google.com/spreadsheets/d/1BJSV3WBYJGRhQ6zExamkszQ5VutGIcaQqmbD9ZTVXMQ/edit#gid=1251630045"",""articles_with_PRISMA_reasons!K2:K2113""), $A2012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$A2012=IMPORTRANGE(""https://docs.google.com/spreadsheets/d/1BJSV3WBYJGRhQ6zExamkszQ5VutGIcaQqmbD9ZTVXMQ/edit#gid=1251630045"",""articles_with_PRISMA_reasons!B2:B2113"")))-1)"),"Patet")</f>
        <v>Patet</v>
      </c>
      <c r="C2012" s="6">
        <f>IFERROR(__xludf.DUMMYFUNCTION("FILTER(IMPORTRANGE(""https://docs.google.com/spreadsheets/d/1BJSV3WBYJGRhQ6zExamkszQ5VutGIcaQqmbD9ZTVXMQ/edit#gid=1251630045"",""articles_with_PRISMA_reasons!C2:C2113""), $A2012=IMPORTRANGE(""https://docs.google.com/spreadsheets/d/1BJSV3WBYJGRhQ6zExamkszQ"&amp;"5VutGIcaQqmbD9ZTVXMQ/edit#gid=1251630045"",""articles_with_PRISMA_reasons!B2:B2113""))"),1988.0)</f>
        <v>1988</v>
      </c>
      <c r="D2012" s="5" t="str">
        <f>IFERROR(__xludf.DUMMYFUNCTION("IFS(AND(
FILTER(IMPORTRANGE(""https://docs.google.com/spreadsheets/d/1BJSV3WBYJGRhQ6zExamkszQ5VutGIcaQqmbD9ZTVXMQ/edit#gid=1251630045"",""articles_with_PRISMA_reasons!Y2:Y2113""), $A2012=IMPORTRANGE(""https://docs.google.com/spreadsheets/d/1BJSV3WBYJGRhQ6"&amp;"zExamkszQ5VutGIcaQqmbD9ZTVXMQ/edit#gid=1251630045"",""articles_with_PRISMA_reasons!B2:B2113""))&gt;=2,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$A2012=IMPORTRANGE(""https://docs.google"&amp;".com/spreadsheets/d/1BJSV3WBYJGRhQ6zExamkszQ5VutGIcaQqmbD9ZTVXMQ/edit#gid=1251630045"",""articles_with_PRISMA_reasons!B2:B2113""))&gt;=2),
""Exclude""
)"),"Exclude")</f>
        <v>Exclude</v>
      </c>
      <c r="E2012" s="5" t="str">
        <f>IFERROR(__xludf.DUMMYFUNCTION("IFS(
D2012=""Exclude"",""Exclude"",
AND(
FILTER(IMPORTRANGE(""https://docs.google.com/spreadsheets/d/1qpEmbGH0JjaJbUdp21-y2cPbobDbMjr09BbtdKROZWc/edit#gid=1444865654"",""articles_with_PRISMA_reasons!W2:W2113""), $A2012=IMPORTRANGE(""https://docs.google.co"&amp;"m/spreadsheets/d/1qpEmbGH0JjaJbUdp21-y2cPbobDbMjr09BbtdKROZWc/edit#gid=1444865654"",""articles_with_PRISMA_reasons!B2:B2113""))&gt;=2,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$A2012=I"&amp;"MPORTRANGE(""https://docs.google.com/spreadsheets/d/1qpEmbGH0JjaJbUdp21-y2cPbobDbMjr09BbtdKROZWc/edit#gid=1444865654"",""articles_with_PRISMA_reasons!B2:B2113""))&gt;=2),
""Exclude""
)"),"Exclude")</f>
        <v>Exclude</v>
      </c>
      <c r="F2012" s="5" t="str">
        <f>IFERROR(__xludf.DUMMYFUNCTION("IFS(
E2012=""Exclude"",""Exclude"",
AND(
COUNTIF(
IMPORTRANGE(""https://docs.google.com/spreadsheets/d/1kGrh75X1cNR1D7_FcY9zMnHP8iPO4M5RCRjy6nZY0TY/edit#gid=0"",""Table 1: Study characteristics!B4:B171""),A2012)&gt;0,
COUNTIF(Studies!$A$2:$A$85,FILTER(IMPORT"&amp;"RANGE(""https://docs.google.com/spreadsheets/d/1kGrh75X1cNR1D7_FcY9zMnHP8iPO4M5RCRjy6nZY0TY/edit#gid=0"",""Table 1: Study characteristics!A4:A171""), $A2012=IMPORTRANGE(""https://docs.google.com/spreadsheets/d/1kGrh75X1cNR1D7_FcY9zMnHP8iPO4M5RCRjy6nZY0TY/"&amp;"edit#gid=0"",""Table 1: Study characteristics!B4:B171"")))&gt;0
),
""Include""
)"),"Exclude")</f>
        <v>Exclude</v>
      </c>
      <c r="G2012" s="5" t="str">
        <f>IFERROR(__xludf.DUMMYFUNCTION("IFS(
D2012=""Exclude"",
FILTER(IMPORTRANGE(""https://docs.google.com/spreadsheets/d/1BJSV3WBYJGRhQ6zExamkszQ5VutGIcaQqmbD9ZTVXMQ/edit#gid=1251630045"",""articles_with_PRISMA_reasons!AB2:AB2113""), $A2012=IMPORTRANGE(""https://docs.google.com/spreadsheets/"&amp;"d/1BJSV3WBYJGRhQ6zExamkszQ5VutGIcaQqmbD9ZTVXMQ/edit#gid=1251630045"",""articles_with_PRISMA_reasons!B2:B2113"")),
E2012=""Exclude"",
FILTER(IMPORTRANGE(""https://docs.google.com/spreadsheets/d/1qpEmbGH0JjaJbUdp21-y2cPbobDbMjr09BbtdKROZWc/edit#gid=14448656"&amp;"54"",""articles_with_PRISMA_reasons!Z2:Z2113""), $A2012=IMPORTRANGE(""https://docs.google.com/spreadsheets/d/1qpEmbGH0JjaJbUdp21-y2cPbobDbMjr09BbtdKROZWc/edit#gid=1444865654"",""articles_with_PRISMA_reasons!B2:B2113"")),F2012
=""Include"",FILTER(IMPORTRAN"&amp;"GE(""https://docs.google.com/spreadsheets/d/1kGrh75X1cNR1D7_FcY9zMnHP8iPO4M5RCRjy6nZY0TY/edit#gid=0"",""Table 1: Study characteristics!A4:A171""), $A2012=IMPORTRANGE(""https://docs.google.com/spreadsheets/d/1kGrh75X1cNR1D7_FcY9zMnHP8iPO4M5RCRjy6nZY0TY/edi"&amp;"t#gid=0"",""Table 1: Study characteristics!B4:B171""))
)"),"background article")</f>
        <v>background article</v>
      </c>
    </row>
    <row r="2013">
      <c r="A2013" s="4" t="str">
        <f>IFERROR(__xludf.DUMMYFUNCTION("""COMPUTED_VALUE"""),"Treatment of meningomyelocele in indigent and nonindigent patients")</f>
        <v>Treatment of meningomyelocele in indigent and nonindigent patients</v>
      </c>
      <c r="B2013" s="5" t="str">
        <f>IFERROR(__xludf.DUMMYFUNCTION("LEFT(FILTER(IMPORTRANGE(""https://docs.google.com/spreadsheets/d/1BJSV3WBYJGRhQ6zExamkszQ5VutGIcaQqmbD9ZTVXMQ/edit#gid=1251630045"",""articles_with_PRISMA_reasons!K2:K2113""), $A2013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$A2013=IMPORTRANGE(""https://docs.google.com/spreadsheets/d/1BJSV3WBYJGRhQ6zExamkszQ5VutGIcaQqmbD9ZTVXMQ/edit#gid=1251630045"",""articles_with_PRISMA_reasons!B2:B2113"")))-1)"),"Haynes")</f>
        <v>Haynes</v>
      </c>
      <c r="C2013" s="6">
        <f>IFERROR(__xludf.DUMMYFUNCTION("FILTER(IMPORTRANGE(""https://docs.google.com/spreadsheets/d/1BJSV3WBYJGRhQ6zExamkszQ5VutGIcaQqmbD9ZTVXMQ/edit#gid=1251630045"",""articles_with_PRISMA_reasons!C2:C2113""), $A2013=IMPORTRANGE(""https://docs.google.com/spreadsheets/d/1BJSV3WBYJGRhQ6zExamkszQ"&amp;"5VutGIcaQqmbD9ZTVXMQ/edit#gid=1251630045"",""articles_with_PRISMA_reasons!B2:B2113""))"),1974.0)</f>
        <v>1974</v>
      </c>
      <c r="D2013" s="5" t="str">
        <f>IFERROR(__xludf.DUMMYFUNCTION("IFS(AND(
FILTER(IMPORTRANGE(""https://docs.google.com/spreadsheets/d/1BJSV3WBYJGRhQ6zExamkszQ5VutGIcaQqmbD9ZTVXMQ/edit#gid=1251630045"",""articles_with_PRISMA_reasons!Y2:Y2113""), $A2013=IMPORTRANGE(""https://docs.google.com/spreadsheets/d/1BJSV3WBYJGRhQ6"&amp;"zExamkszQ5VutGIcaQqmbD9ZTVXMQ/edit#gid=1251630045"",""articles_with_PRISMA_reasons!B2:B2113""))&gt;=2,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$A2013=IMPORTRANGE(""https://docs.google"&amp;".com/spreadsheets/d/1BJSV3WBYJGRhQ6zExamkszQ5VutGIcaQqmbD9ZTVXMQ/edit#gid=1251630045"",""articles_with_PRISMA_reasons!B2:B2113""))&gt;=2),
""Exclude""
)"),"Exclude")</f>
        <v>Exclude</v>
      </c>
      <c r="E2013" s="5" t="str">
        <f>IFERROR(__xludf.DUMMYFUNCTION("IFS(
D2013=""Exclude"",""Exclude"",
AND(
FILTER(IMPORTRANGE(""https://docs.google.com/spreadsheets/d/1qpEmbGH0JjaJbUdp21-y2cPbobDbMjr09BbtdKROZWc/edit#gid=1444865654"",""articles_with_PRISMA_reasons!W2:W2113""), $A2013=IMPORTRANGE(""https://docs.google.co"&amp;"m/spreadsheets/d/1qpEmbGH0JjaJbUdp21-y2cPbobDbMjr09BbtdKROZWc/edit#gid=1444865654"",""articles_with_PRISMA_reasons!B2:B2113""))&gt;=2,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$A2013=I"&amp;"MPORTRANGE(""https://docs.google.com/spreadsheets/d/1qpEmbGH0JjaJbUdp21-y2cPbobDbMjr09BbtdKROZWc/edit#gid=1444865654"",""articles_with_PRISMA_reasons!B2:B2113""))&gt;=2),
""Exclude""
)"),"Exclude")</f>
        <v>Exclude</v>
      </c>
      <c r="F2013" s="5" t="str">
        <f>IFERROR(__xludf.DUMMYFUNCTION("IFS(
E2013=""Exclude"",""Exclude"",
AND(
COUNTIF(
IMPORTRANGE(""https://docs.google.com/spreadsheets/d/1kGrh75X1cNR1D7_FcY9zMnHP8iPO4M5RCRjy6nZY0TY/edit#gid=0"",""Table 1: Study characteristics!B4:B171""),A2013)&gt;0,
COUNTIF(Studies!$A$2:$A$85,FILTER(IMPORT"&amp;"RANGE(""https://docs.google.com/spreadsheets/d/1kGrh75X1cNR1D7_FcY9zMnHP8iPO4M5RCRjy6nZY0TY/edit#gid=0"",""Table 1: Study characteristics!A4:A171""), $A2013=IMPORTRANGE(""https://docs.google.com/spreadsheets/d/1kGrh75X1cNR1D7_FcY9zMnHP8iPO4M5RCRjy6nZY0TY/"&amp;"edit#gid=0"",""Table 1: Study characteristics!B4:B171"")))&gt;0
),
""Include""
)"),"Exclude")</f>
        <v>Exclude</v>
      </c>
      <c r="G2013" s="5" t="str">
        <f>IFERROR(__xludf.DUMMYFUNCTION("IFS(
D2013=""Exclude"",
FILTER(IMPORTRANGE(""https://docs.google.com/spreadsheets/d/1BJSV3WBYJGRhQ6zExamkszQ5VutGIcaQqmbD9ZTVXMQ/edit#gid=1251630045"",""articles_with_PRISMA_reasons!AB2:AB2113""), $A2013=IMPORTRANGE(""https://docs.google.com/spreadsheets/"&amp;"d/1BJSV3WBYJGRhQ6zExamkszQ5VutGIcaQqmbD9ZTVXMQ/edit#gid=1251630045"",""articles_with_PRISMA_reasons!B2:B2113"")),
E2013=""Exclude"",
FILTER(IMPORTRANGE(""https://docs.google.com/spreadsheets/d/1qpEmbGH0JjaJbUdp21-y2cPbobDbMjr09BbtdKROZWc/edit#gid=14448656"&amp;"54"",""articles_with_PRISMA_reasons!Z2:Z2113""), $A2013=IMPORTRANGE(""https://docs.google.com/spreadsheets/d/1qpEmbGH0JjaJbUdp21-y2cPbobDbMjr09BbtdKROZWc/edit#gid=1444865654"",""articles_with_PRISMA_reasons!B2:B2113"")),F2013
=""Include"",FILTER(IMPORTRAN"&amp;"GE(""https://docs.google.com/spreadsheets/d/1kGrh75X1cNR1D7_FcY9zMnHP8iPO4M5RCRjy6nZY0TY/edit#gid=0"",""Table 1: Study characteristics!A4:A171""), $A2013=IMPORTRANGE(""https://docs.google.com/spreadsheets/d/1kGrh75X1cNR1D7_FcY9zMnHP8iPO4M5RCRjy6nZY0TY/edi"&amp;"t#gid=0"",""Table 1: Study characteristics!B4:B171""))
)"),"wrong population")</f>
        <v>wrong population</v>
      </c>
    </row>
    <row r="2014">
      <c r="A2014" s="4" t="str">
        <f>IFERROR(__xludf.DUMMYFUNCTION("""COMPUTED_VALUE"""),"Treatment of myelomeningocele: A review of outcomes and continuing neurosurgical considerations among adults - A review")</f>
        <v>Treatment of myelomeningocele: A review of outcomes and continuing neurosurgical considerations among adults - A review</v>
      </c>
      <c r="B2014" s="5" t="str">
        <f>IFERROR(__xludf.DUMMYFUNCTION("LEFT(FILTER(IMPORTRANGE(""https://docs.google.com/spreadsheets/d/1BJSV3WBYJGRhQ6zExamkszQ5VutGIcaQqmbD9ZTVXMQ/edit#gid=1251630045"",""articles_with_PRISMA_reasons!K2:K2113""), $A2014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$A2014=IMPORTRANGE(""https://docs.google.com/spreadsheets/d/1BJSV3WBYJGRhQ6zExamkszQ5VutGIcaQqmbD9ZTVXMQ/edit#gid=1251630045"",""articles_with_PRISMA_reasons!B2:B2113"")))-1)"),"Piatt Jr")</f>
        <v>Piatt Jr</v>
      </c>
      <c r="C2014" s="6">
        <f>IFERROR(__xludf.DUMMYFUNCTION("FILTER(IMPORTRANGE(""https://docs.google.com/spreadsheets/d/1BJSV3WBYJGRhQ6zExamkszQ5VutGIcaQqmbD9ZTVXMQ/edit#gid=1251630045"",""articles_with_PRISMA_reasons!C2:C2113""), $A2014=IMPORTRANGE(""https://docs.google.com/spreadsheets/d/1BJSV3WBYJGRhQ6zExamkszQ"&amp;"5VutGIcaQqmbD9ZTVXMQ/edit#gid=1251630045"",""articles_with_PRISMA_reasons!B2:B2113""))"),2010.0)</f>
        <v>2010</v>
      </c>
      <c r="D2014" s="5" t="str">
        <f>IFERROR(__xludf.DUMMYFUNCTION("IFS(AND(
FILTER(IMPORTRANGE(""https://docs.google.com/spreadsheets/d/1BJSV3WBYJGRhQ6zExamkszQ5VutGIcaQqmbD9ZTVXMQ/edit#gid=1251630045"",""articles_with_PRISMA_reasons!Y2:Y2113""), $A2014=IMPORTRANGE(""https://docs.google.com/spreadsheets/d/1BJSV3WBYJGRhQ6"&amp;"zExamkszQ5VutGIcaQqmbD9ZTVXMQ/edit#gid=1251630045"",""articles_with_PRISMA_reasons!B2:B2113""))&gt;=2,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$A2014=IMPORTRANGE(""https://docs.google.com/spreadsheets/d/1BJSV3WBYJGRhQ6zExamkszQ5VutGIcaQqmbD9ZTVXMQ/edit#gid=1251630045"",""articles_with_PRISMA_reasons!B2:B2113""))&lt;2),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$A2014=IMPORTRANGE(""https://docs.google.com/spreadsheets/d/1BJSV3WBYJGRhQ6zExamkszQ5VutGIcaQqmbD9ZTVXMQ/edit#gid=1251630045"",""a"&amp;"rticles_with_PRISMA_reasons!B2:B2113""))&lt;2,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$A2014=IMPORTRANGE(""https://docs.google"&amp;".com/spreadsheets/d/1BJSV3WBYJGRhQ6zExamkszQ5VutGIcaQqmbD9ZTVXMQ/edit#gid=1251630045"",""articles_with_PRISMA_reasons!B2:B2113""))&gt;=2),
""Exclude""
)"),"Exclude")</f>
        <v>Exclude</v>
      </c>
      <c r="E2014" s="5" t="str">
        <f>IFERROR(__xludf.DUMMYFUNCTION("IFS(
D2014=""Exclude"",""Exclude"",
AND(
FILTER(IMPORTRANGE(""https://docs.google.com/spreadsheets/d/1qpEmbGH0JjaJbUdp21-y2cPbobDbMjr09BbtdKROZWc/edit#gid=1444865654"",""articles_with_PRISMA_reasons!W2:W2113""), $A2014=IMPORTRANGE(""https://docs.google.co"&amp;"m/spreadsheets/d/1qpEmbGH0JjaJbUdp21-y2cPbobDbMjr09BbtdKROZWc/edit#gid=1444865654"",""articles_with_PRISMA_reasons!B2:B2113""))&gt;=2,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$A2014=IMPORTRANGE(""https://docs.google.com/spreadsheets/d/1qpEmbGH0JjaJbUdp21-y2cPbobDbMjr09BbtdKROZWc/edit#gid=1444865654"",""articles_with_PRISMA_reasons!B2:B2113""))&lt;2),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$A2014=IMPORTRANGE(""https://docs.google.com/spreadsheets/d/1qpEmbGH0JjaJbUdp21-y2cPbobDbMjr09Bbtd"&amp;"KROZWc/edit#gid=1444865654"",""articles_with_PRISMA_reasons!B2:B2113""))&lt;2,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$A2014=I"&amp;"MPORTRANGE(""https://docs.google.com/spreadsheets/d/1qpEmbGH0JjaJbUdp21-y2cPbobDbMjr09BbtdKROZWc/edit#gid=1444865654"",""articles_with_PRISMA_reasons!B2:B2113""))&gt;=2),
""Exclude""
)"),"Exclude")</f>
        <v>Exclude</v>
      </c>
      <c r="F2014" s="5" t="str">
        <f>IFERROR(__xludf.DUMMYFUNCTION("IFS(
E2014=""Exclude"",""Exclude"",
AND(
COUNTIF(
IMPORTRANGE(""https://docs.google.com/spreadsheets/d/1kGrh75X1cNR1D7_FcY9zMnHP8iPO4M5RCRjy6nZY0TY/edit#gid=0"",""Table 1: Study characteristics!B4:B171""),A2014)&gt;0,
COUNTIF(Studies!$A$2:$A$85,FILTER(IMPORT"&amp;"RANGE(""https://docs.google.com/spreadsheets/d/1kGrh75X1cNR1D7_FcY9zMnHP8iPO4M5RCRjy6nZY0TY/edit#gid=0"",""Table 1: Study characteristics!A4:A171""), $A2014=IMPORTRANGE(""https://docs.google.com/spreadsheets/d/1kGrh75X1cNR1D7_FcY9zMnHP8iPO4M5RCRjy6nZY0TY/"&amp;"edit#gid=0"",""Table 1: Study characteristics!B4:B171"")))&gt;0
),
""Include""
)"),"Exclude")</f>
        <v>Exclude</v>
      </c>
      <c r="G2014" s="5" t="str">
        <f>IFERROR(__xludf.DUMMYFUNCTION("IFS(
D2014=""Exclude"",
FILTER(IMPORTRANGE(""https://docs.google.com/spreadsheets/d/1BJSV3WBYJGRhQ6zExamkszQ5VutGIcaQqmbD9ZTVXMQ/edit#gid=1251630045"",""articles_with_PRISMA_reasons!AB2:AB2113""), $A2014=IMPORTRANGE(""https://docs.google.com/spreadsheets/"&amp;"d/1BJSV3WBYJGRhQ6zExamkszQ5VutGIcaQqmbD9ZTVXMQ/edit#gid=1251630045"",""articles_with_PRISMA_reasons!B2:B2113"")),
E2014=""Exclude"",
FILTER(IMPORTRANGE(""https://docs.google.com/spreadsheets/d/1qpEmbGH0JjaJbUdp21-y2cPbobDbMjr09BbtdKROZWc/edit#gid=14448656"&amp;"54"",""articles_with_PRISMA_reasons!Z2:Z2113""), $A2014=IMPORTRANGE(""https://docs.google.com/spreadsheets/d/1qpEmbGH0JjaJbUdp21-y2cPbobDbMjr09BbtdKROZWc/edit#gid=1444865654"",""articles_with_PRISMA_reasons!B2:B2113"")),F2014
=""Include"",FILTER(IMPORTRAN"&amp;"GE(""https://docs.google.com/spreadsheets/d/1kGrh75X1cNR1D7_FcY9zMnHP8iPO4M5RCRjy6nZY0TY/edit#gid=0"",""Table 1: Study characteristics!A4:A171""), $A2014=IMPORTRANGE(""https://docs.google.com/spreadsheets/d/1kGrh75X1cNR1D7_FcY9zMnHP8iPO4M5RCRjy6nZY0TY/edi"&amp;"t#gid=0"",""Table 1: Study characteristics!B4:B171""))
)"),"Duplicate")</f>
        <v>Duplicate</v>
      </c>
    </row>
    <row r="2015">
      <c r="A2015" s="4" t="str">
        <f>IFERROR(__xludf.DUMMYFUNCTION("""COMPUTED_VALUE"""),"Treatment of refractory intracranial hypertension in a spina bifida patient by a concurrent ventricular and cisterna magna-to-peritoneal shunt")</f>
        <v>Treatment of refractory intracranial hypertension in a spina bifida patient by a concurrent ventricular and cisterna magna-to-peritoneal shunt</v>
      </c>
      <c r="B2015" s="5" t="str">
        <f>IFERROR(__xludf.DUMMYFUNCTION("LEFT(FILTER(IMPORTRANGE(""https://docs.google.com/spreadsheets/d/1BJSV3WBYJGRhQ6zExamkszQ5VutGIcaQqmbD9ZTVXMQ/edit#gid=1251630045"",""articles_with_PRISMA_reasons!K2:K2113""), $A2015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$A2015=IMPORTRANGE(""https://docs.google.com/spreadsheets/d/1BJSV3WBYJGRhQ6zExamkszQ5VutGIcaQqmbD9ZTVXMQ/edit#gid=1251630045"",""articles_with_PRISMA_reasons!B2:B2113"")))-1)"),"Nadkarni")</f>
        <v>Nadkarni</v>
      </c>
      <c r="C2015" s="6">
        <f>IFERROR(__xludf.DUMMYFUNCTION("FILTER(IMPORTRANGE(""https://docs.google.com/spreadsheets/d/1BJSV3WBYJGRhQ6zExamkszQ5VutGIcaQqmbD9ZTVXMQ/edit#gid=1251630045"",""articles_with_PRISMA_reasons!C2:C2113""), $A2015=IMPORTRANGE(""https://docs.google.com/spreadsheets/d/1BJSV3WBYJGRhQ6zExamkszQ"&amp;"5VutGIcaQqmbD9ZTVXMQ/edit#gid=1251630045"",""articles_with_PRISMA_reasons!B2:B2113""))"),2005.0)</f>
        <v>2005</v>
      </c>
      <c r="D2015" s="5" t="str">
        <f>IFERROR(__xludf.DUMMYFUNCTION("IFS(AND(
FILTER(IMPORTRANGE(""https://docs.google.com/spreadsheets/d/1BJSV3WBYJGRhQ6zExamkszQ5VutGIcaQqmbD9ZTVXMQ/edit#gid=1251630045"",""articles_with_PRISMA_reasons!Y2:Y2113""), $A2015=IMPORTRANGE(""https://docs.google.com/spreadsheets/d/1BJSV3WBYJGRhQ6"&amp;"zExamkszQ5VutGIcaQqmbD9ZTVXMQ/edit#gid=1251630045"",""articles_with_PRISMA_reasons!B2:B2113""))&gt;=2,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$A2015=IMPORTRANGE(""https://docs.google.com/spreadsheets/d/1BJSV3WBYJGRhQ6zExamkszQ5VutGIcaQqmbD9ZTVXMQ/edit#gid=1251630045"",""articles_with_PRISMA_reasons!B2:B2113""))&lt;2),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$A2015=IMPORTRANGE(""https://docs.google.com/spreadsheets/d/1BJSV3WBYJGRhQ6zExamkszQ5VutGIcaQqmbD9ZTVXMQ/edit#gid=1251630045"",""a"&amp;"rticles_with_PRISMA_reasons!B2:B2113""))&lt;2,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$A2015=IMPORTRANGE(""https://docs.google"&amp;".com/spreadsheets/d/1BJSV3WBYJGRhQ6zExamkszQ5VutGIcaQqmbD9ZTVXMQ/edit#gid=1251630045"",""articles_with_PRISMA_reasons!B2:B2113""))&gt;=2),
""Exclude""
)"),"Exclude")</f>
        <v>Exclude</v>
      </c>
      <c r="E2015" s="5" t="str">
        <f>IFERROR(__xludf.DUMMYFUNCTION("IFS(
D2015=""Exclude"",""Exclude"",
AND(
FILTER(IMPORTRANGE(""https://docs.google.com/spreadsheets/d/1qpEmbGH0JjaJbUdp21-y2cPbobDbMjr09BbtdKROZWc/edit#gid=1444865654"",""articles_with_PRISMA_reasons!W2:W2113""), $A2015=IMPORTRANGE(""https://docs.google.co"&amp;"m/spreadsheets/d/1qpEmbGH0JjaJbUdp21-y2cPbobDbMjr09BbtdKROZWc/edit#gid=1444865654"",""articles_with_PRISMA_reasons!B2:B2113""))&gt;=2,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$A2015=IMPORTRANGE(""https://docs.google.com/spreadsheets/d/1qpEmbGH0JjaJbUdp21-y2cPbobDbMjr09BbtdKROZWc/edit#gid=1444865654"",""articles_with_PRISMA_reasons!B2:B2113""))&lt;2),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$A2015=IMPORTRANGE(""https://docs.google.com/spreadsheets/d/1qpEmbGH0JjaJbUdp21-y2cPbobDbMjr09Bbtd"&amp;"KROZWc/edit#gid=1444865654"",""articles_with_PRISMA_reasons!B2:B2113""))&lt;2,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$A2015=I"&amp;"MPORTRANGE(""https://docs.google.com/spreadsheets/d/1qpEmbGH0JjaJbUdp21-y2cPbobDbMjr09BbtdKROZWc/edit#gid=1444865654"",""articles_with_PRISMA_reasons!B2:B2113""))&gt;=2),
""Exclude""
)"),"Exclude")</f>
        <v>Exclude</v>
      </c>
      <c r="F2015" s="5" t="str">
        <f>IFERROR(__xludf.DUMMYFUNCTION("IFS(
E2015=""Exclude"",""Exclude"",
AND(
COUNTIF(
IMPORTRANGE(""https://docs.google.com/spreadsheets/d/1kGrh75X1cNR1D7_FcY9zMnHP8iPO4M5RCRjy6nZY0TY/edit#gid=0"",""Table 1: Study characteristics!B4:B171""),A2015)&gt;0,
COUNTIF(Studies!$A$2:$A$85,FILTER(IMPORT"&amp;"RANGE(""https://docs.google.com/spreadsheets/d/1kGrh75X1cNR1D7_FcY9zMnHP8iPO4M5RCRjy6nZY0TY/edit#gid=0"",""Table 1: Study characteristics!A4:A171""), $A2015=IMPORTRANGE(""https://docs.google.com/spreadsheets/d/1kGrh75X1cNR1D7_FcY9zMnHP8iPO4M5RCRjy6nZY0TY/"&amp;"edit#gid=0"",""Table 1: Study characteristics!B4:B171"")))&gt;0
),
""Include""
)"),"Exclude")</f>
        <v>Exclude</v>
      </c>
      <c r="G2015" s="5" t="str">
        <f>IFERROR(__xludf.DUMMYFUNCTION("IFS(
D2015=""Exclude"",
FILTER(IMPORTRANGE(""https://docs.google.com/spreadsheets/d/1BJSV3WBYJGRhQ6zExamkszQ5VutGIcaQqmbD9ZTVXMQ/edit#gid=1251630045"",""articles_with_PRISMA_reasons!AB2:AB2113""), $A2015=IMPORTRANGE(""https://docs.google.com/spreadsheets/"&amp;"d/1BJSV3WBYJGRhQ6zExamkszQ5VutGIcaQqmbD9ZTVXMQ/edit#gid=1251630045"",""articles_with_PRISMA_reasons!B2:B2113"")),
E2015=""Exclude"",
FILTER(IMPORTRANGE(""https://docs.google.com/spreadsheets/d/1qpEmbGH0JjaJbUdp21-y2cPbobDbMjr09BbtdKROZWc/edit#gid=14448656"&amp;"54"",""articles_with_PRISMA_reasons!Z2:Z2113""), $A2015=IMPORTRANGE(""https://docs.google.com/spreadsheets/d/1qpEmbGH0JjaJbUdp21-y2cPbobDbMjr09BbtdKROZWc/edit#gid=1444865654"",""articles_with_PRISMA_reasons!B2:B2113"")),F2015
=""Include"",FILTER(IMPORTRAN"&amp;"GE(""https://docs.google.com/spreadsheets/d/1kGrh75X1cNR1D7_FcY9zMnHP8iPO4M5RCRjy6nZY0TY/edit#gid=0"",""Table 1: Study characteristics!A4:A171""), $A2015=IMPORTRANGE(""https://docs.google.com/spreadsheets/d/1kGrh75X1cNR1D7_FcY9zMnHP8iPO4M5RCRjy6nZY0TY/edi"&amp;"t#gid=0"",""Table 1: Study characteristics!B4:B171""))
)"),"Duplicate")</f>
        <v>Duplicate</v>
      </c>
    </row>
    <row r="2016">
      <c r="A2016" s="4" t="str">
        <f>IFERROR(__xludf.DUMMYFUNCTION("""COMPUTED_VALUE"""),"Treatment of the infant and young child with myelomeningocele")</f>
        <v>Treatment of the infant and young child with myelomeningocele</v>
      </c>
      <c r="B2016" s="5" t="str">
        <f>IFERROR(__xludf.DUMMYFUNCTION("LEFT(FILTER(IMPORTRANGE(""https://docs.google.com/spreadsheets/d/1BJSV3WBYJGRhQ6zExamkszQ5VutGIcaQqmbD9ZTVXMQ/edit#gid=1251630045"",""articles_with_PRISMA_reasons!K2:K2113""), $A2016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$A2016=IMPORTRANGE(""https://docs.google.com/spreadsheets/d/1BJSV3WBYJGRhQ6zExamkszQ5VutGIcaQqmbD9ZTVXMQ/edit#gid=1251630045"",""articles_with_PRISMA_reasons!B2:B2113"")))-1)"),"Walton")</f>
        <v>Walton</v>
      </c>
      <c r="C2016" s="6">
        <f>IFERROR(__xludf.DUMMYFUNCTION("FILTER(IMPORTRANGE(""https://docs.google.com/spreadsheets/d/1BJSV3WBYJGRhQ6zExamkszQ5VutGIcaQqmbD9ZTVXMQ/edit#gid=1251630045"",""articles_with_PRISMA_reasons!C2:C2113""), $A2016=IMPORTRANGE(""https://docs.google.com/spreadsheets/d/1BJSV3WBYJGRhQ6zExamkszQ"&amp;"5VutGIcaQqmbD9ZTVXMQ/edit#gid=1251630045"",""articles_with_PRISMA_reasons!B2:B2113""))"),1969.0)</f>
        <v>1969</v>
      </c>
      <c r="D2016" s="5" t="str">
        <f>IFERROR(__xludf.DUMMYFUNCTION("IFS(AND(
FILTER(IMPORTRANGE(""https://docs.google.com/spreadsheets/d/1BJSV3WBYJGRhQ6zExamkszQ5VutGIcaQqmbD9ZTVXMQ/edit#gid=1251630045"",""articles_with_PRISMA_reasons!Y2:Y2113""), $A2016=IMPORTRANGE(""https://docs.google.com/spreadsheets/d/1BJSV3WBYJGRhQ6"&amp;"zExamkszQ5VutGIcaQqmbD9ZTVXMQ/edit#gid=1251630045"",""articles_with_PRISMA_reasons!B2:B2113""))&gt;=2,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$A2016=IMPORTRANGE(""https://docs.google.com/spreadsheets/d/1BJSV3WBYJGRhQ6zExamkszQ5VutGIcaQqmbD9ZTVXMQ/edit#gid=1251630045"",""articles_with_PRISMA_reasons!B2:B2113""))&lt;2),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$A2016=IMPORTRANGE(""https://docs.google.com/spreadsheets/d/1BJSV3WBYJGRhQ6zExamkszQ5VutGIcaQqmbD9ZTVXMQ/edit#gid=1251630045"",""a"&amp;"rticles_with_PRISMA_reasons!B2:B2113""))&lt;2,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$A2016=IMPORTRANGE(""https://docs.google"&amp;".com/spreadsheets/d/1BJSV3WBYJGRhQ6zExamkszQ5VutGIcaQqmbD9ZTVXMQ/edit#gid=1251630045"",""articles_with_PRISMA_reasons!B2:B2113""))&gt;=2),
""Exclude""
)"),"Include")</f>
        <v>Include</v>
      </c>
      <c r="E2016" s="5" t="str">
        <f>IFERROR(__xludf.DUMMYFUNCTION("IFS(
D2016=""Exclude"",""Exclude"",
AND(
FILTER(IMPORTRANGE(""https://docs.google.com/spreadsheets/d/1qpEmbGH0JjaJbUdp21-y2cPbobDbMjr09BbtdKROZWc/edit#gid=1444865654"",""articles_with_PRISMA_reasons!W2:W2113""), $A2016=IMPORTRANGE(""https://docs.google.co"&amp;"m/spreadsheets/d/1qpEmbGH0JjaJbUdp21-y2cPbobDbMjr09BbtdKROZWc/edit#gid=1444865654"",""articles_with_PRISMA_reasons!B2:B2113""))&gt;=2,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$A2016=IMPORTRANGE(""https://docs.google.com/spreadsheets/d/1qpEmbGH0JjaJbUdp21-y2cPbobDbMjr09BbtdKROZWc/edit#gid=1444865654"",""articles_with_PRISMA_reasons!B2:B2113""))&lt;2),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$A2016=IMPORTRANGE(""https://docs.google.com/spreadsheets/d/1qpEmbGH0JjaJbUdp21-y2cPbobDbMjr09Bbtd"&amp;"KROZWc/edit#gid=1444865654"",""articles_with_PRISMA_reasons!B2:B2113""))&lt;2,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$A2016=I"&amp;"MPORTRANGE(""https://docs.google.com/spreadsheets/d/1qpEmbGH0JjaJbUdp21-y2cPbobDbMjr09BbtdKROZWc/edit#gid=1444865654"",""articles_with_PRISMA_reasons!B2:B2113""))&gt;=2),
""Exclude""
)"),"Exclude")</f>
        <v>Exclude</v>
      </c>
      <c r="F2016" s="5" t="str">
        <f>IFERROR(__xludf.DUMMYFUNCTION("IFS(
E2016=""Exclude"",""Exclude"",
AND(
COUNTIF(
IMPORTRANGE(""https://docs.google.com/spreadsheets/d/1kGrh75X1cNR1D7_FcY9zMnHP8iPO4M5RCRjy6nZY0TY/edit#gid=0"",""Table 1: Study characteristics!B4:B171""),A2016)&gt;0,
COUNTIF(Studies!$A$2:$A$85,FILTER(IMPORT"&amp;"RANGE(""https://docs.google.com/spreadsheets/d/1kGrh75X1cNR1D7_FcY9zMnHP8iPO4M5RCRjy6nZY0TY/edit#gid=0"",""Table 1: Study characteristics!A4:A171""), $A2016=IMPORTRANGE(""https://docs.google.com/spreadsheets/d/1kGrh75X1cNR1D7_FcY9zMnHP8iPO4M5RCRjy6nZY0TY/"&amp;"edit#gid=0"",""Table 1: Study characteristics!B4:B171"")))&gt;0
),
""Include""
)"),"Exclude")</f>
        <v>Exclude</v>
      </c>
      <c r="G2016" s="5" t="str">
        <f>IFERROR(__xludf.DUMMYFUNCTION("IFS(
D2016=""Exclude"",
FILTER(IMPORTRANGE(""https://docs.google.com/spreadsheets/d/1BJSV3WBYJGRhQ6zExamkszQ5VutGIcaQqmbD9ZTVXMQ/edit#gid=1251630045"",""articles_with_PRISMA_reasons!AB2:AB2113""), $A2016=IMPORTRANGE(""https://docs.google.com/spreadsheets/"&amp;"d/1BJSV3WBYJGRhQ6zExamkszQ5VutGIcaQqmbD9ZTVXMQ/edit#gid=1251630045"",""articles_with_PRISMA_reasons!B2:B2113"")),
E2016=""Exclude"",
FILTER(IMPORTRANGE(""https://docs.google.com/spreadsheets/d/1qpEmbGH0JjaJbUdp21-y2cPbobDbMjr09BbtdKROZWc/edit#gid=14448656"&amp;"54"",""articles_with_PRISMA_reasons!Z2:Z2113""), $A2016=IMPORTRANGE(""https://docs.google.com/spreadsheets/d/1qpEmbGH0JjaJbUdp21-y2cPbobDbMjr09BbtdKROZWc/edit#gid=1444865654"",""articles_with_PRISMA_reasons!B2:B2113"")),F2016
=""Include"",FILTER(IMPORTRAN"&amp;"GE(""https://docs.google.com/spreadsheets/d/1kGrh75X1cNR1D7_FcY9zMnHP8iPO4M5RCRjy6nZY0TY/edit#gid=0"",""Table 1: Study characteristics!A4:A171""), $A2016=IMPORTRANGE(""https://docs.google.com/spreadsheets/d/1kGrh75X1cNR1D7_FcY9zMnHP8iPO4M5RCRjy6nZY0TY/edi"&amp;"t#gid=0"",""Table 1: Study characteristics!B4:B171""))
)"),"no full text")</f>
        <v>no full text</v>
      </c>
    </row>
    <row r="2017">
      <c r="A2017" s="4" t="str">
        <f>IFERROR(__xludf.DUMMYFUNCTION("""COMPUTED_VALUE"""),"Trend in ventricle size during pregnancy and its use for prediction of ventriculoperitoneal shunt in fetal open neural tube defect")</f>
        <v>Trend in ventricle size during pregnancy and its use for prediction of ventriculoperitoneal shunt in fetal open neural tube defect</v>
      </c>
      <c r="B2017" s="5" t="str">
        <f>IFERROR(__xludf.DUMMYFUNCTION("LEFT(FILTER(IMPORTRANGE(""https://docs.google.com/spreadsheets/d/1BJSV3WBYJGRhQ6zExamkszQ5VutGIcaQqmbD9ZTVXMQ/edit#gid=1251630045"",""articles_with_PRISMA_reasons!K2:K2113""), $A2017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$A2017=IMPORTRANGE(""https://docs.google.com/spreadsheets/d/1BJSV3WBYJGRhQ6zExamkszQ5VutGIcaQqmbD9ZTVXMQ/edit#gid=1251630045"",""articles_with_PRISMA_reasons!B2:B2113"")))-1)"),"Donepudi")</f>
        <v>Donepudi</v>
      </c>
      <c r="C2017" s="6">
        <f>IFERROR(__xludf.DUMMYFUNCTION("FILTER(IMPORTRANGE(""https://docs.google.com/spreadsheets/d/1BJSV3WBYJGRhQ6zExamkszQ5VutGIcaQqmbD9ZTVXMQ/edit#gid=1251630045"",""articles_with_PRISMA_reasons!C2:C2113""), $A2017=IMPORTRANGE(""https://docs.google.com/spreadsheets/d/1BJSV3WBYJGRhQ6zExamkszQ"&amp;"5VutGIcaQqmbD9ZTVXMQ/edit#gid=1251630045"",""articles_with_PRISMA_reasons!B2:B2113""))"),2020.0)</f>
        <v>2020</v>
      </c>
      <c r="D2017" s="5" t="str">
        <f>IFERROR(__xludf.DUMMYFUNCTION("IFS(AND(
FILTER(IMPORTRANGE(""https://docs.google.com/spreadsheets/d/1BJSV3WBYJGRhQ6zExamkszQ5VutGIcaQqmbD9ZTVXMQ/edit#gid=1251630045"",""articles_with_PRISMA_reasons!Y2:Y2113""), $A2017=IMPORTRANGE(""https://docs.google.com/spreadsheets/d/1BJSV3WBYJGRhQ6"&amp;"zExamkszQ5VutGIcaQqmbD9ZTVXMQ/edit#gid=1251630045"",""articles_with_PRISMA_reasons!B2:B2113""))&gt;=2,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$A2017=IMPORTRANGE(""https://docs.google.com/spreadsheets/d/1BJSV3WBYJGRhQ6zExamkszQ5VutGIcaQqmbD9ZTVXMQ/edit#gid=1251630045"",""articles_with_PRISMA_reasons!B2:B2113""))&lt;2),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$A2017=IMPORTRANGE(""https://docs.google.com/spreadsheets/d/1BJSV3WBYJGRhQ6zExamkszQ5VutGIcaQqmbD9ZTVXMQ/edit#gid=1251630045"",""a"&amp;"rticles_with_PRISMA_reasons!B2:B2113""))&lt;2,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$A2017=IMPORTRANGE(""https://docs.google"&amp;".com/spreadsheets/d/1BJSV3WBYJGRhQ6zExamkszQ5VutGIcaQqmbD9ZTVXMQ/edit#gid=1251630045"",""articles_with_PRISMA_reasons!B2:B2113""))&gt;=2),
""Exclude""
)"),"Exclude")</f>
        <v>Exclude</v>
      </c>
      <c r="E2017" s="5" t="str">
        <f>IFERROR(__xludf.DUMMYFUNCTION("IFS(
D2017=""Exclude"",""Exclude"",
AND(
FILTER(IMPORTRANGE(""https://docs.google.com/spreadsheets/d/1qpEmbGH0JjaJbUdp21-y2cPbobDbMjr09BbtdKROZWc/edit#gid=1444865654"",""articles_with_PRISMA_reasons!W2:W2113""), $A2017=IMPORTRANGE(""https://docs.google.co"&amp;"m/spreadsheets/d/1qpEmbGH0JjaJbUdp21-y2cPbobDbMjr09BbtdKROZWc/edit#gid=1444865654"",""articles_with_PRISMA_reasons!B2:B2113""))&gt;=2,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$A2017=IMPORTRANGE(""https://docs.google.com/spreadsheets/d/1qpEmbGH0JjaJbUdp21-y2cPbobDbMjr09BbtdKROZWc/edit#gid=1444865654"",""articles_with_PRISMA_reasons!B2:B2113""))&lt;2),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$A2017=IMPORTRANGE(""https://docs.google.com/spreadsheets/d/1qpEmbGH0JjaJbUdp21-y2cPbobDbMjr09Bbtd"&amp;"KROZWc/edit#gid=1444865654"",""articles_with_PRISMA_reasons!B2:B2113""))&lt;2,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$A2017=I"&amp;"MPORTRANGE(""https://docs.google.com/spreadsheets/d/1qpEmbGH0JjaJbUdp21-y2cPbobDbMjr09BbtdKROZWc/edit#gid=1444865654"",""articles_with_PRISMA_reasons!B2:B2113""))&gt;=2),
""Exclude""
)"),"Exclude")</f>
        <v>Exclude</v>
      </c>
      <c r="F2017" s="5" t="str">
        <f>IFERROR(__xludf.DUMMYFUNCTION("IFS(
E2017=""Exclude"",""Exclude"",
AND(
COUNTIF(
IMPORTRANGE(""https://docs.google.com/spreadsheets/d/1kGrh75X1cNR1D7_FcY9zMnHP8iPO4M5RCRjy6nZY0TY/edit#gid=0"",""Table 1: Study characteristics!B4:B171""),A2017)&gt;0,
COUNTIF(Studies!$A$2:$A$85,FILTER(IMPORT"&amp;"RANGE(""https://docs.google.com/spreadsheets/d/1kGrh75X1cNR1D7_FcY9zMnHP8iPO4M5RCRjy6nZY0TY/edit#gid=0"",""Table 1: Study characteristics!A4:A171""), $A2017=IMPORTRANGE(""https://docs.google.com/spreadsheets/d/1kGrh75X1cNR1D7_FcY9zMnHP8iPO4M5RCRjy6nZY0TY/"&amp;"edit#gid=0"",""Table 1: Study characteristics!B4:B171"")))&gt;0
),
""Include""
)"),"Exclude")</f>
        <v>Exclude</v>
      </c>
      <c r="G2017" s="5" t="str">
        <f>IFERROR(__xludf.DUMMYFUNCTION("IFS(
D2017=""Exclude"",
FILTER(IMPORTRANGE(""https://docs.google.com/spreadsheets/d/1BJSV3WBYJGRhQ6zExamkszQ5VutGIcaQqmbD9ZTVXMQ/edit#gid=1251630045"",""articles_with_PRISMA_reasons!AB2:AB2113""), $A2017=IMPORTRANGE(""https://docs.google.com/spreadsheets/"&amp;"d/1BJSV3WBYJGRhQ6zExamkszQ5VutGIcaQqmbD9ZTVXMQ/edit#gid=1251630045"",""articles_with_PRISMA_reasons!B2:B2113"")),
E2017=""Exclude"",
FILTER(IMPORTRANGE(""https://docs.google.com/spreadsheets/d/1qpEmbGH0JjaJbUdp21-y2cPbobDbMjr09BbtdKROZWc/edit#gid=14448656"&amp;"54"",""articles_with_PRISMA_reasons!Z2:Z2113""), $A2017=IMPORTRANGE(""https://docs.google.com/spreadsheets/d/1qpEmbGH0JjaJbUdp21-y2cPbobDbMjr09BbtdKROZWc/edit#gid=1444865654"",""articles_with_PRISMA_reasons!B2:B2113"")),F2017
=""Include"",FILTER(IMPORTRAN"&amp;"GE(""https://docs.google.com/spreadsheets/d/1kGrh75X1cNR1D7_FcY9zMnHP8iPO4M5RCRjy6nZY0TY/edit#gid=0"",""Table 1: Study characteristics!A4:A171""), $A2017=IMPORTRANGE(""https://docs.google.com/spreadsheets/d/1kGrh75X1cNR1D7_FcY9zMnHP8iPO4M5RCRjy6nZY0TY/edi"&amp;"t#gid=0"",""Table 1: Study characteristics!B4:B171""))
)"),"wrong population")</f>
        <v>wrong population</v>
      </c>
    </row>
    <row r="2018">
      <c r="A2018" s="4" t="str">
        <f>IFERROR(__xludf.DUMMYFUNCTION("""COMPUTED_VALUE"""),"Trends in incidence and long-term outcomes of myelomeningocele in British Columbia")</f>
        <v>Trends in incidence and long-term outcomes of myelomeningocele in British Columbia</v>
      </c>
      <c r="B2018" s="5" t="str">
        <f>IFERROR(__xludf.DUMMYFUNCTION("LEFT(FILTER(IMPORTRANGE(""https://docs.google.com/spreadsheets/d/1BJSV3WBYJGRhQ6zExamkszQ5VutGIcaQqmbD9ZTVXMQ/edit#gid=1251630045"",""articles_with_PRISMA_reasons!K2:K2113""), $A2018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$A2018=IMPORTRANGE(""https://docs.google.com/spreadsheets/d/1BJSV3WBYJGRhQ6zExamkszQ5VutGIcaQqmbD9ZTVXMQ/edit#gid=1251630045"",""articles_with_PRISMA_reasons!B2:B2113"")))-1)"),"North")</f>
        <v>North</v>
      </c>
      <c r="C2018" s="6">
        <f>IFERROR(__xludf.DUMMYFUNCTION("FILTER(IMPORTRANGE(""https://docs.google.com/spreadsheets/d/1BJSV3WBYJGRhQ6zExamkszQ5VutGIcaQqmbD9ZTVXMQ/edit#gid=1251630045"",""articles_with_PRISMA_reasons!C2:C2113""), $A2018=IMPORTRANGE(""https://docs.google.com/spreadsheets/d/1BJSV3WBYJGRhQ6zExamkszQ"&amp;"5VutGIcaQqmbD9ZTVXMQ/edit#gid=1251630045"",""articles_with_PRISMA_reasons!B2:B2113""))"),2018.0)</f>
        <v>2018</v>
      </c>
      <c r="D2018" s="5" t="str">
        <f>IFERROR(__xludf.DUMMYFUNCTION("IFS(AND(
FILTER(IMPORTRANGE(""https://docs.google.com/spreadsheets/d/1BJSV3WBYJGRhQ6zExamkszQ5VutGIcaQqmbD9ZTVXMQ/edit#gid=1251630045"",""articles_with_PRISMA_reasons!Y2:Y2113""), $A2018=IMPORTRANGE(""https://docs.google.com/spreadsheets/d/1BJSV3WBYJGRhQ6"&amp;"zExamkszQ5VutGIcaQqmbD9ZTVXMQ/edit#gid=1251630045"",""articles_with_PRISMA_reasons!B2:B2113""))&gt;=2,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$A2018=IMPORTRANGE(""https://docs.google.com/spreadsheets/d/1BJSV3WBYJGRhQ6zExamkszQ5VutGIcaQqmbD9ZTVXMQ/edit#gid=1251630045"",""articles_with_PRISMA_reasons!B2:B2113""))&lt;2),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$A2018=IMPORTRANGE(""https://docs.google.com/spreadsheets/d/1BJSV3WBYJGRhQ6zExamkszQ5VutGIcaQqmbD9ZTVXMQ/edit#gid=1251630045"",""a"&amp;"rticles_with_PRISMA_reasons!B2:B2113""))&lt;2,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$A2018=IMPORTRANGE(""https://docs.google"&amp;".com/spreadsheets/d/1BJSV3WBYJGRhQ6zExamkszQ5VutGIcaQqmbD9ZTVXMQ/edit#gid=1251630045"",""articles_with_PRISMA_reasons!B2:B2113""))&gt;=2),
""Exclude""
)"),"Exclude")</f>
        <v>Exclude</v>
      </c>
      <c r="E2018" s="5" t="str">
        <f>IFERROR(__xludf.DUMMYFUNCTION("IFS(
D2018=""Exclude"",""Exclude"",
AND(
FILTER(IMPORTRANGE(""https://docs.google.com/spreadsheets/d/1qpEmbGH0JjaJbUdp21-y2cPbobDbMjr09BbtdKROZWc/edit#gid=1444865654"",""articles_with_PRISMA_reasons!W2:W2113""), $A2018=IMPORTRANGE(""https://docs.google.co"&amp;"m/spreadsheets/d/1qpEmbGH0JjaJbUdp21-y2cPbobDbMjr09BbtdKROZWc/edit#gid=1444865654"",""articles_with_PRISMA_reasons!B2:B2113""))&gt;=2,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$A2018=IMPORTRANGE(""https://docs.google.com/spreadsheets/d/1qpEmbGH0JjaJbUdp21-y2cPbobDbMjr09BbtdKROZWc/edit#gid=1444865654"",""articles_with_PRISMA_reasons!B2:B2113""))&lt;2),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$A2018=IMPORTRANGE(""https://docs.google.com/spreadsheets/d/1qpEmbGH0JjaJbUdp21-y2cPbobDbMjr09Bbtd"&amp;"KROZWc/edit#gid=1444865654"",""articles_with_PRISMA_reasons!B2:B2113""))&lt;2,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$A2018=I"&amp;"MPORTRANGE(""https://docs.google.com/spreadsheets/d/1qpEmbGH0JjaJbUdp21-y2cPbobDbMjr09BbtdKROZWc/edit#gid=1444865654"",""articles_with_PRISMA_reasons!B2:B2113""))&gt;=2),
""Exclude""
)"),"Exclude")</f>
        <v>Exclude</v>
      </c>
      <c r="F2018" s="5" t="str">
        <f>IFERROR(__xludf.DUMMYFUNCTION("IFS(
E2018=""Exclude"",""Exclude"",
AND(
COUNTIF(
IMPORTRANGE(""https://docs.google.com/spreadsheets/d/1kGrh75X1cNR1D7_FcY9zMnHP8iPO4M5RCRjy6nZY0TY/edit#gid=0"",""Table 1: Study characteristics!B4:B171""),A2018)&gt;0,
COUNTIF(Studies!$A$2:$A$85,FILTER(IMPORT"&amp;"RANGE(""https://docs.google.com/spreadsheets/d/1kGrh75X1cNR1D7_FcY9zMnHP8iPO4M5RCRjy6nZY0TY/edit#gid=0"",""Table 1: Study characteristics!A4:A171""), $A2018=IMPORTRANGE(""https://docs.google.com/spreadsheets/d/1kGrh75X1cNR1D7_FcY9zMnHP8iPO4M5RCRjy6nZY0TY/"&amp;"edit#gid=0"",""Table 1: Study characteristics!B4:B171"")))&gt;0
),
""Include""
)"),"Exclude")</f>
        <v>Exclude</v>
      </c>
      <c r="G2018" s="5" t="str">
        <f>IFERROR(__xludf.DUMMYFUNCTION("IFS(
D2018=""Exclude"",
FILTER(IMPORTRANGE(""https://docs.google.com/spreadsheets/d/1BJSV3WBYJGRhQ6zExamkszQ5VutGIcaQqmbD9ZTVXMQ/edit#gid=1251630045"",""articles_with_PRISMA_reasons!AB2:AB2113""), $A2018=IMPORTRANGE(""https://docs.google.com/spreadsheets/"&amp;"d/1BJSV3WBYJGRhQ6zExamkszQ5VutGIcaQqmbD9ZTVXMQ/edit#gid=1251630045"",""articles_with_PRISMA_reasons!B2:B2113"")),
E2018=""Exclude"",
FILTER(IMPORTRANGE(""https://docs.google.com/spreadsheets/d/1qpEmbGH0JjaJbUdp21-y2cPbobDbMjr09BbtdKROZWc/edit#gid=14448656"&amp;"54"",""articles_with_PRISMA_reasons!Z2:Z2113""), $A2018=IMPORTRANGE(""https://docs.google.com/spreadsheets/d/1qpEmbGH0JjaJbUdp21-y2cPbobDbMjr09BbtdKROZWc/edit#gid=1444865654"",""articles_with_PRISMA_reasons!B2:B2113"")),F2018
=""Include"",FILTER(IMPORTRAN"&amp;"GE(""https://docs.google.com/spreadsheets/d/1kGrh75X1cNR1D7_FcY9zMnHP8iPO4M5RCRjy6nZY0TY/edit#gid=0"",""Table 1: Study characteristics!A4:A171""), $A2018=IMPORTRANGE(""https://docs.google.com/spreadsheets/d/1kGrh75X1cNR1D7_FcY9zMnHP8iPO4M5RCRjy6nZY0TY/edi"&amp;"t#gid=0"",""Table 1: Study characteristics!B4:B171""))
)"),"wrong population")</f>
        <v>wrong population</v>
      </c>
    </row>
    <row r="2019">
      <c r="A2019" s="4" t="str">
        <f>IFERROR(__xludf.DUMMYFUNCTION("""COMPUTED_VALUE"""),"Triple neural tube defect - Cranium bifidum with rostral and caudal spina bifida - Live evidence of multi-site closure of the neural tube in humans")</f>
        <v>Triple neural tube defect - Cranium bifidum with rostral and caudal spina bifida - Live evidence of multi-site closure of the neural tube in humans</v>
      </c>
      <c r="B2019" s="5" t="str">
        <f>IFERROR(__xludf.DUMMYFUNCTION("LEFT(FILTER(IMPORTRANGE(""https://docs.google.com/spreadsheets/d/1BJSV3WBYJGRhQ6zExamkszQ5VutGIcaQqmbD9ZTVXMQ/edit#gid=1251630045"",""articles_with_PRISMA_reasons!K2:K2113""), $A2019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$A2019=IMPORTRANGE(""https://docs.google.com/spreadsheets/d/1BJSV3WBYJGRhQ6zExamkszQ5VutGIcaQqmbD9ZTVXMQ/edit#gid=1251630045"",""articles_with_PRISMA_reasons!B2:B2113"")))-1)"),"Tekkok")</f>
        <v>Tekkok</v>
      </c>
      <c r="C2019" s="6">
        <f>IFERROR(__xludf.DUMMYFUNCTION("FILTER(IMPORTRANGE(""https://docs.google.com/spreadsheets/d/1BJSV3WBYJGRhQ6zExamkszQ5VutGIcaQqmbD9ZTVXMQ/edit#gid=1251630045"",""articles_with_PRISMA_reasons!C2:C2113""), $A2019=IMPORTRANGE(""https://docs.google.com/spreadsheets/d/1BJSV3WBYJGRhQ6zExamkszQ"&amp;"5VutGIcaQqmbD9ZTVXMQ/edit#gid=1251630045"",""articles_with_PRISMA_reasons!B2:B2113""))"),2005.0)</f>
        <v>2005</v>
      </c>
      <c r="D2019" s="5" t="str">
        <f>IFERROR(__xludf.DUMMYFUNCTION("IFS(AND(
FILTER(IMPORTRANGE(""https://docs.google.com/spreadsheets/d/1BJSV3WBYJGRhQ6zExamkszQ5VutGIcaQqmbD9ZTVXMQ/edit#gid=1251630045"",""articles_with_PRISMA_reasons!Y2:Y2113""), $A2019=IMPORTRANGE(""https://docs.google.com/spreadsheets/d/1BJSV3WBYJGRhQ6"&amp;"zExamkszQ5VutGIcaQqmbD9ZTVXMQ/edit#gid=1251630045"",""articles_with_PRISMA_reasons!B2:B2113""))&gt;=2,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$A2019=IMPORTRANGE(""https://docs.google.com/spreadsheets/d/1BJSV3WBYJGRhQ6zExamkszQ5VutGIcaQqmbD9ZTVXMQ/edit#gid=1251630045"",""articles_with_PRISMA_reasons!B2:B2113""))&lt;2),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$A2019=IMPORTRANGE(""https://docs.google.com/spreadsheets/d/1BJSV3WBYJGRhQ6zExamkszQ5VutGIcaQqmbD9ZTVXMQ/edit#gid=1251630045"",""a"&amp;"rticles_with_PRISMA_reasons!B2:B2113""))&lt;2,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$A2019=IMPORTRANGE(""https://docs.google"&amp;".com/spreadsheets/d/1BJSV3WBYJGRhQ6zExamkszQ5VutGIcaQqmbD9ZTVXMQ/edit#gid=1251630045"",""articles_with_PRISMA_reasons!B2:B2113""))&gt;=2),
""Exclude""
)"),"Exclude")</f>
        <v>Exclude</v>
      </c>
      <c r="E2019" s="5" t="str">
        <f>IFERROR(__xludf.DUMMYFUNCTION("IFS(
D2019=""Exclude"",""Exclude"",
AND(
FILTER(IMPORTRANGE(""https://docs.google.com/spreadsheets/d/1qpEmbGH0JjaJbUdp21-y2cPbobDbMjr09BbtdKROZWc/edit#gid=1444865654"",""articles_with_PRISMA_reasons!W2:W2113""), $A2019=IMPORTRANGE(""https://docs.google.co"&amp;"m/spreadsheets/d/1qpEmbGH0JjaJbUdp21-y2cPbobDbMjr09BbtdKROZWc/edit#gid=1444865654"",""articles_with_PRISMA_reasons!B2:B2113""))&gt;=2,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$A2019=IMPORTRANGE(""https://docs.google.com/spreadsheets/d/1qpEmbGH0JjaJbUdp21-y2cPbobDbMjr09BbtdKROZWc/edit#gid=1444865654"",""articles_with_PRISMA_reasons!B2:B2113""))&lt;2),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$A2019=IMPORTRANGE(""https://docs.google.com/spreadsheets/d/1qpEmbGH0JjaJbUdp21-y2cPbobDbMjr09Bbtd"&amp;"KROZWc/edit#gid=1444865654"",""articles_with_PRISMA_reasons!B2:B2113""))&lt;2,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$A2019=I"&amp;"MPORTRANGE(""https://docs.google.com/spreadsheets/d/1qpEmbGH0JjaJbUdp21-y2cPbobDbMjr09BbtdKROZWc/edit#gid=1444865654"",""articles_with_PRISMA_reasons!B2:B2113""))&gt;=2),
""Exclude""
)"),"Exclude")</f>
        <v>Exclude</v>
      </c>
      <c r="F2019" s="5" t="str">
        <f>IFERROR(__xludf.DUMMYFUNCTION("IFS(
E2019=""Exclude"",""Exclude"",
AND(
COUNTIF(
IMPORTRANGE(""https://docs.google.com/spreadsheets/d/1kGrh75X1cNR1D7_FcY9zMnHP8iPO4M5RCRjy6nZY0TY/edit#gid=0"",""Table 1: Study characteristics!B4:B171""),A2019)&gt;0,
COUNTIF(Studies!$A$2:$A$85,FILTER(IMPORT"&amp;"RANGE(""https://docs.google.com/spreadsheets/d/1kGrh75X1cNR1D7_FcY9zMnHP8iPO4M5RCRjy6nZY0TY/edit#gid=0"",""Table 1: Study characteristics!A4:A171""), $A2019=IMPORTRANGE(""https://docs.google.com/spreadsheets/d/1kGrh75X1cNR1D7_FcY9zMnHP8iPO4M5RCRjy6nZY0TY/"&amp;"edit#gid=0"",""Table 1: Study characteristics!B4:B171"")))&gt;0
),
""Include""
)"),"Exclude")</f>
        <v>Exclude</v>
      </c>
      <c r="G2019" s="5" t="str">
        <f>IFERROR(__xludf.DUMMYFUNCTION("IFS(
D2019=""Exclude"",
FILTER(IMPORTRANGE(""https://docs.google.com/spreadsheets/d/1BJSV3WBYJGRhQ6zExamkszQ5VutGIcaQqmbD9ZTVXMQ/edit#gid=1251630045"",""articles_with_PRISMA_reasons!AB2:AB2113""), $A2019=IMPORTRANGE(""https://docs.google.com/spreadsheets/"&amp;"d/1BJSV3WBYJGRhQ6zExamkszQ5VutGIcaQqmbD9ZTVXMQ/edit#gid=1251630045"",""articles_with_PRISMA_reasons!B2:B2113"")),
E2019=""Exclude"",
FILTER(IMPORTRANGE(""https://docs.google.com/spreadsheets/d/1qpEmbGH0JjaJbUdp21-y2cPbobDbMjr09BbtdKROZWc/edit#gid=14448656"&amp;"54"",""articles_with_PRISMA_reasons!Z2:Z2113""), $A2019=IMPORTRANGE(""https://docs.google.com/spreadsheets/d/1qpEmbGH0JjaJbUdp21-y2cPbobDbMjr09BbtdKROZWc/edit#gid=1444865654"",""articles_with_PRISMA_reasons!B2:B2113"")),F2019
=""Include"",FILTER(IMPORTRAN"&amp;"GE(""https://docs.google.com/spreadsheets/d/1kGrh75X1cNR1D7_FcY9zMnHP8iPO4M5RCRjy6nZY0TY/edit#gid=0"",""Table 1: Study characteristics!A4:A171""), $A2019=IMPORTRANGE(""https://docs.google.com/spreadsheets/d/1kGrh75X1cNR1D7_FcY9zMnHP8iPO4M5RCRjy6nZY0TY/edi"&amp;"t#gid=0"",""Table 1: Study characteristics!B4:B171""))
)"),"Duplicate")</f>
        <v>Duplicate</v>
      </c>
    </row>
    <row r="2020">
      <c r="A2020" s="4" t="str">
        <f>IFERROR(__xludf.DUMMYFUNCTION("""COMPUTED_VALUE"""),"Triple neural tube defect and the multisite closure theory for neural tube defects: Is there an additional site? Case report")</f>
        <v>Triple neural tube defect and the multisite closure theory for neural tube defects: Is there an additional site? Case report</v>
      </c>
      <c r="B2020" s="5" t="str">
        <f>IFERROR(__xludf.DUMMYFUNCTION("LEFT(FILTER(IMPORTRANGE(""https://docs.google.com/spreadsheets/d/1BJSV3WBYJGRhQ6zExamkszQ5VutGIcaQqmbD9ZTVXMQ/edit#gid=1251630045"",""articles_with_PRISMA_reasons!K2:K2113""), $A2020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$A2020=IMPORTRANGE(""https://docs.google.com/spreadsheets/d/1BJSV3WBYJGRhQ6zExamkszQ5VutGIcaQqmbD9ZTVXMQ/edit#gid=1251630045"",""articles_with_PRISMA_reasons!B2:B2113"")))-1)"),"Sharma")</f>
        <v>Sharma</v>
      </c>
      <c r="C2020" s="6">
        <f>IFERROR(__xludf.DUMMYFUNCTION("FILTER(IMPORTRANGE(""https://docs.google.com/spreadsheets/d/1BJSV3WBYJGRhQ6zExamkszQ5VutGIcaQqmbD9ZTVXMQ/edit#gid=1251630045"",""articles_with_PRISMA_reasons!C2:C2113""), $A2020=IMPORTRANGE(""https://docs.google.com/spreadsheets/d/1BJSV3WBYJGRhQ6zExamkszQ"&amp;"5VutGIcaQqmbD9ZTVXMQ/edit#gid=1251630045"",""articles_with_PRISMA_reasons!B2:B2113""))"),2008.0)</f>
        <v>2008</v>
      </c>
      <c r="D2020" s="5" t="str">
        <f>IFERROR(__xludf.DUMMYFUNCTION("IFS(AND(
FILTER(IMPORTRANGE(""https://docs.google.com/spreadsheets/d/1BJSV3WBYJGRhQ6zExamkszQ5VutGIcaQqmbD9ZTVXMQ/edit#gid=1251630045"",""articles_with_PRISMA_reasons!Y2:Y2113""), $A2020=IMPORTRANGE(""https://docs.google.com/spreadsheets/d/1BJSV3WBYJGRhQ6"&amp;"zExamkszQ5VutGIcaQqmbD9ZTVXMQ/edit#gid=1251630045"",""articles_with_PRISMA_reasons!B2:B2113""))&gt;=2,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$A2020=IMPORTRANGE(""https://docs.google.com/spreadsheets/d/1BJSV3WBYJGRhQ6zExamkszQ5VutGIcaQqmbD9ZTVXMQ/edit#gid=1251630045"",""articles_with_PRISMA_reasons!B2:B2113""))&lt;2),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$A2020=IMPORTRANGE(""https://docs.google.com/spreadsheets/d/1BJSV3WBYJGRhQ6zExamkszQ5VutGIcaQqmbD9ZTVXMQ/edit#gid=1251630045"",""a"&amp;"rticles_with_PRISMA_reasons!B2:B2113""))&lt;2,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$A2020=IMPORTRANGE(""https://docs.google"&amp;".com/spreadsheets/d/1BJSV3WBYJGRhQ6zExamkszQ5VutGIcaQqmbD9ZTVXMQ/edit#gid=1251630045"",""articles_with_PRISMA_reasons!B2:B2113""))&gt;=2),
""Exclude""
)"),"Exclude")</f>
        <v>Exclude</v>
      </c>
      <c r="E2020" s="5" t="str">
        <f>IFERROR(__xludf.DUMMYFUNCTION("IFS(
D2020=""Exclude"",""Exclude"",
AND(
FILTER(IMPORTRANGE(""https://docs.google.com/spreadsheets/d/1qpEmbGH0JjaJbUdp21-y2cPbobDbMjr09BbtdKROZWc/edit#gid=1444865654"",""articles_with_PRISMA_reasons!W2:W2113""), $A2020=IMPORTRANGE(""https://docs.google.co"&amp;"m/spreadsheets/d/1qpEmbGH0JjaJbUdp21-y2cPbobDbMjr09BbtdKROZWc/edit#gid=1444865654"",""articles_with_PRISMA_reasons!B2:B2113""))&gt;=2,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$A2020=IMPORTRANGE(""https://docs.google.com/spreadsheets/d/1qpEmbGH0JjaJbUdp21-y2cPbobDbMjr09BbtdKROZWc/edit#gid=1444865654"",""articles_with_PRISMA_reasons!B2:B2113""))&lt;2),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$A2020=IMPORTRANGE(""https://docs.google.com/spreadsheets/d/1qpEmbGH0JjaJbUdp21-y2cPbobDbMjr09Bbtd"&amp;"KROZWc/edit#gid=1444865654"",""articles_with_PRISMA_reasons!B2:B2113""))&lt;2,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$A2020=I"&amp;"MPORTRANGE(""https://docs.google.com/spreadsheets/d/1qpEmbGH0JjaJbUdp21-y2cPbobDbMjr09BbtdKROZWc/edit#gid=1444865654"",""articles_with_PRISMA_reasons!B2:B2113""))&gt;=2),
""Exclude""
)"),"Exclude")</f>
        <v>Exclude</v>
      </c>
      <c r="F2020" s="5" t="str">
        <f>IFERROR(__xludf.DUMMYFUNCTION("IFS(
E2020=""Exclude"",""Exclude"",
AND(
COUNTIF(
IMPORTRANGE(""https://docs.google.com/spreadsheets/d/1kGrh75X1cNR1D7_FcY9zMnHP8iPO4M5RCRjy6nZY0TY/edit#gid=0"",""Table 1: Study characteristics!B4:B171""),A2020)&gt;0,
COUNTIF(Studies!$A$2:$A$85,FILTER(IMPORT"&amp;"RANGE(""https://docs.google.com/spreadsheets/d/1kGrh75X1cNR1D7_FcY9zMnHP8iPO4M5RCRjy6nZY0TY/edit#gid=0"",""Table 1: Study characteristics!A4:A171""), $A2020=IMPORTRANGE(""https://docs.google.com/spreadsheets/d/1kGrh75X1cNR1D7_FcY9zMnHP8iPO4M5RCRjy6nZY0TY/"&amp;"edit#gid=0"",""Table 1: Study characteristics!B4:B171"")))&gt;0
),
""Include""
)"),"Exclude")</f>
        <v>Exclude</v>
      </c>
      <c r="G2020" s="5" t="str">
        <f>IFERROR(__xludf.DUMMYFUNCTION("IFS(
D2020=""Exclude"",
FILTER(IMPORTRANGE(""https://docs.google.com/spreadsheets/d/1BJSV3WBYJGRhQ6zExamkszQ5VutGIcaQqmbD9ZTVXMQ/edit#gid=1251630045"",""articles_with_PRISMA_reasons!AB2:AB2113""), $A2020=IMPORTRANGE(""https://docs.google.com/spreadsheets/"&amp;"d/1BJSV3WBYJGRhQ6zExamkszQ5VutGIcaQqmbD9ZTVXMQ/edit#gid=1251630045"",""articles_with_PRISMA_reasons!B2:B2113"")),
E2020=""Exclude"",
FILTER(IMPORTRANGE(""https://docs.google.com/spreadsheets/d/1qpEmbGH0JjaJbUdp21-y2cPbobDbMjr09BbtdKROZWc/edit#gid=14448656"&amp;"54"",""articles_with_PRISMA_reasons!Z2:Z2113""), $A2020=IMPORTRANGE(""https://docs.google.com/spreadsheets/d/1qpEmbGH0JjaJbUdp21-y2cPbobDbMjr09BbtdKROZWc/edit#gid=1444865654"",""articles_with_PRISMA_reasons!B2:B2113"")),F2020
=""Include"",FILTER(IMPORTRAN"&amp;"GE(""https://docs.google.com/spreadsheets/d/1kGrh75X1cNR1D7_FcY9zMnHP8iPO4M5RCRjy6nZY0TY/edit#gid=0"",""Table 1: Study characteristics!A4:A171""), $A2020=IMPORTRANGE(""https://docs.google.com/spreadsheets/d/1kGrh75X1cNR1D7_FcY9zMnHP8iPO4M5RCRjy6nZY0TY/edi"&amp;"t#gid=0"",""Table 1: Study characteristics!B4:B171""))
)"),"wrong publication type")</f>
        <v>wrong publication type</v>
      </c>
    </row>
    <row r="2021">
      <c r="A2021" s="4" t="str">
        <f>IFERROR(__xludf.DUMMYFUNCTION("""COMPUTED_VALUE"""),"Triploidy variation of phenotype")</f>
        <v>Triploidy variation of phenotype</v>
      </c>
      <c r="B2021" s="5" t="str">
        <f>IFERROR(__xludf.DUMMYFUNCTION("LEFT(FILTER(IMPORTRANGE(""https://docs.google.com/spreadsheets/d/1BJSV3WBYJGRhQ6zExamkszQ5VutGIcaQqmbD9ZTVXMQ/edit#gid=1251630045"",""articles_with_PRISMA_reasons!K2:K2113""), $A2021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$A2021=IMPORTRANGE(""https://docs.google.com/spreadsheets/d/1BJSV3WBYJGRhQ6zExamkszQ5VutGIcaQqmbD9ZTVXMQ/edit#gid=1251630045"",""articles_with_PRISMA_reasons!B2:B2113"")))-1)"),"Hassan Toufaily")</f>
        <v>Hassan Toufaily</v>
      </c>
      <c r="C2021" s="6">
        <f>IFERROR(__xludf.DUMMYFUNCTION("FILTER(IMPORTRANGE(""https://docs.google.com/spreadsheets/d/1BJSV3WBYJGRhQ6zExamkszQ5VutGIcaQqmbD9ZTVXMQ/edit#gid=1251630045"",""articles_with_PRISMA_reasons!C2:C2113""), $A2021=IMPORTRANGE(""https://docs.google.com/spreadsheets/d/1BJSV3WBYJGRhQ6zExamkszQ"&amp;"5VutGIcaQqmbD9ZTVXMQ/edit#gid=1251630045"",""articles_with_PRISMA_reasons!B2:B2113""))"),2016.0)</f>
        <v>2016</v>
      </c>
      <c r="D2021" s="5" t="str">
        <f>IFERROR(__xludf.DUMMYFUNCTION("IFS(AND(
FILTER(IMPORTRANGE(""https://docs.google.com/spreadsheets/d/1BJSV3WBYJGRhQ6zExamkszQ5VutGIcaQqmbD9ZTVXMQ/edit#gid=1251630045"",""articles_with_PRISMA_reasons!Y2:Y2113""), $A2021=IMPORTRANGE(""https://docs.google.com/spreadsheets/d/1BJSV3WBYJGRhQ6"&amp;"zExamkszQ5VutGIcaQqmbD9ZTVXMQ/edit#gid=1251630045"",""articles_with_PRISMA_reasons!B2:B2113""))&gt;=2,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$A2021=IMPORTRANGE(""https://docs.google.com/spreadsheets/d/1BJSV3WBYJGRhQ6zExamkszQ5VutGIcaQqmbD9ZTVXMQ/edit#gid=1251630045"",""articles_with_PRISMA_reasons!B2:B2113""))&lt;2),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$A2021=IMPORTRANGE(""https://docs.google.com/spreadsheets/d/1BJSV3WBYJGRhQ6zExamkszQ5VutGIcaQqmbD9ZTVXMQ/edit#gid=1251630045"",""a"&amp;"rticles_with_PRISMA_reasons!B2:B2113""))&lt;2,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$A2021=IMPORTRANGE(""https://docs.google"&amp;".com/spreadsheets/d/1BJSV3WBYJGRhQ6zExamkszQ5VutGIcaQqmbD9ZTVXMQ/edit#gid=1251630045"",""articles_with_PRISMA_reasons!B2:B2113""))&gt;=2),
""Exclude""
)"),"Exclude")</f>
        <v>Exclude</v>
      </c>
      <c r="E2021" s="5" t="str">
        <f>IFERROR(__xludf.DUMMYFUNCTION("IFS(
D2021=""Exclude"",""Exclude"",
AND(
FILTER(IMPORTRANGE(""https://docs.google.com/spreadsheets/d/1qpEmbGH0JjaJbUdp21-y2cPbobDbMjr09BbtdKROZWc/edit#gid=1444865654"",""articles_with_PRISMA_reasons!W2:W2113""), $A2021=IMPORTRANGE(""https://docs.google.co"&amp;"m/spreadsheets/d/1qpEmbGH0JjaJbUdp21-y2cPbobDbMjr09BbtdKROZWc/edit#gid=1444865654"",""articles_with_PRISMA_reasons!B2:B2113""))&gt;=2,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$A2021=IMPORTRANGE(""https://docs.google.com/spreadsheets/d/1qpEmbGH0JjaJbUdp21-y2cPbobDbMjr09BbtdKROZWc/edit#gid=1444865654"",""articles_with_PRISMA_reasons!B2:B2113""))&lt;2),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$A2021=IMPORTRANGE(""https://docs.google.com/spreadsheets/d/1qpEmbGH0JjaJbUdp21-y2cPbobDbMjr09Bbtd"&amp;"KROZWc/edit#gid=1444865654"",""articles_with_PRISMA_reasons!B2:B2113""))&lt;2,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$A2021=I"&amp;"MPORTRANGE(""https://docs.google.com/spreadsheets/d/1qpEmbGH0JjaJbUdp21-y2cPbobDbMjr09BbtdKROZWc/edit#gid=1444865654"",""articles_with_PRISMA_reasons!B2:B2113""))&gt;=2),
""Exclude""
)"),"Exclude")</f>
        <v>Exclude</v>
      </c>
      <c r="F2021" s="5" t="str">
        <f>IFERROR(__xludf.DUMMYFUNCTION("IFS(
E2021=""Exclude"",""Exclude"",
AND(
COUNTIF(
IMPORTRANGE(""https://docs.google.com/spreadsheets/d/1kGrh75X1cNR1D7_FcY9zMnHP8iPO4M5RCRjy6nZY0TY/edit#gid=0"",""Table 1: Study characteristics!B4:B171""),A2021)&gt;0,
COUNTIF(Studies!$A$2:$A$85,FILTER(IMPORT"&amp;"RANGE(""https://docs.google.com/spreadsheets/d/1kGrh75X1cNR1D7_FcY9zMnHP8iPO4M5RCRjy6nZY0TY/edit#gid=0"",""Table 1: Study characteristics!A4:A171""), $A2021=IMPORTRANGE(""https://docs.google.com/spreadsheets/d/1kGrh75X1cNR1D7_FcY9zMnHP8iPO4M5RCRjy6nZY0TY/"&amp;"edit#gid=0"",""Table 1: Study characteristics!B4:B171"")))&gt;0
),
""Include""
)"),"Exclude")</f>
        <v>Exclude</v>
      </c>
      <c r="G2021" s="5" t="str">
        <f>IFERROR(__xludf.DUMMYFUNCTION("IFS(
D2021=""Exclude"",
FILTER(IMPORTRANGE(""https://docs.google.com/spreadsheets/d/1BJSV3WBYJGRhQ6zExamkszQ5VutGIcaQqmbD9ZTVXMQ/edit#gid=1251630045"",""articles_with_PRISMA_reasons!AB2:AB2113""), $A2021=IMPORTRANGE(""https://docs.google.com/spreadsheets/"&amp;"d/1BJSV3WBYJGRhQ6zExamkszQ5VutGIcaQqmbD9ZTVXMQ/edit#gid=1251630045"",""articles_with_PRISMA_reasons!B2:B2113"")),
E2021=""Exclude"",
FILTER(IMPORTRANGE(""https://docs.google.com/spreadsheets/d/1qpEmbGH0JjaJbUdp21-y2cPbobDbMjr09BbtdKROZWc/edit#gid=14448656"&amp;"54"",""articles_with_PRISMA_reasons!Z2:Z2113""), $A2021=IMPORTRANGE(""https://docs.google.com/spreadsheets/d/1qpEmbGH0JjaJbUdp21-y2cPbobDbMjr09BbtdKROZWc/edit#gid=1444865654"",""articles_with_PRISMA_reasons!B2:B2113"")),F2021
=""Include"",FILTER(IMPORTRAN"&amp;"GE(""https://docs.google.com/spreadsheets/d/1kGrh75X1cNR1D7_FcY9zMnHP8iPO4M5RCRjy6nZY0TY/edit#gid=0"",""Table 1: Study characteristics!A4:A171""), $A2021=IMPORTRANGE(""https://docs.google.com/spreadsheets/d/1kGrh75X1cNR1D7_FcY9zMnHP8iPO4M5RCRjy6nZY0TY/edi"&amp;"t#gid=0"",""Table 1: Study characteristics!B4:B171""))
)"),"wrong population")</f>
        <v>wrong population</v>
      </c>
    </row>
    <row r="2022">
      <c r="A2022" s="4" t="str">
        <f>IFERROR(__xludf.DUMMYFUNCTION("""COMPUTED_VALUE"""),"True cervicothoracic meningocele: A rare and benign condition")</f>
        <v>True cervicothoracic meningocele: A rare and benign condition</v>
      </c>
      <c r="B2022" s="5" t="str">
        <f>IFERROR(__xludf.DUMMYFUNCTION("LEFT(FILTER(IMPORTRANGE(""https://docs.google.com/spreadsheets/d/1BJSV3WBYJGRhQ6zExamkszQ5VutGIcaQqmbD9ZTVXMQ/edit#gid=1251630045"",""articles_with_PRISMA_reasons!K2:K2113""), $A2022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$A2022=IMPORTRANGE(""https://docs.google.com/spreadsheets/d/1BJSV3WBYJGRhQ6zExamkszQ5VutGIcaQqmbD9ZTVXMQ/edit#gid=1251630045"",""articles_with_PRISMA_reasons!B2:B2113"")))-1)"),"Pessoa")</f>
        <v>Pessoa</v>
      </c>
      <c r="C2022" s="6">
        <f>IFERROR(__xludf.DUMMYFUNCTION("FILTER(IMPORTRANGE(""https://docs.google.com/spreadsheets/d/1BJSV3WBYJGRhQ6zExamkszQ5VutGIcaQqmbD9ZTVXMQ/edit#gid=1251630045"",""articles_with_PRISMA_reasons!C2:C2113""), $A2022=IMPORTRANGE(""https://docs.google.com/spreadsheets/d/1BJSV3WBYJGRhQ6zExamkszQ"&amp;"5VutGIcaQqmbD9ZTVXMQ/edit#gid=1251630045"",""articles_with_PRISMA_reasons!B2:B2113""))"),2015.0)</f>
        <v>2015</v>
      </c>
      <c r="D2022" s="5" t="str">
        <f>IFERROR(__xludf.DUMMYFUNCTION("IFS(AND(
FILTER(IMPORTRANGE(""https://docs.google.com/spreadsheets/d/1BJSV3WBYJGRhQ6zExamkszQ5VutGIcaQqmbD9ZTVXMQ/edit#gid=1251630045"",""articles_with_PRISMA_reasons!Y2:Y2113""), $A2022=IMPORTRANGE(""https://docs.google.com/spreadsheets/d/1BJSV3WBYJGRhQ6"&amp;"zExamkszQ5VutGIcaQqmbD9ZTVXMQ/edit#gid=1251630045"",""articles_with_PRISMA_reasons!B2:B2113""))&gt;=2,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$A2022=IMPORTRANGE(""https://docs.google.com/spreadsheets/d/1BJSV3WBYJGRhQ6zExamkszQ5VutGIcaQqmbD9ZTVXMQ/edit#gid=1251630045"",""articles_with_PRISMA_reasons!B2:B2113""))&lt;2),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$A2022=IMPORTRANGE(""https://docs.google.com/spreadsheets/d/1BJSV3WBYJGRhQ6zExamkszQ5VutGIcaQqmbD9ZTVXMQ/edit#gid=1251630045"",""a"&amp;"rticles_with_PRISMA_reasons!B2:B2113""))&lt;2,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$A2022=IMPORTRANGE(""https://docs.google"&amp;".com/spreadsheets/d/1BJSV3WBYJGRhQ6zExamkszQ5VutGIcaQqmbD9ZTVXMQ/edit#gid=1251630045"",""articles_with_PRISMA_reasons!B2:B2113""))&gt;=2),
""Exclude""
)"),"Exclude")</f>
        <v>Exclude</v>
      </c>
      <c r="E2022" s="5" t="str">
        <f>IFERROR(__xludf.DUMMYFUNCTION("IFS(
D2022=""Exclude"",""Exclude"",
AND(
FILTER(IMPORTRANGE(""https://docs.google.com/spreadsheets/d/1qpEmbGH0JjaJbUdp21-y2cPbobDbMjr09BbtdKROZWc/edit#gid=1444865654"",""articles_with_PRISMA_reasons!W2:W2113""), $A2022=IMPORTRANGE(""https://docs.google.co"&amp;"m/spreadsheets/d/1qpEmbGH0JjaJbUdp21-y2cPbobDbMjr09BbtdKROZWc/edit#gid=1444865654"",""articles_with_PRISMA_reasons!B2:B2113""))&gt;=2,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$A2022=IMPORTRANGE(""https://docs.google.com/spreadsheets/d/1qpEmbGH0JjaJbUdp21-y2cPbobDbMjr09BbtdKROZWc/edit#gid=1444865654"",""articles_with_PRISMA_reasons!B2:B2113""))&lt;2),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$A2022=IMPORTRANGE(""https://docs.google.com/spreadsheets/d/1qpEmbGH0JjaJbUdp21-y2cPbobDbMjr09Bbtd"&amp;"KROZWc/edit#gid=1444865654"",""articles_with_PRISMA_reasons!B2:B2113""))&lt;2,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$A2022=I"&amp;"MPORTRANGE(""https://docs.google.com/spreadsheets/d/1qpEmbGH0JjaJbUdp21-y2cPbobDbMjr09BbtdKROZWc/edit#gid=1444865654"",""articles_with_PRISMA_reasons!B2:B2113""))&gt;=2),
""Exclude""
)"),"Exclude")</f>
        <v>Exclude</v>
      </c>
      <c r="F2022" s="5" t="str">
        <f>IFERROR(__xludf.DUMMYFUNCTION("IFS(
E2022=""Exclude"",""Exclude"",
AND(
COUNTIF(
IMPORTRANGE(""https://docs.google.com/spreadsheets/d/1kGrh75X1cNR1D7_FcY9zMnHP8iPO4M5RCRjy6nZY0TY/edit#gid=0"",""Table 1: Study characteristics!B4:B171""),A2022)&gt;0,
COUNTIF(Studies!$A$2:$A$85,FILTER(IMPORT"&amp;"RANGE(""https://docs.google.com/spreadsheets/d/1kGrh75X1cNR1D7_FcY9zMnHP8iPO4M5RCRjy6nZY0TY/edit#gid=0"",""Table 1: Study characteristics!A4:A171""), $A2022=IMPORTRANGE(""https://docs.google.com/spreadsheets/d/1kGrh75X1cNR1D7_FcY9zMnHP8iPO4M5RCRjy6nZY0TY/"&amp;"edit#gid=0"",""Table 1: Study characteristics!B4:B171"")))&gt;0
),
""Include""
)"),"Exclude")</f>
        <v>Exclude</v>
      </c>
      <c r="G2022" s="5" t="str">
        <f>IFERROR(__xludf.DUMMYFUNCTION("IFS(
D2022=""Exclude"",
FILTER(IMPORTRANGE(""https://docs.google.com/spreadsheets/d/1BJSV3WBYJGRhQ6zExamkszQ5VutGIcaQqmbD9ZTVXMQ/edit#gid=1251630045"",""articles_with_PRISMA_reasons!AB2:AB2113""), $A2022=IMPORTRANGE(""https://docs.google.com/spreadsheets/"&amp;"d/1BJSV3WBYJGRhQ6zExamkszQ5VutGIcaQqmbD9ZTVXMQ/edit#gid=1251630045"",""articles_with_PRISMA_reasons!B2:B2113"")),
E2022=""Exclude"",
FILTER(IMPORTRANGE(""https://docs.google.com/spreadsheets/d/1qpEmbGH0JjaJbUdp21-y2cPbobDbMjr09BbtdKROZWc/edit#gid=14448656"&amp;"54"",""articles_with_PRISMA_reasons!Z2:Z2113""), $A2022=IMPORTRANGE(""https://docs.google.com/spreadsheets/d/1qpEmbGH0JjaJbUdp21-y2cPbobDbMjr09BbtdKROZWc/edit#gid=1444865654"",""articles_with_PRISMA_reasons!B2:B2113"")),F2022
=""Include"",FILTER(IMPORTRAN"&amp;"GE(""https://docs.google.com/spreadsheets/d/1kGrh75X1cNR1D7_FcY9zMnHP8iPO4M5RCRjy6nZY0TY/edit#gid=0"",""Table 1: Study characteristics!A4:A171""), $A2022=IMPORTRANGE(""https://docs.google.com/spreadsheets/d/1kGrh75X1cNR1D7_FcY9zMnHP8iPO4M5RCRjy6nZY0TY/edi"&amp;"t#gid=0"",""Table 1: Study characteristics!B4:B171""))
)"),"wrong study design")</f>
        <v>wrong study design</v>
      </c>
    </row>
    <row r="2023">
      <c r="A2023" s="4" t="str">
        <f>IFERROR(__xludf.DUMMYFUNCTION("""COMPUTED_VALUE"""),"True myelomeningocele with exposed placode: Unusual presentation of cervical myelomeningocele: Case illustration")</f>
        <v>True myelomeningocele with exposed placode: Unusual presentation of cervical myelomeningocele: Case illustration</v>
      </c>
      <c r="B2023" s="5" t="str">
        <f>IFERROR(__xludf.DUMMYFUNCTION("LEFT(FILTER(IMPORTRANGE(""https://docs.google.com/spreadsheets/d/1BJSV3WBYJGRhQ6zExamkszQ5VutGIcaQqmbD9ZTVXMQ/edit#gid=1251630045"",""articles_with_PRISMA_reasons!K2:K2113""), $A2023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$A2023=IMPORTRANGE(""https://docs.google.com/spreadsheets/d/1BJSV3WBYJGRhQ6zExamkszQ5VutGIcaQqmbD9ZTVXMQ/edit#gid=1251630045"",""articles_with_PRISMA_reasons!B2:B2113"")))-1)"),"Nejat")</f>
        <v>Nejat</v>
      </c>
      <c r="C2023" s="6">
        <f>IFERROR(__xludf.DUMMYFUNCTION("FILTER(IMPORTRANGE(""https://docs.google.com/spreadsheets/d/1BJSV3WBYJGRhQ6zExamkszQ5VutGIcaQqmbD9ZTVXMQ/edit#gid=1251630045"",""articles_with_PRISMA_reasons!C2:C2113""), $A2023=IMPORTRANGE(""https://docs.google.com/spreadsheets/d/1BJSV3WBYJGRhQ6zExamkszQ"&amp;"5VutGIcaQqmbD9ZTVXMQ/edit#gid=1251630045"",""articles_with_PRISMA_reasons!B2:B2113""))"),2010.0)</f>
        <v>2010</v>
      </c>
      <c r="D2023" s="5" t="str">
        <f>IFERROR(__xludf.DUMMYFUNCTION("IFS(AND(
FILTER(IMPORTRANGE(""https://docs.google.com/spreadsheets/d/1BJSV3WBYJGRhQ6zExamkszQ5VutGIcaQqmbD9ZTVXMQ/edit#gid=1251630045"",""articles_with_PRISMA_reasons!Y2:Y2113""), $A2023=IMPORTRANGE(""https://docs.google.com/spreadsheets/d/1BJSV3WBYJGRhQ6"&amp;"zExamkszQ5VutGIcaQqmbD9ZTVXMQ/edit#gid=1251630045"",""articles_with_PRISMA_reasons!B2:B2113""))&gt;=2,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$A2023=IMPORTRANGE(""https://docs.google.com/spreadsheets/d/1BJSV3WBYJGRhQ6zExamkszQ5VutGIcaQqmbD9ZTVXMQ/edit#gid=1251630045"",""articles_with_PRISMA_reasons!B2:B2113""))&lt;2),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$A2023=IMPORTRANGE(""https://docs.google.com/spreadsheets/d/1BJSV3WBYJGRhQ6zExamkszQ5VutGIcaQqmbD9ZTVXMQ/edit#gid=1251630045"",""a"&amp;"rticles_with_PRISMA_reasons!B2:B2113""))&lt;2,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$A2023=IMPORTRANGE(""https://docs.google"&amp;".com/spreadsheets/d/1BJSV3WBYJGRhQ6zExamkszQ5VutGIcaQqmbD9ZTVXMQ/edit#gid=1251630045"",""articles_with_PRISMA_reasons!B2:B2113""))&gt;=2),
""Exclude""
)"),"Exclude")</f>
        <v>Exclude</v>
      </c>
      <c r="E2023" s="5" t="str">
        <f>IFERROR(__xludf.DUMMYFUNCTION("IFS(
D2023=""Exclude"",""Exclude"",
AND(
FILTER(IMPORTRANGE(""https://docs.google.com/spreadsheets/d/1qpEmbGH0JjaJbUdp21-y2cPbobDbMjr09BbtdKROZWc/edit#gid=1444865654"",""articles_with_PRISMA_reasons!W2:W2113""), $A2023=IMPORTRANGE(""https://docs.google.co"&amp;"m/spreadsheets/d/1qpEmbGH0JjaJbUdp21-y2cPbobDbMjr09BbtdKROZWc/edit#gid=1444865654"",""articles_with_PRISMA_reasons!B2:B2113""))&gt;=2,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$A2023=IMPORTRANGE(""https://docs.google.com/spreadsheets/d/1qpEmbGH0JjaJbUdp21-y2cPbobDbMjr09BbtdKROZWc/edit#gid=1444865654"",""articles_with_PRISMA_reasons!B2:B2113""))&lt;2),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$A2023=IMPORTRANGE(""https://docs.google.com/spreadsheets/d/1qpEmbGH0JjaJbUdp21-y2cPbobDbMjr09Bbtd"&amp;"KROZWc/edit#gid=1444865654"",""articles_with_PRISMA_reasons!B2:B2113""))&lt;2,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$A2023=I"&amp;"MPORTRANGE(""https://docs.google.com/spreadsheets/d/1qpEmbGH0JjaJbUdp21-y2cPbobDbMjr09BbtdKROZWc/edit#gid=1444865654"",""articles_with_PRISMA_reasons!B2:B2113""))&gt;=2),
""Exclude""
)"),"Exclude")</f>
        <v>Exclude</v>
      </c>
      <c r="F2023" s="5" t="str">
        <f>IFERROR(__xludf.DUMMYFUNCTION("IFS(
E2023=""Exclude"",""Exclude"",
AND(
COUNTIF(
IMPORTRANGE(""https://docs.google.com/spreadsheets/d/1kGrh75X1cNR1D7_FcY9zMnHP8iPO4M5RCRjy6nZY0TY/edit#gid=0"",""Table 1: Study characteristics!B4:B171""),A2023)&gt;0,
COUNTIF(Studies!$A$2:$A$85,FILTER(IMPORT"&amp;"RANGE(""https://docs.google.com/spreadsheets/d/1kGrh75X1cNR1D7_FcY9zMnHP8iPO4M5RCRjy6nZY0TY/edit#gid=0"",""Table 1: Study characteristics!A4:A171""), $A2023=IMPORTRANGE(""https://docs.google.com/spreadsheets/d/1kGrh75X1cNR1D7_FcY9zMnHP8iPO4M5RCRjy6nZY0TY/"&amp;"edit#gid=0"",""Table 1: Study characteristics!B4:B171"")))&gt;0
),
""Include""
)"),"Exclude")</f>
        <v>Exclude</v>
      </c>
      <c r="G2023" s="5" t="str">
        <f>IFERROR(__xludf.DUMMYFUNCTION("IFS(
D2023=""Exclude"",
FILTER(IMPORTRANGE(""https://docs.google.com/spreadsheets/d/1BJSV3WBYJGRhQ6zExamkszQ5VutGIcaQqmbD9ZTVXMQ/edit#gid=1251630045"",""articles_with_PRISMA_reasons!AB2:AB2113""), $A2023=IMPORTRANGE(""https://docs.google.com/spreadsheets/"&amp;"d/1BJSV3WBYJGRhQ6zExamkszQ5VutGIcaQqmbD9ZTVXMQ/edit#gid=1251630045"",""articles_with_PRISMA_reasons!B2:B2113"")),
E2023=""Exclude"",
FILTER(IMPORTRANGE(""https://docs.google.com/spreadsheets/d/1qpEmbGH0JjaJbUdp21-y2cPbobDbMjr09BbtdKROZWc/edit#gid=14448656"&amp;"54"",""articles_with_PRISMA_reasons!Z2:Z2113""), $A2023=IMPORTRANGE(""https://docs.google.com/spreadsheets/d/1qpEmbGH0JjaJbUdp21-y2cPbobDbMjr09BbtdKROZWc/edit#gid=1444865654"",""articles_with_PRISMA_reasons!B2:B2113"")),F2023
=""Include"",FILTER(IMPORTRAN"&amp;"GE(""https://docs.google.com/spreadsheets/d/1kGrh75X1cNR1D7_FcY9zMnHP8iPO4M5RCRjy6nZY0TY/edit#gid=0"",""Table 1: Study characteristics!A4:A171""), $A2023=IMPORTRANGE(""https://docs.google.com/spreadsheets/d/1kGrh75X1cNR1D7_FcY9zMnHP8iPO4M5RCRjy6nZY0TY/edi"&amp;"t#gid=0"",""Table 1: Study characteristics!B4:B171""))
)"),"wrong study design")</f>
        <v>wrong study design</v>
      </c>
    </row>
    <row r="2024">
      <c r="A2024" s="4" t="str">
        <f>IFERROR(__xludf.DUMMYFUNCTION("""COMPUTED_VALUE"""),"True precocious puberty in children with non tumoral hydrocephalus. An analysis of 16 cases")</f>
        <v>True precocious puberty in children with non tumoral hydrocephalus. An analysis of 16 cases</v>
      </c>
      <c r="B2024" s="5" t="str">
        <f>IFERROR(__xludf.DUMMYFUNCTION("LEFT(FILTER(IMPORTRANGE(""https://docs.google.com/spreadsheets/d/1BJSV3WBYJGRhQ6zExamkszQ5VutGIcaQqmbD9ZTVXMQ/edit#gid=1251630045"",""articles_with_PRISMA_reasons!K2:K2113""), $A2024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$A2024=IMPORTRANGE(""https://docs.google.com/spreadsheets/d/1BJSV3WBYJGRhQ6zExamkszQ5VutGIcaQqmbD9ZTVXMQ/edit#gid=1251630045"",""articles_with_PRISMA_reasons!B2:B2113"")))-1)"),"Brauner")</f>
        <v>Brauner</v>
      </c>
      <c r="C2024" s="6">
        <f>IFERROR(__xludf.DUMMYFUNCTION("FILTER(IMPORTRANGE(""https://docs.google.com/spreadsheets/d/1BJSV3WBYJGRhQ6zExamkszQ5VutGIcaQqmbD9ZTVXMQ/edit#gid=1251630045"",""articles_with_PRISMA_reasons!C2:C2113""), $A2024=IMPORTRANGE(""https://docs.google.com/spreadsheets/d/1BJSV3WBYJGRhQ6zExamkszQ"&amp;"5VutGIcaQqmbD9ZTVXMQ/edit#gid=1251630045"",""articles_with_PRISMA_reasons!B2:B2113""))"),1987.0)</f>
        <v>1987</v>
      </c>
      <c r="D2024" s="5" t="str">
        <f>IFERROR(__xludf.DUMMYFUNCTION("IFS(AND(
FILTER(IMPORTRANGE(""https://docs.google.com/spreadsheets/d/1BJSV3WBYJGRhQ6zExamkszQ5VutGIcaQqmbD9ZTVXMQ/edit#gid=1251630045"",""articles_with_PRISMA_reasons!Y2:Y2113""), $A2024=IMPORTRANGE(""https://docs.google.com/spreadsheets/d/1BJSV3WBYJGRhQ6"&amp;"zExamkszQ5VutGIcaQqmbD9ZTVXMQ/edit#gid=1251630045"",""articles_with_PRISMA_reasons!B2:B2113""))&gt;=2,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$A2024=IMPORTRANGE(""https://docs.google.com/spreadsheets/d/1BJSV3WBYJGRhQ6zExamkszQ5VutGIcaQqmbD9ZTVXMQ/edit#gid=1251630045"",""articles_with_PRISMA_reasons!B2:B2113""))&lt;2),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$A2024=IMPORTRANGE(""https://docs.google.com/spreadsheets/d/1BJSV3WBYJGRhQ6zExamkszQ5VutGIcaQqmbD9ZTVXMQ/edit#gid=1251630045"",""a"&amp;"rticles_with_PRISMA_reasons!B2:B2113""))&lt;2,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$A2024=IMPORTRANGE(""https://docs.google"&amp;".com/spreadsheets/d/1BJSV3WBYJGRhQ6zExamkszQ5VutGIcaQqmbD9ZTVXMQ/edit#gid=1251630045"",""articles_with_PRISMA_reasons!B2:B2113""))&gt;=2),
""Exclude""
)"),"Exclude")</f>
        <v>Exclude</v>
      </c>
      <c r="E2024" s="5" t="str">
        <f>IFERROR(__xludf.DUMMYFUNCTION("IFS(
D2024=""Exclude"",""Exclude"",
AND(
FILTER(IMPORTRANGE(""https://docs.google.com/spreadsheets/d/1qpEmbGH0JjaJbUdp21-y2cPbobDbMjr09BbtdKROZWc/edit#gid=1444865654"",""articles_with_PRISMA_reasons!W2:W2113""), $A2024=IMPORTRANGE(""https://docs.google.co"&amp;"m/spreadsheets/d/1qpEmbGH0JjaJbUdp21-y2cPbobDbMjr09BbtdKROZWc/edit#gid=1444865654"",""articles_with_PRISMA_reasons!B2:B2113""))&gt;=2,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$A2024=IMPORTRANGE(""https://docs.google.com/spreadsheets/d/1qpEmbGH0JjaJbUdp21-y2cPbobDbMjr09BbtdKROZWc/edit#gid=1444865654"",""articles_with_PRISMA_reasons!B2:B2113""))&lt;2),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$A2024=IMPORTRANGE(""https://docs.google.com/spreadsheets/d/1qpEmbGH0JjaJbUdp21-y2cPbobDbMjr09Bbtd"&amp;"KROZWc/edit#gid=1444865654"",""articles_with_PRISMA_reasons!B2:B2113""))&lt;2,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$A2024=I"&amp;"MPORTRANGE(""https://docs.google.com/spreadsheets/d/1qpEmbGH0JjaJbUdp21-y2cPbobDbMjr09BbtdKROZWc/edit#gid=1444865654"",""articles_with_PRISMA_reasons!B2:B2113""))&gt;=2),
""Exclude""
)"),"Exclude")</f>
        <v>Exclude</v>
      </c>
      <c r="F2024" s="5" t="str">
        <f>IFERROR(__xludf.DUMMYFUNCTION("IFS(
E2024=""Exclude"",""Exclude"",
AND(
COUNTIF(
IMPORTRANGE(""https://docs.google.com/spreadsheets/d/1kGrh75X1cNR1D7_FcY9zMnHP8iPO4M5RCRjy6nZY0TY/edit#gid=0"",""Table 1: Study characteristics!B4:B171""),A2024)&gt;0,
COUNTIF(Studies!$A$2:$A$85,FILTER(IMPORT"&amp;"RANGE(""https://docs.google.com/spreadsheets/d/1kGrh75X1cNR1D7_FcY9zMnHP8iPO4M5RCRjy6nZY0TY/edit#gid=0"",""Table 1: Study characteristics!A4:A171""), $A2024=IMPORTRANGE(""https://docs.google.com/spreadsheets/d/1kGrh75X1cNR1D7_FcY9zMnHP8iPO4M5RCRjy6nZY0TY/"&amp;"edit#gid=0"",""Table 1: Study characteristics!B4:B171"")))&gt;0
),
""Include""
)"),"Exclude")</f>
        <v>Exclude</v>
      </c>
      <c r="G2024" s="5" t="str">
        <f>IFERROR(__xludf.DUMMYFUNCTION("IFS(
D2024=""Exclude"",
FILTER(IMPORTRANGE(""https://docs.google.com/spreadsheets/d/1BJSV3WBYJGRhQ6zExamkszQ5VutGIcaQqmbD9ZTVXMQ/edit#gid=1251630045"",""articles_with_PRISMA_reasons!AB2:AB2113""), $A2024=IMPORTRANGE(""https://docs.google.com/spreadsheets/"&amp;"d/1BJSV3WBYJGRhQ6zExamkszQ5VutGIcaQqmbD9ZTVXMQ/edit#gid=1251630045"",""articles_with_PRISMA_reasons!B2:B2113"")),
E2024=""Exclude"",
FILTER(IMPORTRANGE(""https://docs.google.com/spreadsheets/d/1qpEmbGH0JjaJbUdp21-y2cPbobDbMjr09BbtdKROZWc/edit#gid=14448656"&amp;"54"",""articles_with_PRISMA_reasons!Z2:Z2113""), $A2024=IMPORTRANGE(""https://docs.google.com/spreadsheets/d/1qpEmbGH0JjaJbUdp21-y2cPbobDbMjr09BbtdKROZWc/edit#gid=1444865654"",""articles_with_PRISMA_reasons!B2:B2113"")),F2024
=""Include"",FILTER(IMPORTRAN"&amp;"GE(""https://docs.google.com/spreadsheets/d/1kGrh75X1cNR1D7_FcY9zMnHP8iPO4M5RCRjy6nZY0TY/edit#gid=0"",""Table 1: Study characteristics!A4:A171""), $A2024=IMPORTRANGE(""https://docs.google.com/spreadsheets/d/1kGrh75X1cNR1D7_FcY9zMnHP8iPO4M5RCRjy6nZY0TY/edi"&amp;"t#gid=0"",""Table 1: Study characteristics!B4:B171""))
)"),"wrong study design")</f>
        <v>wrong study design</v>
      </c>
    </row>
    <row r="2025">
      <c r="A2025" s="4" t="str">
        <f>IFERROR(__xludf.DUMMYFUNCTION("""COMPUTED_VALUE"""),"Twenty years' experience with myelomeningocele management at a single institution: Lessons learned")</f>
        <v>Twenty years' experience with myelomeningocele management at a single institution: Lessons learned</v>
      </c>
      <c r="B2025" s="5" t="str">
        <f>IFERROR(__xludf.DUMMYFUNCTION("LEFT(FILTER(IMPORTRANGE(""https://docs.google.com/spreadsheets/d/1BJSV3WBYJGRhQ6zExamkszQ5VutGIcaQqmbD9ZTVXMQ/edit#gid=1251630045"",""articles_with_PRISMA_reasons!K2:K2113""), $A2025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$A2025=IMPORTRANGE(""https://docs.google.com/spreadsheets/d/1BJSV3WBYJGRhQ6zExamkszQ5VutGIcaQqmbD9ZTVXMQ/edit#gid=1251630045"",""articles_with_PRISMA_reasons!B2:B2113"")))-1)"),"Kellogg")</f>
        <v>Kellogg</v>
      </c>
      <c r="C2025" s="6">
        <f>IFERROR(__xludf.DUMMYFUNCTION("FILTER(IMPORTRANGE(""https://docs.google.com/spreadsheets/d/1BJSV3WBYJGRhQ6zExamkszQ5VutGIcaQqmbD9ZTVXMQ/edit#gid=1251630045"",""articles_with_PRISMA_reasons!C2:C2113""), $A2025=IMPORTRANGE(""https://docs.google.com/spreadsheets/d/1BJSV3WBYJGRhQ6zExamkszQ"&amp;"5VutGIcaQqmbD9ZTVXMQ/edit#gid=1251630045"",""articles_with_PRISMA_reasons!B2:B2113""))"),2018.0)</f>
        <v>2018</v>
      </c>
      <c r="D2025" s="5" t="str">
        <f>IFERROR(__xludf.DUMMYFUNCTION("IFS(AND(
FILTER(IMPORTRANGE(""https://docs.google.com/spreadsheets/d/1BJSV3WBYJGRhQ6zExamkszQ5VutGIcaQqmbD9ZTVXMQ/edit#gid=1251630045"",""articles_with_PRISMA_reasons!Y2:Y2113""), $A2025=IMPORTRANGE(""https://docs.google.com/spreadsheets/d/1BJSV3WBYJGRhQ6"&amp;"zExamkszQ5VutGIcaQqmbD9ZTVXMQ/edit#gid=1251630045"",""articles_with_PRISMA_reasons!B2:B2113""))&gt;=2,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$A2025=IMPORTRANGE(""https://docs.google.com/spreadsheets/d/1BJSV3WBYJGRhQ6zExamkszQ5VutGIcaQqmbD9ZTVXMQ/edit#gid=1251630045"",""articles_with_PRISMA_reasons!B2:B2113""))&lt;2),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$A2025=IMPORTRANGE(""https://docs.google.com/spreadsheets/d/1BJSV3WBYJGRhQ6zExamkszQ5VutGIcaQqmbD9ZTVXMQ/edit#gid=1251630045"",""a"&amp;"rticles_with_PRISMA_reasons!B2:B2113""))&lt;2,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$A2025=IMPORTRANGE(""https://docs.google"&amp;".com/spreadsheets/d/1BJSV3WBYJGRhQ6zExamkszQ5VutGIcaQqmbD9ZTVXMQ/edit#gid=1251630045"",""articles_with_PRISMA_reasons!B2:B2113""))&gt;=2),
""Exclude""
)"),"Exclude")</f>
        <v>Exclude</v>
      </c>
      <c r="E2025" s="5" t="str">
        <f>IFERROR(__xludf.DUMMYFUNCTION("IFS(
D2025=""Exclude"",""Exclude"",
AND(
FILTER(IMPORTRANGE(""https://docs.google.com/spreadsheets/d/1qpEmbGH0JjaJbUdp21-y2cPbobDbMjr09BbtdKROZWc/edit#gid=1444865654"",""articles_with_PRISMA_reasons!W2:W2113""), $A2025=IMPORTRANGE(""https://docs.google.co"&amp;"m/spreadsheets/d/1qpEmbGH0JjaJbUdp21-y2cPbobDbMjr09BbtdKROZWc/edit#gid=1444865654"",""articles_with_PRISMA_reasons!B2:B2113""))&gt;=2,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$A2025=IMPORTRANGE(""https://docs.google.com/spreadsheets/d/1qpEmbGH0JjaJbUdp21-y2cPbobDbMjr09BbtdKROZWc/edit#gid=1444865654"",""articles_with_PRISMA_reasons!B2:B2113""))&lt;2),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$A2025=IMPORTRANGE(""https://docs.google.com/spreadsheets/d/1qpEmbGH0JjaJbUdp21-y2cPbobDbMjr09Bbtd"&amp;"KROZWc/edit#gid=1444865654"",""articles_with_PRISMA_reasons!B2:B2113""))&lt;2,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$A2025=I"&amp;"MPORTRANGE(""https://docs.google.com/spreadsheets/d/1qpEmbGH0JjaJbUdp21-y2cPbobDbMjr09BbtdKROZWc/edit#gid=1444865654"",""articles_with_PRISMA_reasons!B2:B2113""))&gt;=2),
""Exclude""
)"),"Exclude")</f>
        <v>Exclude</v>
      </c>
      <c r="F2025" s="5" t="str">
        <f>IFERROR(__xludf.DUMMYFUNCTION("IFS(
E2025=""Exclude"",""Exclude"",
AND(
COUNTIF(
IMPORTRANGE(""https://docs.google.com/spreadsheets/d/1kGrh75X1cNR1D7_FcY9zMnHP8iPO4M5RCRjy6nZY0TY/edit#gid=0"",""Table 1: Study characteristics!B4:B171""),A2025)&gt;0,
COUNTIF(Studies!$A$2:$A$85,FILTER(IMPORT"&amp;"RANGE(""https://docs.google.com/spreadsheets/d/1kGrh75X1cNR1D7_FcY9zMnHP8iPO4M5RCRjy6nZY0TY/edit#gid=0"",""Table 1: Study characteristics!A4:A171""), $A2025=IMPORTRANGE(""https://docs.google.com/spreadsheets/d/1kGrh75X1cNR1D7_FcY9zMnHP8iPO4M5RCRjy6nZY0TY/"&amp;"edit#gid=0"",""Table 1: Study characteristics!B4:B171"")))&gt;0
),
""Include""
)"),"Exclude")</f>
        <v>Exclude</v>
      </c>
      <c r="G2025" s="5" t="str">
        <f>IFERROR(__xludf.DUMMYFUNCTION("IFS(
D2025=""Exclude"",
FILTER(IMPORTRANGE(""https://docs.google.com/spreadsheets/d/1BJSV3WBYJGRhQ6zExamkszQ5VutGIcaQqmbD9ZTVXMQ/edit#gid=1251630045"",""articles_with_PRISMA_reasons!AB2:AB2113""), $A2025=IMPORTRANGE(""https://docs.google.com/spreadsheets/"&amp;"d/1BJSV3WBYJGRhQ6zExamkszQ5VutGIcaQqmbD9ZTVXMQ/edit#gid=1251630045"",""articles_with_PRISMA_reasons!B2:B2113"")),
E2025=""Exclude"",
FILTER(IMPORTRANGE(""https://docs.google.com/spreadsheets/d/1qpEmbGH0JjaJbUdp21-y2cPbobDbMjr09BbtdKROZWc/edit#gid=14448656"&amp;"54"",""articles_with_PRISMA_reasons!Z2:Z2113""), $A2025=IMPORTRANGE(""https://docs.google.com/spreadsheets/d/1qpEmbGH0JjaJbUdp21-y2cPbobDbMjr09BbtdKROZWc/edit#gid=1444865654"",""articles_with_PRISMA_reasons!B2:B2113"")),F2025
=""Include"",FILTER(IMPORTRAN"&amp;"GE(""https://docs.google.com/spreadsheets/d/1kGrh75X1cNR1D7_FcY9zMnHP8iPO4M5RCRjy6nZY0TY/edit#gid=0"",""Table 1: Study characteristics!A4:A171""), $A2025=IMPORTRANGE(""https://docs.google.com/spreadsheets/d/1kGrh75X1cNR1D7_FcY9zMnHP8iPO4M5RCRjy6nZY0TY/edi"&amp;"t#gid=0"",""Table 1: Study characteristics!B4:B171""))
)"),"background article")</f>
        <v>background article</v>
      </c>
    </row>
    <row r="2026">
      <c r="A2026" s="4" t="str">
        <f>IFERROR(__xludf.DUMMYFUNCTION("""COMPUTED_VALUE"""),"Twin pregnancy after kidney transplantation: Case report and systematic review")</f>
        <v>Twin pregnancy after kidney transplantation: Case report and systematic review</v>
      </c>
      <c r="B2026" s="5" t="str">
        <f>IFERROR(__xludf.DUMMYFUNCTION("LEFT(FILTER(IMPORTRANGE(""https://docs.google.com/spreadsheets/d/1BJSV3WBYJGRhQ6zExamkszQ5VutGIcaQqmbD9ZTVXMQ/edit#gid=1251630045"",""articles_with_PRISMA_reasons!K2:K2113""), $A2026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$A2026=IMPORTRANGE(""https://docs.google.com/spreadsheets/d/1BJSV3WBYJGRhQ6zExamkszQ5VutGIcaQqmbD9ZTVXMQ/edit#gid=1251630045"",""articles_with_PRISMA_reasons!B2:B2113"")))-1)"),"Sousa")</f>
        <v>Sousa</v>
      </c>
      <c r="C2026" s="6">
        <f>IFERROR(__xludf.DUMMYFUNCTION("FILTER(IMPORTRANGE(""https://docs.google.com/spreadsheets/d/1BJSV3WBYJGRhQ6zExamkszQ5VutGIcaQqmbD9ZTVXMQ/edit#gid=1251630045"",""articles_with_PRISMA_reasons!C2:C2113""), $A2026=IMPORTRANGE(""https://docs.google.com/spreadsheets/d/1BJSV3WBYJGRhQ6zExamkszQ"&amp;"5VutGIcaQqmbD9ZTVXMQ/edit#gid=1251630045"",""articles_with_PRISMA_reasons!B2:B2113""))"),2021.0)</f>
        <v>2021</v>
      </c>
      <c r="D2026" s="5" t="str">
        <f>IFERROR(__xludf.DUMMYFUNCTION("IFS(AND(
FILTER(IMPORTRANGE(""https://docs.google.com/spreadsheets/d/1BJSV3WBYJGRhQ6zExamkszQ5VutGIcaQqmbD9ZTVXMQ/edit#gid=1251630045"",""articles_with_PRISMA_reasons!Y2:Y2113""), $A2026=IMPORTRANGE(""https://docs.google.com/spreadsheets/d/1BJSV3WBYJGRhQ6"&amp;"zExamkszQ5VutGIcaQqmbD9ZTVXMQ/edit#gid=1251630045"",""articles_with_PRISMA_reasons!B2:B2113""))&gt;=2,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$A2026=IMPORTRANGE(""https://docs.google.com/spreadsheets/d/1BJSV3WBYJGRhQ6zExamkszQ5VutGIcaQqmbD9ZTVXMQ/edit#gid=1251630045"",""articles_with_PRISMA_reasons!B2:B2113""))&lt;2),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$A2026=IMPORTRANGE(""https://docs.google.com/spreadsheets/d/1BJSV3WBYJGRhQ6zExamkszQ5VutGIcaQqmbD9ZTVXMQ/edit#gid=1251630045"",""a"&amp;"rticles_with_PRISMA_reasons!B2:B2113""))&lt;2,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$A2026=IMPORTRANGE(""https://docs.google"&amp;".com/spreadsheets/d/1BJSV3WBYJGRhQ6zExamkszQ5VutGIcaQqmbD9ZTVXMQ/edit#gid=1251630045"",""articles_with_PRISMA_reasons!B2:B2113""))&gt;=2),
""Exclude""
)"),"Exclude")</f>
        <v>Exclude</v>
      </c>
      <c r="E2026" s="5" t="str">
        <f>IFERROR(__xludf.DUMMYFUNCTION("IFS(
D2026=""Exclude"",""Exclude"",
AND(
FILTER(IMPORTRANGE(""https://docs.google.com/spreadsheets/d/1qpEmbGH0JjaJbUdp21-y2cPbobDbMjr09BbtdKROZWc/edit#gid=1444865654"",""articles_with_PRISMA_reasons!W2:W2113""), $A2026=IMPORTRANGE(""https://docs.google.co"&amp;"m/spreadsheets/d/1qpEmbGH0JjaJbUdp21-y2cPbobDbMjr09BbtdKROZWc/edit#gid=1444865654"",""articles_with_PRISMA_reasons!B2:B2113""))&gt;=2,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$A2026=IMPORTRANGE(""https://docs.google.com/spreadsheets/d/1qpEmbGH0JjaJbUdp21-y2cPbobDbMjr09BbtdKROZWc/edit#gid=1444865654"",""articles_with_PRISMA_reasons!B2:B2113""))&lt;2),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$A2026=IMPORTRANGE(""https://docs.google.com/spreadsheets/d/1qpEmbGH0JjaJbUdp21-y2cPbobDbMjr09Bbtd"&amp;"KROZWc/edit#gid=1444865654"",""articles_with_PRISMA_reasons!B2:B2113""))&lt;2,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$A2026=I"&amp;"MPORTRANGE(""https://docs.google.com/spreadsheets/d/1qpEmbGH0JjaJbUdp21-y2cPbobDbMjr09BbtdKROZWc/edit#gid=1444865654"",""articles_with_PRISMA_reasons!B2:B2113""))&gt;=2),
""Exclude""
)"),"Exclude")</f>
        <v>Exclude</v>
      </c>
      <c r="F2026" s="5" t="str">
        <f>IFERROR(__xludf.DUMMYFUNCTION("IFS(
E2026=""Exclude"",""Exclude"",
AND(
COUNTIF(
IMPORTRANGE(""https://docs.google.com/spreadsheets/d/1kGrh75X1cNR1D7_FcY9zMnHP8iPO4M5RCRjy6nZY0TY/edit#gid=0"",""Table 1: Study characteristics!B4:B171""),A2026)&gt;0,
COUNTIF(Studies!$A$2:$A$85,FILTER(IMPORT"&amp;"RANGE(""https://docs.google.com/spreadsheets/d/1kGrh75X1cNR1D7_FcY9zMnHP8iPO4M5RCRjy6nZY0TY/edit#gid=0"",""Table 1: Study characteristics!A4:A171""), $A2026=IMPORTRANGE(""https://docs.google.com/spreadsheets/d/1kGrh75X1cNR1D7_FcY9zMnHP8iPO4M5RCRjy6nZY0TY/"&amp;"edit#gid=0"",""Table 1: Study characteristics!B4:B171"")))&gt;0
),
""Include""
)"),"Exclude")</f>
        <v>Exclude</v>
      </c>
      <c r="G2026" s="5" t="str">
        <f>IFERROR(__xludf.DUMMYFUNCTION("IFS(
D2026=""Exclude"",
FILTER(IMPORTRANGE(""https://docs.google.com/spreadsheets/d/1BJSV3WBYJGRhQ6zExamkszQ5VutGIcaQqmbD9ZTVXMQ/edit#gid=1251630045"",""articles_with_PRISMA_reasons!AB2:AB2113""), $A2026=IMPORTRANGE(""https://docs.google.com/spreadsheets/"&amp;"d/1BJSV3WBYJGRhQ6zExamkszQ5VutGIcaQqmbD9ZTVXMQ/edit#gid=1251630045"",""articles_with_PRISMA_reasons!B2:B2113"")),
E2026=""Exclude"",
FILTER(IMPORTRANGE(""https://docs.google.com/spreadsheets/d/1qpEmbGH0JjaJbUdp21-y2cPbobDbMjr09BbtdKROZWc/edit#gid=14448656"&amp;"54"",""articles_with_PRISMA_reasons!Z2:Z2113""), $A2026=IMPORTRANGE(""https://docs.google.com/spreadsheets/d/1qpEmbGH0JjaJbUdp21-y2cPbobDbMjr09BbtdKROZWc/edit#gid=1444865654"",""articles_with_PRISMA_reasons!B2:B2113"")),F2026
=""Include"",FILTER(IMPORTRAN"&amp;"GE(""https://docs.google.com/spreadsheets/d/1kGrh75X1cNR1D7_FcY9zMnHP8iPO4M5RCRjy6nZY0TY/edit#gid=0"",""Table 1: Study characteristics!A4:A171""), $A2026=IMPORTRANGE(""https://docs.google.com/spreadsheets/d/1kGrh75X1cNR1D7_FcY9zMnHP8iPO4M5RCRjy6nZY0TY/edi"&amp;"t#gid=0"",""Table 1: Study characteristics!B4:B171""))
)"),"wrong study design")</f>
        <v>wrong study design</v>
      </c>
    </row>
    <row r="2027">
      <c r="A2027" s="4" t="str">
        <f>IFERROR(__xludf.DUMMYFUNCTION("""COMPUTED_VALUE"""),"Two cases of Arnold-Chiari malformation type II")</f>
        <v>Two cases of Arnold-Chiari malformation type II</v>
      </c>
      <c r="B2027" s="5" t="str">
        <f>IFERROR(__xludf.DUMMYFUNCTION("LEFT(FILTER(IMPORTRANGE(""https://docs.google.com/spreadsheets/d/1BJSV3WBYJGRhQ6zExamkszQ5VutGIcaQqmbD9ZTVXMQ/edit#gid=1251630045"",""articles_with_PRISMA_reasons!K2:K2113""), $A2027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$A2027=IMPORTRANGE(""https://docs.google.com/spreadsheets/d/1BJSV3WBYJGRhQ6zExamkszQ5VutGIcaQqmbD9ZTVXMQ/edit#gid=1251630045"",""articles_with_PRISMA_reasons!B2:B2113"")))-1)"),"Woo-Ki")</f>
        <v>Woo-Ki</v>
      </c>
      <c r="C2027" s="6">
        <f>IFERROR(__xludf.DUMMYFUNCTION("FILTER(IMPORTRANGE(""https://docs.google.com/spreadsheets/d/1BJSV3WBYJGRhQ6zExamkszQ5VutGIcaQqmbD9ZTVXMQ/edit#gid=1251630045"",""articles_with_PRISMA_reasons!C2:C2113""), $A2027=IMPORTRANGE(""https://docs.google.com/spreadsheets/d/1BJSV3WBYJGRhQ6zExamkszQ"&amp;"5VutGIcaQqmbD9ZTVXMQ/edit#gid=1251630045"",""articles_with_PRISMA_reasons!B2:B2113""))"),1993.0)</f>
        <v>1993</v>
      </c>
      <c r="D2027" s="5" t="str">
        <f>IFERROR(__xludf.DUMMYFUNCTION("IFS(AND(
FILTER(IMPORTRANGE(""https://docs.google.com/spreadsheets/d/1BJSV3WBYJGRhQ6zExamkszQ5VutGIcaQqmbD9ZTVXMQ/edit#gid=1251630045"",""articles_with_PRISMA_reasons!Y2:Y2113""), $A2027=IMPORTRANGE(""https://docs.google.com/spreadsheets/d/1BJSV3WBYJGRhQ6"&amp;"zExamkszQ5VutGIcaQqmbD9ZTVXMQ/edit#gid=1251630045"",""articles_with_PRISMA_reasons!B2:B2113""))&gt;=2,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$A2027=IMPORTRANGE(""https://docs.google.com/spreadsheets/d/1BJSV3WBYJGRhQ6zExamkszQ5VutGIcaQqmbD9ZTVXMQ/edit#gid=1251630045"",""articles_with_PRISMA_reasons!B2:B2113""))&lt;2),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$A2027=IMPORTRANGE(""https://docs.google.com/spreadsheets/d/1BJSV3WBYJGRhQ6zExamkszQ5VutGIcaQqmbD9ZTVXMQ/edit#gid=1251630045"",""a"&amp;"rticles_with_PRISMA_reasons!B2:B2113""))&lt;2,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$A2027=IMPORTRANGE(""https://docs.google"&amp;".com/spreadsheets/d/1BJSV3WBYJGRhQ6zExamkszQ5VutGIcaQqmbD9ZTVXMQ/edit#gid=1251630045"",""articles_with_PRISMA_reasons!B2:B2113""))&gt;=2),
""Exclude""
)"),"Exclude")</f>
        <v>Exclude</v>
      </c>
      <c r="E2027" s="5" t="str">
        <f>IFERROR(__xludf.DUMMYFUNCTION("IFS(
D2027=""Exclude"",""Exclude"",
AND(
FILTER(IMPORTRANGE(""https://docs.google.com/spreadsheets/d/1qpEmbGH0JjaJbUdp21-y2cPbobDbMjr09BbtdKROZWc/edit#gid=1444865654"",""articles_with_PRISMA_reasons!W2:W2113""), $A2027=IMPORTRANGE(""https://docs.google.co"&amp;"m/spreadsheets/d/1qpEmbGH0JjaJbUdp21-y2cPbobDbMjr09BbtdKROZWc/edit#gid=1444865654"",""articles_with_PRISMA_reasons!B2:B2113""))&gt;=2,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$A2027=IMPORTRANGE(""https://docs.google.com/spreadsheets/d/1qpEmbGH0JjaJbUdp21-y2cPbobDbMjr09BbtdKROZWc/edit#gid=1444865654"",""articles_with_PRISMA_reasons!B2:B2113""))&lt;2),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$A2027=IMPORTRANGE(""https://docs.google.com/spreadsheets/d/1qpEmbGH0JjaJbUdp21-y2cPbobDbMjr09Bbtd"&amp;"KROZWc/edit#gid=1444865654"",""articles_with_PRISMA_reasons!B2:B2113""))&lt;2,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$A2027=I"&amp;"MPORTRANGE(""https://docs.google.com/spreadsheets/d/1qpEmbGH0JjaJbUdp21-y2cPbobDbMjr09BbtdKROZWc/edit#gid=1444865654"",""articles_with_PRISMA_reasons!B2:B2113""))&gt;=2),
""Exclude""
)"),"Exclude")</f>
        <v>Exclude</v>
      </c>
      <c r="F2027" s="5" t="str">
        <f>IFERROR(__xludf.DUMMYFUNCTION("IFS(
E2027=""Exclude"",""Exclude"",
AND(
COUNTIF(
IMPORTRANGE(""https://docs.google.com/spreadsheets/d/1kGrh75X1cNR1D7_FcY9zMnHP8iPO4M5RCRjy6nZY0TY/edit#gid=0"",""Table 1: Study characteristics!B4:B171""),A2027)&gt;0,
COUNTIF(Studies!$A$2:$A$85,FILTER(IMPORT"&amp;"RANGE(""https://docs.google.com/spreadsheets/d/1kGrh75X1cNR1D7_FcY9zMnHP8iPO4M5RCRjy6nZY0TY/edit#gid=0"",""Table 1: Study characteristics!A4:A171""), $A2027=IMPORTRANGE(""https://docs.google.com/spreadsheets/d/1kGrh75X1cNR1D7_FcY9zMnHP8iPO4M5RCRjy6nZY0TY/"&amp;"edit#gid=0"",""Table 1: Study characteristics!B4:B171"")))&gt;0
),
""Include""
)"),"Exclude")</f>
        <v>Exclude</v>
      </c>
      <c r="G2027" s="5" t="str">
        <f>IFERROR(__xludf.DUMMYFUNCTION("IFS(
D2027=""Exclude"",
FILTER(IMPORTRANGE(""https://docs.google.com/spreadsheets/d/1BJSV3WBYJGRhQ6zExamkszQ5VutGIcaQqmbD9ZTVXMQ/edit#gid=1251630045"",""articles_with_PRISMA_reasons!AB2:AB2113""), $A2027=IMPORTRANGE(""https://docs.google.com/spreadsheets/"&amp;"d/1BJSV3WBYJGRhQ6zExamkszQ5VutGIcaQqmbD9ZTVXMQ/edit#gid=1251630045"",""articles_with_PRISMA_reasons!B2:B2113"")),
E2027=""Exclude"",
FILTER(IMPORTRANGE(""https://docs.google.com/spreadsheets/d/1qpEmbGH0JjaJbUdp21-y2cPbobDbMjr09BbtdKROZWc/edit#gid=14448656"&amp;"54"",""articles_with_PRISMA_reasons!Z2:Z2113""), $A2027=IMPORTRANGE(""https://docs.google.com/spreadsheets/d/1qpEmbGH0JjaJbUdp21-y2cPbobDbMjr09BbtdKROZWc/edit#gid=1444865654"",""articles_with_PRISMA_reasons!B2:B2113"")),F2027
=""Include"",FILTER(IMPORTRAN"&amp;"GE(""https://docs.google.com/spreadsheets/d/1kGrh75X1cNR1D7_FcY9zMnHP8iPO4M5RCRjy6nZY0TY/edit#gid=0"",""Table 1: Study characteristics!A4:A171""), $A2027=IMPORTRANGE(""https://docs.google.com/spreadsheets/d/1kGrh75X1cNR1D7_FcY9zMnHP8iPO4M5RCRjy6nZY0TY/edi"&amp;"t#gid=0"",""Table 1: Study characteristics!B4:B171""))
)"),"wrong study design")</f>
        <v>wrong study design</v>
      </c>
    </row>
    <row r="2028">
      <c r="A2028" s="4" t="str">
        <f>IFERROR(__xludf.DUMMYFUNCTION("""COMPUTED_VALUE"""),"Two Hundred Thirty-Six Children With Developmental Hydrocephalus: Causes and Clinical Consequences")</f>
        <v>Two Hundred Thirty-Six Children With Developmental Hydrocephalus: Causes and Clinical Consequences</v>
      </c>
      <c r="B2028" s="5" t="str">
        <f>IFERROR(__xludf.DUMMYFUNCTION("LEFT(FILTER(IMPORTRANGE(""https://docs.google.com/spreadsheets/d/1BJSV3WBYJGRhQ6zExamkszQ5VutGIcaQqmbD9ZTVXMQ/edit#gid=1251630045"",""articles_with_PRISMA_reasons!K2:K2113""), $A2028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$A2028=IMPORTRANGE(""https://docs.google.com/spreadsheets/d/1BJSV3WBYJGRhQ6zExamkszQ5VutGIcaQqmbD9ZTVXMQ/edit#gid=1251630045"",""articles_with_PRISMA_reasons!B2:B2113"")))-1)"),"Tully")</f>
        <v>Tully</v>
      </c>
      <c r="C2028" s="6">
        <f>IFERROR(__xludf.DUMMYFUNCTION("FILTER(IMPORTRANGE(""https://docs.google.com/spreadsheets/d/1BJSV3WBYJGRhQ6zExamkszQ5VutGIcaQqmbD9ZTVXMQ/edit#gid=1251630045"",""articles_with_PRISMA_reasons!C2:C2113""), $A2028=IMPORTRANGE(""https://docs.google.com/spreadsheets/d/1BJSV3WBYJGRhQ6zExamkszQ"&amp;"5VutGIcaQqmbD9ZTVXMQ/edit#gid=1251630045"",""articles_with_PRISMA_reasons!B2:B2113""))"),2016.0)</f>
        <v>2016</v>
      </c>
      <c r="D2028" s="5" t="str">
        <f>IFERROR(__xludf.DUMMYFUNCTION("IFS(AND(
FILTER(IMPORTRANGE(""https://docs.google.com/spreadsheets/d/1BJSV3WBYJGRhQ6zExamkszQ5VutGIcaQqmbD9ZTVXMQ/edit#gid=1251630045"",""articles_with_PRISMA_reasons!Y2:Y2113""), $A2028=IMPORTRANGE(""https://docs.google.com/spreadsheets/d/1BJSV3WBYJGRhQ6"&amp;"zExamkszQ5VutGIcaQqmbD9ZTVXMQ/edit#gid=1251630045"",""articles_with_PRISMA_reasons!B2:B2113""))&gt;=2,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$A2028=IMPORTRANGE(""https://docs.google.com/spreadsheets/d/1BJSV3WBYJGRhQ6zExamkszQ5VutGIcaQqmbD9ZTVXMQ/edit#gid=1251630045"",""articles_with_PRISMA_reasons!B2:B2113""))&lt;2),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$A2028=IMPORTRANGE(""https://docs.google.com/spreadsheets/d/1BJSV3WBYJGRhQ6zExamkszQ5VutGIcaQqmbD9ZTVXMQ/edit#gid=1251630045"",""a"&amp;"rticles_with_PRISMA_reasons!B2:B2113""))&lt;2,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$A2028=IMPORTRANGE(""https://docs.google"&amp;".com/spreadsheets/d/1BJSV3WBYJGRhQ6zExamkszQ5VutGIcaQqmbD9ZTVXMQ/edit#gid=1251630045"",""articles_with_PRISMA_reasons!B2:B2113""))&gt;=2),
""Exclude""
)"),"Exclude")</f>
        <v>Exclude</v>
      </c>
      <c r="E2028" s="5" t="str">
        <f>IFERROR(__xludf.DUMMYFUNCTION("IFS(
D2028=""Exclude"",""Exclude"",
AND(
FILTER(IMPORTRANGE(""https://docs.google.com/spreadsheets/d/1qpEmbGH0JjaJbUdp21-y2cPbobDbMjr09BbtdKROZWc/edit#gid=1444865654"",""articles_with_PRISMA_reasons!W2:W2113""), $A2028=IMPORTRANGE(""https://docs.google.co"&amp;"m/spreadsheets/d/1qpEmbGH0JjaJbUdp21-y2cPbobDbMjr09BbtdKROZWc/edit#gid=1444865654"",""articles_with_PRISMA_reasons!B2:B2113""))&gt;=2,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$A2028=IMPORTRANGE(""https://docs.google.com/spreadsheets/d/1qpEmbGH0JjaJbUdp21-y2cPbobDbMjr09BbtdKROZWc/edit#gid=1444865654"",""articles_with_PRISMA_reasons!B2:B2113""))&lt;2),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$A2028=IMPORTRANGE(""https://docs.google.com/spreadsheets/d/1qpEmbGH0JjaJbUdp21-y2cPbobDbMjr09Bbtd"&amp;"KROZWc/edit#gid=1444865654"",""articles_with_PRISMA_reasons!B2:B2113""))&lt;2,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$A2028=I"&amp;"MPORTRANGE(""https://docs.google.com/spreadsheets/d/1qpEmbGH0JjaJbUdp21-y2cPbobDbMjr09BbtdKROZWc/edit#gid=1444865654"",""articles_with_PRISMA_reasons!B2:B2113""))&gt;=2),
""Exclude""
)"),"Exclude")</f>
        <v>Exclude</v>
      </c>
      <c r="F2028" s="5" t="str">
        <f>IFERROR(__xludf.DUMMYFUNCTION("IFS(
E2028=""Exclude"",""Exclude"",
AND(
COUNTIF(
IMPORTRANGE(""https://docs.google.com/spreadsheets/d/1kGrh75X1cNR1D7_FcY9zMnHP8iPO4M5RCRjy6nZY0TY/edit#gid=0"",""Table 1: Study characteristics!B4:B171""),A2028)&gt;0,
COUNTIF(Studies!$A$2:$A$85,FILTER(IMPORT"&amp;"RANGE(""https://docs.google.com/spreadsheets/d/1kGrh75X1cNR1D7_FcY9zMnHP8iPO4M5RCRjy6nZY0TY/edit#gid=0"",""Table 1: Study characteristics!A4:A171""), $A2028=IMPORTRANGE(""https://docs.google.com/spreadsheets/d/1kGrh75X1cNR1D7_FcY9zMnHP8iPO4M5RCRjy6nZY0TY/"&amp;"edit#gid=0"",""Table 1: Study characteristics!B4:B171"")))&gt;0
),
""Include""
)"),"Exclude")</f>
        <v>Exclude</v>
      </c>
      <c r="G2028" s="5" t="str">
        <f>IFERROR(__xludf.DUMMYFUNCTION("IFS(
D2028=""Exclude"",
FILTER(IMPORTRANGE(""https://docs.google.com/spreadsheets/d/1BJSV3WBYJGRhQ6zExamkszQ5VutGIcaQqmbD9ZTVXMQ/edit#gid=1251630045"",""articles_with_PRISMA_reasons!AB2:AB2113""), $A2028=IMPORTRANGE(""https://docs.google.com/spreadsheets/"&amp;"d/1BJSV3WBYJGRhQ6zExamkszQ5VutGIcaQqmbD9ZTVXMQ/edit#gid=1251630045"",""articles_with_PRISMA_reasons!B2:B2113"")),
E2028=""Exclude"",
FILTER(IMPORTRANGE(""https://docs.google.com/spreadsheets/d/1qpEmbGH0JjaJbUdp21-y2cPbobDbMjr09BbtdKROZWc/edit#gid=14448656"&amp;"54"",""articles_with_PRISMA_reasons!Z2:Z2113""), $A2028=IMPORTRANGE(""https://docs.google.com/spreadsheets/d/1qpEmbGH0JjaJbUdp21-y2cPbobDbMjr09BbtdKROZWc/edit#gid=1444865654"",""articles_with_PRISMA_reasons!B2:B2113"")),F2028
=""Include"",FILTER(IMPORTRAN"&amp;"GE(""https://docs.google.com/spreadsheets/d/1kGrh75X1cNR1D7_FcY9zMnHP8iPO4M5RCRjy6nZY0TY/edit#gid=0"",""Table 1: Study characteristics!A4:A171""), $A2028=IMPORTRANGE(""https://docs.google.com/spreadsheets/d/1kGrh75X1cNR1D7_FcY9zMnHP8iPO4M5RCRjy6nZY0TY/edi"&amp;"t#gid=0"",""Table 1: Study characteristics!B4:B171""))
)"),"wrong population")</f>
        <v>wrong population</v>
      </c>
    </row>
    <row r="2029">
      <c r="A2029" s="4" t="str">
        <f>IFERROR(__xludf.DUMMYFUNCTION("""COMPUTED_VALUE"""),"Typical lesions in the fetal nervous system: Correlations between fetal magnetic resonance imaging and obstetric ultrasonography findings")</f>
        <v>Typical lesions in the fetal nervous system: Correlations between fetal magnetic resonance imaging and obstetric ultrasonography findings</v>
      </c>
      <c r="B2029" s="5" t="str">
        <f>IFERROR(__xludf.DUMMYFUNCTION("LEFT(FILTER(IMPORTRANGE(""https://docs.google.com/spreadsheets/d/1BJSV3WBYJGRhQ6zExamkszQ5VutGIcaQqmbD9ZTVXMQ/edit#gid=1251630045"",""articles_with_PRISMA_reasons!K2:K2113""), $A2029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$A2029=IMPORTRANGE(""https://docs.google.com/spreadsheets/d/1BJSV3WBYJGRhQ6zExamkszQ5VutGIcaQqmbD9ZTVXMQ/edit#gid=1251630045"",""articles_with_PRISMA_reasons!B2:B2113"")))-1)"),"Werner")</f>
        <v>Werner</v>
      </c>
      <c r="C2029" s="6">
        <f>IFERROR(__xludf.DUMMYFUNCTION("FILTER(IMPORTRANGE(""https://docs.google.com/spreadsheets/d/1BJSV3WBYJGRhQ6zExamkszQ5VutGIcaQqmbD9ZTVXMQ/edit#gid=1251630045"",""articles_with_PRISMA_reasons!C2:C2113""), $A2029=IMPORTRANGE(""https://docs.google.com/spreadsheets/d/1BJSV3WBYJGRhQ6zExamkszQ"&amp;"5VutGIcaQqmbD9ZTVXMQ/edit#gid=1251630045"",""articles_with_PRISMA_reasons!B2:B2113""))"),2018.0)</f>
        <v>2018</v>
      </c>
      <c r="D2029" s="5" t="str">
        <f>IFERROR(__xludf.DUMMYFUNCTION("IFS(AND(
FILTER(IMPORTRANGE(""https://docs.google.com/spreadsheets/d/1BJSV3WBYJGRhQ6zExamkszQ5VutGIcaQqmbD9ZTVXMQ/edit#gid=1251630045"",""articles_with_PRISMA_reasons!Y2:Y2113""), $A2029=IMPORTRANGE(""https://docs.google.com/spreadsheets/d/1BJSV3WBYJGRhQ6"&amp;"zExamkszQ5VutGIcaQqmbD9ZTVXMQ/edit#gid=1251630045"",""articles_with_PRISMA_reasons!B2:B2113""))&gt;=2,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$A2029=IMPORTRANGE(""https://docs.google.com/spreadsheets/d/1BJSV3WBYJGRhQ6zExamkszQ5VutGIcaQqmbD9ZTVXMQ/edit#gid=1251630045"",""articles_with_PRISMA_reasons!B2:B2113""))&lt;2),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$A2029=IMPORTRANGE(""https://docs.google.com/spreadsheets/d/1BJSV3WBYJGRhQ6zExamkszQ5VutGIcaQqmbD9ZTVXMQ/edit#gid=1251630045"",""a"&amp;"rticles_with_PRISMA_reasons!B2:B2113""))&lt;2,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$A2029=IMPORTRANGE(""https://docs.google"&amp;".com/spreadsheets/d/1BJSV3WBYJGRhQ6zExamkszQ5VutGIcaQqmbD9ZTVXMQ/edit#gid=1251630045"",""articles_with_PRISMA_reasons!B2:B2113""))&gt;=2),
""Exclude""
)"),"Exclude")</f>
        <v>Exclude</v>
      </c>
      <c r="E2029" s="5" t="str">
        <f>IFERROR(__xludf.DUMMYFUNCTION("IFS(
D2029=""Exclude"",""Exclude"",
AND(
FILTER(IMPORTRANGE(""https://docs.google.com/spreadsheets/d/1qpEmbGH0JjaJbUdp21-y2cPbobDbMjr09BbtdKROZWc/edit#gid=1444865654"",""articles_with_PRISMA_reasons!W2:W2113""), $A2029=IMPORTRANGE(""https://docs.google.co"&amp;"m/spreadsheets/d/1qpEmbGH0JjaJbUdp21-y2cPbobDbMjr09BbtdKROZWc/edit#gid=1444865654"",""articles_with_PRISMA_reasons!B2:B2113""))&gt;=2,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$A2029=IMPORTRANGE(""https://docs.google.com/spreadsheets/d/1qpEmbGH0JjaJbUdp21-y2cPbobDbMjr09BbtdKROZWc/edit#gid=1444865654"",""articles_with_PRISMA_reasons!B2:B2113""))&lt;2),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$A2029=IMPORTRANGE(""https://docs.google.com/spreadsheets/d/1qpEmbGH0JjaJbUdp21-y2cPbobDbMjr09Bbtd"&amp;"KROZWc/edit#gid=1444865654"",""articles_with_PRISMA_reasons!B2:B2113""))&lt;2,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$A2029=I"&amp;"MPORTRANGE(""https://docs.google.com/spreadsheets/d/1qpEmbGH0JjaJbUdp21-y2cPbobDbMjr09BbtdKROZWc/edit#gid=1444865654"",""articles_with_PRISMA_reasons!B2:B2113""))&gt;=2),
""Exclude""
)"),"Exclude")</f>
        <v>Exclude</v>
      </c>
      <c r="F2029" s="5" t="str">
        <f>IFERROR(__xludf.DUMMYFUNCTION("IFS(
E2029=""Exclude"",""Exclude"",
AND(
COUNTIF(
IMPORTRANGE(""https://docs.google.com/spreadsheets/d/1kGrh75X1cNR1D7_FcY9zMnHP8iPO4M5RCRjy6nZY0TY/edit#gid=0"",""Table 1: Study characteristics!B4:B171""),A2029)&gt;0,
COUNTIF(Studies!$A$2:$A$85,FILTER(IMPORT"&amp;"RANGE(""https://docs.google.com/spreadsheets/d/1kGrh75X1cNR1D7_FcY9zMnHP8iPO4M5RCRjy6nZY0TY/edit#gid=0"",""Table 1: Study characteristics!A4:A171""), $A2029=IMPORTRANGE(""https://docs.google.com/spreadsheets/d/1kGrh75X1cNR1D7_FcY9zMnHP8iPO4M5RCRjy6nZY0TY/"&amp;"edit#gid=0"",""Table 1: Study characteristics!B4:B171"")))&gt;0
),
""Include""
)"),"Exclude")</f>
        <v>Exclude</v>
      </c>
      <c r="G2029" s="5" t="str">
        <f>IFERROR(__xludf.DUMMYFUNCTION("IFS(
D2029=""Exclude"",
FILTER(IMPORTRANGE(""https://docs.google.com/spreadsheets/d/1BJSV3WBYJGRhQ6zExamkszQ5VutGIcaQqmbD9ZTVXMQ/edit#gid=1251630045"",""articles_with_PRISMA_reasons!AB2:AB2113""), $A2029=IMPORTRANGE(""https://docs.google.com/spreadsheets/"&amp;"d/1BJSV3WBYJGRhQ6zExamkszQ5VutGIcaQqmbD9ZTVXMQ/edit#gid=1251630045"",""articles_with_PRISMA_reasons!B2:B2113"")),
E2029=""Exclude"",
FILTER(IMPORTRANGE(""https://docs.google.com/spreadsheets/d/1qpEmbGH0JjaJbUdp21-y2cPbobDbMjr09BbtdKROZWc/edit#gid=14448656"&amp;"54"",""articles_with_PRISMA_reasons!Z2:Z2113""), $A2029=IMPORTRANGE(""https://docs.google.com/spreadsheets/d/1qpEmbGH0JjaJbUdp21-y2cPbobDbMjr09BbtdKROZWc/edit#gid=1444865654"",""articles_with_PRISMA_reasons!B2:B2113"")),F2029
=""Include"",FILTER(IMPORTRAN"&amp;"GE(""https://docs.google.com/spreadsheets/d/1kGrh75X1cNR1D7_FcY9zMnHP8iPO4M5RCRjy6nZY0TY/edit#gid=0"",""Table 1: Study characteristics!A4:A171""), $A2029=IMPORTRANGE(""https://docs.google.com/spreadsheets/d/1kGrh75X1cNR1D7_FcY9zMnHP8iPO4M5RCRjy6nZY0TY/edi"&amp;"t#gid=0"",""Table 1: Study characteristics!B4:B171""))
)"),"wrong study design")</f>
        <v>wrong study design</v>
      </c>
    </row>
    <row r="2030">
      <c r="A2030" s="4" t="str">
        <f>IFERROR(__xludf.DUMMYFUNCTION("""COMPUTED_VALUE"""),"Ultra-sonografia cerebral em crianças no primeiro ano de vida: método para o diagnóstico e acompanhamento das dilatações ventriculares")</f>
        <v>Ultra-sonografia cerebral em crianças no primeiro ano de vida: método para o diagnóstico e acompanhamento das dilatações ventriculares</v>
      </c>
      <c r="B2030" s="5" t="str">
        <f>IFERROR(__xludf.DUMMYFUNCTION("LEFT(FILTER(IMPORTRANGE(""https://docs.google.com/spreadsheets/d/1BJSV3WBYJGRhQ6zExamkszQ5VutGIcaQqmbD9ZTVXMQ/edit#gid=1251630045"",""articles_with_PRISMA_reasons!K2:K2113""), $A2030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$A2030=IMPORTRANGE(""https://docs.google.com/spreadsheets/d/1BJSV3WBYJGRhQ6zExamkszQ5VutGIcaQqmbD9ZTVXMQ/edit#gid=1251630045"",""articles_with_PRISMA_reasons!B2:B2113"")))-1)"),"Machado")</f>
        <v>Machado</v>
      </c>
      <c r="C2030" s="6">
        <f>IFERROR(__xludf.DUMMYFUNCTION("FILTER(IMPORTRANGE(""https://docs.google.com/spreadsheets/d/1BJSV3WBYJGRhQ6zExamkszQ5VutGIcaQqmbD9ZTVXMQ/edit#gid=1251630045"",""articles_with_PRISMA_reasons!C2:C2113""), $A2030=IMPORTRANGE(""https://docs.google.com/spreadsheets/d/1BJSV3WBYJGRhQ6zExamkszQ"&amp;"5VutGIcaQqmbD9ZTVXMQ/edit#gid=1251630045"",""articles_with_PRISMA_reasons!B2:B2113""))"),1982.0)</f>
        <v>1982</v>
      </c>
      <c r="D2030" s="5" t="str">
        <f>IFERROR(__xludf.DUMMYFUNCTION("IFS(AND(
FILTER(IMPORTRANGE(""https://docs.google.com/spreadsheets/d/1BJSV3WBYJGRhQ6zExamkszQ5VutGIcaQqmbD9ZTVXMQ/edit#gid=1251630045"",""articles_with_PRISMA_reasons!Y2:Y2113""), $A2030=IMPORTRANGE(""https://docs.google.com/spreadsheets/d/1BJSV3WBYJGRhQ6"&amp;"zExamkszQ5VutGIcaQqmbD9ZTVXMQ/edit#gid=1251630045"",""articles_with_PRISMA_reasons!B2:B2113""))&gt;=2,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$A2030=IMPORTRANGE(""https://docs.google.com/spreadsheets/d/1BJSV3WBYJGRhQ6zExamkszQ5VutGIcaQqmbD9ZTVXMQ/edit#gid=1251630045"",""articles_with_PRISMA_reasons!B2:B2113""))&lt;2),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$A2030=IMPORTRANGE(""https://docs.google.com/spreadsheets/d/1BJSV3WBYJGRhQ6zExamkszQ5VutGIcaQqmbD9ZTVXMQ/edit#gid=1251630045"",""a"&amp;"rticles_with_PRISMA_reasons!B2:B2113""))&lt;2,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$A2030=IMPORTRANGE(""https://docs.google"&amp;".com/spreadsheets/d/1BJSV3WBYJGRhQ6zExamkszQ5VutGIcaQqmbD9ZTVXMQ/edit#gid=1251630045"",""articles_with_PRISMA_reasons!B2:B2113""))&gt;=2),
""Exclude""
)"),"Include")</f>
        <v>Include</v>
      </c>
      <c r="E2030" s="5" t="str">
        <f>IFERROR(__xludf.DUMMYFUNCTION("IFS(
D2030=""Exclude"",""Exclude"",
AND(
FILTER(IMPORTRANGE(""https://docs.google.com/spreadsheets/d/1qpEmbGH0JjaJbUdp21-y2cPbobDbMjr09BbtdKROZWc/edit#gid=1444865654"",""articles_with_PRISMA_reasons!W2:W2113""), $A2030=IMPORTRANGE(""https://docs.google.co"&amp;"m/spreadsheets/d/1qpEmbGH0JjaJbUdp21-y2cPbobDbMjr09BbtdKROZWc/edit#gid=1444865654"",""articles_with_PRISMA_reasons!B2:B2113""))&gt;=2,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$A2030=IMPORTRANGE(""https://docs.google.com/spreadsheets/d/1qpEmbGH0JjaJbUdp21-y2cPbobDbMjr09BbtdKROZWc/edit#gid=1444865654"",""articles_with_PRISMA_reasons!B2:B2113""))&lt;2),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$A2030=IMPORTRANGE(""https://docs.google.com/spreadsheets/d/1qpEmbGH0JjaJbUdp21-y2cPbobDbMjr09Bbtd"&amp;"KROZWc/edit#gid=1444865654"",""articles_with_PRISMA_reasons!B2:B2113""))&lt;2,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$A2030=I"&amp;"MPORTRANGE(""https://docs.google.com/spreadsheets/d/1qpEmbGH0JjaJbUdp21-y2cPbobDbMjr09BbtdKROZWc/edit#gid=1444865654"",""articles_with_PRISMA_reasons!B2:B2113""))&gt;=2),
""Exclude""
)"),"Exclude")</f>
        <v>Exclude</v>
      </c>
      <c r="F2030" s="5" t="str">
        <f>IFERROR(__xludf.DUMMYFUNCTION("IFS(
E2030=""Exclude"",""Exclude"",
AND(
COUNTIF(
IMPORTRANGE(""https://docs.google.com/spreadsheets/d/1kGrh75X1cNR1D7_FcY9zMnHP8iPO4M5RCRjy6nZY0TY/edit#gid=0"",""Table 1: Study characteristics!B4:B171""),A2030)&gt;0,
COUNTIF(Studies!$A$2:$A$85,FILTER(IMPORT"&amp;"RANGE(""https://docs.google.com/spreadsheets/d/1kGrh75X1cNR1D7_FcY9zMnHP8iPO4M5RCRjy6nZY0TY/edit#gid=0"",""Table 1: Study characteristics!A4:A171""), $A2030=IMPORTRANGE(""https://docs.google.com/spreadsheets/d/1kGrh75X1cNR1D7_FcY9zMnHP8iPO4M5RCRjy6nZY0TY/"&amp;"edit#gid=0"",""Table 1: Study characteristics!B4:B171"")))&gt;0
),
""Include""
)"),"Exclude")</f>
        <v>Exclude</v>
      </c>
      <c r="G2030" s="5" t="str">
        <f>IFERROR(__xludf.DUMMYFUNCTION("IFS(
D2030=""Exclude"",
FILTER(IMPORTRANGE(""https://docs.google.com/spreadsheets/d/1BJSV3WBYJGRhQ6zExamkszQ5VutGIcaQqmbD9ZTVXMQ/edit#gid=1251630045"",""articles_with_PRISMA_reasons!AB2:AB2113""), $A2030=IMPORTRANGE(""https://docs.google.com/spreadsheets/"&amp;"d/1BJSV3WBYJGRhQ6zExamkszQ5VutGIcaQqmbD9ZTVXMQ/edit#gid=1251630045"",""articles_with_PRISMA_reasons!B2:B2113"")),
E2030=""Exclude"",
FILTER(IMPORTRANGE(""https://docs.google.com/spreadsheets/d/1qpEmbGH0JjaJbUdp21-y2cPbobDbMjr09BbtdKROZWc/edit#gid=14448656"&amp;"54"",""articles_with_PRISMA_reasons!Z2:Z2113""), $A2030=IMPORTRANGE(""https://docs.google.com/spreadsheets/d/1qpEmbGH0JjaJbUdp21-y2cPbobDbMjr09BbtdKROZWc/edit#gid=1444865654"",""articles_with_PRISMA_reasons!B2:B2113"")),F2030
=""Include"",FILTER(IMPORTRAN"&amp;"GE(""https://docs.google.com/spreadsheets/d/1kGrh75X1cNR1D7_FcY9zMnHP8iPO4M5RCRjy6nZY0TY/edit#gid=0"",""Table 1: Study characteristics!A4:A171""), $A2030=IMPORTRANGE(""https://docs.google.com/spreadsheets/d/1kGrh75X1cNR1D7_FcY9zMnHP8iPO4M5RCRjy6nZY0TY/edi"&amp;"t#gid=0"",""Table 1: Study characteristics!B4:B171""))
)"),"wrong population")</f>
        <v>wrong population</v>
      </c>
    </row>
    <row r="2031">
      <c r="A2031" s="4" t="str">
        <f>IFERROR(__xludf.DUMMYFUNCTION("""COMPUTED_VALUE"""),"Ultrasonic diagnosis of congenital defects of brain development")</f>
        <v>Ultrasonic diagnosis of congenital defects of brain development</v>
      </c>
      <c r="B2031" s="5" t="str">
        <f>IFERROR(__xludf.DUMMYFUNCTION("LEFT(FILTER(IMPORTRANGE(""https://docs.google.com/spreadsheets/d/1BJSV3WBYJGRhQ6zExamkszQ5VutGIcaQqmbD9ZTVXMQ/edit#gid=1251630045"",""articles_with_PRISMA_reasons!K2:K2113""), $A2031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$A2031=IMPORTRANGE(""https://docs.google.com/spreadsheets/d/1BJSV3WBYJGRhQ6zExamkszQ5VutGIcaQqmbD9ZTVXMQ/edit#gid=1251630045"",""articles_with_PRISMA_reasons!B2:B2113"")))-1)"),"Baerts")</f>
        <v>Baerts</v>
      </c>
      <c r="C2031" s="6">
        <f>IFERROR(__xludf.DUMMYFUNCTION("FILTER(IMPORTRANGE(""https://docs.google.com/spreadsheets/d/1BJSV3WBYJGRhQ6zExamkszQ5VutGIcaQqmbD9ZTVXMQ/edit#gid=1251630045"",""articles_with_PRISMA_reasons!C2:C2113""), $A2031=IMPORTRANGE(""https://docs.google.com/spreadsheets/d/1BJSV3WBYJGRhQ6zExamkszQ"&amp;"5VutGIcaQqmbD9ZTVXMQ/edit#gid=1251630045"",""articles_with_PRISMA_reasons!B2:B2113""))"),1990.0)</f>
        <v>1990</v>
      </c>
      <c r="D2031" s="5" t="str">
        <f>IFERROR(__xludf.DUMMYFUNCTION("IFS(AND(
FILTER(IMPORTRANGE(""https://docs.google.com/spreadsheets/d/1BJSV3WBYJGRhQ6zExamkszQ5VutGIcaQqmbD9ZTVXMQ/edit#gid=1251630045"",""articles_with_PRISMA_reasons!Y2:Y2113""), $A2031=IMPORTRANGE(""https://docs.google.com/spreadsheets/d/1BJSV3WBYJGRhQ6"&amp;"zExamkszQ5VutGIcaQqmbD9ZTVXMQ/edit#gid=1251630045"",""articles_with_PRISMA_reasons!B2:B2113""))&gt;=2,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$A2031=IMPORTRANGE(""https://docs.google.com/spreadsheets/d/1BJSV3WBYJGRhQ6zExamkszQ5VutGIcaQqmbD9ZTVXMQ/edit#gid=1251630045"",""articles_with_PRISMA_reasons!B2:B2113""))&lt;2),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$A2031=IMPORTRANGE(""https://docs.google.com/spreadsheets/d/1BJSV3WBYJGRhQ6zExamkszQ5VutGIcaQqmbD9ZTVXMQ/edit#gid=1251630045"",""a"&amp;"rticles_with_PRISMA_reasons!B2:B2113""))&lt;2,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$A2031=IMPORTRANGE(""https://docs.google"&amp;".com/spreadsheets/d/1BJSV3WBYJGRhQ6zExamkszQ5VutGIcaQqmbD9ZTVXMQ/edit#gid=1251630045"",""articles_with_PRISMA_reasons!B2:B2113""))&gt;=2),
""Exclude""
)"),"Exclude")</f>
        <v>Exclude</v>
      </c>
      <c r="E2031" s="5" t="str">
        <f>IFERROR(__xludf.DUMMYFUNCTION("IFS(
D2031=""Exclude"",""Exclude"",
AND(
FILTER(IMPORTRANGE(""https://docs.google.com/spreadsheets/d/1qpEmbGH0JjaJbUdp21-y2cPbobDbMjr09BbtdKROZWc/edit#gid=1444865654"",""articles_with_PRISMA_reasons!W2:W2113""), $A2031=IMPORTRANGE(""https://docs.google.co"&amp;"m/spreadsheets/d/1qpEmbGH0JjaJbUdp21-y2cPbobDbMjr09BbtdKROZWc/edit#gid=1444865654"",""articles_with_PRISMA_reasons!B2:B2113""))&gt;=2,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$A2031=IMPORTRANGE(""https://docs.google.com/spreadsheets/d/1qpEmbGH0JjaJbUdp21-y2cPbobDbMjr09BbtdKROZWc/edit#gid=1444865654"",""articles_with_PRISMA_reasons!B2:B2113""))&lt;2),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$A2031=IMPORTRANGE(""https://docs.google.com/spreadsheets/d/1qpEmbGH0JjaJbUdp21-y2cPbobDbMjr09Bbtd"&amp;"KROZWc/edit#gid=1444865654"",""articles_with_PRISMA_reasons!B2:B2113""))&lt;2,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$A2031=I"&amp;"MPORTRANGE(""https://docs.google.com/spreadsheets/d/1qpEmbGH0JjaJbUdp21-y2cPbobDbMjr09BbtdKROZWc/edit#gid=1444865654"",""articles_with_PRISMA_reasons!B2:B2113""))&gt;=2),
""Exclude""
)"),"Exclude")</f>
        <v>Exclude</v>
      </c>
      <c r="F2031" s="5" t="str">
        <f>IFERROR(__xludf.DUMMYFUNCTION("IFS(
E2031=""Exclude"",""Exclude"",
AND(
COUNTIF(
IMPORTRANGE(""https://docs.google.com/spreadsheets/d/1kGrh75X1cNR1D7_FcY9zMnHP8iPO4M5RCRjy6nZY0TY/edit#gid=0"",""Table 1: Study characteristics!B4:B171""),A2031)&gt;0,
COUNTIF(Studies!$A$2:$A$85,FILTER(IMPORT"&amp;"RANGE(""https://docs.google.com/spreadsheets/d/1kGrh75X1cNR1D7_FcY9zMnHP8iPO4M5RCRjy6nZY0TY/edit#gid=0"",""Table 1: Study characteristics!A4:A171""), $A2031=IMPORTRANGE(""https://docs.google.com/spreadsheets/d/1kGrh75X1cNR1D7_FcY9zMnHP8iPO4M5RCRjy6nZY0TY/"&amp;"edit#gid=0"",""Table 1: Study characteristics!B4:B171"")))&gt;0
),
""Include""
)"),"Exclude")</f>
        <v>Exclude</v>
      </c>
      <c r="G2031" s="5" t="str">
        <f>IFERROR(__xludf.DUMMYFUNCTION("IFS(
D2031=""Exclude"",
FILTER(IMPORTRANGE(""https://docs.google.com/spreadsheets/d/1BJSV3WBYJGRhQ6zExamkszQ5VutGIcaQqmbD9ZTVXMQ/edit#gid=1251630045"",""articles_with_PRISMA_reasons!AB2:AB2113""), $A2031=IMPORTRANGE(""https://docs.google.com/spreadsheets/"&amp;"d/1BJSV3WBYJGRhQ6zExamkszQ5VutGIcaQqmbD9ZTVXMQ/edit#gid=1251630045"",""articles_with_PRISMA_reasons!B2:B2113"")),
E2031=""Exclude"",
FILTER(IMPORTRANGE(""https://docs.google.com/spreadsheets/d/1qpEmbGH0JjaJbUdp21-y2cPbobDbMjr09BbtdKROZWc/edit#gid=14448656"&amp;"54"",""articles_with_PRISMA_reasons!Z2:Z2113""), $A2031=IMPORTRANGE(""https://docs.google.com/spreadsheets/d/1qpEmbGH0JjaJbUdp21-y2cPbobDbMjr09BbtdKROZWc/edit#gid=1444865654"",""articles_with_PRISMA_reasons!B2:B2113"")),F2031
=""Include"",FILTER(IMPORTRAN"&amp;"GE(""https://docs.google.com/spreadsheets/d/1kGrh75X1cNR1D7_FcY9zMnHP8iPO4M5RCRjy6nZY0TY/edit#gid=0"",""Table 1: Study characteristics!A4:A171""), $A2031=IMPORTRANGE(""https://docs.google.com/spreadsheets/d/1kGrh75X1cNR1D7_FcY9zMnHP8iPO4M5RCRjy6nZY0TY/edi"&amp;"t#gid=0"",""Table 1: Study characteristics!B4:B171""))
)"),"wrong population")</f>
        <v>wrong population</v>
      </c>
    </row>
    <row r="2032">
      <c r="A2032" s="4" t="str">
        <f>IFERROR(__xludf.DUMMYFUNCTION("""COMPUTED_VALUE"""),"Ultrasonographic detection of single umbilical artery: A simple marker of fetal anomaly")</f>
        <v>Ultrasonographic detection of single umbilical artery: A simple marker of fetal anomaly</v>
      </c>
      <c r="B2032" s="5" t="str">
        <f>IFERROR(__xludf.DUMMYFUNCTION("LEFT(FILTER(IMPORTRANGE(""https://docs.google.com/spreadsheets/d/1BJSV3WBYJGRhQ6zExamkszQ5VutGIcaQqmbD9ZTVXMQ/edit#gid=1251630045"",""articles_with_PRISMA_reasons!K2:K2113""), $A2032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$A2032=IMPORTRANGE(""https://docs.google.com/spreadsheets/d/1BJSV3WBYJGRhQ6zExamkszQ5VutGIcaQqmbD9ZTVXMQ/edit#gid=1251630045"",""articles_with_PRISMA_reasons!B2:B2113"")))-1)"),"Ozalp")</f>
        <v>Ozalp</v>
      </c>
      <c r="C2032" s="6">
        <f>IFERROR(__xludf.DUMMYFUNCTION("FILTER(IMPORTRANGE(""https://docs.google.com/spreadsheets/d/1BJSV3WBYJGRhQ6zExamkszQ5VutGIcaQqmbD9ZTVXMQ/edit#gid=1251630045"",""articles_with_PRISMA_reasons!C2:C2113""), $A2032=IMPORTRANGE(""https://docs.google.com/spreadsheets/d/1BJSV3WBYJGRhQ6zExamkszQ"&amp;"5VutGIcaQqmbD9ZTVXMQ/edit#gid=1251630045"",""articles_with_PRISMA_reasons!B2:B2113""))"),1997.0)</f>
        <v>1997</v>
      </c>
      <c r="D2032" s="5" t="str">
        <f>IFERROR(__xludf.DUMMYFUNCTION("IFS(AND(
FILTER(IMPORTRANGE(""https://docs.google.com/spreadsheets/d/1BJSV3WBYJGRhQ6zExamkszQ5VutGIcaQqmbD9ZTVXMQ/edit#gid=1251630045"",""articles_with_PRISMA_reasons!Y2:Y2113""), $A2032=IMPORTRANGE(""https://docs.google.com/spreadsheets/d/1BJSV3WBYJGRhQ6"&amp;"zExamkszQ5VutGIcaQqmbD9ZTVXMQ/edit#gid=1251630045"",""articles_with_PRISMA_reasons!B2:B2113""))&gt;=2,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$A2032=IMPORTRANGE(""https://docs.google.com/spreadsheets/d/1BJSV3WBYJGRhQ6zExamkszQ5VutGIcaQqmbD9ZTVXMQ/edit#gid=1251630045"",""articles_with_PRISMA_reasons!B2:B2113""))&lt;2),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$A2032=IMPORTRANGE(""https://docs.google.com/spreadsheets/d/1BJSV3WBYJGRhQ6zExamkszQ5VutGIcaQqmbD9ZTVXMQ/edit#gid=1251630045"",""a"&amp;"rticles_with_PRISMA_reasons!B2:B2113""))&lt;2,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$A2032=IMPORTRANGE(""https://docs.google"&amp;".com/spreadsheets/d/1BJSV3WBYJGRhQ6zExamkszQ5VutGIcaQqmbD9ZTVXMQ/edit#gid=1251630045"",""articles_with_PRISMA_reasons!B2:B2113""))&gt;=2),
""Exclude""
)"),"Exclude")</f>
        <v>Exclude</v>
      </c>
      <c r="E2032" s="5" t="str">
        <f>IFERROR(__xludf.DUMMYFUNCTION("IFS(
D2032=""Exclude"",""Exclude"",
AND(
FILTER(IMPORTRANGE(""https://docs.google.com/spreadsheets/d/1qpEmbGH0JjaJbUdp21-y2cPbobDbMjr09BbtdKROZWc/edit#gid=1444865654"",""articles_with_PRISMA_reasons!W2:W2113""), $A2032=IMPORTRANGE(""https://docs.google.co"&amp;"m/spreadsheets/d/1qpEmbGH0JjaJbUdp21-y2cPbobDbMjr09BbtdKROZWc/edit#gid=1444865654"",""articles_with_PRISMA_reasons!B2:B2113""))&gt;=2,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$A2032=IMPORTRANGE(""https://docs.google.com/spreadsheets/d/1qpEmbGH0JjaJbUdp21-y2cPbobDbMjr09BbtdKROZWc/edit#gid=1444865654"",""articles_with_PRISMA_reasons!B2:B2113""))&lt;2),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$A2032=IMPORTRANGE(""https://docs.google.com/spreadsheets/d/1qpEmbGH0JjaJbUdp21-y2cPbobDbMjr09Bbtd"&amp;"KROZWc/edit#gid=1444865654"",""articles_with_PRISMA_reasons!B2:B2113""))&lt;2,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$A2032=I"&amp;"MPORTRANGE(""https://docs.google.com/spreadsheets/d/1qpEmbGH0JjaJbUdp21-y2cPbobDbMjr09BbtdKROZWc/edit#gid=1444865654"",""articles_with_PRISMA_reasons!B2:B2113""))&gt;=2),
""Exclude""
)"),"Exclude")</f>
        <v>Exclude</v>
      </c>
      <c r="F2032" s="5" t="str">
        <f>IFERROR(__xludf.DUMMYFUNCTION("IFS(
E2032=""Exclude"",""Exclude"",
AND(
COUNTIF(
IMPORTRANGE(""https://docs.google.com/spreadsheets/d/1kGrh75X1cNR1D7_FcY9zMnHP8iPO4M5RCRjy6nZY0TY/edit#gid=0"",""Table 1: Study characteristics!B4:B171""),A2032)&gt;0,
COUNTIF(Studies!$A$2:$A$85,FILTER(IMPORT"&amp;"RANGE(""https://docs.google.com/spreadsheets/d/1kGrh75X1cNR1D7_FcY9zMnHP8iPO4M5RCRjy6nZY0TY/edit#gid=0"",""Table 1: Study characteristics!A4:A171""), $A2032=IMPORTRANGE(""https://docs.google.com/spreadsheets/d/1kGrh75X1cNR1D7_FcY9zMnHP8iPO4M5RCRjy6nZY0TY/"&amp;"edit#gid=0"",""Table 1: Study characteristics!B4:B171"")))&gt;0
),
""Include""
)"),"Exclude")</f>
        <v>Exclude</v>
      </c>
      <c r="G2032" s="5" t="str">
        <f>IFERROR(__xludf.DUMMYFUNCTION("IFS(
D2032=""Exclude"",
FILTER(IMPORTRANGE(""https://docs.google.com/spreadsheets/d/1BJSV3WBYJGRhQ6zExamkszQ5VutGIcaQqmbD9ZTVXMQ/edit#gid=1251630045"",""articles_with_PRISMA_reasons!AB2:AB2113""), $A2032=IMPORTRANGE(""https://docs.google.com/spreadsheets/"&amp;"d/1BJSV3WBYJGRhQ6zExamkszQ5VutGIcaQqmbD9ZTVXMQ/edit#gid=1251630045"",""articles_with_PRISMA_reasons!B2:B2113"")),
E2032=""Exclude"",
FILTER(IMPORTRANGE(""https://docs.google.com/spreadsheets/d/1qpEmbGH0JjaJbUdp21-y2cPbobDbMjr09BbtdKROZWc/edit#gid=14448656"&amp;"54"",""articles_with_PRISMA_reasons!Z2:Z2113""), $A2032=IMPORTRANGE(""https://docs.google.com/spreadsheets/d/1qpEmbGH0JjaJbUdp21-y2cPbobDbMjr09BbtdKROZWc/edit#gid=1444865654"",""articles_with_PRISMA_reasons!B2:B2113"")),F2032
=""Include"",FILTER(IMPORTRAN"&amp;"GE(""https://docs.google.com/spreadsheets/d/1kGrh75X1cNR1D7_FcY9zMnHP8iPO4M5RCRjy6nZY0TY/edit#gid=0"",""Table 1: Study characteristics!A4:A171""), $A2032=IMPORTRANGE(""https://docs.google.com/spreadsheets/d/1kGrh75X1cNR1D7_FcY9zMnHP8iPO4M5RCRjy6nZY0TY/edi"&amp;"t#gid=0"",""Table 1: Study characteristics!B4:B171""))
)"),"Ante-natal intervention")</f>
        <v>Ante-natal intervention</v>
      </c>
    </row>
    <row r="2033">
      <c r="A2033" s="4" t="str">
        <f>IFERROR(__xludf.DUMMYFUNCTION("""COMPUTED_VALUE"""),"Ultrasonographic study of children suspected of hydrocephalus at the Queen Elizabeth Central Hospital in Blantyre, Malawi")</f>
        <v>Ultrasonographic study of children suspected of hydrocephalus at the Queen Elizabeth Central Hospital in Blantyre, Malawi</v>
      </c>
      <c r="B2033" s="5" t="str">
        <f>IFERROR(__xludf.DUMMYFUNCTION("LEFT(FILTER(IMPORTRANGE(""https://docs.google.com/spreadsheets/d/1BJSV3WBYJGRhQ6zExamkszQ5VutGIcaQqmbD9ZTVXMQ/edit#gid=1251630045"",""articles_with_PRISMA_reasons!K2:K2113""), $A2033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$A2033=IMPORTRANGE(""https://docs.google.com/spreadsheets/d/1BJSV3WBYJGRhQ6zExamkszQ5VutGIcaQqmbD9ZTVXMQ/edit#gid=1251630045"",""articles_with_PRISMA_reasons!B2:B2113"")))-1)"),"Adeloye")</f>
        <v>Adeloye</v>
      </c>
      <c r="C2033" s="6">
        <f>IFERROR(__xludf.DUMMYFUNCTION("FILTER(IMPORTRANGE(""https://docs.google.com/spreadsheets/d/1BJSV3WBYJGRhQ6zExamkszQ5VutGIcaQqmbD9ZTVXMQ/edit#gid=1251630045"",""articles_with_PRISMA_reasons!C2:C2113""), $A2033=IMPORTRANGE(""https://docs.google.com/spreadsheets/d/1BJSV3WBYJGRhQ6zExamkszQ"&amp;"5VutGIcaQqmbD9ZTVXMQ/edit#gid=1251630045"",""articles_with_PRISMA_reasons!B2:B2113""))"),1997.0)</f>
        <v>1997</v>
      </c>
      <c r="D2033" s="5" t="str">
        <f>IFERROR(__xludf.DUMMYFUNCTION("IFS(AND(
FILTER(IMPORTRANGE(""https://docs.google.com/spreadsheets/d/1BJSV3WBYJGRhQ6zExamkszQ5VutGIcaQqmbD9ZTVXMQ/edit#gid=1251630045"",""articles_with_PRISMA_reasons!Y2:Y2113""), $A2033=IMPORTRANGE(""https://docs.google.com/spreadsheets/d/1BJSV3WBYJGRhQ6"&amp;"zExamkszQ5VutGIcaQqmbD9ZTVXMQ/edit#gid=1251630045"",""articles_with_PRISMA_reasons!B2:B2113""))&gt;=2,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$A2033=IMPORTRANGE(""https://docs.google.com/spreadsheets/d/1BJSV3WBYJGRhQ6zExamkszQ5VutGIcaQqmbD9ZTVXMQ/edit#gid=1251630045"",""articles_with_PRISMA_reasons!B2:B2113""))&lt;2),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$A2033=IMPORTRANGE(""https://docs.google.com/spreadsheets/d/1BJSV3WBYJGRhQ6zExamkszQ5VutGIcaQqmbD9ZTVXMQ/edit#gid=1251630045"",""a"&amp;"rticles_with_PRISMA_reasons!B2:B2113""))&lt;2,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$A2033=IMPORTRANGE(""https://docs.google"&amp;".com/spreadsheets/d/1BJSV3WBYJGRhQ6zExamkszQ5VutGIcaQqmbD9ZTVXMQ/edit#gid=1251630045"",""articles_with_PRISMA_reasons!B2:B2113""))&gt;=2),
""Exclude""
)"),"Include")</f>
        <v>Include</v>
      </c>
      <c r="E2033" s="5" t="str">
        <f>IFERROR(__xludf.DUMMYFUNCTION("IFS(
D2033=""Exclude"",""Exclude"",
AND(
FILTER(IMPORTRANGE(""https://docs.google.com/spreadsheets/d/1qpEmbGH0JjaJbUdp21-y2cPbobDbMjr09BbtdKROZWc/edit#gid=1444865654"",""articles_with_PRISMA_reasons!W2:W2113""), $A2033=IMPORTRANGE(""https://docs.google.co"&amp;"m/spreadsheets/d/1qpEmbGH0JjaJbUdp21-y2cPbobDbMjr09BbtdKROZWc/edit#gid=1444865654"",""articles_with_PRISMA_reasons!B2:B2113""))&gt;=2,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$A2033=IMPORTRANGE(""https://docs.google.com/spreadsheets/d/1qpEmbGH0JjaJbUdp21-y2cPbobDbMjr09BbtdKROZWc/edit#gid=1444865654"",""articles_with_PRISMA_reasons!B2:B2113""))&lt;2),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$A2033=IMPORTRANGE(""https://docs.google.com/spreadsheets/d/1qpEmbGH0JjaJbUdp21-y2cPbobDbMjr09Bbtd"&amp;"KROZWc/edit#gid=1444865654"",""articles_with_PRISMA_reasons!B2:B2113""))&lt;2,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$A2033=I"&amp;"MPORTRANGE(""https://docs.google.com/spreadsheets/d/1qpEmbGH0JjaJbUdp21-y2cPbobDbMjr09BbtdKROZWc/edit#gid=1444865654"",""articles_with_PRISMA_reasons!B2:B2113""))&gt;=2),
""Exclude""
)"),"Exclude")</f>
        <v>Exclude</v>
      </c>
      <c r="F2033" s="5" t="str">
        <f>IFERROR(__xludf.DUMMYFUNCTION("IFS(
E2033=""Exclude"",""Exclude"",
AND(
COUNTIF(
IMPORTRANGE(""https://docs.google.com/spreadsheets/d/1kGrh75X1cNR1D7_FcY9zMnHP8iPO4M5RCRjy6nZY0TY/edit#gid=0"",""Table 1: Study characteristics!B4:B171""),A2033)&gt;0,
COUNTIF(Studies!$A$2:$A$85,FILTER(IMPORT"&amp;"RANGE(""https://docs.google.com/spreadsheets/d/1kGrh75X1cNR1D7_FcY9zMnHP8iPO4M5RCRjy6nZY0TY/edit#gid=0"",""Table 1: Study characteristics!A4:A171""), $A2033=IMPORTRANGE(""https://docs.google.com/spreadsheets/d/1kGrh75X1cNR1D7_FcY9zMnHP8iPO4M5RCRjy6nZY0TY/"&amp;"edit#gid=0"",""Table 1: Study characteristics!B4:B171"")))&gt;0
),
""Include""
)"),"Exclude")</f>
        <v>Exclude</v>
      </c>
      <c r="G2033" s="5" t="str">
        <f>IFERROR(__xludf.DUMMYFUNCTION("IFS(
D2033=""Exclude"",
FILTER(IMPORTRANGE(""https://docs.google.com/spreadsheets/d/1BJSV3WBYJGRhQ6zExamkszQ5VutGIcaQqmbD9ZTVXMQ/edit#gid=1251630045"",""articles_with_PRISMA_reasons!AB2:AB2113""), $A2033=IMPORTRANGE(""https://docs.google.com/spreadsheets/"&amp;"d/1BJSV3WBYJGRhQ6zExamkszQ5VutGIcaQqmbD9ZTVXMQ/edit#gid=1251630045"",""articles_with_PRISMA_reasons!B2:B2113"")),
E2033=""Exclude"",
FILTER(IMPORTRANGE(""https://docs.google.com/spreadsheets/d/1qpEmbGH0JjaJbUdp21-y2cPbobDbMjr09BbtdKROZWc/edit#gid=14448656"&amp;"54"",""articles_with_PRISMA_reasons!Z2:Z2113""), $A2033=IMPORTRANGE(""https://docs.google.com/spreadsheets/d/1qpEmbGH0JjaJbUdp21-y2cPbobDbMjr09BbtdKROZWc/edit#gid=1444865654"",""articles_with_PRISMA_reasons!B2:B2113"")),F2033
=""Include"",FILTER(IMPORTRAN"&amp;"GE(""https://docs.google.com/spreadsheets/d/1kGrh75X1cNR1D7_FcY9zMnHP8iPO4M5RCRjy6nZY0TY/edit#gid=0"",""Table 1: Study characteristics!A4:A171""), $A2033=IMPORTRANGE(""https://docs.google.com/spreadsheets/d/1kGrh75X1cNR1D7_FcY9zMnHP8iPO4M5RCRjy6nZY0TY/edi"&amp;"t#gid=0"",""Table 1: Study characteristics!B4:B171""))
)"),"wrong outcome")</f>
        <v>wrong outcome</v>
      </c>
    </row>
    <row r="2034">
      <c r="A2034" s="4" t="str">
        <f>IFERROR(__xludf.DUMMYFUNCTION("""COMPUTED_VALUE"""),"Ultrasonography and birth defects")</f>
        <v>Ultrasonography and birth defects</v>
      </c>
      <c r="B2034" s="5" t="str">
        <f>IFERROR(__xludf.DUMMYFUNCTION("LEFT(FILTER(IMPORTRANGE(""https://docs.google.com/spreadsheets/d/1BJSV3WBYJGRhQ6zExamkszQ5VutGIcaQqmbD9ZTVXMQ/edit#gid=1251630045"",""articles_with_PRISMA_reasons!K2:K2113""), $A2034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$A2034=IMPORTRANGE(""https://docs.google.com/spreadsheets/d/1BJSV3WBYJGRhQ6zExamkszQ5VutGIcaQqmbD9ZTVXMQ/edit#gid=1251630045"",""articles_with_PRISMA_reasons!B2:B2113"")))-1)"),"Malhotra")</f>
        <v>Malhotra</v>
      </c>
      <c r="C2034" s="6">
        <f>IFERROR(__xludf.DUMMYFUNCTION("FILTER(IMPORTRANGE(""https://docs.google.com/spreadsheets/d/1BJSV3WBYJGRhQ6zExamkszQ5VutGIcaQqmbD9ZTVXMQ/edit#gid=1251630045"",""articles_with_PRISMA_reasons!C2:C2113""), $A2034=IMPORTRANGE(""https://docs.google.com/spreadsheets/d/1BJSV3WBYJGRhQ6zExamkszQ"&amp;"5VutGIcaQqmbD9ZTVXMQ/edit#gid=1251630045"",""articles_with_PRISMA_reasons!B2:B2113""))"),2013.0)</f>
        <v>2013</v>
      </c>
      <c r="D2034" s="5" t="str">
        <f>IFERROR(__xludf.DUMMYFUNCTION("IFS(AND(
FILTER(IMPORTRANGE(""https://docs.google.com/spreadsheets/d/1BJSV3WBYJGRhQ6zExamkszQ5VutGIcaQqmbD9ZTVXMQ/edit#gid=1251630045"",""articles_with_PRISMA_reasons!Y2:Y2113""), $A2034=IMPORTRANGE(""https://docs.google.com/spreadsheets/d/1BJSV3WBYJGRhQ6"&amp;"zExamkszQ5VutGIcaQqmbD9ZTVXMQ/edit#gid=1251630045"",""articles_with_PRISMA_reasons!B2:B2113""))&gt;=2,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$A2034=IMPORTRANGE(""https://docs.google.com/spreadsheets/d/1BJSV3WBYJGRhQ6zExamkszQ5VutGIcaQqmbD9ZTVXMQ/edit#gid=1251630045"",""articles_with_PRISMA_reasons!B2:B2113""))&lt;2),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$A2034=IMPORTRANGE(""https://docs.google.com/spreadsheets/d/1BJSV3WBYJGRhQ6zExamkszQ5VutGIcaQqmbD9ZTVXMQ/edit#gid=1251630045"",""a"&amp;"rticles_with_PRISMA_reasons!B2:B2113""))&lt;2,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$A2034=IMPORTRANGE(""https://docs.google"&amp;".com/spreadsheets/d/1BJSV3WBYJGRhQ6zExamkszQ5VutGIcaQqmbD9ZTVXMQ/edit#gid=1251630045"",""articles_with_PRISMA_reasons!B2:B2113""))&gt;=2),
""Exclude""
)"),"Exclude")</f>
        <v>Exclude</v>
      </c>
      <c r="E2034" s="5" t="str">
        <f>IFERROR(__xludf.DUMMYFUNCTION("IFS(
D2034=""Exclude"",""Exclude"",
AND(
FILTER(IMPORTRANGE(""https://docs.google.com/spreadsheets/d/1qpEmbGH0JjaJbUdp21-y2cPbobDbMjr09BbtdKROZWc/edit#gid=1444865654"",""articles_with_PRISMA_reasons!W2:W2113""), $A2034=IMPORTRANGE(""https://docs.google.co"&amp;"m/spreadsheets/d/1qpEmbGH0JjaJbUdp21-y2cPbobDbMjr09BbtdKROZWc/edit#gid=1444865654"",""articles_with_PRISMA_reasons!B2:B2113""))&gt;=2,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$A2034=IMPORTRANGE(""https://docs.google.com/spreadsheets/d/1qpEmbGH0JjaJbUdp21-y2cPbobDbMjr09BbtdKROZWc/edit#gid=1444865654"",""articles_with_PRISMA_reasons!B2:B2113""))&lt;2),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$A2034=IMPORTRANGE(""https://docs.google.com/spreadsheets/d/1qpEmbGH0JjaJbUdp21-y2cPbobDbMjr09Bbtd"&amp;"KROZWc/edit#gid=1444865654"",""articles_with_PRISMA_reasons!B2:B2113""))&lt;2,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$A2034=I"&amp;"MPORTRANGE(""https://docs.google.com/spreadsheets/d/1qpEmbGH0JjaJbUdp21-y2cPbobDbMjr09BbtdKROZWc/edit#gid=1444865654"",""articles_with_PRISMA_reasons!B2:B2113""))&gt;=2),
""Exclude""
)"),"Exclude")</f>
        <v>Exclude</v>
      </c>
      <c r="F2034" s="5" t="str">
        <f>IFERROR(__xludf.DUMMYFUNCTION("IFS(
E2034=""Exclude"",""Exclude"",
AND(
COUNTIF(
IMPORTRANGE(""https://docs.google.com/spreadsheets/d/1kGrh75X1cNR1D7_FcY9zMnHP8iPO4M5RCRjy6nZY0TY/edit#gid=0"",""Table 1: Study characteristics!B4:B171""),A2034)&gt;0,
COUNTIF(Studies!$A$2:$A$85,FILTER(IMPORT"&amp;"RANGE(""https://docs.google.com/spreadsheets/d/1kGrh75X1cNR1D7_FcY9zMnHP8iPO4M5RCRjy6nZY0TY/edit#gid=0"",""Table 1: Study characteristics!A4:A171""), $A2034=IMPORTRANGE(""https://docs.google.com/spreadsheets/d/1kGrh75X1cNR1D7_FcY9zMnHP8iPO4M5RCRjy6nZY0TY/"&amp;"edit#gid=0"",""Table 1: Study characteristics!B4:B171"")))&gt;0
),
""Include""
)"),"Exclude")</f>
        <v>Exclude</v>
      </c>
      <c r="G2034" s="5" t="str">
        <f>IFERROR(__xludf.DUMMYFUNCTION("IFS(
D2034=""Exclude"",
FILTER(IMPORTRANGE(""https://docs.google.com/spreadsheets/d/1BJSV3WBYJGRhQ6zExamkszQ5VutGIcaQqmbD9ZTVXMQ/edit#gid=1251630045"",""articles_with_PRISMA_reasons!AB2:AB2113""), $A2034=IMPORTRANGE(""https://docs.google.com/spreadsheets/"&amp;"d/1BJSV3WBYJGRhQ6zExamkszQ5VutGIcaQqmbD9ZTVXMQ/edit#gid=1251630045"",""articles_with_PRISMA_reasons!B2:B2113"")),
E2034=""Exclude"",
FILTER(IMPORTRANGE(""https://docs.google.com/spreadsheets/d/1qpEmbGH0JjaJbUdp21-y2cPbobDbMjr09BbtdKROZWc/edit#gid=14448656"&amp;"54"",""articles_with_PRISMA_reasons!Z2:Z2113""), $A2034=IMPORTRANGE(""https://docs.google.com/spreadsheets/d/1qpEmbGH0JjaJbUdp21-y2cPbobDbMjr09BbtdKROZWc/edit#gid=1444865654"",""articles_with_PRISMA_reasons!B2:B2113"")),F2034
=""Include"",FILTER(IMPORTRAN"&amp;"GE(""https://docs.google.com/spreadsheets/d/1kGrh75X1cNR1D7_FcY9zMnHP8iPO4M5RCRjy6nZY0TY/edit#gid=0"",""Table 1: Study characteristics!A4:A171""), $A2034=IMPORTRANGE(""https://docs.google.com/spreadsheets/d/1kGrh75X1cNR1D7_FcY9zMnHP8iPO4M5RCRjy6nZY0TY/edi"&amp;"t#gid=0"",""Table 1: Study characteristics!B4:B171""))
)"),"wrong population")</f>
        <v>wrong population</v>
      </c>
    </row>
    <row r="2035">
      <c r="A2035" s="4" t="str">
        <f>IFERROR(__xludf.DUMMYFUNCTION("""COMPUTED_VALUE"""),"Ultrasonography of the spinal cord (2)")</f>
        <v>Ultrasonography of the spinal cord (2)</v>
      </c>
      <c r="B2035" s="5" t="str">
        <f>IFERROR(__xludf.DUMMYFUNCTION("LEFT(FILTER(IMPORTRANGE(""https://docs.google.com/spreadsheets/d/1BJSV3WBYJGRhQ6zExamkszQ5VutGIcaQqmbD9ZTVXMQ/edit#gid=1251630045"",""articles_with_PRISMA_reasons!K2:K2113""), $A2035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$A2035=IMPORTRANGE(""https://docs.google.com/spreadsheets/d/1BJSV3WBYJGRhQ6zExamkszQ5VutGIcaQqmbD9ZTVXMQ/edit#gid=1251630045"",""articles_with_PRISMA_reasons!B2:B2113"")))-1)"),"Gassner")</f>
        <v>Gassner</v>
      </c>
      <c r="C2035" s="6">
        <f>IFERROR(__xludf.DUMMYFUNCTION("FILTER(IMPORTRANGE(""https://docs.google.com/spreadsheets/d/1BJSV3WBYJGRhQ6zExamkszQ5VutGIcaQqmbD9ZTVXMQ/edit#gid=1251630045"",""articles_with_PRISMA_reasons!C2:C2113""), $A2035=IMPORTRANGE(""https://docs.google.com/spreadsheets/d/1BJSV3WBYJGRhQ6zExamkszQ"&amp;"5VutGIcaQqmbD9ZTVXMQ/edit#gid=1251630045"",""articles_with_PRISMA_reasons!B2:B2113""))"),2006.0)</f>
        <v>2006</v>
      </c>
      <c r="D2035" s="5" t="str">
        <f>IFERROR(__xludf.DUMMYFUNCTION("IFS(AND(
FILTER(IMPORTRANGE(""https://docs.google.com/spreadsheets/d/1BJSV3WBYJGRhQ6zExamkszQ5VutGIcaQqmbD9ZTVXMQ/edit#gid=1251630045"",""articles_with_PRISMA_reasons!Y2:Y2113""), $A2035=IMPORTRANGE(""https://docs.google.com/spreadsheets/d/1BJSV3WBYJGRhQ6"&amp;"zExamkszQ5VutGIcaQqmbD9ZTVXMQ/edit#gid=1251630045"",""articles_with_PRISMA_reasons!B2:B2113""))&gt;=2,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$A2035=IMPORTRANGE(""https://docs.google.com/spreadsheets/d/1BJSV3WBYJGRhQ6zExamkszQ5VutGIcaQqmbD9ZTVXMQ/edit#gid=1251630045"",""articles_with_PRISMA_reasons!B2:B2113""))&lt;2),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$A2035=IMPORTRANGE(""https://docs.google.com/spreadsheets/d/1BJSV3WBYJGRhQ6zExamkszQ5VutGIcaQqmbD9ZTVXMQ/edit#gid=1251630045"",""a"&amp;"rticles_with_PRISMA_reasons!B2:B2113""))&lt;2,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$A2035=IMPORTRANGE(""https://docs.google"&amp;".com/spreadsheets/d/1BJSV3WBYJGRhQ6zExamkszQ5VutGIcaQqmbD9ZTVXMQ/edit#gid=1251630045"",""articles_with_PRISMA_reasons!B2:B2113""))&gt;=2),
""Exclude""
)"),"Exclude")</f>
        <v>Exclude</v>
      </c>
      <c r="E2035" s="5" t="str">
        <f>IFERROR(__xludf.DUMMYFUNCTION("IFS(
D2035=""Exclude"",""Exclude"",
AND(
FILTER(IMPORTRANGE(""https://docs.google.com/spreadsheets/d/1qpEmbGH0JjaJbUdp21-y2cPbobDbMjr09BbtdKROZWc/edit#gid=1444865654"",""articles_with_PRISMA_reasons!W2:W2113""), $A2035=IMPORTRANGE(""https://docs.google.co"&amp;"m/spreadsheets/d/1qpEmbGH0JjaJbUdp21-y2cPbobDbMjr09BbtdKROZWc/edit#gid=1444865654"",""articles_with_PRISMA_reasons!B2:B2113""))&gt;=2,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$A2035=IMPORTRANGE(""https://docs.google.com/spreadsheets/d/1qpEmbGH0JjaJbUdp21-y2cPbobDbMjr09BbtdKROZWc/edit#gid=1444865654"",""articles_with_PRISMA_reasons!B2:B2113""))&lt;2),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$A2035=IMPORTRANGE(""https://docs.google.com/spreadsheets/d/1qpEmbGH0JjaJbUdp21-y2cPbobDbMjr09Bbtd"&amp;"KROZWc/edit#gid=1444865654"",""articles_with_PRISMA_reasons!B2:B2113""))&lt;2,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$A2035=I"&amp;"MPORTRANGE(""https://docs.google.com/spreadsheets/d/1qpEmbGH0JjaJbUdp21-y2cPbobDbMjr09BbtdKROZWc/edit#gid=1444865654"",""articles_with_PRISMA_reasons!B2:B2113""))&gt;=2),
""Exclude""
)"),"Exclude")</f>
        <v>Exclude</v>
      </c>
      <c r="F2035" s="5" t="str">
        <f>IFERROR(__xludf.DUMMYFUNCTION("IFS(
E2035=""Exclude"",""Exclude"",
AND(
COUNTIF(
IMPORTRANGE(""https://docs.google.com/spreadsheets/d/1kGrh75X1cNR1D7_FcY9zMnHP8iPO4M5RCRjy6nZY0TY/edit#gid=0"",""Table 1: Study characteristics!B4:B171""),A2035)&gt;0,
COUNTIF(Studies!$A$2:$A$85,FILTER(IMPORT"&amp;"RANGE(""https://docs.google.com/spreadsheets/d/1kGrh75X1cNR1D7_FcY9zMnHP8iPO4M5RCRjy6nZY0TY/edit#gid=0"",""Table 1: Study characteristics!A4:A171""), $A2035=IMPORTRANGE(""https://docs.google.com/spreadsheets/d/1kGrh75X1cNR1D7_FcY9zMnHP8iPO4M5RCRjy6nZY0TY/"&amp;"edit#gid=0"",""Table 1: Study characteristics!B4:B171"")))&gt;0
),
""Include""
)"),"Exclude")</f>
        <v>Exclude</v>
      </c>
      <c r="G2035" s="5" t="str">
        <f>IFERROR(__xludf.DUMMYFUNCTION("IFS(
D2035=""Exclude"",
FILTER(IMPORTRANGE(""https://docs.google.com/spreadsheets/d/1BJSV3WBYJGRhQ6zExamkszQ5VutGIcaQqmbD9ZTVXMQ/edit#gid=1251630045"",""articles_with_PRISMA_reasons!AB2:AB2113""), $A2035=IMPORTRANGE(""https://docs.google.com/spreadsheets/"&amp;"d/1BJSV3WBYJGRhQ6zExamkszQ5VutGIcaQqmbD9ZTVXMQ/edit#gid=1251630045"",""articles_with_PRISMA_reasons!B2:B2113"")),
E2035=""Exclude"",
FILTER(IMPORTRANGE(""https://docs.google.com/spreadsheets/d/1qpEmbGH0JjaJbUdp21-y2cPbobDbMjr09BbtdKROZWc/edit#gid=14448656"&amp;"54"",""articles_with_PRISMA_reasons!Z2:Z2113""), $A2035=IMPORTRANGE(""https://docs.google.com/spreadsheets/d/1qpEmbGH0JjaJbUdp21-y2cPbobDbMjr09BbtdKROZWc/edit#gid=1444865654"",""articles_with_PRISMA_reasons!B2:B2113"")),F2035
=""Include"",FILTER(IMPORTRAN"&amp;"GE(""https://docs.google.com/spreadsheets/d/1kGrh75X1cNR1D7_FcY9zMnHP8iPO4M5RCRjy6nZY0TY/edit#gid=0"",""Table 1: Study characteristics!A4:A171""), $A2035=IMPORTRANGE(""https://docs.google.com/spreadsheets/d/1kGrh75X1cNR1D7_FcY9zMnHP8iPO4M5RCRjy6nZY0TY/edi"&amp;"t#gid=0"",""Table 1: Study characteristics!B4:B171""))
)"),"wrong study design")</f>
        <v>wrong study design</v>
      </c>
    </row>
    <row r="2036">
      <c r="A2036" s="4" t="str">
        <f>IFERROR(__xludf.DUMMYFUNCTION("""COMPUTED_VALUE"""),"Ultrasound diagnosis of myelomeningocele: The role of 3D ultrasonography in determining surficial status of the pathological lesion")</f>
        <v>Ultrasound diagnosis of myelomeningocele: The role of 3D ultrasonography in determining surficial status of the pathological lesion</v>
      </c>
      <c r="B2036" s="5" t="str">
        <f>IFERROR(__xludf.DUMMYFUNCTION("LEFT(FILTER(IMPORTRANGE(""https://docs.google.com/spreadsheets/d/1BJSV3WBYJGRhQ6zExamkszQ5VutGIcaQqmbD9ZTVXMQ/edit#gid=1251630045"",""articles_with_PRISMA_reasons!K2:K2113""), $A2036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$A2036=IMPORTRANGE(""https://docs.google.com/spreadsheets/d/1BJSV3WBYJGRhQ6zExamkszQ5VutGIcaQqmbD9ZTVXMQ/edit#gid=1251630045"",""articles_with_PRISMA_reasons!B2:B2113"")))-1)"),"Kurasaki")</f>
        <v>Kurasaki</v>
      </c>
      <c r="C2036" s="6">
        <f>IFERROR(__xludf.DUMMYFUNCTION("FILTER(IMPORTRANGE(""https://docs.google.com/spreadsheets/d/1BJSV3WBYJGRhQ6zExamkszQ5VutGIcaQqmbD9ZTVXMQ/edit#gid=1251630045"",""articles_with_PRISMA_reasons!C2:C2113""), $A2036=IMPORTRANGE(""https://docs.google.com/spreadsheets/d/1BJSV3WBYJGRhQ6zExamkszQ"&amp;"5VutGIcaQqmbD9ZTVXMQ/edit#gid=1251630045"",""articles_with_PRISMA_reasons!B2:B2113""))"),2020.0)</f>
        <v>2020</v>
      </c>
      <c r="D2036" s="5" t="str">
        <f>IFERROR(__xludf.DUMMYFUNCTION("IFS(AND(
FILTER(IMPORTRANGE(""https://docs.google.com/spreadsheets/d/1BJSV3WBYJGRhQ6zExamkszQ5VutGIcaQqmbD9ZTVXMQ/edit#gid=1251630045"",""articles_with_PRISMA_reasons!Y2:Y2113""), $A2036=IMPORTRANGE(""https://docs.google.com/spreadsheets/d/1BJSV3WBYJGRhQ6"&amp;"zExamkszQ5VutGIcaQqmbD9ZTVXMQ/edit#gid=1251630045"",""articles_with_PRISMA_reasons!B2:B2113""))&gt;=2,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$A2036=IMPORTRANGE(""https://docs.google.com/spreadsheets/d/1BJSV3WBYJGRhQ6zExamkszQ5VutGIcaQqmbD9ZTVXMQ/edit#gid=1251630045"",""articles_with_PRISMA_reasons!B2:B2113""))&lt;2),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$A2036=IMPORTRANGE(""https://docs.google.com/spreadsheets/d/1BJSV3WBYJGRhQ6zExamkszQ5VutGIcaQqmbD9ZTVXMQ/edit#gid=1251630045"",""a"&amp;"rticles_with_PRISMA_reasons!B2:B2113""))&lt;2,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$A2036=IMPORTRANGE(""https://docs.google"&amp;".com/spreadsheets/d/1BJSV3WBYJGRhQ6zExamkszQ5VutGIcaQqmbD9ZTVXMQ/edit#gid=1251630045"",""articles_with_PRISMA_reasons!B2:B2113""))&gt;=2),
""Exclude""
)"),"Exclude")</f>
        <v>Exclude</v>
      </c>
      <c r="E2036" s="5" t="str">
        <f>IFERROR(__xludf.DUMMYFUNCTION("IFS(
D2036=""Exclude"",""Exclude"",
AND(
FILTER(IMPORTRANGE(""https://docs.google.com/spreadsheets/d/1qpEmbGH0JjaJbUdp21-y2cPbobDbMjr09BbtdKROZWc/edit#gid=1444865654"",""articles_with_PRISMA_reasons!W2:W2113""), $A2036=IMPORTRANGE(""https://docs.google.co"&amp;"m/spreadsheets/d/1qpEmbGH0JjaJbUdp21-y2cPbobDbMjr09BbtdKROZWc/edit#gid=1444865654"",""articles_with_PRISMA_reasons!B2:B2113""))&gt;=2,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$A2036=IMPORTRANGE(""https://docs.google.com/spreadsheets/d/1qpEmbGH0JjaJbUdp21-y2cPbobDbMjr09BbtdKROZWc/edit#gid=1444865654"",""articles_with_PRISMA_reasons!B2:B2113""))&lt;2),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$A2036=IMPORTRANGE(""https://docs.google.com/spreadsheets/d/1qpEmbGH0JjaJbUdp21-y2cPbobDbMjr09Bbtd"&amp;"KROZWc/edit#gid=1444865654"",""articles_with_PRISMA_reasons!B2:B2113""))&lt;2,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$A2036=I"&amp;"MPORTRANGE(""https://docs.google.com/spreadsheets/d/1qpEmbGH0JjaJbUdp21-y2cPbobDbMjr09BbtdKROZWc/edit#gid=1444865654"",""articles_with_PRISMA_reasons!B2:B2113""))&gt;=2),
""Exclude""
)"),"Exclude")</f>
        <v>Exclude</v>
      </c>
      <c r="F2036" s="5" t="str">
        <f>IFERROR(__xludf.DUMMYFUNCTION("IFS(
E2036=""Exclude"",""Exclude"",
AND(
COUNTIF(
IMPORTRANGE(""https://docs.google.com/spreadsheets/d/1kGrh75X1cNR1D7_FcY9zMnHP8iPO4M5RCRjy6nZY0TY/edit#gid=0"",""Table 1: Study characteristics!B4:B171""),A2036)&gt;0,
COUNTIF(Studies!$A$2:$A$85,FILTER(IMPORT"&amp;"RANGE(""https://docs.google.com/spreadsheets/d/1kGrh75X1cNR1D7_FcY9zMnHP8iPO4M5RCRjy6nZY0TY/edit#gid=0"",""Table 1: Study characteristics!A4:A171""), $A2036=IMPORTRANGE(""https://docs.google.com/spreadsheets/d/1kGrh75X1cNR1D7_FcY9zMnHP8iPO4M5RCRjy6nZY0TY/"&amp;"edit#gid=0"",""Table 1: Study characteristics!B4:B171"")))&gt;0
),
""Include""
)"),"Exclude")</f>
        <v>Exclude</v>
      </c>
      <c r="G2036" s="5" t="str">
        <f>IFERROR(__xludf.DUMMYFUNCTION("IFS(
D2036=""Exclude"",
FILTER(IMPORTRANGE(""https://docs.google.com/spreadsheets/d/1BJSV3WBYJGRhQ6zExamkszQ5VutGIcaQqmbD9ZTVXMQ/edit#gid=1251630045"",""articles_with_PRISMA_reasons!AB2:AB2113""), $A2036=IMPORTRANGE(""https://docs.google.com/spreadsheets/"&amp;"d/1BJSV3WBYJGRhQ6zExamkszQ5VutGIcaQqmbD9ZTVXMQ/edit#gid=1251630045"",""articles_with_PRISMA_reasons!B2:B2113"")),
E2036=""Exclude"",
FILTER(IMPORTRANGE(""https://docs.google.com/spreadsheets/d/1qpEmbGH0JjaJbUdp21-y2cPbobDbMjr09BbtdKROZWc/edit#gid=14448656"&amp;"54"",""articles_with_PRISMA_reasons!Z2:Z2113""), $A2036=IMPORTRANGE(""https://docs.google.com/spreadsheets/d/1qpEmbGH0JjaJbUdp21-y2cPbobDbMjr09BbtdKROZWc/edit#gid=1444865654"",""articles_with_PRISMA_reasons!B2:B2113"")),F2036
=""Include"",FILTER(IMPORTRAN"&amp;"GE(""https://docs.google.com/spreadsheets/d/1kGrh75X1cNR1D7_FcY9zMnHP8iPO4M5RCRjy6nZY0TY/edit#gid=0"",""Table 1: Study characteristics!A4:A171""), $A2036=IMPORTRANGE(""https://docs.google.com/spreadsheets/d/1kGrh75X1cNR1D7_FcY9zMnHP8iPO4M5RCRjy6nZY0TY/edi"&amp;"t#gid=0"",""Table 1: Study characteristics!B4:B171""))
)"),"wrong publication type")</f>
        <v>wrong publication type</v>
      </c>
    </row>
    <row r="2037">
      <c r="A2037" s="4" t="str">
        <f>IFERROR(__xludf.DUMMYFUNCTION("""COMPUTED_VALUE"""),"Ultrasound in obstetrics")</f>
        <v>Ultrasound in obstetrics</v>
      </c>
      <c r="B2037" s="5" t="str">
        <f>IFERROR(__xludf.DUMMYFUNCTION("LEFT(FILTER(IMPORTRANGE(""https://docs.google.com/spreadsheets/d/1BJSV3WBYJGRhQ6zExamkszQ5VutGIcaQqmbD9ZTVXMQ/edit#gid=1251630045"",""articles_with_PRISMA_reasons!K2:K2113""), $A2037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$A2037=IMPORTRANGE(""https://docs.google.com/spreadsheets/d/1BJSV3WBYJGRhQ6zExamkszQ5VutGIcaQqmbD9ZTVXMQ/edit#gid=1251630045"",""articles_with_PRISMA_reasons!B2:B2113"")))-1)"),"Gottesfeld")</f>
        <v>Gottesfeld</v>
      </c>
      <c r="C2037" s="6">
        <f>IFERROR(__xludf.DUMMYFUNCTION("FILTER(IMPORTRANGE(""https://docs.google.com/spreadsheets/d/1BJSV3WBYJGRhQ6zExamkszQ5VutGIcaQqmbD9ZTVXMQ/edit#gid=1251630045"",""articles_with_PRISMA_reasons!C2:C2113""), $A2037=IMPORTRANGE(""https://docs.google.com/spreadsheets/d/1BJSV3WBYJGRhQ6zExamkszQ"&amp;"5VutGIcaQqmbD9ZTVXMQ/edit#gid=1251630045"",""articles_with_PRISMA_reasons!B2:B2113""))"),1978.0)</f>
        <v>1978</v>
      </c>
      <c r="D2037" s="5" t="str">
        <f>IFERROR(__xludf.DUMMYFUNCTION("IFS(AND(
FILTER(IMPORTRANGE(""https://docs.google.com/spreadsheets/d/1BJSV3WBYJGRhQ6zExamkszQ5VutGIcaQqmbD9ZTVXMQ/edit#gid=1251630045"",""articles_with_PRISMA_reasons!Y2:Y2113""), $A2037=IMPORTRANGE(""https://docs.google.com/spreadsheets/d/1BJSV3WBYJGRhQ6"&amp;"zExamkszQ5VutGIcaQqmbD9ZTVXMQ/edit#gid=1251630045"",""articles_with_PRISMA_reasons!B2:B2113""))&gt;=2,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$A2037=IMPORTRANGE(""https://docs.google.com/spreadsheets/d/1BJSV3WBYJGRhQ6zExamkszQ5VutGIcaQqmbD9ZTVXMQ/edit#gid=1251630045"",""articles_with_PRISMA_reasons!B2:B2113""))&lt;2),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$A2037=IMPORTRANGE(""https://docs.google.com/spreadsheets/d/1BJSV3WBYJGRhQ6zExamkszQ5VutGIcaQqmbD9ZTVXMQ/edit#gid=1251630045"",""a"&amp;"rticles_with_PRISMA_reasons!B2:B2113""))&lt;2,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$A2037=IMPORTRANGE(""https://docs.google"&amp;".com/spreadsheets/d/1BJSV3WBYJGRhQ6zExamkszQ5VutGIcaQqmbD9ZTVXMQ/edit#gid=1251630045"",""articles_with_PRISMA_reasons!B2:B2113""))&gt;=2),
""Exclude""
)"),"Exclude")</f>
        <v>Exclude</v>
      </c>
      <c r="E2037" s="5" t="str">
        <f>IFERROR(__xludf.DUMMYFUNCTION("IFS(
D2037=""Exclude"",""Exclude"",
AND(
FILTER(IMPORTRANGE(""https://docs.google.com/spreadsheets/d/1qpEmbGH0JjaJbUdp21-y2cPbobDbMjr09BbtdKROZWc/edit#gid=1444865654"",""articles_with_PRISMA_reasons!W2:W2113""), $A2037=IMPORTRANGE(""https://docs.google.co"&amp;"m/spreadsheets/d/1qpEmbGH0JjaJbUdp21-y2cPbobDbMjr09BbtdKROZWc/edit#gid=1444865654"",""articles_with_PRISMA_reasons!B2:B2113""))&gt;=2,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$A2037=IMPORTRANGE(""https://docs.google.com/spreadsheets/d/1qpEmbGH0JjaJbUdp21-y2cPbobDbMjr09BbtdKROZWc/edit#gid=1444865654"",""articles_with_PRISMA_reasons!B2:B2113""))&lt;2),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$A2037=IMPORTRANGE(""https://docs.google.com/spreadsheets/d/1qpEmbGH0JjaJbUdp21-y2cPbobDbMjr09Bbtd"&amp;"KROZWc/edit#gid=1444865654"",""articles_with_PRISMA_reasons!B2:B2113""))&lt;2,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$A2037=I"&amp;"MPORTRANGE(""https://docs.google.com/spreadsheets/d/1qpEmbGH0JjaJbUdp21-y2cPbobDbMjr09BbtdKROZWc/edit#gid=1444865654"",""articles_with_PRISMA_reasons!B2:B2113""))&gt;=2),
""Exclude""
)"),"Exclude")</f>
        <v>Exclude</v>
      </c>
      <c r="F2037" s="5" t="str">
        <f>IFERROR(__xludf.DUMMYFUNCTION("IFS(
E2037=""Exclude"",""Exclude"",
AND(
COUNTIF(
IMPORTRANGE(""https://docs.google.com/spreadsheets/d/1kGrh75X1cNR1D7_FcY9zMnHP8iPO4M5RCRjy6nZY0TY/edit#gid=0"",""Table 1: Study characteristics!B4:B171""),A2037)&gt;0,
COUNTIF(Studies!$A$2:$A$85,FILTER(IMPORT"&amp;"RANGE(""https://docs.google.com/spreadsheets/d/1kGrh75X1cNR1D7_FcY9zMnHP8iPO4M5RCRjy6nZY0TY/edit#gid=0"",""Table 1: Study characteristics!A4:A171""), $A2037=IMPORTRANGE(""https://docs.google.com/spreadsheets/d/1kGrh75X1cNR1D7_FcY9zMnHP8iPO4M5RCRjy6nZY0TY/"&amp;"edit#gid=0"",""Table 1: Study characteristics!B4:B171"")))&gt;0
),
""Include""
)"),"Exclude")</f>
        <v>Exclude</v>
      </c>
      <c r="G2037" s="5" t="str">
        <f>IFERROR(__xludf.DUMMYFUNCTION("IFS(
D2037=""Exclude"",
FILTER(IMPORTRANGE(""https://docs.google.com/spreadsheets/d/1BJSV3WBYJGRhQ6zExamkszQ5VutGIcaQqmbD9ZTVXMQ/edit#gid=1251630045"",""articles_with_PRISMA_reasons!AB2:AB2113""), $A2037=IMPORTRANGE(""https://docs.google.com/spreadsheets/"&amp;"d/1BJSV3WBYJGRhQ6zExamkszQ5VutGIcaQqmbD9ZTVXMQ/edit#gid=1251630045"",""articles_with_PRISMA_reasons!B2:B2113"")),
E2037=""Exclude"",
FILTER(IMPORTRANGE(""https://docs.google.com/spreadsheets/d/1qpEmbGH0JjaJbUdp21-y2cPbobDbMjr09BbtdKROZWc/edit#gid=14448656"&amp;"54"",""articles_with_PRISMA_reasons!Z2:Z2113""), $A2037=IMPORTRANGE(""https://docs.google.com/spreadsheets/d/1qpEmbGH0JjaJbUdp21-y2cPbobDbMjr09BbtdKROZWc/edit#gid=1444865654"",""articles_with_PRISMA_reasons!B2:B2113"")),F2037
=""Include"",FILTER(IMPORTRAN"&amp;"GE(""https://docs.google.com/spreadsheets/d/1kGrh75X1cNR1D7_FcY9zMnHP8iPO4M5RCRjy6nZY0TY/edit#gid=0"",""Table 1: Study characteristics!A4:A171""), $A2037=IMPORTRANGE(""https://docs.google.com/spreadsheets/d/1kGrh75X1cNR1D7_FcY9zMnHP8iPO4M5RCRjy6nZY0TY/edi"&amp;"t#gid=0"",""Table 1: Study characteristics!B4:B171""))
)"),"wrong study design")</f>
        <v>wrong study design</v>
      </c>
    </row>
    <row r="2038">
      <c r="A2038" s="4" t="str">
        <f>IFERROR(__xludf.DUMMYFUNCTION("""COMPUTED_VALUE"""),"Ultrasound in the diagnosis of spina bifida")</f>
        <v>Ultrasound in the diagnosis of spina bifida</v>
      </c>
      <c r="B2038" s="5" t="str">
        <f>IFERROR(__xludf.DUMMYFUNCTION("LEFT(FILTER(IMPORTRANGE(""https://docs.google.com/spreadsheets/d/1BJSV3WBYJGRhQ6zExamkszQ5VutGIcaQqmbD9ZTVXMQ/edit#gid=1251630045"",""articles_with_PRISMA_reasons!K2:K2113""), $A2038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$A2038=IMPORTRANGE(""https://docs.google.com/spreadsheets/d/1BJSV3WBYJGRhQ6zExamkszQ5VutGIcaQqmbD9ZTVXMQ/edit#gid=1251630045"",""articles_with_PRISMA_reasons!B2:B2113"")))-1)"),"Campbell")</f>
        <v>Campbell</v>
      </c>
      <c r="C2038" s="6" t="str">
        <f>IFERROR(__xludf.DUMMYFUNCTION("FILTER(IMPORTRANGE(""https://docs.google.com/spreadsheets/d/1BJSV3WBYJGRhQ6zExamkszQ5VutGIcaQqmbD9ZTVXMQ/edit#gid=1251630045"",""articles_with_PRISMA_reasons!C2:C2113""), $A2038=IMPORTRANGE(""https://docs.google.com/spreadsheets/d/1BJSV3WBYJGRhQ6zExamkszQ"&amp;"5VutGIcaQqmbD9ZTVXMQ/edit#gid=1251630045"",""articles_with_PRISMA_reasons!B2:B2113""))"),"May")</f>
        <v>May</v>
      </c>
      <c r="D2038" s="5" t="str">
        <f>IFERROR(__xludf.DUMMYFUNCTION("IFS(AND(
FILTER(IMPORTRANGE(""https://docs.google.com/spreadsheets/d/1BJSV3WBYJGRhQ6zExamkszQ5VutGIcaQqmbD9ZTVXMQ/edit#gid=1251630045"",""articles_with_PRISMA_reasons!Y2:Y2113""), $A2038=IMPORTRANGE(""https://docs.google.com/spreadsheets/d/1BJSV3WBYJGRhQ6"&amp;"zExamkszQ5VutGIcaQqmbD9ZTVXMQ/edit#gid=1251630045"",""articles_with_PRISMA_reasons!B2:B2113""))&gt;=2,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$A2038=IMPORTRANGE(""https://docs.google.com/spreadsheets/d/1BJSV3WBYJGRhQ6zExamkszQ5VutGIcaQqmbD9ZTVXMQ/edit#gid=1251630045"",""articles_with_PRISMA_reasons!B2:B2113""))&lt;2),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$A2038=IMPORTRANGE(""https://docs.google.com/spreadsheets/d/1BJSV3WBYJGRhQ6zExamkszQ5VutGIcaQqmbD9ZTVXMQ/edit#gid=1251630045"",""a"&amp;"rticles_with_PRISMA_reasons!B2:B2113""))&lt;2,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$A2038=IMPORTRANGE(""https://docs.google"&amp;".com/spreadsheets/d/1BJSV3WBYJGRhQ6zExamkszQ5VutGIcaQqmbD9ZTVXMQ/edit#gid=1251630045"",""articles_with_PRISMA_reasons!B2:B2113""))&gt;=2),
""Exclude""
)"),"Exclude")</f>
        <v>Exclude</v>
      </c>
      <c r="E2038" s="5" t="str">
        <f>IFERROR(__xludf.DUMMYFUNCTION("IFS(
D2038=""Exclude"",""Exclude"",
AND(
FILTER(IMPORTRANGE(""https://docs.google.com/spreadsheets/d/1qpEmbGH0JjaJbUdp21-y2cPbobDbMjr09BbtdKROZWc/edit#gid=1444865654"",""articles_with_PRISMA_reasons!W2:W2113""), $A2038=IMPORTRANGE(""https://docs.google.co"&amp;"m/spreadsheets/d/1qpEmbGH0JjaJbUdp21-y2cPbobDbMjr09BbtdKROZWc/edit#gid=1444865654"",""articles_with_PRISMA_reasons!B2:B2113""))&gt;=2,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$A2038=IMPORTRANGE(""https://docs.google.com/spreadsheets/d/1qpEmbGH0JjaJbUdp21-y2cPbobDbMjr09BbtdKROZWc/edit#gid=1444865654"",""articles_with_PRISMA_reasons!B2:B2113""))&lt;2),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$A2038=IMPORTRANGE(""https://docs.google.com/spreadsheets/d/1qpEmbGH0JjaJbUdp21-y2cPbobDbMjr09Bbtd"&amp;"KROZWc/edit#gid=1444865654"",""articles_with_PRISMA_reasons!B2:B2113""))&lt;2,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$A2038=I"&amp;"MPORTRANGE(""https://docs.google.com/spreadsheets/d/1qpEmbGH0JjaJbUdp21-y2cPbobDbMjr09BbtdKROZWc/edit#gid=1444865654"",""articles_with_PRISMA_reasons!B2:B2113""))&gt;=2),
""Exclude""
)"),"Exclude")</f>
        <v>Exclude</v>
      </c>
      <c r="F2038" s="5" t="str">
        <f>IFERROR(__xludf.DUMMYFUNCTION("IFS(
E2038=""Exclude"",""Exclude"",
AND(
COUNTIF(
IMPORTRANGE(""https://docs.google.com/spreadsheets/d/1kGrh75X1cNR1D7_FcY9zMnHP8iPO4M5RCRjy6nZY0TY/edit#gid=0"",""Table 1: Study characteristics!B4:B171""),A2038)&gt;0,
COUNTIF(Studies!$A$2:$A$85,FILTER(IMPORT"&amp;"RANGE(""https://docs.google.com/spreadsheets/d/1kGrh75X1cNR1D7_FcY9zMnHP8iPO4M5RCRjy6nZY0TY/edit#gid=0"",""Table 1: Study characteristics!A4:A171""), $A2038=IMPORTRANGE(""https://docs.google.com/spreadsheets/d/1kGrh75X1cNR1D7_FcY9zMnHP8iPO4M5RCRjy6nZY0TY/"&amp;"edit#gid=0"",""Table 1: Study characteristics!B4:B171"")))&gt;0
),
""Include""
)"),"Exclude")</f>
        <v>Exclude</v>
      </c>
      <c r="G2038" s="5" t="str">
        <f>IFERROR(__xludf.DUMMYFUNCTION("IFS(
D2038=""Exclude"",
FILTER(IMPORTRANGE(""https://docs.google.com/spreadsheets/d/1BJSV3WBYJGRhQ6zExamkszQ5VutGIcaQqmbD9ZTVXMQ/edit#gid=1251630045"",""articles_with_PRISMA_reasons!AB2:AB2113""), $A2038=IMPORTRANGE(""https://docs.google.com/spreadsheets/"&amp;"d/1BJSV3WBYJGRhQ6zExamkszQ5VutGIcaQqmbD9ZTVXMQ/edit#gid=1251630045"",""articles_with_PRISMA_reasons!B2:B2113"")),
E2038=""Exclude"",
FILTER(IMPORTRANGE(""https://docs.google.com/spreadsheets/d/1qpEmbGH0JjaJbUdp21-y2cPbobDbMjr09BbtdKROZWc/edit#gid=14448656"&amp;"54"",""articles_with_PRISMA_reasons!Z2:Z2113""), $A2038=IMPORTRANGE(""https://docs.google.com/spreadsheets/d/1qpEmbGH0JjaJbUdp21-y2cPbobDbMjr09BbtdKROZWc/edit#gid=1444865654"",""articles_with_PRISMA_reasons!B2:B2113"")),F2038
=""Include"",FILTER(IMPORTRAN"&amp;"GE(""https://docs.google.com/spreadsheets/d/1kGrh75X1cNR1D7_FcY9zMnHP8iPO4M5RCRjy6nZY0TY/edit#gid=0"",""Table 1: Study characteristics!A4:A171""), $A2038=IMPORTRANGE(""https://docs.google.com/spreadsheets/d/1kGrh75X1cNR1D7_FcY9zMnHP8iPO4M5RCRjy6nZY0TY/edi"&amp;"t#gid=0"",""Table 1: Study characteristics!B4:B171""))
)"),"wrong study design")</f>
        <v>wrong study design</v>
      </c>
    </row>
    <row r="2039">
      <c r="A2039" s="4" t="str">
        <f>IFERROR(__xludf.DUMMYFUNCTION("""COMPUTED_VALUE"""),"Understanding the Mothers of Children with Spina Bifida and Hydrocephalus in Tanzania")</f>
        <v>Understanding the Mothers of Children with Spina Bifida and Hydrocephalus in Tanzania</v>
      </c>
      <c r="B2039" s="5" t="str">
        <f>IFERROR(__xludf.DUMMYFUNCTION("LEFT(FILTER(IMPORTRANGE(""https://docs.google.com/spreadsheets/d/1BJSV3WBYJGRhQ6zExamkszQ5VutGIcaQqmbD9ZTVXMQ/edit#gid=1251630045"",""articles_with_PRISMA_reasons!K2:K2113""), $A2039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$A2039=IMPORTRANGE(""https://docs.google.com/spreadsheets/d/1BJSV3WBYJGRhQ6zExamkszQ5VutGIcaQqmbD9ZTVXMQ/edit#gid=1251630045"",""articles_with_PRISMA_reasons!B2:B2113"")))-1)"),"Henderson")</f>
        <v>Henderson</v>
      </c>
      <c r="C2039" s="6">
        <f>IFERROR(__xludf.DUMMYFUNCTION("FILTER(IMPORTRANGE(""https://docs.google.com/spreadsheets/d/1BJSV3WBYJGRhQ6zExamkszQ5VutGIcaQqmbD9ZTVXMQ/edit#gid=1251630045"",""articles_with_PRISMA_reasons!C2:C2113""), $A2039=IMPORTRANGE(""https://docs.google.com/spreadsheets/d/1BJSV3WBYJGRhQ6zExamkszQ"&amp;"5VutGIcaQqmbD9ZTVXMQ/edit#gid=1251630045"",""articles_with_PRISMA_reasons!B2:B2113""))"),2020.0)</f>
        <v>2020</v>
      </c>
      <c r="D2039" s="5" t="str">
        <f>IFERROR(__xludf.DUMMYFUNCTION("IFS(AND(
FILTER(IMPORTRANGE(""https://docs.google.com/spreadsheets/d/1BJSV3WBYJGRhQ6zExamkszQ5VutGIcaQqmbD9ZTVXMQ/edit#gid=1251630045"",""articles_with_PRISMA_reasons!Y2:Y2113""), $A2039=IMPORTRANGE(""https://docs.google.com/spreadsheets/d/1BJSV3WBYJGRhQ6"&amp;"zExamkszQ5VutGIcaQqmbD9ZTVXMQ/edit#gid=1251630045"",""articles_with_PRISMA_reasons!B2:B2113""))&gt;=2,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$A2039=IMPORTRANGE(""https://docs.google.com/spreadsheets/d/1BJSV3WBYJGRhQ6zExamkszQ5VutGIcaQqmbD9ZTVXMQ/edit#gid=1251630045"",""articles_with_PRISMA_reasons!B2:B2113""))&lt;2),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$A2039=IMPORTRANGE(""https://docs.google.com/spreadsheets/d/1BJSV3WBYJGRhQ6zExamkszQ5VutGIcaQqmbD9ZTVXMQ/edit#gid=1251630045"",""a"&amp;"rticles_with_PRISMA_reasons!B2:B2113""))&lt;2,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$A2039=IMPORTRANGE(""https://docs.google"&amp;".com/spreadsheets/d/1BJSV3WBYJGRhQ6zExamkszQ5VutGIcaQqmbD9ZTVXMQ/edit#gid=1251630045"",""articles_with_PRISMA_reasons!B2:B2113""))&gt;=2),
""Exclude""
)"),"Exclude")</f>
        <v>Exclude</v>
      </c>
      <c r="E2039" s="5" t="str">
        <f>IFERROR(__xludf.DUMMYFUNCTION("IFS(
D2039=""Exclude"",""Exclude"",
AND(
FILTER(IMPORTRANGE(""https://docs.google.com/spreadsheets/d/1qpEmbGH0JjaJbUdp21-y2cPbobDbMjr09BbtdKROZWc/edit#gid=1444865654"",""articles_with_PRISMA_reasons!W2:W2113""), $A2039=IMPORTRANGE(""https://docs.google.co"&amp;"m/spreadsheets/d/1qpEmbGH0JjaJbUdp21-y2cPbobDbMjr09BbtdKROZWc/edit#gid=1444865654"",""articles_with_PRISMA_reasons!B2:B2113""))&gt;=2,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$A2039=IMPORTRANGE(""https://docs.google.com/spreadsheets/d/1qpEmbGH0JjaJbUdp21-y2cPbobDbMjr09BbtdKROZWc/edit#gid=1444865654"",""articles_with_PRISMA_reasons!B2:B2113""))&lt;2),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$A2039=IMPORTRANGE(""https://docs.google.com/spreadsheets/d/1qpEmbGH0JjaJbUdp21-y2cPbobDbMjr09Bbtd"&amp;"KROZWc/edit#gid=1444865654"",""articles_with_PRISMA_reasons!B2:B2113""))&lt;2,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$A2039=I"&amp;"MPORTRANGE(""https://docs.google.com/spreadsheets/d/1qpEmbGH0JjaJbUdp21-y2cPbobDbMjr09BbtdKROZWc/edit#gid=1444865654"",""articles_with_PRISMA_reasons!B2:B2113""))&gt;=2),
""Exclude""
)"),"Exclude")</f>
        <v>Exclude</v>
      </c>
      <c r="F2039" s="5" t="str">
        <f>IFERROR(__xludf.DUMMYFUNCTION("IFS(
E2039=""Exclude"",""Exclude"",
AND(
COUNTIF(
IMPORTRANGE(""https://docs.google.com/spreadsheets/d/1kGrh75X1cNR1D7_FcY9zMnHP8iPO4M5RCRjy6nZY0TY/edit#gid=0"",""Table 1: Study characteristics!B4:B171""),A2039)&gt;0,
COUNTIF(Studies!$A$2:$A$85,FILTER(IMPORT"&amp;"RANGE(""https://docs.google.com/spreadsheets/d/1kGrh75X1cNR1D7_FcY9zMnHP8iPO4M5RCRjy6nZY0TY/edit#gid=0"",""Table 1: Study characteristics!A4:A171""), $A2039=IMPORTRANGE(""https://docs.google.com/spreadsheets/d/1kGrh75X1cNR1D7_FcY9zMnHP8iPO4M5RCRjy6nZY0TY/"&amp;"edit#gid=0"",""Table 1: Study characteristics!B4:B171"")))&gt;0
),
""Include""
)"),"Exclude")</f>
        <v>Exclude</v>
      </c>
      <c r="G2039" s="5" t="str">
        <f>IFERROR(__xludf.DUMMYFUNCTION("IFS(
D2039=""Exclude"",
FILTER(IMPORTRANGE(""https://docs.google.com/spreadsheets/d/1BJSV3WBYJGRhQ6zExamkszQ5VutGIcaQqmbD9ZTVXMQ/edit#gid=1251630045"",""articles_with_PRISMA_reasons!AB2:AB2113""), $A2039=IMPORTRANGE(""https://docs.google.com/spreadsheets/"&amp;"d/1BJSV3WBYJGRhQ6zExamkszQ5VutGIcaQqmbD9ZTVXMQ/edit#gid=1251630045"",""articles_with_PRISMA_reasons!B2:B2113"")),
E2039=""Exclude"",
FILTER(IMPORTRANGE(""https://docs.google.com/spreadsheets/d/1qpEmbGH0JjaJbUdp21-y2cPbobDbMjr09BbtdKROZWc/edit#gid=14448656"&amp;"54"",""articles_with_PRISMA_reasons!Z2:Z2113""), $A2039=IMPORTRANGE(""https://docs.google.com/spreadsheets/d/1qpEmbGH0JjaJbUdp21-y2cPbobDbMjr09BbtdKROZWc/edit#gid=1444865654"",""articles_with_PRISMA_reasons!B2:B2113"")),F2039
=""Include"",FILTER(IMPORTRAN"&amp;"GE(""https://docs.google.com/spreadsheets/d/1kGrh75X1cNR1D7_FcY9zMnHP8iPO4M5RCRjy6nZY0TY/edit#gid=0"",""Table 1: Study characteristics!A4:A171""), $A2039=IMPORTRANGE(""https://docs.google.com/spreadsheets/d/1kGrh75X1cNR1D7_FcY9zMnHP8iPO4M5RCRjy6nZY0TY/edi"&amp;"t#gid=0"",""Table 1: Study characteristics!B4:B171""))
)"),"wrong population")</f>
        <v>wrong population</v>
      </c>
    </row>
    <row r="2040">
      <c r="A2040" s="4" t="str">
        <f>IFERROR(__xludf.DUMMYFUNCTION("""COMPUTED_VALUE"""),"Unraveling the riddle of syringomyelia: Commentary")</f>
        <v>Unraveling the riddle of syringomyelia: Commentary</v>
      </c>
      <c r="B2040" s="5" t="str">
        <f>IFERROR(__xludf.DUMMYFUNCTION("LEFT(FILTER(IMPORTRANGE(""https://docs.google.com/spreadsheets/d/1BJSV3WBYJGRhQ6zExamkszQ5VutGIcaQqmbD9ZTVXMQ/edit#gid=1251630045"",""articles_with_PRISMA_reasons!K2:K2113""), $A2040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$A2040=IMPORTRANGE(""https://docs.google.com/spreadsheets/d/1BJSV3WBYJGRhQ6zExamkszQ5VutGIcaQqmbD9ZTVXMQ/edit#gid=1251630045"",""articles_with_PRISMA_reasons!B2:B2113"")))-1)"),"Koyanagi")</f>
        <v>Koyanagi</v>
      </c>
      <c r="C2040" s="6">
        <f>IFERROR(__xludf.DUMMYFUNCTION("FILTER(IMPORTRANGE(""https://docs.google.com/spreadsheets/d/1BJSV3WBYJGRhQ6zExamkszQ5VutGIcaQqmbD9ZTVXMQ/edit#gid=1251630045"",""articles_with_PRISMA_reasons!C2:C2113""), $A2040=IMPORTRANGE(""https://docs.google.com/spreadsheets/d/1BJSV3WBYJGRhQ6zExamkszQ"&amp;"5VutGIcaQqmbD9ZTVXMQ/edit#gid=1251630045"",""articles_with_PRISMA_reasons!B2:B2113""))"),2006.0)</f>
        <v>2006</v>
      </c>
      <c r="D2040" s="5" t="str">
        <f>IFERROR(__xludf.DUMMYFUNCTION("IFS(AND(
FILTER(IMPORTRANGE(""https://docs.google.com/spreadsheets/d/1BJSV3WBYJGRhQ6zExamkszQ5VutGIcaQqmbD9ZTVXMQ/edit#gid=1251630045"",""articles_with_PRISMA_reasons!Y2:Y2113""), $A2040=IMPORTRANGE(""https://docs.google.com/spreadsheets/d/1BJSV3WBYJGRhQ6"&amp;"zExamkszQ5VutGIcaQqmbD9ZTVXMQ/edit#gid=1251630045"",""articles_with_PRISMA_reasons!B2:B2113""))&gt;=2,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$A2040=IMPORTRANGE(""https://docs.google.com/spreadsheets/d/1BJSV3WBYJGRhQ6zExamkszQ5VutGIcaQqmbD9ZTVXMQ/edit#gid=1251630045"",""articles_with_PRISMA_reasons!B2:B2113""))&lt;2),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$A2040=IMPORTRANGE(""https://docs.google.com/spreadsheets/d/1BJSV3WBYJGRhQ6zExamkszQ5VutGIcaQqmbD9ZTVXMQ/edit#gid=1251630045"",""a"&amp;"rticles_with_PRISMA_reasons!B2:B2113""))&lt;2,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$A2040=IMPORTRANGE(""https://docs.google"&amp;".com/spreadsheets/d/1BJSV3WBYJGRhQ6zExamkszQ5VutGIcaQqmbD9ZTVXMQ/edit#gid=1251630045"",""articles_with_PRISMA_reasons!B2:B2113""))&gt;=2),
""Exclude""
)"),"Exclude")</f>
        <v>Exclude</v>
      </c>
      <c r="E2040" s="5" t="str">
        <f>IFERROR(__xludf.DUMMYFUNCTION("IFS(
D2040=""Exclude"",""Exclude"",
AND(
FILTER(IMPORTRANGE(""https://docs.google.com/spreadsheets/d/1qpEmbGH0JjaJbUdp21-y2cPbobDbMjr09BbtdKROZWc/edit#gid=1444865654"",""articles_with_PRISMA_reasons!W2:W2113""), $A2040=IMPORTRANGE(""https://docs.google.co"&amp;"m/spreadsheets/d/1qpEmbGH0JjaJbUdp21-y2cPbobDbMjr09BbtdKROZWc/edit#gid=1444865654"",""articles_with_PRISMA_reasons!B2:B2113""))&gt;=2,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$A2040=IMPORTRANGE(""https://docs.google.com/spreadsheets/d/1qpEmbGH0JjaJbUdp21-y2cPbobDbMjr09BbtdKROZWc/edit#gid=1444865654"",""articles_with_PRISMA_reasons!B2:B2113""))&lt;2),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$A2040=IMPORTRANGE(""https://docs.google.com/spreadsheets/d/1qpEmbGH0JjaJbUdp21-y2cPbobDbMjr09Bbtd"&amp;"KROZWc/edit#gid=1444865654"",""articles_with_PRISMA_reasons!B2:B2113""))&lt;2,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$A2040=I"&amp;"MPORTRANGE(""https://docs.google.com/spreadsheets/d/1qpEmbGH0JjaJbUdp21-y2cPbobDbMjr09BbtdKROZWc/edit#gid=1444865654"",""articles_with_PRISMA_reasons!B2:B2113""))&gt;=2),
""Exclude""
)"),"Exclude")</f>
        <v>Exclude</v>
      </c>
      <c r="F2040" s="5" t="str">
        <f>IFERROR(__xludf.DUMMYFUNCTION("IFS(
E2040=""Exclude"",""Exclude"",
AND(
COUNTIF(
IMPORTRANGE(""https://docs.google.com/spreadsheets/d/1kGrh75X1cNR1D7_FcY9zMnHP8iPO4M5RCRjy6nZY0TY/edit#gid=0"",""Table 1: Study characteristics!B4:B171""),A2040)&gt;0,
COUNTIF(Studies!$A$2:$A$85,FILTER(IMPORT"&amp;"RANGE(""https://docs.google.com/spreadsheets/d/1kGrh75X1cNR1D7_FcY9zMnHP8iPO4M5RCRjy6nZY0TY/edit#gid=0"",""Table 1: Study characteristics!A4:A171""), $A2040=IMPORTRANGE(""https://docs.google.com/spreadsheets/d/1kGrh75X1cNR1D7_FcY9zMnHP8iPO4M5RCRjy6nZY0TY/"&amp;"edit#gid=0"",""Table 1: Study characteristics!B4:B171"")))&gt;0
),
""Include""
)"),"Exclude")</f>
        <v>Exclude</v>
      </c>
      <c r="G2040" s="5" t="str">
        <f>IFERROR(__xludf.DUMMYFUNCTION("IFS(
D2040=""Exclude"",
FILTER(IMPORTRANGE(""https://docs.google.com/spreadsheets/d/1BJSV3WBYJGRhQ6zExamkszQ5VutGIcaQqmbD9ZTVXMQ/edit#gid=1251630045"",""articles_with_PRISMA_reasons!AB2:AB2113""), $A2040=IMPORTRANGE(""https://docs.google.com/spreadsheets/"&amp;"d/1BJSV3WBYJGRhQ6zExamkszQ5VutGIcaQqmbD9ZTVXMQ/edit#gid=1251630045"",""articles_with_PRISMA_reasons!B2:B2113"")),
E2040=""Exclude"",
FILTER(IMPORTRANGE(""https://docs.google.com/spreadsheets/d/1qpEmbGH0JjaJbUdp21-y2cPbobDbMjr09BbtdKROZWc/edit#gid=14448656"&amp;"54"",""articles_with_PRISMA_reasons!Z2:Z2113""), $A2040=IMPORTRANGE(""https://docs.google.com/spreadsheets/d/1qpEmbGH0JjaJbUdp21-y2cPbobDbMjr09BbtdKROZWc/edit#gid=1444865654"",""articles_with_PRISMA_reasons!B2:B2113"")),F2040
=""Include"",FILTER(IMPORTRAN"&amp;"GE(""https://docs.google.com/spreadsheets/d/1kGrh75X1cNR1D7_FcY9zMnHP8iPO4M5RCRjy6nZY0TY/edit#gid=0"",""Table 1: Study characteristics!A4:A171""), $A2040=IMPORTRANGE(""https://docs.google.com/spreadsheets/d/1kGrh75X1cNR1D7_FcY9zMnHP8iPO4M5RCRjy6nZY0TY/edi"&amp;"t#gid=0"",""Table 1: Study characteristics!B4:B171""))
)"),"wrong study design")</f>
        <v>wrong study design</v>
      </c>
    </row>
    <row r="2041">
      <c r="A2041" s="4" t="str">
        <f>IFERROR(__xludf.DUMMYFUNCTION("""COMPUTED_VALUE"""),"Untreated parieto-occipital encephalomeningohydrocele")</f>
        <v>Untreated parieto-occipital encephalomeningohydrocele</v>
      </c>
      <c r="B2041" s="5" t="str">
        <f>IFERROR(__xludf.DUMMYFUNCTION("LEFT(FILTER(IMPORTRANGE(""https://docs.google.com/spreadsheets/d/1BJSV3WBYJGRhQ6zExamkszQ5VutGIcaQqmbD9ZTVXMQ/edit#gid=1251630045"",""articles_with_PRISMA_reasons!K2:K2113""), $A2041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$A2041=IMPORTRANGE(""https://docs.google.com/spreadsheets/d/1BJSV3WBYJGRhQ6zExamkszQ5VutGIcaQqmbD9ZTVXMQ/edit#gid=1251630045"",""articles_with_PRISMA_reasons!B2:B2113"")))-1)"),"Muszynski")</f>
        <v>Muszynski</v>
      </c>
      <c r="C2041" s="6">
        <f>IFERROR(__xludf.DUMMYFUNCTION("FILTER(IMPORTRANGE(""https://docs.google.com/spreadsheets/d/1BJSV3WBYJGRhQ6zExamkszQ5VutGIcaQqmbD9ZTVXMQ/edit#gid=1251630045"",""articles_with_PRISMA_reasons!C2:C2113""), $A2041=IMPORTRANGE(""https://docs.google.com/spreadsheets/d/1BJSV3WBYJGRhQ6zExamkszQ"&amp;"5VutGIcaQqmbD9ZTVXMQ/edit#gid=1251630045"",""articles_with_PRISMA_reasons!B2:B2113""))"),2004.0)</f>
        <v>2004</v>
      </c>
      <c r="D2041" s="5" t="str">
        <f>IFERROR(__xludf.DUMMYFUNCTION("IFS(AND(
FILTER(IMPORTRANGE(""https://docs.google.com/spreadsheets/d/1BJSV3WBYJGRhQ6zExamkszQ5VutGIcaQqmbD9ZTVXMQ/edit#gid=1251630045"",""articles_with_PRISMA_reasons!Y2:Y2113""), $A2041=IMPORTRANGE(""https://docs.google.com/spreadsheets/d/1BJSV3WBYJGRhQ6"&amp;"zExamkszQ5VutGIcaQqmbD9ZTVXMQ/edit#gid=1251630045"",""articles_with_PRISMA_reasons!B2:B2113""))&gt;=2,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$A2041=IMPORTRANGE(""https://docs.google.com/spreadsheets/d/1BJSV3WBYJGRhQ6zExamkszQ5VutGIcaQqmbD9ZTVXMQ/edit#gid=1251630045"",""articles_with_PRISMA_reasons!B2:B2113""))&lt;2),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$A2041=IMPORTRANGE(""https://docs.google.com/spreadsheets/d/1BJSV3WBYJGRhQ6zExamkszQ5VutGIcaQqmbD9ZTVXMQ/edit#gid=1251630045"",""a"&amp;"rticles_with_PRISMA_reasons!B2:B2113""))&lt;2,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$A2041=IMPORTRANGE(""https://docs.google"&amp;".com/spreadsheets/d/1BJSV3WBYJGRhQ6zExamkszQ5VutGIcaQqmbD9ZTVXMQ/edit#gid=1251630045"",""articles_with_PRISMA_reasons!B2:B2113""))&gt;=2),
""Exclude""
)"),"Exclude")</f>
        <v>Exclude</v>
      </c>
      <c r="E2041" s="5" t="str">
        <f>IFERROR(__xludf.DUMMYFUNCTION("IFS(
D2041=""Exclude"",""Exclude"",
AND(
FILTER(IMPORTRANGE(""https://docs.google.com/spreadsheets/d/1qpEmbGH0JjaJbUdp21-y2cPbobDbMjr09BbtdKROZWc/edit#gid=1444865654"",""articles_with_PRISMA_reasons!W2:W2113""), $A2041=IMPORTRANGE(""https://docs.google.co"&amp;"m/spreadsheets/d/1qpEmbGH0JjaJbUdp21-y2cPbobDbMjr09BbtdKROZWc/edit#gid=1444865654"",""articles_with_PRISMA_reasons!B2:B2113""))&gt;=2,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$A2041=IMPORTRANGE(""https://docs.google.com/spreadsheets/d/1qpEmbGH0JjaJbUdp21-y2cPbobDbMjr09BbtdKROZWc/edit#gid=1444865654"",""articles_with_PRISMA_reasons!B2:B2113""))&lt;2),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$A2041=IMPORTRANGE(""https://docs.google.com/spreadsheets/d/1qpEmbGH0JjaJbUdp21-y2cPbobDbMjr09Bbtd"&amp;"KROZWc/edit#gid=1444865654"",""articles_with_PRISMA_reasons!B2:B2113""))&lt;2,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$A2041=I"&amp;"MPORTRANGE(""https://docs.google.com/spreadsheets/d/1qpEmbGH0JjaJbUdp21-y2cPbobDbMjr09BbtdKROZWc/edit#gid=1444865654"",""articles_with_PRISMA_reasons!B2:B2113""))&gt;=2),
""Exclude""
)"),"Exclude")</f>
        <v>Exclude</v>
      </c>
      <c r="F2041" s="5" t="str">
        <f>IFERROR(__xludf.DUMMYFUNCTION("IFS(
E2041=""Exclude"",""Exclude"",
AND(
COUNTIF(
IMPORTRANGE(""https://docs.google.com/spreadsheets/d/1kGrh75X1cNR1D7_FcY9zMnHP8iPO4M5RCRjy6nZY0TY/edit#gid=0"",""Table 1: Study characteristics!B4:B171""),A2041)&gt;0,
COUNTIF(Studies!$A$2:$A$85,FILTER(IMPORT"&amp;"RANGE(""https://docs.google.com/spreadsheets/d/1kGrh75X1cNR1D7_FcY9zMnHP8iPO4M5RCRjy6nZY0TY/edit#gid=0"",""Table 1: Study characteristics!A4:A171""), $A2041=IMPORTRANGE(""https://docs.google.com/spreadsheets/d/1kGrh75X1cNR1D7_FcY9zMnHP8iPO4M5RCRjy6nZY0TY/"&amp;"edit#gid=0"",""Table 1: Study characteristics!B4:B171"")))&gt;0
),
""Include""
)"),"Exclude")</f>
        <v>Exclude</v>
      </c>
      <c r="G2041" s="5" t="str">
        <f>IFERROR(__xludf.DUMMYFUNCTION("IFS(
D2041=""Exclude"",
FILTER(IMPORTRANGE(""https://docs.google.com/spreadsheets/d/1BJSV3WBYJGRhQ6zExamkszQ5VutGIcaQqmbD9ZTVXMQ/edit#gid=1251630045"",""articles_with_PRISMA_reasons!AB2:AB2113""), $A2041=IMPORTRANGE(""https://docs.google.com/spreadsheets/"&amp;"d/1BJSV3WBYJGRhQ6zExamkszQ5VutGIcaQqmbD9ZTVXMQ/edit#gid=1251630045"",""articles_with_PRISMA_reasons!B2:B2113"")),
E2041=""Exclude"",
FILTER(IMPORTRANGE(""https://docs.google.com/spreadsheets/d/1qpEmbGH0JjaJbUdp21-y2cPbobDbMjr09BbtdKROZWc/edit#gid=14448656"&amp;"54"",""articles_with_PRISMA_reasons!Z2:Z2113""), $A2041=IMPORTRANGE(""https://docs.google.com/spreadsheets/d/1qpEmbGH0JjaJbUdp21-y2cPbobDbMjr09BbtdKROZWc/edit#gid=1444865654"",""articles_with_PRISMA_reasons!B2:B2113"")),F2041
=""Include"",FILTER(IMPORTRAN"&amp;"GE(""https://docs.google.com/spreadsheets/d/1kGrh75X1cNR1D7_FcY9zMnHP8iPO4M5RCRjy6nZY0TY/edit#gid=0"",""Table 1: Study characteristics!A4:A171""), $A2041=IMPORTRANGE(""https://docs.google.com/spreadsheets/d/1kGrh75X1cNR1D7_FcY9zMnHP8iPO4M5RCRjy6nZY0TY/edi"&amp;"t#gid=0"",""Table 1: Study characteristics!B4:B171""))
)"),"wrong population")</f>
        <v>wrong population</v>
      </c>
    </row>
    <row r="2042">
      <c r="A2042" s="4" t="str">
        <f>IFERROR(__xludf.DUMMYFUNCTION("""COMPUTED_VALUE"""),"Unusual migration of the distal catheter of a ventriculoperitoneal shunt into the vagina")</f>
        <v>Unusual migration of the distal catheter of a ventriculoperitoneal shunt into the vagina</v>
      </c>
      <c r="B2042" s="5" t="str">
        <f>IFERROR(__xludf.DUMMYFUNCTION("LEFT(FILTER(IMPORTRANGE(""https://docs.google.com/spreadsheets/d/1BJSV3WBYJGRhQ6zExamkszQ5VutGIcaQqmbD9ZTVXMQ/edit#gid=1251630045"",""articles_with_PRISMA_reasons!K2:K2113""), $A2042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$A2042=IMPORTRANGE(""https://docs.google.com/spreadsheets/d/1BJSV3WBYJGRhQ6zExamkszQ5VutGIcaQqmbD9ZTVXMQ/edit#gid=1251630045"",""articles_with_PRISMA_reasons!B2:B2113"")))-1)"),"Farrokhi")</f>
        <v>Farrokhi</v>
      </c>
      <c r="C2042" s="6">
        <f>IFERROR(__xludf.DUMMYFUNCTION("FILTER(IMPORTRANGE(""https://docs.google.com/spreadsheets/d/1BJSV3WBYJGRhQ6zExamkszQ5VutGIcaQqmbD9ZTVXMQ/edit#gid=1251630045"",""articles_with_PRISMA_reasons!C2:C2113""), $A2042=IMPORTRANGE(""https://docs.google.com/spreadsheets/d/1BJSV3WBYJGRhQ6zExamkszQ"&amp;"5VutGIcaQqmbD9ZTVXMQ/edit#gid=1251630045"",""articles_with_PRISMA_reasons!B2:B2113""))"),2007.0)</f>
        <v>2007</v>
      </c>
      <c r="D2042" s="5" t="str">
        <f>IFERROR(__xludf.DUMMYFUNCTION("IFS(AND(
FILTER(IMPORTRANGE(""https://docs.google.com/spreadsheets/d/1BJSV3WBYJGRhQ6zExamkszQ5VutGIcaQqmbD9ZTVXMQ/edit#gid=1251630045"",""articles_with_PRISMA_reasons!Y2:Y2113""), $A2042=IMPORTRANGE(""https://docs.google.com/spreadsheets/d/1BJSV3WBYJGRhQ6"&amp;"zExamkszQ5VutGIcaQqmbD9ZTVXMQ/edit#gid=1251630045"",""articles_with_PRISMA_reasons!B2:B2113""))&gt;=2,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$A2042=IMPORTRANGE(""https://docs.google.com/spreadsheets/d/1BJSV3WBYJGRhQ6zExamkszQ5VutGIcaQqmbD9ZTVXMQ/edit#gid=1251630045"",""articles_with_PRISMA_reasons!B2:B2113""))&lt;2),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$A2042=IMPORTRANGE(""https://docs.google.com/spreadsheets/d/1BJSV3WBYJGRhQ6zExamkszQ5VutGIcaQqmbD9ZTVXMQ/edit#gid=1251630045"",""a"&amp;"rticles_with_PRISMA_reasons!B2:B2113""))&lt;2,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$A2042=IMPORTRANGE(""https://docs.google"&amp;".com/spreadsheets/d/1BJSV3WBYJGRhQ6zExamkszQ5VutGIcaQqmbD9ZTVXMQ/edit#gid=1251630045"",""articles_with_PRISMA_reasons!B2:B2113""))&gt;=2),
""Exclude""
)"),"Exclude")</f>
        <v>Exclude</v>
      </c>
      <c r="E2042" s="5" t="str">
        <f>IFERROR(__xludf.DUMMYFUNCTION("IFS(
D2042=""Exclude"",""Exclude"",
AND(
FILTER(IMPORTRANGE(""https://docs.google.com/spreadsheets/d/1qpEmbGH0JjaJbUdp21-y2cPbobDbMjr09BbtdKROZWc/edit#gid=1444865654"",""articles_with_PRISMA_reasons!W2:W2113""), $A2042=IMPORTRANGE(""https://docs.google.co"&amp;"m/spreadsheets/d/1qpEmbGH0JjaJbUdp21-y2cPbobDbMjr09BbtdKROZWc/edit#gid=1444865654"",""articles_with_PRISMA_reasons!B2:B2113""))&gt;=2,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$A2042=IMPORTRANGE(""https://docs.google.com/spreadsheets/d/1qpEmbGH0JjaJbUdp21-y2cPbobDbMjr09BbtdKROZWc/edit#gid=1444865654"",""articles_with_PRISMA_reasons!B2:B2113""))&lt;2),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$A2042=IMPORTRANGE(""https://docs.google.com/spreadsheets/d/1qpEmbGH0JjaJbUdp21-y2cPbobDbMjr09Bbtd"&amp;"KROZWc/edit#gid=1444865654"",""articles_with_PRISMA_reasons!B2:B2113""))&lt;2,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$A2042=I"&amp;"MPORTRANGE(""https://docs.google.com/spreadsheets/d/1qpEmbGH0JjaJbUdp21-y2cPbobDbMjr09BbtdKROZWc/edit#gid=1444865654"",""articles_with_PRISMA_reasons!B2:B2113""))&gt;=2),
""Exclude""
)"),"Exclude")</f>
        <v>Exclude</v>
      </c>
      <c r="F2042" s="5" t="str">
        <f>IFERROR(__xludf.DUMMYFUNCTION("IFS(
E2042=""Exclude"",""Exclude"",
AND(
COUNTIF(
IMPORTRANGE(""https://docs.google.com/spreadsheets/d/1kGrh75X1cNR1D7_FcY9zMnHP8iPO4M5RCRjy6nZY0TY/edit#gid=0"",""Table 1: Study characteristics!B4:B171""),A2042)&gt;0,
COUNTIF(Studies!$A$2:$A$85,FILTER(IMPORT"&amp;"RANGE(""https://docs.google.com/spreadsheets/d/1kGrh75X1cNR1D7_FcY9zMnHP8iPO4M5RCRjy6nZY0TY/edit#gid=0"",""Table 1: Study characteristics!A4:A171""), $A2042=IMPORTRANGE(""https://docs.google.com/spreadsheets/d/1kGrh75X1cNR1D7_FcY9zMnHP8iPO4M5RCRjy6nZY0TY/"&amp;"edit#gid=0"",""Table 1: Study characteristics!B4:B171"")))&gt;0
),
""Include""
)"),"Exclude")</f>
        <v>Exclude</v>
      </c>
      <c r="G2042" s="5" t="str">
        <f>IFERROR(__xludf.DUMMYFUNCTION("IFS(
D2042=""Exclude"",
FILTER(IMPORTRANGE(""https://docs.google.com/spreadsheets/d/1BJSV3WBYJGRhQ6zExamkszQ5VutGIcaQqmbD9ZTVXMQ/edit#gid=1251630045"",""articles_with_PRISMA_reasons!AB2:AB2113""), $A2042=IMPORTRANGE(""https://docs.google.com/spreadsheets/"&amp;"d/1BJSV3WBYJGRhQ6zExamkszQ5VutGIcaQqmbD9ZTVXMQ/edit#gid=1251630045"",""articles_with_PRISMA_reasons!B2:B2113"")),
E2042=""Exclude"",
FILTER(IMPORTRANGE(""https://docs.google.com/spreadsheets/d/1qpEmbGH0JjaJbUdp21-y2cPbobDbMjr09BbtdKROZWc/edit#gid=14448656"&amp;"54"",""articles_with_PRISMA_reasons!Z2:Z2113""), $A2042=IMPORTRANGE(""https://docs.google.com/spreadsheets/d/1qpEmbGH0JjaJbUdp21-y2cPbobDbMjr09BbtdKROZWc/edit#gid=1444865654"",""articles_with_PRISMA_reasons!B2:B2113"")),F2042
=""Include"",FILTER(IMPORTRAN"&amp;"GE(""https://docs.google.com/spreadsheets/d/1kGrh75X1cNR1D7_FcY9zMnHP8iPO4M5RCRjy6nZY0TY/edit#gid=0"",""Table 1: Study characteristics!A4:A171""), $A2042=IMPORTRANGE(""https://docs.google.com/spreadsheets/d/1kGrh75X1cNR1D7_FcY9zMnHP8iPO4M5RCRjy6nZY0TY/edi"&amp;"t#gid=0"",""Table 1: Study characteristics!B4:B171""))
)"),"wrong study design")</f>
        <v>wrong study design</v>
      </c>
    </row>
    <row r="2043">
      <c r="A2043" s="4" t="str">
        <f>IFERROR(__xludf.DUMMYFUNCTION("""COMPUTED_VALUE"""),"Upper and Lower Urinary Tract Outcomes in Adult Myelomeningocele Patients: A Systematic Review")</f>
        <v>Upper and Lower Urinary Tract Outcomes in Adult Myelomeningocele Patients: A Systematic Review</v>
      </c>
      <c r="B2043" s="5" t="str">
        <f>IFERROR(__xludf.DUMMYFUNCTION("LEFT(FILTER(IMPORTRANGE(""https://docs.google.com/spreadsheets/d/1BJSV3WBYJGRhQ6zExamkszQ5VutGIcaQqmbD9ZTVXMQ/edit#gid=1251630045"",""articles_with_PRISMA_reasons!K2:K2113""), $A2043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$A2043=IMPORTRANGE(""https://docs.google.com/spreadsheets/d/1BJSV3WBYJGRhQ6zExamkszQ5VutGIcaQqmbD9ZTVXMQ/edit#gid=1251630045"",""articles_with_PRISMA_reasons!B2:B2113"")))-1)"),"Veenboer")</f>
        <v>Veenboer</v>
      </c>
      <c r="C2043" s="6">
        <f>IFERROR(__xludf.DUMMYFUNCTION("FILTER(IMPORTRANGE(""https://docs.google.com/spreadsheets/d/1BJSV3WBYJGRhQ6zExamkszQ5VutGIcaQqmbD9ZTVXMQ/edit#gid=1251630045"",""articles_with_PRISMA_reasons!C2:C2113""), $A2043=IMPORTRANGE(""https://docs.google.com/spreadsheets/d/1BJSV3WBYJGRhQ6zExamkszQ"&amp;"5VutGIcaQqmbD9ZTVXMQ/edit#gid=1251630045"",""articles_with_PRISMA_reasons!B2:B2113""))"),2012.0)</f>
        <v>2012</v>
      </c>
      <c r="D2043" s="5" t="str">
        <f>IFERROR(__xludf.DUMMYFUNCTION("IFS(AND(
FILTER(IMPORTRANGE(""https://docs.google.com/spreadsheets/d/1BJSV3WBYJGRhQ6zExamkszQ5VutGIcaQqmbD9ZTVXMQ/edit#gid=1251630045"",""articles_with_PRISMA_reasons!Y2:Y2113""), $A2043=IMPORTRANGE(""https://docs.google.com/spreadsheets/d/1BJSV3WBYJGRhQ6"&amp;"zExamkszQ5VutGIcaQqmbD9ZTVXMQ/edit#gid=1251630045"",""articles_with_PRISMA_reasons!B2:B2113""))&gt;=2,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$A2043=IMPORTRANGE(""https://docs.google.com/spreadsheets/d/1BJSV3WBYJGRhQ6zExamkszQ5VutGIcaQqmbD9ZTVXMQ/edit#gid=1251630045"",""articles_with_PRISMA_reasons!B2:B2113""))&lt;2),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$A2043=IMPORTRANGE(""https://docs.google.com/spreadsheets/d/1BJSV3WBYJGRhQ6zExamkszQ5VutGIcaQqmbD9ZTVXMQ/edit#gid=1251630045"",""a"&amp;"rticles_with_PRISMA_reasons!B2:B2113""))&lt;2,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$A2043=IMPORTRANGE(""https://docs.google"&amp;".com/spreadsheets/d/1BJSV3WBYJGRhQ6zExamkszQ5VutGIcaQqmbD9ZTVXMQ/edit#gid=1251630045"",""articles_with_PRISMA_reasons!B2:B2113""))&gt;=2),
""Exclude""
)"),"Exclude")</f>
        <v>Exclude</v>
      </c>
      <c r="E2043" s="5" t="str">
        <f>IFERROR(__xludf.DUMMYFUNCTION("IFS(
D2043=""Exclude"",""Exclude"",
AND(
FILTER(IMPORTRANGE(""https://docs.google.com/spreadsheets/d/1qpEmbGH0JjaJbUdp21-y2cPbobDbMjr09BbtdKROZWc/edit#gid=1444865654"",""articles_with_PRISMA_reasons!W2:W2113""), $A2043=IMPORTRANGE(""https://docs.google.co"&amp;"m/spreadsheets/d/1qpEmbGH0JjaJbUdp21-y2cPbobDbMjr09BbtdKROZWc/edit#gid=1444865654"",""articles_with_PRISMA_reasons!B2:B2113""))&gt;=2,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$A2043=IMPORTRANGE(""https://docs.google.com/spreadsheets/d/1qpEmbGH0JjaJbUdp21-y2cPbobDbMjr09BbtdKROZWc/edit#gid=1444865654"",""articles_with_PRISMA_reasons!B2:B2113""))&lt;2),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$A2043=IMPORTRANGE(""https://docs.google.com/spreadsheets/d/1qpEmbGH0JjaJbUdp21-y2cPbobDbMjr09Bbtd"&amp;"KROZWc/edit#gid=1444865654"",""articles_with_PRISMA_reasons!B2:B2113""))&lt;2,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$A2043=I"&amp;"MPORTRANGE(""https://docs.google.com/spreadsheets/d/1qpEmbGH0JjaJbUdp21-y2cPbobDbMjr09BbtdKROZWc/edit#gid=1444865654"",""articles_with_PRISMA_reasons!B2:B2113""))&gt;=2),
""Exclude""
)"),"Exclude")</f>
        <v>Exclude</v>
      </c>
      <c r="F2043" s="5" t="str">
        <f>IFERROR(__xludf.DUMMYFUNCTION("IFS(
E2043=""Exclude"",""Exclude"",
AND(
COUNTIF(
IMPORTRANGE(""https://docs.google.com/spreadsheets/d/1kGrh75X1cNR1D7_FcY9zMnHP8iPO4M5RCRjy6nZY0TY/edit#gid=0"",""Table 1: Study characteristics!B4:B171""),A2043)&gt;0,
COUNTIF(Studies!$A$2:$A$85,FILTER(IMPORT"&amp;"RANGE(""https://docs.google.com/spreadsheets/d/1kGrh75X1cNR1D7_FcY9zMnHP8iPO4M5RCRjy6nZY0TY/edit#gid=0"",""Table 1: Study characteristics!A4:A171""), $A2043=IMPORTRANGE(""https://docs.google.com/spreadsheets/d/1kGrh75X1cNR1D7_FcY9zMnHP8iPO4M5RCRjy6nZY0TY/"&amp;"edit#gid=0"",""Table 1: Study characteristics!B4:B171"")))&gt;0
),
""Include""
)"),"Exclude")</f>
        <v>Exclude</v>
      </c>
      <c r="G2043" s="5" t="str">
        <f>IFERROR(__xludf.DUMMYFUNCTION("IFS(
D2043=""Exclude"",
FILTER(IMPORTRANGE(""https://docs.google.com/spreadsheets/d/1BJSV3WBYJGRhQ6zExamkszQ5VutGIcaQqmbD9ZTVXMQ/edit#gid=1251630045"",""articles_with_PRISMA_reasons!AB2:AB2113""), $A2043=IMPORTRANGE(""https://docs.google.com/spreadsheets/"&amp;"d/1BJSV3WBYJGRhQ6zExamkszQ5VutGIcaQqmbD9ZTVXMQ/edit#gid=1251630045"",""articles_with_PRISMA_reasons!B2:B2113"")),
E2043=""Exclude"",
FILTER(IMPORTRANGE(""https://docs.google.com/spreadsheets/d/1qpEmbGH0JjaJbUdp21-y2cPbobDbMjr09BbtdKROZWc/edit#gid=14448656"&amp;"54"",""articles_with_PRISMA_reasons!Z2:Z2113""), $A2043=IMPORTRANGE(""https://docs.google.com/spreadsheets/d/1qpEmbGH0JjaJbUdp21-y2cPbobDbMjr09BbtdKROZWc/edit#gid=1444865654"",""articles_with_PRISMA_reasons!B2:B2113"")),F2043
=""Include"",FILTER(IMPORTRAN"&amp;"GE(""https://docs.google.com/spreadsheets/d/1kGrh75X1cNR1D7_FcY9zMnHP8iPO4M5RCRjy6nZY0TY/edit#gid=0"",""Table 1: Study characteristics!A4:A171""), $A2043=IMPORTRANGE(""https://docs.google.com/spreadsheets/d/1kGrh75X1cNR1D7_FcY9zMnHP8iPO4M5RCRjy6nZY0TY/edi"&amp;"t#gid=0"",""Table 1: Study characteristics!B4:B171""))
)"),"wrong study design")</f>
        <v>wrong study design</v>
      </c>
    </row>
    <row r="2044">
      <c r="A2044" s="4" t="str">
        <f>IFERROR(__xludf.DUMMYFUNCTION("""COMPUTED_VALUE"""),"Upper extremity dysfunction in children with myelomeningocele")</f>
        <v>Upper extremity dysfunction in children with myelomeningocele</v>
      </c>
      <c r="B2044" s="5" t="str">
        <f>IFERROR(__xludf.DUMMYFUNCTION("LEFT(FILTER(IMPORTRANGE(""https://docs.google.com/spreadsheets/d/1BJSV3WBYJGRhQ6zExamkszQ5VutGIcaQqmbD9ZTVXMQ/edit#gid=1251630045"",""articles_with_PRISMA_reasons!K2:K2113""), $A2044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$A2044=IMPORTRANGE(""https://docs.google.com/spreadsheets/d/1BJSV3WBYJGRhQ6zExamkszQ5VutGIcaQqmbD9ZTVXMQ/edit#gid=1251630045"",""articles_with_PRISMA_reasons!B2:B2113"")))-1)"),"Jacobs")</f>
        <v>Jacobs</v>
      </c>
      <c r="C2044" s="6">
        <f>IFERROR(__xludf.DUMMYFUNCTION("FILTER(IMPORTRANGE(""https://docs.google.com/spreadsheets/d/1BJSV3WBYJGRhQ6zExamkszQ5VutGIcaQqmbD9ZTVXMQ/edit#gid=1251630045"",""articles_with_PRISMA_reasons!C2:C2113""), $A2044=IMPORTRANGE(""https://docs.google.com/spreadsheets/d/1BJSV3WBYJGRhQ6zExamkszQ"&amp;"5VutGIcaQqmbD9ZTVXMQ/edit#gid=1251630045"",""articles_with_PRISMA_reasons!B2:B2113""))"),1988.0)</f>
        <v>1988</v>
      </c>
      <c r="D2044" s="5" t="str">
        <f>IFERROR(__xludf.DUMMYFUNCTION("IFS(AND(
FILTER(IMPORTRANGE(""https://docs.google.com/spreadsheets/d/1BJSV3WBYJGRhQ6zExamkszQ5VutGIcaQqmbD9ZTVXMQ/edit#gid=1251630045"",""articles_with_PRISMA_reasons!Y2:Y2113""), $A2044=IMPORTRANGE(""https://docs.google.com/spreadsheets/d/1BJSV3WBYJGRhQ6"&amp;"zExamkszQ5VutGIcaQqmbD9ZTVXMQ/edit#gid=1251630045"",""articles_with_PRISMA_reasons!B2:B2113""))&gt;=2,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$A2044=IMPORTRANGE(""https://docs.google.com/spreadsheets/d/1BJSV3WBYJGRhQ6zExamkszQ5VutGIcaQqmbD9ZTVXMQ/edit#gid=1251630045"",""articles_with_PRISMA_reasons!B2:B2113""))&lt;2),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$A2044=IMPORTRANGE(""https://docs.google.com/spreadsheets/d/1BJSV3WBYJGRhQ6zExamkszQ5VutGIcaQqmbD9ZTVXMQ/edit#gid=1251630045"",""a"&amp;"rticles_with_PRISMA_reasons!B2:B2113""))&lt;2,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$A2044=IMPORTRANGE(""https://docs.google"&amp;".com/spreadsheets/d/1BJSV3WBYJGRhQ6zExamkszQ5VutGIcaQqmbD9ZTVXMQ/edit#gid=1251630045"",""articles_with_PRISMA_reasons!B2:B2113""))&gt;=2),
""Exclude""
)"),"Exclude")</f>
        <v>Exclude</v>
      </c>
      <c r="E2044" s="5" t="str">
        <f>IFERROR(__xludf.DUMMYFUNCTION("IFS(
D2044=""Exclude"",""Exclude"",
AND(
FILTER(IMPORTRANGE(""https://docs.google.com/spreadsheets/d/1qpEmbGH0JjaJbUdp21-y2cPbobDbMjr09BbtdKROZWc/edit#gid=1444865654"",""articles_with_PRISMA_reasons!W2:W2113""), $A2044=IMPORTRANGE(""https://docs.google.co"&amp;"m/spreadsheets/d/1qpEmbGH0JjaJbUdp21-y2cPbobDbMjr09BbtdKROZWc/edit#gid=1444865654"",""articles_with_PRISMA_reasons!B2:B2113""))&gt;=2,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$A2044=IMPORTRANGE(""https://docs.google.com/spreadsheets/d/1qpEmbGH0JjaJbUdp21-y2cPbobDbMjr09BbtdKROZWc/edit#gid=1444865654"",""articles_with_PRISMA_reasons!B2:B2113""))&lt;2),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$A2044=IMPORTRANGE(""https://docs.google.com/spreadsheets/d/1qpEmbGH0JjaJbUdp21-y2cPbobDbMjr09Bbtd"&amp;"KROZWc/edit#gid=1444865654"",""articles_with_PRISMA_reasons!B2:B2113""))&lt;2,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$A2044=I"&amp;"MPORTRANGE(""https://docs.google.com/spreadsheets/d/1qpEmbGH0JjaJbUdp21-y2cPbobDbMjr09BbtdKROZWc/edit#gid=1444865654"",""articles_with_PRISMA_reasons!B2:B2113""))&gt;=2),
""Exclude""
)"),"Exclude")</f>
        <v>Exclude</v>
      </c>
      <c r="F2044" s="5" t="str">
        <f>IFERROR(__xludf.DUMMYFUNCTION("IFS(
E2044=""Exclude"",""Exclude"",
AND(
COUNTIF(
IMPORTRANGE(""https://docs.google.com/spreadsheets/d/1kGrh75X1cNR1D7_FcY9zMnHP8iPO4M5RCRjy6nZY0TY/edit#gid=0"",""Table 1: Study characteristics!B4:B171""),A2044)&gt;0,
COUNTIF(Studies!$A$2:$A$85,FILTER(IMPORT"&amp;"RANGE(""https://docs.google.com/spreadsheets/d/1kGrh75X1cNR1D7_FcY9zMnHP8iPO4M5RCRjy6nZY0TY/edit#gid=0"",""Table 1: Study characteristics!A4:A171""), $A2044=IMPORTRANGE(""https://docs.google.com/spreadsheets/d/1kGrh75X1cNR1D7_FcY9zMnHP8iPO4M5RCRjy6nZY0TY/"&amp;"edit#gid=0"",""Table 1: Study characteristics!B4:B171"")))&gt;0
),
""Include""
)"),"Exclude")</f>
        <v>Exclude</v>
      </c>
      <c r="G2044" s="5" t="str">
        <f>IFERROR(__xludf.DUMMYFUNCTION("IFS(
D2044=""Exclude"",
FILTER(IMPORTRANGE(""https://docs.google.com/spreadsheets/d/1BJSV3WBYJGRhQ6zExamkszQ5VutGIcaQqmbD9ZTVXMQ/edit#gid=1251630045"",""articles_with_PRISMA_reasons!AB2:AB2113""), $A2044=IMPORTRANGE(""https://docs.google.com/spreadsheets/"&amp;"d/1BJSV3WBYJGRhQ6zExamkszQ5VutGIcaQqmbD9ZTVXMQ/edit#gid=1251630045"",""articles_with_PRISMA_reasons!B2:B2113"")),
E2044=""Exclude"",
FILTER(IMPORTRANGE(""https://docs.google.com/spreadsheets/d/1qpEmbGH0JjaJbUdp21-y2cPbobDbMjr09BbtdKROZWc/edit#gid=14448656"&amp;"54"",""articles_with_PRISMA_reasons!Z2:Z2113""), $A2044=IMPORTRANGE(""https://docs.google.com/spreadsheets/d/1qpEmbGH0JjaJbUdp21-y2cPbobDbMjr09BbtdKROZWc/edit#gid=1444865654"",""articles_with_PRISMA_reasons!B2:B2113"")),F2044
=""Include"",FILTER(IMPORTRAN"&amp;"GE(""https://docs.google.com/spreadsheets/d/1kGrh75X1cNR1D7_FcY9zMnHP8iPO4M5RCRjy6nZY0TY/edit#gid=0"",""Table 1: Study characteristics!A4:A171""), $A2044=IMPORTRANGE(""https://docs.google.com/spreadsheets/d/1kGrh75X1cNR1D7_FcY9zMnHP8iPO4M5RCRjy6nZY0TY/edi"&amp;"t#gid=0"",""Table 1: Study characteristics!B4:B171""))
)"),"wrong study design")</f>
        <v>wrong study design</v>
      </c>
    </row>
    <row r="2045">
      <c r="A2045" s="4" t="str">
        <f>IFERROR(__xludf.DUMMYFUNCTION("""COMPUTED_VALUE"""),"Upper extremity function in spina bifida")</f>
        <v>Upper extremity function in spina bifida</v>
      </c>
      <c r="B2045" s="5" t="str">
        <f>IFERROR(__xludf.DUMMYFUNCTION("LEFT(FILTER(IMPORTRANGE(""https://docs.google.com/spreadsheets/d/1BJSV3WBYJGRhQ6zExamkszQ5VutGIcaQqmbD9ZTVXMQ/edit#gid=1251630045"",""articles_with_PRISMA_reasons!K2:K2113""), $A2045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$A2045=IMPORTRANGE(""https://docs.google.com/spreadsheets/d/1BJSV3WBYJGRhQ6zExamkszQ5VutGIcaQqmbD9ZTVXMQ/edit#gid=1251630045"",""articles_with_PRISMA_reasons!B2:B2113"")))-1)"),"Jansen")</f>
        <v>Jansen</v>
      </c>
      <c r="C2045" s="6">
        <f>IFERROR(__xludf.DUMMYFUNCTION("FILTER(IMPORTRANGE(""https://docs.google.com/spreadsheets/d/1BJSV3WBYJGRhQ6zExamkszQ5VutGIcaQqmbD9ZTVXMQ/edit#gid=1251630045"",""articles_with_PRISMA_reasons!C2:C2113""), $A2045=IMPORTRANGE(""https://docs.google.com/spreadsheets/d/1BJSV3WBYJGRhQ6zExamkszQ"&amp;"5VutGIcaQqmbD9ZTVXMQ/edit#gid=1251630045"",""articles_with_PRISMA_reasons!B2:B2113""))"),1991.0)</f>
        <v>1991</v>
      </c>
      <c r="D2045" s="5" t="str">
        <f>IFERROR(__xludf.DUMMYFUNCTION("IFS(AND(
FILTER(IMPORTRANGE(""https://docs.google.com/spreadsheets/d/1BJSV3WBYJGRhQ6zExamkszQ5VutGIcaQqmbD9ZTVXMQ/edit#gid=1251630045"",""articles_with_PRISMA_reasons!Y2:Y2113""), $A2045=IMPORTRANGE(""https://docs.google.com/spreadsheets/d/1BJSV3WBYJGRhQ6"&amp;"zExamkszQ5VutGIcaQqmbD9ZTVXMQ/edit#gid=1251630045"",""articles_with_PRISMA_reasons!B2:B2113""))&gt;=2,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$A2045=IMPORTRANGE(""https://docs.google.com/spreadsheets/d/1BJSV3WBYJGRhQ6zExamkszQ5VutGIcaQqmbD9ZTVXMQ/edit#gid=1251630045"",""articles_with_PRISMA_reasons!B2:B2113""))&lt;2),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$A2045=IMPORTRANGE(""https://docs.google.com/spreadsheets/d/1BJSV3WBYJGRhQ6zExamkszQ5VutGIcaQqmbD9ZTVXMQ/edit#gid=1251630045"",""a"&amp;"rticles_with_PRISMA_reasons!B2:B2113""))&lt;2,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$A2045=IMPORTRANGE(""https://docs.google"&amp;".com/spreadsheets/d/1BJSV3WBYJGRhQ6zExamkszQ5VutGIcaQqmbD9ZTVXMQ/edit#gid=1251630045"",""articles_with_PRISMA_reasons!B2:B2113""))&gt;=2),
""Exclude""
)"),"Exclude")</f>
        <v>Exclude</v>
      </c>
      <c r="E2045" s="5" t="str">
        <f>IFERROR(__xludf.DUMMYFUNCTION("IFS(
D2045=""Exclude"",""Exclude"",
AND(
FILTER(IMPORTRANGE(""https://docs.google.com/spreadsheets/d/1qpEmbGH0JjaJbUdp21-y2cPbobDbMjr09BbtdKROZWc/edit#gid=1444865654"",""articles_with_PRISMA_reasons!W2:W2113""), $A2045=IMPORTRANGE(""https://docs.google.co"&amp;"m/spreadsheets/d/1qpEmbGH0JjaJbUdp21-y2cPbobDbMjr09BbtdKROZWc/edit#gid=1444865654"",""articles_with_PRISMA_reasons!B2:B2113""))&gt;=2,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$A2045=IMPORTRANGE(""https://docs.google.com/spreadsheets/d/1qpEmbGH0JjaJbUdp21-y2cPbobDbMjr09BbtdKROZWc/edit#gid=1444865654"",""articles_with_PRISMA_reasons!B2:B2113""))&lt;2),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$A2045=IMPORTRANGE(""https://docs.google.com/spreadsheets/d/1qpEmbGH0JjaJbUdp21-y2cPbobDbMjr09Bbtd"&amp;"KROZWc/edit#gid=1444865654"",""articles_with_PRISMA_reasons!B2:B2113""))&lt;2,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$A2045=I"&amp;"MPORTRANGE(""https://docs.google.com/spreadsheets/d/1qpEmbGH0JjaJbUdp21-y2cPbobDbMjr09BbtdKROZWc/edit#gid=1444865654"",""articles_with_PRISMA_reasons!B2:B2113""))&gt;=2),
""Exclude""
)"),"Exclude")</f>
        <v>Exclude</v>
      </c>
      <c r="F2045" s="5" t="str">
        <f>IFERROR(__xludf.DUMMYFUNCTION("IFS(
E2045=""Exclude"",""Exclude"",
AND(
COUNTIF(
IMPORTRANGE(""https://docs.google.com/spreadsheets/d/1kGrh75X1cNR1D7_FcY9zMnHP8iPO4M5RCRjy6nZY0TY/edit#gid=0"",""Table 1: Study characteristics!B4:B171""),A2045)&gt;0,
COUNTIF(Studies!$A$2:$A$85,FILTER(IMPORT"&amp;"RANGE(""https://docs.google.com/spreadsheets/d/1kGrh75X1cNR1D7_FcY9zMnHP8iPO4M5RCRjy6nZY0TY/edit#gid=0"",""Table 1: Study characteristics!A4:A171""), $A2045=IMPORTRANGE(""https://docs.google.com/spreadsheets/d/1kGrh75X1cNR1D7_FcY9zMnHP8iPO4M5RCRjy6nZY0TY/"&amp;"edit#gid=0"",""Table 1: Study characteristics!B4:B171"")))&gt;0
),
""Include""
)"),"Exclude")</f>
        <v>Exclude</v>
      </c>
      <c r="G2045" s="5" t="str">
        <f>IFERROR(__xludf.DUMMYFUNCTION("IFS(
D2045=""Exclude"",
FILTER(IMPORTRANGE(""https://docs.google.com/spreadsheets/d/1BJSV3WBYJGRhQ6zExamkszQ5VutGIcaQqmbD9ZTVXMQ/edit#gid=1251630045"",""articles_with_PRISMA_reasons!AB2:AB2113""), $A2045=IMPORTRANGE(""https://docs.google.com/spreadsheets/"&amp;"d/1BJSV3WBYJGRhQ6zExamkszQ5VutGIcaQqmbD9ZTVXMQ/edit#gid=1251630045"",""articles_with_PRISMA_reasons!B2:B2113"")),
E2045=""Exclude"",
FILTER(IMPORTRANGE(""https://docs.google.com/spreadsheets/d/1qpEmbGH0JjaJbUdp21-y2cPbobDbMjr09BbtdKROZWc/edit#gid=14448656"&amp;"54"",""articles_with_PRISMA_reasons!Z2:Z2113""), $A2045=IMPORTRANGE(""https://docs.google.com/spreadsheets/d/1qpEmbGH0JjaJbUdp21-y2cPbobDbMjr09BbtdKROZWc/edit#gid=1444865654"",""articles_with_PRISMA_reasons!B2:B2113"")),F2045
=""Include"",FILTER(IMPORTRAN"&amp;"GE(""https://docs.google.com/spreadsheets/d/1kGrh75X1cNR1D7_FcY9zMnHP8iPO4M5RCRjy6nZY0TY/edit#gid=0"",""Table 1: Study characteristics!A4:A171""), $A2045=IMPORTRANGE(""https://docs.google.com/spreadsheets/d/1kGrh75X1cNR1D7_FcY9zMnHP8iPO4M5RCRjy6nZY0TY/edi"&amp;"t#gid=0"",""Table 1: Study characteristics!B4:B171""))
)"),"wrong study design")</f>
        <v>wrong study design</v>
      </c>
    </row>
    <row r="2046">
      <c r="A2046" s="4" t="str">
        <f>IFERROR(__xludf.DUMMYFUNCTION("""COMPUTED_VALUE"""),"Upper limb motor function in young adults with spina bifida and hydrocephalus")</f>
        <v>Upper limb motor function in young adults with spina bifida and hydrocephalus</v>
      </c>
      <c r="B2046" s="5" t="str">
        <f>IFERROR(__xludf.DUMMYFUNCTION("LEFT(FILTER(IMPORTRANGE(""https://docs.google.com/spreadsheets/d/1BJSV3WBYJGRhQ6zExamkszQ5VutGIcaQqmbD9ZTVXMQ/edit#gid=1251630045"",""articles_with_PRISMA_reasons!K2:K2113""), $A2046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$A2046=IMPORTRANGE(""https://docs.google.com/spreadsheets/d/1BJSV3WBYJGRhQ6zExamkszQ5VutGIcaQqmbD9ZTVXMQ/edit#gid=1251630045"",""articles_with_PRISMA_reasons!B2:B2113"")))-1)"),"Dennis")</f>
        <v>Dennis</v>
      </c>
      <c r="C2046" s="6">
        <f>IFERROR(__xludf.DUMMYFUNCTION("FILTER(IMPORTRANGE(""https://docs.google.com/spreadsheets/d/1BJSV3WBYJGRhQ6zExamkszQ5VutGIcaQqmbD9ZTVXMQ/edit#gid=1251630045"",""articles_with_PRISMA_reasons!C2:C2113""), $A2046=IMPORTRANGE(""https://docs.google.com/spreadsheets/d/1BJSV3WBYJGRhQ6zExamkszQ"&amp;"5VutGIcaQqmbD9ZTVXMQ/edit#gid=1251630045"",""articles_with_PRISMA_reasons!B2:B2113""))"),2009.0)</f>
        <v>2009</v>
      </c>
      <c r="D2046" s="5" t="str">
        <f>IFERROR(__xludf.DUMMYFUNCTION("IFS(AND(
FILTER(IMPORTRANGE(""https://docs.google.com/spreadsheets/d/1BJSV3WBYJGRhQ6zExamkszQ5VutGIcaQqmbD9ZTVXMQ/edit#gid=1251630045"",""articles_with_PRISMA_reasons!Y2:Y2113""), $A2046=IMPORTRANGE(""https://docs.google.com/spreadsheets/d/1BJSV3WBYJGRhQ6"&amp;"zExamkszQ5VutGIcaQqmbD9ZTVXMQ/edit#gid=1251630045"",""articles_with_PRISMA_reasons!B2:B2113""))&gt;=2,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$A2046=IMPORTRANGE(""https://docs.google.com/spreadsheets/d/1BJSV3WBYJGRhQ6zExamkszQ5VutGIcaQqmbD9ZTVXMQ/edit#gid=1251630045"",""articles_with_PRISMA_reasons!B2:B2113""))&lt;2),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$A2046=IMPORTRANGE(""https://docs.google.com/spreadsheets/d/1BJSV3WBYJGRhQ6zExamkszQ5VutGIcaQqmbD9ZTVXMQ/edit#gid=1251630045"",""a"&amp;"rticles_with_PRISMA_reasons!B2:B2113""))&lt;2,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$A2046=IMPORTRANGE(""https://docs.google"&amp;".com/spreadsheets/d/1BJSV3WBYJGRhQ6zExamkszQ5VutGIcaQqmbD9ZTVXMQ/edit#gid=1251630045"",""articles_with_PRISMA_reasons!B2:B2113""))&gt;=2),
""Exclude""
)"),"Exclude")</f>
        <v>Exclude</v>
      </c>
      <c r="E2046" s="5" t="str">
        <f>IFERROR(__xludf.DUMMYFUNCTION("IFS(
D2046=""Exclude"",""Exclude"",
AND(
FILTER(IMPORTRANGE(""https://docs.google.com/spreadsheets/d/1qpEmbGH0JjaJbUdp21-y2cPbobDbMjr09BbtdKROZWc/edit#gid=1444865654"",""articles_with_PRISMA_reasons!W2:W2113""), $A2046=IMPORTRANGE(""https://docs.google.co"&amp;"m/spreadsheets/d/1qpEmbGH0JjaJbUdp21-y2cPbobDbMjr09BbtdKROZWc/edit#gid=1444865654"",""articles_with_PRISMA_reasons!B2:B2113""))&gt;=2,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$A2046=IMPORTRANGE(""https://docs.google.com/spreadsheets/d/1qpEmbGH0JjaJbUdp21-y2cPbobDbMjr09BbtdKROZWc/edit#gid=1444865654"",""articles_with_PRISMA_reasons!B2:B2113""))&lt;2),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$A2046=IMPORTRANGE(""https://docs.google.com/spreadsheets/d/1qpEmbGH0JjaJbUdp21-y2cPbobDbMjr09Bbtd"&amp;"KROZWc/edit#gid=1444865654"",""articles_with_PRISMA_reasons!B2:B2113""))&lt;2,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$A2046=I"&amp;"MPORTRANGE(""https://docs.google.com/spreadsheets/d/1qpEmbGH0JjaJbUdp21-y2cPbobDbMjr09BbtdKROZWc/edit#gid=1444865654"",""articles_with_PRISMA_reasons!B2:B2113""))&gt;=2),
""Exclude""
)"),"Exclude")</f>
        <v>Exclude</v>
      </c>
      <c r="F2046" s="5" t="str">
        <f>IFERROR(__xludf.DUMMYFUNCTION("IFS(
E2046=""Exclude"",""Exclude"",
AND(
COUNTIF(
IMPORTRANGE(""https://docs.google.com/spreadsheets/d/1kGrh75X1cNR1D7_FcY9zMnHP8iPO4M5RCRjy6nZY0TY/edit#gid=0"",""Table 1: Study characteristics!B4:B171""),A2046)&gt;0,
COUNTIF(Studies!$A$2:$A$85,FILTER(IMPORT"&amp;"RANGE(""https://docs.google.com/spreadsheets/d/1kGrh75X1cNR1D7_FcY9zMnHP8iPO4M5RCRjy6nZY0TY/edit#gid=0"",""Table 1: Study characteristics!A4:A171""), $A2046=IMPORTRANGE(""https://docs.google.com/spreadsheets/d/1kGrh75X1cNR1D7_FcY9zMnHP8iPO4M5RCRjy6nZY0TY/"&amp;"edit#gid=0"",""Table 1: Study characteristics!B4:B171"")))&gt;0
),
""Include""
)"),"Exclude")</f>
        <v>Exclude</v>
      </c>
      <c r="G2046" s="5" t="str">
        <f>IFERROR(__xludf.DUMMYFUNCTION("IFS(
D2046=""Exclude"",
FILTER(IMPORTRANGE(""https://docs.google.com/spreadsheets/d/1BJSV3WBYJGRhQ6zExamkszQ5VutGIcaQqmbD9ZTVXMQ/edit#gid=1251630045"",""articles_with_PRISMA_reasons!AB2:AB2113""), $A2046=IMPORTRANGE(""https://docs.google.com/spreadsheets/"&amp;"d/1BJSV3WBYJGRhQ6zExamkszQ5VutGIcaQqmbD9ZTVXMQ/edit#gid=1251630045"",""articles_with_PRISMA_reasons!B2:B2113"")),
E2046=""Exclude"",
FILTER(IMPORTRANGE(""https://docs.google.com/spreadsheets/d/1qpEmbGH0JjaJbUdp21-y2cPbobDbMjr09BbtdKROZWc/edit#gid=14448656"&amp;"54"",""articles_with_PRISMA_reasons!Z2:Z2113""), $A2046=IMPORTRANGE(""https://docs.google.com/spreadsheets/d/1qpEmbGH0JjaJbUdp21-y2cPbobDbMjr09BbtdKROZWc/edit#gid=1444865654"",""articles_with_PRISMA_reasons!B2:B2113"")),F2046
=""Include"",FILTER(IMPORTRAN"&amp;"GE(""https://docs.google.com/spreadsheets/d/1kGrh75X1cNR1D7_FcY9zMnHP8iPO4M5RCRjy6nZY0TY/edit#gid=0"",""Table 1: Study characteristics!A4:A171""), $A2046=IMPORTRANGE(""https://docs.google.com/spreadsheets/d/1kGrh75X1cNR1D7_FcY9zMnHP8iPO4M5RCRjy6nZY0TY/edi"&amp;"t#gid=0"",""Table 1: Study characteristics!B4:B171""))
)"),"wrong population")</f>
        <v>wrong population</v>
      </c>
    </row>
    <row r="2047">
      <c r="A2047" s="4" t="str">
        <f>IFERROR(__xludf.DUMMYFUNCTION("""COMPUTED_VALUE"""),"Upper-limb function of children with myelomeningocele")</f>
        <v>Upper-limb function of children with myelomeningocele</v>
      </c>
      <c r="B2047" s="5" t="str">
        <f>IFERROR(__xludf.DUMMYFUNCTION("LEFT(FILTER(IMPORTRANGE(""https://docs.google.com/spreadsheets/d/1BJSV3WBYJGRhQ6zExamkszQ5VutGIcaQqmbD9ZTVXMQ/edit#gid=1251630045"",""articles_with_PRISMA_reasons!K2:K2113""), $A2047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$A2047=IMPORTRANGE(""https://docs.google.com/spreadsheets/d/1BJSV3WBYJGRhQ6zExamkszQ5VutGIcaQqmbD9ZTVXMQ/edit#gid=1251630045"",""articles_with_PRISMA_reasons!B2:B2113"")))-1)"),"Turner")</f>
        <v>Turner</v>
      </c>
      <c r="C2047" s="6">
        <f>IFERROR(__xludf.DUMMYFUNCTION("FILTER(IMPORTRANGE(""https://docs.google.com/spreadsheets/d/1BJSV3WBYJGRhQ6zExamkszQ5VutGIcaQqmbD9ZTVXMQ/edit#gid=1251630045"",""articles_with_PRISMA_reasons!C2:C2113""), $A2047=IMPORTRANGE(""https://docs.google.com/spreadsheets/d/1BJSV3WBYJGRhQ6zExamkszQ"&amp;"5VutGIcaQqmbD9ZTVXMQ/edit#gid=1251630045"",""articles_with_PRISMA_reasons!B2:B2113""))"),1986.0)</f>
        <v>1986</v>
      </c>
      <c r="D2047" s="5" t="str">
        <f>IFERROR(__xludf.DUMMYFUNCTION("IFS(AND(
FILTER(IMPORTRANGE(""https://docs.google.com/spreadsheets/d/1BJSV3WBYJGRhQ6zExamkszQ5VutGIcaQqmbD9ZTVXMQ/edit#gid=1251630045"",""articles_with_PRISMA_reasons!Y2:Y2113""), $A2047=IMPORTRANGE(""https://docs.google.com/spreadsheets/d/1BJSV3WBYJGRhQ6"&amp;"zExamkszQ5VutGIcaQqmbD9ZTVXMQ/edit#gid=1251630045"",""articles_with_PRISMA_reasons!B2:B2113""))&gt;=2,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$A2047=IMPORTRANGE(""https://docs.google.com/spreadsheets/d/1BJSV3WBYJGRhQ6zExamkszQ5VutGIcaQqmbD9ZTVXMQ/edit#gid=1251630045"",""articles_with_PRISMA_reasons!B2:B2113""))&lt;2),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$A2047=IMPORTRANGE(""https://docs.google.com/spreadsheets/d/1BJSV3WBYJGRhQ6zExamkszQ5VutGIcaQqmbD9ZTVXMQ/edit#gid=1251630045"",""a"&amp;"rticles_with_PRISMA_reasons!B2:B2113""))&lt;2,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$A2047=IMPORTRANGE(""https://docs.google"&amp;".com/spreadsheets/d/1BJSV3WBYJGRhQ6zExamkszQ5VutGIcaQqmbD9ZTVXMQ/edit#gid=1251630045"",""articles_with_PRISMA_reasons!B2:B2113""))&gt;=2),
""Exclude""
)"),"Exclude")</f>
        <v>Exclude</v>
      </c>
      <c r="E2047" s="5" t="str">
        <f>IFERROR(__xludf.DUMMYFUNCTION("IFS(
D2047=""Exclude"",""Exclude"",
AND(
FILTER(IMPORTRANGE(""https://docs.google.com/spreadsheets/d/1qpEmbGH0JjaJbUdp21-y2cPbobDbMjr09BbtdKROZWc/edit#gid=1444865654"",""articles_with_PRISMA_reasons!W2:W2113""), $A2047=IMPORTRANGE(""https://docs.google.co"&amp;"m/spreadsheets/d/1qpEmbGH0JjaJbUdp21-y2cPbobDbMjr09BbtdKROZWc/edit#gid=1444865654"",""articles_with_PRISMA_reasons!B2:B2113""))&gt;=2,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$A2047=IMPORTRANGE(""https://docs.google.com/spreadsheets/d/1qpEmbGH0JjaJbUdp21-y2cPbobDbMjr09BbtdKROZWc/edit#gid=1444865654"",""articles_with_PRISMA_reasons!B2:B2113""))&lt;2),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$A2047=IMPORTRANGE(""https://docs.google.com/spreadsheets/d/1qpEmbGH0JjaJbUdp21-y2cPbobDbMjr09Bbtd"&amp;"KROZWc/edit#gid=1444865654"",""articles_with_PRISMA_reasons!B2:B2113""))&lt;2,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$A2047=I"&amp;"MPORTRANGE(""https://docs.google.com/spreadsheets/d/1qpEmbGH0JjaJbUdp21-y2cPbobDbMjr09BbtdKROZWc/edit#gid=1444865654"",""articles_with_PRISMA_reasons!B2:B2113""))&gt;=2),
""Exclude""
)"),"Exclude")</f>
        <v>Exclude</v>
      </c>
      <c r="F2047" s="5" t="str">
        <f>IFERROR(__xludf.DUMMYFUNCTION("IFS(
E2047=""Exclude"",""Exclude"",
AND(
COUNTIF(
IMPORTRANGE(""https://docs.google.com/spreadsheets/d/1kGrh75X1cNR1D7_FcY9zMnHP8iPO4M5RCRjy6nZY0TY/edit#gid=0"",""Table 1: Study characteristics!B4:B171""),A2047)&gt;0,
COUNTIF(Studies!$A$2:$A$85,FILTER(IMPORT"&amp;"RANGE(""https://docs.google.com/spreadsheets/d/1kGrh75X1cNR1D7_FcY9zMnHP8iPO4M5RCRjy6nZY0TY/edit#gid=0"",""Table 1: Study characteristics!A4:A171""), $A2047=IMPORTRANGE(""https://docs.google.com/spreadsheets/d/1kGrh75X1cNR1D7_FcY9zMnHP8iPO4M5RCRjy6nZY0TY/"&amp;"edit#gid=0"",""Table 1: Study characteristics!B4:B171"")))&gt;0
),
""Include""
)"),"Exclude")</f>
        <v>Exclude</v>
      </c>
      <c r="G2047" s="5" t="str">
        <f>IFERROR(__xludf.DUMMYFUNCTION("IFS(
D2047=""Exclude"",
FILTER(IMPORTRANGE(""https://docs.google.com/spreadsheets/d/1BJSV3WBYJGRhQ6zExamkszQ5VutGIcaQqmbD9ZTVXMQ/edit#gid=1251630045"",""articles_with_PRISMA_reasons!AB2:AB2113""), $A2047=IMPORTRANGE(""https://docs.google.com/spreadsheets/"&amp;"d/1BJSV3WBYJGRhQ6zExamkszQ5VutGIcaQqmbD9ZTVXMQ/edit#gid=1251630045"",""articles_with_PRISMA_reasons!B2:B2113"")),
E2047=""Exclude"",
FILTER(IMPORTRANGE(""https://docs.google.com/spreadsheets/d/1qpEmbGH0JjaJbUdp21-y2cPbobDbMjr09BbtdKROZWc/edit#gid=14448656"&amp;"54"",""articles_with_PRISMA_reasons!Z2:Z2113""), $A2047=IMPORTRANGE(""https://docs.google.com/spreadsheets/d/1qpEmbGH0JjaJbUdp21-y2cPbobDbMjr09BbtdKROZWc/edit#gid=1444865654"",""articles_with_PRISMA_reasons!B2:B2113"")),F2047
=""Include"",FILTER(IMPORTRAN"&amp;"GE(""https://docs.google.com/spreadsheets/d/1kGrh75X1cNR1D7_FcY9zMnHP8iPO4M5RCRjy6nZY0TY/edit#gid=0"",""Table 1: Study characteristics!A4:A171""), $A2047=IMPORTRANGE(""https://docs.google.com/spreadsheets/d/1kGrh75X1cNR1D7_FcY9zMnHP8iPO4M5RCRjy6nZY0TY/edi"&amp;"t#gid=0"",""Table 1: Study characteristics!B4:B171""))
)"),"wrong population")</f>
        <v>wrong population</v>
      </c>
    </row>
    <row r="2048">
      <c r="A2048" s="4" t="str">
        <f>IFERROR(__xludf.DUMMYFUNCTION("""COMPUTED_VALUE"""),"Ureaplasma parvum ventriculitis related to surgery and ventricular peritoneal drainage")</f>
        <v>Ureaplasma parvum ventriculitis related to surgery and ventricular peritoneal drainage</v>
      </c>
      <c r="B2048" s="5" t="str">
        <f>IFERROR(__xludf.DUMMYFUNCTION("LEFT(FILTER(IMPORTRANGE(""https://docs.google.com/spreadsheets/d/1BJSV3WBYJGRhQ6zExamkszQ5VutGIcaQqmbD9ZTVXMQ/edit#gid=1251630045"",""articles_with_PRISMA_reasons!K2:K2113""), $A2048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$A2048=IMPORTRANGE(""https://docs.google.com/spreadsheets/d/1BJSV3WBYJGRhQ6zExamkszQ5VutGIcaQqmbD9ZTVXMQ/edit#gid=1251630045"",""articles_with_PRISMA_reasons!B2:B2113"")))-1)"),"Saje")</f>
        <v>Saje</v>
      </c>
      <c r="C2048" s="6">
        <f>IFERROR(__xludf.DUMMYFUNCTION("FILTER(IMPORTRANGE(""https://docs.google.com/spreadsheets/d/1BJSV3WBYJGRhQ6zExamkszQ5VutGIcaQqmbD9ZTVXMQ/edit#gid=1251630045"",""articles_with_PRISMA_reasons!C2:C2113""), $A2048=IMPORTRANGE(""https://docs.google.com/spreadsheets/d/1BJSV3WBYJGRhQ6zExamkszQ"&amp;"5VutGIcaQqmbD9ZTVXMQ/edit#gid=1251630045"",""articles_with_PRISMA_reasons!B2:B2113""))"),2020.0)</f>
        <v>2020</v>
      </c>
      <c r="D2048" s="5" t="str">
        <f>IFERROR(__xludf.DUMMYFUNCTION("IFS(AND(
FILTER(IMPORTRANGE(""https://docs.google.com/spreadsheets/d/1BJSV3WBYJGRhQ6zExamkszQ5VutGIcaQqmbD9ZTVXMQ/edit#gid=1251630045"",""articles_with_PRISMA_reasons!Y2:Y2113""), $A2048=IMPORTRANGE(""https://docs.google.com/spreadsheets/d/1BJSV3WBYJGRhQ6"&amp;"zExamkszQ5VutGIcaQqmbD9ZTVXMQ/edit#gid=1251630045"",""articles_with_PRISMA_reasons!B2:B2113""))&gt;=2,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$A2048=IMPORTRANGE(""https://docs.google.com/spreadsheets/d/1BJSV3WBYJGRhQ6zExamkszQ5VutGIcaQqmbD9ZTVXMQ/edit#gid=1251630045"",""articles_with_PRISMA_reasons!B2:B2113""))&lt;2),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$A2048=IMPORTRANGE(""https://docs.google.com/spreadsheets/d/1BJSV3WBYJGRhQ6zExamkszQ5VutGIcaQqmbD9ZTVXMQ/edit#gid=1251630045"",""a"&amp;"rticles_with_PRISMA_reasons!B2:B2113""))&lt;2,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$A2048=IMPORTRANGE(""https://docs.google"&amp;".com/spreadsheets/d/1BJSV3WBYJGRhQ6zExamkszQ5VutGIcaQqmbD9ZTVXMQ/edit#gid=1251630045"",""articles_with_PRISMA_reasons!B2:B2113""))&gt;=2),
""Exclude""
)"),"Exclude")</f>
        <v>Exclude</v>
      </c>
      <c r="E2048" s="5" t="str">
        <f>IFERROR(__xludf.DUMMYFUNCTION("IFS(
D2048=""Exclude"",""Exclude"",
AND(
FILTER(IMPORTRANGE(""https://docs.google.com/spreadsheets/d/1qpEmbGH0JjaJbUdp21-y2cPbobDbMjr09BbtdKROZWc/edit#gid=1444865654"",""articles_with_PRISMA_reasons!W2:W2113""), $A2048=IMPORTRANGE(""https://docs.google.co"&amp;"m/spreadsheets/d/1qpEmbGH0JjaJbUdp21-y2cPbobDbMjr09BbtdKROZWc/edit#gid=1444865654"",""articles_with_PRISMA_reasons!B2:B2113""))&gt;=2,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$A2048=IMPORTRANGE(""https://docs.google.com/spreadsheets/d/1qpEmbGH0JjaJbUdp21-y2cPbobDbMjr09BbtdKROZWc/edit#gid=1444865654"",""articles_with_PRISMA_reasons!B2:B2113""))&lt;2),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$A2048=IMPORTRANGE(""https://docs.google.com/spreadsheets/d/1qpEmbGH0JjaJbUdp21-y2cPbobDbMjr09Bbtd"&amp;"KROZWc/edit#gid=1444865654"",""articles_with_PRISMA_reasons!B2:B2113""))&lt;2,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$A2048=I"&amp;"MPORTRANGE(""https://docs.google.com/spreadsheets/d/1qpEmbGH0JjaJbUdp21-y2cPbobDbMjr09BbtdKROZWc/edit#gid=1444865654"",""articles_with_PRISMA_reasons!B2:B2113""))&gt;=2),
""Exclude""
)"),"Exclude")</f>
        <v>Exclude</v>
      </c>
      <c r="F2048" s="5" t="str">
        <f>IFERROR(__xludf.DUMMYFUNCTION("IFS(
E2048=""Exclude"",""Exclude"",
AND(
COUNTIF(
IMPORTRANGE(""https://docs.google.com/spreadsheets/d/1kGrh75X1cNR1D7_FcY9zMnHP8iPO4M5RCRjy6nZY0TY/edit#gid=0"",""Table 1: Study characteristics!B4:B171""),A2048)&gt;0,
COUNTIF(Studies!$A$2:$A$85,FILTER(IMPORT"&amp;"RANGE(""https://docs.google.com/spreadsheets/d/1kGrh75X1cNR1D7_FcY9zMnHP8iPO4M5RCRjy6nZY0TY/edit#gid=0"",""Table 1: Study characteristics!A4:A171""), $A2048=IMPORTRANGE(""https://docs.google.com/spreadsheets/d/1kGrh75X1cNR1D7_FcY9zMnHP8iPO4M5RCRjy6nZY0TY/"&amp;"edit#gid=0"",""Table 1: Study characteristics!B4:B171"")))&gt;0
),
""Include""
)"),"Exclude")</f>
        <v>Exclude</v>
      </c>
      <c r="G2048" s="5" t="str">
        <f>IFERROR(__xludf.DUMMYFUNCTION("IFS(
D2048=""Exclude"",
FILTER(IMPORTRANGE(""https://docs.google.com/spreadsheets/d/1BJSV3WBYJGRhQ6zExamkszQ5VutGIcaQqmbD9ZTVXMQ/edit#gid=1251630045"",""articles_with_PRISMA_reasons!AB2:AB2113""), $A2048=IMPORTRANGE(""https://docs.google.com/spreadsheets/"&amp;"d/1BJSV3WBYJGRhQ6zExamkszQ5VutGIcaQqmbD9ZTVXMQ/edit#gid=1251630045"",""articles_with_PRISMA_reasons!B2:B2113"")),
E2048=""Exclude"",
FILTER(IMPORTRANGE(""https://docs.google.com/spreadsheets/d/1qpEmbGH0JjaJbUdp21-y2cPbobDbMjr09BbtdKROZWc/edit#gid=14448656"&amp;"54"",""articles_with_PRISMA_reasons!Z2:Z2113""), $A2048=IMPORTRANGE(""https://docs.google.com/spreadsheets/d/1qpEmbGH0JjaJbUdp21-y2cPbobDbMjr09BbtdKROZWc/edit#gid=1444865654"",""articles_with_PRISMA_reasons!B2:B2113"")),F2048
=""Include"",FILTER(IMPORTRAN"&amp;"GE(""https://docs.google.com/spreadsheets/d/1kGrh75X1cNR1D7_FcY9zMnHP8iPO4M5RCRjy6nZY0TY/edit#gid=0"",""Table 1: Study characteristics!A4:A171""), $A2048=IMPORTRANGE(""https://docs.google.com/spreadsheets/d/1kGrh75X1cNR1D7_FcY9zMnHP8iPO4M5RCRjy6nZY0TY/edi"&amp;"t#gid=0"",""Table 1: Study characteristics!B4:B171""))
)"),"wrong publication type")</f>
        <v>wrong publication type</v>
      </c>
    </row>
    <row r="2049">
      <c r="A2049" s="4" t="str">
        <f>IFERROR(__xludf.DUMMYFUNCTION("""COMPUTED_VALUE"""),"Urethral extrusion of a peritoneal catheter in a patient with a neobladder: A rare complication of shunt insertion")</f>
        <v>Urethral extrusion of a peritoneal catheter in a patient with a neobladder: A rare complication of shunt insertion</v>
      </c>
      <c r="B2049" s="5" t="str">
        <f>IFERROR(__xludf.DUMMYFUNCTION("LEFT(FILTER(IMPORTRANGE(""https://docs.google.com/spreadsheets/d/1BJSV3WBYJGRhQ6zExamkszQ5VutGIcaQqmbD9ZTVXMQ/edit#gid=1251630045"",""articles_with_PRISMA_reasons!K2:K2113""), $A2049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$A2049=IMPORTRANGE(""https://docs.google.com/spreadsheets/d/1BJSV3WBYJGRhQ6zExamkszQ5VutGIcaQqmbD9ZTVXMQ/edit#gid=1251630045"",""articles_with_PRISMA_reasons!B2:B2113"")))-1)"),"De Aguiar")</f>
        <v>De Aguiar</v>
      </c>
      <c r="C2049" s="6">
        <f>IFERROR(__xludf.DUMMYFUNCTION("FILTER(IMPORTRANGE(""https://docs.google.com/spreadsheets/d/1BJSV3WBYJGRhQ6zExamkszQ5VutGIcaQqmbD9ZTVXMQ/edit#gid=1251630045"",""articles_with_PRISMA_reasons!C2:C2113""), $A2049=IMPORTRANGE(""https://docs.google.com/spreadsheets/d/1BJSV3WBYJGRhQ6zExamkszQ"&amp;"5VutGIcaQqmbD9ZTVXMQ/edit#gid=1251630045"",""articles_with_PRISMA_reasons!B2:B2113""))"),2011.0)</f>
        <v>2011</v>
      </c>
      <c r="D2049" s="5" t="str">
        <f>IFERROR(__xludf.DUMMYFUNCTION("IFS(AND(
FILTER(IMPORTRANGE(""https://docs.google.com/spreadsheets/d/1BJSV3WBYJGRhQ6zExamkszQ5VutGIcaQqmbD9ZTVXMQ/edit#gid=1251630045"",""articles_with_PRISMA_reasons!Y2:Y2113""), $A2049=IMPORTRANGE(""https://docs.google.com/spreadsheets/d/1BJSV3WBYJGRhQ6"&amp;"zExamkszQ5VutGIcaQqmbD9ZTVXMQ/edit#gid=1251630045"",""articles_with_PRISMA_reasons!B2:B2113""))&gt;=2,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$A2049=IMPORTRANGE(""https://docs.google.com/spreadsheets/d/1BJSV3WBYJGRhQ6zExamkszQ5VutGIcaQqmbD9ZTVXMQ/edit#gid=1251630045"",""articles_with_PRISMA_reasons!B2:B2113""))&lt;2),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$A2049=IMPORTRANGE(""https://docs.google.com/spreadsheets/d/1BJSV3WBYJGRhQ6zExamkszQ5VutGIcaQqmbD9ZTVXMQ/edit#gid=1251630045"",""a"&amp;"rticles_with_PRISMA_reasons!B2:B2113""))&lt;2,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$A2049=IMPORTRANGE(""https://docs.google"&amp;".com/spreadsheets/d/1BJSV3WBYJGRhQ6zExamkszQ5VutGIcaQqmbD9ZTVXMQ/edit#gid=1251630045"",""articles_with_PRISMA_reasons!B2:B2113""))&gt;=2),
""Exclude""
)"),"Exclude")</f>
        <v>Exclude</v>
      </c>
      <c r="E2049" s="5" t="str">
        <f>IFERROR(__xludf.DUMMYFUNCTION("IFS(
D2049=""Exclude"",""Exclude"",
AND(
FILTER(IMPORTRANGE(""https://docs.google.com/spreadsheets/d/1qpEmbGH0JjaJbUdp21-y2cPbobDbMjr09BbtdKROZWc/edit#gid=1444865654"",""articles_with_PRISMA_reasons!W2:W2113""), $A2049=IMPORTRANGE(""https://docs.google.co"&amp;"m/spreadsheets/d/1qpEmbGH0JjaJbUdp21-y2cPbobDbMjr09BbtdKROZWc/edit#gid=1444865654"",""articles_with_PRISMA_reasons!B2:B2113""))&gt;=2,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$A2049=IMPORTRANGE(""https://docs.google.com/spreadsheets/d/1qpEmbGH0JjaJbUdp21-y2cPbobDbMjr09BbtdKROZWc/edit#gid=1444865654"",""articles_with_PRISMA_reasons!B2:B2113""))&lt;2),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$A2049=IMPORTRANGE(""https://docs.google.com/spreadsheets/d/1qpEmbGH0JjaJbUdp21-y2cPbobDbMjr09Bbtd"&amp;"KROZWc/edit#gid=1444865654"",""articles_with_PRISMA_reasons!B2:B2113""))&lt;2,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$A2049=I"&amp;"MPORTRANGE(""https://docs.google.com/spreadsheets/d/1qpEmbGH0JjaJbUdp21-y2cPbobDbMjr09BbtdKROZWc/edit#gid=1444865654"",""articles_with_PRISMA_reasons!B2:B2113""))&gt;=2),
""Exclude""
)"),"Exclude")</f>
        <v>Exclude</v>
      </c>
      <c r="F2049" s="5" t="str">
        <f>IFERROR(__xludf.DUMMYFUNCTION("IFS(
E2049=""Exclude"",""Exclude"",
AND(
COUNTIF(
IMPORTRANGE(""https://docs.google.com/spreadsheets/d/1kGrh75X1cNR1D7_FcY9zMnHP8iPO4M5RCRjy6nZY0TY/edit#gid=0"",""Table 1: Study characteristics!B4:B171""),A2049)&gt;0,
COUNTIF(Studies!$A$2:$A$85,FILTER(IMPORT"&amp;"RANGE(""https://docs.google.com/spreadsheets/d/1kGrh75X1cNR1D7_FcY9zMnHP8iPO4M5RCRjy6nZY0TY/edit#gid=0"",""Table 1: Study characteristics!A4:A171""), $A2049=IMPORTRANGE(""https://docs.google.com/spreadsheets/d/1kGrh75X1cNR1D7_FcY9zMnHP8iPO4M5RCRjy6nZY0TY/"&amp;"edit#gid=0"",""Table 1: Study characteristics!B4:B171"")))&gt;0
),
""Include""
)"),"Exclude")</f>
        <v>Exclude</v>
      </c>
      <c r="G2049" s="5" t="str">
        <f>IFERROR(__xludf.DUMMYFUNCTION("IFS(
D2049=""Exclude"",
FILTER(IMPORTRANGE(""https://docs.google.com/spreadsheets/d/1BJSV3WBYJGRhQ6zExamkszQ5VutGIcaQqmbD9ZTVXMQ/edit#gid=1251630045"",""articles_with_PRISMA_reasons!AB2:AB2113""), $A2049=IMPORTRANGE(""https://docs.google.com/spreadsheets/"&amp;"d/1BJSV3WBYJGRhQ6zExamkszQ5VutGIcaQqmbD9ZTVXMQ/edit#gid=1251630045"",""articles_with_PRISMA_reasons!B2:B2113"")),
E2049=""Exclude"",
FILTER(IMPORTRANGE(""https://docs.google.com/spreadsheets/d/1qpEmbGH0JjaJbUdp21-y2cPbobDbMjr09BbtdKROZWc/edit#gid=14448656"&amp;"54"",""articles_with_PRISMA_reasons!Z2:Z2113""), $A2049=IMPORTRANGE(""https://docs.google.com/spreadsheets/d/1qpEmbGH0JjaJbUdp21-y2cPbobDbMjr09BbtdKROZWc/edit#gid=1444865654"",""articles_with_PRISMA_reasons!B2:B2113"")),F2049
=""Include"",FILTER(IMPORTRAN"&amp;"GE(""https://docs.google.com/spreadsheets/d/1kGrh75X1cNR1D7_FcY9zMnHP8iPO4M5RCRjy6nZY0TY/edit#gid=0"",""Table 1: Study characteristics!A4:A171""), $A2049=IMPORTRANGE(""https://docs.google.com/spreadsheets/d/1kGrh75X1cNR1D7_FcY9zMnHP8iPO4M5RCRjy6nZY0TY/edi"&amp;"t#gid=0"",""Table 1: Study characteristics!B4:B171""))
)"),"wrong study design")</f>
        <v>wrong study design</v>
      </c>
    </row>
    <row r="2050">
      <c r="A2050" s="4" t="str">
        <f>IFERROR(__xludf.DUMMYFUNCTION("""COMPUTED_VALUE"""),"Urinary continence in open myelomeningocele")</f>
        <v>Urinary continence in open myelomeningocele</v>
      </c>
      <c r="B2050" s="5" t="str">
        <f>IFERROR(__xludf.DUMMYFUNCTION("LEFT(FILTER(IMPORTRANGE(""https://docs.google.com/spreadsheets/d/1BJSV3WBYJGRhQ6zExamkszQ5VutGIcaQqmbD9ZTVXMQ/edit#gid=1251630045"",""articles_with_PRISMA_reasons!K2:K2113""), $A2050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$A2050=IMPORTRANGE(""https://docs.google.com/spreadsheets/d/1BJSV3WBYJGRhQ6zExamkszQ5VutGIcaQqmbD9ZTVXMQ/edit#gid=1251630045"",""articles_with_PRISMA_reasons!B2:B2113"")))-1)"),"Brereton")</f>
        <v>Brereton</v>
      </c>
      <c r="C2050" s="6">
        <f>IFERROR(__xludf.DUMMYFUNCTION("FILTER(IMPORTRANGE(""https://docs.google.com/spreadsheets/d/1BJSV3WBYJGRhQ6zExamkszQ5VutGIcaQqmbD9ZTVXMQ/edit#gid=1251630045"",""articles_with_PRISMA_reasons!C2:C2113""), $A2050=IMPORTRANGE(""https://docs.google.com/spreadsheets/d/1BJSV3WBYJGRhQ6zExamkszQ"&amp;"5VutGIcaQqmbD9ZTVXMQ/edit#gid=1251630045"",""articles_with_PRISMA_reasons!B2:B2113""))"),1977.0)</f>
        <v>1977</v>
      </c>
      <c r="D2050" s="5" t="str">
        <f>IFERROR(__xludf.DUMMYFUNCTION("IFS(AND(
FILTER(IMPORTRANGE(""https://docs.google.com/spreadsheets/d/1BJSV3WBYJGRhQ6zExamkszQ5VutGIcaQqmbD9ZTVXMQ/edit#gid=1251630045"",""articles_with_PRISMA_reasons!Y2:Y2113""), $A2050=IMPORTRANGE(""https://docs.google.com/spreadsheets/d/1BJSV3WBYJGRhQ6"&amp;"zExamkszQ5VutGIcaQqmbD9ZTVXMQ/edit#gid=1251630045"",""articles_with_PRISMA_reasons!B2:B2113""))&gt;=2,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$A2050=IMPORTRANGE(""https://docs.google.com/spreadsheets/d/1BJSV3WBYJGRhQ6zExamkszQ5VutGIcaQqmbD9ZTVXMQ/edit#gid=1251630045"",""articles_with_PRISMA_reasons!B2:B2113""))&lt;2),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$A2050=IMPORTRANGE(""https://docs.google.com/spreadsheets/d/1BJSV3WBYJGRhQ6zExamkszQ5VutGIcaQqmbD9ZTVXMQ/edit#gid=1251630045"",""a"&amp;"rticles_with_PRISMA_reasons!B2:B2113""))&lt;2,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$A2050=IMPORTRANGE(""https://docs.google"&amp;".com/spreadsheets/d/1BJSV3WBYJGRhQ6zExamkszQ5VutGIcaQqmbD9ZTVXMQ/edit#gid=1251630045"",""articles_with_PRISMA_reasons!B2:B2113""))&gt;=2),
""Exclude""
)"),"Exclude")</f>
        <v>Exclude</v>
      </c>
      <c r="E2050" s="5" t="str">
        <f>IFERROR(__xludf.DUMMYFUNCTION("IFS(
D2050=""Exclude"",""Exclude"",
AND(
FILTER(IMPORTRANGE(""https://docs.google.com/spreadsheets/d/1qpEmbGH0JjaJbUdp21-y2cPbobDbMjr09BbtdKROZWc/edit#gid=1444865654"",""articles_with_PRISMA_reasons!W2:W2113""), $A2050=IMPORTRANGE(""https://docs.google.co"&amp;"m/spreadsheets/d/1qpEmbGH0JjaJbUdp21-y2cPbobDbMjr09BbtdKROZWc/edit#gid=1444865654"",""articles_with_PRISMA_reasons!B2:B2113""))&gt;=2,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$A2050=IMPORTRANGE(""https://docs.google.com/spreadsheets/d/1qpEmbGH0JjaJbUdp21-y2cPbobDbMjr09BbtdKROZWc/edit#gid=1444865654"",""articles_with_PRISMA_reasons!B2:B2113""))&lt;2),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$A2050=IMPORTRANGE(""https://docs.google.com/spreadsheets/d/1qpEmbGH0JjaJbUdp21-y2cPbobDbMjr09Bbtd"&amp;"KROZWc/edit#gid=1444865654"",""articles_with_PRISMA_reasons!B2:B2113""))&lt;2,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$A2050=I"&amp;"MPORTRANGE(""https://docs.google.com/spreadsheets/d/1qpEmbGH0JjaJbUdp21-y2cPbobDbMjr09BbtdKROZWc/edit#gid=1444865654"",""articles_with_PRISMA_reasons!B2:B2113""))&gt;=2),
""Exclude""
)"),"Exclude")</f>
        <v>Exclude</v>
      </c>
      <c r="F2050" s="5" t="str">
        <f>IFERROR(__xludf.DUMMYFUNCTION("IFS(
E2050=""Exclude"",""Exclude"",
AND(
COUNTIF(
IMPORTRANGE(""https://docs.google.com/spreadsheets/d/1kGrh75X1cNR1D7_FcY9zMnHP8iPO4M5RCRjy6nZY0TY/edit#gid=0"",""Table 1: Study characteristics!B4:B171""),A2050)&gt;0,
COUNTIF(Studies!$A$2:$A$85,FILTER(IMPORT"&amp;"RANGE(""https://docs.google.com/spreadsheets/d/1kGrh75X1cNR1D7_FcY9zMnHP8iPO4M5RCRjy6nZY0TY/edit#gid=0"",""Table 1: Study characteristics!A4:A171""), $A2050=IMPORTRANGE(""https://docs.google.com/spreadsheets/d/1kGrh75X1cNR1D7_FcY9zMnHP8iPO4M5RCRjy6nZY0TY/"&amp;"edit#gid=0"",""Table 1: Study characteristics!B4:B171"")))&gt;0
),
""Include""
)"),"Exclude")</f>
        <v>Exclude</v>
      </c>
      <c r="G2050" s="5" t="str">
        <f>IFERROR(__xludf.DUMMYFUNCTION("IFS(
D2050=""Exclude"",
FILTER(IMPORTRANGE(""https://docs.google.com/spreadsheets/d/1BJSV3WBYJGRhQ6zExamkszQ5VutGIcaQqmbD9ZTVXMQ/edit#gid=1251630045"",""articles_with_PRISMA_reasons!AB2:AB2113""), $A2050=IMPORTRANGE(""https://docs.google.com/spreadsheets/"&amp;"d/1BJSV3WBYJGRhQ6zExamkszQ5VutGIcaQqmbD9ZTVXMQ/edit#gid=1251630045"",""articles_with_PRISMA_reasons!B2:B2113"")),
E2050=""Exclude"",
FILTER(IMPORTRANGE(""https://docs.google.com/spreadsheets/d/1qpEmbGH0JjaJbUdp21-y2cPbobDbMjr09BbtdKROZWc/edit#gid=14448656"&amp;"54"",""articles_with_PRISMA_reasons!Z2:Z2113""), $A2050=IMPORTRANGE(""https://docs.google.com/spreadsheets/d/1qpEmbGH0JjaJbUdp21-y2cPbobDbMjr09BbtdKROZWc/edit#gid=1444865654"",""articles_with_PRISMA_reasons!B2:B2113"")),F2050
=""Include"",FILTER(IMPORTRAN"&amp;"GE(""https://docs.google.com/spreadsheets/d/1kGrh75X1cNR1D7_FcY9zMnHP8iPO4M5RCRjy6nZY0TY/edit#gid=0"",""Table 1: Study characteristics!A4:A171""), $A2050=IMPORTRANGE(""https://docs.google.com/spreadsheets/d/1kGrh75X1cNR1D7_FcY9zMnHP8iPO4M5RCRjy6nZY0TY/edi"&amp;"t#gid=0"",""Table 1: Study characteristics!B4:B171""))
)"),"wrong study design")</f>
        <v>wrong study design</v>
      </c>
    </row>
    <row r="2051">
      <c r="A2051" s="4" t="str">
        <f>IFERROR(__xludf.DUMMYFUNCTION("""COMPUTED_VALUE"""),"Urinary incontinence in myelomeningocele")</f>
        <v>Urinary incontinence in myelomeningocele</v>
      </c>
      <c r="B2051" s="5" t="str">
        <f>IFERROR(__xludf.DUMMYFUNCTION("LEFT(FILTER(IMPORTRANGE(""https://docs.google.com/spreadsheets/d/1BJSV3WBYJGRhQ6zExamkszQ5VutGIcaQqmbD9ZTVXMQ/edit#gid=1251630045"",""articles_with_PRISMA_reasons!K2:K2113""), $A2051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$A2051=IMPORTRANGE(""https://docs.google.com/spreadsheets/d/1BJSV3WBYJGRhQ6zExamkszQ5VutGIcaQqmbD9ZTVXMQ/edit#gid=1251630045"",""articles_with_PRISMA_reasons!B2:B2113"")))-1)"),"Cass")</f>
        <v>Cass</v>
      </c>
      <c r="C2051" s="6">
        <f>IFERROR(__xludf.DUMMYFUNCTION("FILTER(IMPORTRANGE(""https://docs.google.com/spreadsheets/d/1BJSV3WBYJGRhQ6zExamkszQ5VutGIcaQqmbD9ZTVXMQ/edit#gid=1251630045"",""articles_with_PRISMA_reasons!C2:C2113""), $A2051=IMPORTRANGE(""https://docs.google.com/spreadsheets/d/1BJSV3WBYJGRhQ6zExamkszQ"&amp;"5VutGIcaQqmbD9ZTVXMQ/edit#gid=1251630045"",""articles_with_PRISMA_reasons!B2:B2113""))"),1973.0)</f>
        <v>1973</v>
      </c>
      <c r="D2051" s="5" t="str">
        <f>IFERROR(__xludf.DUMMYFUNCTION("IFS(AND(
FILTER(IMPORTRANGE(""https://docs.google.com/spreadsheets/d/1BJSV3WBYJGRhQ6zExamkszQ5VutGIcaQqmbD9ZTVXMQ/edit#gid=1251630045"",""articles_with_PRISMA_reasons!Y2:Y2113""), $A2051=IMPORTRANGE(""https://docs.google.com/spreadsheets/d/1BJSV3WBYJGRhQ6"&amp;"zExamkszQ5VutGIcaQqmbD9ZTVXMQ/edit#gid=1251630045"",""articles_with_PRISMA_reasons!B2:B2113""))&gt;=2,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$A2051=IMPORTRANGE(""https://docs.google.com/spreadsheets/d/1BJSV3WBYJGRhQ6zExamkszQ5VutGIcaQqmbD9ZTVXMQ/edit#gid=1251630045"",""articles_with_PRISMA_reasons!B2:B2113""))&lt;2),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$A2051=IMPORTRANGE(""https://docs.google.com/spreadsheets/d/1BJSV3WBYJGRhQ6zExamkszQ5VutGIcaQqmbD9ZTVXMQ/edit#gid=1251630045"",""a"&amp;"rticles_with_PRISMA_reasons!B2:B2113""))&lt;2,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$A2051=IMPORTRANGE(""https://docs.google"&amp;".com/spreadsheets/d/1BJSV3WBYJGRhQ6zExamkszQ5VutGIcaQqmbD9ZTVXMQ/edit#gid=1251630045"",""articles_with_PRISMA_reasons!B2:B2113""))&gt;=2),
""Exclude""
)"),"Exclude")</f>
        <v>Exclude</v>
      </c>
      <c r="E2051" s="5" t="str">
        <f>IFERROR(__xludf.DUMMYFUNCTION("IFS(
D2051=""Exclude"",""Exclude"",
AND(
FILTER(IMPORTRANGE(""https://docs.google.com/spreadsheets/d/1qpEmbGH0JjaJbUdp21-y2cPbobDbMjr09BbtdKROZWc/edit#gid=1444865654"",""articles_with_PRISMA_reasons!W2:W2113""), $A2051=IMPORTRANGE(""https://docs.google.co"&amp;"m/spreadsheets/d/1qpEmbGH0JjaJbUdp21-y2cPbobDbMjr09BbtdKROZWc/edit#gid=1444865654"",""articles_with_PRISMA_reasons!B2:B2113""))&gt;=2,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$A2051=IMPORTRANGE(""https://docs.google.com/spreadsheets/d/1qpEmbGH0JjaJbUdp21-y2cPbobDbMjr09BbtdKROZWc/edit#gid=1444865654"",""articles_with_PRISMA_reasons!B2:B2113""))&lt;2),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$A2051=IMPORTRANGE(""https://docs.google.com/spreadsheets/d/1qpEmbGH0JjaJbUdp21-y2cPbobDbMjr09Bbtd"&amp;"KROZWc/edit#gid=1444865654"",""articles_with_PRISMA_reasons!B2:B2113""))&lt;2,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$A2051=I"&amp;"MPORTRANGE(""https://docs.google.com/spreadsheets/d/1qpEmbGH0JjaJbUdp21-y2cPbobDbMjr09BbtdKROZWc/edit#gid=1444865654"",""articles_with_PRISMA_reasons!B2:B2113""))&gt;=2),
""Exclude""
)"),"Exclude")</f>
        <v>Exclude</v>
      </c>
      <c r="F2051" s="5" t="str">
        <f>IFERROR(__xludf.DUMMYFUNCTION("IFS(
E2051=""Exclude"",""Exclude"",
AND(
COUNTIF(
IMPORTRANGE(""https://docs.google.com/spreadsheets/d/1kGrh75X1cNR1D7_FcY9zMnHP8iPO4M5RCRjy6nZY0TY/edit#gid=0"",""Table 1: Study characteristics!B4:B171""),A2051)&gt;0,
COUNTIF(Studies!$A$2:$A$85,FILTER(IMPORT"&amp;"RANGE(""https://docs.google.com/spreadsheets/d/1kGrh75X1cNR1D7_FcY9zMnHP8iPO4M5RCRjy6nZY0TY/edit#gid=0"",""Table 1: Study characteristics!A4:A171""), $A2051=IMPORTRANGE(""https://docs.google.com/spreadsheets/d/1kGrh75X1cNR1D7_FcY9zMnHP8iPO4M5RCRjy6nZY0TY/"&amp;"edit#gid=0"",""Table 1: Study characteristics!B4:B171"")))&gt;0
),
""Include""
)"),"Exclude")</f>
        <v>Exclude</v>
      </c>
      <c r="G2051" s="5" t="str">
        <f>IFERROR(__xludf.DUMMYFUNCTION("IFS(
D2051=""Exclude"",
FILTER(IMPORTRANGE(""https://docs.google.com/spreadsheets/d/1BJSV3WBYJGRhQ6zExamkszQ5VutGIcaQqmbD9ZTVXMQ/edit#gid=1251630045"",""articles_with_PRISMA_reasons!AB2:AB2113""), $A2051=IMPORTRANGE(""https://docs.google.com/spreadsheets/"&amp;"d/1BJSV3WBYJGRhQ6zExamkszQ5VutGIcaQqmbD9ZTVXMQ/edit#gid=1251630045"",""articles_with_PRISMA_reasons!B2:B2113"")),
E2051=""Exclude"",
FILTER(IMPORTRANGE(""https://docs.google.com/spreadsheets/d/1qpEmbGH0JjaJbUdp21-y2cPbobDbMjr09BbtdKROZWc/edit#gid=14448656"&amp;"54"",""articles_with_PRISMA_reasons!Z2:Z2113""), $A2051=IMPORTRANGE(""https://docs.google.com/spreadsheets/d/1qpEmbGH0JjaJbUdp21-y2cPbobDbMjr09BbtdKROZWc/edit#gid=1444865654"",""articles_with_PRISMA_reasons!B2:B2113"")),F2051
=""Include"",FILTER(IMPORTRAN"&amp;"GE(""https://docs.google.com/spreadsheets/d/1kGrh75X1cNR1D7_FcY9zMnHP8iPO4M5RCRjy6nZY0TY/edit#gid=0"",""Table 1: Study characteristics!A4:A171""), $A2051=IMPORTRANGE(""https://docs.google.com/spreadsheets/d/1kGrh75X1cNR1D7_FcY9zMnHP8iPO4M5RCRjy6nZY0TY/edi"&amp;"t#gid=0"",""Table 1: Study characteristics!B4:B171""))
)"),"wrong study design")</f>
        <v>wrong study design</v>
      </c>
    </row>
    <row r="2052">
      <c r="A2052" s="4" t="str">
        <f>IFERROR(__xludf.DUMMYFUNCTION("""COMPUTED_VALUE"""),"URINARY TRACT CHANGES ASSOCIATED WITH SPINA BIFIDA AND MYELOMENINGOCELE")</f>
        <v>URINARY TRACT CHANGES ASSOCIATED WITH SPINA BIFIDA AND MYELOMENINGOCELE</v>
      </c>
      <c r="B2052" s="5" t="str">
        <f>IFERROR(__xludf.DUMMYFUNCTION("LEFT(FILTER(IMPORTRANGE(""https://docs.google.com/spreadsheets/d/1BJSV3WBYJGRhQ6zExamkszQ5VutGIcaQqmbD9ZTVXMQ/edit#gid=1251630045"",""articles_with_PRISMA_reasons!K2:K2113""), $A2052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$A2052=IMPORTRANGE(""https://docs.google.com/spreadsheets/d/1BJSV3WBYJGRhQ6zExamkszQ5VutGIcaQqmbD9ZTVXMQ/edit#gid=1251630045"",""articles_with_PRISMA_reasons!B2:B2113"")))-1)"),"Graf")</f>
        <v>Graf</v>
      </c>
      <c r="C2052" s="6">
        <f>IFERROR(__xludf.DUMMYFUNCTION("FILTER(IMPORTRANGE(""https://docs.google.com/spreadsheets/d/1BJSV3WBYJGRhQ6zExamkszQ5VutGIcaQqmbD9ZTVXMQ/edit#gid=1251630045"",""articles_with_PRISMA_reasons!C2:C2113""), $A2052=IMPORTRANGE(""https://docs.google.com/spreadsheets/d/1BJSV3WBYJGRhQ6zExamkszQ"&amp;"5VutGIcaQqmbD9ZTVXMQ/edit#gid=1251630045"",""articles_with_PRISMA_reasons!B2:B2113""))"),1964.0)</f>
        <v>1964</v>
      </c>
      <c r="D2052" s="5" t="str">
        <f>IFERROR(__xludf.DUMMYFUNCTION("IFS(AND(
FILTER(IMPORTRANGE(""https://docs.google.com/spreadsheets/d/1BJSV3WBYJGRhQ6zExamkszQ5VutGIcaQqmbD9ZTVXMQ/edit#gid=1251630045"",""articles_with_PRISMA_reasons!Y2:Y2113""), $A2052=IMPORTRANGE(""https://docs.google.com/spreadsheets/d/1BJSV3WBYJGRhQ6"&amp;"zExamkszQ5VutGIcaQqmbD9ZTVXMQ/edit#gid=1251630045"",""articles_with_PRISMA_reasons!B2:B2113""))&gt;=2,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$A2052=IMPORTRANGE(""https://docs.google.com/spreadsheets/d/1BJSV3WBYJGRhQ6zExamkszQ5VutGIcaQqmbD9ZTVXMQ/edit#gid=1251630045"",""articles_with_PRISMA_reasons!B2:B2113""))&lt;2),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$A2052=IMPORTRANGE(""https://docs.google.com/spreadsheets/d/1BJSV3WBYJGRhQ6zExamkszQ5VutGIcaQqmbD9ZTVXMQ/edit#gid=1251630045"",""a"&amp;"rticles_with_PRISMA_reasons!B2:B2113""))&lt;2,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$A2052=IMPORTRANGE(""https://docs.google"&amp;".com/spreadsheets/d/1BJSV3WBYJGRhQ6zExamkszQ5VutGIcaQqmbD9ZTVXMQ/edit#gid=1251630045"",""articles_with_PRISMA_reasons!B2:B2113""))&gt;=2),
""Exclude""
)"),"Exclude")</f>
        <v>Exclude</v>
      </c>
      <c r="E2052" s="5" t="str">
        <f>IFERROR(__xludf.DUMMYFUNCTION("IFS(
D2052=""Exclude"",""Exclude"",
AND(
FILTER(IMPORTRANGE(""https://docs.google.com/spreadsheets/d/1qpEmbGH0JjaJbUdp21-y2cPbobDbMjr09BbtdKROZWc/edit#gid=1444865654"",""articles_with_PRISMA_reasons!W2:W2113""), $A2052=IMPORTRANGE(""https://docs.google.co"&amp;"m/spreadsheets/d/1qpEmbGH0JjaJbUdp21-y2cPbobDbMjr09BbtdKROZWc/edit#gid=1444865654"",""articles_with_PRISMA_reasons!B2:B2113""))&gt;=2,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$A2052=IMPORTRANGE(""https://docs.google.com/spreadsheets/d/1qpEmbGH0JjaJbUdp21-y2cPbobDbMjr09BbtdKROZWc/edit#gid=1444865654"",""articles_with_PRISMA_reasons!B2:B2113""))&lt;2),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$A2052=IMPORTRANGE(""https://docs.google.com/spreadsheets/d/1qpEmbGH0JjaJbUdp21-y2cPbobDbMjr09Bbtd"&amp;"KROZWc/edit#gid=1444865654"",""articles_with_PRISMA_reasons!B2:B2113""))&lt;2,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$A2052=I"&amp;"MPORTRANGE(""https://docs.google.com/spreadsheets/d/1qpEmbGH0JjaJbUdp21-y2cPbobDbMjr09BbtdKROZWc/edit#gid=1444865654"",""articles_with_PRISMA_reasons!B2:B2113""))&gt;=2),
""Exclude""
)"),"Exclude")</f>
        <v>Exclude</v>
      </c>
      <c r="F2052" s="5" t="str">
        <f>IFERROR(__xludf.DUMMYFUNCTION("IFS(
E2052=""Exclude"",""Exclude"",
AND(
COUNTIF(
IMPORTRANGE(""https://docs.google.com/spreadsheets/d/1kGrh75X1cNR1D7_FcY9zMnHP8iPO4M5RCRjy6nZY0TY/edit#gid=0"",""Table 1: Study characteristics!B4:B171""),A2052)&gt;0,
COUNTIF(Studies!$A$2:$A$85,FILTER(IMPORT"&amp;"RANGE(""https://docs.google.com/spreadsheets/d/1kGrh75X1cNR1D7_FcY9zMnHP8iPO4M5RCRjy6nZY0TY/edit#gid=0"",""Table 1: Study characteristics!A4:A171""), $A2052=IMPORTRANGE(""https://docs.google.com/spreadsheets/d/1kGrh75X1cNR1D7_FcY9zMnHP8iPO4M5RCRjy6nZY0TY/"&amp;"edit#gid=0"",""Table 1: Study characteristics!B4:B171"")))&gt;0
),
""Include""
)"),"Exclude")</f>
        <v>Exclude</v>
      </c>
      <c r="G2052" s="5" t="str">
        <f>IFERROR(__xludf.DUMMYFUNCTION("IFS(
D2052=""Exclude"",
FILTER(IMPORTRANGE(""https://docs.google.com/spreadsheets/d/1BJSV3WBYJGRhQ6zExamkszQ5VutGIcaQqmbD9ZTVXMQ/edit#gid=1251630045"",""articles_with_PRISMA_reasons!AB2:AB2113""), $A2052=IMPORTRANGE(""https://docs.google.com/spreadsheets/"&amp;"d/1BJSV3WBYJGRhQ6zExamkszQ5VutGIcaQqmbD9ZTVXMQ/edit#gid=1251630045"",""articles_with_PRISMA_reasons!B2:B2113"")),
E2052=""Exclude"",
FILTER(IMPORTRANGE(""https://docs.google.com/spreadsheets/d/1qpEmbGH0JjaJbUdp21-y2cPbobDbMjr09BbtdKROZWc/edit#gid=14448656"&amp;"54"",""articles_with_PRISMA_reasons!Z2:Z2113""), $A2052=IMPORTRANGE(""https://docs.google.com/spreadsheets/d/1qpEmbGH0JjaJbUdp21-y2cPbobDbMjr09BbtdKROZWc/edit#gid=1444865654"",""articles_with_PRISMA_reasons!B2:B2113"")),F2052
=""Include"",FILTER(IMPORTRAN"&amp;"GE(""https://docs.google.com/spreadsheets/d/1kGrh75X1cNR1D7_FcY9zMnHP8iPO4M5RCRjy6nZY0TY/edit#gid=0"",""Table 1: Study characteristics!A4:A171""), $A2052=IMPORTRANGE(""https://docs.google.com/spreadsheets/d/1kGrh75X1cNR1D7_FcY9zMnHP8iPO4M5RCRjy6nZY0TY/edi"&amp;"t#gid=0"",""Table 1: Study characteristics!B4:B171""))
)"),"wrong study design")</f>
        <v>wrong study design</v>
      </c>
    </row>
    <row r="2053">
      <c r="A2053" s="4" t="str">
        <f>IFERROR(__xludf.DUMMYFUNCTION("""COMPUTED_VALUE"""),"Urological evaluation of patients that had undergone in utero myelomeningocele closure: A prospective assessment at first presentation and early follow-up. Do their bladder benefit from it?")</f>
        <v>Urological evaluation of patients that had undergone in utero myelomeningocele closure: A prospective assessment at first presentation and early follow-up. Do their bladder benefit from it?</v>
      </c>
      <c r="B2053" s="5" t="str">
        <f>IFERROR(__xludf.DUMMYFUNCTION("LEFT(FILTER(IMPORTRANGE(""https://docs.google.com/spreadsheets/d/1BJSV3WBYJGRhQ6zExamkszQ5VutGIcaQqmbD9ZTVXMQ/edit#gid=1251630045"",""articles_with_PRISMA_reasons!K2:K2113""), $A2053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$A2053=IMPORTRANGE(""https://docs.google.com/spreadsheets/d/1BJSV3WBYJGRhQ6zExamkszQ5VutGIcaQqmbD9ZTVXMQ/edit#gid=1251630045"",""articles_with_PRISMA_reasons!B2:B2113"")))-1)"),"Macedo")</f>
        <v>Macedo</v>
      </c>
      <c r="C2053" s="6">
        <f>IFERROR(__xludf.DUMMYFUNCTION("FILTER(IMPORTRANGE(""https://docs.google.com/spreadsheets/d/1BJSV3WBYJGRhQ6zExamkszQ5VutGIcaQqmbD9ZTVXMQ/edit#gid=1251630045"",""articles_with_PRISMA_reasons!C2:C2113""), $A2053=IMPORTRANGE(""https://docs.google.com/spreadsheets/d/1BJSV3WBYJGRhQ6zExamkszQ"&amp;"5VutGIcaQqmbD9ZTVXMQ/edit#gid=1251630045"",""articles_with_PRISMA_reasons!B2:B2113""))"),2015.0)</f>
        <v>2015</v>
      </c>
      <c r="D2053" s="5" t="str">
        <f>IFERROR(__xludf.DUMMYFUNCTION("IFS(AND(
FILTER(IMPORTRANGE(""https://docs.google.com/spreadsheets/d/1BJSV3WBYJGRhQ6zExamkszQ5VutGIcaQqmbD9ZTVXMQ/edit#gid=1251630045"",""articles_with_PRISMA_reasons!Y2:Y2113""), $A2053=IMPORTRANGE(""https://docs.google.com/spreadsheets/d/1BJSV3WBYJGRhQ6"&amp;"zExamkszQ5VutGIcaQqmbD9ZTVXMQ/edit#gid=1251630045"",""articles_with_PRISMA_reasons!B2:B2113""))&gt;=2,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$A2053=IMPORTRANGE(""https://docs.google.com/spreadsheets/d/1BJSV3WBYJGRhQ6zExamkszQ5VutGIcaQqmbD9ZTVXMQ/edit#gid=1251630045"",""articles_with_PRISMA_reasons!B2:B2113""))&lt;2),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$A2053=IMPORTRANGE(""https://docs.google.com/spreadsheets/d/1BJSV3WBYJGRhQ6zExamkszQ5VutGIcaQqmbD9ZTVXMQ/edit#gid=1251630045"",""a"&amp;"rticles_with_PRISMA_reasons!B2:B2113""))&lt;2,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$A2053=IMPORTRANGE(""https://docs.google"&amp;".com/spreadsheets/d/1BJSV3WBYJGRhQ6zExamkszQ5VutGIcaQqmbD9ZTVXMQ/edit#gid=1251630045"",""articles_with_PRISMA_reasons!B2:B2113""))&gt;=2),
""Exclude""
)"),"Exclude")</f>
        <v>Exclude</v>
      </c>
      <c r="E2053" s="5" t="str">
        <f>IFERROR(__xludf.DUMMYFUNCTION("IFS(
D2053=""Exclude"",""Exclude"",
AND(
FILTER(IMPORTRANGE(""https://docs.google.com/spreadsheets/d/1qpEmbGH0JjaJbUdp21-y2cPbobDbMjr09BbtdKROZWc/edit#gid=1444865654"",""articles_with_PRISMA_reasons!W2:W2113""), $A2053=IMPORTRANGE(""https://docs.google.co"&amp;"m/spreadsheets/d/1qpEmbGH0JjaJbUdp21-y2cPbobDbMjr09BbtdKROZWc/edit#gid=1444865654"",""articles_with_PRISMA_reasons!B2:B2113""))&gt;=2,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$A2053=IMPORTRANGE(""https://docs.google.com/spreadsheets/d/1qpEmbGH0JjaJbUdp21-y2cPbobDbMjr09BbtdKROZWc/edit#gid=1444865654"",""articles_with_PRISMA_reasons!B2:B2113""))&lt;2),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$A2053=IMPORTRANGE(""https://docs.google.com/spreadsheets/d/1qpEmbGH0JjaJbUdp21-y2cPbobDbMjr09Bbtd"&amp;"KROZWc/edit#gid=1444865654"",""articles_with_PRISMA_reasons!B2:B2113""))&lt;2,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$A2053=I"&amp;"MPORTRANGE(""https://docs.google.com/spreadsheets/d/1qpEmbGH0JjaJbUdp21-y2cPbobDbMjr09BbtdKROZWc/edit#gid=1444865654"",""articles_with_PRISMA_reasons!B2:B2113""))&gt;=2),
""Exclude""
)"),"Exclude")</f>
        <v>Exclude</v>
      </c>
      <c r="F2053" s="5" t="str">
        <f>IFERROR(__xludf.DUMMYFUNCTION("IFS(
E2053=""Exclude"",""Exclude"",
AND(
COUNTIF(
IMPORTRANGE(""https://docs.google.com/spreadsheets/d/1kGrh75X1cNR1D7_FcY9zMnHP8iPO4M5RCRjy6nZY0TY/edit#gid=0"",""Table 1: Study characteristics!B4:B171""),A2053)&gt;0,
COUNTIF(Studies!$A$2:$A$85,FILTER(IMPORT"&amp;"RANGE(""https://docs.google.com/spreadsheets/d/1kGrh75X1cNR1D7_FcY9zMnHP8iPO4M5RCRjy6nZY0TY/edit#gid=0"",""Table 1: Study characteristics!A4:A171""), $A2053=IMPORTRANGE(""https://docs.google.com/spreadsheets/d/1kGrh75X1cNR1D7_FcY9zMnHP8iPO4M5RCRjy6nZY0TY/"&amp;"edit#gid=0"",""Table 1: Study characteristics!B4:B171"")))&gt;0
),
""Include""
)"),"Exclude")</f>
        <v>Exclude</v>
      </c>
      <c r="G2053" s="5" t="str">
        <f>IFERROR(__xludf.DUMMYFUNCTION("IFS(
D2053=""Exclude"",
FILTER(IMPORTRANGE(""https://docs.google.com/spreadsheets/d/1BJSV3WBYJGRhQ6zExamkszQ5VutGIcaQqmbD9ZTVXMQ/edit#gid=1251630045"",""articles_with_PRISMA_reasons!AB2:AB2113""), $A2053=IMPORTRANGE(""https://docs.google.com/spreadsheets/"&amp;"d/1BJSV3WBYJGRhQ6zExamkszQ5VutGIcaQqmbD9ZTVXMQ/edit#gid=1251630045"",""articles_with_PRISMA_reasons!B2:B2113"")),
E2053=""Exclude"",
FILTER(IMPORTRANGE(""https://docs.google.com/spreadsheets/d/1qpEmbGH0JjaJbUdp21-y2cPbobDbMjr09BbtdKROZWc/edit#gid=14448656"&amp;"54"",""articles_with_PRISMA_reasons!Z2:Z2113""), $A2053=IMPORTRANGE(""https://docs.google.com/spreadsheets/d/1qpEmbGH0JjaJbUdp21-y2cPbobDbMjr09BbtdKROZWc/edit#gid=1444865654"",""articles_with_PRISMA_reasons!B2:B2113"")),F2053
=""Include"",FILTER(IMPORTRAN"&amp;"GE(""https://docs.google.com/spreadsheets/d/1kGrh75X1cNR1D7_FcY9zMnHP8iPO4M5RCRjy6nZY0TY/edit#gid=0"",""Table 1: Study characteristics!A4:A171""), $A2053=IMPORTRANGE(""https://docs.google.com/spreadsheets/d/1kGrh75X1cNR1D7_FcY9zMnHP8iPO4M5RCRjy6nZY0TY/edi"&amp;"t#gid=0"",""Table 1: Study characteristics!B4:B171""))
)"),"wrong population")</f>
        <v>wrong population</v>
      </c>
    </row>
    <row r="2054">
      <c r="A2054" s="4" t="str">
        <f>IFERROR(__xludf.DUMMYFUNCTION("""COMPUTED_VALUE"""),"Urological outcome of patients with cervical and upper thoracic myelomeningocele")</f>
        <v>Urological outcome of patients with cervical and upper thoracic myelomeningocele</v>
      </c>
      <c r="B2054" s="5" t="str">
        <f>IFERROR(__xludf.DUMMYFUNCTION("LEFT(FILTER(IMPORTRANGE(""https://docs.google.com/spreadsheets/d/1BJSV3WBYJGRhQ6zExamkszQ5VutGIcaQqmbD9ZTVXMQ/edit#gid=1251630045"",""articles_with_PRISMA_reasons!K2:K2113""), $A2054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$A2054=IMPORTRANGE(""https://docs.google.com/spreadsheets/d/1BJSV3WBYJGRhQ6zExamkszQ5VutGIcaQqmbD9ZTVXMQ/edit#gid=1251630045"",""articles_with_PRISMA_reasons!B2:B2113"")))-1)"),"Perez")</f>
        <v>Perez</v>
      </c>
      <c r="C2054" s="6">
        <f>IFERROR(__xludf.DUMMYFUNCTION("FILTER(IMPORTRANGE(""https://docs.google.com/spreadsheets/d/1BJSV3WBYJGRhQ6zExamkszQ5VutGIcaQqmbD9ZTVXMQ/edit#gid=1251630045"",""articles_with_PRISMA_reasons!C2:C2113""), $A2054=IMPORTRANGE(""https://docs.google.com/spreadsheets/d/1BJSV3WBYJGRhQ6zExamkszQ"&amp;"5VutGIcaQqmbD9ZTVXMQ/edit#gid=1251630045"",""articles_with_PRISMA_reasons!B2:B2113""))"),2000.0)</f>
        <v>2000</v>
      </c>
      <c r="D2054" s="5" t="str">
        <f>IFERROR(__xludf.DUMMYFUNCTION("IFS(AND(
FILTER(IMPORTRANGE(""https://docs.google.com/spreadsheets/d/1BJSV3WBYJGRhQ6zExamkszQ5VutGIcaQqmbD9ZTVXMQ/edit#gid=1251630045"",""articles_with_PRISMA_reasons!Y2:Y2113""), $A2054=IMPORTRANGE(""https://docs.google.com/spreadsheets/d/1BJSV3WBYJGRhQ6"&amp;"zExamkszQ5VutGIcaQqmbD9ZTVXMQ/edit#gid=1251630045"",""articles_with_PRISMA_reasons!B2:B2113""))&gt;=2,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$A2054=IMPORTRANGE(""https://docs.google.com/spreadsheets/d/1BJSV3WBYJGRhQ6zExamkszQ5VutGIcaQqmbD9ZTVXMQ/edit#gid=1251630045"",""articles_with_PRISMA_reasons!B2:B2113""))&lt;2),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$A2054=IMPORTRANGE(""https://docs.google.com/spreadsheets/d/1BJSV3WBYJGRhQ6zExamkszQ5VutGIcaQqmbD9ZTVXMQ/edit#gid=1251630045"",""a"&amp;"rticles_with_PRISMA_reasons!B2:B2113""))&lt;2,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$A2054=IMPORTRANGE(""https://docs.google"&amp;".com/spreadsheets/d/1BJSV3WBYJGRhQ6zExamkszQ5VutGIcaQqmbD9ZTVXMQ/edit#gid=1251630045"",""articles_with_PRISMA_reasons!B2:B2113""))&gt;=2),
""Exclude""
)"),"Exclude")</f>
        <v>Exclude</v>
      </c>
      <c r="E2054" s="5" t="str">
        <f>IFERROR(__xludf.DUMMYFUNCTION("IFS(
D2054=""Exclude"",""Exclude"",
AND(
FILTER(IMPORTRANGE(""https://docs.google.com/spreadsheets/d/1qpEmbGH0JjaJbUdp21-y2cPbobDbMjr09BbtdKROZWc/edit#gid=1444865654"",""articles_with_PRISMA_reasons!W2:W2113""), $A2054=IMPORTRANGE(""https://docs.google.co"&amp;"m/spreadsheets/d/1qpEmbGH0JjaJbUdp21-y2cPbobDbMjr09BbtdKROZWc/edit#gid=1444865654"",""articles_with_PRISMA_reasons!B2:B2113""))&gt;=2,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$A2054=IMPORTRANGE(""https://docs.google.com/spreadsheets/d/1qpEmbGH0JjaJbUdp21-y2cPbobDbMjr09BbtdKROZWc/edit#gid=1444865654"",""articles_with_PRISMA_reasons!B2:B2113""))&lt;2),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$A2054=IMPORTRANGE(""https://docs.google.com/spreadsheets/d/1qpEmbGH0JjaJbUdp21-y2cPbobDbMjr09Bbtd"&amp;"KROZWc/edit#gid=1444865654"",""articles_with_PRISMA_reasons!B2:B2113""))&lt;2,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$A2054=I"&amp;"MPORTRANGE(""https://docs.google.com/spreadsheets/d/1qpEmbGH0JjaJbUdp21-y2cPbobDbMjr09BbtdKROZWc/edit#gid=1444865654"",""articles_with_PRISMA_reasons!B2:B2113""))&gt;=2),
""Exclude""
)"),"Exclude")</f>
        <v>Exclude</v>
      </c>
      <c r="F2054" s="5" t="str">
        <f>IFERROR(__xludf.DUMMYFUNCTION("IFS(
E2054=""Exclude"",""Exclude"",
AND(
COUNTIF(
IMPORTRANGE(""https://docs.google.com/spreadsheets/d/1kGrh75X1cNR1D7_FcY9zMnHP8iPO4M5RCRjy6nZY0TY/edit#gid=0"",""Table 1: Study characteristics!B4:B171""),A2054)&gt;0,
COUNTIF(Studies!$A$2:$A$85,FILTER(IMPORT"&amp;"RANGE(""https://docs.google.com/spreadsheets/d/1kGrh75X1cNR1D7_FcY9zMnHP8iPO4M5RCRjy6nZY0TY/edit#gid=0"",""Table 1: Study characteristics!A4:A171""), $A2054=IMPORTRANGE(""https://docs.google.com/spreadsheets/d/1kGrh75X1cNR1D7_FcY9zMnHP8iPO4M5RCRjy6nZY0TY/"&amp;"edit#gid=0"",""Table 1: Study characteristics!B4:B171"")))&gt;0
),
""Include""
)"),"Exclude")</f>
        <v>Exclude</v>
      </c>
      <c r="G2054" s="5" t="str">
        <f>IFERROR(__xludf.DUMMYFUNCTION("IFS(
D2054=""Exclude"",
FILTER(IMPORTRANGE(""https://docs.google.com/spreadsheets/d/1BJSV3WBYJGRhQ6zExamkszQ5VutGIcaQqmbD9ZTVXMQ/edit#gid=1251630045"",""articles_with_PRISMA_reasons!AB2:AB2113""), $A2054=IMPORTRANGE(""https://docs.google.com/spreadsheets/"&amp;"d/1BJSV3WBYJGRhQ6zExamkszQ5VutGIcaQqmbD9ZTVXMQ/edit#gid=1251630045"",""articles_with_PRISMA_reasons!B2:B2113"")),
E2054=""Exclude"",
FILTER(IMPORTRANGE(""https://docs.google.com/spreadsheets/d/1qpEmbGH0JjaJbUdp21-y2cPbobDbMjr09BbtdKROZWc/edit#gid=14448656"&amp;"54"",""articles_with_PRISMA_reasons!Z2:Z2113""), $A2054=IMPORTRANGE(""https://docs.google.com/spreadsheets/d/1qpEmbGH0JjaJbUdp21-y2cPbobDbMjr09BbtdKROZWc/edit#gid=1444865654"",""articles_with_PRISMA_reasons!B2:B2113"")),F2054
=""Include"",FILTER(IMPORTRAN"&amp;"GE(""https://docs.google.com/spreadsheets/d/1kGrh75X1cNR1D7_FcY9zMnHP8iPO4M5RCRjy6nZY0TY/edit#gid=0"",""Table 1: Study characteristics!A4:A171""), $A2054=IMPORTRANGE(""https://docs.google.com/spreadsheets/d/1kGrh75X1cNR1D7_FcY9zMnHP8iPO4M5RCRjy6nZY0TY/edi"&amp;"t#gid=0"",""Table 1: Study characteristics!B4:B171""))
)"),"wrong population")</f>
        <v>wrong population</v>
      </c>
    </row>
    <row r="2055">
      <c r="A2055" s="4" t="str">
        <f>IFERROR(__xludf.DUMMYFUNCTION("""COMPUTED_VALUE"""),"Urological results after fetal myelomeningocele repair in pre-MOMS trial patients at the children's hospital of Philadelphia")</f>
        <v>Urological results after fetal myelomeningocele repair in pre-MOMS trial patients at the children's hospital of Philadelphia</v>
      </c>
      <c r="B2055" s="5" t="str">
        <f>IFERROR(__xludf.DUMMYFUNCTION("LEFT(FILTER(IMPORTRANGE(""https://docs.google.com/spreadsheets/d/1BJSV3WBYJGRhQ6zExamkszQ5VutGIcaQqmbD9ZTVXMQ/edit#gid=1251630045"",""articles_with_PRISMA_reasons!K2:K2113""), $A2055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$A2055=IMPORTRANGE(""https://docs.google.com/spreadsheets/d/1BJSV3WBYJGRhQ6zExamkszQ5VutGIcaQqmbD9ZTVXMQ/edit#gid=1251630045"",""articles_with_PRISMA_reasons!B2:B2113"")))-1)"),"Carr")</f>
        <v>Carr</v>
      </c>
      <c r="C2055" s="6">
        <f>IFERROR(__xludf.DUMMYFUNCTION("FILTER(IMPORTRANGE(""https://docs.google.com/spreadsheets/d/1BJSV3WBYJGRhQ6zExamkszQ5VutGIcaQqmbD9ZTVXMQ/edit#gid=1251630045"",""articles_with_PRISMA_reasons!C2:C2113""), $A2055=IMPORTRANGE(""https://docs.google.com/spreadsheets/d/1BJSV3WBYJGRhQ6zExamkszQ"&amp;"5VutGIcaQqmbD9ZTVXMQ/edit#gid=1251630045"",""articles_with_PRISMA_reasons!B2:B2113""))"),2015.0)</f>
        <v>2015</v>
      </c>
      <c r="D2055" s="5" t="str">
        <f>IFERROR(__xludf.DUMMYFUNCTION("IFS(AND(
FILTER(IMPORTRANGE(""https://docs.google.com/spreadsheets/d/1BJSV3WBYJGRhQ6zExamkszQ5VutGIcaQqmbD9ZTVXMQ/edit#gid=1251630045"",""articles_with_PRISMA_reasons!Y2:Y2113""), $A2055=IMPORTRANGE(""https://docs.google.com/spreadsheets/d/1BJSV3WBYJGRhQ6"&amp;"zExamkszQ5VutGIcaQqmbD9ZTVXMQ/edit#gid=1251630045"",""articles_with_PRISMA_reasons!B2:B2113""))&gt;=2,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$A2055=IMPORTRANGE(""https://docs.google.com/spreadsheets/d/1BJSV3WBYJGRhQ6zExamkszQ5VutGIcaQqmbD9ZTVXMQ/edit#gid=1251630045"",""articles_with_PRISMA_reasons!B2:B2113""))&lt;2),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$A2055=IMPORTRANGE(""https://docs.google.com/spreadsheets/d/1BJSV3WBYJGRhQ6zExamkszQ5VutGIcaQqmbD9ZTVXMQ/edit#gid=1251630045"",""a"&amp;"rticles_with_PRISMA_reasons!B2:B2113""))&lt;2,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$A2055=IMPORTRANGE(""https://docs.google"&amp;".com/spreadsheets/d/1BJSV3WBYJGRhQ6zExamkszQ5VutGIcaQqmbD9ZTVXMQ/edit#gid=1251630045"",""articles_with_PRISMA_reasons!B2:B2113""))&gt;=2),
""Exclude""
)"),"Exclude")</f>
        <v>Exclude</v>
      </c>
      <c r="E2055" s="5" t="str">
        <f>IFERROR(__xludf.DUMMYFUNCTION("IFS(
D2055=""Exclude"",""Exclude"",
AND(
FILTER(IMPORTRANGE(""https://docs.google.com/spreadsheets/d/1qpEmbGH0JjaJbUdp21-y2cPbobDbMjr09BbtdKROZWc/edit#gid=1444865654"",""articles_with_PRISMA_reasons!W2:W2113""), $A2055=IMPORTRANGE(""https://docs.google.co"&amp;"m/spreadsheets/d/1qpEmbGH0JjaJbUdp21-y2cPbobDbMjr09BbtdKROZWc/edit#gid=1444865654"",""articles_with_PRISMA_reasons!B2:B2113""))&gt;=2,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$A2055=IMPORTRANGE(""https://docs.google.com/spreadsheets/d/1qpEmbGH0JjaJbUdp21-y2cPbobDbMjr09BbtdKROZWc/edit#gid=1444865654"",""articles_with_PRISMA_reasons!B2:B2113""))&lt;2),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$A2055=IMPORTRANGE(""https://docs.google.com/spreadsheets/d/1qpEmbGH0JjaJbUdp21-y2cPbobDbMjr09Bbtd"&amp;"KROZWc/edit#gid=1444865654"",""articles_with_PRISMA_reasons!B2:B2113""))&lt;2,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$A2055=I"&amp;"MPORTRANGE(""https://docs.google.com/spreadsheets/d/1qpEmbGH0JjaJbUdp21-y2cPbobDbMjr09BbtdKROZWc/edit#gid=1444865654"",""articles_with_PRISMA_reasons!B2:B2113""))&gt;=2),
""Exclude""
)"),"Exclude")</f>
        <v>Exclude</v>
      </c>
      <c r="F2055" s="5" t="str">
        <f>IFERROR(__xludf.DUMMYFUNCTION("IFS(
E2055=""Exclude"",""Exclude"",
AND(
COUNTIF(
IMPORTRANGE(""https://docs.google.com/spreadsheets/d/1kGrh75X1cNR1D7_FcY9zMnHP8iPO4M5RCRjy6nZY0TY/edit#gid=0"",""Table 1: Study characteristics!B4:B171""),A2055)&gt;0,
COUNTIF(Studies!$A$2:$A$85,FILTER(IMPORT"&amp;"RANGE(""https://docs.google.com/spreadsheets/d/1kGrh75X1cNR1D7_FcY9zMnHP8iPO4M5RCRjy6nZY0TY/edit#gid=0"",""Table 1: Study characteristics!A4:A171""), $A2055=IMPORTRANGE(""https://docs.google.com/spreadsheets/d/1kGrh75X1cNR1D7_FcY9zMnHP8iPO4M5RCRjy6nZY0TY/"&amp;"edit#gid=0"",""Table 1: Study characteristics!B4:B171"")))&gt;0
),
""Include""
)"),"Exclude")</f>
        <v>Exclude</v>
      </c>
      <c r="G2055" s="5" t="str">
        <f>IFERROR(__xludf.DUMMYFUNCTION("IFS(
D2055=""Exclude"",
FILTER(IMPORTRANGE(""https://docs.google.com/spreadsheets/d/1BJSV3WBYJGRhQ6zExamkszQ5VutGIcaQqmbD9ZTVXMQ/edit#gid=1251630045"",""articles_with_PRISMA_reasons!AB2:AB2113""), $A2055=IMPORTRANGE(""https://docs.google.com/spreadsheets/"&amp;"d/1BJSV3WBYJGRhQ6zExamkszQ5VutGIcaQqmbD9ZTVXMQ/edit#gid=1251630045"",""articles_with_PRISMA_reasons!B2:B2113"")),
E2055=""Exclude"",
FILTER(IMPORTRANGE(""https://docs.google.com/spreadsheets/d/1qpEmbGH0JjaJbUdp21-y2cPbobDbMjr09BbtdKROZWc/edit#gid=14448656"&amp;"54"",""articles_with_PRISMA_reasons!Z2:Z2113""), $A2055=IMPORTRANGE(""https://docs.google.com/spreadsheets/d/1qpEmbGH0JjaJbUdp21-y2cPbobDbMjr09BbtdKROZWc/edit#gid=1444865654"",""articles_with_PRISMA_reasons!B2:B2113"")),F2055
=""Include"",FILTER(IMPORTRAN"&amp;"GE(""https://docs.google.com/spreadsheets/d/1kGrh75X1cNR1D7_FcY9zMnHP8iPO4M5RCRjy6nZY0TY/edit#gid=0"",""Table 1: Study characteristics!A4:A171""), $A2055=IMPORTRANGE(""https://docs.google.com/spreadsheets/d/1kGrh75X1cNR1D7_FcY9zMnHP8iPO4M5RCRjy6nZY0TY/edi"&amp;"t#gid=0"",""Table 1: Study characteristics!B4:B171""))
)"),"wrong population")</f>
        <v>wrong population</v>
      </c>
    </row>
    <row r="2056">
      <c r="A2056" s="4" t="str">
        <f>IFERROR(__xludf.DUMMYFUNCTION("""COMPUTED_VALUE"""),"Use of allogeneic skin graft for the closure of large meningomyeloceles: Technical case report - Commentary")</f>
        <v>Use of allogeneic skin graft for the closure of large meningomyeloceles: Technical case report - Commentary</v>
      </c>
      <c r="B2056" s="5" t="str">
        <f>IFERROR(__xludf.DUMMYFUNCTION("LEFT(FILTER(IMPORTRANGE(""https://docs.google.com/spreadsheets/d/1BJSV3WBYJGRhQ6zExamkszQ5VutGIcaQqmbD9ZTVXMQ/edit#gid=1251630045"",""articles_with_PRISMA_reasons!K2:K2113""), $A2056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$A2056=IMPORTRANGE(""https://docs.google.com/spreadsheets/d/1BJSV3WBYJGRhQ6zExamkszQ5VutGIcaQqmbD9ZTVXMQ/edit#gid=1251630045"",""articles_with_PRISMA_reasons!B2:B2113"")))-1)"),"Nguyen")</f>
        <v>Nguyen</v>
      </c>
      <c r="C2056" s="6">
        <f>IFERROR(__xludf.DUMMYFUNCTION("FILTER(IMPORTRANGE(""https://docs.google.com/spreadsheets/d/1BJSV3WBYJGRhQ6zExamkszQ5VutGIcaQqmbD9ZTVXMQ/edit#gid=1251630045"",""articles_with_PRISMA_reasons!C2:C2113""), $A2056=IMPORTRANGE(""https://docs.google.com/spreadsheets/d/1BJSV3WBYJGRhQ6zExamkszQ"&amp;"5VutGIcaQqmbD9ZTVXMQ/edit#gid=1251630045"",""articles_with_PRISMA_reasons!B2:B2113""))"),2006.0)</f>
        <v>2006</v>
      </c>
      <c r="D2056" s="5" t="str">
        <f>IFERROR(__xludf.DUMMYFUNCTION("IFS(AND(
FILTER(IMPORTRANGE(""https://docs.google.com/spreadsheets/d/1BJSV3WBYJGRhQ6zExamkszQ5VutGIcaQqmbD9ZTVXMQ/edit#gid=1251630045"",""articles_with_PRISMA_reasons!Y2:Y2113""), $A2056=IMPORTRANGE(""https://docs.google.com/spreadsheets/d/1BJSV3WBYJGRhQ6"&amp;"zExamkszQ5VutGIcaQqmbD9ZTVXMQ/edit#gid=1251630045"",""articles_with_PRISMA_reasons!B2:B2113""))&gt;=2,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$A2056=IMPORTRANGE(""https://docs.google.com/spreadsheets/d/1BJSV3WBYJGRhQ6zExamkszQ5VutGIcaQqmbD9ZTVXMQ/edit#gid=1251630045"",""articles_with_PRISMA_reasons!B2:B2113""))&lt;2),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$A2056=IMPORTRANGE(""https://docs.google.com/spreadsheets/d/1BJSV3WBYJGRhQ6zExamkszQ5VutGIcaQqmbD9ZTVXMQ/edit#gid=1251630045"",""a"&amp;"rticles_with_PRISMA_reasons!B2:B2113""))&lt;2,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$A2056=IMPORTRANGE(""https://docs.google"&amp;".com/spreadsheets/d/1BJSV3WBYJGRhQ6zExamkszQ5VutGIcaQqmbD9ZTVXMQ/edit#gid=1251630045"",""articles_with_PRISMA_reasons!B2:B2113""))&gt;=2),
""Exclude""
)"),"Exclude")</f>
        <v>Exclude</v>
      </c>
      <c r="E2056" s="5" t="str">
        <f>IFERROR(__xludf.DUMMYFUNCTION("IFS(
D2056=""Exclude"",""Exclude"",
AND(
FILTER(IMPORTRANGE(""https://docs.google.com/spreadsheets/d/1qpEmbGH0JjaJbUdp21-y2cPbobDbMjr09BbtdKROZWc/edit#gid=1444865654"",""articles_with_PRISMA_reasons!W2:W2113""), $A2056=IMPORTRANGE(""https://docs.google.co"&amp;"m/spreadsheets/d/1qpEmbGH0JjaJbUdp21-y2cPbobDbMjr09BbtdKROZWc/edit#gid=1444865654"",""articles_with_PRISMA_reasons!B2:B2113""))&gt;=2,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$A2056=IMPORTRANGE(""https://docs.google.com/spreadsheets/d/1qpEmbGH0JjaJbUdp21-y2cPbobDbMjr09BbtdKROZWc/edit#gid=1444865654"",""articles_with_PRISMA_reasons!B2:B2113""))&lt;2),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$A2056=IMPORTRANGE(""https://docs.google.com/spreadsheets/d/1qpEmbGH0JjaJbUdp21-y2cPbobDbMjr09Bbtd"&amp;"KROZWc/edit#gid=1444865654"",""articles_with_PRISMA_reasons!B2:B2113""))&lt;2,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$A2056=I"&amp;"MPORTRANGE(""https://docs.google.com/spreadsheets/d/1qpEmbGH0JjaJbUdp21-y2cPbobDbMjr09BbtdKROZWc/edit#gid=1444865654"",""articles_with_PRISMA_reasons!B2:B2113""))&gt;=2),
""Exclude""
)"),"Exclude")</f>
        <v>Exclude</v>
      </c>
      <c r="F2056" s="5" t="str">
        <f>IFERROR(__xludf.DUMMYFUNCTION("IFS(
E2056=""Exclude"",""Exclude"",
AND(
COUNTIF(
IMPORTRANGE(""https://docs.google.com/spreadsheets/d/1kGrh75X1cNR1D7_FcY9zMnHP8iPO4M5RCRjy6nZY0TY/edit#gid=0"",""Table 1: Study characteristics!B4:B171""),A2056)&gt;0,
COUNTIF(Studies!$A$2:$A$85,FILTER(IMPORT"&amp;"RANGE(""https://docs.google.com/spreadsheets/d/1kGrh75X1cNR1D7_FcY9zMnHP8iPO4M5RCRjy6nZY0TY/edit#gid=0"",""Table 1: Study characteristics!A4:A171""), $A2056=IMPORTRANGE(""https://docs.google.com/spreadsheets/d/1kGrh75X1cNR1D7_FcY9zMnHP8iPO4M5RCRjy6nZY0TY/"&amp;"edit#gid=0"",""Table 1: Study characteristics!B4:B171"")))&gt;0
),
""Include""
)"),"Exclude")</f>
        <v>Exclude</v>
      </c>
      <c r="G2056" s="5" t="str">
        <f>IFERROR(__xludf.DUMMYFUNCTION("IFS(
D2056=""Exclude"",
FILTER(IMPORTRANGE(""https://docs.google.com/spreadsheets/d/1BJSV3WBYJGRhQ6zExamkszQ5VutGIcaQqmbD9ZTVXMQ/edit#gid=1251630045"",""articles_with_PRISMA_reasons!AB2:AB2113""), $A2056=IMPORTRANGE(""https://docs.google.com/spreadsheets/"&amp;"d/1BJSV3WBYJGRhQ6zExamkszQ5VutGIcaQqmbD9ZTVXMQ/edit#gid=1251630045"",""articles_with_PRISMA_reasons!B2:B2113"")),
E2056=""Exclude"",
FILTER(IMPORTRANGE(""https://docs.google.com/spreadsheets/d/1qpEmbGH0JjaJbUdp21-y2cPbobDbMjr09BbtdKROZWc/edit#gid=14448656"&amp;"54"",""articles_with_PRISMA_reasons!Z2:Z2113""), $A2056=IMPORTRANGE(""https://docs.google.com/spreadsheets/d/1qpEmbGH0JjaJbUdp21-y2cPbobDbMjr09BbtdKROZWc/edit#gid=1444865654"",""articles_with_PRISMA_reasons!B2:B2113"")),F2056
=""Include"",FILTER(IMPORTRAN"&amp;"GE(""https://docs.google.com/spreadsheets/d/1kGrh75X1cNR1D7_FcY9zMnHP8iPO4M5RCRjy6nZY0TY/edit#gid=0"",""Table 1: Study characteristics!A4:A171""), $A2056=IMPORTRANGE(""https://docs.google.com/spreadsheets/d/1kGrh75X1cNR1D7_FcY9zMnHP8iPO4M5RCRjy6nZY0TY/edi"&amp;"t#gid=0"",""Table 1: Study characteristics!B4:B171""))
)"),"wrong publication type")</f>
        <v>wrong publication type</v>
      </c>
    </row>
    <row r="2057">
      <c r="A2057" s="4" t="str">
        <f>IFERROR(__xludf.DUMMYFUNCTION("""COMPUTED_VALUE"""),"Use of bipedicular advancement flaps for intrauterine closure of myeloschisis")</f>
        <v>Use of bipedicular advancement flaps for intrauterine closure of myeloschisis</v>
      </c>
      <c r="B2057" s="5" t="str">
        <f>IFERROR(__xludf.DUMMYFUNCTION("LEFT(FILTER(IMPORTRANGE(""https://docs.google.com/spreadsheets/d/1BJSV3WBYJGRhQ6zExamkszQ5VutGIcaQqmbD9ZTVXMQ/edit#gid=1251630045"",""articles_with_PRISMA_reasons!K2:K2113""), $A2057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$A2057=IMPORTRANGE(""https://docs.google.com/spreadsheets/d/1BJSV3WBYJGRhQ6zExamkszQ5VutGIcaQqmbD9ZTVXMQ/edit#gid=1251630045"",""articles_with_PRISMA_reasons!B2:B2113"")))-1)"),"Tulipan")</f>
        <v>Tulipan</v>
      </c>
      <c r="C2057" s="6">
        <f>IFERROR(__xludf.DUMMYFUNCTION("FILTER(IMPORTRANGE(""https://docs.google.com/spreadsheets/d/1BJSV3WBYJGRhQ6zExamkszQ5VutGIcaQqmbD9ZTVXMQ/edit#gid=1251630045"",""articles_with_PRISMA_reasons!C2:C2113""), $A2057=IMPORTRANGE(""https://docs.google.com/spreadsheets/d/1BJSV3WBYJGRhQ6zExamkszQ"&amp;"5VutGIcaQqmbD9ZTVXMQ/edit#gid=1251630045"",""articles_with_PRISMA_reasons!B2:B2113""))"),2000.0)</f>
        <v>2000</v>
      </c>
      <c r="D2057" s="5" t="str">
        <f>IFERROR(__xludf.DUMMYFUNCTION("IFS(AND(
FILTER(IMPORTRANGE(""https://docs.google.com/spreadsheets/d/1BJSV3WBYJGRhQ6zExamkszQ5VutGIcaQqmbD9ZTVXMQ/edit#gid=1251630045"",""articles_with_PRISMA_reasons!Y2:Y2113""), $A2057=IMPORTRANGE(""https://docs.google.com/spreadsheets/d/1BJSV3WBYJGRhQ6"&amp;"zExamkszQ5VutGIcaQqmbD9ZTVXMQ/edit#gid=1251630045"",""articles_with_PRISMA_reasons!B2:B2113""))&gt;=2,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$A2057=IMPORTRANGE(""https://docs.google.com/spreadsheets/d/1BJSV3WBYJGRhQ6zExamkszQ5VutGIcaQqmbD9ZTVXMQ/edit#gid=1251630045"",""articles_with_PRISMA_reasons!B2:B2113""))&lt;2),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$A2057=IMPORTRANGE(""https://docs.google.com/spreadsheets/d/1BJSV3WBYJGRhQ6zExamkszQ5VutGIcaQqmbD9ZTVXMQ/edit#gid=1251630045"",""a"&amp;"rticles_with_PRISMA_reasons!B2:B2113""))&lt;2,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$A2057=IMPORTRANGE(""https://docs.google"&amp;".com/spreadsheets/d/1BJSV3WBYJGRhQ6zExamkszQ5VutGIcaQqmbD9ZTVXMQ/edit#gid=1251630045"",""articles_with_PRISMA_reasons!B2:B2113""))&gt;=2),
""Exclude""
)"),"Exclude")</f>
        <v>Exclude</v>
      </c>
      <c r="E2057" s="5" t="str">
        <f>IFERROR(__xludf.DUMMYFUNCTION("IFS(
D2057=""Exclude"",""Exclude"",
AND(
FILTER(IMPORTRANGE(""https://docs.google.com/spreadsheets/d/1qpEmbGH0JjaJbUdp21-y2cPbobDbMjr09BbtdKROZWc/edit#gid=1444865654"",""articles_with_PRISMA_reasons!W2:W2113""), $A2057=IMPORTRANGE(""https://docs.google.co"&amp;"m/spreadsheets/d/1qpEmbGH0JjaJbUdp21-y2cPbobDbMjr09BbtdKROZWc/edit#gid=1444865654"",""articles_with_PRISMA_reasons!B2:B2113""))&gt;=2,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$A2057=IMPORTRANGE(""https://docs.google.com/spreadsheets/d/1qpEmbGH0JjaJbUdp21-y2cPbobDbMjr09BbtdKROZWc/edit#gid=1444865654"",""articles_with_PRISMA_reasons!B2:B2113""))&lt;2),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$A2057=IMPORTRANGE(""https://docs.google.com/spreadsheets/d/1qpEmbGH0JjaJbUdp21-y2cPbobDbMjr09Bbtd"&amp;"KROZWc/edit#gid=1444865654"",""articles_with_PRISMA_reasons!B2:B2113""))&lt;2,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$A2057=I"&amp;"MPORTRANGE(""https://docs.google.com/spreadsheets/d/1qpEmbGH0JjaJbUdp21-y2cPbobDbMjr09BbtdKROZWc/edit#gid=1444865654"",""articles_with_PRISMA_reasons!B2:B2113""))&gt;=2),
""Exclude""
)"),"Exclude")</f>
        <v>Exclude</v>
      </c>
      <c r="F2057" s="5" t="str">
        <f>IFERROR(__xludf.DUMMYFUNCTION("IFS(
E2057=""Exclude"",""Exclude"",
AND(
COUNTIF(
IMPORTRANGE(""https://docs.google.com/spreadsheets/d/1kGrh75X1cNR1D7_FcY9zMnHP8iPO4M5RCRjy6nZY0TY/edit#gid=0"",""Table 1: Study characteristics!B4:B171""),A2057)&gt;0,
COUNTIF(Studies!$A$2:$A$85,FILTER(IMPORT"&amp;"RANGE(""https://docs.google.com/spreadsheets/d/1kGrh75X1cNR1D7_FcY9zMnHP8iPO4M5RCRjy6nZY0TY/edit#gid=0"",""Table 1: Study characteristics!A4:A171""), $A2057=IMPORTRANGE(""https://docs.google.com/spreadsheets/d/1kGrh75X1cNR1D7_FcY9zMnHP8iPO4M5RCRjy6nZY0TY/"&amp;"edit#gid=0"",""Table 1: Study characteristics!B4:B171"")))&gt;0
),
""Include""
)"),"Exclude")</f>
        <v>Exclude</v>
      </c>
      <c r="G2057" s="5" t="str">
        <f>IFERROR(__xludf.DUMMYFUNCTION("IFS(
D2057=""Exclude"",
FILTER(IMPORTRANGE(""https://docs.google.com/spreadsheets/d/1BJSV3WBYJGRhQ6zExamkszQ5VutGIcaQqmbD9ZTVXMQ/edit#gid=1251630045"",""articles_with_PRISMA_reasons!AB2:AB2113""), $A2057=IMPORTRANGE(""https://docs.google.com/spreadsheets/"&amp;"d/1BJSV3WBYJGRhQ6zExamkszQ5VutGIcaQqmbD9ZTVXMQ/edit#gid=1251630045"",""articles_with_PRISMA_reasons!B2:B2113"")),
E2057=""Exclude"",
FILTER(IMPORTRANGE(""https://docs.google.com/spreadsheets/d/1qpEmbGH0JjaJbUdp21-y2cPbobDbMjr09BbtdKROZWc/edit#gid=14448656"&amp;"54"",""articles_with_PRISMA_reasons!Z2:Z2113""), $A2057=IMPORTRANGE(""https://docs.google.com/spreadsheets/d/1qpEmbGH0JjaJbUdp21-y2cPbobDbMjr09BbtdKROZWc/edit#gid=1444865654"",""articles_with_PRISMA_reasons!B2:B2113"")),F2057
=""Include"",FILTER(IMPORTRAN"&amp;"GE(""https://docs.google.com/spreadsheets/d/1kGrh75X1cNR1D7_FcY9zMnHP8iPO4M5RCRjy6nZY0TY/edit#gid=0"",""Table 1: Study characteristics!A4:A171""), $A2057=IMPORTRANGE(""https://docs.google.com/spreadsheets/d/1kGrh75X1cNR1D7_FcY9zMnHP8iPO4M5RCRjy6nZY0TY/edi"&amp;"t#gid=0"",""Table 1: Study characteristics!B4:B171""))
)"),"wrong population")</f>
        <v>wrong population</v>
      </c>
    </row>
    <row r="2058">
      <c r="A2058" s="4" t="str">
        <f>IFERROR(__xludf.DUMMYFUNCTION("""COMPUTED_VALUE"""),"Use of hyaluronidase in the central nervous system")</f>
        <v>Use of hyaluronidase in the central nervous system</v>
      </c>
      <c r="B2058" s="5" t="str">
        <f>IFERROR(__xludf.DUMMYFUNCTION("LEFT(FILTER(IMPORTRANGE(""https://docs.google.com/spreadsheets/d/1BJSV3WBYJGRhQ6zExamkszQ5VutGIcaQqmbD9ZTVXMQ/edit#gid=1251630045"",""articles_with_PRISMA_reasons!K2:K2113""), $A2058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$A2058=IMPORTRANGE(""https://docs.google.com/spreadsheets/d/1BJSV3WBYJGRhQ6zExamkszQ5VutGIcaQqmbD9ZTVXMQ/edit#gid=1251630045"",""articles_with_PRISMA_reasons!B2:B2113"")))-1)"),"Gegalian")</f>
        <v>Gegalian</v>
      </c>
      <c r="C2058" s="6">
        <f>IFERROR(__xludf.DUMMYFUNCTION("FILTER(IMPORTRANGE(""https://docs.google.com/spreadsheets/d/1BJSV3WBYJGRhQ6zExamkszQ5VutGIcaQqmbD9ZTVXMQ/edit#gid=1251630045"",""articles_with_PRISMA_reasons!C2:C2113""), $A2058=IMPORTRANGE(""https://docs.google.com/spreadsheets/d/1BJSV3WBYJGRhQ6zExamkszQ"&amp;"5VutGIcaQqmbD9ZTVXMQ/edit#gid=1251630045"",""articles_with_PRISMA_reasons!B2:B2113""))"),1979.0)</f>
        <v>1979</v>
      </c>
      <c r="D2058" s="5" t="str">
        <f>IFERROR(__xludf.DUMMYFUNCTION("IFS(AND(
FILTER(IMPORTRANGE(""https://docs.google.com/spreadsheets/d/1BJSV3WBYJGRhQ6zExamkszQ5VutGIcaQqmbD9ZTVXMQ/edit#gid=1251630045"",""articles_with_PRISMA_reasons!Y2:Y2113""), $A2058=IMPORTRANGE(""https://docs.google.com/spreadsheets/d/1BJSV3WBYJGRhQ6"&amp;"zExamkszQ5VutGIcaQqmbD9ZTVXMQ/edit#gid=1251630045"",""articles_with_PRISMA_reasons!B2:B2113""))&gt;=2,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$A2058=IMPORTRANGE(""https://docs.google.com/spreadsheets/d/1BJSV3WBYJGRhQ6zExamkszQ5VutGIcaQqmbD9ZTVXMQ/edit#gid=1251630045"",""articles_with_PRISMA_reasons!B2:B2113""))&lt;2),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$A2058=IMPORTRANGE(""https://docs.google.com/spreadsheets/d/1BJSV3WBYJGRhQ6zExamkszQ5VutGIcaQqmbD9ZTVXMQ/edit#gid=1251630045"",""a"&amp;"rticles_with_PRISMA_reasons!B2:B2113""))&lt;2,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$A2058=IMPORTRANGE(""https://docs.google"&amp;".com/spreadsheets/d/1BJSV3WBYJGRhQ6zExamkszQ5VutGIcaQqmbD9ZTVXMQ/edit#gid=1251630045"",""articles_with_PRISMA_reasons!B2:B2113""))&gt;=2),
""Exclude""
)"),"Exclude")</f>
        <v>Exclude</v>
      </c>
      <c r="E2058" s="5" t="str">
        <f>IFERROR(__xludf.DUMMYFUNCTION("IFS(
D2058=""Exclude"",""Exclude"",
AND(
FILTER(IMPORTRANGE(""https://docs.google.com/spreadsheets/d/1qpEmbGH0JjaJbUdp21-y2cPbobDbMjr09BbtdKROZWc/edit#gid=1444865654"",""articles_with_PRISMA_reasons!W2:W2113""), $A2058=IMPORTRANGE(""https://docs.google.co"&amp;"m/spreadsheets/d/1qpEmbGH0JjaJbUdp21-y2cPbobDbMjr09BbtdKROZWc/edit#gid=1444865654"",""articles_with_PRISMA_reasons!B2:B2113""))&gt;=2,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$A2058=IMPORTRANGE(""https://docs.google.com/spreadsheets/d/1qpEmbGH0JjaJbUdp21-y2cPbobDbMjr09BbtdKROZWc/edit#gid=1444865654"",""articles_with_PRISMA_reasons!B2:B2113""))&lt;2),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$A2058=IMPORTRANGE(""https://docs.google.com/spreadsheets/d/1qpEmbGH0JjaJbUdp21-y2cPbobDbMjr09Bbtd"&amp;"KROZWc/edit#gid=1444865654"",""articles_with_PRISMA_reasons!B2:B2113""))&lt;2,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$A2058=I"&amp;"MPORTRANGE(""https://docs.google.com/spreadsheets/d/1qpEmbGH0JjaJbUdp21-y2cPbobDbMjr09BbtdKROZWc/edit#gid=1444865654"",""articles_with_PRISMA_reasons!B2:B2113""))&gt;=2),
""Exclude""
)"),"Exclude")</f>
        <v>Exclude</v>
      </c>
      <c r="F2058" s="5" t="str">
        <f>IFERROR(__xludf.DUMMYFUNCTION("IFS(
E2058=""Exclude"",""Exclude"",
AND(
COUNTIF(
IMPORTRANGE(""https://docs.google.com/spreadsheets/d/1kGrh75X1cNR1D7_FcY9zMnHP8iPO4M5RCRjy6nZY0TY/edit#gid=0"",""Table 1: Study characteristics!B4:B171""),A2058)&gt;0,
COUNTIF(Studies!$A$2:$A$85,FILTER(IMPORT"&amp;"RANGE(""https://docs.google.com/spreadsheets/d/1kGrh75X1cNR1D7_FcY9zMnHP8iPO4M5RCRjy6nZY0TY/edit#gid=0"",""Table 1: Study characteristics!A4:A171""), $A2058=IMPORTRANGE(""https://docs.google.com/spreadsheets/d/1kGrh75X1cNR1D7_FcY9zMnHP8iPO4M5RCRjy6nZY0TY/"&amp;"edit#gid=0"",""Table 1: Study characteristics!B4:B171"")))&gt;0
),
""Include""
)"),"Exclude")</f>
        <v>Exclude</v>
      </c>
      <c r="G2058" s="5" t="str">
        <f>IFERROR(__xludf.DUMMYFUNCTION("IFS(
D2058=""Exclude"",
FILTER(IMPORTRANGE(""https://docs.google.com/spreadsheets/d/1BJSV3WBYJGRhQ6zExamkszQ5VutGIcaQqmbD9ZTVXMQ/edit#gid=1251630045"",""articles_with_PRISMA_reasons!AB2:AB2113""), $A2058=IMPORTRANGE(""https://docs.google.com/spreadsheets/"&amp;"d/1BJSV3WBYJGRhQ6zExamkszQ5VutGIcaQqmbD9ZTVXMQ/edit#gid=1251630045"",""articles_with_PRISMA_reasons!B2:B2113"")),
E2058=""Exclude"",
FILTER(IMPORTRANGE(""https://docs.google.com/spreadsheets/d/1qpEmbGH0JjaJbUdp21-y2cPbobDbMjr09BbtdKROZWc/edit#gid=14448656"&amp;"54"",""articles_with_PRISMA_reasons!Z2:Z2113""), $A2058=IMPORTRANGE(""https://docs.google.com/spreadsheets/d/1qpEmbGH0JjaJbUdp21-y2cPbobDbMjr09BbtdKROZWc/edit#gid=1444865654"",""articles_with_PRISMA_reasons!B2:B2113"")),F2058
=""Include"",FILTER(IMPORTRAN"&amp;"GE(""https://docs.google.com/spreadsheets/d/1kGrh75X1cNR1D7_FcY9zMnHP8iPO4M5RCRjy6nZY0TY/edit#gid=0"",""Table 1: Study characteristics!A4:A171""), $A2058=IMPORTRANGE(""https://docs.google.com/spreadsheets/d/1kGrh75X1cNR1D7_FcY9zMnHP8iPO4M5RCRjy6nZY0TY/edi"&amp;"t#gid=0"",""Table 1: Study characteristics!B4:B171""))
)"),"wrong population")</f>
        <v>wrong population</v>
      </c>
    </row>
    <row r="2059">
      <c r="A2059" s="4" t="str">
        <f>IFERROR(__xludf.DUMMYFUNCTION("""COMPUTED_VALUE"""),"Use of outcome predictors in severe myelodysplasia")</f>
        <v>Use of outcome predictors in severe myelodysplasia</v>
      </c>
      <c r="B2059" s="5" t="str">
        <f>IFERROR(__xludf.DUMMYFUNCTION("LEFT(FILTER(IMPORTRANGE(""https://docs.google.com/spreadsheets/d/1BJSV3WBYJGRhQ6zExamkszQ5VutGIcaQqmbD9ZTVXMQ/edit#gid=1251630045"",""articles_with_PRISMA_reasons!K2:K2113""), $A2059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$A2059=IMPORTRANGE(""https://docs.google.com/spreadsheets/d/1BJSV3WBYJGRhQ6zExamkszQ5VutGIcaQqmbD9ZTVXMQ/edit#gid=1251630045"",""articles_with_PRISMA_reasons!B2:B2113"")))-1)"),"Shulman")</f>
        <v>Shulman</v>
      </c>
      <c r="C2059" s="6">
        <f>IFERROR(__xludf.DUMMYFUNCTION("FILTER(IMPORTRANGE(""https://docs.google.com/spreadsheets/d/1BJSV3WBYJGRhQ6zExamkszQ5VutGIcaQqmbD9ZTVXMQ/edit#gid=1251630045"",""articles_with_PRISMA_reasons!C2:C2113""), $A2059=IMPORTRANGE(""https://docs.google.com/spreadsheets/d/1BJSV3WBYJGRhQ6zExamkszQ"&amp;"5VutGIcaQqmbD9ZTVXMQ/edit#gid=1251630045"",""articles_with_PRISMA_reasons!B2:B2113""))"),1979.0)</f>
        <v>1979</v>
      </c>
      <c r="D2059" s="5" t="str">
        <f>IFERROR(__xludf.DUMMYFUNCTION("IFS(AND(
FILTER(IMPORTRANGE(""https://docs.google.com/spreadsheets/d/1BJSV3WBYJGRhQ6zExamkszQ5VutGIcaQqmbD9ZTVXMQ/edit#gid=1251630045"",""articles_with_PRISMA_reasons!Y2:Y2113""), $A2059=IMPORTRANGE(""https://docs.google.com/spreadsheets/d/1BJSV3WBYJGRhQ6"&amp;"zExamkszQ5VutGIcaQqmbD9ZTVXMQ/edit#gid=1251630045"",""articles_with_PRISMA_reasons!B2:B2113""))&gt;=2,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$A2059=IMPORTRANGE(""https://docs.google.com/spreadsheets/d/1BJSV3WBYJGRhQ6zExamkszQ5VutGIcaQqmbD9ZTVXMQ/edit#gid=1251630045"",""articles_with_PRISMA_reasons!B2:B2113""))&lt;2),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$A2059=IMPORTRANGE(""https://docs.google.com/spreadsheets/d/1BJSV3WBYJGRhQ6zExamkszQ5VutGIcaQqmbD9ZTVXMQ/edit#gid=1251630045"",""a"&amp;"rticles_with_PRISMA_reasons!B2:B2113""))&lt;2,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$A2059=IMPORTRANGE(""https://docs.google"&amp;".com/spreadsheets/d/1BJSV3WBYJGRhQ6zExamkszQ5VutGIcaQqmbD9ZTVXMQ/edit#gid=1251630045"",""articles_with_PRISMA_reasons!B2:B2113""))&gt;=2),
""Exclude""
)"),"Exclude")</f>
        <v>Exclude</v>
      </c>
      <c r="E2059" s="5" t="str">
        <f>IFERROR(__xludf.DUMMYFUNCTION("IFS(
D2059=""Exclude"",""Exclude"",
AND(
FILTER(IMPORTRANGE(""https://docs.google.com/spreadsheets/d/1qpEmbGH0JjaJbUdp21-y2cPbobDbMjr09BbtdKROZWc/edit#gid=1444865654"",""articles_with_PRISMA_reasons!W2:W2113""), $A2059=IMPORTRANGE(""https://docs.google.co"&amp;"m/spreadsheets/d/1qpEmbGH0JjaJbUdp21-y2cPbobDbMjr09BbtdKROZWc/edit#gid=1444865654"",""articles_with_PRISMA_reasons!B2:B2113""))&gt;=2,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$A2059=IMPORTRANGE(""https://docs.google.com/spreadsheets/d/1qpEmbGH0JjaJbUdp21-y2cPbobDbMjr09BbtdKROZWc/edit#gid=1444865654"",""articles_with_PRISMA_reasons!B2:B2113""))&lt;2),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$A2059=IMPORTRANGE(""https://docs.google.com/spreadsheets/d/1qpEmbGH0JjaJbUdp21-y2cPbobDbMjr09Bbtd"&amp;"KROZWc/edit#gid=1444865654"",""articles_with_PRISMA_reasons!B2:B2113""))&lt;2,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$A2059=I"&amp;"MPORTRANGE(""https://docs.google.com/spreadsheets/d/1qpEmbGH0JjaJbUdp21-y2cPbobDbMjr09BbtdKROZWc/edit#gid=1444865654"",""articles_with_PRISMA_reasons!B2:B2113""))&gt;=2),
""Exclude""
)"),"Exclude")</f>
        <v>Exclude</v>
      </c>
      <c r="F2059" s="5" t="str">
        <f>IFERROR(__xludf.DUMMYFUNCTION("IFS(
E2059=""Exclude"",""Exclude"",
AND(
COUNTIF(
IMPORTRANGE(""https://docs.google.com/spreadsheets/d/1kGrh75X1cNR1D7_FcY9zMnHP8iPO4M5RCRjy6nZY0TY/edit#gid=0"",""Table 1: Study characteristics!B4:B171""),A2059)&gt;0,
COUNTIF(Studies!$A$2:$A$85,FILTER(IMPORT"&amp;"RANGE(""https://docs.google.com/spreadsheets/d/1kGrh75X1cNR1D7_FcY9zMnHP8iPO4M5RCRjy6nZY0TY/edit#gid=0"",""Table 1: Study characteristics!A4:A171""), $A2059=IMPORTRANGE(""https://docs.google.com/spreadsheets/d/1kGrh75X1cNR1D7_FcY9zMnHP8iPO4M5RCRjy6nZY0TY/"&amp;"edit#gid=0"",""Table 1: Study characteristics!B4:B171"")))&gt;0
),
""Include""
)"),"Exclude")</f>
        <v>Exclude</v>
      </c>
      <c r="G2059" s="5" t="str">
        <f>IFERROR(__xludf.DUMMYFUNCTION("IFS(
D2059=""Exclude"",
FILTER(IMPORTRANGE(""https://docs.google.com/spreadsheets/d/1BJSV3WBYJGRhQ6zExamkszQ5VutGIcaQqmbD9ZTVXMQ/edit#gid=1251630045"",""articles_with_PRISMA_reasons!AB2:AB2113""), $A2059=IMPORTRANGE(""https://docs.google.com/spreadsheets/"&amp;"d/1BJSV3WBYJGRhQ6zExamkszQ5VutGIcaQqmbD9ZTVXMQ/edit#gid=1251630045"",""articles_with_PRISMA_reasons!B2:B2113"")),
E2059=""Exclude"",
FILTER(IMPORTRANGE(""https://docs.google.com/spreadsheets/d/1qpEmbGH0JjaJbUdp21-y2cPbobDbMjr09BbtdKROZWc/edit#gid=14448656"&amp;"54"",""articles_with_PRISMA_reasons!Z2:Z2113""), $A2059=IMPORTRANGE(""https://docs.google.com/spreadsheets/d/1qpEmbGH0JjaJbUdp21-y2cPbobDbMjr09BbtdKROZWc/edit#gid=1444865654"",""articles_with_PRISMA_reasons!B2:B2113"")),F2059
=""Include"",FILTER(IMPORTRAN"&amp;"GE(""https://docs.google.com/spreadsheets/d/1kGrh75X1cNR1D7_FcY9zMnHP8iPO4M5RCRjy6nZY0TY/edit#gid=0"",""Table 1: Study characteristics!A4:A171""), $A2059=IMPORTRANGE(""https://docs.google.com/spreadsheets/d/1kGrh75X1cNR1D7_FcY9zMnHP8iPO4M5RCRjy6nZY0TY/edi"&amp;"t#gid=0"",""Table 1: Study characteristics!B4:B171""))
)"),"wrong population")</f>
        <v>wrong population</v>
      </c>
    </row>
    <row r="2060">
      <c r="A2060" s="4" t="str">
        <f>IFERROR(__xludf.DUMMYFUNCTION("""COMPUTED_VALUE"""),"Using a 2-Variable method in radionuclide shuntography to predict shunt patency")</f>
        <v>Using a 2-Variable method in radionuclide shuntography to predict shunt patency</v>
      </c>
      <c r="B2060" s="5" t="str">
        <f>IFERROR(__xludf.DUMMYFUNCTION("LEFT(FILTER(IMPORTRANGE(""https://docs.google.com/spreadsheets/d/1BJSV3WBYJGRhQ6zExamkszQ5VutGIcaQqmbD9ZTVXMQ/edit#gid=1251630045"",""articles_with_PRISMA_reasons!K2:K2113""), $A2060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$A2060=IMPORTRANGE(""https://docs.google.com/spreadsheets/d/1BJSV3WBYJGRhQ6zExamkszQ5VutGIcaQqmbD9ZTVXMQ/edit#gid=1251630045"",""articles_with_PRISMA_reasons!B2:B2113"")))-1)"),"Thompson")</f>
        <v>Thompson</v>
      </c>
      <c r="C2060" s="6">
        <f>IFERROR(__xludf.DUMMYFUNCTION("FILTER(IMPORTRANGE(""https://docs.google.com/spreadsheets/d/1BJSV3WBYJGRhQ6zExamkszQ5VutGIcaQqmbD9ZTVXMQ/edit#gid=1251630045"",""articles_with_PRISMA_reasons!C2:C2113""), $A2060=IMPORTRANGE(""https://docs.google.com/spreadsheets/d/1BJSV3WBYJGRhQ6zExamkszQ"&amp;"5VutGIcaQqmbD9ZTVXMQ/edit#gid=1251630045"",""articles_with_PRISMA_reasons!B2:B2113""))"),2014.0)</f>
        <v>2014</v>
      </c>
      <c r="D2060" s="5" t="str">
        <f>IFERROR(__xludf.DUMMYFUNCTION("IFS(AND(
FILTER(IMPORTRANGE(""https://docs.google.com/spreadsheets/d/1BJSV3WBYJGRhQ6zExamkszQ5VutGIcaQqmbD9ZTVXMQ/edit#gid=1251630045"",""articles_with_PRISMA_reasons!Y2:Y2113""), $A2060=IMPORTRANGE(""https://docs.google.com/spreadsheets/d/1BJSV3WBYJGRhQ6"&amp;"zExamkszQ5VutGIcaQqmbD9ZTVXMQ/edit#gid=1251630045"",""articles_with_PRISMA_reasons!B2:B2113""))&gt;=2,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$A2060=IMPORTRANGE(""https://docs.google.com/spreadsheets/d/1BJSV3WBYJGRhQ6zExamkszQ5VutGIcaQqmbD9ZTVXMQ/edit#gid=1251630045"",""articles_with_PRISMA_reasons!B2:B2113""))&lt;2),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$A2060=IMPORTRANGE(""https://docs.google.com/spreadsheets/d/1BJSV3WBYJGRhQ6zExamkszQ5VutGIcaQqmbD9ZTVXMQ/edit#gid=1251630045"",""a"&amp;"rticles_with_PRISMA_reasons!B2:B2113""))&lt;2,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$A2060=IMPORTRANGE(""https://docs.google"&amp;".com/spreadsheets/d/1BJSV3WBYJGRhQ6zExamkszQ5VutGIcaQqmbD9ZTVXMQ/edit#gid=1251630045"",""articles_with_PRISMA_reasons!B2:B2113""))&gt;=2),
""Exclude""
)"),"Exclude")</f>
        <v>Exclude</v>
      </c>
      <c r="E2060" s="5" t="str">
        <f>IFERROR(__xludf.DUMMYFUNCTION("IFS(
D2060=""Exclude"",""Exclude"",
AND(
FILTER(IMPORTRANGE(""https://docs.google.com/spreadsheets/d/1qpEmbGH0JjaJbUdp21-y2cPbobDbMjr09BbtdKROZWc/edit#gid=1444865654"",""articles_with_PRISMA_reasons!W2:W2113""), $A2060=IMPORTRANGE(""https://docs.google.co"&amp;"m/spreadsheets/d/1qpEmbGH0JjaJbUdp21-y2cPbobDbMjr09BbtdKROZWc/edit#gid=1444865654"",""articles_with_PRISMA_reasons!B2:B2113""))&gt;=2,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$A2060=IMPORTRANGE(""https://docs.google.com/spreadsheets/d/1qpEmbGH0JjaJbUdp21-y2cPbobDbMjr09BbtdKROZWc/edit#gid=1444865654"",""articles_with_PRISMA_reasons!B2:B2113""))&lt;2),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$A2060=IMPORTRANGE(""https://docs.google.com/spreadsheets/d/1qpEmbGH0JjaJbUdp21-y2cPbobDbMjr09Bbtd"&amp;"KROZWc/edit#gid=1444865654"",""articles_with_PRISMA_reasons!B2:B2113""))&lt;2,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$A2060=I"&amp;"MPORTRANGE(""https://docs.google.com/spreadsheets/d/1qpEmbGH0JjaJbUdp21-y2cPbobDbMjr09BbtdKROZWc/edit#gid=1444865654"",""articles_with_PRISMA_reasons!B2:B2113""))&gt;=2),
""Exclude""
)"),"Exclude")</f>
        <v>Exclude</v>
      </c>
      <c r="F2060" s="5" t="str">
        <f>IFERROR(__xludf.DUMMYFUNCTION("IFS(
E2060=""Exclude"",""Exclude"",
AND(
COUNTIF(
IMPORTRANGE(""https://docs.google.com/spreadsheets/d/1kGrh75X1cNR1D7_FcY9zMnHP8iPO4M5RCRjy6nZY0TY/edit#gid=0"",""Table 1: Study characteristics!B4:B171""),A2060)&gt;0,
COUNTIF(Studies!$A$2:$A$85,FILTER(IMPORT"&amp;"RANGE(""https://docs.google.com/spreadsheets/d/1kGrh75X1cNR1D7_FcY9zMnHP8iPO4M5RCRjy6nZY0TY/edit#gid=0"",""Table 1: Study characteristics!A4:A171""), $A2060=IMPORTRANGE(""https://docs.google.com/spreadsheets/d/1kGrh75X1cNR1D7_FcY9zMnHP8iPO4M5RCRjy6nZY0TY/"&amp;"edit#gid=0"",""Table 1: Study characteristics!B4:B171"")))&gt;0
),
""Include""
)"),"Exclude")</f>
        <v>Exclude</v>
      </c>
      <c r="G2060" s="5" t="str">
        <f>IFERROR(__xludf.DUMMYFUNCTION("IFS(
D2060=""Exclude"",
FILTER(IMPORTRANGE(""https://docs.google.com/spreadsheets/d/1BJSV3WBYJGRhQ6zExamkszQ5VutGIcaQqmbD9ZTVXMQ/edit#gid=1251630045"",""articles_with_PRISMA_reasons!AB2:AB2113""), $A2060=IMPORTRANGE(""https://docs.google.com/spreadsheets/"&amp;"d/1BJSV3WBYJGRhQ6zExamkszQ5VutGIcaQqmbD9ZTVXMQ/edit#gid=1251630045"",""articles_with_PRISMA_reasons!B2:B2113"")),
E2060=""Exclude"",
FILTER(IMPORTRANGE(""https://docs.google.com/spreadsheets/d/1qpEmbGH0JjaJbUdp21-y2cPbobDbMjr09BbtdKROZWc/edit#gid=14448656"&amp;"54"",""articles_with_PRISMA_reasons!Z2:Z2113""), $A2060=IMPORTRANGE(""https://docs.google.com/spreadsheets/d/1qpEmbGH0JjaJbUdp21-y2cPbobDbMjr09BbtdKROZWc/edit#gid=1444865654"",""articles_with_PRISMA_reasons!B2:B2113"")),F2060
=""Include"",FILTER(IMPORTRAN"&amp;"GE(""https://docs.google.com/spreadsheets/d/1kGrh75X1cNR1D7_FcY9zMnHP8iPO4M5RCRjy6nZY0TY/edit#gid=0"",""Table 1: Study characteristics!A4:A171""), $A2060=IMPORTRANGE(""https://docs.google.com/spreadsheets/d/1kGrh75X1cNR1D7_FcY9zMnHP8iPO4M5RCRjy6nZY0TY/edi"&amp;"t#gid=0"",""Table 1: Study characteristics!B4:B171""))
)"),"wrong population")</f>
        <v>wrong population</v>
      </c>
    </row>
    <row r="2061">
      <c r="A2061" s="4" t="str">
        <f>IFERROR(__xludf.DUMMYFUNCTION("""COMPUTED_VALUE"""),"Uterovaginal Prolapse in a Newborn with Meningomyelocele: Case Report")</f>
        <v>Uterovaginal Prolapse in a Newborn with Meningomyelocele: Case Report</v>
      </c>
      <c r="B2061" s="5" t="str">
        <f>IFERROR(__xludf.DUMMYFUNCTION("LEFT(FILTER(IMPORTRANGE(""https://docs.google.com/spreadsheets/d/1BJSV3WBYJGRhQ6zExamkszQ5VutGIcaQqmbD9ZTVXMQ/edit#gid=1251630045"",""articles_with_PRISMA_reasons!K2:K2113""), $A2061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$A2061=IMPORTRANGE(""https://docs.google.com/spreadsheets/d/1BJSV3WBYJGRhQ6zExamkszQ5VutGIcaQqmbD9ZTVXMQ/edit#gid=1251630045"",""articles_with_PRISMA_reasons!B2:B2113"")))-1)"),"Aykanat")</f>
        <v>Aykanat</v>
      </c>
      <c r="C2061" s="6">
        <f>IFERROR(__xludf.DUMMYFUNCTION("FILTER(IMPORTRANGE(""https://docs.google.com/spreadsheets/d/1BJSV3WBYJGRhQ6zExamkszQ5VutGIcaQqmbD9ZTVXMQ/edit#gid=1251630045"",""articles_with_PRISMA_reasons!C2:C2113""), $A2061=IMPORTRANGE(""https://docs.google.com/spreadsheets/d/1BJSV3WBYJGRhQ6zExamkszQ"&amp;"5VutGIcaQqmbD9ZTVXMQ/edit#gid=1251630045"",""articles_with_PRISMA_reasons!B2:B2113""))"),2020.0)</f>
        <v>2020</v>
      </c>
      <c r="D2061" s="5" t="str">
        <f>IFERROR(__xludf.DUMMYFUNCTION("IFS(AND(
FILTER(IMPORTRANGE(""https://docs.google.com/spreadsheets/d/1BJSV3WBYJGRhQ6zExamkszQ5VutGIcaQqmbD9ZTVXMQ/edit#gid=1251630045"",""articles_with_PRISMA_reasons!Y2:Y2113""), $A2061=IMPORTRANGE(""https://docs.google.com/spreadsheets/d/1BJSV3WBYJGRhQ6"&amp;"zExamkszQ5VutGIcaQqmbD9ZTVXMQ/edit#gid=1251630045"",""articles_with_PRISMA_reasons!B2:B2113""))&gt;=2,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$A2061=IMPORTRANGE(""https://docs.google.com/spreadsheets/d/1BJSV3WBYJGRhQ6zExamkszQ5VutGIcaQqmbD9ZTVXMQ/edit#gid=1251630045"",""articles_with_PRISMA_reasons!B2:B2113""))&lt;2),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$A2061=IMPORTRANGE(""https://docs.google.com/spreadsheets/d/1BJSV3WBYJGRhQ6zExamkszQ5VutGIcaQqmbD9ZTVXMQ/edit#gid=1251630045"",""a"&amp;"rticles_with_PRISMA_reasons!B2:B2113""))&lt;2,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$A2061=IMPORTRANGE(""https://docs.google"&amp;".com/spreadsheets/d/1BJSV3WBYJGRhQ6zExamkszQ5VutGIcaQqmbD9ZTVXMQ/edit#gid=1251630045"",""articles_with_PRISMA_reasons!B2:B2113""))&gt;=2),
""Exclude""
)"),"Exclude")</f>
        <v>Exclude</v>
      </c>
      <c r="E2061" s="5" t="str">
        <f>IFERROR(__xludf.DUMMYFUNCTION("IFS(
D2061=""Exclude"",""Exclude"",
AND(
FILTER(IMPORTRANGE(""https://docs.google.com/spreadsheets/d/1qpEmbGH0JjaJbUdp21-y2cPbobDbMjr09BbtdKROZWc/edit#gid=1444865654"",""articles_with_PRISMA_reasons!W2:W2113""), $A2061=IMPORTRANGE(""https://docs.google.co"&amp;"m/spreadsheets/d/1qpEmbGH0JjaJbUdp21-y2cPbobDbMjr09BbtdKROZWc/edit#gid=1444865654"",""articles_with_PRISMA_reasons!B2:B2113""))&gt;=2,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$A2061=IMPORTRANGE(""https://docs.google.com/spreadsheets/d/1qpEmbGH0JjaJbUdp21-y2cPbobDbMjr09BbtdKROZWc/edit#gid=1444865654"",""articles_with_PRISMA_reasons!B2:B2113""))&lt;2),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$A2061=IMPORTRANGE(""https://docs.google.com/spreadsheets/d/1qpEmbGH0JjaJbUdp21-y2cPbobDbMjr09Bbtd"&amp;"KROZWc/edit#gid=1444865654"",""articles_with_PRISMA_reasons!B2:B2113""))&lt;2,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$A2061=I"&amp;"MPORTRANGE(""https://docs.google.com/spreadsheets/d/1qpEmbGH0JjaJbUdp21-y2cPbobDbMjr09BbtdKROZWc/edit#gid=1444865654"",""articles_with_PRISMA_reasons!B2:B2113""))&gt;=2),
""Exclude""
)"),"Exclude")</f>
        <v>Exclude</v>
      </c>
      <c r="F2061" s="5" t="str">
        <f>IFERROR(__xludf.DUMMYFUNCTION("IFS(
E2061=""Exclude"",""Exclude"",
AND(
COUNTIF(
IMPORTRANGE(""https://docs.google.com/spreadsheets/d/1kGrh75X1cNR1D7_FcY9zMnHP8iPO4M5RCRjy6nZY0TY/edit#gid=0"",""Table 1: Study characteristics!B4:B171""),A2061)&gt;0,
COUNTIF(Studies!$A$2:$A$85,FILTER(IMPORT"&amp;"RANGE(""https://docs.google.com/spreadsheets/d/1kGrh75X1cNR1D7_FcY9zMnHP8iPO4M5RCRjy6nZY0TY/edit#gid=0"",""Table 1: Study characteristics!A4:A171""), $A2061=IMPORTRANGE(""https://docs.google.com/spreadsheets/d/1kGrh75X1cNR1D7_FcY9zMnHP8iPO4M5RCRjy6nZY0TY/"&amp;"edit#gid=0"",""Table 1: Study characteristics!B4:B171"")))&gt;0
),
""Include""
)"),"Exclude")</f>
        <v>Exclude</v>
      </c>
      <c r="G2061" s="5" t="str">
        <f>IFERROR(__xludf.DUMMYFUNCTION("IFS(
D2061=""Exclude"",
FILTER(IMPORTRANGE(""https://docs.google.com/spreadsheets/d/1BJSV3WBYJGRhQ6zExamkszQ5VutGIcaQqmbD9ZTVXMQ/edit#gid=1251630045"",""articles_with_PRISMA_reasons!AB2:AB2113""), $A2061=IMPORTRANGE(""https://docs.google.com/spreadsheets/"&amp;"d/1BJSV3WBYJGRhQ6zExamkszQ5VutGIcaQqmbD9ZTVXMQ/edit#gid=1251630045"",""articles_with_PRISMA_reasons!B2:B2113"")),
E2061=""Exclude"",
FILTER(IMPORTRANGE(""https://docs.google.com/spreadsheets/d/1qpEmbGH0JjaJbUdp21-y2cPbobDbMjr09BbtdKROZWc/edit#gid=14448656"&amp;"54"",""articles_with_PRISMA_reasons!Z2:Z2113""), $A2061=IMPORTRANGE(""https://docs.google.com/spreadsheets/d/1qpEmbGH0JjaJbUdp21-y2cPbobDbMjr09BbtdKROZWc/edit#gid=1444865654"",""articles_with_PRISMA_reasons!B2:B2113"")),F2061
=""Include"",FILTER(IMPORTRAN"&amp;"GE(""https://docs.google.com/spreadsheets/d/1kGrh75X1cNR1D7_FcY9zMnHP8iPO4M5RCRjy6nZY0TY/edit#gid=0"",""Table 1: Study characteristics!A4:A171""), $A2061=IMPORTRANGE(""https://docs.google.com/spreadsheets/d/1kGrh75X1cNR1D7_FcY9zMnHP8iPO4M5RCRjy6nZY0TY/edi"&amp;"t#gid=0"",""Table 1: Study characteristics!B4:B171""))
)"),"wrong publication type")</f>
        <v>wrong publication type</v>
      </c>
    </row>
    <row r="2062">
      <c r="A2062" s="4" t="str">
        <f>IFERROR(__xludf.DUMMYFUNCTION("""COMPUTED_VALUE"""),"Utility of computed tomography or magnetic resonance imaging evaluation of ventricular morphology in suspected cerebrospinal fluid shunt malfunction: Clinical article")</f>
        <v>Utility of computed tomography or magnetic resonance imaging evaluation of ventricular morphology in suspected cerebrospinal fluid shunt malfunction: Clinical article</v>
      </c>
      <c r="B2062" s="5" t="str">
        <f>IFERROR(__xludf.DUMMYFUNCTION("LEFT(FILTER(IMPORTRANGE(""https://docs.google.com/spreadsheets/d/1BJSV3WBYJGRhQ6zExamkszQ5VutGIcaQqmbD9ZTVXMQ/edit#gid=1251630045"",""articles_with_PRISMA_reasons!K2:K2113""), $A2062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$A2062=IMPORTRANGE(""https://docs.google.com/spreadsheets/d/1BJSV3WBYJGRhQ6zExamkszQ5VutGIcaQqmbD9ZTVXMQ/edit#gid=1251630045"",""articles_with_PRISMA_reasons!B2:B2113"")))-1)"),"Sellin")</f>
        <v>Sellin</v>
      </c>
      <c r="C2062" s="6">
        <f>IFERROR(__xludf.DUMMYFUNCTION("FILTER(IMPORTRANGE(""https://docs.google.com/spreadsheets/d/1BJSV3WBYJGRhQ6zExamkszQ5VutGIcaQqmbD9ZTVXMQ/edit#gid=1251630045"",""articles_with_PRISMA_reasons!C2:C2113""), $A2062=IMPORTRANGE(""https://docs.google.com/spreadsheets/d/1BJSV3WBYJGRhQ6zExamkszQ"&amp;"5VutGIcaQqmbD9ZTVXMQ/edit#gid=1251630045"",""articles_with_PRISMA_reasons!B2:B2113""))"),2014.0)</f>
        <v>2014</v>
      </c>
      <c r="D2062" s="5" t="str">
        <f>IFERROR(__xludf.DUMMYFUNCTION("IFS(AND(
FILTER(IMPORTRANGE(""https://docs.google.com/spreadsheets/d/1BJSV3WBYJGRhQ6zExamkszQ5VutGIcaQqmbD9ZTVXMQ/edit#gid=1251630045"",""articles_with_PRISMA_reasons!Y2:Y2113""), $A2062=IMPORTRANGE(""https://docs.google.com/spreadsheets/d/1BJSV3WBYJGRhQ6"&amp;"zExamkszQ5VutGIcaQqmbD9ZTVXMQ/edit#gid=1251630045"",""articles_with_PRISMA_reasons!B2:B2113""))&gt;=2,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$A2062=IMPORTRANGE(""https://docs.google.com/spreadsheets/d/1BJSV3WBYJGRhQ6zExamkszQ5VutGIcaQqmbD9ZTVXMQ/edit#gid=1251630045"",""articles_with_PRISMA_reasons!B2:B2113""))&lt;2),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$A2062=IMPORTRANGE(""https://docs.google.com/spreadsheets/d/1BJSV3WBYJGRhQ6zExamkszQ5VutGIcaQqmbD9ZTVXMQ/edit#gid=1251630045"",""a"&amp;"rticles_with_PRISMA_reasons!B2:B2113""))&lt;2,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$A2062=IMPORTRANGE(""https://docs.google"&amp;".com/spreadsheets/d/1BJSV3WBYJGRhQ6zExamkszQ5VutGIcaQqmbD9ZTVXMQ/edit#gid=1251630045"",""articles_with_PRISMA_reasons!B2:B2113""))&gt;=2),
""Exclude""
)"),"Exclude")</f>
        <v>Exclude</v>
      </c>
      <c r="E2062" s="5" t="str">
        <f>IFERROR(__xludf.DUMMYFUNCTION("IFS(
D2062=""Exclude"",""Exclude"",
AND(
FILTER(IMPORTRANGE(""https://docs.google.com/spreadsheets/d/1qpEmbGH0JjaJbUdp21-y2cPbobDbMjr09BbtdKROZWc/edit#gid=1444865654"",""articles_with_PRISMA_reasons!W2:W2113""), $A2062=IMPORTRANGE(""https://docs.google.co"&amp;"m/spreadsheets/d/1qpEmbGH0JjaJbUdp21-y2cPbobDbMjr09BbtdKROZWc/edit#gid=1444865654"",""articles_with_PRISMA_reasons!B2:B2113""))&gt;=2,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$A2062=IMPORTRANGE(""https://docs.google.com/spreadsheets/d/1qpEmbGH0JjaJbUdp21-y2cPbobDbMjr09BbtdKROZWc/edit#gid=1444865654"",""articles_with_PRISMA_reasons!B2:B2113""))&lt;2),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$A2062=IMPORTRANGE(""https://docs.google.com/spreadsheets/d/1qpEmbGH0JjaJbUdp21-y2cPbobDbMjr09Bbtd"&amp;"KROZWc/edit#gid=1444865654"",""articles_with_PRISMA_reasons!B2:B2113""))&lt;2,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$A2062=I"&amp;"MPORTRANGE(""https://docs.google.com/spreadsheets/d/1qpEmbGH0JjaJbUdp21-y2cPbobDbMjr09BbtdKROZWc/edit#gid=1444865654"",""articles_with_PRISMA_reasons!B2:B2113""))&gt;=2),
""Exclude""
)"),"Exclude")</f>
        <v>Exclude</v>
      </c>
      <c r="F2062" s="5" t="str">
        <f>IFERROR(__xludf.DUMMYFUNCTION("IFS(
E2062=""Exclude"",""Exclude"",
AND(
COUNTIF(
IMPORTRANGE(""https://docs.google.com/spreadsheets/d/1kGrh75X1cNR1D7_FcY9zMnHP8iPO4M5RCRjy6nZY0TY/edit#gid=0"",""Table 1: Study characteristics!B4:B171""),A2062)&gt;0,
COUNTIF(Studies!$A$2:$A$85,FILTER(IMPORT"&amp;"RANGE(""https://docs.google.com/spreadsheets/d/1kGrh75X1cNR1D7_FcY9zMnHP8iPO4M5RCRjy6nZY0TY/edit#gid=0"",""Table 1: Study characteristics!A4:A171""), $A2062=IMPORTRANGE(""https://docs.google.com/spreadsheets/d/1kGrh75X1cNR1D7_FcY9zMnHP8iPO4M5RCRjy6nZY0TY/"&amp;"edit#gid=0"",""Table 1: Study characteristics!B4:B171"")))&gt;0
),
""Include""
)"),"Exclude")</f>
        <v>Exclude</v>
      </c>
      <c r="G2062" s="5" t="str">
        <f>IFERROR(__xludf.DUMMYFUNCTION("IFS(
D2062=""Exclude"",
FILTER(IMPORTRANGE(""https://docs.google.com/spreadsheets/d/1BJSV3WBYJGRhQ6zExamkszQ5VutGIcaQqmbD9ZTVXMQ/edit#gid=1251630045"",""articles_with_PRISMA_reasons!AB2:AB2113""), $A2062=IMPORTRANGE(""https://docs.google.com/spreadsheets/"&amp;"d/1BJSV3WBYJGRhQ6zExamkszQ5VutGIcaQqmbD9ZTVXMQ/edit#gid=1251630045"",""articles_with_PRISMA_reasons!B2:B2113"")),
E2062=""Exclude"",
FILTER(IMPORTRANGE(""https://docs.google.com/spreadsheets/d/1qpEmbGH0JjaJbUdp21-y2cPbobDbMjr09BbtdKROZWc/edit#gid=14448656"&amp;"54"",""articles_with_PRISMA_reasons!Z2:Z2113""), $A2062=IMPORTRANGE(""https://docs.google.com/spreadsheets/d/1qpEmbGH0JjaJbUdp21-y2cPbobDbMjr09BbtdKROZWc/edit#gid=1444865654"",""articles_with_PRISMA_reasons!B2:B2113"")),F2062
=""Include"",FILTER(IMPORTRAN"&amp;"GE(""https://docs.google.com/spreadsheets/d/1kGrh75X1cNR1D7_FcY9zMnHP8iPO4M5RCRjy6nZY0TY/edit#gid=0"",""Table 1: Study characteristics!A4:A171""), $A2062=IMPORTRANGE(""https://docs.google.com/spreadsheets/d/1kGrh75X1cNR1D7_FcY9zMnHP8iPO4M5RCRjy6nZY0TY/edi"&amp;"t#gid=0"",""Table 1: Study characteristics!B4:B171""))
)"),"wrong population")</f>
        <v>wrong population</v>
      </c>
    </row>
    <row r="2063">
      <c r="A2063" s="4" t="str">
        <f>IFERROR(__xludf.DUMMYFUNCTION("""COMPUTED_VALUE"""),"Utility of ventricular access in an acute deterioration after endoscopic third ventriculostomy")</f>
        <v>Utility of ventricular access in an acute deterioration after endoscopic third ventriculostomy</v>
      </c>
      <c r="B2063" s="5" t="str">
        <f>IFERROR(__xludf.DUMMYFUNCTION("LEFT(FILTER(IMPORTRANGE(""https://docs.google.com/spreadsheets/d/1BJSV3WBYJGRhQ6zExamkszQ5VutGIcaQqmbD9ZTVXMQ/edit#gid=1251630045"",""articles_with_PRISMA_reasons!K2:K2113""), $A2063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$A2063=IMPORTRANGE(""https://docs.google.com/spreadsheets/d/1BJSV3WBYJGRhQ6zExamkszQ5VutGIcaQqmbD9ZTVXMQ/edit#gid=1251630045"",""articles_with_PRISMA_reasons!B2:B2113"")))-1)"),"Kumar")</f>
        <v>Kumar</v>
      </c>
      <c r="C2063" s="6">
        <f>IFERROR(__xludf.DUMMYFUNCTION("FILTER(IMPORTRANGE(""https://docs.google.com/spreadsheets/d/1BJSV3WBYJGRhQ6zExamkszQ5VutGIcaQqmbD9ZTVXMQ/edit#gid=1251630045"",""articles_with_PRISMA_reasons!C2:C2113""), $A2063=IMPORTRANGE(""https://docs.google.com/spreadsheets/d/1BJSV3WBYJGRhQ6zExamkszQ"&amp;"5VutGIcaQqmbD9ZTVXMQ/edit#gid=1251630045"",""articles_with_PRISMA_reasons!B2:B2113""))"),2011.0)</f>
        <v>2011</v>
      </c>
      <c r="D2063" s="5" t="str">
        <f>IFERROR(__xludf.DUMMYFUNCTION("IFS(AND(
FILTER(IMPORTRANGE(""https://docs.google.com/spreadsheets/d/1BJSV3WBYJGRhQ6zExamkszQ5VutGIcaQqmbD9ZTVXMQ/edit#gid=1251630045"",""articles_with_PRISMA_reasons!Y2:Y2113""), $A2063=IMPORTRANGE(""https://docs.google.com/spreadsheets/d/1BJSV3WBYJGRhQ6"&amp;"zExamkszQ5VutGIcaQqmbD9ZTVXMQ/edit#gid=1251630045"",""articles_with_PRISMA_reasons!B2:B2113""))&gt;=2,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$A2063=IMPORTRANGE(""https://docs.google.com/spreadsheets/d/1BJSV3WBYJGRhQ6zExamkszQ5VutGIcaQqmbD9ZTVXMQ/edit#gid=1251630045"",""articles_with_PRISMA_reasons!B2:B2113""))&lt;2),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$A2063=IMPORTRANGE(""https://docs.google.com/spreadsheets/d/1BJSV3WBYJGRhQ6zExamkszQ5VutGIcaQqmbD9ZTVXMQ/edit#gid=1251630045"",""a"&amp;"rticles_with_PRISMA_reasons!B2:B2113""))&lt;2,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$A2063=IMPORTRANGE(""https://docs.google"&amp;".com/spreadsheets/d/1BJSV3WBYJGRhQ6zExamkszQ5VutGIcaQqmbD9ZTVXMQ/edit#gid=1251630045"",""articles_with_PRISMA_reasons!B2:B2113""))&gt;=2),
""Exclude""
)"),"Exclude")</f>
        <v>Exclude</v>
      </c>
      <c r="E2063" s="5" t="str">
        <f>IFERROR(__xludf.DUMMYFUNCTION("IFS(
D2063=""Exclude"",""Exclude"",
AND(
FILTER(IMPORTRANGE(""https://docs.google.com/spreadsheets/d/1qpEmbGH0JjaJbUdp21-y2cPbobDbMjr09BbtdKROZWc/edit#gid=1444865654"",""articles_with_PRISMA_reasons!W2:W2113""), $A2063=IMPORTRANGE(""https://docs.google.co"&amp;"m/spreadsheets/d/1qpEmbGH0JjaJbUdp21-y2cPbobDbMjr09BbtdKROZWc/edit#gid=1444865654"",""articles_with_PRISMA_reasons!B2:B2113""))&gt;=2,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$A2063=IMPORTRANGE(""https://docs.google.com/spreadsheets/d/1qpEmbGH0JjaJbUdp21-y2cPbobDbMjr09BbtdKROZWc/edit#gid=1444865654"",""articles_with_PRISMA_reasons!B2:B2113""))&lt;2),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$A2063=IMPORTRANGE(""https://docs.google.com/spreadsheets/d/1qpEmbGH0JjaJbUdp21-y2cPbobDbMjr09Bbtd"&amp;"KROZWc/edit#gid=1444865654"",""articles_with_PRISMA_reasons!B2:B2113""))&lt;2,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$A2063=I"&amp;"MPORTRANGE(""https://docs.google.com/spreadsheets/d/1qpEmbGH0JjaJbUdp21-y2cPbobDbMjr09BbtdKROZWc/edit#gid=1444865654"",""articles_with_PRISMA_reasons!B2:B2113""))&gt;=2),
""Exclude""
)"),"Exclude")</f>
        <v>Exclude</v>
      </c>
      <c r="F2063" s="5" t="str">
        <f>IFERROR(__xludf.DUMMYFUNCTION("IFS(
E2063=""Exclude"",""Exclude"",
AND(
COUNTIF(
IMPORTRANGE(""https://docs.google.com/spreadsheets/d/1kGrh75X1cNR1D7_FcY9zMnHP8iPO4M5RCRjy6nZY0TY/edit#gid=0"",""Table 1: Study characteristics!B4:B171""),A2063)&gt;0,
COUNTIF(Studies!$A$2:$A$85,FILTER(IMPORT"&amp;"RANGE(""https://docs.google.com/spreadsheets/d/1kGrh75X1cNR1D7_FcY9zMnHP8iPO4M5RCRjy6nZY0TY/edit#gid=0"",""Table 1: Study characteristics!A4:A171""), $A2063=IMPORTRANGE(""https://docs.google.com/spreadsheets/d/1kGrh75X1cNR1D7_FcY9zMnHP8iPO4M5RCRjy6nZY0TY/"&amp;"edit#gid=0"",""Table 1: Study characteristics!B4:B171"")))&gt;0
),
""Include""
)"),"Exclude")</f>
        <v>Exclude</v>
      </c>
      <c r="G2063" s="5" t="str">
        <f>IFERROR(__xludf.DUMMYFUNCTION("IFS(
D2063=""Exclude"",
FILTER(IMPORTRANGE(""https://docs.google.com/spreadsheets/d/1BJSV3WBYJGRhQ6zExamkszQ5VutGIcaQqmbD9ZTVXMQ/edit#gid=1251630045"",""articles_with_PRISMA_reasons!AB2:AB2113""), $A2063=IMPORTRANGE(""https://docs.google.com/spreadsheets/"&amp;"d/1BJSV3WBYJGRhQ6zExamkszQ5VutGIcaQqmbD9ZTVXMQ/edit#gid=1251630045"",""articles_with_PRISMA_reasons!B2:B2113"")),
E2063=""Exclude"",
FILTER(IMPORTRANGE(""https://docs.google.com/spreadsheets/d/1qpEmbGH0JjaJbUdp21-y2cPbobDbMjr09BbtdKROZWc/edit#gid=14448656"&amp;"54"",""articles_with_PRISMA_reasons!Z2:Z2113""), $A2063=IMPORTRANGE(""https://docs.google.com/spreadsheets/d/1qpEmbGH0JjaJbUdp21-y2cPbobDbMjr09BbtdKROZWc/edit#gid=1444865654"",""articles_with_PRISMA_reasons!B2:B2113"")),F2063
=""Include"",FILTER(IMPORTRAN"&amp;"GE(""https://docs.google.com/spreadsheets/d/1kGrh75X1cNR1D7_FcY9zMnHP8iPO4M5RCRjy6nZY0TY/edit#gid=0"",""Table 1: Study characteristics!A4:A171""), $A2063=IMPORTRANGE(""https://docs.google.com/spreadsheets/d/1kGrh75X1cNR1D7_FcY9zMnHP8iPO4M5RCRjy6nZY0TY/edi"&amp;"t#gid=0"",""Table 1: Study characteristics!B4:B171""))
)"),"wrong publication type")</f>
        <v>wrong publication type</v>
      </c>
    </row>
    <row r="2064">
      <c r="A2064" s="4" t="str">
        <f>IFERROR(__xludf.DUMMYFUNCTION("""COMPUTED_VALUE"""),"V-Y plasty or primary repair closure of myelomeningocele: Our experience")</f>
        <v>V-Y plasty or primary repair closure of myelomeningocele: Our experience</v>
      </c>
      <c r="B2064" s="5" t="str">
        <f>IFERROR(__xludf.DUMMYFUNCTION("LEFT(FILTER(IMPORTRANGE(""https://docs.google.com/spreadsheets/d/1BJSV3WBYJGRhQ6zExamkszQ5VutGIcaQqmbD9ZTVXMQ/edit#gid=1251630045"",""articles_with_PRISMA_reasons!K2:K2113""), $A2064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$A2064=IMPORTRANGE(""https://docs.google.com/spreadsheets/d/1BJSV3WBYJGRhQ6zExamkszQ5VutGIcaQqmbD9ZTVXMQ/edit#gid=1251630045"",""articles_with_PRISMA_reasons!B2:B2113"")))-1)"),"Lobo")</f>
        <v>Lobo</v>
      </c>
      <c r="C2064" s="6">
        <f>IFERROR(__xludf.DUMMYFUNCTION("FILTER(IMPORTRANGE(""https://docs.google.com/spreadsheets/d/1BJSV3WBYJGRhQ6zExamkszQ5VutGIcaQqmbD9ZTVXMQ/edit#gid=1251630045"",""articles_with_PRISMA_reasons!C2:C2113""), $A2064=IMPORTRANGE(""https://docs.google.com/spreadsheets/d/1BJSV3WBYJGRhQ6zExamkszQ"&amp;"5VutGIcaQqmbD9ZTVXMQ/edit#gid=1251630045"",""articles_with_PRISMA_reasons!B2:B2113""))"),2018.0)</f>
        <v>2018</v>
      </c>
      <c r="D2064" s="5" t="str">
        <f>IFERROR(__xludf.DUMMYFUNCTION("IFS(AND(
FILTER(IMPORTRANGE(""https://docs.google.com/spreadsheets/d/1BJSV3WBYJGRhQ6zExamkszQ5VutGIcaQqmbD9ZTVXMQ/edit#gid=1251630045"",""articles_with_PRISMA_reasons!Y2:Y2113""), $A2064=IMPORTRANGE(""https://docs.google.com/spreadsheets/d/1BJSV3WBYJGRhQ6"&amp;"zExamkszQ5VutGIcaQqmbD9ZTVXMQ/edit#gid=1251630045"",""articles_with_PRISMA_reasons!B2:B2113""))&gt;=2,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$A2064=IMPORTRANGE(""https://docs.google.com/spreadsheets/d/1BJSV3WBYJGRhQ6zExamkszQ5VutGIcaQqmbD9ZTVXMQ/edit#gid=1251630045"",""articles_with_PRISMA_reasons!B2:B2113""))&lt;2),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$A2064=IMPORTRANGE(""https://docs.google.com/spreadsheets/d/1BJSV3WBYJGRhQ6zExamkszQ5VutGIcaQqmbD9ZTVXMQ/edit#gid=1251630045"",""a"&amp;"rticles_with_PRISMA_reasons!B2:B2113""))&lt;2,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$A2064=IMPORTRANGE(""https://docs.google"&amp;".com/spreadsheets/d/1BJSV3WBYJGRhQ6zExamkszQ5VutGIcaQqmbD9ZTVXMQ/edit#gid=1251630045"",""articles_with_PRISMA_reasons!B2:B2113""))&gt;=2),
""Exclude""
)"),"Exclude")</f>
        <v>Exclude</v>
      </c>
      <c r="E2064" s="5" t="str">
        <f>IFERROR(__xludf.DUMMYFUNCTION("IFS(
D2064=""Exclude"",""Exclude"",
AND(
FILTER(IMPORTRANGE(""https://docs.google.com/spreadsheets/d/1qpEmbGH0JjaJbUdp21-y2cPbobDbMjr09BbtdKROZWc/edit#gid=1444865654"",""articles_with_PRISMA_reasons!W2:W2113""), $A2064=IMPORTRANGE(""https://docs.google.co"&amp;"m/spreadsheets/d/1qpEmbGH0JjaJbUdp21-y2cPbobDbMjr09BbtdKROZWc/edit#gid=1444865654"",""articles_with_PRISMA_reasons!B2:B2113""))&gt;=2,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$A2064=IMPORTRANGE(""https://docs.google.com/spreadsheets/d/1qpEmbGH0JjaJbUdp21-y2cPbobDbMjr09BbtdKROZWc/edit#gid=1444865654"",""articles_with_PRISMA_reasons!B2:B2113""))&lt;2),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$A2064=IMPORTRANGE(""https://docs.google.com/spreadsheets/d/1qpEmbGH0JjaJbUdp21-y2cPbobDbMjr09Bbtd"&amp;"KROZWc/edit#gid=1444865654"",""articles_with_PRISMA_reasons!B2:B2113""))&lt;2,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$A2064=I"&amp;"MPORTRANGE(""https://docs.google.com/spreadsheets/d/1qpEmbGH0JjaJbUdp21-y2cPbobDbMjr09BbtdKROZWc/edit#gid=1444865654"",""articles_with_PRISMA_reasons!B2:B2113""))&gt;=2),
""Exclude""
)"),"Exclude")</f>
        <v>Exclude</v>
      </c>
      <c r="F2064" s="5" t="str">
        <f>IFERROR(__xludf.DUMMYFUNCTION("IFS(
E2064=""Exclude"",""Exclude"",
AND(
COUNTIF(
IMPORTRANGE(""https://docs.google.com/spreadsheets/d/1kGrh75X1cNR1D7_FcY9zMnHP8iPO4M5RCRjy6nZY0TY/edit#gid=0"",""Table 1: Study characteristics!B4:B171""),A2064)&gt;0,
COUNTIF(Studies!$A$2:$A$85,FILTER(IMPORT"&amp;"RANGE(""https://docs.google.com/spreadsheets/d/1kGrh75X1cNR1D7_FcY9zMnHP8iPO4M5RCRjy6nZY0TY/edit#gid=0"",""Table 1: Study characteristics!A4:A171""), $A2064=IMPORTRANGE(""https://docs.google.com/spreadsheets/d/1kGrh75X1cNR1D7_FcY9zMnHP8iPO4M5RCRjy6nZY0TY/"&amp;"edit#gid=0"",""Table 1: Study characteristics!B4:B171"")))&gt;0
),
""Include""
)"),"Exclude")</f>
        <v>Exclude</v>
      </c>
      <c r="G2064" s="5" t="str">
        <f>IFERROR(__xludf.DUMMYFUNCTION("IFS(
D2064=""Exclude"",
FILTER(IMPORTRANGE(""https://docs.google.com/spreadsheets/d/1BJSV3WBYJGRhQ6zExamkszQ5VutGIcaQqmbD9ZTVXMQ/edit#gid=1251630045"",""articles_with_PRISMA_reasons!AB2:AB2113""), $A2064=IMPORTRANGE(""https://docs.google.com/spreadsheets/"&amp;"d/1BJSV3WBYJGRhQ6zExamkszQ5VutGIcaQqmbD9ZTVXMQ/edit#gid=1251630045"",""articles_with_PRISMA_reasons!B2:B2113"")),
E2064=""Exclude"",
FILTER(IMPORTRANGE(""https://docs.google.com/spreadsheets/d/1qpEmbGH0JjaJbUdp21-y2cPbobDbMjr09BbtdKROZWc/edit#gid=14448656"&amp;"54"",""articles_with_PRISMA_reasons!Z2:Z2113""), $A2064=IMPORTRANGE(""https://docs.google.com/spreadsheets/d/1qpEmbGH0JjaJbUdp21-y2cPbobDbMjr09BbtdKROZWc/edit#gid=1444865654"",""articles_with_PRISMA_reasons!B2:B2113"")),F2064
=""Include"",FILTER(IMPORTRAN"&amp;"GE(""https://docs.google.com/spreadsheets/d/1kGrh75X1cNR1D7_FcY9zMnHP8iPO4M5RCRjy6nZY0TY/edit#gid=0"",""Table 1: Study characteristics!A4:A171""), $A2064=IMPORTRANGE(""https://docs.google.com/spreadsheets/d/1kGrh75X1cNR1D7_FcY9zMnHP8iPO4M5RCRjy6nZY0TY/edi"&amp;"t#gid=0"",""Table 1: Study characteristics!B4:B171""))
)"),"wrong population")</f>
        <v>wrong population</v>
      </c>
    </row>
    <row r="2065">
      <c r="A2065" s="4" t="str">
        <f>IFERROR(__xludf.DUMMYFUNCTION("""COMPUTED_VALUE"""),"Vaginal cerebrospinal fluid discharge due to fallopian tube perforation by distal catheter of ventriculoperitoneal shunt: A case report")</f>
        <v>Vaginal cerebrospinal fluid discharge due to fallopian tube perforation by distal catheter of ventriculoperitoneal shunt: A case report</v>
      </c>
      <c r="B2065" s="5" t="str">
        <f>IFERROR(__xludf.DUMMYFUNCTION("LEFT(FILTER(IMPORTRANGE(""https://docs.google.com/spreadsheets/d/1BJSV3WBYJGRhQ6zExamkszQ5VutGIcaQqmbD9ZTVXMQ/edit#gid=1251630045"",""articles_with_PRISMA_reasons!K2:K2113""), $A2065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$A2065=IMPORTRANGE(""https://docs.google.com/spreadsheets/d/1BJSV3WBYJGRhQ6zExamkszQ5VutGIcaQqmbD9ZTVXMQ/edit#gid=1251630045"",""articles_with_PRISMA_reasons!B2:B2113"")))-1)"),"Vilela Faquini")</f>
        <v>Vilela Faquini</v>
      </c>
      <c r="C2065" s="6">
        <f>IFERROR(__xludf.DUMMYFUNCTION("FILTER(IMPORTRANGE(""https://docs.google.com/spreadsheets/d/1BJSV3WBYJGRhQ6zExamkszQ5VutGIcaQqmbD9ZTVXMQ/edit#gid=1251630045"",""articles_with_PRISMA_reasons!C2:C2113""), $A2065=IMPORTRANGE(""https://docs.google.com/spreadsheets/d/1BJSV3WBYJGRhQ6zExamkszQ"&amp;"5VutGIcaQqmbD9ZTVXMQ/edit#gid=1251630045"",""articles_with_PRISMA_reasons!B2:B2113""))"),2021.0)</f>
        <v>2021</v>
      </c>
      <c r="D2065" s="5" t="str">
        <f>IFERROR(__xludf.DUMMYFUNCTION("IFS(AND(
FILTER(IMPORTRANGE(""https://docs.google.com/spreadsheets/d/1BJSV3WBYJGRhQ6zExamkszQ5VutGIcaQqmbD9ZTVXMQ/edit#gid=1251630045"",""articles_with_PRISMA_reasons!Y2:Y2113""), $A2065=IMPORTRANGE(""https://docs.google.com/spreadsheets/d/1BJSV3WBYJGRhQ6"&amp;"zExamkszQ5VutGIcaQqmbD9ZTVXMQ/edit#gid=1251630045"",""articles_with_PRISMA_reasons!B2:B2113""))&gt;=2,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$A2065=IMPORTRANGE(""https://docs.google.com/spreadsheets/d/1BJSV3WBYJGRhQ6zExamkszQ5VutGIcaQqmbD9ZTVXMQ/edit#gid=1251630045"",""articles_with_PRISMA_reasons!B2:B2113""))&lt;2),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$A2065=IMPORTRANGE(""https://docs.google.com/spreadsheets/d/1BJSV3WBYJGRhQ6zExamkszQ5VutGIcaQqmbD9ZTVXMQ/edit#gid=1251630045"",""a"&amp;"rticles_with_PRISMA_reasons!B2:B2113""))&lt;2,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$A2065=IMPORTRANGE(""https://docs.google"&amp;".com/spreadsheets/d/1BJSV3WBYJGRhQ6zExamkszQ5VutGIcaQqmbD9ZTVXMQ/edit#gid=1251630045"",""articles_with_PRISMA_reasons!B2:B2113""))&gt;=2),
""Exclude""
)"),"Exclude")</f>
        <v>Exclude</v>
      </c>
      <c r="E2065" s="5" t="str">
        <f>IFERROR(__xludf.DUMMYFUNCTION("IFS(
D2065=""Exclude"",""Exclude"",
AND(
FILTER(IMPORTRANGE(""https://docs.google.com/spreadsheets/d/1qpEmbGH0JjaJbUdp21-y2cPbobDbMjr09BbtdKROZWc/edit#gid=1444865654"",""articles_with_PRISMA_reasons!W2:W2113""), $A2065=IMPORTRANGE(""https://docs.google.co"&amp;"m/spreadsheets/d/1qpEmbGH0JjaJbUdp21-y2cPbobDbMjr09BbtdKROZWc/edit#gid=1444865654"",""articles_with_PRISMA_reasons!B2:B2113""))&gt;=2,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$A2065=IMPORTRANGE(""https://docs.google.com/spreadsheets/d/1qpEmbGH0JjaJbUdp21-y2cPbobDbMjr09BbtdKROZWc/edit#gid=1444865654"",""articles_with_PRISMA_reasons!B2:B2113""))&lt;2),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$A2065=IMPORTRANGE(""https://docs.google.com/spreadsheets/d/1qpEmbGH0JjaJbUdp21-y2cPbobDbMjr09Bbtd"&amp;"KROZWc/edit#gid=1444865654"",""articles_with_PRISMA_reasons!B2:B2113""))&lt;2,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$A2065=I"&amp;"MPORTRANGE(""https://docs.google.com/spreadsheets/d/1qpEmbGH0JjaJbUdp21-y2cPbobDbMjr09BbtdKROZWc/edit#gid=1444865654"",""articles_with_PRISMA_reasons!B2:B2113""))&gt;=2),
""Exclude""
)"),"Exclude")</f>
        <v>Exclude</v>
      </c>
      <c r="F2065" s="5" t="str">
        <f>IFERROR(__xludf.DUMMYFUNCTION("IFS(
E2065=""Exclude"",""Exclude"",
AND(
COUNTIF(
IMPORTRANGE(""https://docs.google.com/spreadsheets/d/1kGrh75X1cNR1D7_FcY9zMnHP8iPO4M5RCRjy6nZY0TY/edit#gid=0"",""Table 1: Study characteristics!B4:B171""),A2065)&gt;0,
COUNTIF(Studies!$A$2:$A$85,FILTER(IMPORT"&amp;"RANGE(""https://docs.google.com/spreadsheets/d/1kGrh75X1cNR1D7_FcY9zMnHP8iPO4M5RCRjy6nZY0TY/edit#gid=0"",""Table 1: Study characteristics!A4:A171""), $A2065=IMPORTRANGE(""https://docs.google.com/spreadsheets/d/1kGrh75X1cNR1D7_FcY9zMnHP8iPO4M5RCRjy6nZY0TY/"&amp;"edit#gid=0"",""Table 1: Study characteristics!B4:B171"")))&gt;0
),
""Include""
)"),"Exclude")</f>
        <v>Exclude</v>
      </c>
      <c r="G2065" s="5" t="str">
        <f>IFERROR(__xludf.DUMMYFUNCTION("IFS(
D2065=""Exclude"",
FILTER(IMPORTRANGE(""https://docs.google.com/spreadsheets/d/1BJSV3WBYJGRhQ6zExamkszQ5VutGIcaQqmbD9ZTVXMQ/edit#gid=1251630045"",""articles_with_PRISMA_reasons!AB2:AB2113""), $A2065=IMPORTRANGE(""https://docs.google.com/spreadsheets/"&amp;"d/1BJSV3WBYJGRhQ6zExamkszQ5VutGIcaQqmbD9ZTVXMQ/edit#gid=1251630045"",""articles_with_PRISMA_reasons!B2:B2113"")),
E2065=""Exclude"",
FILTER(IMPORTRANGE(""https://docs.google.com/spreadsheets/d/1qpEmbGH0JjaJbUdp21-y2cPbobDbMjr09BbtdKROZWc/edit#gid=14448656"&amp;"54"",""articles_with_PRISMA_reasons!Z2:Z2113""), $A2065=IMPORTRANGE(""https://docs.google.com/spreadsheets/d/1qpEmbGH0JjaJbUdp21-y2cPbobDbMjr09BbtdKROZWc/edit#gid=1444865654"",""articles_with_PRISMA_reasons!B2:B2113"")),F2065
=""Include"",FILTER(IMPORTRAN"&amp;"GE(""https://docs.google.com/spreadsheets/d/1kGrh75X1cNR1D7_FcY9zMnHP8iPO4M5RCRjy6nZY0TY/edit#gid=0"",""Table 1: Study characteristics!A4:A171""), $A2065=IMPORTRANGE(""https://docs.google.com/spreadsheets/d/1kGrh75X1cNR1D7_FcY9zMnHP8iPO4M5RCRjy6nZY0TY/edi"&amp;"t#gid=0"",""Table 1: Study characteristics!B4:B171""))
)"),"wrong publication type")</f>
        <v>wrong publication type</v>
      </c>
    </row>
    <row r="2066">
      <c r="A2066" s="4" t="str">
        <f>IFERROR(__xludf.DUMMYFUNCTION("""COMPUTED_VALUE"""),"Vaginal delivery in a patient with spina bifida and a Mitrofanoff urinary diversion")</f>
        <v>Vaginal delivery in a patient with spina bifida and a Mitrofanoff urinary diversion</v>
      </c>
      <c r="B2066" s="5" t="str">
        <f>IFERROR(__xludf.DUMMYFUNCTION("LEFT(FILTER(IMPORTRANGE(""https://docs.google.com/spreadsheets/d/1BJSV3WBYJGRhQ6zExamkszQ5VutGIcaQqmbD9ZTVXMQ/edit#gid=1251630045"",""articles_with_PRISMA_reasons!K2:K2113""), $A2066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$A2066=IMPORTRANGE(""https://docs.google.com/spreadsheets/d/1BJSV3WBYJGRhQ6zExamkszQ5VutGIcaQqmbD9ZTVXMQ/edit#gid=1251630045"",""articles_with_PRISMA_reasons!B2:B2113"")))-1)"),"Roberts")</f>
        <v>Roberts</v>
      </c>
      <c r="C2066" s="6">
        <f>IFERROR(__xludf.DUMMYFUNCTION("FILTER(IMPORTRANGE(""https://docs.google.com/spreadsheets/d/1BJSV3WBYJGRhQ6zExamkszQ5VutGIcaQqmbD9ZTVXMQ/edit#gid=1251630045"",""articles_with_PRISMA_reasons!C2:C2113""), $A2066=IMPORTRANGE(""https://docs.google.com/spreadsheets/d/1BJSV3WBYJGRhQ6zExamkszQ"&amp;"5VutGIcaQqmbD9ZTVXMQ/edit#gid=1251630045"",""articles_with_PRISMA_reasons!B2:B2113""))"),2004.0)</f>
        <v>2004</v>
      </c>
      <c r="D2066" s="5" t="str">
        <f>IFERROR(__xludf.DUMMYFUNCTION("IFS(AND(
FILTER(IMPORTRANGE(""https://docs.google.com/spreadsheets/d/1BJSV3WBYJGRhQ6zExamkszQ5VutGIcaQqmbD9ZTVXMQ/edit#gid=1251630045"",""articles_with_PRISMA_reasons!Y2:Y2113""), $A2066=IMPORTRANGE(""https://docs.google.com/spreadsheets/d/1BJSV3WBYJGRhQ6"&amp;"zExamkszQ5VutGIcaQqmbD9ZTVXMQ/edit#gid=1251630045"",""articles_with_PRISMA_reasons!B2:B2113""))&gt;=2,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$A2066=IMPORTRANGE(""https://docs.google.com/spreadsheets/d/1BJSV3WBYJGRhQ6zExamkszQ5VutGIcaQqmbD9ZTVXMQ/edit#gid=1251630045"",""articles_with_PRISMA_reasons!B2:B2113""))&lt;2),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$A2066=IMPORTRANGE(""https://docs.google.com/spreadsheets/d/1BJSV3WBYJGRhQ6zExamkszQ5VutGIcaQqmbD9ZTVXMQ/edit#gid=1251630045"",""a"&amp;"rticles_with_PRISMA_reasons!B2:B2113""))&lt;2,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$A2066=IMPORTRANGE(""https://docs.google"&amp;".com/spreadsheets/d/1BJSV3WBYJGRhQ6zExamkszQ5VutGIcaQqmbD9ZTVXMQ/edit#gid=1251630045"",""articles_with_PRISMA_reasons!B2:B2113""))&gt;=2),
""Exclude""
)"),"Exclude")</f>
        <v>Exclude</v>
      </c>
      <c r="E2066" s="5" t="str">
        <f>IFERROR(__xludf.DUMMYFUNCTION("IFS(
D2066=""Exclude"",""Exclude"",
AND(
FILTER(IMPORTRANGE(""https://docs.google.com/spreadsheets/d/1qpEmbGH0JjaJbUdp21-y2cPbobDbMjr09BbtdKROZWc/edit#gid=1444865654"",""articles_with_PRISMA_reasons!W2:W2113""), $A2066=IMPORTRANGE(""https://docs.google.co"&amp;"m/spreadsheets/d/1qpEmbGH0JjaJbUdp21-y2cPbobDbMjr09BbtdKROZWc/edit#gid=1444865654"",""articles_with_PRISMA_reasons!B2:B2113""))&gt;=2,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$A2066=IMPORTRANGE(""https://docs.google.com/spreadsheets/d/1qpEmbGH0JjaJbUdp21-y2cPbobDbMjr09BbtdKROZWc/edit#gid=1444865654"",""articles_with_PRISMA_reasons!B2:B2113""))&lt;2),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$A2066=IMPORTRANGE(""https://docs.google.com/spreadsheets/d/1qpEmbGH0JjaJbUdp21-y2cPbobDbMjr09Bbtd"&amp;"KROZWc/edit#gid=1444865654"",""articles_with_PRISMA_reasons!B2:B2113""))&lt;2,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$A2066=I"&amp;"MPORTRANGE(""https://docs.google.com/spreadsheets/d/1qpEmbGH0JjaJbUdp21-y2cPbobDbMjr09BbtdKROZWc/edit#gid=1444865654"",""articles_with_PRISMA_reasons!B2:B2113""))&gt;=2),
""Exclude""
)"),"Exclude")</f>
        <v>Exclude</v>
      </c>
      <c r="F2066" s="5" t="str">
        <f>IFERROR(__xludf.DUMMYFUNCTION("IFS(
E2066=""Exclude"",""Exclude"",
AND(
COUNTIF(
IMPORTRANGE(""https://docs.google.com/spreadsheets/d/1kGrh75X1cNR1D7_FcY9zMnHP8iPO4M5RCRjy6nZY0TY/edit#gid=0"",""Table 1: Study characteristics!B4:B171""),A2066)&gt;0,
COUNTIF(Studies!$A$2:$A$85,FILTER(IMPORT"&amp;"RANGE(""https://docs.google.com/spreadsheets/d/1kGrh75X1cNR1D7_FcY9zMnHP8iPO4M5RCRjy6nZY0TY/edit#gid=0"",""Table 1: Study characteristics!A4:A171""), $A2066=IMPORTRANGE(""https://docs.google.com/spreadsheets/d/1kGrh75X1cNR1D7_FcY9zMnHP8iPO4M5RCRjy6nZY0TY/"&amp;"edit#gid=0"",""Table 1: Study characteristics!B4:B171"")))&gt;0
),
""Include""
)"),"Exclude")</f>
        <v>Exclude</v>
      </c>
      <c r="G2066" s="5" t="str">
        <f>IFERROR(__xludf.DUMMYFUNCTION("IFS(
D2066=""Exclude"",
FILTER(IMPORTRANGE(""https://docs.google.com/spreadsheets/d/1BJSV3WBYJGRhQ6zExamkszQ5VutGIcaQqmbD9ZTVXMQ/edit#gid=1251630045"",""articles_with_PRISMA_reasons!AB2:AB2113""), $A2066=IMPORTRANGE(""https://docs.google.com/spreadsheets/"&amp;"d/1BJSV3WBYJGRhQ6zExamkszQ5VutGIcaQqmbD9ZTVXMQ/edit#gid=1251630045"",""articles_with_PRISMA_reasons!B2:B2113"")),
E2066=""Exclude"",
FILTER(IMPORTRANGE(""https://docs.google.com/spreadsheets/d/1qpEmbGH0JjaJbUdp21-y2cPbobDbMjr09BbtdKROZWc/edit#gid=14448656"&amp;"54"",""articles_with_PRISMA_reasons!Z2:Z2113""), $A2066=IMPORTRANGE(""https://docs.google.com/spreadsheets/d/1qpEmbGH0JjaJbUdp21-y2cPbobDbMjr09BbtdKROZWc/edit#gid=1444865654"",""articles_with_PRISMA_reasons!B2:B2113"")),F2066
=""Include"",FILTER(IMPORTRAN"&amp;"GE(""https://docs.google.com/spreadsheets/d/1kGrh75X1cNR1D7_FcY9zMnHP8iPO4M5RCRjy6nZY0TY/edit#gid=0"",""Table 1: Study characteristics!A4:A171""), $A2066=IMPORTRANGE(""https://docs.google.com/spreadsheets/d/1kGrh75X1cNR1D7_FcY9zMnHP8iPO4M5RCRjy6nZY0TY/edi"&amp;"t#gid=0"",""Table 1: Study characteristics!B4:B171""))
)"),"wrong study design")</f>
        <v>wrong study design</v>
      </c>
    </row>
    <row r="2067">
      <c r="A2067" s="4" t="str">
        <f>IFERROR(__xludf.DUMMYFUNCTION("""COMPUTED_VALUE"""),"Valproate fetopathy")</f>
        <v>Valproate fetopathy</v>
      </c>
      <c r="B2067" s="5" t="str">
        <f>IFERROR(__xludf.DUMMYFUNCTION("LEFT(FILTER(IMPORTRANGE(""https://docs.google.com/spreadsheets/d/1BJSV3WBYJGRhQ6zExamkszQ5VutGIcaQqmbD9ZTVXMQ/edit#gid=1251630045"",""articles_with_PRISMA_reasons!K2:K2113""), $A2067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$A2067=IMPORTRANGE(""https://docs.google.com/spreadsheets/d/1BJSV3WBYJGRhQ6zExamkszQ5VutGIcaQqmbD9ZTVXMQ/edit#gid=1251630045"",""articles_with_PRISMA_reasons!B2:B2113"")))-1)"),"Sargar")</f>
        <v>Sargar</v>
      </c>
      <c r="C2067" s="6">
        <f>IFERROR(__xludf.DUMMYFUNCTION("FILTER(IMPORTRANGE(""https://docs.google.com/spreadsheets/d/1BJSV3WBYJGRhQ6zExamkszQ5VutGIcaQqmbD9ZTVXMQ/edit#gid=1251630045"",""articles_with_PRISMA_reasons!C2:C2113""), $A2067=IMPORTRANGE(""https://docs.google.com/spreadsheets/d/1BJSV3WBYJGRhQ6zExamkszQ"&amp;"5VutGIcaQqmbD9ZTVXMQ/edit#gid=1251630045"",""articles_with_PRISMA_reasons!B2:B2113""))"),2015.0)</f>
        <v>2015</v>
      </c>
      <c r="D2067" s="5" t="str">
        <f>IFERROR(__xludf.DUMMYFUNCTION("IFS(AND(
FILTER(IMPORTRANGE(""https://docs.google.com/spreadsheets/d/1BJSV3WBYJGRhQ6zExamkszQ5VutGIcaQqmbD9ZTVXMQ/edit#gid=1251630045"",""articles_with_PRISMA_reasons!Y2:Y2113""), $A2067=IMPORTRANGE(""https://docs.google.com/spreadsheets/d/1BJSV3WBYJGRhQ6"&amp;"zExamkszQ5VutGIcaQqmbD9ZTVXMQ/edit#gid=1251630045"",""articles_with_PRISMA_reasons!B2:B2113""))&gt;=2,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$A2067=IMPORTRANGE(""https://docs.google.com/spreadsheets/d/1BJSV3WBYJGRhQ6zExamkszQ5VutGIcaQqmbD9ZTVXMQ/edit#gid=1251630045"",""articles_with_PRISMA_reasons!B2:B2113""))&lt;2),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$A2067=IMPORTRANGE(""https://docs.google.com/spreadsheets/d/1BJSV3WBYJGRhQ6zExamkszQ5VutGIcaQqmbD9ZTVXMQ/edit#gid=1251630045"",""a"&amp;"rticles_with_PRISMA_reasons!B2:B2113""))&lt;2,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$A2067=IMPORTRANGE(""https://docs.google"&amp;".com/spreadsheets/d/1BJSV3WBYJGRhQ6zExamkszQ5VutGIcaQqmbD9ZTVXMQ/edit#gid=1251630045"",""articles_with_PRISMA_reasons!B2:B2113""))&gt;=2),
""Exclude""
)"),"Exclude")</f>
        <v>Exclude</v>
      </c>
      <c r="E2067" s="5" t="str">
        <f>IFERROR(__xludf.DUMMYFUNCTION("IFS(
D2067=""Exclude"",""Exclude"",
AND(
FILTER(IMPORTRANGE(""https://docs.google.com/spreadsheets/d/1qpEmbGH0JjaJbUdp21-y2cPbobDbMjr09BbtdKROZWc/edit#gid=1444865654"",""articles_with_PRISMA_reasons!W2:W2113""), $A2067=IMPORTRANGE(""https://docs.google.co"&amp;"m/spreadsheets/d/1qpEmbGH0JjaJbUdp21-y2cPbobDbMjr09BbtdKROZWc/edit#gid=1444865654"",""articles_with_PRISMA_reasons!B2:B2113""))&gt;=2,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$A2067=IMPORTRANGE(""https://docs.google.com/spreadsheets/d/1qpEmbGH0JjaJbUdp21-y2cPbobDbMjr09BbtdKROZWc/edit#gid=1444865654"",""articles_with_PRISMA_reasons!B2:B2113""))&lt;2),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$A2067=IMPORTRANGE(""https://docs.google.com/spreadsheets/d/1qpEmbGH0JjaJbUdp21-y2cPbobDbMjr09Bbtd"&amp;"KROZWc/edit#gid=1444865654"",""articles_with_PRISMA_reasons!B2:B2113""))&lt;2,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$A2067=I"&amp;"MPORTRANGE(""https://docs.google.com/spreadsheets/d/1qpEmbGH0JjaJbUdp21-y2cPbobDbMjr09BbtdKROZWc/edit#gid=1444865654"",""articles_with_PRISMA_reasons!B2:B2113""))&gt;=2),
""Exclude""
)"),"Exclude")</f>
        <v>Exclude</v>
      </c>
      <c r="F2067" s="5" t="str">
        <f>IFERROR(__xludf.DUMMYFUNCTION("IFS(
E2067=""Exclude"",""Exclude"",
AND(
COUNTIF(
IMPORTRANGE(""https://docs.google.com/spreadsheets/d/1kGrh75X1cNR1D7_FcY9zMnHP8iPO4M5RCRjy6nZY0TY/edit#gid=0"",""Table 1: Study characteristics!B4:B171""),A2067)&gt;0,
COUNTIF(Studies!$A$2:$A$85,FILTER(IMPORT"&amp;"RANGE(""https://docs.google.com/spreadsheets/d/1kGrh75X1cNR1D7_FcY9zMnHP8iPO4M5RCRjy6nZY0TY/edit#gid=0"",""Table 1: Study characteristics!A4:A171""), $A2067=IMPORTRANGE(""https://docs.google.com/spreadsheets/d/1kGrh75X1cNR1D7_FcY9zMnHP8iPO4M5RCRjy6nZY0TY/"&amp;"edit#gid=0"",""Table 1: Study characteristics!B4:B171"")))&gt;0
),
""Include""
)"),"Exclude")</f>
        <v>Exclude</v>
      </c>
      <c r="G2067" s="5" t="str">
        <f>IFERROR(__xludf.DUMMYFUNCTION("IFS(
D2067=""Exclude"",
FILTER(IMPORTRANGE(""https://docs.google.com/spreadsheets/d/1BJSV3WBYJGRhQ6zExamkszQ5VutGIcaQqmbD9ZTVXMQ/edit#gid=1251630045"",""articles_with_PRISMA_reasons!AB2:AB2113""), $A2067=IMPORTRANGE(""https://docs.google.com/spreadsheets/"&amp;"d/1BJSV3WBYJGRhQ6zExamkszQ5VutGIcaQqmbD9ZTVXMQ/edit#gid=1251630045"",""articles_with_PRISMA_reasons!B2:B2113"")),
E2067=""Exclude"",
FILTER(IMPORTRANGE(""https://docs.google.com/spreadsheets/d/1qpEmbGH0JjaJbUdp21-y2cPbobDbMjr09BbtdKROZWc/edit#gid=14448656"&amp;"54"",""articles_with_PRISMA_reasons!Z2:Z2113""), $A2067=IMPORTRANGE(""https://docs.google.com/spreadsheets/d/1qpEmbGH0JjaJbUdp21-y2cPbobDbMjr09BbtdKROZWc/edit#gid=1444865654"",""articles_with_PRISMA_reasons!B2:B2113"")),F2067
=""Include"",FILTER(IMPORTRAN"&amp;"GE(""https://docs.google.com/spreadsheets/d/1kGrh75X1cNR1D7_FcY9zMnHP8iPO4M5RCRjy6nZY0TY/edit#gid=0"",""Table 1: Study characteristics!A4:A171""), $A2067=IMPORTRANGE(""https://docs.google.com/spreadsheets/d/1kGrh75X1cNR1D7_FcY9zMnHP8iPO4M5RCRjy6nZY0TY/edi"&amp;"t#gid=0"",""Table 1: Study characteristics!B4:B171""))
)"),"wrong study design")</f>
        <v>wrong study design</v>
      </c>
    </row>
    <row r="2068">
      <c r="A2068" s="4" t="str">
        <f>IFERROR(__xludf.DUMMYFUNCTION("""COMPUTED_VALUE"""),"Value of dynamometry in assessing upper extremity function in children with myelomeningocele")</f>
        <v>Value of dynamometry in assessing upper extremity function in children with myelomeningocele</v>
      </c>
      <c r="B2068" s="5" t="str">
        <f>IFERROR(__xludf.DUMMYFUNCTION("LEFT(FILTER(IMPORTRANGE(""https://docs.google.com/spreadsheets/d/1BJSV3WBYJGRhQ6zExamkszQ5VutGIcaQqmbD9ZTVXMQ/edit#gid=1251630045"",""articles_with_PRISMA_reasons!K2:K2113""), $A2068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$A2068=IMPORTRANGE(""https://docs.google.com/spreadsheets/d/1BJSV3WBYJGRhQ6zExamkszQ5VutGIcaQqmbD9ZTVXMQ/edit#gid=1251630045"",""articles_with_PRISMA_reasons!B2:B2113"")))-1)"),"Aronin")</f>
        <v>Aronin</v>
      </c>
      <c r="C2068" s="6">
        <f>IFERROR(__xludf.DUMMYFUNCTION("FILTER(IMPORTRANGE(""https://docs.google.com/spreadsheets/d/1BJSV3WBYJGRhQ6zExamkszQ5VutGIcaQqmbD9ZTVXMQ/edit#gid=1251630045"",""articles_with_PRISMA_reasons!C2:C2113""), $A2068=IMPORTRANGE(""https://docs.google.com/spreadsheets/d/1BJSV3WBYJGRhQ6zExamkszQ"&amp;"5VutGIcaQqmbD9ZTVXMQ/edit#gid=1251630045"",""articles_with_PRISMA_reasons!B2:B2113""))"),1995.0)</f>
        <v>1995</v>
      </c>
      <c r="D2068" s="5" t="str">
        <f>IFERROR(__xludf.DUMMYFUNCTION("IFS(AND(
FILTER(IMPORTRANGE(""https://docs.google.com/spreadsheets/d/1BJSV3WBYJGRhQ6zExamkszQ5VutGIcaQqmbD9ZTVXMQ/edit#gid=1251630045"",""articles_with_PRISMA_reasons!Y2:Y2113""), $A2068=IMPORTRANGE(""https://docs.google.com/spreadsheets/d/1BJSV3WBYJGRhQ6"&amp;"zExamkszQ5VutGIcaQqmbD9ZTVXMQ/edit#gid=1251630045"",""articles_with_PRISMA_reasons!B2:B2113""))&gt;=2,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$A2068=IMPORTRANGE(""https://docs.google.com/spreadsheets/d/1BJSV3WBYJGRhQ6zExamkszQ5VutGIcaQqmbD9ZTVXMQ/edit#gid=1251630045"",""articles_with_PRISMA_reasons!B2:B2113""))&lt;2),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$A2068=IMPORTRANGE(""https://docs.google.com/spreadsheets/d/1BJSV3WBYJGRhQ6zExamkszQ5VutGIcaQqmbD9ZTVXMQ/edit#gid=1251630045"",""a"&amp;"rticles_with_PRISMA_reasons!B2:B2113""))&lt;2,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$A2068=IMPORTRANGE(""https://docs.google"&amp;".com/spreadsheets/d/1BJSV3WBYJGRhQ6zExamkszQ5VutGIcaQqmbD9ZTVXMQ/edit#gid=1251630045"",""articles_with_PRISMA_reasons!B2:B2113""))&gt;=2),
""Exclude""
)"),"Exclude")</f>
        <v>Exclude</v>
      </c>
      <c r="E2068" s="5" t="str">
        <f>IFERROR(__xludf.DUMMYFUNCTION("IFS(
D2068=""Exclude"",""Exclude"",
AND(
FILTER(IMPORTRANGE(""https://docs.google.com/spreadsheets/d/1qpEmbGH0JjaJbUdp21-y2cPbobDbMjr09BbtdKROZWc/edit#gid=1444865654"",""articles_with_PRISMA_reasons!W2:W2113""), $A2068=IMPORTRANGE(""https://docs.google.co"&amp;"m/spreadsheets/d/1qpEmbGH0JjaJbUdp21-y2cPbobDbMjr09BbtdKROZWc/edit#gid=1444865654"",""articles_with_PRISMA_reasons!B2:B2113""))&gt;=2,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$A2068=IMPORTRANGE(""https://docs.google.com/spreadsheets/d/1qpEmbGH0JjaJbUdp21-y2cPbobDbMjr09BbtdKROZWc/edit#gid=1444865654"",""articles_with_PRISMA_reasons!B2:B2113""))&lt;2),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$A2068=IMPORTRANGE(""https://docs.google.com/spreadsheets/d/1qpEmbGH0JjaJbUdp21-y2cPbobDbMjr09Bbtd"&amp;"KROZWc/edit#gid=1444865654"",""articles_with_PRISMA_reasons!B2:B2113""))&lt;2,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$A2068=I"&amp;"MPORTRANGE(""https://docs.google.com/spreadsheets/d/1qpEmbGH0JjaJbUdp21-y2cPbobDbMjr09BbtdKROZWc/edit#gid=1444865654"",""articles_with_PRISMA_reasons!B2:B2113""))&gt;=2),
""Exclude""
)"),"Exclude")</f>
        <v>Exclude</v>
      </c>
      <c r="F2068" s="5" t="str">
        <f>IFERROR(__xludf.DUMMYFUNCTION("IFS(
E2068=""Exclude"",""Exclude"",
AND(
COUNTIF(
IMPORTRANGE(""https://docs.google.com/spreadsheets/d/1kGrh75X1cNR1D7_FcY9zMnHP8iPO4M5RCRjy6nZY0TY/edit#gid=0"",""Table 1: Study characteristics!B4:B171""),A2068)&gt;0,
COUNTIF(Studies!$A$2:$A$85,FILTER(IMPORT"&amp;"RANGE(""https://docs.google.com/spreadsheets/d/1kGrh75X1cNR1D7_FcY9zMnHP8iPO4M5RCRjy6nZY0TY/edit#gid=0"",""Table 1: Study characteristics!A4:A171""), $A2068=IMPORTRANGE(""https://docs.google.com/spreadsheets/d/1kGrh75X1cNR1D7_FcY9zMnHP8iPO4M5RCRjy6nZY0TY/"&amp;"edit#gid=0"",""Table 1: Study characteristics!B4:B171"")))&gt;0
),
""Include""
)"),"Exclude")</f>
        <v>Exclude</v>
      </c>
      <c r="G2068" s="5" t="str">
        <f>IFERROR(__xludf.DUMMYFUNCTION("IFS(
D2068=""Exclude"",
FILTER(IMPORTRANGE(""https://docs.google.com/spreadsheets/d/1BJSV3WBYJGRhQ6zExamkszQ5VutGIcaQqmbD9ZTVXMQ/edit#gid=1251630045"",""articles_with_PRISMA_reasons!AB2:AB2113""), $A2068=IMPORTRANGE(""https://docs.google.com/spreadsheets/"&amp;"d/1BJSV3WBYJGRhQ6zExamkszQ5VutGIcaQqmbD9ZTVXMQ/edit#gid=1251630045"",""articles_with_PRISMA_reasons!B2:B2113"")),
E2068=""Exclude"",
FILTER(IMPORTRANGE(""https://docs.google.com/spreadsheets/d/1qpEmbGH0JjaJbUdp21-y2cPbobDbMjr09BbtdKROZWc/edit#gid=14448656"&amp;"54"",""articles_with_PRISMA_reasons!Z2:Z2113""), $A2068=IMPORTRANGE(""https://docs.google.com/spreadsheets/d/1qpEmbGH0JjaJbUdp21-y2cPbobDbMjr09BbtdKROZWc/edit#gid=1444865654"",""articles_with_PRISMA_reasons!B2:B2113"")),F2068
=""Include"",FILTER(IMPORTRAN"&amp;"GE(""https://docs.google.com/spreadsheets/d/1kGrh75X1cNR1D7_FcY9zMnHP8iPO4M5RCRjy6nZY0TY/edit#gid=0"",""Table 1: Study characteristics!A4:A171""), $A2068=IMPORTRANGE(""https://docs.google.com/spreadsheets/d/1kGrh75X1cNR1D7_FcY9zMnHP8iPO4M5RCRjy6nZY0TY/edi"&amp;"t#gid=0"",""Table 1: Study characteristics!B4:B171""))
)"),"wrong population")</f>
        <v>wrong population</v>
      </c>
    </row>
    <row r="2069">
      <c r="A2069" s="4" t="str">
        <f>IFERROR(__xludf.DUMMYFUNCTION("""COMPUTED_VALUE"""),"Value of endoscopic third ventriculostomy instead of shunt revision")</f>
        <v>Value of endoscopic third ventriculostomy instead of shunt revision</v>
      </c>
      <c r="B2069" s="5" t="str">
        <f>IFERROR(__xludf.DUMMYFUNCTION("LEFT(FILTER(IMPORTRANGE(""https://docs.google.com/spreadsheets/d/1BJSV3WBYJGRhQ6zExamkszQ5VutGIcaQqmbD9ZTVXMQ/edit#gid=1251630045"",""articles_with_PRISMA_reasons!K2:K2113""), $A2069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$A2069=IMPORTRANGE(""https://docs.google.com/spreadsheets/d/1BJSV3WBYJGRhQ6zExamkszQ5VutGIcaQqmbD9ZTVXMQ/edit#gid=1251630045"",""articles_with_PRISMA_reasons!B2:B2113"")))-1)"),"Baldauf")</f>
        <v>Baldauf</v>
      </c>
      <c r="C2069" s="6">
        <f>IFERROR(__xludf.DUMMYFUNCTION("FILTER(IMPORTRANGE(""https://docs.google.com/spreadsheets/d/1BJSV3WBYJGRhQ6zExamkszQ5VutGIcaQqmbD9ZTVXMQ/edit#gid=1251630045"",""articles_with_PRISMA_reasons!C2:C2113""), $A2069=IMPORTRANGE(""https://docs.google.com/spreadsheets/d/1BJSV3WBYJGRhQ6zExamkszQ"&amp;"5VutGIcaQqmbD9ZTVXMQ/edit#gid=1251630045"",""articles_with_PRISMA_reasons!B2:B2113""))"),2010.0)</f>
        <v>2010</v>
      </c>
      <c r="D2069" s="5" t="str">
        <f>IFERROR(__xludf.DUMMYFUNCTION("IFS(AND(
FILTER(IMPORTRANGE(""https://docs.google.com/spreadsheets/d/1BJSV3WBYJGRhQ6zExamkszQ5VutGIcaQqmbD9ZTVXMQ/edit#gid=1251630045"",""articles_with_PRISMA_reasons!Y2:Y2113""), $A2069=IMPORTRANGE(""https://docs.google.com/spreadsheets/d/1BJSV3WBYJGRhQ6"&amp;"zExamkszQ5VutGIcaQqmbD9ZTVXMQ/edit#gid=1251630045"",""articles_with_PRISMA_reasons!B2:B2113""))&gt;=2,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$A2069=IMPORTRANGE(""https://docs.google.com/spreadsheets/d/1BJSV3WBYJGRhQ6zExamkszQ5VutGIcaQqmbD9ZTVXMQ/edit#gid=1251630045"",""articles_with_PRISMA_reasons!B2:B2113""))&lt;2),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$A2069=IMPORTRANGE(""https://docs.google.com/spreadsheets/d/1BJSV3WBYJGRhQ6zExamkszQ5VutGIcaQqmbD9ZTVXMQ/edit#gid=1251630045"",""a"&amp;"rticles_with_PRISMA_reasons!B2:B2113""))&lt;2,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$A2069=IMPORTRANGE(""https://docs.google"&amp;".com/spreadsheets/d/1BJSV3WBYJGRhQ6zExamkszQ5VutGIcaQqmbD9ZTVXMQ/edit#gid=1251630045"",""articles_with_PRISMA_reasons!B2:B2113""))&gt;=2),
""Exclude""
)"),"Include")</f>
        <v>Include</v>
      </c>
      <c r="E2069" s="5" t="str">
        <f>IFERROR(__xludf.DUMMYFUNCTION("IFS(
D2069=""Exclude"",""Exclude"",
AND(
FILTER(IMPORTRANGE(""https://docs.google.com/spreadsheets/d/1qpEmbGH0JjaJbUdp21-y2cPbobDbMjr09BbtdKROZWc/edit#gid=1444865654"",""articles_with_PRISMA_reasons!W2:W2113""), $A2069=IMPORTRANGE(""https://docs.google.co"&amp;"m/spreadsheets/d/1qpEmbGH0JjaJbUdp21-y2cPbobDbMjr09BbtdKROZWc/edit#gid=1444865654"",""articles_with_PRISMA_reasons!B2:B2113""))&gt;=2,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$A2069=IMPORTRANGE(""https://docs.google.com/spreadsheets/d/1qpEmbGH0JjaJbUdp21-y2cPbobDbMjr09BbtdKROZWc/edit#gid=1444865654"",""articles_with_PRISMA_reasons!B2:B2113""))&lt;2),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$A2069=IMPORTRANGE(""https://docs.google.com/spreadsheets/d/1qpEmbGH0JjaJbUdp21-y2cPbobDbMjr09Bbtd"&amp;"KROZWc/edit#gid=1444865654"",""articles_with_PRISMA_reasons!B2:B2113""))&lt;2,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$A2069=I"&amp;"MPORTRANGE(""https://docs.google.com/spreadsheets/d/1qpEmbGH0JjaJbUdp21-y2cPbobDbMjr09BbtdKROZWc/edit#gid=1444865654"",""articles_with_PRISMA_reasons!B2:B2113""))&gt;=2),
""Exclude""
)"),"Exclude")</f>
        <v>Exclude</v>
      </c>
      <c r="F2069" s="5" t="str">
        <f>IFERROR(__xludf.DUMMYFUNCTION("IFS(
E2069=""Exclude"",""Exclude"",
AND(
COUNTIF(
IMPORTRANGE(""https://docs.google.com/spreadsheets/d/1kGrh75X1cNR1D7_FcY9zMnHP8iPO4M5RCRjy6nZY0TY/edit#gid=0"",""Table 1: Study characteristics!B4:B171""),A2069)&gt;0,
COUNTIF(Studies!$A$2:$A$85,FILTER(IMPORT"&amp;"RANGE(""https://docs.google.com/spreadsheets/d/1kGrh75X1cNR1D7_FcY9zMnHP8iPO4M5RCRjy6nZY0TY/edit#gid=0"",""Table 1: Study characteristics!A4:A171""), $A2069=IMPORTRANGE(""https://docs.google.com/spreadsheets/d/1kGrh75X1cNR1D7_FcY9zMnHP8iPO4M5RCRjy6nZY0TY/"&amp;"edit#gid=0"",""Table 1: Study characteristics!B4:B171"")))&gt;0
),
""Include""
)"),"Exclude")</f>
        <v>Exclude</v>
      </c>
      <c r="G2069" s="5" t="str">
        <f>IFERROR(__xludf.DUMMYFUNCTION("IFS(
D2069=""Exclude"",
FILTER(IMPORTRANGE(""https://docs.google.com/spreadsheets/d/1BJSV3WBYJGRhQ6zExamkszQ5VutGIcaQqmbD9ZTVXMQ/edit#gid=1251630045"",""articles_with_PRISMA_reasons!AB2:AB2113""), $A2069=IMPORTRANGE(""https://docs.google.com/spreadsheets/"&amp;"d/1BJSV3WBYJGRhQ6zExamkszQ5VutGIcaQqmbD9ZTVXMQ/edit#gid=1251630045"",""articles_with_PRISMA_reasons!B2:B2113"")),
E2069=""Exclude"",
FILTER(IMPORTRANGE(""https://docs.google.com/spreadsheets/d/1qpEmbGH0JjaJbUdp21-y2cPbobDbMjr09BbtdKROZWc/edit#gid=14448656"&amp;"54"",""articles_with_PRISMA_reasons!Z2:Z2113""), $A2069=IMPORTRANGE(""https://docs.google.com/spreadsheets/d/1qpEmbGH0JjaJbUdp21-y2cPbobDbMjr09BbtdKROZWc/edit#gid=1444865654"",""articles_with_PRISMA_reasons!B2:B2113"")),F2069
=""Include"",FILTER(IMPORTRAN"&amp;"GE(""https://docs.google.com/spreadsheets/d/1kGrh75X1cNR1D7_FcY9zMnHP8iPO4M5RCRjy6nZY0TY/edit#gid=0"",""Table 1: Study characteristics!A4:A171""), $A2069=IMPORTRANGE(""https://docs.google.com/spreadsheets/d/1kGrh75X1cNR1D7_FcY9zMnHP8iPO4M5RCRjy6nZY0TY/edi"&amp;"t#gid=0"",""Table 1: Study characteristics!B4:B171""))
)"),"wrong population")</f>
        <v>wrong population</v>
      </c>
    </row>
    <row r="2070">
      <c r="A2070" s="4" t="str">
        <f>IFERROR(__xludf.DUMMYFUNCTION("""COMPUTED_VALUE"""),"Vanishing cerebellum in myelomeningocoele")</f>
        <v>Vanishing cerebellum in myelomeningocoele</v>
      </c>
      <c r="B2070" s="5" t="str">
        <f>IFERROR(__xludf.DUMMYFUNCTION("LEFT(FILTER(IMPORTRANGE(""https://docs.google.com/spreadsheets/d/1BJSV3WBYJGRhQ6zExamkszQ5VutGIcaQqmbD9ZTVXMQ/edit#gid=1251630045"",""articles_with_PRISMA_reasons!K2:K2113""), $A2070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$A2070=IMPORTRANGE(""https://docs.google.com/spreadsheets/d/1BJSV3WBYJGRhQ6zExamkszQ5VutGIcaQqmbD9ZTVXMQ/edit#gid=1251630045"",""articles_with_PRISMA_reasons!B2:B2113"")))-1)"),"Boltshauser")</f>
        <v>Boltshauser</v>
      </c>
      <c r="C2070" s="6">
        <f>IFERROR(__xludf.DUMMYFUNCTION("FILTER(IMPORTRANGE(""https://docs.google.com/spreadsheets/d/1BJSV3WBYJGRhQ6zExamkszQ5VutGIcaQqmbD9ZTVXMQ/edit#gid=1251630045"",""articles_with_PRISMA_reasons!C2:C2113""), $A2070=IMPORTRANGE(""https://docs.google.com/spreadsheets/d/1BJSV3WBYJGRhQ6zExamkszQ"&amp;"5VutGIcaQqmbD9ZTVXMQ/edit#gid=1251630045"",""articles_with_PRISMA_reasons!B2:B2113""))"),2002.0)</f>
        <v>2002</v>
      </c>
      <c r="D2070" s="5" t="str">
        <f>IFERROR(__xludf.DUMMYFUNCTION("IFS(AND(
FILTER(IMPORTRANGE(""https://docs.google.com/spreadsheets/d/1BJSV3WBYJGRhQ6zExamkszQ5VutGIcaQqmbD9ZTVXMQ/edit#gid=1251630045"",""articles_with_PRISMA_reasons!Y2:Y2113""), $A2070=IMPORTRANGE(""https://docs.google.com/spreadsheets/d/1BJSV3WBYJGRhQ6"&amp;"zExamkszQ5VutGIcaQqmbD9ZTVXMQ/edit#gid=1251630045"",""articles_with_PRISMA_reasons!B2:B2113""))&gt;=2,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$A2070=IMPORTRANGE(""https://docs.google.com/spreadsheets/d/1BJSV3WBYJGRhQ6zExamkszQ5VutGIcaQqmbD9ZTVXMQ/edit#gid=1251630045"",""articles_with_PRISMA_reasons!B2:B2113""))&lt;2),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$A2070=IMPORTRANGE(""https://docs.google.com/spreadsheets/d/1BJSV3WBYJGRhQ6zExamkszQ5VutGIcaQqmbD9ZTVXMQ/edit#gid=1251630045"",""a"&amp;"rticles_with_PRISMA_reasons!B2:B2113""))&lt;2,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$A2070=IMPORTRANGE(""https://docs.google"&amp;".com/spreadsheets/d/1BJSV3WBYJGRhQ6zExamkszQ5VutGIcaQqmbD9ZTVXMQ/edit#gid=1251630045"",""articles_with_PRISMA_reasons!B2:B2113""))&gt;=2),
""Exclude""
)"),"Exclude")</f>
        <v>Exclude</v>
      </c>
      <c r="E2070" s="5" t="str">
        <f>IFERROR(__xludf.DUMMYFUNCTION("IFS(
D2070=""Exclude"",""Exclude"",
AND(
FILTER(IMPORTRANGE(""https://docs.google.com/spreadsheets/d/1qpEmbGH0JjaJbUdp21-y2cPbobDbMjr09BbtdKROZWc/edit#gid=1444865654"",""articles_with_PRISMA_reasons!W2:W2113""), $A2070=IMPORTRANGE(""https://docs.google.co"&amp;"m/spreadsheets/d/1qpEmbGH0JjaJbUdp21-y2cPbobDbMjr09BbtdKROZWc/edit#gid=1444865654"",""articles_with_PRISMA_reasons!B2:B2113""))&gt;=2,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$A2070=IMPORTRANGE(""https://docs.google.com/spreadsheets/d/1qpEmbGH0JjaJbUdp21-y2cPbobDbMjr09BbtdKROZWc/edit#gid=1444865654"",""articles_with_PRISMA_reasons!B2:B2113""))&lt;2),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$A2070=IMPORTRANGE(""https://docs.google.com/spreadsheets/d/1qpEmbGH0JjaJbUdp21-y2cPbobDbMjr09Bbtd"&amp;"KROZWc/edit#gid=1444865654"",""articles_with_PRISMA_reasons!B2:B2113""))&lt;2,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$A2070=I"&amp;"MPORTRANGE(""https://docs.google.com/spreadsheets/d/1qpEmbGH0JjaJbUdp21-y2cPbobDbMjr09BbtdKROZWc/edit#gid=1444865654"",""articles_with_PRISMA_reasons!B2:B2113""))&gt;=2),
""Exclude""
)"),"Exclude")</f>
        <v>Exclude</v>
      </c>
      <c r="F2070" s="5" t="str">
        <f>IFERROR(__xludf.DUMMYFUNCTION("IFS(
E2070=""Exclude"",""Exclude"",
AND(
COUNTIF(
IMPORTRANGE(""https://docs.google.com/spreadsheets/d/1kGrh75X1cNR1D7_FcY9zMnHP8iPO4M5RCRjy6nZY0TY/edit#gid=0"",""Table 1: Study characteristics!B4:B171""),A2070)&gt;0,
COUNTIF(Studies!$A$2:$A$85,FILTER(IMPORT"&amp;"RANGE(""https://docs.google.com/spreadsheets/d/1kGrh75X1cNR1D7_FcY9zMnHP8iPO4M5RCRjy6nZY0TY/edit#gid=0"",""Table 1: Study characteristics!A4:A171""), $A2070=IMPORTRANGE(""https://docs.google.com/spreadsheets/d/1kGrh75X1cNR1D7_FcY9zMnHP8iPO4M5RCRjy6nZY0TY/"&amp;"edit#gid=0"",""Table 1: Study characteristics!B4:B171"")))&gt;0
),
""Include""
)"),"Exclude")</f>
        <v>Exclude</v>
      </c>
      <c r="G2070" s="5" t="str">
        <f>IFERROR(__xludf.DUMMYFUNCTION("IFS(
D2070=""Exclude"",
FILTER(IMPORTRANGE(""https://docs.google.com/spreadsheets/d/1BJSV3WBYJGRhQ6zExamkszQ5VutGIcaQqmbD9ZTVXMQ/edit#gid=1251630045"",""articles_with_PRISMA_reasons!AB2:AB2113""), $A2070=IMPORTRANGE(""https://docs.google.com/spreadsheets/"&amp;"d/1BJSV3WBYJGRhQ6zExamkszQ5VutGIcaQqmbD9ZTVXMQ/edit#gid=1251630045"",""articles_with_PRISMA_reasons!B2:B2113"")),
E2070=""Exclude"",
FILTER(IMPORTRANGE(""https://docs.google.com/spreadsheets/d/1qpEmbGH0JjaJbUdp21-y2cPbobDbMjr09BbtdKROZWc/edit#gid=14448656"&amp;"54"",""articles_with_PRISMA_reasons!Z2:Z2113""), $A2070=IMPORTRANGE(""https://docs.google.com/spreadsheets/d/1qpEmbGH0JjaJbUdp21-y2cPbobDbMjr09BbtdKROZWc/edit#gid=1444865654"",""articles_with_PRISMA_reasons!B2:B2113"")),F2070
=""Include"",FILTER(IMPORTRAN"&amp;"GE(""https://docs.google.com/spreadsheets/d/1kGrh75X1cNR1D7_FcY9zMnHP8iPO4M5RCRjy6nZY0TY/edit#gid=0"",""Table 1: Study characteristics!A4:A171""), $A2070=IMPORTRANGE(""https://docs.google.com/spreadsheets/d/1kGrh75X1cNR1D7_FcY9zMnHP8iPO4M5RCRjy6nZY0TY/edi"&amp;"t#gid=0"",""Table 1: Study characteristics!B4:B171""))
)"),"Duplicate")</f>
        <v>Duplicate</v>
      </c>
    </row>
    <row r="2071">
      <c r="A2071" s="4" t="str">
        <f>IFERROR(__xludf.DUMMYFUNCTION("""COMPUTED_VALUE"""),"Variation in hospital charges in patients with external ventricular drains: Comparison between the intensive care and surgical floor settings")</f>
        <v>Variation in hospital charges in patients with external ventricular drains: Comparison between the intensive care and surgical floor settings</v>
      </c>
      <c r="B2071" s="5" t="str">
        <f>IFERROR(__xludf.DUMMYFUNCTION("LEFT(FILTER(IMPORTRANGE(""https://docs.google.com/spreadsheets/d/1BJSV3WBYJGRhQ6zExamkszQ5VutGIcaQqmbD9ZTVXMQ/edit#gid=1251630045"",""articles_with_PRISMA_reasons!K2:K2113""), $A2071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$A2071=IMPORTRANGE(""https://docs.google.com/spreadsheets/d/1BJSV3WBYJGRhQ6zExamkszQ5VutGIcaQqmbD9ZTVXMQ/edit#gid=1251630045"",""articles_with_PRISMA_reasons!B2:B2113"")))-1)"),"Chu")</f>
        <v>Chu</v>
      </c>
      <c r="C2071" s="6">
        <f>IFERROR(__xludf.DUMMYFUNCTION("FILTER(IMPORTRANGE(""https://docs.google.com/spreadsheets/d/1BJSV3WBYJGRhQ6zExamkszQ5VutGIcaQqmbD9ZTVXMQ/edit#gid=1251630045"",""articles_with_PRISMA_reasons!C2:C2113""), $A2071=IMPORTRANGE(""https://docs.google.com/spreadsheets/d/1BJSV3WBYJGRhQ6zExamkszQ"&amp;"5VutGIcaQqmbD9ZTVXMQ/edit#gid=1251630045"",""articles_with_PRISMA_reasons!B2:B2113""))"),2019.0)</f>
        <v>2019</v>
      </c>
      <c r="D2071" s="5" t="str">
        <f>IFERROR(__xludf.DUMMYFUNCTION("IFS(AND(
FILTER(IMPORTRANGE(""https://docs.google.com/spreadsheets/d/1BJSV3WBYJGRhQ6zExamkszQ5VutGIcaQqmbD9ZTVXMQ/edit#gid=1251630045"",""articles_with_PRISMA_reasons!Y2:Y2113""), $A2071=IMPORTRANGE(""https://docs.google.com/spreadsheets/d/1BJSV3WBYJGRhQ6"&amp;"zExamkszQ5VutGIcaQqmbD9ZTVXMQ/edit#gid=1251630045"",""articles_with_PRISMA_reasons!B2:B2113""))&gt;=2,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$A2071=IMPORTRANGE(""https://docs.google.com/spreadsheets/d/1BJSV3WBYJGRhQ6zExamkszQ5VutGIcaQqmbD9ZTVXMQ/edit#gid=1251630045"",""articles_with_PRISMA_reasons!B2:B2113""))&lt;2),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$A2071=IMPORTRANGE(""https://docs.google.com/spreadsheets/d/1BJSV3WBYJGRhQ6zExamkszQ5VutGIcaQqmbD9ZTVXMQ/edit#gid=1251630045"",""a"&amp;"rticles_with_PRISMA_reasons!B2:B2113""))&lt;2,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$A2071=IMPORTRANGE(""https://docs.google"&amp;".com/spreadsheets/d/1BJSV3WBYJGRhQ6zExamkszQ5VutGIcaQqmbD9ZTVXMQ/edit#gid=1251630045"",""articles_with_PRISMA_reasons!B2:B2113""))&gt;=2),
""Exclude""
)"),"Exclude")</f>
        <v>Exclude</v>
      </c>
      <c r="E2071" s="5" t="str">
        <f>IFERROR(__xludf.DUMMYFUNCTION("IFS(
D2071=""Exclude"",""Exclude"",
AND(
FILTER(IMPORTRANGE(""https://docs.google.com/spreadsheets/d/1qpEmbGH0JjaJbUdp21-y2cPbobDbMjr09BbtdKROZWc/edit#gid=1444865654"",""articles_with_PRISMA_reasons!W2:W2113""), $A2071=IMPORTRANGE(""https://docs.google.co"&amp;"m/spreadsheets/d/1qpEmbGH0JjaJbUdp21-y2cPbobDbMjr09BbtdKROZWc/edit#gid=1444865654"",""articles_with_PRISMA_reasons!B2:B2113""))&gt;=2,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$A2071=IMPORTRANGE(""https://docs.google.com/spreadsheets/d/1qpEmbGH0JjaJbUdp21-y2cPbobDbMjr09BbtdKROZWc/edit#gid=1444865654"",""articles_with_PRISMA_reasons!B2:B2113""))&lt;2),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$A2071=IMPORTRANGE(""https://docs.google.com/spreadsheets/d/1qpEmbGH0JjaJbUdp21-y2cPbobDbMjr09Bbtd"&amp;"KROZWc/edit#gid=1444865654"",""articles_with_PRISMA_reasons!B2:B2113""))&lt;2,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$A2071=I"&amp;"MPORTRANGE(""https://docs.google.com/spreadsheets/d/1qpEmbGH0JjaJbUdp21-y2cPbobDbMjr09BbtdKROZWc/edit#gid=1444865654"",""articles_with_PRISMA_reasons!B2:B2113""))&gt;=2),
""Exclude""
)"),"Exclude")</f>
        <v>Exclude</v>
      </c>
      <c r="F2071" s="5" t="str">
        <f>IFERROR(__xludf.DUMMYFUNCTION("IFS(
E2071=""Exclude"",""Exclude"",
AND(
COUNTIF(
IMPORTRANGE(""https://docs.google.com/spreadsheets/d/1kGrh75X1cNR1D7_FcY9zMnHP8iPO4M5RCRjy6nZY0TY/edit#gid=0"",""Table 1: Study characteristics!B4:B171""),A2071)&gt;0,
COUNTIF(Studies!$A$2:$A$85,FILTER(IMPORT"&amp;"RANGE(""https://docs.google.com/spreadsheets/d/1kGrh75X1cNR1D7_FcY9zMnHP8iPO4M5RCRjy6nZY0TY/edit#gid=0"",""Table 1: Study characteristics!A4:A171""), $A2071=IMPORTRANGE(""https://docs.google.com/spreadsheets/d/1kGrh75X1cNR1D7_FcY9zMnHP8iPO4M5RCRjy6nZY0TY/"&amp;"edit#gid=0"",""Table 1: Study characteristics!B4:B171"")))&gt;0
),
""Include""
)"),"Exclude")</f>
        <v>Exclude</v>
      </c>
      <c r="G2071" s="5" t="str">
        <f>IFERROR(__xludf.DUMMYFUNCTION("IFS(
D2071=""Exclude"",
FILTER(IMPORTRANGE(""https://docs.google.com/spreadsheets/d/1BJSV3WBYJGRhQ6zExamkszQ5VutGIcaQqmbD9ZTVXMQ/edit#gid=1251630045"",""articles_with_PRISMA_reasons!AB2:AB2113""), $A2071=IMPORTRANGE(""https://docs.google.com/spreadsheets/"&amp;"d/1BJSV3WBYJGRhQ6zExamkszQ5VutGIcaQqmbD9ZTVXMQ/edit#gid=1251630045"",""articles_with_PRISMA_reasons!B2:B2113"")),
E2071=""Exclude"",
FILTER(IMPORTRANGE(""https://docs.google.com/spreadsheets/d/1qpEmbGH0JjaJbUdp21-y2cPbobDbMjr09BbtdKROZWc/edit#gid=14448656"&amp;"54"",""articles_with_PRISMA_reasons!Z2:Z2113""), $A2071=IMPORTRANGE(""https://docs.google.com/spreadsheets/d/1qpEmbGH0JjaJbUdp21-y2cPbobDbMjr09BbtdKROZWc/edit#gid=1444865654"",""articles_with_PRISMA_reasons!B2:B2113"")),F2071
=""Include"",FILTER(IMPORTRAN"&amp;"GE(""https://docs.google.com/spreadsheets/d/1kGrh75X1cNR1D7_FcY9zMnHP8iPO4M5RCRjy6nZY0TY/edit#gid=0"",""Table 1: Study characteristics!A4:A171""), $A2071=IMPORTRANGE(""https://docs.google.com/spreadsheets/d/1kGrh75X1cNR1D7_FcY9zMnHP8iPO4M5RCRjy6nZY0TY/edi"&amp;"t#gid=0"",""Table 1: Study characteristics!B4:B171""))
)"),"wrong population")</f>
        <v>wrong population</v>
      </c>
    </row>
    <row r="2072">
      <c r="A2072" s="4" t="str">
        <f>IFERROR(__xludf.DUMMYFUNCTION("""COMPUTED_VALUE"""),"Variations of endoscopic ventricular anatomy in children suffering from Hydrocephalus associated with myelomeningocele")</f>
        <v>Variations of endoscopic ventricular anatomy in children suffering from Hydrocephalus associated with myelomeningocele</v>
      </c>
      <c r="B2072" s="5" t="str">
        <f>IFERROR(__xludf.DUMMYFUNCTION("LEFT(FILTER(IMPORTRANGE(""https://docs.google.com/spreadsheets/d/1BJSV3WBYJGRhQ6zExamkszQ5VutGIcaQqmbD9ZTVXMQ/edit#gid=1251630045"",""articles_with_PRISMA_reasons!K2:K2113""), $A2072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$A2072=IMPORTRANGE(""https://docs.google.com/spreadsheets/d/1BJSV3WBYJGRhQ6zExamkszQ5VutGIcaQqmbD9ZTVXMQ/edit#gid=1251630045"",""articles_with_PRISMA_reasons!B2:B2113"")))-1)"),"Kadri")</f>
        <v>Kadri</v>
      </c>
      <c r="C2072" s="6">
        <f>IFERROR(__xludf.DUMMYFUNCTION("FILTER(IMPORTRANGE(""https://docs.google.com/spreadsheets/d/1BJSV3WBYJGRhQ6zExamkszQ5VutGIcaQqmbD9ZTVXMQ/edit#gid=1251630045"",""articles_with_PRISMA_reasons!C2:C2113""), $A2072=IMPORTRANGE(""https://docs.google.com/spreadsheets/d/1BJSV3WBYJGRhQ6zExamkszQ"&amp;"5VutGIcaQqmbD9ZTVXMQ/edit#gid=1251630045"",""articles_with_PRISMA_reasons!B2:B2113""))"),2004.0)</f>
        <v>2004</v>
      </c>
      <c r="D2072" s="5" t="str">
        <f>IFERROR(__xludf.DUMMYFUNCTION("IFS(AND(
FILTER(IMPORTRANGE(""https://docs.google.com/spreadsheets/d/1BJSV3WBYJGRhQ6zExamkszQ5VutGIcaQqmbD9ZTVXMQ/edit#gid=1251630045"",""articles_with_PRISMA_reasons!Y2:Y2113""), $A2072=IMPORTRANGE(""https://docs.google.com/spreadsheets/d/1BJSV3WBYJGRhQ6"&amp;"zExamkszQ5VutGIcaQqmbD9ZTVXMQ/edit#gid=1251630045"",""articles_with_PRISMA_reasons!B2:B2113""))&gt;=2,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$A2072=IMPORTRANGE(""https://docs.google.com/spreadsheets/d/1BJSV3WBYJGRhQ6zExamkszQ5VutGIcaQqmbD9ZTVXMQ/edit#gid=1251630045"",""articles_with_PRISMA_reasons!B2:B2113""))&lt;2),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$A2072=IMPORTRANGE(""https://docs.google.com/spreadsheets/d/1BJSV3WBYJGRhQ6zExamkszQ5VutGIcaQqmbD9ZTVXMQ/edit#gid=1251630045"",""a"&amp;"rticles_with_PRISMA_reasons!B2:B2113""))&lt;2,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$A2072=IMPORTRANGE(""https://docs.google"&amp;".com/spreadsheets/d/1BJSV3WBYJGRhQ6zExamkszQ5VutGIcaQqmbD9ZTVXMQ/edit#gid=1251630045"",""articles_with_PRISMA_reasons!B2:B2113""))&gt;=2),
""Exclude""
)"),"Include")</f>
        <v>Include</v>
      </c>
      <c r="E2072" s="5" t="str">
        <f>IFERROR(__xludf.DUMMYFUNCTION("IFS(
D2072=""Exclude"",""Exclude"",
AND(
FILTER(IMPORTRANGE(""https://docs.google.com/spreadsheets/d/1qpEmbGH0JjaJbUdp21-y2cPbobDbMjr09BbtdKROZWc/edit#gid=1444865654"",""articles_with_PRISMA_reasons!W2:W2113""), $A2072=IMPORTRANGE(""https://docs.google.co"&amp;"m/spreadsheets/d/1qpEmbGH0JjaJbUdp21-y2cPbobDbMjr09BbtdKROZWc/edit#gid=1444865654"",""articles_with_PRISMA_reasons!B2:B2113""))&gt;=2,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$A2072=IMPORTRANGE(""https://docs.google.com/spreadsheets/d/1qpEmbGH0JjaJbUdp21-y2cPbobDbMjr09BbtdKROZWc/edit#gid=1444865654"",""articles_with_PRISMA_reasons!B2:B2113""))&lt;2),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$A2072=IMPORTRANGE(""https://docs.google.com/spreadsheets/d/1qpEmbGH0JjaJbUdp21-y2cPbobDbMjr09Bbtd"&amp;"KROZWc/edit#gid=1444865654"",""articles_with_PRISMA_reasons!B2:B2113""))&lt;2,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$A2072=I"&amp;"MPORTRANGE(""https://docs.google.com/spreadsheets/d/1qpEmbGH0JjaJbUdp21-y2cPbobDbMjr09BbtdKROZWc/edit#gid=1444865654"",""articles_with_PRISMA_reasons!B2:B2113""))&gt;=2),
""Exclude""
)"),"Exclude")</f>
        <v>Exclude</v>
      </c>
      <c r="F2072" s="5" t="str">
        <f>IFERROR(__xludf.DUMMYFUNCTION("IFS(
E2072=""Exclude"",""Exclude"",
AND(
COUNTIF(
IMPORTRANGE(""https://docs.google.com/spreadsheets/d/1kGrh75X1cNR1D7_FcY9zMnHP8iPO4M5RCRjy6nZY0TY/edit#gid=0"",""Table 1: Study characteristics!B4:B171""),A2072)&gt;0,
COUNTIF(Studies!$A$2:$A$85,FILTER(IMPORT"&amp;"RANGE(""https://docs.google.com/spreadsheets/d/1kGrh75X1cNR1D7_FcY9zMnHP8iPO4M5RCRjy6nZY0TY/edit#gid=0"",""Table 1: Study characteristics!A4:A171""), $A2072=IMPORTRANGE(""https://docs.google.com/spreadsheets/d/1kGrh75X1cNR1D7_FcY9zMnHP8iPO4M5RCRjy6nZY0TY/"&amp;"edit#gid=0"",""Table 1: Study characteristics!B4:B171"")))&gt;0
),
""Include""
)"),"Exclude")</f>
        <v>Exclude</v>
      </c>
      <c r="G2072" s="5" t="str">
        <f>IFERROR(__xludf.DUMMYFUNCTION("IFS(
D2072=""Exclude"",
FILTER(IMPORTRANGE(""https://docs.google.com/spreadsheets/d/1BJSV3WBYJGRhQ6zExamkszQ5VutGIcaQqmbD9ZTVXMQ/edit#gid=1251630045"",""articles_with_PRISMA_reasons!AB2:AB2113""), $A2072=IMPORTRANGE(""https://docs.google.com/spreadsheets/"&amp;"d/1BJSV3WBYJGRhQ6zExamkszQ5VutGIcaQqmbD9ZTVXMQ/edit#gid=1251630045"",""articles_with_PRISMA_reasons!B2:B2113"")),
E2072=""Exclude"",
FILTER(IMPORTRANGE(""https://docs.google.com/spreadsheets/d/1qpEmbGH0JjaJbUdp21-y2cPbobDbMjr09BbtdKROZWc/edit#gid=14448656"&amp;"54"",""articles_with_PRISMA_reasons!Z2:Z2113""), $A2072=IMPORTRANGE(""https://docs.google.com/spreadsheets/d/1qpEmbGH0JjaJbUdp21-y2cPbobDbMjr09BbtdKROZWc/edit#gid=1444865654"",""articles_with_PRISMA_reasons!B2:B2113"")),F2072
=""Include"",FILTER(IMPORTRAN"&amp;"GE(""https://docs.google.com/spreadsheets/d/1kGrh75X1cNR1D7_FcY9zMnHP8iPO4M5RCRjy6nZY0TY/edit#gid=0"",""Table 1: Study characteristics!A4:A171""), $A2072=IMPORTRANGE(""https://docs.google.com/spreadsheets/d/1kGrh75X1cNR1D7_FcY9zMnHP8iPO4M5RCRjy6nZY0TY/edi"&amp;"t#gid=0"",""Table 1: Study characteristics!B4:B171""))
)"),"Wrong intervention")</f>
        <v>Wrong intervention</v>
      </c>
    </row>
    <row r="2073">
      <c r="A2073" s="4" t="str">
        <f>IFERROR(__xludf.DUMMYFUNCTION("""COMPUTED_VALUE"""),"Ventajas de la plastia de mielomeningocele y derivación ventrículo-peritoneal en único tiempo quirúrgico: Experiencia en 47 casos")</f>
        <v>Ventajas de la plastia de mielomeningocele y derivación ventrículo-peritoneal en único tiempo quirúrgico: Experiencia en 47 casos</v>
      </c>
      <c r="B2073" s="5" t="str">
        <f>IFERROR(__xludf.DUMMYFUNCTION("LEFT(FILTER(IMPORTRANGE(""https://docs.google.com/spreadsheets/d/1BJSV3WBYJGRhQ6zExamkszQ5VutGIcaQqmbD9ZTVXMQ/edit#gid=1251630045"",""articles_with_PRISMA_reasons!K2:K2113""), $A2073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$A2073=IMPORTRANGE(""https://docs.google.com/spreadsheets/d/1BJSV3WBYJGRhQ6zExamkszQ5VutGIcaQqmbD9ZTVXMQ/edit#gid=1251630045"",""articles_with_PRISMA_reasons!B2:B2113"")))-1)"),"Alcocer Maldonado")</f>
        <v>Alcocer Maldonado</v>
      </c>
      <c r="C2073" s="6">
        <f>IFERROR(__xludf.DUMMYFUNCTION("FILTER(IMPORTRANGE(""https://docs.google.com/spreadsheets/d/1BJSV3WBYJGRhQ6zExamkszQ5VutGIcaQqmbD9ZTVXMQ/edit#gid=1251630045"",""articles_with_PRISMA_reasons!C2:C2113""), $A2073=IMPORTRANGE(""https://docs.google.com/spreadsheets/d/1BJSV3WBYJGRhQ6zExamkszQ"&amp;"5VutGIcaQqmbD9ZTVXMQ/edit#gid=1251630045"",""articles_with_PRISMA_reasons!B2:B2113""))"),2017.0)</f>
        <v>2017</v>
      </c>
      <c r="D2073" s="5" t="str">
        <f>IFERROR(__xludf.DUMMYFUNCTION("IFS(AND(
FILTER(IMPORTRANGE(""https://docs.google.com/spreadsheets/d/1BJSV3WBYJGRhQ6zExamkszQ5VutGIcaQqmbD9ZTVXMQ/edit#gid=1251630045"",""articles_with_PRISMA_reasons!Y2:Y2113""), $A2073=IMPORTRANGE(""https://docs.google.com/spreadsheets/d/1BJSV3WBYJGRhQ6"&amp;"zExamkszQ5VutGIcaQqmbD9ZTVXMQ/edit#gid=1251630045"",""articles_with_PRISMA_reasons!B2:B2113""))&gt;=2,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$A2073=IMPORTRANGE(""https://docs.google.com/spreadsheets/d/1BJSV3WBYJGRhQ6zExamkszQ5VutGIcaQqmbD9ZTVXMQ/edit#gid=1251630045"",""articles_with_PRISMA_reasons!B2:B2113""))&lt;2),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$A2073=IMPORTRANGE(""https://docs.google.com/spreadsheets/d/1BJSV3WBYJGRhQ6zExamkszQ5VutGIcaQqmbD9ZTVXMQ/edit#gid=1251630045"",""a"&amp;"rticles_with_PRISMA_reasons!B2:B2113""))&lt;2,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$A2073=IMPORTRANGE(""https://docs.google"&amp;".com/spreadsheets/d/1BJSV3WBYJGRhQ6zExamkszQ5VutGIcaQqmbD9ZTVXMQ/edit#gid=1251630045"",""articles_with_PRISMA_reasons!B2:B2113""))&gt;=2),
""Exclude""
)"),"Include")</f>
        <v>Include</v>
      </c>
      <c r="E2073" s="5" t="str">
        <f>IFERROR(__xludf.DUMMYFUNCTION("IFS(
D2073=""Exclude"",""Exclude"",
AND(
FILTER(IMPORTRANGE(""https://docs.google.com/spreadsheets/d/1qpEmbGH0JjaJbUdp21-y2cPbobDbMjr09BbtdKROZWc/edit#gid=1444865654"",""articles_with_PRISMA_reasons!W2:W2113""), $A2073=IMPORTRANGE(""https://docs.google.co"&amp;"m/spreadsheets/d/1qpEmbGH0JjaJbUdp21-y2cPbobDbMjr09BbtdKROZWc/edit#gid=1444865654"",""articles_with_PRISMA_reasons!B2:B2113""))&gt;=2,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$A2073=IMPORTRANGE(""https://docs.google.com/spreadsheets/d/1qpEmbGH0JjaJbUdp21-y2cPbobDbMjr09BbtdKROZWc/edit#gid=1444865654"",""articles_with_PRISMA_reasons!B2:B2113""))&lt;2),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$A2073=IMPORTRANGE(""https://docs.google.com/spreadsheets/d/1qpEmbGH0JjaJbUdp21-y2cPbobDbMjr09Bbtd"&amp;"KROZWc/edit#gid=1444865654"",""articles_with_PRISMA_reasons!B2:B2113""))&lt;2,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$A2073=I"&amp;"MPORTRANGE(""https://docs.google.com/spreadsheets/d/1qpEmbGH0JjaJbUdp21-y2cPbobDbMjr09BbtdKROZWc/edit#gid=1444865654"",""articles_with_PRISMA_reasons!B2:B2113""))&gt;=2),
""Exclude""
)"),"Include")</f>
        <v>Include</v>
      </c>
      <c r="F2073" s="2" t="s">
        <v>14</v>
      </c>
      <c r="G2073" s="2" t="s">
        <v>46</v>
      </c>
    </row>
    <row r="2074">
      <c r="A2074" s="4" t="str">
        <f>IFERROR(__xludf.DUMMYFUNCTION("""COMPUTED_VALUE"""),"Ventricular anatomy of hydrocephalus associated with myeloschisis and endoscopic third ventriculostomy")</f>
        <v>Ventricular anatomy of hydrocephalus associated with myeloschisis and endoscopic third ventriculostomy</v>
      </c>
      <c r="B2074" s="5" t="str">
        <f>IFERROR(__xludf.DUMMYFUNCTION("LEFT(FILTER(IMPORTRANGE(""https://docs.google.com/spreadsheets/d/1BJSV3WBYJGRhQ6zExamkszQ5VutGIcaQqmbD9ZTVXMQ/edit#gid=1251630045"",""articles_with_PRISMA_reasons!K2:K2113""), $A2074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$A2074=IMPORTRANGE(""https://docs.google.com/spreadsheets/d/1BJSV3WBYJGRhQ6zExamkszQ5VutGIcaQqmbD9ZTVXMQ/edit#gid=1251630045"",""articles_with_PRISMA_reasons!B2:B2113"")))-1)"),"Mori")</f>
        <v>Mori</v>
      </c>
      <c r="C2074" s="6">
        <f>IFERROR(__xludf.DUMMYFUNCTION("FILTER(IMPORTRANGE(""https://docs.google.com/spreadsheets/d/1BJSV3WBYJGRhQ6zExamkszQ5VutGIcaQqmbD9ZTVXMQ/edit#gid=1251630045"",""articles_with_PRISMA_reasons!C2:C2113""), $A2074=IMPORTRANGE(""https://docs.google.com/spreadsheets/d/1BJSV3WBYJGRhQ6zExamkszQ"&amp;"5VutGIcaQqmbD9ZTVXMQ/edit#gid=1251630045"",""articles_with_PRISMA_reasons!B2:B2113""))"),2008.0)</f>
        <v>2008</v>
      </c>
      <c r="D2074" s="5" t="str">
        <f>IFERROR(__xludf.DUMMYFUNCTION("IFS(AND(
FILTER(IMPORTRANGE(""https://docs.google.com/spreadsheets/d/1BJSV3WBYJGRhQ6zExamkszQ5VutGIcaQqmbD9ZTVXMQ/edit#gid=1251630045"",""articles_with_PRISMA_reasons!Y2:Y2113""), $A2074=IMPORTRANGE(""https://docs.google.com/spreadsheets/d/1BJSV3WBYJGRhQ6"&amp;"zExamkszQ5VutGIcaQqmbD9ZTVXMQ/edit#gid=1251630045"",""articles_with_PRISMA_reasons!B2:B2113""))&gt;=2,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$A2074=IMPORTRANGE(""https://docs.google.com/spreadsheets/d/1BJSV3WBYJGRhQ6zExamkszQ5VutGIcaQqmbD9ZTVXMQ/edit#gid=1251630045"",""articles_with_PRISMA_reasons!B2:B2113""))&lt;2),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$A2074=IMPORTRANGE(""https://docs.google.com/spreadsheets/d/1BJSV3WBYJGRhQ6zExamkszQ5VutGIcaQqmbD9ZTVXMQ/edit#gid=1251630045"",""a"&amp;"rticles_with_PRISMA_reasons!B2:B2113""))&lt;2,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$A2074=IMPORTRANGE(""https://docs.google"&amp;".com/spreadsheets/d/1BJSV3WBYJGRhQ6zExamkszQ5VutGIcaQqmbD9ZTVXMQ/edit#gid=1251630045"",""articles_with_PRISMA_reasons!B2:B2113""))&gt;=2),
""Exclude""
)"),"Exclude")</f>
        <v>Exclude</v>
      </c>
      <c r="E2074" s="5" t="str">
        <f>IFERROR(__xludf.DUMMYFUNCTION("IFS(
D2074=""Exclude"",""Exclude"",
AND(
FILTER(IMPORTRANGE(""https://docs.google.com/spreadsheets/d/1qpEmbGH0JjaJbUdp21-y2cPbobDbMjr09BbtdKROZWc/edit#gid=1444865654"",""articles_with_PRISMA_reasons!W2:W2113""), $A2074=IMPORTRANGE(""https://docs.google.co"&amp;"m/spreadsheets/d/1qpEmbGH0JjaJbUdp21-y2cPbobDbMjr09BbtdKROZWc/edit#gid=1444865654"",""articles_with_PRISMA_reasons!B2:B2113""))&gt;=2,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$A2074=IMPORTRANGE(""https://docs.google.com/spreadsheets/d/1qpEmbGH0JjaJbUdp21-y2cPbobDbMjr09BbtdKROZWc/edit#gid=1444865654"",""articles_with_PRISMA_reasons!B2:B2113""))&lt;2),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$A2074=IMPORTRANGE(""https://docs.google.com/spreadsheets/d/1qpEmbGH0JjaJbUdp21-y2cPbobDbMjr09Bbtd"&amp;"KROZWc/edit#gid=1444865654"",""articles_with_PRISMA_reasons!B2:B2113""))&lt;2,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$A2074=I"&amp;"MPORTRANGE(""https://docs.google.com/spreadsheets/d/1qpEmbGH0JjaJbUdp21-y2cPbobDbMjr09BbtdKROZWc/edit#gid=1444865654"",""articles_with_PRISMA_reasons!B2:B2113""))&gt;=2),
""Exclude""
)"),"Exclude")</f>
        <v>Exclude</v>
      </c>
      <c r="F2074" s="5" t="str">
        <f>IFERROR(__xludf.DUMMYFUNCTION("IFS(
E2074=""Exclude"",""Exclude"",
AND(
COUNTIF(
IMPORTRANGE(""https://docs.google.com/spreadsheets/d/1kGrh75X1cNR1D7_FcY9zMnHP8iPO4M5RCRjy6nZY0TY/edit#gid=0"",""Table 1: Study characteristics!B4:B171""),A2074)&gt;0,
COUNTIF(Studies!$A$2:$A$85,FILTER(IMPORT"&amp;"RANGE(""https://docs.google.com/spreadsheets/d/1kGrh75X1cNR1D7_FcY9zMnHP8iPO4M5RCRjy6nZY0TY/edit#gid=0"",""Table 1: Study characteristics!A4:A171""), $A2074=IMPORTRANGE(""https://docs.google.com/spreadsheets/d/1kGrh75X1cNR1D7_FcY9zMnHP8iPO4M5RCRjy6nZY0TY/"&amp;"edit#gid=0"",""Table 1: Study characteristics!B4:B171"")))&gt;0
),
""Include""
)"),"Exclude")</f>
        <v>Exclude</v>
      </c>
      <c r="G2074" s="5" t="str">
        <f>IFERROR(__xludf.DUMMYFUNCTION("IFS(
D2074=""Exclude"",
FILTER(IMPORTRANGE(""https://docs.google.com/spreadsheets/d/1BJSV3WBYJGRhQ6zExamkszQ5VutGIcaQqmbD9ZTVXMQ/edit#gid=1251630045"",""articles_with_PRISMA_reasons!AB2:AB2113""), $A2074=IMPORTRANGE(""https://docs.google.com/spreadsheets/"&amp;"d/1BJSV3WBYJGRhQ6zExamkszQ5VutGIcaQqmbD9ZTVXMQ/edit#gid=1251630045"",""articles_with_PRISMA_reasons!B2:B2113"")),
E2074=""Exclude"",
FILTER(IMPORTRANGE(""https://docs.google.com/spreadsheets/d/1qpEmbGH0JjaJbUdp21-y2cPbobDbMjr09BbtdKROZWc/edit#gid=14448656"&amp;"54"",""articles_with_PRISMA_reasons!Z2:Z2113""), $A2074=IMPORTRANGE(""https://docs.google.com/spreadsheets/d/1qpEmbGH0JjaJbUdp21-y2cPbobDbMjr09BbtdKROZWc/edit#gid=1444865654"",""articles_with_PRISMA_reasons!B2:B2113"")),F2074
=""Include"",FILTER(IMPORTRAN"&amp;"GE(""https://docs.google.com/spreadsheets/d/1kGrh75X1cNR1D7_FcY9zMnHP8iPO4M5RCRjy6nZY0TY/edit#gid=0"",""Table 1: Study characteristics!A4:A171""), $A2074=IMPORTRANGE(""https://docs.google.com/spreadsheets/d/1kGrh75X1cNR1D7_FcY9zMnHP8iPO4M5RCRjy6nZY0TY/edi"&amp;"t#gid=0"",""Table 1: Study characteristics!B4:B171""))
)"),"wrong population")</f>
        <v>wrong population</v>
      </c>
    </row>
    <row r="2075">
      <c r="A2075" s="4" t="str">
        <f>IFERROR(__xludf.DUMMYFUNCTION("""COMPUTED_VALUE"""),"Ventricular catheter coiling during insertion")</f>
        <v>Ventricular catheter coiling during insertion</v>
      </c>
      <c r="B2075" s="5" t="str">
        <f>IFERROR(__xludf.DUMMYFUNCTION("LEFT(FILTER(IMPORTRANGE(""https://docs.google.com/spreadsheets/d/1BJSV3WBYJGRhQ6zExamkszQ5VutGIcaQqmbD9ZTVXMQ/edit#gid=1251630045"",""articles_with_PRISMA_reasons!K2:K2113""), $A2075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$A2075=IMPORTRANGE(""https://docs.google.com/spreadsheets/d/1BJSV3WBYJGRhQ6zExamkszQ5VutGIcaQqmbD9ZTVXMQ/edit#gid=1251630045"",""articles_with_PRISMA_reasons!B2:B2113"")))-1)"),"Yang")</f>
        <v>Yang</v>
      </c>
      <c r="C2075" s="6">
        <f>IFERROR(__xludf.DUMMYFUNCTION("FILTER(IMPORTRANGE(""https://docs.google.com/spreadsheets/d/1BJSV3WBYJGRhQ6zExamkszQ5VutGIcaQqmbD9ZTVXMQ/edit#gid=1251630045"",""articles_with_PRISMA_reasons!C2:C2113""), $A2075=IMPORTRANGE(""https://docs.google.com/spreadsheets/d/1BJSV3WBYJGRhQ6zExamkszQ"&amp;"5VutGIcaQqmbD9ZTVXMQ/edit#gid=1251630045"",""articles_with_PRISMA_reasons!B2:B2113""))"),2004.0)</f>
        <v>2004</v>
      </c>
      <c r="D2075" s="5" t="str">
        <f>IFERROR(__xludf.DUMMYFUNCTION("IFS(AND(
FILTER(IMPORTRANGE(""https://docs.google.com/spreadsheets/d/1BJSV3WBYJGRhQ6zExamkszQ5VutGIcaQqmbD9ZTVXMQ/edit#gid=1251630045"",""articles_with_PRISMA_reasons!Y2:Y2113""), $A2075=IMPORTRANGE(""https://docs.google.com/spreadsheets/d/1BJSV3WBYJGRhQ6"&amp;"zExamkszQ5VutGIcaQqmbD9ZTVXMQ/edit#gid=1251630045"",""articles_with_PRISMA_reasons!B2:B2113""))&gt;=2,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$A2075=IMPORTRANGE(""https://docs.google.com/spreadsheets/d/1BJSV3WBYJGRhQ6zExamkszQ5VutGIcaQqmbD9ZTVXMQ/edit#gid=1251630045"",""articles_with_PRISMA_reasons!B2:B2113""))&lt;2),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$A2075=IMPORTRANGE(""https://docs.google.com/spreadsheets/d/1BJSV3WBYJGRhQ6zExamkszQ5VutGIcaQqmbD9ZTVXMQ/edit#gid=1251630045"",""a"&amp;"rticles_with_PRISMA_reasons!B2:B2113""))&lt;2,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$A2075=IMPORTRANGE(""https://docs.google"&amp;".com/spreadsheets/d/1BJSV3WBYJGRhQ6zExamkszQ5VutGIcaQqmbD9ZTVXMQ/edit#gid=1251630045"",""articles_with_PRISMA_reasons!B2:B2113""))&gt;=2),
""Exclude""
)"),"Exclude")</f>
        <v>Exclude</v>
      </c>
      <c r="E2075" s="5" t="str">
        <f>IFERROR(__xludf.DUMMYFUNCTION("IFS(
D2075=""Exclude"",""Exclude"",
AND(
FILTER(IMPORTRANGE(""https://docs.google.com/spreadsheets/d/1qpEmbGH0JjaJbUdp21-y2cPbobDbMjr09BbtdKROZWc/edit#gid=1444865654"",""articles_with_PRISMA_reasons!W2:W2113""), $A2075=IMPORTRANGE(""https://docs.google.co"&amp;"m/spreadsheets/d/1qpEmbGH0JjaJbUdp21-y2cPbobDbMjr09BbtdKROZWc/edit#gid=1444865654"",""articles_with_PRISMA_reasons!B2:B2113""))&gt;=2,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$A2075=IMPORTRANGE(""https://docs.google.com/spreadsheets/d/1qpEmbGH0JjaJbUdp21-y2cPbobDbMjr09BbtdKROZWc/edit#gid=1444865654"",""articles_with_PRISMA_reasons!B2:B2113""))&lt;2),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$A2075=IMPORTRANGE(""https://docs.google.com/spreadsheets/d/1qpEmbGH0JjaJbUdp21-y2cPbobDbMjr09Bbtd"&amp;"KROZWc/edit#gid=1444865654"",""articles_with_PRISMA_reasons!B2:B2113""))&lt;2,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$A2075=I"&amp;"MPORTRANGE(""https://docs.google.com/spreadsheets/d/1qpEmbGH0JjaJbUdp21-y2cPbobDbMjr09BbtdKROZWc/edit#gid=1444865654"",""articles_with_PRISMA_reasons!B2:B2113""))&gt;=2),
""Exclude""
)"),"Exclude")</f>
        <v>Exclude</v>
      </c>
      <c r="F2075" s="5" t="str">
        <f>IFERROR(__xludf.DUMMYFUNCTION("IFS(
E2075=""Exclude"",""Exclude"",
AND(
COUNTIF(
IMPORTRANGE(""https://docs.google.com/spreadsheets/d/1kGrh75X1cNR1D7_FcY9zMnHP8iPO4M5RCRjy6nZY0TY/edit#gid=0"",""Table 1: Study characteristics!B4:B171""),A2075)&gt;0,
COUNTIF(Studies!$A$2:$A$85,FILTER(IMPORT"&amp;"RANGE(""https://docs.google.com/spreadsheets/d/1kGrh75X1cNR1D7_FcY9zMnHP8iPO4M5RCRjy6nZY0TY/edit#gid=0"",""Table 1: Study characteristics!A4:A171""), $A2075=IMPORTRANGE(""https://docs.google.com/spreadsheets/d/1kGrh75X1cNR1D7_FcY9zMnHP8iPO4M5RCRjy6nZY0TY/"&amp;"edit#gid=0"",""Table 1: Study characteristics!B4:B171"")))&gt;0
),
""Include""
)"),"Exclude")</f>
        <v>Exclude</v>
      </c>
      <c r="G2075" s="5" t="str">
        <f>IFERROR(__xludf.DUMMYFUNCTION("IFS(
D2075=""Exclude"",
FILTER(IMPORTRANGE(""https://docs.google.com/spreadsheets/d/1BJSV3WBYJGRhQ6zExamkszQ5VutGIcaQqmbD9ZTVXMQ/edit#gid=1251630045"",""articles_with_PRISMA_reasons!AB2:AB2113""), $A2075=IMPORTRANGE(""https://docs.google.com/spreadsheets/"&amp;"d/1BJSV3WBYJGRhQ6zExamkszQ5VutGIcaQqmbD9ZTVXMQ/edit#gid=1251630045"",""articles_with_PRISMA_reasons!B2:B2113"")),
E2075=""Exclude"",
FILTER(IMPORTRANGE(""https://docs.google.com/spreadsheets/d/1qpEmbGH0JjaJbUdp21-y2cPbobDbMjr09BbtdKROZWc/edit#gid=14448656"&amp;"54"",""articles_with_PRISMA_reasons!Z2:Z2113""), $A2075=IMPORTRANGE(""https://docs.google.com/spreadsheets/d/1qpEmbGH0JjaJbUdp21-y2cPbobDbMjr09BbtdKROZWc/edit#gid=1444865654"",""articles_with_PRISMA_reasons!B2:B2113"")),F2075
=""Include"",FILTER(IMPORTRAN"&amp;"GE(""https://docs.google.com/spreadsheets/d/1kGrh75X1cNR1D7_FcY9zMnHP8iPO4M5RCRjy6nZY0TY/edit#gid=0"",""Table 1: Study characteristics!A4:A171""), $A2075=IMPORTRANGE(""https://docs.google.com/spreadsheets/d/1kGrh75X1cNR1D7_FcY9zMnHP8iPO4M5RCRjy6nZY0TY/edi"&amp;"t#gid=0"",""Table 1: Study characteristics!B4:B171""))
)"),"wrong population")</f>
        <v>wrong population</v>
      </c>
    </row>
    <row r="2076">
      <c r="A2076" s="4" t="str">
        <f>IFERROR(__xludf.DUMMYFUNCTION("""COMPUTED_VALUE"""),"Ventricular reservoir migration into the lateral ventricle through the endoscopic tract after unsuccessful third ventriculostomy")</f>
        <v>Ventricular reservoir migration into the lateral ventricle through the endoscopic tract after unsuccessful third ventriculostomy</v>
      </c>
      <c r="B2076" s="5" t="str">
        <f>IFERROR(__xludf.DUMMYFUNCTION("LEFT(FILTER(IMPORTRANGE(""https://docs.google.com/spreadsheets/d/1BJSV3WBYJGRhQ6zExamkszQ5VutGIcaQqmbD9ZTVXMQ/edit#gid=1251630045"",""articles_with_PRISMA_reasons!K2:K2113""), $A2076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$A2076=IMPORTRANGE(""https://docs.google.com/spreadsheets/d/1BJSV3WBYJGRhQ6zExamkszQ5VutGIcaQqmbD9ZTVXMQ/edit#gid=1251630045"",""articles_with_PRISMA_reasons!B2:B2113"")))-1)"),"Namba")</f>
        <v>Namba</v>
      </c>
      <c r="C2076" s="6">
        <f>IFERROR(__xludf.DUMMYFUNCTION("FILTER(IMPORTRANGE(""https://docs.google.com/spreadsheets/d/1BJSV3WBYJGRhQ6zExamkszQ5VutGIcaQqmbD9ZTVXMQ/edit#gid=1251630045"",""articles_with_PRISMA_reasons!C2:C2113""), $A2076=IMPORTRANGE(""https://docs.google.com/spreadsheets/d/1BJSV3WBYJGRhQ6zExamkszQ"&amp;"5VutGIcaQqmbD9ZTVXMQ/edit#gid=1251630045"",""articles_with_PRISMA_reasons!B2:B2113""))"),2004.0)</f>
        <v>2004</v>
      </c>
      <c r="D2076" s="5" t="str">
        <f>IFERROR(__xludf.DUMMYFUNCTION("IFS(AND(
FILTER(IMPORTRANGE(""https://docs.google.com/spreadsheets/d/1BJSV3WBYJGRhQ6zExamkszQ5VutGIcaQqmbD9ZTVXMQ/edit#gid=1251630045"",""articles_with_PRISMA_reasons!Y2:Y2113""), $A2076=IMPORTRANGE(""https://docs.google.com/spreadsheets/d/1BJSV3WBYJGRhQ6"&amp;"zExamkszQ5VutGIcaQqmbD9ZTVXMQ/edit#gid=1251630045"",""articles_with_PRISMA_reasons!B2:B2113""))&gt;=2,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$A2076=IMPORTRANGE(""https://docs.google.com/spreadsheets/d/1BJSV3WBYJGRhQ6zExamkszQ5VutGIcaQqmbD9ZTVXMQ/edit#gid=1251630045"",""articles_with_PRISMA_reasons!B2:B2113""))&lt;2),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$A2076=IMPORTRANGE(""https://docs.google.com/spreadsheets/d/1BJSV3WBYJGRhQ6zExamkszQ5VutGIcaQqmbD9ZTVXMQ/edit#gid=1251630045"",""a"&amp;"rticles_with_PRISMA_reasons!B2:B2113""))&lt;2,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$A2076=IMPORTRANGE(""https://docs.google"&amp;".com/spreadsheets/d/1BJSV3WBYJGRhQ6zExamkszQ5VutGIcaQqmbD9ZTVXMQ/edit#gid=1251630045"",""articles_with_PRISMA_reasons!B2:B2113""))&gt;=2),
""Exclude""
)"),"Exclude")</f>
        <v>Exclude</v>
      </c>
      <c r="E2076" s="5" t="str">
        <f>IFERROR(__xludf.DUMMYFUNCTION("IFS(
D2076=""Exclude"",""Exclude"",
AND(
FILTER(IMPORTRANGE(""https://docs.google.com/spreadsheets/d/1qpEmbGH0JjaJbUdp21-y2cPbobDbMjr09BbtdKROZWc/edit#gid=1444865654"",""articles_with_PRISMA_reasons!W2:W2113""), $A2076=IMPORTRANGE(""https://docs.google.co"&amp;"m/spreadsheets/d/1qpEmbGH0JjaJbUdp21-y2cPbobDbMjr09BbtdKROZWc/edit#gid=1444865654"",""articles_with_PRISMA_reasons!B2:B2113""))&gt;=2,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$A2076=IMPORTRANGE(""https://docs.google.com/spreadsheets/d/1qpEmbGH0JjaJbUdp21-y2cPbobDbMjr09BbtdKROZWc/edit#gid=1444865654"",""articles_with_PRISMA_reasons!B2:B2113""))&lt;2),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$A2076=IMPORTRANGE(""https://docs.google.com/spreadsheets/d/1qpEmbGH0JjaJbUdp21-y2cPbobDbMjr09Bbtd"&amp;"KROZWc/edit#gid=1444865654"",""articles_with_PRISMA_reasons!B2:B2113""))&lt;2,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$A2076=I"&amp;"MPORTRANGE(""https://docs.google.com/spreadsheets/d/1qpEmbGH0JjaJbUdp21-y2cPbobDbMjr09BbtdKROZWc/edit#gid=1444865654"",""articles_with_PRISMA_reasons!B2:B2113""))&gt;=2),
""Exclude""
)"),"Exclude")</f>
        <v>Exclude</v>
      </c>
      <c r="F2076" s="5" t="str">
        <f>IFERROR(__xludf.DUMMYFUNCTION("IFS(
E2076=""Exclude"",""Exclude"",
AND(
COUNTIF(
IMPORTRANGE(""https://docs.google.com/spreadsheets/d/1kGrh75X1cNR1D7_FcY9zMnHP8iPO4M5RCRjy6nZY0TY/edit#gid=0"",""Table 1: Study characteristics!B4:B171""),A2076)&gt;0,
COUNTIF(Studies!$A$2:$A$85,FILTER(IMPORT"&amp;"RANGE(""https://docs.google.com/spreadsheets/d/1kGrh75X1cNR1D7_FcY9zMnHP8iPO4M5RCRjy6nZY0TY/edit#gid=0"",""Table 1: Study characteristics!A4:A171""), $A2076=IMPORTRANGE(""https://docs.google.com/spreadsheets/d/1kGrh75X1cNR1D7_FcY9zMnHP8iPO4M5RCRjy6nZY0TY/"&amp;"edit#gid=0"",""Table 1: Study characteristics!B4:B171"")))&gt;0
),
""Include""
)"),"Exclude")</f>
        <v>Exclude</v>
      </c>
      <c r="G2076" s="5" t="str">
        <f>IFERROR(__xludf.DUMMYFUNCTION("IFS(
D2076=""Exclude"",
FILTER(IMPORTRANGE(""https://docs.google.com/spreadsheets/d/1BJSV3WBYJGRhQ6zExamkszQ5VutGIcaQqmbD9ZTVXMQ/edit#gid=1251630045"",""articles_with_PRISMA_reasons!AB2:AB2113""), $A2076=IMPORTRANGE(""https://docs.google.com/spreadsheets/"&amp;"d/1BJSV3WBYJGRhQ6zExamkszQ5VutGIcaQqmbD9ZTVXMQ/edit#gid=1251630045"",""articles_with_PRISMA_reasons!B2:B2113"")),
E2076=""Exclude"",
FILTER(IMPORTRANGE(""https://docs.google.com/spreadsheets/d/1qpEmbGH0JjaJbUdp21-y2cPbobDbMjr09BbtdKROZWc/edit#gid=14448656"&amp;"54"",""articles_with_PRISMA_reasons!Z2:Z2113""), $A2076=IMPORTRANGE(""https://docs.google.com/spreadsheets/d/1qpEmbGH0JjaJbUdp21-y2cPbobDbMjr09BbtdKROZWc/edit#gid=1444865654"",""articles_with_PRISMA_reasons!B2:B2113"")),F2076
=""Include"",FILTER(IMPORTRAN"&amp;"GE(""https://docs.google.com/spreadsheets/d/1kGrh75X1cNR1D7_FcY9zMnHP8iPO4M5RCRjy6nZY0TY/edit#gid=0"",""Table 1: Study characteristics!A4:A171""), $A2076=IMPORTRANGE(""https://docs.google.com/spreadsheets/d/1kGrh75X1cNR1D7_FcY9zMnHP8iPO4M5RCRjy6nZY0TY/edi"&amp;"t#gid=0"",""Table 1: Study characteristics!B4:B171""))
)"),"wrong publication type")</f>
        <v>wrong publication type</v>
      </c>
    </row>
    <row r="2077">
      <c r="A2077" s="4" t="str">
        <f>IFERROR(__xludf.DUMMYFUNCTION("""COMPUTED_VALUE"""),"Ventricular shunt survival in children with neural tube defects")</f>
        <v>Ventricular shunt survival in children with neural tube defects</v>
      </c>
      <c r="B2077" s="5" t="str">
        <f>IFERROR(__xludf.DUMMYFUNCTION("LEFT(FILTER(IMPORTRANGE(""https://docs.google.com/spreadsheets/d/1BJSV3WBYJGRhQ6zExamkszQ5VutGIcaQqmbD9ZTVXMQ/edit#gid=1251630045"",""articles_with_PRISMA_reasons!K2:K2113""), $A2077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$A2077=IMPORTRANGE(""https://docs.google.com/spreadsheets/d/1BJSV3WBYJGRhQ6zExamkszQ5VutGIcaQqmbD9ZTVXMQ/edit#gid=1251630045"",""articles_with_PRISMA_reasons!B2:B2113"")))-1)"),"Liptak")</f>
        <v>Liptak</v>
      </c>
      <c r="C2077" s="6">
        <f>IFERROR(__xludf.DUMMYFUNCTION("FILTER(IMPORTRANGE(""https://docs.google.com/spreadsheets/d/1BJSV3WBYJGRhQ6zExamkszQ5VutGIcaQqmbD9ZTVXMQ/edit#gid=1251630045"",""articles_with_PRISMA_reasons!C2:C2113""), $A2077=IMPORTRANGE(""https://docs.google.com/spreadsheets/d/1BJSV3WBYJGRhQ6zExamkszQ"&amp;"5VutGIcaQqmbD9ZTVXMQ/edit#gid=1251630045"",""articles_with_PRISMA_reasons!B2:B2113""))"),1985.0)</f>
        <v>1985</v>
      </c>
      <c r="D2077" s="5" t="str">
        <f>IFERROR(__xludf.DUMMYFUNCTION("IFS(AND(
FILTER(IMPORTRANGE(""https://docs.google.com/spreadsheets/d/1BJSV3WBYJGRhQ6zExamkszQ5VutGIcaQqmbD9ZTVXMQ/edit#gid=1251630045"",""articles_with_PRISMA_reasons!Y2:Y2113""), $A2077=IMPORTRANGE(""https://docs.google.com/spreadsheets/d/1BJSV3WBYJGRhQ6"&amp;"zExamkszQ5VutGIcaQqmbD9ZTVXMQ/edit#gid=1251630045"",""articles_with_PRISMA_reasons!B2:B2113""))&gt;=2,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$A2077=IMPORTRANGE(""https://docs.google.com/spreadsheets/d/1BJSV3WBYJGRhQ6zExamkszQ5VutGIcaQqmbD9ZTVXMQ/edit#gid=1251630045"",""articles_with_PRISMA_reasons!B2:B2113""))&lt;2),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$A2077=IMPORTRANGE(""https://docs.google.com/spreadsheets/d/1BJSV3WBYJGRhQ6zExamkszQ5VutGIcaQqmbD9ZTVXMQ/edit#gid=1251630045"",""a"&amp;"rticles_with_PRISMA_reasons!B2:B2113""))&lt;2,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$A2077=IMPORTRANGE(""https://docs.google"&amp;".com/spreadsheets/d/1BJSV3WBYJGRhQ6zExamkszQ5VutGIcaQqmbD9ZTVXMQ/edit#gid=1251630045"",""articles_with_PRISMA_reasons!B2:B2113""))&gt;=2),
""Exclude""
)"),"Include")</f>
        <v>Include</v>
      </c>
      <c r="E2077" s="5" t="str">
        <f>IFERROR(__xludf.DUMMYFUNCTION("IFS(
D2077=""Exclude"",""Exclude"",
AND(
FILTER(IMPORTRANGE(""https://docs.google.com/spreadsheets/d/1qpEmbGH0JjaJbUdp21-y2cPbobDbMjr09BbtdKROZWc/edit#gid=1444865654"",""articles_with_PRISMA_reasons!W2:W2113""), $A2077=IMPORTRANGE(""https://docs.google.co"&amp;"m/spreadsheets/d/1qpEmbGH0JjaJbUdp21-y2cPbobDbMjr09BbtdKROZWc/edit#gid=1444865654"",""articles_with_PRISMA_reasons!B2:B2113""))&gt;=2,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$A2077=IMPORTRANGE(""https://docs.google.com/spreadsheets/d/1qpEmbGH0JjaJbUdp21-y2cPbobDbMjr09BbtdKROZWc/edit#gid=1444865654"",""articles_with_PRISMA_reasons!B2:B2113""))&lt;2),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$A2077=IMPORTRANGE(""https://docs.google.com/spreadsheets/d/1qpEmbGH0JjaJbUdp21-y2cPbobDbMjr09Bbtd"&amp;"KROZWc/edit#gid=1444865654"",""articles_with_PRISMA_reasons!B2:B2113""))&lt;2,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$A2077=I"&amp;"MPORTRANGE(""https://docs.google.com/spreadsheets/d/1qpEmbGH0JjaJbUdp21-y2cPbobDbMjr09BbtdKROZWc/edit#gid=1444865654"",""articles_with_PRISMA_reasons!B2:B2113""))&gt;=2),
""Exclude""
)"),"Exclude")</f>
        <v>Exclude</v>
      </c>
      <c r="F2077" s="5" t="str">
        <f>IFERROR(__xludf.DUMMYFUNCTION("IFS(
E2077=""Exclude"",""Exclude"",
AND(
COUNTIF(
IMPORTRANGE(""https://docs.google.com/spreadsheets/d/1kGrh75X1cNR1D7_FcY9zMnHP8iPO4M5RCRjy6nZY0TY/edit#gid=0"",""Table 1: Study characteristics!B4:B171""),A2077)&gt;0,
COUNTIF(Studies!$A$2:$A$85,FILTER(IMPORT"&amp;"RANGE(""https://docs.google.com/spreadsheets/d/1kGrh75X1cNR1D7_FcY9zMnHP8iPO4M5RCRjy6nZY0TY/edit#gid=0"",""Table 1: Study characteristics!A4:A171""), $A2077=IMPORTRANGE(""https://docs.google.com/spreadsheets/d/1kGrh75X1cNR1D7_FcY9zMnHP8iPO4M5RCRjy6nZY0TY/"&amp;"edit#gid=0"",""Table 1: Study characteristics!B4:B171"")))&gt;0
),
""Include""
)"),"Exclude")</f>
        <v>Exclude</v>
      </c>
      <c r="G2077" s="5" t="str">
        <f>IFERROR(__xludf.DUMMYFUNCTION("IFS(
D2077=""Exclude"",
FILTER(IMPORTRANGE(""https://docs.google.com/spreadsheets/d/1BJSV3WBYJGRhQ6zExamkszQ5VutGIcaQqmbD9ZTVXMQ/edit#gid=1251630045"",""articles_with_PRISMA_reasons!AB2:AB2113""), $A2077=IMPORTRANGE(""https://docs.google.com/spreadsheets/"&amp;"d/1BJSV3WBYJGRhQ6zExamkszQ5VutGIcaQqmbD9ZTVXMQ/edit#gid=1251630045"",""articles_with_PRISMA_reasons!B2:B2113"")),
E2077=""Exclude"",
FILTER(IMPORTRANGE(""https://docs.google.com/spreadsheets/d/1qpEmbGH0JjaJbUdp21-y2cPbobDbMjr09BbtdKROZWc/edit#gid=14448656"&amp;"54"",""articles_with_PRISMA_reasons!Z2:Z2113""), $A2077=IMPORTRANGE(""https://docs.google.com/spreadsheets/d/1qpEmbGH0JjaJbUdp21-y2cPbobDbMjr09BbtdKROZWc/edit#gid=1444865654"",""articles_with_PRISMA_reasons!B2:B2113"")),F2077
=""Include"",FILTER(IMPORTRAN"&amp;"GE(""https://docs.google.com/spreadsheets/d/1kGrh75X1cNR1D7_FcY9zMnHP8iPO4M5RCRjy6nZY0TY/edit#gid=0"",""Table 1: Study characteristics!A4:A171""), $A2077=IMPORTRANGE(""https://docs.google.com/spreadsheets/d/1kGrh75X1cNR1D7_FcY9zMnHP8iPO4M5RCRjy6nZY0TY/edi"&amp;"t#gid=0"",""Table 1: Study characteristics!B4:B171""))
)"),"wrong population")</f>
        <v>wrong population</v>
      </c>
    </row>
    <row r="2078">
      <c r="A2078" s="4" t="str">
        <f>IFERROR(__xludf.DUMMYFUNCTION("""COMPUTED_VALUE"""),"Ventricular size measurement methods in fetuses considered for prenatal closure of myelomeningocele")</f>
        <v>Ventricular size measurement methods in fetuses considered for prenatal closure of myelomeningocele</v>
      </c>
      <c r="B2078" s="5" t="str">
        <f>IFERROR(__xludf.DUMMYFUNCTION("LEFT(FILTER(IMPORTRANGE(""https://docs.google.com/spreadsheets/d/1BJSV3WBYJGRhQ6zExamkszQ5VutGIcaQqmbD9ZTVXMQ/edit#gid=1251630045"",""articles_with_PRISMA_reasons!K2:K2113""), $A2078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$A2078=IMPORTRANGE(""https://docs.google.com/spreadsheets/d/1BJSV3WBYJGRhQ6zExamkszQ5VutGIcaQqmbD9ZTVXMQ/edit#gid=1251630045"",""articles_with_PRISMA_reasons!B2:B2113"")))-1)"),"Lundy")</f>
        <v>Lundy</v>
      </c>
      <c r="C2078" s="6">
        <f>IFERROR(__xludf.DUMMYFUNCTION("FILTER(IMPORTRANGE(""https://docs.google.com/spreadsheets/d/1BJSV3WBYJGRhQ6zExamkszQ5VutGIcaQqmbD9ZTVXMQ/edit#gid=1251630045"",""articles_with_PRISMA_reasons!C2:C2113""), $A2078=IMPORTRANGE(""https://docs.google.com/spreadsheets/d/1BJSV3WBYJGRhQ6zExamkszQ"&amp;"5VutGIcaQqmbD9ZTVXMQ/edit#gid=1251630045"",""articles_with_PRISMA_reasons!B2:B2113""))"),2021.0)</f>
        <v>2021</v>
      </c>
      <c r="D2078" s="5" t="str">
        <f>IFERROR(__xludf.DUMMYFUNCTION("IFS(AND(
FILTER(IMPORTRANGE(""https://docs.google.com/spreadsheets/d/1BJSV3WBYJGRhQ6zExamkszQ5VutGIcaQqmbD9ZTVXMQ/edit#gid=1251630045"",""articles_with_PRISMA_reasons!Y2:Y2113""), $A2078=IMPORTRANGE(""https://docs.google.com/spreadsheets/d/1BJSV3WBYJGRhQ6"&amp;"zExamkszQ5VutGIcaQqmbD9ZTVXMQ/edit#gid=1251630045"",""articles_with_PRISMA_reasons!B2:B2113""))&gt;=2,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$A2078=IMPORTRANGE(""https://docs.google.com/spreadsheets/d/1BJSV3WBYJGRhQ6zExamkszQ5VutGIcaQqmbD9ZTVXMQ/edit#gid=1251630045"",""articles_with_PRISMA_reasons!B2:B2113""))&lt;2),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$A2078=IMPORTRANGE(""https://docs.google.com/spreadsheets/d/1BJSV3WBYJGRhQ6zExamkszQ5VutGIcaQqmbD9ZTVXMQ/edit#gid=1251630045"",""a"&amp;"rticles_with_PRISMA_reasons!B2:B2113""))&lt;2,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$A2078=IMPORTRANGE(""https://docs.google"&amp;".com/spreadsheets/d/1BJSV3WBYJGRhQ6zExamkszQ5VutGIcaQqmbD9ZTVXMQ/edit#gid=1251630045"",""articles_with_PRISMA_reasons!B2:B2113""))&gt;=2),
""Exclude""
)"),"Exclude")</f>
        <v>Exclude</v>
      </c>
      <c r="E2078" s="5" t="str">
        <f>IFERROR(__xludf.DUMMYFUNCTION("IFS(
D2078=""Exclude"",""Exclude"",
AND(
FILTER(IMPORTRANGE(""https://docs.google.com/spreadsheets/d/1qpEmbGH0JjaJbUdp21-y2cPbobDbMjr09BbtdKROZWc/edit#gid=1444865654"",""articles_with_PRISMA_reasons!W2:W2113""), $A2078=IMPORTRANGE(""https://docs.google.co"&amp;"m/spreadsheets/d/1qpEmbGH0JjaJbUdp21-y2cPbobDbMjr09BbtdKROZWc/edit#gid=1444865654"",""articles_with_PRISMA_reasons!B2:B2113""))&gt;=2,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$A2078=IMPORTRANGE(""https://docs.google.com/spreadsheets/d/1qpEmbGH0JjaJbUdp21-y2cPbobDbMjr09BbtdKROZWc/edit#gid=1444865654"",""articles_with_PRISMA_reasons!B2:B2113""))&lt;2),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$A2078=IMPORTRANGE(""https://docs.google.com/spreadsheets/d/1qpEmbGH0JjaJbUdp21-y2cPbobDbMjr09Bbtd"&amp;"KROZWc/edit#gid=1444865654"",""articles_with_PRISMA_reasons!B2:B2113""))&lt;2,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$A2078=I"&amp;"MPORTRANGE(""https://docs.google.com/spreadsheets/d/1qpEmbGH0JjaJbUdp21-y2cPbobDbMjr09BbtdKROZWc/edit#gid=1444865654"",""articles_with_PRISMA_reasons!B2:B2113""))&gt;=2),
""Exclude""
)"),"Exclude")</f>
        <v>Exclude</v>
      </c>
      <c r="F2078" s="5" t="str">
        <f>IFERROR(__xludf.DUMMYFUNCTION("IFS(
E2078=""Exclude"",""Exclude"",
AND(
COUNTIF(
IMPORTRANGE(""https://docs.google.com/spreadsheets/d/1kGrh75X1cNR1D7_FcY9zMnHP8iPO4M5RCRjy6nZY0TY/edit#gid=0"",""Table 1: Study characteristics!B4:B171""),A2078)&gt;0,
COUNTIF(Studies!$A$2:$A$85,FILTER(IMPORT"&amp;"RANGE(""https://docs.google.com/spreadsheets/d/1kGrh75X1cNR1D7_FcY9zMnHP8iPO4M5RCRjy6nZY0TY/edit#gid=0"",""Table 1: Study characteristics!A4:A171""), $A2078=IMPORTRANGE(""https://docs.google.com/spreadsheets/d/1kGrh75X1cNR1D7_FcY9zMnHP8iPO4M5RCRjy6nZY0TY/"&amp;"edit#gid=0"",""Table 1: Study characteristics!B4:B171"")))&gt;0
),
""Include""
)"),"Exclude")</f>
        <v>Exclude</v>
      </c>
      <c r="G2078" s="5" t="str">
        <f>IFERROR(__xludf.DUMMYFUNCTION("IFS(
D2078=""Exclude"",
FILTER(IMPORTRANGE(""https://docs.google.com/spreadsheets/d/1BJSV3WBYJGRhQ6zExamkszQ5VutGIcaQqmbD9ZTVXMQ/edit#gid=1251630045"",""articles_with_PRISMA_reasons!AB2:AB2113""), $A2078=IMPORTRANGE(""https://docs.google.com/spreadsheets/"&amp;"d/1BJSV3WBYJGRhQ6zExamkszQ5VutGIcaQqmbD9ZTVXMQ/edit#gid=1251630045"",""articles_with_PRISMA_reasons!B2:B2113"")),
E2078=""Exclude"",
FILTER(IMPORTRANGE(""https://docs.google.com/spreadsheets/d/1qpEmbGH0JjaJbUdp21-y2cPbobDbMjr09BbtdKROZWc/edit#gid=14448656"&amp;"54"",""articles_with_PRISMA_reasons!Z2:Z2113""), $A2078=IMPORTRANGE(""https://docs.google.com/spreadsheets/d/1qpEmbGH0JjaJbUdp21-y2cPbobDbMjr09BbtdKROZWc/edit#gid=1444865654"",""articles_with_PRISMA_reasons!B2:B2113"")),F2078
=""Include"",FILTER(IMPORTRAN"&amp;"GE(""https://docs.google.com/spreadsheets/d/1kGrh75X1cNR1D7_FcY9zMnHP8iPO4M5RCRjy6nZY0TY/edit#gid=0"",""Table 1: Study characteristics!A4:A171""), $A2078=IMPORTRANGE(""https://docs.google.com/spreadsheets/d/1kGrh75X1cNR1D7_FcY9zMnHP8iPO4M5RCRjy6nZY0TY/edi"&amp;"t#gid=0"",""Table 1: Study characteristics!B4:B171""))
)"),"wrong population")</f>
        <v>wrong population</v>
      </c>
    </row>
    <row r="2079">
      <c r="A2079" s="4" t="str">
        <f>IFERROR(__xludf.DUMMYFUNCTION("""COMPUTED_VALUE"""),"Ventricular-Peritoneal Shunt in Newborns in a High-Risk Maternity Unit: Case Series")</f>
        <v>Ventricular-Peritoneal Shunt in Newborns in a High-Risk Maternity Unit: Case Series</v>
      </c>
      <c r="B2079" s="5" t="str">
        <f>IFERROR(__xludf.DUMMYFUNCTION("LEFT(FILTER(IMPORTRANGE(""https://docs.google.com/spreadsheets/d/1BJSV3WBYJGRhQ6zExamkszQ5VutGIcaQqmbD9ZTVXMQ/edit#gid=1251630045"",""articles_with_PRISMA_reasons!K2:K2113""), $A2079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$A2079=IMPORTRANGE(""https://docs.google.com/spreadsheets/d/1BJSV3WBYJGRhQ6zExamkszQ5VutGIcaQqmbD9ZTVXMQ/edit#gid=1251630045"",""articles_with_PRISMA_reasons!B2:B2113"")))-1)"),"Barbosa")</f>
        <v>Barbosa</v>
      </c>
      <c r="C2079" s="6">
        <f>IFERROR(__xludf.DUMMYFUNCTION("FILTER(IMPORTRANGE(""https://docs.google.com/spreadsheets/d/1BJSV3WBYJGRhQ6zExamkszQ5VutGIcaQqmbD9ZTVXMQ/edit#gid=1251630045"",""articles_with_PRISMA_reasons!C2:C2113""), $A2079=IMPORTRANGE(""https://docs.google.com/spreadsheets/d/1BJSV3WBYJGRhQ6zExamkszQ"&amp;"5VutGIcaQqmbD9ZTVXMQ/edit#gid=1251630045"",""articles_with_PRISMA_reasons!B2:B2113""))"),2020.0)</f>
        <v>2020</v>
      </c>
      <c r="D2079" s="5" t="str">
        <f>IFERROR(__xludf.DUMMYFUNCTION("IFS(AND(
FILTER(IMPORTRANGE(""https://docs.google.com/spreadsheets/d/1BJSV3WBYJGRhQ6zExamkszQ5VutGIcaQqmbD9ZTVXMQ/edit#gid=1251630045"",""articles_with_PRISMA_reasons!Y2:Y2113""), $A2079=IMPORTRANGE(""https://docs.google.com/spreadsheets/d/1BJSV3WBYJGRhQ6"&amp;"zExamkszQ5VutGIcaQqmbD9ZTVXMQ/edit#gid=1251630045"",""articles_with_PRISMA_reasons!B2:B2113""))&gt;=2,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$A2079=IMPORTRANGE(""https://docs.google.com/spreadsheets/d/1BJSV3WBYJGRhQ6zExamkszQ5VutGIcaQqmbD9ZTVXMQ/edit#gid=1251630045"",""articles_with_PRISMA_reasons!B2:B2113""))&lt;2),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$A2079=IMPORTRANGE(""https://docs.google.com/spreadsheets/d/1BJSV3WBYJGRhQ6zExamkszQ5VutGIcaQqmbD9ZTVXMQ/edit#gid=1251630045"",""a"&amp;"rticles_with_PRISMA_reasons!B2:B2113""))&lt;2,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$A2079=IMPORTRANGE(""https://docs.google"&amp;".com/spreadsheets/d/1BJSV3WBYJGRhQ6zExamkszQ5VutGIcaQqmbD9ZTVXMQ/edit#gid=1251630045"",""articles_with_PRISMA_reasons!B2:B2113""))&gt;=2),
""Exclude""
)"),"Include")</f>
        <v>Include</v>
      </c>
      <c r="E2079" s="5" t="str">
        <f>IFERROR(__xludf.DUMMYFUNCTION("IFS(
D2079=""Exclude"",""Exclude"",
AND(
FILTER(IMPORTRANGE(""https://docs.google.com/spreadsheets/d/1qpEmbGH0JjaJbUdp21-y2cPbobDbMjr09BbtdKROZWc/edit#gid=1444865654"",""articles_with_PRISMA_reasons!W2:W2113""), $A2079=IMPORTRANGE(""https://docs.google.co"&amp;"m/spreadsheets/d/1qpEmbGH0JjaJbUdp21-y2cPbobDbMjr09BbtdKROZWc/edit#gid=1444865654"",""articles_with_PRISMA_reasons!B2:B2113""))&gt;=2,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$A2079=IMPORTRANGE(""https://docs.google.com/spreadsheets/d/1qpEmbGH0JjaJbUdp21-y2cPbobDbMjr09BbtdKROZWc/edit#gid=1444865654"",""articles_with_PRISMA_reasons!B2:B2113""))&lt;2),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$A2079=IMPORTRANGE(""https://docs.google.com/spreadsheets/d/1qpEmbGH0JjaJbUdp21-y2cPbobDbMjr09Bbtd"&amp;"KROZWc/edit#gid=1444865654"",""articles_with_PRISMA_reasons!B2:B2113""))&lt;2,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$A2079=I"&amp;"MPORTRANGE(""https://docs.google.com/spreadsheets/d/1qpEmbGH0JjaJbUdp21-y2cPbobDbMjr09BbtdKROZWc/edit#gid=1444865654"",""articles_with_PRISMA_reasons!B2:B2113""))&gt;=2),
""Exclude""
)"),"Exclude")</f>
        <v>Exclude</v>
      </c>
      <c r="F2079" s="5" t="str">
        <f>IFERROR(__xludf.DUMMYFUNCTION("IFS(
E2079=""Exclude"",""Exclude"",
AND(
COUNTIF(
IMPORTRANGE(""https://docs.google.com/spreadsheets/d/1kGrh75X1cNR1D7_FcY9zMnHP8iPO4M5RCRjy6nZY0TY/edit#gid=0"",""Table 1: Study characteristics!B4:B171""),A2079)&gt;0,
COUNTIF(Studies!$A$2:$A$85,FILTER(IMPORT"&amp;"RANGE(""https://docs.google.com/spreadsheets/d/1kGrh75X1cNR1D7_FcY9zMnHP8iPO4M5RCRjy6nZY0TY/edit#gid=0"",""Table 1: Study characteristics!A4:A171""), $A2079=IMPORTRANGE(""https://docs.google.com/spreadsheets/d/1kGrh75X1cNR1D7_FcY9zMnHP8iPO4M5RCRjy6nZY0TY/"&amp;"edit#gid=0"",""Table 1: Study characteristics!B4:B171"")))&gt;0
),
""Include""
)"),"Exclude")</f>
        <v>Exclude</v>
      </c>
      <c r="G2079" s="5" t="str">
        <f>IFERROR(__xludf.DUMMYFUNCTION("IFS(
D2079=""Exclude"",
FILTER(IMPORTRANGE(""https://docs.google.com/spreadsheets/d/1BJSV3WBYJGRhQ6zExamkszQ5VutGIcaQqmbD9ZTVXMQ/edit#gid=1251630045"",""articles_with_PRISMA_reasons!AB2:AB2113""), $A2079=IMPORTRANGE(""https://docs.google.com/spreadsheets/"&amp;"d/1BJSV3WBYJGRhQ6zExamkszQ5VutGIcaQqmbD9ZTVXMQ/edit#gid=1251630045"",""articles_with_PRISMA_reasons!B2:B2113"")),
E2079=""Exclude"",
FILTER(IMPORTRANGE(""https://docs.google.com/spreadsheets/d/1qpEmbGH0JjaJbUdp21-y2cPbobDbMjr09BbtdKROZWc/edit#gid=14448656"&amp;"54"",""articles_with_PRISMA_reasons!Z2:Z2113""), $A2079=IMPORTRANGE(""https://docs.google.com/spreadsheets/d/1qpEmbGH0JjaJbUdp21-y2cPbobDbMjr09BbtdKROZWc/edit#gid=1444865654"",""articles_with_PRISMA_reasons!B2:B2113"")),F2079
=""Include"",FILTER(IMPORTRAN"&amp;"GE(""https://docs.google.com/spreadsheets/d/1kGrh75X1cNR1D7_FcY9zMnHP8iPO4M5RCRjy6nZY0TY/edit#gid=0"",""Table 1: Study characteristics!A4:A171""), $A2079=IMPORTRANGE(""https://docs.google.com/spreadsheets/d/1kGrh75X1cNR1D7_FcY9zMnHP8iPO4M5RCRjy6nZY0TY/edi"&amp;"t#gid=0"",""Table 1: Study characteristics!B4:B171""))
)"),"wrong intervention")</f>
        <v>wrong intervention</v>
      </c>
    </row>
    <row r="2080">
      <c r="A2080" s="4" t="str">
        <f>IFERROR(__xludf.DUMMYFUNCTION("""COMPUTED_VALUE"""),"Ventriculitis in patients with DVP: Clinical and therapeutical considerations in a pediatric cohort")</f>
        <v>Ventriculitis in patients with DVP: Clinical and therapeutical considerations in a pediatric cohort</v>
      </c>
      <c r="B2080" s="5" t="str">
        <f>IFERROR(__xludf.DUMMYFUNCTION("LEFT(FILTER(IMPORTRANGE(""https://docs.google.com/spreadsheets/d/1BJSV3WBYJGRhQ6zExamkszQ5VutGIcaQqmbD9ZTVXMQ/edit#gid=1251630045"",""articles_with_PRISMA_reasons!K2:K2113""), $A2080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$A2080=IMPORTRANGE(""https://docs.google.com/spreadsheets/d/1BJSV3WBYJGRhQ6zExamkszQ5VutGIcaQqmbD9ZTVXMQ/edit#gid=1251630045"",""articles_with_PRISMA_reasons!B2:B2113"")))-1)"),"Barasolo")</f>
        <v>Barasolo</v>
      </c>
      <c r="C2080" s="6">
        <f>IFERROR(__xludf.DUMMYFUNCTION("FILTER(IMPORTRANGE(""https://docs.google.com/spreadsheets/d/1BJSV3WBYJGRhQ6zExamkszQ5VutGIcaQqmbD9ZTVXMQ/edit#gid=1251630045"",""articles_with_PRISMA_reasons!C2:C2113""), $A2080=IMPORTRANGE(""https://docs.google.com/spreadsheets/d/1BJSV3WBYJGRhQ6zExamkszQ"&amp;"5VutGIcaQqmbD9ZTVXMQ/edit#gid=1251630045"",""articles_with_PRISMA_reasons!B2:B2113""))"),1999.0)</f>
        <v>1999</v>
      </c>
      <c r="D2080" s="5" t="str">
        <f>IFERROR(__xludf.DUMMYFUNCTION("IFS(AND(
FILTER(IMPORTRANGE(""https://docs.google.com/spreadsheets/d/1BJSV3WBYJGRhQ6zExamkszQ5VutGIcaQqmbD9ZTVXMQ/edit#gid=1251630045"",""articles_with_PRISMA_reasons!Y2:Y2113""), $A2080=IMPORTRANGE(""https://docs.google.com/spreadsheets/d/1BJSV3WBYJGRhQ6"&amp;"zExamkszQ5VutGIcaQqmbD9ZTVXMQ/edit#gid=1251630045"",""articles_with_PRISMA_reasons!B2:B2113""))&gt;=2,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$A2080=IMPORTRANGE(""https://docs.google.com/spreadsheets/d/1BJSV3WBYJGRhQ6zExamkszQ5VutGIcaQqmbD9ZTVXMQ/edit#gid=1251630045"",""articles_with_PRISMA_reasons!B2:B2113""))&lt;2),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$A2080=IMPORTRANGE(""https://docs.google.com/spreadsheets/d/1BJSV3WBYJGRhQ6zExamkszQ5VutGIcaQqmbD9ZTVXMQ/edit#gid=1251630045"",""a"&amp;"rticles_with_PRISMA_reasons!B2:B2113""))&lt;2,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$A2080=IMPORTRANGE(""https://docs.google"&amp;".com/spreadsheets/d/1BJSV3WBYJGRhQ6zExamkszQ5VutGIcaQqmbD9ZTVXMQ/edit#gid=1251630045"",""articles_with_PRISMA_reasons!B2:B2113""))&gt;=2),
""Exclude""
)"),"Exclude")</f>
        <v>Exclude</v>
      </c>
      <c r="E2080" s="5" t="str">
        <f>IFERROR(__xludf.DUMMYFUNCTION("IFS(
D2080=""Exclude"",""Exclude"",
AND(
FILTER(IMPORTRANGE(""https://docs.google.com/spreadsheets/d/1qpEmbGH0JjaJbUdp21-y2cPbobDbMjr09BbtdKROZWc/edit#gid=1444865654"",""articles_with_PRISMA_reasons!W2:W2113""), $A2080=IMPORTRANGE(""https://docs.google.co"&amp;"m/spreadsheets/d/1qpEmbGH0JjaJbUdp21-y2cPbobDbMjr09BbtdKROZWc/edit#gid=1444865654"",""articles_with_PRISMA_reasons!B2:B2113""))&gt;=2,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$A2080=IMPORTRANGE(""https://docs.google.com/spreadsheets/d/1qpEmbGH0JjaJbUdp21-y2cPbobDbMjr09BbtdKROZWc/edit#gid=1444865654"",""articles_with_PRISMA_reasons!B2:B2113""))&lt;2),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$A2080=IMPORTRANGE(""https://docs.google.com/spreadsheets/d/1qpEmbGH0JjaJbUdp21-y2cPbobDbMjr09Bbtd"&amp;"KROZWc/edit#gid=1444865654"",""articles_with_PRISMA_reasons!B2:B2113""))&lt;2,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$A2080=I"&amp;"MPORTRANGE(""https://docs.google.com/spreadsheets/d/1qpEmbGH0JjaJbUdp21-y2cPbobDbMjr09BbtdKROZWc/edit#gid=1444865654"",""articles_with_PRISMA_reasons!B2:B2113""))&gt;=2),
""Exclude""
)"),"Exclude")</f>
        <v>Exclude</v>
      </c>
      <c r="F2080" s="5" t="str">
        <f>IFERROR(__xludf.DUMMYFUNCTION("IFS(
E2080=""Exclude"",""Exclude"",
AND(
COUNTIF(
IMPORTRANGE(""https://docs.google.com/spreadsheets/d/1kGrh75X1cNR1D7_FcY9zMnHP8iPO4M5RCRjy6nZY0TY/edit#gid=0"",""Table 1: Study characteristics!B4:B171""),A2080)&gt;0,
COUNTIF(Studies!$A$2:$A$85,FILTER(IMPORT"&amp;"RANGE(""https://docs.google.com/spreadsheets/d/1kGrh75X1cNR1D7_FcY9zMnHP8iPO4M5RCRjy6nZY0TY/edit#gid=0"",""Table 1: Study characteristics!A4:A171""), $A2080=IMPORTRANGE(""https://docs.google.com/spreadsheets/d/1kGrh75X1cNR1D7_FcY9zMnHP8iPO4M5RCRjy6nZY0TY/"&amp;"edit#gid=0"",""Table 1: Study characteristics!B4:B171"")))&gt;0
),
""Include""
)"),"Exclude")</f>
        <v>Exclude</v>
      </c>
      <c r="G2080" s="5" t="str">
        <f>IFERROR(__xludf.DUMMYFUNCTION("IFS(
D2080=""Exclude"",
FILTER(IMPORTRANGE(""https://docs.google.com/spreadsheets/d/1BJSV3WBYJGRhQ6zExamkszQ5VutGIcaQqmbD9ZTVXMQ/edit#gid=1251630045"",""articles_with_PRISMA_reasons!AB2:AB2113""), $A2080=IMPORTRANGE(""https://docs.google.com/spreadsheets/"&amp;"d/1BJSV3WBYJGRhQ6zExamkszQ5VutGIcaQqmbD9ZTVXMQ/edit#gid=1251630045"",""articles_with_PRISMA_reasons!B2:B2113"")),
E2080=""Exclude"",
FILTER(IMPORTRANGE(""https://docs.google.com/spreadsheets/d/1qpEmbGH0JjaJbUdp21-y2cPbobDbMjr09BbtdKROZWc/edit#gid=14448656"&amp;"54"",""articles_with_PRISMA_reasons!Z2:Z2113""), $A2080=IMPORTRANGE(""https://docs.google.com/spreadsheets/d/1qpEmbGH0JjaJbUdp21-y2cPbobDbMjr09BbtdKROZWc/edit#gid=1444865654"",""articles_with_PRISMA_reasons!B2:B2113"")),F2080
=""Include"",FILTER(IMPORTRAN"&amp;"GE(""https://docs.google.com/spreadsheets/d/1kGrh75X1cNR1D7_FcY9zMnHP8iPO4M5RCRjy6nZY0TY/edit#gid=0"",""Table 1: Study characteristics!A4:A171""), $A2080=IMPORTRANGE(""https://docs.google.com/spreadsheets/d/1kGrh75X1cNR1D7_FcY9zMnHP8iPO4M5RCRjy6nZY0TY/edi"&amp;"t#gid=0"",""Table 1: Study characteristics!B4:B171""))
)"),"wrong study design")</f>
        <v>wrong study design</v>
      </c>
    </row>
    <row r="2081">
      <c r="A2081" s="4" t="str">
        <f>IFERROR(__xludf.DUMMYFUNCTION("""COMPUTED_VALUE"""),"Ventriculo-peritoneal shunt: A rare cause of basal ganglia and thalamic abscess")</f>
        <v>Ventriculo-peritoneal shunt: A rare cause of basal ganglia and thalamic abscess</v>
      </c>
      <c r="B2081" s="5" t="str">
        <f>IFERROR(__xludf.DUMMYFUNCTION("LEFT(FILTER(IMPORTRANGE(""https://docs.google.com/spreadsheets/d/1BJSV3WBYJGRhQ6zExamkszQ5VutGIcaQqmbD9ZTVXMQ/edit#gid=1251630045"",""articles_with_PRISMA_reasons!K2:K2113""), $A2081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$A2081=IMPORTRANGE(""https://docs.google.com/spreadsheets/d/1BJSV3WBYJGRhQ6zExamkszQ5VutGIcaQqmbD9ZTVXMQ/edit#gid=1251630045"",""articles_with_PRISMA_reasons!B2:B2113"")))-1)"),"Sangwan")</f>
        <v>Sangwan</v>
      </c>
      <c r="C2081" s="6">
        <f>IFERROR(__xludf.DUMMYFUNCTION("FILTER(IMPORTRANGE(""https://docs.google.com/spreadsheets/d/1BJSV3WBYJGRhQ6zExamkszQ5VutGIcaQqmbD9ZTVXMQ/edit#gid=1251630045"",""articles_with_PRISMA_reasons!C2:C2113""), $A2081=IMPORTRANGE(""https://docs.google.com/spreadsheets/d/1BJSV3WBYJGRhQ6zExamkszQ"&amp;"5VutGIcaQqmbD9ZTVXMQ/edit#gid=1251630045"",""articles_with_PRISMA_reasons!B2:B2113""))"),2013.0)</f>
        <v>2013</v>
      </c>
      <c r="D2081" s="5" t="str">
        <f>IFERROR(__xludf.DUMMYFUNCTION("IFS(AND(
FILTER(IMPORTRANGE(""https://docs.google.com/spreadsheets/d/1BJSV3WBYJGRhQ6zExamkszQ5VutGIcaQqmbD9ZTVXMQ/edit#gid=1251630045"",""articles_with_PRISMA_reasons!Y2:Y2113""), $A2081=IMPORTRANGE(""https://docs.google.com/spreadsheets/d/1BJSV3WBYJGRhQ6"&amp;"zExamkszQ5VutGIcaQqmbD9ZTVXMQ/edit#gid=1251630045"",""articles_with_PRISMA_reasons!B2:B2113""))&gt;=2,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$A2081=IMPORTRANGE(""https://docs.google.com/spreadsheets/d/1BJSV3WBYJGRhQ6zExamkszQ5VutGIcaQqmbD9ZTVXMQ/edit#gid=1251630045"",""articles_with_PRISMA_reasons!B2:B2113""))&lt;2),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$A2081=IMPORTRANGE(""https://docs.google.com/spreadsheets/d/1BJSV3WBYJGRhQ6zExamkszQ5VutGIcaQqmbD9ZTVXMQ/edit#gid=1251630045"",""a"&amp;"rticles_with_PRISMA_reasons!B2:B2113""))&lt;2,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$A2081=IMPORTRANGE(""https://docs.google"&amp;".com/spreadsheets/d/1BJSV3WBYJGRhQ6zExamkszQ5VutGIcaQqmbD9ZTVXMQ/edit#gid=1251630045"",""articles_with_PRISMA_reasons!B2:B2113""))&gt;=2),
""Exclude""
)"),"Exclude")</f>
        <v>Exclude</v>
      </c>
      <c r="E2081" s="5" t="str">
        <f>IFERROR(__xludf.DUMMYFUNCTION("IFS(
D2081=""Exclude"",""Exclude"",
AND(
FILTER(IMPORTRANGE(""https://docs.google.com/spreadsheets/d/1qpEmbGH0JjaJbUdp21-y2cPbobDbMjr09BbtdKROZWc/edit#gid=1444865654"",""articles_with_PRISMA_reasons!W2:W2113""), $A2081=IMPORTRANGE(""https://docs.google.co"&amp;"m/spreadsheets/d/1qpEmbGH0JjaJbUdp21-y2cPbobDbMjr09BbtdKROZWc/edit#gid=1444865654"",""articles_with_PRISMA_reasons!B2:B2113""))&gt;=2,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$A2081=IMPORTRANGE(""https://docs.google.com/spreadsheets/d/1qpEmbGH0JjaJbUdp21-y2cPbobDbMjr09BbtdKROZWc/edit#gid=1444865654"",""articles_with_PRISMA_reasons!B2:B2113""))&lt;2),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$A2081=IMPORTRANGE(""https://docs.google.com/spreadsheets/d/1qpEmbGH0JjaJbUdp21-y2cPbobDbMjr09Bbtd"&amp;"KROZWc/edit#gid=1444865654"",""articles_with_PRISMA_reasons!B2:B2113""))&lt;2,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$A2081=I"&amp;"MPORTRANGE(""https://docs.google.com/spreadsheets/d/1qpEmbGH0JjaJbUdp21-y2cPbobDbMjr09BbtdKROZWc/edit#gid=1444865654"",""articles_with_PRISMA_reasons!B2:B2113""))&gt;=2),
""Exclude""
)"),"Exclude")</f>
        <v>Exclude</v>
      </c>
      <c r="F2081" s="5" t="str">
        <f>IFERROR(__xludf.DUMMYFUNCTION("IFS(
E2081=""Exclude"",""Exclude"",
AND(
COUNTIF(
IMPORTRANGE(""https://docs.google.com/spreadsheets/d/1kGrh75X1cNR1D7_FcY9zMnHP8iPO4M5RCRjy6nZY0TY/edit#gid=0"",""Table 1: Study characteristics!B4:B171""),A2081)&gt;0,
COUNTIF(Studies!$A$2:$A$85,FILTER(IMPORT"&amp;"RANGE(""https://docs.google.com/spreadsheets/d/1kGrh75X1cNR1D7_FcY9zMnHP8iPO4M5RCRjy6nZY0TY/edit#gid=0"",""Table 1: Study characteristics!A4:A171""), $A2081=IMPORTRANGE(""https://docs.google.com/spreadsheets/d/1kGrh75X1cNR1D7_FcY9zMnHP8iPO4M5RCRjy6nZY0TY/"&amp;"edit#gid=0"",""Table 1: Study characteristics!B4:B171"")))&gt;0
),
""Include""
)"),"Exclude")</f>
        <v>Exclude</v>
      </c>
      <c r="G2081" s="5" t="str">
        <f>IFERROR(__xludf.DUMMYFUNCTION("IFS(
D2081=""Exclude"",
FILTER(IMPORTRANGE(""https://docs.google.com/spreadsheets/d/1BJSV3WBYJGRhQ6zExamkszQ5VutGIcaQqmbD9ZTVXMQ/edit#gid=1251630045"",""articles_with_PRISMA_reasons!AB2:AB2113""), $A2081=IMPORTRANGE(""https://docs.google.com/spreadsheets/"&amp;"d/1BJSV3WBYJGRhQ6zExamkszQ5VutGIcaQqmbD9ZTVXMQ/edit#gid=1251630045"",""articles_with_PRISMA_reasons!B2:B2113"")),
E2081=""Exclude"",
FILTER(IMPORTRANGE(""https://docs.google.com/spreadsheets/d/1qpEmbGH0JjaJbUdp21-y2cPbobDbMjr09BbtdKROZWc/edit#gid=14448656"&amp;"54"",""articles_with_PRISMA_reasons!Z2:Z2113""), $A2081=IMPORTRANGE(""https://docs.google.com/spreadsheets/d/1qpEmbGH0JjaJbUdp21-y2cPbobDbMjr09BbtdKROZWc/edit#gid=1444865654"",""articles_with_PRISMA_reasons!B2:B2113"")),F2081
=""Include"",FILTER(IMPORTRAN"&amp;"GE(""https://docs.google.com/spreadsheets/d/1kGrh75X1cNR1D7_FcY9zMnHP8iPO4M5RCRjy6nZY0TY/edit#gid=0"",""Table 1: Study characteristics!A4:A171""), $A2081=IMPORTRANGE(""https://docs.google.com/spreadsheets/d/1kGrh75X1cNR1D7_FcY9zMnHP8iPO4M5RCRjy6nZY0TY/edi"&amp;"t#gid=0"",""Table 1: Study characteristics!B4:B171""))
)"),"wrong study design")</f>
        <v>wrong study design</v>
      </c>
    </row>
    <row r="2082">
      <c r="A2082" s="4" t="str">
        <f>IFERROR(__xludf.DUMMYFUNCTION("""COMPUTED_VALUE"""),"Ventriculo-subgaleal shunts-broadening the horizons: an institutional experience")</f>
        <v>Ventriculo-subgaleal shunts-broadening the horizons: an institutional experience</v>
      </c>
      <c r="B2082" s="5" t="str">
        <f>IFERROR(__xludf.DUMMYFUNCTION("LEFT(FILTER(IMPORTRANGE(""https://docs.google.com/spreadsheets/d/1BJSV3WBYJGRhQ6zExamkszQ5VutGIcaQqmbD9ZTVXMQ/edit#gid=1251630045"",""articles_with_PRISMA_reasons!K2:K2113""), $A2082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$A2082=IMPORTRANGE(""https://docs.google.com/spreadsheets/d/1BJSV3WBYJGRhQ6zExamkszQ5VutGIcaQqmbD9ZTVXMQ/edit#gid=1251630045"",""articles_with_PRISMA_reasons!B2:B2113"")))-1)"),"Sil")</f>
        <v>Sil</v>
      </c>
      <c r="C2082" s="6">
        <f>IFERROR(__xludf.DUMMYFUNCTION("FILTER(IMPORTRANGE(""https://docs.google.com/spreadsheets/d/1BJSV3WBYJGRhQ6zExamkszQ5VutGIcaQqmbD9ZTVXMQ/edit#gid=1251630045"",""articles_with_PRISMA_reasons!C2:C2113""), $A2082=IMPORTRANGE(""https://docs.google.com/spreadsheets/d/1BJSV3WBYJGRhQ6zExamkszQ"&amp;"5VutGIcaQqmbD9ZTVXMQ/edit#gid=1251630045"",""articles_with_PRISMA_reasons!B2:B2113""))"),2021.0)</f>
        <v>2021</v>
      </c>
      <c r="D2082" s="5" t="str">
        <f>IFERROR(__xludf.DUMMYFUNCTION("IFS(AND(
FILTER(IMPORTRANGE(""https://docs.google.com/spreadsheets/d/1BJSV3WBYJGRhQ6zExamkszQ5VutGIcaQqmbD9ZTVXMQ/edit#gid=1251630045"",""articles_with_PRISMA_reasons!Y2:Y2113""), $A2082=IMPORTRANGE(""https://docs.google.com/spreadsheets/d/1BJSV3WBYJGRhQ6"&amp;"zExamkszQ5VutGIcaQqmbD9ZTVXMQ/edit#gid=1251630045"",""articles_with_PRISMA_reasons!B2:B2113""))&gt;=2,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$A2082=IMPORTRANGE(""https://docs.google.com/spreadsheets/d/1BJSV3WBYJGRhQ6zExamkszQ5VutGIcaQqmbD9ZTVXMQ/edit#gid=1251630045"",""articles_with_PRISMA_reasons!B2:B2113""))&lt;2),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$A2082=IMPORTRANGE(""https://docs.google.com/spreadsheets/d/1BJSV3WBYJGRhQ6zExamkszQ5VutGIcaQqmbD9ZTVXMQ/edit#gid=1251630045"",""a"&amp;"rticles_with_PRISMA_reasons!B2:B2113""))&lt;2,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$A2082=IMPORTRANGE(""https://docs.google"&amp;".com/spreadsheets/d/1BJSV3WBYJGRhQ6zExamkszQ5VutGIcaQqmbD9ZTVXMQ/edit#gid=1251630045"",""articles_with_PRISMA_reasons!B2:B2113""))&gt;=2),
""Exclude""
)"),"Include")</f>
        <v>Include</v>
      </c>
      <c r="E2082" s="5" t="str">
        <f>IFERROR(__xludf.DUMMYFUNCTION("IFS(
D2082=""Exclude"",""Exclude"",
AND(
FILTER(IMPORTRANGE(""https://docs.google.com/spreadsheets/d/1qpEmbGH0JjaJbUdp21-y2cPbobDbMjr09BbtdKROZWc/edit#gid=1444865654"",""articles_with_PRISMA_reasons!W2:W2113""), $A2082=IMPORTRANGE(""https://docs.google.co"&amp;"m/spreadsheets/d/1qpEmbGH0JjaJbUdp21-y2cPbobDbMjr09BbtdKROZWc/edit#gid=1444865654"",""articles_with_PRISMA_reasons!B2:B2113""))&gt;=2,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$A2082=IMPORTRANGE(""https://docs.google.com/spreadsheets/d/1qpEmbGH0JjaJbUdp21-y2cPbobDbMjr09BbtdKROZWc/edit#gid=1444865654"",""articles_with_PRISMA_reasons!B2:B2113""))&lt;2),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$A2082=IMPORTRANGE(""https://docs.google.com/spreadsheets/d/1qpEmbGH0JjaJbUdp21-y2cPbobDbMjr09Bbtd"&amp;"KROZWc/edit#gid=1444865654"",""articles_with_PRISMA_reasons!B2:B2113""))&lt;2,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$A2082=I"&amp;"MPORTRANGE(""https://docs.google.com/spreadsheets/d/1qpEmbGH0JjaJbUdp21-y2cPbobDbMjr09BbtdKROZWc/edit#gid=1444865654"",""articles_with_PRISMA_reasons!B2:B2113""))&gt;=2),
""Exclude""
)"),"Include")</f>
        <v>Include</v>
      </c>
      <c r="F2082" s="5" t="str">
        <f>IFERROR(__xludf.DUMMYFUNCTION("IFS(
E2082=""Exclude"",""Exclude"",
AND(
COUNTIF(
IMPORTRANGE(""https://docs.google.com/spreadsheets/d/1kGrh75X1cNR1D7_FcY9zMnHP8iPO4M5RCRjy6nZY0TY/edit#gid=0"",""Table 1: Study characteristics!B4:B171""),A2082)&gt;0,
COUNTIF(Studies!$A$2:$A$85,FILTER(IMPORT"&amp;"RANGE(""https://docs.google.com/spreadsheets/d/1kGrh75X1cNR1D7_FcY9zMnHP8iPO4M5RCRjy6nZY0TY/edit#gid=0"",""Table 1: Study characteristics!A4:A171""), $A2082=IMPORTRANGE(""https://docs.google.com/spreadsheets/d/1kGrh75X1cNR1D7_FcY9zMnHP8iPO4M5RCRjy6nZY0TY/"&amp;"edit#gid=0"",""Table 1: Study characteristics!B4:B171"")))&gt;0
),
""Include""
)"),"Include")</f>
        <v>Include</v>
      </c>
      <c r="G2082" s="5" t="str">
        <f>IFERROR(__xludf.DUMMYFUNCTION("IFS(
D2082=""Exclude"",
FILTER(IMPORTRANGE(""https://docs.google.com/spreadsheets/d/1BJSV3WBYJGRhQ6zExamkszQ5VutGIcaQqmbD9ZTVXMQ/edit#gid=1251630045"",""articles_with_PRISMA_reasons!AB2:AB2113""), $A2082=IMPORTRANGE(""https://docs.google.com/spreadsheets/"&amp;"d/1BJSV3WBYJGRhQ6zExamkszQ5VutGIcaQqmbD9ZTVXMQ/edit#gid=1251630045"",""articles_with_PRISMA_reasons!B2:B2113"")),
E2082=""Exclude"",
FILTER(IMPORTRANGE(""https://docs.google.com/spreadsheets/d/1qpEmbGH0JjaJbUdp21-y2cPbobDbMjr09BbtdKROZWc/edit#gid=14448656"&amp;"54"",""articles_with_PRISMA_reasons!Z2:Z2113""), $A2082=IMPORTRANGE(""https://docs.google.com/spreadsheets/d/1qpEmbGH0JjaJbUdp21-y2cPbobDbMjr09BbtdKROZWc/edit#gid=1444865654"",""articles_with_PRISMA_reasons!B2:B2113"")),F2082
=""Include"",FILTER(IMPORTRAN"&amp;"GE(""https://docs.google.com/spreadsheets/d/1kGrh75X1cNR1D7_FcY9zMnHP8iPO4M5RCRjy6nZY0TY/edit#gid=0"",""Table 1: Study characteristics!A4:A171""), $A2082=IMPORTRANGE(""https://docs.google.com/spreadsheets/d/1kGrh75X1cNR1D7_FcY9zMnHP8iPO4M5RCRjy6nZY0TY/edi"&amp;"t#gid=0"",""Table 1: Study characteristics!B4:B171""))
)"),"ID 167")</f>
        <v>ID 167</v>
      </c>
    </row>
    <row r="2083">
      <c r="A2083" s="4" t="str">
        <f>IFERROR(__xludf.DUMMYFUNCTION("""COMPUTED_VALUE"""),"Ventriculography and cisternography with water-soluble contrast media in infants with myelomeningocele")</f>
        <v>Ventriculography and cisternography with water-soluble contrast media in infants with myelomeningocele</v>
      </c>
      <c r="B2083" s="5" t="str">
        <f>IFERROR(__xludf.DUMMYFUNCTION("LEFT(FILTER(IMPORTRANGE(""https://docs.google.com/spreadsheets/d/1BJSV3WBYJGRhQ6zExamkszQ5VutGIcaQqmbD9ZTVXMQ/edit#gid=1251630045"",""articles_with_PRISMA_reasons!K2:K2113""), $A2083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$A2083=IMPORTRANGE(""https://docs.google.com/spreadsheets/d/1BJSV3WBYJGRhQ6zExamkszQ5VutGIcaQqmbD9ZTVXMQ/edit#gid=1251630045"",""articles_with_PRISMA_reasons!B2:B2113"")))-1)"),"Yamada")</f>
        <v>Yamada</v>
      </c>
      <c r="C2083" s="6">
        <f>IFERROR(__xludf.DUMMYFUNCTION("FILTER(IMPORTRANGE(""https://docs.google.com/spreadsheets/d/1BJSV3WBYJGRhQ6zExamkszQ5VutGIcaQqmbD9ZTVXMQ/edit#gid=1251630045"",""articles_with_PRISMA_reasons!C2:C2113""), $A2083=IMPORTRANGE(""https://docs.google.com/spreadsheets/d/1BJSV3WBYJGRhQ6zExamkszQ"&amp;"5VutGIcaQqmbD9ZTVXMQ/edit#gid=1251630045"",""articles_with_PRISMA_reasons!B2:B2113""))"),1982.0)</f>
        <v>1982</v>
      </c>
      <c r="D2083" s="5" t="str">
        <f>IFERROR(__xludf.DUMMYFUNCTION("IFS(AND(
FILTER(IMPORTRANGE(""https://docs.google.com/spreadsheets/d/1BJSV3WBYJGRhQ6zExamkszQ5VutGIcaQqmbD9ZTVXMQ/edit#gid=1251630045"",""articles_with_PRISMA_reasons!Y2:Y2113""), $A2083=IMPORTRANGE(""https://docs.google.com/spreadsheets/d/1BJSV3WBYJGRhQ6"&amp;"zExamkszQ5VutGIcaQqmbD9ZTVXMQ/edit#gid=1251630045"",""articles_with_PRISMA_reasons!B2:B2113""))&gt;=2,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$A2083=IMPORTRANGE(""https://docs.google.com/spreadsheets/d/1BJSV3WBYJGRhQ6zExamkszQ5VutGIcaQqmbD9ZTVXMQ/edit#gid=1251630045"",""articles_with_PRISMA_reasons!B2:B2113""))&lt;2),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$A2083=IMPORTRANGE(""https://docs.google.com/spreadsheets/d/1BJSV3WBYJGRhQ6zExamkszQ5VutGIcaQqmbD9ZTVXMQ/edit#gid=1251630045"",""a"&amp;"rticles_with_PRISMA_reasons!B2:B2113""))&lt;2,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$A2083=IMPORTRANGE(""https://docs.google"&amp;".com/spreadsheets/d/1BJSV3WBYJGRhQ6zExamkszQ5VutGIcaQqmbD9ZTVXMQ/edit#gid=1251630045"",""articles_with_PRISMA_reasons!B2:B2113""))&gt;=2),
""Exclude""
)"),"Include")</f>
        <v>Include</v>
      </c>
      <c r="E2083" s="5" t="str">
        <f>IFERROR(__xludf.DUMMYFUNCTION("IFS(
D2083=""Exclude"",""Exclude"",
AND(
FILTER(IMPORTRANGE(""https://docs.google.com/spreadsheets/d/1qpEmbGH0JjaJbUdp21-y2cPbobDbMjr09BbtdKROZWc/edit#gid=1444865654"",""articles_with_PRISMA_reasons!W2:W2113""), $A2083=IMPORTRANGE(""https://docs.google.co"&amp;"m/spreadsheets/d/1qpEmbGH0JjaJbUdp21-y2cPbobDbMjr09BbtdKROZWc/edit#gid=1444865654"",""articles_with_PRISMA_reasons!B2:B2113""))&gt;=2,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$A2083=IMPORTRANGE(""https://docs.google.com/spreadsheets/d/1qpEmbGH0JjaJbUdp21-y2cPbobDbMjr09BbtdKROZWc/edit#gid=1444865654"",""articles_with_PRISMA_reasons!B2:B2113""))&lt;2),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$A2083=IMPORTRANGE(""https://docs.google.com/spreadsheets/d/1qpEmbGH0JjaJbUdp21-y2cPbobDbMjr09Bbtd"&amp;"KROZWc/edit#gid=1444865654"",""articles_with_PRISMA_reasons!B2:B2113""))&lt;2,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$A2083=I"&amp;"MPORTRANGE(""https://docs.google.com/spreadsheets/d/1qpEmbGH0JjaJbUdp21-y2cPbobDbMjr09BbtdKROZWc/edit#gid=1444865654"",""articles_with_PRISMA_reasons!B2:B2113""))&gt;=2),
""Exclude""
)"),"Exclude")</f>
        <v>Exclude</v>
      </c>
      <c r="F2083" s="5" t="str">
        <f>IFERROR(__xludf.DUMMYFUNCTION("IFS(
E2083=""Exclude"",""Exclude"",
AND(
COUNTIF(
IMPORTRANGE(""https://docs.google.com/spreadsheets/d/1kGrh75X1cNR1D7_FcY9zMnHP8iPO4M5RCRjy6nZY0TY/edit#gid=0"",""Table 1: Study characteristics!B4:B171""),A2083)&gt;0,
COUNTIF(Studies!$A$2:$A$85,FILTER(IMPORT"&amp;"RANGE(""https://docs.google.com/spreadsheets/d/1kGrh75X1cNR1D7_FcY9zMnHP8iPO4M5RCRjy6nZY0TY/edit#gid=0"",""Table 1: Study characteristics!A4:A171""), $A2083=IMPORTRANGE(""https://docs.google.com/spreadsheets/d/1kGrh75X1cNR1D7_FcY9zMnHP8iPO4M5RCRjy6nZY0TY/"&amp;"edit#gid=0"",""Table 1: Study characteristics!B4:B171"")))&gt;0
),
""Include""
)"),"Exclude")</f>
        <v>Exclude</v>
      </c>
      <c r="G2083" s="5" t="str">
        <f>IFERROR(__xludf.DUMMYFUNCTION("IFS(
D2083=""Exclude"",
FILTER(IMPORTRANGE(""https://docs.google.com/spreadsheets/d/1BJSV3WBYJGRhQ6zExamkszQ5VutGIcaQqmbD9ZTVXMQ/edit#gid=1251630045"",""articles_with_PRISMA_reasons!AB2:AB2113""), $A2083=IMPORTRANGE(""https://docs.google.com/spreadsheets/"&amp;"d/1BJSV3WBYJGRhQ6zExamkszQ5VutGIcaQqmbD9ZTVXMQ/edit#gid=1251630045"",""articles_with_PRISMA_reasons!B2:B2113"")),
E2083=""Exclude"",
FILTER(IMPORTRANGE(""https://docs.google.com/spreadsheets/d/1qpEmbGH0JjaJbUdp21-y2cPbobDbMjr09BbtdKROZWc/edit#gid=14448656"&amp;"54"",""articles_with_PRISMA_reasons!Z2:Z2113""), $A2083=IMPORTRANGE(""https://docs.google.com/spreadsheets/d/1qpEmbGH0JjaJbUdp21-y2cPbobDbMjr09BbtdKROZWc/edit#gid=1444865654"",""articles_with_PRISMA_reasons!B2:B2113"")),F2083
=""Include"",FILTER(IMPORTRAN"&amp;"GE(""https://docs.google.com/spreadsheets/d/1kGrh75X1cNR1D7_FcY9zMnHP8iPO4M5RCRjy6nZY0TY/edit#gid=0"",""Table 1: Study characteristics!A4:A171""), $A2083=IMPORTRANGE(""https://docs.google.com/spreadsheets/d/1kGrh75X1cNR1D7_FcY9zMnHP8iPO4M5RCRjy6nZY0TY/edi"&amp;"t#gid=0"",""Table 1: Study characteristics!B4:B171""))
)"),"Wrong intervention")</f>
        <v>Wrong intervention</v>
      </c>
    </row>
    <row r="2084">
      <c r="A2084" s="4" t="str">
        <f>IFERROR(__xludf.DUMMYFUNCTION("""COMPUTED_VALUE"""),"Ventriculoperitoneal shunt catheter protrusion through the anus: case report of an uncommon complication and literature review")</f>
        <v>Ventriculoperitoneal shunt catheter protrusion through the anus: case report of an uncommon complication and literature review</v>
      </c>
      <c r="B2084" s="5" t="str">
        <f>IFERROR(__xludf.DUMMYFUNCTION("LEFT(FILTER(IMPORTRANGE(""https://docs.google.com/spreadsheets/d/1BJSV3WBYJGRhQ6zExamkszQ5VutGIcaQqmbD9ZTVXMQ/edit#gid=1251630045"",""articles_with_PRISMA_reasons!K2:K2113""), $A2084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$A2084=IMPORTRANGE(""https://docs.google.com/spreadsheets/d/1BJSV3WBYJGRhQ6zExamkszQ5VutGIcaQqmbD9ZTVXMQ/edit#gid=1251630045"",""articles_with_PRISMA_reasons!B2:B2113"")))-1)"),"Glatstein")</f>
        <v>Glatstein</v>
      </c>
      <c r="C2084" s="6">
        <f>IFERROR(__xludf.DUMMYFUNCTION("FILTER(IMPORTRANGE(""https://docs.google.com/spreadsheets/d/1BJSV3WBYJGRhQ6zExamkszQ5VutGIcaQqmbD9ZTVXMQ/edit#gid=1251630045"",""articles_with_PRISMA_reasons!C2:C2113""), $A2084=IMPORTRANGE(""https://docs.google.com/spreadsheets/d/1BJSV3WBYJGRhQ6zExamkszQ"&amp;"5VutGIcaQqmbD9ZTVXMQ/edit#gid=1251630045"",""articles_with_PRISMA_reasons!B2:B2113""))"),2011.0)</f>
        <v>2011</v>
      </c>
      <c r="D2084" s="5" t="str">
        <f>IFERROR(__xludf.DUMMYFUNCTION("IFS(AND(
FILTER(IMPORTRANGE(""https://docs.google.com/spreadsheets/d/1BJSV3WBYJGRhQ6zExamkszQ5VutGIcaQqmbD9ZTVXMQ/edit#gid=1251630045"",""articles_with_PRISMA_reasons!Y2:Y2113""), $A2084=IMPORTRANGE(""https://docs.google.com/spreadsheets/d/1BJSV3WBYJGRhQ6"&amp;"zExamkszQ5VutGIcaQqmbD9ZTVXMQ/edit#gid=1251630045"",""articles_with_PRISMA_reasons!B2:B2113""))&gt;=2,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$A2084=IMPORTRANGE(""https://docs.google.com/spreadsheets/d/1BJSV3WBYJGRhQ6zExamkszQ5VutGIcaQqmbD9ZTVXMQ/edit#gid=1251630045"",""articles_with_PRISMA_reasons!B2:B2113""))&lt;2),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$A2084=IMPORTRANGE(""https://docs.google.com/spreadsheets/d/1BJSV3WBYJGRhQ6zExamkszQ5VutGIcaQqmbD9ZTVXMQ/edit#gid=1251630045"",""a"&amp;"rticles_with_PRISMA_reasons!B2:B2113""))&lt;2,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$A2084=IMPORTRANGE(""https://docs.google"&amp;".com/spreadsheets/d/1BJSV3WBYJGRhQ6zExamkszQ5VutGIcaQqmbD9ZTVXMQ/edit#gid=1251630045"",""articles_with_PRISMA_reasons!B2:B2113""))&gt;=2),
""Exclude""
)"),"Exclude")</f>
        <v>Exclude</v>
      </c>
      <c r="E2084" s="5" t="str">
        <f>IFERROR(__xludf.DUMMYFUNCTION("IFS(
D2084=""Exclude"",""Exclude"",
AND(
FILTER(IMPORTRANGE(""https://docs.google.com/spreadsheets/d/1qpEmbGH0JjaJbUdp21-y2cPbobDbMjr09BbtdKROZWc/edit#gid=1444865654"",""articles_with_PRISMA_reasons!W2:W2113""), $A2084=IMPORTRANGE(""https://docs.google.co"&amp;"m/spreadsheets/d/1qpEmbGH0JjaJbUdp21-y2cPbobDbMjr09BbtdKROZWc/edit#gid=1444865654"",""articles_with_PRISMA_reasons!B2:B2113""))&gt;=2,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$A2084=IMPORTRANGE(""https://docs.google.com/spreadsheets/d/1qpEmbGH0JjaJbUdp21-y2cPbobDbMjr09BbtdKROZWc/edit#gid=1444865654"",""articles_with_PRISMA_reasons!B2:B2113""))&lt;2),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$A2084=IMPORTRANGE(""https://docs.google.com/spreadsheets/d/1qpEmbGH0JjaJbUdp21-y2cPbobDbMjr09Bbtd"&amp;"KROZWc/edit#gid=1444865654"",""articles_with_PRISMA_reasons!B2:B2113""))&lt;2,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$A2084=I"&amp;"MPORTRANGE(""https://docs.google.com/spreadsheets/d/1qpEmbGH0JjaJbUdp21-y2cPbobDbMjr09BbtdKROZWc/edit#gid=1444865654"",""articles_with_PRISMA_reasons!B2:B2113""))&gt;=2),
""Exclude""
)"),"Exclude")</f>
        <v>Exclude</v>
      </c>
      <c r="F2084" s="5" t="str">
        <f>IFERROR(__xludf.DUMMYFUNCTION("IFS(
E2084=""Exclude"",""Exclude"",
AND(
COUNTIF(
IMPORTRANGE(""https://docs.google.com/spreadsheets/d/1kGrh75X1cNR1D7_FcY9zMnHP8iPO4M5RCRjy6nZY0TY/edit#gid=0"",""Table 1: Study characteristics!B4:B171""),A2084)&gt;0,
COUNTIF(Studies!$A$2:$A$85,FILTER(IMPORT"&amp;"RANGE(""https://docs.google.com/spreadsheets/d/1kGrh75X1cNR1D7_FcY9zMnHP8iPO4M5RCRjy6nZY0TY/edit#gid=0"",""Table 1: Study characteristics!A4:A171""), $A2084=IMPORTRANGE(""https://docs.google.com/spreadsheets/d/1kGrh75X1cNR1D7_FcY9zMnHP8iPO4M5RCRjy6nZY0TY/"&amp;"edit#gid=0"",""Table 1: Study characteristics!B4:B171"")))&gt;0
),
""Include""
)"),"Exclude")</f>
        <v>Exclude</v>
      </c>
      <c r="G2084" s="5" t="str">
        <f>IFERROR(__xludf.DUMMYFUNCTION("IFS(
D2084=""Exclude"",
FILTER(IMPORTRANGE(""https://docs.google.com/spreadsheets/d/1BJSV3WBYJGRhQ6zExamkszQ5VutGIcaQqmbD9ZTVXMQ/edit#gid=1251630045"",""articles_with_PRISMA_reasons!AB2:AB2113""), $A2084=IMPORTRANGE(""https://docs.google.com/spreadsheets/"&amp;"d/1BJSV3WBYJGRhQ6zExamkszQ5VutGIcaQqmbD9ZTVXMQ/edit#gid=1251630045"",""articles_with_PRISMA_reasons!B2:B2113"")),
E2084=""Exclude"",
FILTER(IMPORTRANGE(""https://docs.google.com/spreadsheets/d/1qpEmbGH0JjaJbUdp21-y2cPbobDbMjr09BbtdKROZWc/edit#gid=14448656"&amp;"54"",""articles_with_PRISMA_reasons!Z2:Z2113""), $A2084=IMPORTRANGE(""https://docs.google.com/spreadsheets/d/1qpEmbGH0JjaJbUdp21-y2cPbobDbMjr09BbtdKROZWc/edit#gid=1444865654"",""articles_with_PRISMA_reasons!B2:B2113"")),F2084
=""Include"",FILTER(IMPORTRAN"&amp;"GE(""https://docs.google.com/spreadsheets/d/1kGrh75X1cNR1D7_FcY9zMnHP8iPO4M5RCRjy6nZY0TY/edit#gid=0"",""Table 1: Study characteristics!A4:A171""), $A2084=IMPORTRANGE(""https://docs.google.com/spreadsheets/d/1kGrh75X1cNR1D7_FcY9zMnHP8iPO4M5RCRjy6nZY0TY/edi"&amp;"t#gid=0"",""Table 1: Study characteristics!B4:B171""))
)"),"wrong study design")</f>
        <v>wrong study design</v>
      </c>
    </row>
    <row r="2085">
      <c r="A2085" s="4" t="str">
        <f>IFERROR(__xludf.DUMMYFUNCTION("""COMPUTED_VALUE"""),"Ventriculoperitoneal shunt catheter spontaneously protruding through the skin at the sacrococcygeal region")</f>
        <v>Ventriculoperitoneal shunt catheter spontaneously protruding through the skin at the sacrococcygeal region</v>
      </c>
      <c r="B2085" s="5" t="str">
        <f>IFERROR(__xludf.DUMMYFUNCTION("LEFT(FILTER(IMPORTRANGE(""https://docs.google.com/spreadsheets/d/1BJSV3WBYJGRhQ6zExamkszQ5VutGIcaQqmbD9ZTVXMQ/edit#gid=1251630045"",""articles_with_PRISMA_reasons!K2:K2113""), $A2085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$A2085=IMPORTRANGE(""https://docs.google.com/spreadsheets/d/1BJSV3WBYJGRhQ6zExamkszQ5VutGIcaQqmbD9ZTVXMQ/edit#gid=1251630045"",""articles_with_PRISMA_reasons!B2:B2113"")))-1)"),"Cosan")</f>
        <v>Cosan</v>
      </c>
      <c r="C2085" s="6">
        <f>IFERROR(__xludf.DUMMYFUNCTION("FILTER(IMPORTRANGE(""https://docs.google.com/spreadsheets/d/1BJSV3WBYJGRhQ6zExamkszQ5VutGIcaQqmbD9ZTVXMQ/edit#gid=1251630045"",""articles_with_PRISMA_reasons!C2:C2113""), $A2085=IMPORTRANGE(""https://docs.google.com/spreadsheets/d/1BJSV3WBYJGRhQ6zExamkszQ"&amp;"5VutGIcaQqmbD9ZTVXMQ/edit#gid=1251630045"",""articles_with_PRISMA_reasons!B2:B2113""))"),2008.0)</f>
        <v>2008</v>
      </c>
      <c r="D2085" s="5" t="str">
        <f>IFERROR(__xludf.DUMMYFUNCTION("IFS(AND(
FILTER(IMPORTRANGE(""https://docs.google.com/spreadsheets/d/1BJSV3WBYJGRhQ6zExamkszQ5VutGIcaQqmbD9ZTVXMQ/edit#gid=1251630045"",""articles_with_PRISMA_reasons!Y2:Y2113""), $A2085=IMPORTRANGE(""https://docs.google.com/spreadsheets/d/1BJSV3WBYJGRhQ6"&amp;"zExamkszQ5VutGIcaQqmbD9ZTVXMQ/edit#gid=1251630045"",""articles_with_PRISMA_reasons!B2:B2113""))&gt;=2,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$A2085=IMPORTRANGE(""https://docs.google.com/spreadsheets/d/1BJSV3WBYJGRhQ6zExamkszQ5VutGIcaQqmbD9ZTVXMQ/edit#gid=1251630045"",""articles_with_PRISMA_reasons!B2:B2113""))&lt;2),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$A2085=IMPORTRANGE(""https://docs.google.com/spreadsheets/d/1BJSV3WBYJGRhQ6zExamkszQ5VutGIcaQqmbD9ZTVXMQ/edit#gid=1251630045"",""a"&amp;"rticles_with_PRISMA_reasons!B2:B2113""))&lt;2,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$A2085=IMPORTRANGE(""https://docs.google"&amp;".com/spreadsheets/d/1BJSV3WBYJGRhQ6zExamkszQ5VutGIcaQqmbD9ZTVXMQ/edit#gid=1251630045"",""articles_with_PRISMA_reasons!B2:B2113""))&gt;=2),
""Exclude""
)"),"Exclude")</f>
        <v>Exclude</v>
      </c>
      <c r="E2085" s="5" t="str">
        <f>IFERROR(__xludf.DUMMYFUNCTION("IFS(
D2085=""Exclude"",""Exclude"",
AND(
FILTER(IMPORTRANGE(""https://docs.google.com/spreadsheets/d/1qpEmbGH0JjaJbUdp21-y2cPbobDbMjr09BbtdKROZWc/edit#gid=1444865654"",""articles_with_PRISMA_reasons!W2:W2113""), $A2085=IMPORTRANGE(""https://docs.google.co"&amp;"m/spreadsheets/d/1qpEmbGH0JjaJbUdp21-y2cPbobDbMjr09BbtdKROZWc/edit#gid=1444865654"",""articles_with_PRISMA_reasons!B2:B2113""))&gt;=2,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$A2085=IMPORTRANGE(""https://docs.google.com/spreadsheets/d/1qpEmbGH0JjaJbUdp21-y2cPbobDbMjr09BbtdKROZWc/edit#gid=1444865654"",""articles_with_PRISMA_reasons!B2:B2113""))&lt;2),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$A2085=IMPORTRANGE(""https://docs.google.com/spreadsheets/d/1qpEmbGH0JjaJbUdp21-y2cPbobDbMjr09Bbtd"&amp;"KROZWc/edit#gid=1444865654"",""articles_with_PRISMA_reasons!B2:B2113""))&lt;2,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$A2085=I"&amp;"MPORTRANGE(""https://docs.google.com/spreadsheets/d/1qpEmbGH0JjaJbUdp21-y2cPbobDbMjr09BbtdKROZWc/edit#gid=1444865654"",""articles_with_PRISMA_reasons!B2:B2113""))&gt;=2),
""Exclude""
)"),"Exclude")</f>
        <v>Exclude</v>
      </c>
      <c r="F2085" s="5" t="str">
        <f>IFERROR(__xludf.DUMMYFUNCTION("IFS(
E2085=""Exclude"",""Exclude"",
AND(
COUNTIF(
IMPORTRANGE(""https://docs.google.com/spreadsheets/d/1kGrh75X1cNR1D7_FcY9zMnHP8iPO4M5RCRjy6nZY0TY/edit#gid=0"",""Table 1: Study characteristics!B4:B171""),A2085)&gt;0,
COUNTIF(Studies!$A$2:$A$85,FILTER(IMPORT"&amp;"RANGE(""https://docs.google.com/spreadsheets/d/1kGrh75X1cNR1D7_FcY9zMnHP8iPO4M5RCRjy6nZY0TY/edit#gid=0"",""Table 1: Study characteristics!A4:A171""), $A2085=IMPORTRANGE(""https://docs.google.com/spreadsheets/d/1kGrh75X1cNR1D7_FcY9zMnHP8iPO4M5RCRjy6nZY0TY/"&amp;"edit#gid=0"",""Table 1: Study characteristics!B4:B171"")))&gt;0
),
""Include""
)"),"Exclude")</f>
        <v>Exclude</v>
      </c>
      <c r="G2085" s="5" t="str">
        <f>IFERROR(__xludf.DUMMYFUNCTION("IFS(
D2085=""Exclude"",
FILTER(IMPORTRANGE(""https://docs.google.com/spreadsheets/d/1BJSV3WBYJGRhQ6zExamkszQ5VutGIcaQqmbD9ZTVXMQ/edit#gid=1251630045"",""articles_with_PRISMA_reasons!AB2:AB2113""), $A2085=IMPORTRANGE(""https://docs.google.com/spreadsheets/"&amp;"d/1BJSV3WBYJGRhQ6zExamkszQ5VutGIcaQqmbD9ZTVXMQ/edit#gid=1251630045"",""articles_with_PRISMA_reasons!B2:B2113"")),
E2085=""Exclude"",
FILTER(IMPORTRANGE(""https://docs.google.com/spreadsheets/d/1qpEmbGH0JjaJbUdp21-y2cPbobDbMjr09BbtdKROZWc/edit#gid=14448656"&amp;"54"",""articles_with_PRISMA_reasons!Z2:Z2113""), $A2085=IMPORTRANGE(""https://docs.google.com/spreadsheets/d/1qpEmbGH0JjaJbUdp21-y2cPbobDbMjr09BbtdKROZWc/edit#gid=1444865654"",""articles_with_PRISMA_reasons!B2:B2113"")),F2085
=""Include"",FILTER(IMPORTRAN"&amp;"GE(""https://docs.google.com/spreadsheets/d/1kGrh75X1cNR1D7_FcY9zMnHP8iPO4M5RCRjy6nZY0TY/edit#gid=0"",""Table 1: Study characteristics!A4:A171""), $A2085=IMPORTRANGE(""https://docs.google.com/spreadsheets/d/1kGrh75X1cNR1D7_FcY9zMnHP8iPO4M5RCRjy6nZY0TY/edi"&amp;"t#gid=0"",""Table 1: Study characteristics!B4:B171""))
)"),"wrong study design")</f>
        <v>wrong study design</v>
      </c>
    </row>
    <row r="2086">
      <c r="A2086" s="4" t="str">
        <f>IFERROR(__xludf.DUMMYFUNCTION("""COMPUTED_VALUE"""),"Ventriculoperitoneal shunt infections")</f>
        <v>Ventriculoperitoneal shunt infections</v>
      </c>
      <c r="B2086" s="5" t="str">
        <f>IFERROR(__xludf.DUMMYFUNCTION("LEFT(FILTER(IMPORTRANGE(""https://docs.google.com/spreadsheets/d/1BJSV3WBYJGRhQ6zExamkszQ5VutGIcaQqmbD9ZTVXMQ/edit#gid=1251630045"",""articles_with_PRISMA_reasons!K2:K2113""), $A2086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$A2086=IMPORTRANGE(""https://docs.google.com/spreadsheets/d/1BJSV3WBYJGRhQ6zExamkszQ5VutGIcaQqmbD9ZTVXMQ/edit#gid=1251630045"",""articles_with_PRISMA_reasons!B2:B2113"")))-1)"),"Briones-Lara")</f>
        <v>Briones-Lara</v>
      </c>
      <c r="C2086" s="6">
        <f>IFERROR(__xludf.DUMMYFUNCTION("FILTER(IMPORTRANGE(""https://docs.google.com/spreadsheets/d/1BJSV3WBYJGRhQ6zExamkszQ5VutGIcaQqmbD9ZTVXMQ/edit#gid=1251630045"",""articles_with_PRISMA_reasons!C2:C2113""), $A2086=IMPORTRANGE(""https://docs.google.com/spreadsheets/d/1BJSV3WBYJGRhQ6zExamkszQ"&amp;"5VutGIcaQqmbD9ZTVXMQ/edit#gid=1251630045"",""articles_with_PRISMA_reasons!B2:B2113""))"),1999.0)</f>
        <v>1999</v>
      </c>
      <c r="D2086" s="5" t="str">
        <f>IFERROR(__xludf.DUMMYFUNCTION("IFS(AND(
FILTER(IMPORTRANGE(""https://docs.google.com/spreadsheets/d/1BJSV3WBYJGRhQ6zExamkszQ5VutGIcaQqmbD9ZTVXMQ/edit#gid=1251630045"",""articles_with_PRISMA_reasons!Y2:Y2113""), $A2086=IMPORTRANGE(""https://docs.google.com/spreadsheets/d/1BJSV3WBYJGRhQ6"&amp;"zExamkszQ5VutGIcaQqmbD9ZTVXMQ/edit#gid=1251630045"",""articles_with_PRISMA_reasons!B2:B2113""))&gt;=2,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$A2086=IMPORTRANGE(""https://docs.google.com/spreadsheets/d/1BJSV3WBYJGRhQ6zExamkszQ5VutGIcaQqmbD9ZTVXMQ/edit#gid=1251630045"",""articles_with_PRISMA_reasons!B2:B2113""))&lt;2),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$A2086=IMPORTRANGE(""https://docs.google.com/spreadsheets/d/1BJSV3WBYJGRhQ6zExamkszQ5VutGIcaQqmbD9ZTVXMQ/edit#gid=1251630045"",""a"&amp;"rticles_with_PRISMA_reasons!B2:B2113""))&lt;2,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$A2086=IMPORTRANGE(""https://docs.google"&amp;".com/spreadsheets/d/1BJSV3WBYJGRhQ6zExamkszQ5VutGIcaQqmbD9ZTVXMQ/edit#gid=1251630045"",""articles_with_PRISMA_reasons!B2:B2113""))&gt;=2),
""Exclude""
)"),"Include")</f>
        <v>Include</v>
      </c>
      <c r="E2086" s="5" t="str">
        <f>IFERROR(__xludf.DUMMYFUNCTION("IFS(
D2086=""Exclude"",""Exclude"",
AND(
FILTER(IMPORTRANGE(""https://docs.google.com/spreadsheets/d/1qpEmbGH0JjaJbUdp21-y2cPbobDbMjr09BbtdKROZWc/edit#gid=1444865654"",""articles_with_PRISMA_reasons!W2:W2113""), $A2086=IMPORTRANGE(""https://docs.google.co"&amp;"m/spreadsheets/d/1qpEmbGH0JjaJbUdp21-y2cPbobDbMjr09BbtdKROZWc/edit#gid=1444865654"",""articles_with_PRISMA_reasons!B2:B2113""))&gt;=2,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$A2086=IMPORTRANGE(""https://docs.google.com/spreadsheets/d/1qpEmbGH0JjaJbUdp21-y2cPbobDbMjr09BbtdKROZWc/edit#gid=1444865654"",""articles_with_PRISMA_reasons!B2:B2113""))&lt;2),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$A2086=IMPORTRANGE(""https://docs.google.com/spreadsheets/d/1qpEmbGH0JjaJbUdp21-y2cPbobDbMjr09Bbtd"&amp;"KROZWc/edit#gid=1444865654"",""articles_with_PRISMA_reasons!B2:B2113""))&lt;2,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$A2086=I"&amp;"MPORTRANGE(""https://docs.google.com/spreadsheets/d/1qpEmbGH0JjaJbUdp21-y2cPbobDbMjr09BbtdKROZWc/edit#gid=1444865654"",""articles_with_PRISMA_reasons!B2:B2113""))&gt;=2),
""Exclude""
)"),"Exclude")</f>
        <v>Exclude</v>
      </c>
      <c r="F2086" s="5" t="str">
        <f>IFERROR(__xludf.DUMMYFUNCTION("IFS(
E2086=""Exclude"",""Exclude"",
AND(
COUNTIF(
IMPORTRANGE(""https://docs.google.com/spreadsheets/d/1kGrh75X1cNR1D7_FcY9zMnHP8iPO4M5RCRjy6nZY0TY/edit#gid=0"",""Table 1: Study characteristics!B4:B171""),A2086)&gt;0,
COUNTIF(Studies!$A$2:$A$85,FILTER(IMPORT"&amp;"RANGE(""https://docs.google.com/spreadsheets/d/1kGrh75X1cNR1D7_FcY9zMnHP8iPO4M5RCRjy6nZY0TY/edit#gid=0"",""Table 1: Study characteristics!A4:A171""), $A2086=IMPORTRANGE(""https://docs.google.com/spreadsheets/d/1kGrh75X1cNR1D7_FcY9zMnHP8iPO4M5RCRjy6nZY0TY/"&amp;"edit#gid=0"",""Table 1: Study characteristics!B4:B171"")))&gt;0
),
""Include""
)"),"Exclude")</f>
        <v>Exclude</v>
      </c>
      <c r="G2086" s="5" t="str">
        <f>IFERROR(__xludf.DUMMYFUNCTION("IFS(
D2086=""Exclude"",
FILTER(IMPORTRANGE(""https://docs.google.com/spreadsheets/d/1BJSV3WBYJGRhQ6zExamkszQ5VutGIcaQqmbD9ZTVXMQ/edit#gid=1251630045"",""articles_with_PRISMA_reasons!AB2:AB2113""), $A2086=IMPORTRANGE(""https://docs.google.com/spreadsheets/"&amp;"d/1BJSV3WBYJGRhQ6zExamkszQ5VutGIcaQqmbD9ZTVXMQ/edit#gid=1251630045"",""articles_with_PRISMA_reasons!B2:B2113"")),
E2086=""Exclude"",
FILTER(IMPORTRANGE(""https://docs.google.com/spreadsheets/d/1qpEmbGH0JjaJbUdp21-y2cPbobDbMjr09BbtdKROZWc/edit#gid=14448656"&amp;"54"",""articles_with_PRISMA_reasons!Z2:Z2113""), $A2086=IMPORTRANGE(""https://docs.google.com/spreadsheets/d/1qpEmbGH0JjaJbUdp21-y2cPbobDbMjr09BbtdKROZWc/edit#gid=1444865654"",""articles_with_PRISMA_reasons!B2:B2113"")),F2086
=""Include"",FILTER(IMPORTRAN"&amp;"GE(""https://docs.google.com/spreadsheets/d/1kGrh75X1cNR1D7_FcY9zMnHP8iPO4M5RCRjy6nZY0TY/edit#gid=0"",""Table 1: Study characteristics!A4:A171""), $A2086=IMPORTRANGE(""https://docs.google.com/spreadsheets/d/1kGrh75X1cNR1D7_FcY9zMnHP8iPO4M5RCRjy6nZY0TY/edi"&amp;"t#gid=0"",""Table 1: Study characteristics!B4:B171""))
)"),"wrong population")</f>
        <v>wrong population</v>
      </c>
    </row>
    <row r="2087">
      <c r="A2087" s="4" t="str">
        <f>IFERROR(__xludf.DUMMYFUNCTION("""COMPUTED_VALUE"""),"Ventriculoperitoneal shunt infections in children. A 6-year study")</f>
        <v>Ventriculoperitoneal shunt infections in children. A 6-year study</v>
      </c>
      <c r="B2087" s="5" t="str">
        <f>IFERROR(__xludf.DUMMYFUNCTION("LEFT(FILTER(IMPORTRANGE(""https://docs.google.com/spreadsheets/d/1BJSV3WBYJGRhQ6zExamkszQ5VutGIcaQqmbD9ZTVXMQ/edit#gid=1251630045"",""articles_with_PRISMA_reasons!K2:K2113""), $A2087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$A2087=IMPORTRANGE(""https://docs.google.com/spreadsheets/d/1BJSV3WBYJGRhQ6zExamkszQ5VutGIcaQqmbD9ZTVXMQ/edit#gid=1251630045"",""articles_with_PRISMA_reasons!B2:B2113"")))-1)"),"Cotton")</f>
        <v>Cotton</v>
      </c>
      <c r="C2087" s="6">
        <f>IFERROR(__xludf.DUMMYFUNCTION("FILTER(IMPORTRANGE(""https://docs.google.com/spreadsheets/d/1BJSV3WBYJGRhQ6zExamkszQ5VutGIcaQqmbD9ZTVXMQ/edit#gid=1251630045"",""articles_with_PRISMA_reasons!C2:C2113""), $A2087=IMPORTRANGE(""https://docs.google.com/spreadsheets/d/1BJSV3WBYJGRhQ6zExamkszQ"&amp;"5VutGIcaQqmbD9ZTVXMQ/edit#gid=1251630045"",""articles_with_PRISMA_reasons!B2:B2113""))"),1991.0)</f>
        <v>1991</v>
      </c>
      <c r="D2087" s="5" t="str">
        <f>IFERROR(__xludf.DUMMYFUNCTION("IFS(AND(
FILTER(IMPORTRANGE(""https://docs.google.com/spreadsheets/d/1BJSV3WBYJGRhQ6zExamkszQ5VutGIcaQqmbD9ZTVXMQ/edit#gid=1251630045"",""articles_with_PRISMA_reasons!Y2:Y2113""), $A2087=IMPORTRANGE(""https://docs.google.com/spreadsheets/d/1BJSV3WBYJGRhQ6"&amp;"zExamkszQ5VutGIcaQqmbD9ZTVXMQ/edit#gid=1251630045"",""articles_with_PRISMA_reasons!B2:B2113""))&gt;=2,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$A2087=IMPORTRANGE(""https://docs.google.com/spreadsheets/d/1BJSV3WBYJGRhQ6zExamkszQ5VutGIcaQqmbD9ZTVXMQ/edit#gid=1251630045"",""articles_with_PRISMA_reasons!B2:B2113""))&lt;2),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$A2087=IMPORTRANGE(""https://docs.google.com/spreadsheets/d/1BJSV3WBYJGRhQ6zExamkszQ5VutGIcaQqmbD9ZTVXMQ/edit#gid=1251630045"",""a"&amp;"rticles_with_PRISMA_reasons!B2:B2113""))&lt;2,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$A2087=IMPORTRANGE(""https://docs.google"&amp;".com/spreadsheets/d/1BJSV3WBYJGRhQ6zExamkszQ5VutGIcaQqmbD9ZTVXMQ/edit#gid=1251630045"",""articles_with_PRISMA_reasons!B2:B2113""))&gt;=2),
""Exclude""
)"),"Include")</f>
        <v>Include</v>
      </c>
      <c r="E2087" s="5" t="str">
        <f>IFERROR(__xludf.DUMMYFUNCTION("IFS(
D2087=""Exclude"",""Exclude"",
AND(
FILTER(IMPORTRANGE(""https://docs.google.com/spreadsheets/d/1qpEmbGH0JjaJbUdp21-y2cPbobDbMjr09BbtdKROZWc/edit#gid=1444865654"",""articles_with_PRISMA_reasons!W2:W2113""), $A2087=IMPORTRANGE(""https://docs.google.co"&amp;"m/spreadsheets/d/1qpEmbGH0JjaJbUdp21-y2cPbobDbMjr09BbtdKROZWc/edit#gid=1444865654"",""articles_with_PRISMA_reasons!B2:B2113""))&gt;=2,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$A2087=IMPORTRANGE(""https://docs.google.com/spreadsheets/d/1qpEmbGH0JjaJbUdp21-y2cPbobDbMjr09BbtdKROZWc/edit#gid=1444865654"",""articles_with_PRISMA_reasons!B2:B2113""))&lt;2),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$A2087=IMPORTRANGE(""https://docs.google.com/spreadsheets/d/1qpEmbGH0JjaJbUdp21-y2cPbobDbMjr09Bbtd"&amp;"KROZWc/edit#gid=1444865654"",""articles_with_PRISMA_reasons!B2:B2113""))&lt;2,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$A2087=I"&amp;"MPORTRANGE(""https://docs.google.com/spreadsheets/d/1qpEmbGH0JjaJbUdp21-y2cPbobDbMjr09BbtdKROZWc/edit#gid=1444865654"",""articles_with_PRISMA_reasons!B2:B2113""))&gt;=2),
""Exclude""
)"),"Exclude")</f>
        <v>Exclude</v>
      </c>
      <c r="F2087" s="5" t="str">
        <f>IFERROR(__xludf.DUMMYFUNCTION("IFS(
E2087=""Exclude"",""Exclude"",
AND(
COUNTIF(
IMPORTRANGE(""https://docs.google.com/spreadsheets/d/1kGrh75X1cNR1D7_FcY9zMnHP8iPO4M5RCRjy6nZY0TY/edit#gid=0"",""Table 1: Study characteristics!B4:B171""),A2087)&gt;0,
COUNTIF(Studies!$A$2:$A$85,FILTER(IMPORT"&amp;"RANGE(""https://docs.google.com/spreadsheets/d/1kGrh75X1cNR1D7_FcY9zMnHP8iPO4M5RCRjy6nZY0TY/edit#gid=0"",""Table 1: Study characteristics!A4:A171""), $A2087=IMPORTRANGE(""https://docs.google.com/spreadsheets/d/1kGrh75X1cNR1D7_FcY9zMnHP8iPO4M5RCRjy6nZY0TY/"&amp;"edit#gid=0"",""Table 1: Study characteristics!B4:B171"")))&gt;0
),
""Include""
)"),"Exclude")</f>
        <v>Exclude</v>
      </c>
      <c r="G2087" s="5" t="str">
        <f>IFERROR(__xludf.DUMMYFUNCTION("IFS(
D2087=""Exclude"",
FILTER(IMPORTRANGE(""https://docs.google.com/spreadsheets/d/1BJSV3WBYJGRhQ6zExamkszQ5VutGIcaQqmbD9ZTVXMQ/edit#gid=1251630045"",""articles_with_PRISMA_reasons!AB2:AB2113""), $A2087=IMPORTRANGE(""https://docs.google.com/spreadsheets/"&amp;"d/1BJSV3WBYJGRhQ6zExamkszQ5VutGIcaQqmbD9ZTVXMQ/edit#gid=1251630045"",""articles_with_PRISMA_reasons!B2:B2113"")),
E2087=""Exclude"",
FILTER(IMPORTRANGE(""https://docs.google.com/spreadsheets/d/1qpEmbGH0JjaJbUdp21-y2cPbobDbMjr09BbtdKROZWc/edit#gid=14448656"&amp;"54"",""articles_with_PRISMA_reasons!Z2:Z2113""), $A2087=IMPORTRANGE(""https://docs.google.com/spreadsheets/d/1qpEmbGH0JjaJbUdp21-y2cPbobDbMjr09BbtdKROZWc/edit#gid=1444865654"",""articles_with_PRISMA_reasons!B2:B2113"")),F2087
=""Include"",FILTER(IMPORTRAN"&amp;"GE(""https://docs.google.com/spreadsheets/d/1kGrh75X1cNR1D7_FcY9zMnHP8iPO4M5RCRjy6nZY0TY/edit#gid=0"",""Table 1: Study characteristics!A4:A171""), $A2087=IMPORTRANGE(""https://docs.google.com/spreadsheets/d/1kGrh75X1cNR1D7_FcY9zMnHP8iPO4M5RCRjy6nZY0TY/edi"&amp;"t#gid=0"",""Table 1: Study characteristics!B4:B171""))
)"),"wrong population")</f>
        <v>wrong population</v>
      </c>
    </row>
    <row r="2088">
      <c r="A2088" s="4" t="str">
        <f>IFERROR(__xludf.DUMMYFUNCTION("""COMPUTED_VALUE"""),"Ventriculoperitoneal shunt malfunction in a pregnant patient with meningomyelocele")</f>
        <v>Ventriculoperitoneal shunt malfunction in a pregnant patient with meningomyelocele</v>
      </c>
      <c r="B2088" s="5" t="str">
        <f>IFERROR(__xludf.DUMMYFUNCTION("LEFT(FILTER(IMPORTRANGE(""https://docs.google.com/spreadsheets/d/1BJSV3WBYJGRhQ6zExamkszQ5VutGIcaQqmbD9ZTVXMQ/edit#gid=1251630045"",""articles_with_PRISMA_reasons!K2:K2113""), $A2088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$A2088=IMPORTRANGE(""https://docs.google.com/spreadsheets/d/1BJSV3WBYJGRhQ6zExamkszQ5VutGIcaQqmbD9ZTVXMQ/edit#gid=1251630045"",""articles_with_PRISMA_reasons!B2:B2113"")))-1)"),"Houston")</f>
        <v>Houston</v>
      </c>
      <c r="C2088" s="6">
        <f>IFERROR(__xludf.DUMMYFUNCTION("FILTER(IMPORTRANGE(""https://docs.google.com/spreadsheets/d/1BJSV3WBYJGRhQ6zExamkszQ5VutGIcaQqmbD9ZTVXMQ/edit#gid=1251630045"",""articles_with_PRISMA_reasons!C2:C2113""), $A2088=IMPORTRANGE(""https://docs.google.com/spreadsheets/d/1BJSV3WBYJGRhQ6zExamkszQ"&amp;"5VutGIcaQqmbD9ZTVXMQ/edit#gid=1251630045"",""articles_with_PRISMA_reasons!B2:B2113""))"),1989.0)</f>
        <v>1989</v>
      </c>
      <c r="D2088" s="5" t="str">
        <f>IFERROR(__xludf.DUMMYFUNCTION("IFS(AND(
FILTER(IMPORTRANGE(""https://docs.google.com/spreadsheets/d/1BJSV3WBYJGRhQ6zExamkszQ5VutGIcaQqmbD9ZTVXMQ/edit#gid=1251630045"",""articles_with_PRISMA_reasons!Y2:Y2113""), $A2088=IMPORTRANGE(""https://docs.google.com/spreadsheets/d/1BJSV3WBYJGRhQ6"&amp;"zExamkszQ5VutGIcaQqmbD9ZTVXMQ/edit#gid=1251630045"",""articles_with_PRISMA_reasons!B2:B2113""))&gt;=2,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$A2088=IMPORTRANGE(""https://docs.google.com/spreadsheets/d/1BJSV3WBYJGRhQ6zExamkszQ5VutGIcaQqmbD9ZTVXMQ/edit#gid=1251630045"",""articles_with_PRISMA_reasons!B2:B2113""))&lt;2),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$A2088=IMPORTRANGE(""https://docs.google.com/spreadsheets/d/1BJSV3WBYJGRhQ6zExamkszQ5VutGIcaQqmbD9ZTVXMQ/edit#gid=1251630045"",""a"&amp;"rticles_with_PRISMA_reasons!B2:B2113""))&lt;2,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$A2088=IMPORTRANGE(""https://docs.google"&amp;".com/spreadsheets/d/1BJSV3WBYJGRhQ6zExamkszQ5VutGIcaQqmbD9ZTVXMQ/edit#gid=1251630045"",""articles_with_PRISMA_reasons!B2:B2113""))&gt;=2),
""Exclude""
)"),"Exclude")</f>
        <v>Exclude</v>
      </c>
      <c r="E2088" s="5" t="str">
        <f>IFERROR(__xludf.DUMMYFUNCTION("IFS(
D2088=""Exclude"",""Exclude"",
AND(
FILTER(IMPORTRANGE(""https://docs.google.com/spreadsheets/d/1qpEmbGH0JjaJbUdp21-y2cPbobDbMjr09BbtdKROZWc/edit#gid=1444865654"",""articles_with_PRISMA_reasons!W2:W2113""), $A2088=IMPORTRANGE(""https://docs.google.co"&amp;"m/spreadsheets/d/1qpEmbGH0JjaJbUdp21-y2cPbobDbMjr09BbtdKROZWc/edit#gid=1444865654"",""articles_with_PRISMA_reasons!B2:B2113""))&gt;=2,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$A2088=IMPORTRANGE(""https://docs.google.com/spreadsheets/d/1qpEmbGH0JjaJbUdp21-y2cPbobDbMjr09BbtdKROZWc/edit#gid=1444865654"",""articles_with_PRISMA_reasons!B2:B2113""))&lt;2),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$A2088=IMPORTRANGE(""https://docs.google.com/spreadsheets/d/1qpEmbGH0JjaJbUdp21-y2cPbobDbMjr09Bbtd"&amp;"KROZWc/edit#gid=1444865654"",""articles_with_PRISMA_reasons!B2:B2113""))&lt;2,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$A2088=I"&amp;"MPORTRANGE(""https://docs.google.com/spreadsheets/d/1qpEmbGH0JjaJbUdp21-y2cPbobDbMjr09BbtdKROZWc/edit#gid=1444865654"",""articles_with_PRISMA_reasons!B2:B2113""))&gt;=2),
""Exclude""
)"),"Exclude")</f>
        <v>Exclude</v>
      </c>
      <c r="F2088" s="5" t="str">
        <f>IFERROR(__xludf.DUMMYFUNCTION("IFS(
E2088=""Exclude"",""Exclude"",
AND(
COUNTIF(
IMPORTRANGE(""https://docs.google.com/spreadsheets/d/1kGrh75X1cNR1D7_FcY9zMnHP8iPO4M5RCRjy6nZY0TY/edit#gid=0"",""Table 1: Study characteristics!B4:B171""),A2088)&gt;0,
COUNTIF(Studies!$A$2:$A$85,FILTER(IMPORT"&amp;"RANGE(""https://docs.google.com/spreadsheets/d/1kGrh75X1cNR1D7_FcY9zMnHP8iPO4M5RCRjy6nZY0TY/edit#gid=0"",""Table 1: Study characteristics!A4:A171""), $A2088=IMPORTRANGE(""https://docs.google.com/spreadsheets/d/1kGrh75X1cNR1D7_FcY9zMnHP8iPO4M5RCRjy6nZY0TY/"&amp;"edit#gid=0"",""Table 1: Study characteristics!B4:B171"")))&gt;0
),
""Include""
)"),"Exclude")</f>
        <v>Exclude</v>
      </c>
      <c r="G2088" s="5" t="str">
        <f>IFERROR(__xludf.DUMMYFUNCTION("IFS(
D2088=""Exclude"",
FILTER(IMPORTRANGE(""https://docs.google.com/spreadsheets/d/1BJSV3WBYJGRhQ6zExamkszQ5VutGIcaQqmbD9ZTVXMQ/edit#gid=1251630045"",""articles_with_PRISMA_reasons!AB2:AB2113""), $A2088=IMPORTRANGE(""https://docs.google.com/spreadsheets/"&amp;"d/1BJSV3WBYJGRhQ6zExamkszQ5VutGIcaQqmbD9ZTVXMQ/edit#gid=1251630045"",""articles_with_PRISMA_reasons!B2:B2113"")),
E2088=""Exclude"",
FILTER(IMPORTRANGE(""https://docs.google.com/spreadsheets/d/1qpEmbGH0JjaJbUdp21-y2cPbobDbMjr09BbtdKROZWc/edit#gid=14448656"&amp;"54"",""articles_with_PRISMA_reasons!Z2:Z2113""), $A2088=IMPORTRANGE(""https://docs.google.com/spreadsheets/d/1qpEmbGH0JjaJbUdp21-y2cPbobDbMjr09BbtdKROZWc/edit#gid=1444865654"",""articles_with_PRISMA_reasons!B2:B2113"")),F2088
=""Include"",FILTER(IMPORTRAN"&amp;"GE(""https://docs.google.com/spreadsheets/d/1kGrh75X1cNR1D7_FcY9zMnHP8iPO4M5RCRjy6nZY0TY/edit#gid=0"",""Table 1: Study characteristics!A4:A171""), $A2088=IMPORTRANGE(""https://docs.google.com/spreadsheets/d/1kGrh75X1cNR1D7_FcY9zMnHP8iPO4M5RCRjy6nZY0TY/edi"&amp;"t#gid=0"",""Table 1: Study characteristics!B4:B171""))
)"),"wrong population")</f>
        <v>wrong population</v>
      </c>
    </row>
    <row r="2089">
      <c r="A2089" s="4" t="str">
        <f>IFERROR(__xludf.DUMMYFUNCTION("""COMPUTED_VALUE"""),"Ventriculoperitoneal shunt malfunction presenting as acute paraparesis in an infant: Case illustration")</f>
        <v>Ventriculoperitoneal shunt malfunction presenting as acute paraparesis in an infant: Case illustration</v>
      </c>
      <c r="B2089" s="5" t="str">
        <f>IFERROR(__xludf.DUMMYFUNCTION("LEFT(FILTER(IMPORTRANGE(""https://docs.google.com/spreadsheets/d/1BJSV3WBYJGRhQ6zExamkszQ5VutGIcaQqmbD9ZTVXMQ/edit#gid=1251630045"",""articles_with_PRISMA_reasons!K2:K2113""), $A2089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$A2089=IMPORTRANGE(""https://docs.google.com/spreadsheets/d/1BJSV3WBYJGRhQ6zExamkszQ5VutGIcaQqmbD9ZTVXMQ/edit#gid=1251630045"",""articles_with_PRISMA_reasons!B2:B2113"")))-1)"),"Chowdhary")</f>
        <v>Chowdhary</v>
      </c>
      <c r="C2089" s="6">
        <f>IFERROR(__xludf.DUMMYFUNCTION("FILTER(IMPORTRANGE(""https://docs.google.com/spreadsheets/d/1BJSV3WBYJGRhQ6zExamkszQ5VutGIcaQqmbD9ZTVXMQ/edit#gid=1251630045"",""articles_with_PRISMA_reasons!C2:C2113""), $A2089=IMPORTRANGE(""https://docs.google.com/spreadsheets/d/1BJSV3WBYJGRhQ6zExamkszQ"&amp;"5VutGIcaQqmbD9ZTVXMQ/edit#gid=1251630045"",""articles_with_PRISMA_reasons!B2:B2113""))"),2010.0)</f>
        <v>2010</v>
      </c>
      <c r="D2089" s="5" t="str">
        <f>IFERROR(__xludf.DUMMYFUNCTION("IFS(AND(
FILTER(IMPORTRANGE(""https://docs.google.com/spreadsheets/d/1BJSV3WBYJGRhQ6zExamkszQ5VutGIcaQqmbD9ZTVXMQ/edit#gid=1251630045"",""articles_with_PRISMA_reasons!Y2:Y2113""), $A2089=IMPORTRANGE(""https://docs.google.com/spreadsheets/d/1BJSV3WBYJGRhQ6"&amp;"zExamkszQ5VutGIcaQqmbD9ZTVXMQ/edit#gid=1251630045"",""articles_with_PRISMA_reasons!B2:B2113""))&gt;=2,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$A2089=IMPORTRANGE(""https://docs.google.com/spreadsheets/d/1BJSV3WBYJGRhQ6zExamkszQ5VutGIcaQqmbD9ZTVXMQ/edit#gid=1251630045"",""articles_with_PRISMA_reasons!B2:B2113""))&lt;2),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$A2089=IMPORTRANGE(""https://docs.google.com/spreadsheets/d/1BJSV3WBYJGRhQ6zExamkszQ5VutGIcaQqmbD9ZTVXMQ/edit#gid=1251630045"",""a"&amp;"rticles_with_PRISMA_reasons!B2:B2113""))&lt;2,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$A2089=IMPORTRANGE(""https://docs.google"&amp;".com/spreadsheets/d/1BJSV3WBYJGRhQ6zExamkszQ5VutGIcaQqmbD9ZTVXMQ/edit#gid=1251630045"",""articles_with_PRISMA_reasons!B2:B2113""))&gt;=2),
""Exclude""
)"),"Exclude")</f>
        <v>Exclude</v>
      </c>
      <c r="E2089" s="5" t="str">
        <f>IFERROR(__xludf.DUMMYFUNCTION("IFS(
D2089=""Exclude"",""Exclude"",
AND(
FILTER(IMPORTRANGE(""https://docs.google.com/spreadsheets/d/1qpEmbGH0JjaJbUdp21-y2cPbobDbMjr09BbtdKROZWc/edit#gid=1444865654"",""articles_with_PRISMA_reasons!W2:W2113""), $A2089=IMPORTRANGE(""https://docs.google.co"&amp;"m/spreadsheets/d/1qpEmbGH0JjaJbUdp21-y2cPbobDbMjr09BbtdKROZWc/edit#gid=1444865654"",""articles_with_PRISMA_reasons!B2:B2113""))&gt;=2,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$A2089=IMPORTRANGE(""https://docs.google.com/spreadsheets/d/1qpEmbGH0JjaJbUdp21-y2cPbobDbMjr09BbtdKROZWc/edit#gid=1444865654"",""articles_with_PRISMA_reasons!B2:B2113""))&lt;2),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$A2089=IMPORTRANGE(""https://docs.google.com/spreadsheets/d/1qpEmbGH0JjaJbUdp21-y2cPbobDbMjr09Bbtd"&amp;"KROZWc/edit#gid=1444865654"",""articles_with_PRISMA_reasons!B2:B2113""))&lt;2,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$A2089=I"&amp;"MPORTRANGE(""https://docs.google.com/spreadsheets/d/1qpEmbGH0JjaJbUdp21-y2cPbobDbMjr09BbtdKROZWc/edit#gid=1444865654"",""articles_with_PRISMA_reasons!B2:B2113""))&gt;=2),
""Exclude""
)"),"Exclude")</f>
        <v>Exclude</v>
      </c>
      <c r="F2089" s="5" t="str">
        <f>IFERROR(__xludf.DUMMYFUNCTION("IFS(
E2089=""Exclude"",""Exclude"",
AND(
COUNTIF(
IMPORTRANGE(""https://docs.google.com/spreadsheets/d/1kGrh75X1cNR1D7_FcY9zMnHP8iPO4M5RCRjy6nZY0TY/edit#gid=0"",""Table 1: Study characteristics!B4:B171""),A2089)&gt;0,
COUNTIF(Studies!$A$2:$A$85,FILTER(IMPORT"&amp;"RANGE(""https://docs.google.com/spreadsheets/d/1kGrh75X1cNR1D7_FcY9zMnHP8iPO4M5RCRjy6nZY0TY/edit#gid=0"",""Table 1: Study characteristics!A4:A171""), $A2089=IMPORTRANGE(""https://docs.google.com/spreadsheets/d/1kGrh75X1cNR1D7_FcY9zMnHP8iPO4M5RCRjy6nZY0TY/"&amp;"edit#gid=0"",""Table 1: Study characteristics!B4:B171"")))&gt;0
),
""Include""
)"),"Exclude")</f>
        <v>Exclude</v>
      </c>
      <c r="G2089" s="5" t="str">
        <f>IFERROR(__xludf.DUMMYFUNCTION("IFS(
D2089=""Exclude"",
FILTER(IMPORTRANGE(""https://docs.google.com/spreadsheets/d/1BJSV3WBYJGRhQ6zExamkszQ5VutGIcaQqmbD9ZTVXMQ/edit#gid=1251630045"",""articles_with_PRISMA_reasons!AB2:AB2113""), $A2089=IMPORTRANGE(""https://docs.google.com/spreadsheets/"&amp;"d/1BJSV3WBYJGRhQ6zExamkszQ5VutGIcaQqmbD9ZTVXMQ/edit#gid=1251630045"",""articles_with_PRISMA_reasons!B2:B2113"")),
E2089=""Exclude"",
FILTER(IMPORTRANGE(""https://docs.google.com/spreadsheets/d/1qpEmbGH0JjaJbUdp21-y2cPbobDbMjr09BbtdKROZWc/edit#gid=14448656"&amp;"54"",""articles_with_PRISMA_reasons!Z2:Z2113""), $A2089=IMPORTRANGE(""https://docs.google.com/spreadsheets/d/1qpEmbGH0JjaJbUdp21-y2cPbobDbMjr09BbtdKROZWc/edit#gid=1444865654"",""articles_with_PRISMA_reasons!B2:B2113"")),F2089
=""Include"",FILTER(IMPORTRAN"&amp;"GE(""https://docs.google.com/spreadsheets/d/1kGrh75X1cNR1D7_FcY9zMnHP8iPO4M5RCRjy6nZY0TY/edit#gid=0"",""Table 1: Study characteristics!A4:A171""), $A2089=IMPORTRANGE(""https://docs.google.com/spreadsheets/d/1kGrh75X1cNR1D7_FcY9zMnHP8iPO4M5RCRjy6nZY0TY/edi"&amp;"t#gid=0"",""Table 1: Study characteristics!B4:B171""))
)"),"wrong study design")</f>
        <v>wrong study design</v>
      </c>
    </row>
    <row r="2090">
      <c r="A2090" s="4" t="str">
        <f>IFERROR(__xludf.DUMMYFUNCTION("""COMPUTED_VALUE"""),"Ventriculoperitoneal shunt tube infection and changing pattern of antibiotic sensitivity in neurosurgery practice: Alarming trends")</f>
        <v>Ventriculoperitoneal shunt tube infection and changing pattern of antibiotic sensitivity in neurosurgery practice: Alarming trends</v>
      </c>
      <c r="B2090" s="5" t="str">
        <f>IFERROR(__xludf.DUMMYFUNCTION("LEFT(FILTER(IMPORTRANGE(""https://docs.google.com/spreadsheets/d/1BJSV3WBYJGRhQ6zExamkszQ5VutGIcaQqmbD9ZTVXMQ/edit#gid=1251630045"",""articles_with_PRISMA_reasons!K2:K2113""), $A2090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$A2090=IMPORTRANGE(""https://docs.google.com/spreadsheets/d/1BJSV3WBYJGRhQ6zExamkszQ5VutGIcaQqmbD9ZTVXMQ/edit#gid=1251630045"",""articles_with_PRISMA_reasons!B2:B2113"")))-1)"),"Kumar")</f>
        <v>Kumar</v>
      </c>
      <c r="C2090" s="6">
        <f>IFERROR(__xludf.DUMMYFUNCTION("FILTER(IMPORTRANGE(""https://docs.google.com/spreadsheets/d/1BJSV3WBYJGRhQ6zExamkszQ5VutGIcaQqmbD9ZTVXMQ/edit#gid=1251630045"",""articles_with_PRISMA_reasons!C2:C2113""), $A2090=IMPORTRANGE(""https://docs.google.com/spreadsheets/d/1BJSV3WBYJGRhQ6zExamkszQ"&amp;"5VutGIcaQqmbD9ZTVXMQ/edit#gid=1251630045"",""articles_with_PRISMA_reasons!B2:B2113""))"),2016.0)</f>
        <v>2016</v>
      </c>
      <c r="D2090" s="5" t="str">
        <f>IFERROR(__xludf.DUMMYFUNCTION("IFS(AND(
FILTER(IMPORTRANGE(""https://docs.google.com/spreadsheets/d/1BJSV3WBYJGRhQ6zExamkszQ5VutGIcaQqmbD9ZTVXMQ/edit#gid=1251630045"",""articles_with_PRISMA_reasons!Y2:Y2113""), $A2090=IMPORTRANGE(""https://docs.google.com/spreadsheets/d/1BJSV3WBYJGRhQ6"&amp;"zExamkszQ5VutGIcaQqmbD9ZTVXMQ/edit#gid=1251630045"",""articles_with_PRISMA_reasons!B2:B2113""))&gt;=2,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$A2090=IMPORTRANGE(""https://docs.google.com/spreadsheets/d/1BJSV3WBYJGRhQ6zExamkszQ5VutGIcaQqmbD9ZTVXMQ/edit#gid=1251630045"",""articles_with_PRISMA_reasons!B2:B2113""))&lt;2),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$A2090=IMPORTRANGE(""https://docs.google.com/spreadsheets/d/1BJSV3WBYJGRhQ6zExamkszQ5VutGIcaQqmbD9ZTVXMQ/edit#gid=1251630045"",""a"&amp;"rticles_with_PRISMA_reasons!B2:B2113""))&lt;2,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$A2090=IMPORTRANGE(""https://docs.google"&amp;".com/spreadsheets/d/1BJSV3WBYJGRhQ6zExamkszQ5VutGIcaQqmbD9ZTVXMQ/edit#gid=1251630045"",""articles_with_PRISMA_reasons!B2:B2113""))&gt;=2),
""Exclude""
)"),"Exclude")</f>
        <v>Exclude</v>
      </c>
      <c r="E2090" s="5" t="str">
        <f>IFERROR(__xludf.DUMMYFUNCTION("IFS(
D2090=""Exclude"",""Exclude"",
AND(
FILTER(IMPORTRANGE(""https://docs.google.com/spreadsheets/d/1qpEmbGH0JjaJbUdp21-y2cPbobDbMjr09BbtdKROZWc/edit#gid=1444865654"",""articles_with_PRISMA_reasons!W2:W2113""), $A2090=IMPORTRANGE(""https://docs.google.co"&amp;"m/spreadsheets/d/1qpEmbGH0JjaJbUdp21-y2cPbobDbMjr09BbtdKROZWc/edit#gid=1444865654"",""articles_with_PRISMA_reasons!B2:B2113""))&gt;=2,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$A2090=IMPORTRANGE(""https://docs.google.com/spreadsheets/d/1qpEmbGH0JjaJbUdp21-y2cPbobDbMjr09BbtdKROZWc/edit#gid=1444865654"",""articles_with_PRISMA_reasons!B2:B2113""))&lt;2),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$A2090=IMPORTRANGE(""https://docs.google.com/spreadsheets/d/1qpEmbGH0JjaJbUdp21-y2cPbobDbMjr09Bbtd"&amp;"KROZWc/edit#gid=1444865654"",""articles_with_PRISMA_reasons!B2:B2113""))&lt;2,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$A2090=I"&amp;"MPORTRANGE(""https://docs.google.com/spreadsheets/d/1qpEmbGH0JjaJbUdp21-y2cPbobDbMjr09BbtdKROZWc/edit#gid=1444865654"",""articles_with_PRISMA_reasons!B2:B2113""))&gt;=2),
""Exclude""
)"),"Exclude")</f>
        <v>Exclude</v>
      </c>
      <c r="F2090" s="5" t="str">
        <f>IFERROR(__xludf.DUMMYFUNCTION("IFS(
E2090=""Exclude"",""Exclude"",
AND(
COUNTIF(
IMPORTRANGE(""https://docs.google.com/spreadsheets/d/1kGrh75X1cNR1D7_FcY9zMnHP8iPO4M5RCRjy6nZY0TY/edit#gid=0"",""Table 1: Study characteristics!B4:B171""),A2090)&gt;0,
COUNTIF(Studies!$A$2:$A$85,FILTER(IMPORT"&amp;"RANGE(""https://docs.google.com/spreadsheets/d/1kGrh75X1cNR1D7_FcY9zMnHP8iPO4M5RCRjy6nZY0TY/edit#gid=0"",""Table 1: Study characteristics!A4:A171""), $A2090=IMPORTRANGE(""https://docs.google.com/spreadsheets/d/1kGrh75X1cNR1D7_FcY9zMnHP8iPO4M5RCRjy6nZY0TY/"&amp;"edit#gid=0"",""Table 1: Study characteristics!B4:B171"")))&gt;0
),
""Include""
)"),"Exclude")</f>
        <v>Exclude</v>
      </c>
      <c r="G2090" s="5" t="str">
        <f>IFERROR(__xludf.DUMMYFUNCTION("IFS(
D2090=""Exclude"",
FILTER(IMPORTRANGE(""https://docs.google.com/spreadsheets/d/1BJSV3WBYJGRhQ6zExamkszQ5VutGIcaQqmbD9ZTVXMQ/edit#gid=1251630045"",""articles_with_PRISMA_reasons!AB2:AB2113""), $A2090=IMPORTRANGE(""https://docs.google.com/spreadsheets/"&amp;"d/1BJSV3WBYJGRhQ6zExamkszQ5VutGIcaQqmbD9ZTVXMQ/edit#gid=1251630045"",""articles_with_PRISMA_reasons!B2:B2113"")),
E2090=""Exclude"",
FILTER(IMPORTRANGE(""https://docs.google.com/spreadsheets/d/1qpEmbGH0JjaJbUdp21-y2cPbobDbMjr09BbtdKROZWc/edit#gid=14448656"&amp;"54"",""articles_with_PRISMA_reasons!Z2:Z2113""), $A2090=IMPORTRANGE(""https://docs.google.com/spreadsheets/d/1qpEmbGH0JjaJbUdp21-y2cPbobDbMjr09BbtdKROZWc/edit#gid=1444865654"",""articles_with_PRISMA_reasons!B2:B2113"")),F2090
=""Include"",FILTER(IMPORTRAN"&amp;"GE(""https://docs.google.com/spreadsheets/d/1kGrh75X1cNR1D7_FcY9zMnHP8iPO4M5RCRjy6nZY0TY/edit#gid=0"",""Table 1: Study characteristics!A4:A171""), $A2090=IMPORTRANGE(""https://docs.google.com/spreadsheets/d/1kGrh75X1cNR1D7_FcY9zMnHP8iPO4M5RCRjy6nZY0TY/edi"&amp;"t#gid=0"",""Table 1: Study characteristics!B4:B171""))
)"),"wrong population")</f>
        <v>wrong population</v>
      </c>
    </row>
    <row r="2091">
      <c r="A2091" s="4" t="str">
        <f>IFERROR(__xludf.DUMMYFUNCTION("""COMPUTED_VALUE"""),"Ventriculoperitoneal shunt with a rare twist: small-bowel ischemia and necrosis secondary to knotting of peritoneal catheter")</f>
        <v>Ventriculoperitoneal shunt with a rare twist: small-bowel ischemia and necrosis secondary to knotting of peritoneal catheter</v>
      </c>
      <c r="B2091" s="5" t="str">
        <f>IFERROR(__xludf.DUMMYFUNCTION("LEFT(FILTER(IMPORTRANGE(""https://docs.google.com/spreadsheets/d/1BJSV3WBYJGRhQ6zExamkszQ5VutGIcaQqmbD9ZTVXMQ/edit#gid=1251630045"",""articles_with_PRISMA_reasons!K2:K2113""), $A2091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$A2091=IMPORTRANGE(""https://docs.google.com/spreadsheets/d/1BJSV3WBYJGRhQ6zExamkszQ5VutGIcaQqmbD9ZTVXMQ/edit#gid=1251630045"",""articles_with_PRISMA_reasons!B2:B2113"")))-1)"),"Tan")</f>
        <v>Tan</v>
      </c>
      <c r="C2091" s="6" t="str">
        <f>IFERROR(__xludf.DUMMYFUNCTION("FILTER(IMPORTRANGE(""https://docs.google.com/spreadsheets/d/1BJSV3WBYJGRhQ6zExamkszQ5VutGIcaQqmbD9ZTVXMQ/edit#gid=1251630045"",""articles_with_PRISMA_reasons!C2:C2113""), $A2091=IMPORTRANGE(""https://docs.google.com/spreadsheets/d/1BJSV3WBYJGRhQ6zExamkszQ"&amp;"5VutGIcaQqmbD9ZTVXMQ/edit#gid=1251630045"",""articles_with_PRISMA_reasons!B2:B2113""))"),"Sep")</f>
        <v>Sep</v>
      </c>
      <c r="D2091" s="5" t="str">
        <f>IFERROR(__xludf.DUMMYFUNCTION("IFS(AND(
FILTER(IMPORTRANGE(""https://docs.google.com/spreadsheets/d/1BJSV3WBYJGRhQ6zExamkszQ5VutGIcaQqmbD9ZTVXMQ/edit#gid=1251630045"",""articles_with_PRISMA_reasons!Y2:Y2113""), $A2091=IMPORTRANGE(""https://docs.google.com/spreadsheets/d/1BJSV3WBYJGRhQ6"&amp;"zExamkszQ5VutGIcaQqmbD9ZTVXMQ/edit#gid=1251630045"",""articles_with_PRISMA_reasons!B2:B2113""))&gt;=2,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$A2091=IMPORTRANGE(""https://docs.google.com/spreadsheets/d/1BJSV3WBYJGRhQ6zExamkszQ5VutGIcaQqmbD9ZTVXMQ/edit#gid=1251630045"",""articles_with_PRISMA_reasons!B2:B2113""))&lt;2),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$A2091=IMPORTRANGE(""https://docs.google.com/spreadsheets/d/1BJSV3WBYJGRhQ6zExamkszQ5VutGIcaQqmbD9ZTVXMQ/edit#gid=1251630045"",""a"&amp;"rticles_with_PRISMA_reasons!B2:B2113""))&lt;2,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$A2091=IMPORTRANGE(""https://docs.google"&amp;".com/spreadsheets/d/1BJSV3WBYJGRhQ6zExamkszQ5VutGIcaQqmbD9ZTVXMQ/edit#gid=1251630045"",""articles_with_PRISMA_reasons!B2:B2113""))&gt;=2),
""Exclude""
)"),"Exclude")</f>
        <v>Exclude</v>
      </c>
      <c r="E2091" s="5" t="str">
        <f>IFERROR(__xludf.DUMMYFUNCTION("IFS(
D2091=""Exclude"",""Exclude"",
AND(
FILTER(IMPORTRANGE(""https://docs.google.com/spreadsheets/d/1qpEmbGH0JjaJbUdp21-y2cPbobDbMjr09BbtdKROZWc/edit#gid=1444865654"",""articles_with_PRISMA_reasons!W2:W2113""), $A2091=IMPORTRANGE(""https://docs.google.co"&amp;"m/spreadsheets/d/1qpEmbGH0JjaJbUdp21-y2cPbobDbMjr09BbtdKROZWc/edit#gid=1444865654"",""articles_with_PRISMA_reasons!B2:B2113""))&gt;=2,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$A2091=IMPORTRANGE(""https://docs.google.com/spreadsheets/d/1qpEmbGH0JjaJbUdp21-y2cPbobDbMjr09BbtdKROZWc/edit#gid=1444865654"",""articles_with_PRISMA_reasons!B2:B2113""))&lt;2),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$A2091=IMPORTRANGE(""https://docs.google.com/spreadsheets/d/1qpEmbGH0JjaJbUdp21-y2cPbobDbMjr09Bbtd"&amp;"KROZWc/edit#gid=1444865654"",""articles_with_PRISMA_reasons!B2:B2113""))&lt;2,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$A2091=I"&amp;"MPORTRANGE(""https://docs.google.com/spreadsheets/d/1qpEmbGH0JjaJbUdp21-y2cPbobDbMjr09BbtdKROZWc/edit#gid=1444865654"",""articles_with_PRISMA_reasons!B2:B2113""))&gt;=2),
""Exclude""
)"),"Exclude")</f>
        <v>Exclude</v>
      </c>
      <c r="F2091" s="5" t="str">
        <f>IFERROR(__xludf.DUMMYFUNCTION("IFS(
E2091=""Exclude"",""Exclude"",
AND(
COUNTIF(
IMPORTRANGE(""https://docs.google.com/spreadsheets/d/1kGrh75X1cNR1D7_FcY9zMnHP8iPO4M5RCRjy6nZY0TY/edit#gid=0"",""Table 1: Study characteristics!B4:B171""),A2091)&gt;0,
COUNTIF(Studies!$A$2:$A$85,FILTER(IMPORT"&amp;"RANGE(""https://docs.google.com/spreadsheets/d/1kGrh75X1cNR1D7_FcY9zMnHP8iPO4M5RCRjy6nZY0TY/edit#gid=0"",""Table 1: Study characteristics!A4:A171""), $A2091=IMPORTRANGE(""https://docs.google.com/spreadsheets/d/1kGrh75X1cNR1D7_FcY9zMnHP8iPO4M5RCRjy6nZY0TY/"&amp;"edit#gid=0"",""Table 1: Study characteristics!B4:B171"")))&gt;0
),
""Include""
)"),"Exclude")</f>
        <v>Exclude</v>
      </c>
      <c r="G2091" s="5" t="str">
        <f>IFERROR(__xludf.DUMMYFUNCTION("IFS(
D2091=""Exclude"",
FILTER(IMPORTRANGE(""https://docs.google.com/spreadsheets/d/1BJSV3WBYJGRhQ6zExamkszQ5VutGIcaQqmbD9ZTVXMQ/edit#gid=1251630045"",""articles_with_PRISMA_reasons!AB2:AB2113""), $A2091=IMPORTRANGE(""https://docs.google.com/spreadsheets/"&amp;"d/1BJSV3WBYJGRhQ6zExamkszQ5VutGIcaQqmbD9ZTVXMQ/edit#gid=1251630045"",""articles_with_PRISMA_reasons!B2:B2113"")),
E2091=""Exclude"",
FILTER(IMPORTRANGE(""https://docs.google.com/spreadsheets/d/1qpEmbGH0JjaJbUdp21-y2cPbobDbMjr09BbtdKROZWc/edit#gid=14448656"&amp;"54"",""articles_with_PRISMA_reasons!Z2:Z2113""), $A2091=IMPORTRANGE(""https://docs.google.com/spreadsheets/d/1qpEmbGH0JjaJbUdp21-y2cPbobDbMjr09BbtdKROZWc/edit#gid=1444865654"",""articles_with_PRISMA_reasons!B2:B2113"")),F2091
=""Include"",FILTER(IMPORTRAN"&amp;"GE(""https://docs.google.com/spreadsheets/d/1kGrh75X1cNR1D7_FcY9zMnHP8iPO4M5RCRjy6nZY0TY/edit#gid=0"",""Table 1: Study characteristics!A4:A171""), $A2091=IMPORTRANGE(""https://docs.google.com/spreadsheets/d/1kGrh75X1cNR1D7_FcY9zMnHP8iPO4M5RCRjy6nZY0TY/edi"&amp;"t#gid=0"",""Table 1: Study characteristics!B4:B171""))
)"),"wrong study design")</f>
        <v>wrong study design</v>
      </c>
    </row>
    <row r="2092">
      <c r="A2092" s="4" t="str">
        <f>IFERROR(__xludf.DUMMYFUNCTION("""COMPUTED_VALUE"""),"Ventriculoperitoneal shunt-associated abdominal cerebrospinal fluid pseudocysts and the role of laparoscopy and a proposed management algorithm in its treatment: A report of 2 cases")</f>
        <v>Ventriculoperitoneal shunt-associated abdominal cerebrospinal fluid pseudocysts and the role of laparoscopy and a proposed management algorithm in its treatment: A report of 2 cases</v>
      </c>
      <c r="B2092" s="5" t="str">
        <f>IFERROR(__xludf.DUMMYFUNCTION("LEFT(FILTER(IMPORTRANGE(""https://docs.google.com/spreadsheets/d/1BJSV3WBYJGRhQ6zExamkszQ5VutGIcaQqmbD9ZTVXMQ/edit#gid=1251630045"",""articles_with_PRISMA_reasons!K2:K2113""), $A2092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$A2092=IMPORTRANGE(""https://docs.google.com/spreadsheets/d/1BJSV3WBYJGRhQ6zExamkszQ5VutGIcaQqmbD9ZTVXMQ/edit#gid=1251630045"",""articles_with_PRISMA_reasons!B2:B2113"")))-1)"),"Fatani")</f>
        <v>Fatani</v>
      </c>
      <c r="C2092" s="6">
        <f>IFERROR(__xludf.DUMMYFUNCTION("FILTER(IMPORTRANGE(""https://docs.google.com/spreadsheets/d/1BJSV3WBYJGRhQ6zExamkszQ5VutGIcaQqmbD9ZTVXMQ/edit#gid=1251630045"",""articles_with_PRISMA_reasons!C2:C2113""), $A2092=IMPORTRANGE(""https://docs.google.com/spreadsheets/d/1BJSV3WBYJGRhQ6zExamkszQ"&amp;"5VutGIcaQqmbD9ZTVXMQ/edit#gid=1251630045"",""articles_with_PRISMA_reasons!B2:B2113""))"),2020.0)</f>
        <v>2020</v>
      </c>
      <c r="D2092" s="5" t="str">
        <f>IFERROR(__xludf.DUMMYFUNCTION("IFS(AND(
FILTER(IMPORTRANGE(""https://docs.google.com/spreadsheets/d/1BJSV3WBYJGRhQ6zExamkszQ5VutGIcaQqmbD9ZTVXMQ/edit#gid=1251630045"",""articles_with_PRISMA_reasons!Y2:Y2113""), $A2092=IMPORTRANGE(""https://docs.google.com/spreadsheets/d/1BJSV3WBYJGRhQ6"&amp;"zExamkszQ5VutGIcaQqmbD9ZTVXMQ/edit#gid=1251630045"",""articles_with_PRISMA_reasons!B2:B2113""))&gt;=2,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$A2092=IMPORTRANGE(""https://docs.google.com/spreadsheets/d/1BJSV3WBYJGRhQ6zExamkszQ5VutGIcaQqmbD9ZTVXMQ/edit#gid=1251630045"",""articles_with_PRISMA_reasons!B2:B2113""))&lt;2),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$A2092=IMPORTRANGE(""https://docs.google.com/spreadsheets/d/1BJSV3WBYJGRhQ6zExamkszQ5VutGIcaQqmbD9ZTVXMQ/edit#gid=1251630045"",""a"&amp;"rticles_with_PRISMA_reasons!B2:B2113""))&lt;2,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$A2092=IMPORTRANGE(""https://docs.google"&amp;".com/spreadsheets/d/1BJSV3WBYJGRhQ6zExamkszQ5VutGIcaQqmbD9ZTVXMQ/edit#gid=1251630045"",""articles_with_PRISMA_reasons!B2:B2113""))&gt;=2),
""Exclude""
)"),"Exclude")</f>
        <v>Exclude</v>
      </c>
      <c r="E2092" s="5" t="str">
        <f>IFERROR(__xludf.DUMMYFUNCTION("IFS(
D2092=""Exclude"",""Exclude"",
AND(
FILTER(IMPORTRANGE(""https://docs.google.com/spreadsheets/d/1qpEmbGH0JjaJbUdp21-y2cPbobDbMjr09BbtdKROZWc/edit#gid=1444865654"",""articles_with_PRISMA_reasons!W2:W2113""), $A2092=IMPORTRANGE(""https://docs.google.co"&amp;"m/spreadsheets/d/1qpEmbGH0JjaJbUdp21-y2cPbobDbMjr09BbtdKROZWc/edit#gid=1444865654"",""articles_with_PRISMA_reasons!B2:B2113""))&gt;=2,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$A2092=IMPORTRANGE(""https://docs.google.com/spreadsheets/d/1qpEmbGH0JjaJbUdp21-y2cPbobDbMjr09BbtdKROZWc/edit#gid=1444865654"",""articles_with_PRISMA_reasons!B2:B2113""))&lt;2),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$A2092=IMPORTRANGE(""https://docs.google.com/spreadsheets/d/1qpEmbGH0JjaJbUdp21-y2cPbobDbMjr09Bbtd"&amp;"KROZWc/edit#gid=1444865654"",""articles_with_PRISMA_reasons!B2:B2113""))&lt;2,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$A2092=I"&amp;"MPORTRANGE(""https://docs.google.com/spreadsheets/d/1qpEmbGH0JjaJbUdp21-y2cPbobDbMjr09BbtdKROZWc/edit#gid=1444865654"",""articles_with_PRISMA_reasons!B2:B2113""))&gt;=2),
""Exclude""
)"),"Exclude")</f>
        <v>Exclude</v>
      </c>
      <c r="F2092" s="5" t="str">
        <f>IFERROR(__xludf.DUMMYFUNCTION("IFS(
E2092=""Exclude"",""Exclude"",
AND(
COUNTIF(
IMPORTRANGE(""https://docs.google.com/spreadsheets/d/1kGrh75X1cNR1D7_FcY9zMnHP8iPO4M5RCRjy6nZY0TY/edit#gid=0"",""Table 1: Study characteristics!B4:B171""),A2092)&gt;0,
COUNTIF(Studies!$A$2:$A$85,FILTER(IMPORT"&amp;"RANGE(""https://docs.google.com/spreadsheets/d/1kGrh75X1cNR1D7_FcY9zMnHP8iPO4M5RCRjy6nZY0TY/edit#gid=0"",""Table 1: Study characteristics!A4:A171""), $A2092=IMPORTRANGE(""https://docs.google.com/spreadsheets/d/1kGrh75X1cNR1D7_FcY9zMnHP8iPO4M5RCRjy6nZY0TY/"&amp;"edit#gid=0"",""Table 1: Study characteristics!B4:B171"")))&gt;0
),
""Include""
)"),"Exclude")</f>
        <v>Exclude</v>
      </c>
      <c r="G2092" s="5" t="str">
        <f>IFERROR(__xludf.DUMMYFUNCTION("IFS(
D2092=""Exclude"",
FILTER(IMPORTRANGE(""https://docs.google.com/spreadsheets/d/1BJSV3WBYJGRhQ6zExamkszQ5VutGIcaQqmbD9ZTVXMQ/edit#gid=1251630045"",""articles_with_PRISMA_reasons!AB2:AB2113""), $A2092=IMPORTRANGE(""https://docs.google.com/spreadsheets/"&amp;"d/1BJSV3WBYJGRhQ6zExamkszQ5VutGIcaQqmbD9ZTVXMQ/edit#gid=1251630045"",""articles_with_PRISMA_reasons!B2:B2113"")),
E2092=""Exclude"",
FILTER(IMPORTRANGE(""https://docs.google.com/spreadsheets/d/1qpEmbGH0JjaJbUdp21-y2cPbobDbMjr09BbtdKROZWc/edit#gid=14448656"&amp;"54"",""articles_with_PRISMA_reasons!Z2:Z2113""), $A2092=IMPORTRANGE(""https://docs.google.com/spreadsheets/d/1qpEmbGH0JjaJbUdp21-y2cPbobDbMjr09BbtdKROZWc/edit#gid=1444865654"",""articles_with_PRISMA_reasons!B2:B2113"")),F2092
=""Include"",FILTER(IMPORTRAN"&amp;"GE(""https://docs.google.com/spreadsheets/d/1kGrh75X1cNR1D7_FcY9zMnHP8iPO4M5RCRjy6nZY0TY/edit#gid=0"",""Table 1: Study characteristics!A4:A171""), $A2092=IMPORTRANGE(""https://docs.google.com/spreadsheets/d/1kGrh75X1cNR1D7_FcY9zMnHP8iPO4M5RCRjy6nZY0TY/edi"&amp;"t#gid=0"",""Table 1: Study characteristics!B4:B171""))
)"),"wrong population")</f>
        <v>wrong population</v>
      </c>
    </row>
    <row r="2093">
      <c r="A2093" s="4" t="str">
        <f>IFERROR(__xludf.DUMMYFUNCTION("""COMPUTED_VALUE"""),"Ventriculopleural shunting used as a temporary diversion")</f>
        <v>Ventriculopleural shunting used as a temporary diversion</v>
      </c>
      <c r="B2093" s="5" t="str">
        <f>IFERROR(__xludf.DUMMYFUNCTION("LEFT(FILTER(IMPORTRANGE(""https://docs.google.com/spreadsheets/d/1BJSV3WBYJGRhQ6zExamkszQ5VutGIcaQqmbD9ZTVXMQ/edit#gid=1251630045"",""articles_with_PRISMA_reasons!K2:K2113""), $A2093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$A2093=IMPORTRANGE(""https://docs.google.com/spreadsheets/d/1BJSV3WBYJGRhQ6zExamkszQ5VutGIcaQqmbD9ZTVXMQ/edit#gid=1251630045"",""articles_with_PRISMA_reasons!B2:B2113"")))-1)"),"Willison")</f>
        <v>Willison</v>
      </c>
      <c r="C2093" s="6">
        <f>IFERROR(__xludf.DUMMYFUNCTION("FILTER(IMPORTRANGE(""https://docs.google.com/spreadsheets/d/1BJSV3WBYJGRhQ6zExamkszQ5VutGIcaQqmbD9ZTVXMQ/edit#gid=1251630045"",""articles_with_PRISMA_reasons!C2:C2113""), $A2093=IMPORTRANGE(""https://docs.google.com/spreadsheets/d/1BJSV3WBYJGRhQ6zExamkszQ"&amp;"5VutGIcaQqmbD9ZTVXMQ/edit#gid=1251630045"",""articles_with_PRISMA_reasons!B2:B2113""))"),1992.0)</f>
        <v>1992</v>
      </c>
      <c r="D2093" s="5" t="str">
        <f>IFERROR(__xludf.DUMMYFUNCTION("IFS(AND(
FILTER(IMPORTRANGE(""https://docs.google.com/spreadsheets/d/1BJSV3WBYJGRhQ6zExamkszQ5VutGIcaQqmbD9ZTVXMQ/edit#gid=1251630045"",""articles_with_PRISMA_reasons!Y2:Y2113""), $A2093=IMPORTRANGE(""https://docs.google.com/spreadsheets/d/1BJSV3WBYJGRhQ6"&amp;"zExamkszQ5VutGIcaQqmbD9ZTVXMQ/edit#gid=1251630045"",""articles_with_PRISMA_reasons!B2:B2113""))&gt;=2,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$A2093=IMPORTRANGE(""https://docs.google.com/spreadsheets/d/1BJSV3WBYJGRhQ6zExamkszQ5VutGIcaQqmbD9ZTVXMQ/edit#gid=1251630045"",""articles_with_PRISMA_reasons!B2:B2113""))&lt;2),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$A2093=IMPORTRANGE(""https://docs.google.com/spreadsheets/d/1BJSV3WBYJGRhQ6zExamkszQ5VutGIcaQqmbD9ZTVXMQ/edit#gid=1251630045"",""a"&amp;"rticles_with_PRISMA_reasons!B2:B2113""))&lt;2,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$A2093=IMPORTRANGE(""https://docs.google"&amp;".com/spreadsheets/d/1BJSV3WBYJGRhQ6zExamkszQ5VutGIcaQqmbD9ZTVXMQ/edit#gid=1251630045"",""articles_with_PRISMA_reasons!B2:B2113""))&gt;=2),
""Exclude""
)"),"Exclude")</f>
        <v>Exclude</v>
      </c>
      <c r="E2093" s="5" t="str">
        <f>IFERROR(__xludf.DUMMYFUNCTION("IFS(
D2093=""Exclude"",""Exclude"",
AND(
FILTER(IMPORTRANGE(""https://docs.google.com/spreadsheets/d/1qpEmbGH0JjaJbUdp21-y2cPbobDbMjr09BbtdKROZWc/edit#gid=1444865654"",""articles_with_PRISMA_reasons!W2:W2113""), $A2093=IMPORTRANGE(""https://docs.google.co"&amp;"m/spreadsheets/d/1qpEmbGH0JjaJbUdp21-y2cPbobDbMjr09BbtdKROZWc/edit#gid=1444865654"",""articles_with_PRISMA_reasons!B2:B2113""))&gt;=2,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$A2093=IMPORTRANGE(""https://docs.google.com/spreadsheets/d/1qpEmbGH0JjaJbUdp21-y2cPbobDbMjr09BbtdKROZWc/edit#gid=1444865654"",""articles_with_PRISMA_reasons!B2:B2113""))&lt;2),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$A2093=IMPORTRANGE(""https://docs.google.com/spreadsheets/d/1qpEmbGH0JjaJbUdp21-y2cPbobDbMjr09Bbtd"&amp;"KROZWc/edit#gid=1444865654"",""articles_with_PRISMA_reasons!B2:B2113""))&lt;2,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$A2093=I"&amp;"MPORTRANGE(""https://docs.google.com/spreadsheets/d/1qpEmbGH0JjaJbUdp21-y2cPbobDbMjr09BbtdKROZWc/edit#gid=1444865654"",""articles_with_PRISMA_reasons!B2:B2113""))&gt;=2),
""Exclude""
)"),"Exclude")</f>
        <v>Exclude</v>
      </c>
      <c r="F2093" s="5" t="str">
        <f>IFERROR(__xludf.DUMMYFUNCTION("IFS(
E2093=""Exclude"",""Exclude"",
AND(
COUNTIF(
IMPORTRANGE(""https://docs.google.com/spreadsheets/d/1kGrh75X1cNR1D7_FcY9zMnHP8iPO4M5RCRjy6nZY0TY/edit#gid=0"",""Table 1: Study characteristics!B4:B171""),A2093)&gt;0,
COUNTIF(Studies!$A$2:$A$85,FILTER(IMPORT"&amp;"RANGE(""https://docs.google.com/spreadsheets/d/1kGrh75X1cNR1D7_FcY9zMnHP8iPO4M5RCRjy6nZY0TY/edit#gid=0"",""Table 1: Study characteristics!A4:A171""), $A2093=IMPORTRANGE(""https://docs.google.com/spreadsheets/d/1kGrh75X1cNR1D7_FcY9zMnHP8iPO4M5RCRjy6nZY0TY/"&amp;"edit#gid=0"",""Table 1: Study characteristics!B4:B171"")))&gt;0
),
""Include""
)"),"Exclude")</f>
        <v>Exclude</v>
      </c>
      <c r="G2093" s="5" t="str">
        <f>IFERROR(__xludf.DUMMYFUNCTION("IFS(
D2093=""Exclude"",
FILTER(IMPORTRANGE(""https://docs.google.com/spreadsheets/d/1BJSV3WBYJGRhQ6zExamkszQ5VutGIcaQqmbD9ZTVXMQ/edit#gid=1251630045"",""articles_with_PRISMA_reasons!AB2:AB2113""), $A2093=IMPORTRANGE(""https://docs.google.com/spreadsheets/"&amp;"d/1BJSV3WBYJGRhQ6zExamkszQ5VutGIcaQqmbD9ZTVXMQ/edit#gid=1251630045"",""articles_with_PRISMA_reasons!B2:B2113"")),
E2093=""Exclude"",
FILTER(IMPORTRANGE(""https://docs.google.com/spreadsheets/d/1qpEmbGH0JjaJbUdp21-y2cPbobDbMjr09BbtdKROZWc/edit#gid=14448656"&amp;"54"",""articles_with_PRISMA_reasons!Z2:Z2113""), $A2093=IMPORTRANGE(""https://docs.google.com/spreadsheets/d/1qpEmbGH0JjaJbUdp21-y2cPbobDbMjr09BbtdKROZWc/edit#gid=1444865654"",""articles_with_PRISMA_reasons!B2:B2113"")),F2093
=""Include"",FILTER(IMPORTRAN"&amp;"GE(""https://docs.google.com/spreadsheets/d/1kGrh75X1cNR1D7_FcY9zMnHP8iPO4M5RCRjy6nZY0TY/edit#gid=0"",""Table 1: Study characteristics!A4:A171""), $A2093=IMPORTRANGE(""https://docs.google.com/spreadsheets/d/1kGrh75X1cNR1D7_FcY9zMnHP8iPO4M5RCRjy6nZY0TY/edi"&amp;"t#gid=0"",""Table 1: Study characteristics!B4:B171""))
)"),"wrong study design")</f>
        <v>wrong study design</v>
      </c>
    </row>
    <row r="2094">
      <c r="A2094" s="4" t="str">
        <f>IFERROR(__xludf.DUMMYFUNCTION("""COMPUTED_VALUE"""),"Ventriculosubgaleal shunting - A strategy to reduce the incidence of shunt revisions and slit ventricles: An institutional experience and review of the literature")</f>
        <v>Ventriculosubgaleal shunting - A strategy to reduce the incidence of shunt revisions and slit ventricles: An institutional experience and review of the literature</v>
      </c>
      <c r="B2094" s="5" t="str">
        <f>IFERROR(__xludf.DUMMYFUNCTION("LEFT(FILTER(IMPORTRANGE(""https://docs.google.com/spreadsheets/d/1BJSV3WBYJGRhQ6zExamkszQ5VutGIcaQqmbD9ZTVXMQ/edit#gid=1251630045"",""articles_with_PRISMA_reasons!K2:K2113""), $A2094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$A2094=IMPORTRANGE(""https://docs.google.com/spreadsheets/d/1BJSV3WBYJGRhQ6zExamkszQ5VutGIcaQqmbD9ZTVXMQ/edit#gid=1251630045"",""articles_with_PRISMA_reasons!B2:B2113"")))-1)"),"Petraglia")</f>
        <v>Petraglia</v>
      </c>
      <c r="C2094" s="6">
        <f>IFERROR(__xludf.DUMMYFUNCTION("FILTER(IMPORTRANGE(""https://docs.google.com/spreadsheets/d/1BJSV3WBYJGRhQ6zExamkszQ5VutGIcaQqmbD9ZTVXMQ/edit#gid=1251630045"",""articles_with_PRISMA_reasons!C2:C2113""), $A2094=IMPORTRANGE(""https://docs.google.com/spreadsheets/d/1BJSV3WBYJGRhQ6zExamkszQ"&amp;"5VutGIcaQqmbD9ZTVXMQ/edit#gid=1251630045"",""articles_with_PRISMA_reasons!B2:B2113""))"),2011.0)</f>
        <v>2011</v>
      </c>
      <c r="D2094" s="5" t="str">
        <f>IFERROR(__xludf.DUMMYFUNCTION("IFS(AND(
FILTER(IMPORTRANGE(""https://docs.google.com/spreadsheets/d/1BJSV3WBYJGRhQ6zExamkszQ5VutGIcaQqmbD9ZTVXMQ/edit#gid=1251630045"",""articles_with_PRISMA_reasons!Y2:Y2113""), $A2094=IMPORTRANGE(""https://docs.google.com/spreadsheets/d/1BJSV3WBYJGRhQ6"&amp;"zExamkszQ5VutGIcaQqmbD9ZTVXMQ/edit#gid=1251630045"",""articles_with_PRISMA_reasons!B2:B2113""))&gt;=2,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$A2094=IMPORTRANGE(""https://docs.google.com/spreadsheets/d/1BJSV3WBYJGRhQ6zExamkszQ5VutGIcaQqmbD9ZTVXMQ/edit#gid=1251630045"",""articles_with_PRISMA_reasons!B2:B2113""))&lt;2),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$A2094=IMPORTRANGE(""https://docs.google.com/spreadsheets/d/1BJSV3WBYJGRhQ6zExamkszQ5VutGIcaQqmbD9ZTVXMQ/edit#gid=1251630045"",""a"&amp;"rticles_with_PRISMA_reasons!B2:B2113""))&lt;2,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$A2094=IMPORTRANGE(""https://docs.google"&amp;".com/spreadsheets/d/1BJSV3WBYJGRhQ6zExamkszQ5VutGIcaQqmbD9ZTVXMQ/edit#gid=1251630045"",""articles_with_PRISMA_reasons!B2:B2113""))&gt;=2),
""Exclude""
)"),"Include")</f>
        <v>Include</v>
      </c>
      <c r="E2094" s="5" t="str">
        <f>IFERROR(__xludf.DUMMYFUNCTION("IFS(
D2094=""Exclude"",""Exclude"",
AND(
FILTER(IMPORTRANGE(""https://docs.google.com/spreadsheets/d/1qpEmbGH0JjaJbUdp21-y2cPbobDbMjr09BbtdKROZWc/edit#gid=1444865654"",""articles_with_PRISMA_reasons!W2:W2113""), $A2094=IMPORTRANGE(""https://docs.google.co"&amp;"m/spreadsheets/d/1qpEmbGH0JjaJbUdp21-y2cPbobDbMjr09BbtdKROZWc/edit#gid=1444865654"",""articles_with_PRISMA_reasons!B2:B2113""))&gt;=2,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$A2094=IMPORTRANGE(""https://docs.google.com/spreadsheets/d/1qpEmbGH0JjaJbUdp21-y2cPbobDbMjr09BbtdKROZWc/edit#gid=1444865654"",""articles_with_PRISMA_reasons!B2:B2113""))&lt;2),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$A2094=IMPORTRANGE(""https://docs.google.com/spreadsheets/d/1qpEmbGH0JjaJbUdp21-y2cPbobDbMjr09Bbtd"&amp;"KROZWc/edit#gid=1444865654"",""articles_with_PRISMA_reasons!B2:B2113""))&lt;2,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$A2094=I"&amp;"MPORTRANGE(""https://docs.google.com/spreadsheets/d/1qpEmbGH0JjaJbUdp21-y2cPbobDbMjr09BbtdKROZWc/edit#gid=1444865654"",""articles_with_PRISMA_reasons!B2:B2113""))&gt;=2),
""Exclude""
)"),"Include")</f>
        <v>Include</v>
      </c>
      <c r="F2094" s="5" t="str">
        <f>IFERROR(__xludf.DUMMYFUNCTION("IFS(
E2094=""Exclude"",""Exclude"",
AND(
COUNTIF(
IMPORTRANGE(""https://docs.google.com/spreadsheets/d/1kGrh75X1cNR1D7_FcY9zMnHP8iPO4M5RCRjy6nZY0TY/edit#gid=0"",""Table 1: Study characteristics!B4:B171""),A2094)&gt;0,
COUNTIF(Studies!$A$2:$A$85,FILTER(IMPORT"&amp;"RANGE(""https://docs.google.com/spreadsheets/d/1kGrh75X1cNR1D7_FcY9zMnHP8iPO4M5RCRjy6nZY0TY/edit#gid=0"",""Table 1: Study characteristics!A4:A171""), $A2094=IMPORTRANGE(""https://docs.google.com/spreadsheets/d/1kGrh75X1cNR1D7_FcY9zMnHP8iPO4M5RCRjy6nZY0TY/"&amp;"edit#gid=0"",""Table 1: Study characteristics!B4:B171"")))&gt;0
),
""Include""
)"),"Include")</f>
        <v>Include</v>
      </c>
      <c r="G2094" s="5" t="str">
        <f>IFERROR(__xludf.DUMMYFUNCTION("IFS(
D2094=""Exclude"",
FILTER(IMPORTRANGE(""https://docs.google.com/spreadsheets/d/1BJSV3WBYJGRhQ6zExamkszQ5VutGIcaQqmbD9ZTVXMQ/edit#gid=1251630045"",""articles_with_PRISMA_reasons!AB2:AB2113""), $A2094=IMPORTRANGE(""https://docs.google.com/spreadsheets/"&amp;"d/1BJSV3WBYJGRhQ6zExamkszQ5VutGIcaQqmbD9ZTVXMQ/edit#gid=1251630045"",""articles_with_PRISMA_reasons!B2:B2113"")),
E2094=""Exclude"",
FILTER(IMPORTRANGE(""https://docs.google.com/spreadsheets/d/1qpEmbGH0JjaJbUdp21-y2cPbobDbMjr09BbtdKROZWc/edit#gid=14448656"&amp;"54"",""articles_with_PRISMA_reasons!Z2:Z2113""), $A2094=IMPORTRANGE(""https://docs.google.com/spreadsheets/d/1qpEmbGH0JjaJbUdp21-y2cPbobDbMjr09BbtdKROZWc/edit#gid=1444865654"",""articles_with_PRISMA_reasons!B2:B2113"")),F2094
=""Include"",FILTER(IMPORTRAN"&amp;"GE(""https://docs.google.com/spreadsheets/d/1kGrh75X1cNR1D7_FcY9zMnHP8iPO4M5RCRjy6nZY0TY/edit#gid=0"",""Table 1: Study characteristics!A4:A171""), $A2094=IMPORTRANGE(""https://docs.google.com/spreadsheets/d/1kGrh75X1cNR1D7_FcY9zMnHP8iPO4M5RCRjy6nZY0TY/edi"&amp;"t#gid=0"",""Table 1: Study characteristics!B4:B171""))
)"),"ID 168")</f>
        <v>ID 168</v>
      </c>
    </row>
    <row r="2095">
      <c r="A2095" s="4" t="str">
        <f>IFERROR(__xludf.DUMMYFUNCTION("""COMPUTED_VALUE"""),"Verb generation in children with spina bifida")</f>
        <v>Verb generation in children with spina bifida</v>
      </c>
      <c r="B2095" s="5" t="str">
        <f>IFERROR(__xludf.DUMMYFUNCTION("LEFT(FILTER(IMPORTRANGE(""https://docs.google.com/spreadsheets/d/1BJSV3WBYJGRhQ6zExamkszQ5VutGIcaQqmbD9ZTVXMQ/edit#gid=1251630045"",""articles_with_PRISMA_reasons!K2:K2113""), $A2095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$A2095=IMPORTRANGE(""https://docs.google.com/spreadsheets/d/1BJSV3WBYJGRhQ6zExamkszQ5VutGIcaQqmbD9ZTVXMQ/edit#gid=1251630045"",""articles_with_PRISMA_reasons!B2:B2113"")))-1)"),"Jewell")</f>
        <v>Jewell</v>
      </c>
      <c r="C2095" s="6">
        <f>IFERROR(__xludf.DUMMYFUNCTION("FILTER(IMPORTRANGE(""https://docs.google.com/spreadsheets/d/1BJSV3WBYJGRhQ6zExamkszQ5VutGIcaQqmbD9ZTVXMQ/edit#gid=1251630045"",""articles_with_PRISMA_reasons!C2:C2113""), $A2095=IMPORTRANGE(""https://docs.google.com/spreadsheets/d/1BJSV3WBYJGRhQ6zExamkszQ"&amp;"5VutGIcaQqmbD9ZTVXMQ/edit#gid=1251630045"",""articles_with_PRISMA_reasons!B2:B2113""))"),2008.0)</f>
        <v>2008</v>
      </c>
      <c r="D2095" s="5" t="str">
        <f>IFERROR(__xludf.DUMMYFUNCTION("IFS(AND(
FILTER(IMPORTRANGE(""https://docs.google.com/spreadsheets/d/1BJSV3WBYJGRhQ6zExamkszQ5VutGIcaQqmbD9ZTVXMQ/edit#gid=1251630045"",""articles_with_PRISMA_reasons!Y2:Y2113""), $A2095=IMPORTRANGE(""https://docs.google.com/spreadsheets/d/1BJSV3WBYJGRhQ6"&amp;"zExamkszQ5VutGIcaQqmbD9ZTVXMQ/edit#gid=1251630045"",""articles_with_PRISMA_reasons!B2:B2113""))&gt;=2,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$A2095=IMPORTRANGE(""https://docs.google.com/spreadsheets/d/1BJSV3WBYJGRhQ6zExamkszQ5VutGIcaQqmbD9ZTVXMQ/edit#gid=1251630045"",""articles_with_PRISMA_reasons!B2:B2113""))&lt;2),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$A2095=IMPORTRANGE(""https://docs.google.com/spreadsheets/d/1BJSV3WBYJGRhQ6zExamkszQ5VutGIcaQqmbD9ZTVXMQ/edit#gid=1251630045"",""a"&amp;"rticles_with_PRISMA_reasons!B2:B2113""))&lt;2,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$A2095=IMPORTRANGE(""https://docs.google"&amp;".com/spreadsheets/d/1BJSV3WBYJGRhQ6zExamkszQ5VutGIcaQqmbD9ZTVXMQ/edit#gid=1251630045"",""articles_with_PRISMA_reasons!B2:B2113""))&gt;=2),
""Exclude""
)"),"Exclude")</f>
        <v>Exclude</v>
      </c>
      <c r="E2095" s="5" t="str">
        <f>IFERROR(__xludf.DUMMYFUNCTION("IFS(
D2095=""Exclude"",""Exclude"",
AND(
FILTER(IMPORTRANGE(""https://docs.google.com/spreadsheets/d/1qpEmbGH0JjaJbUdp21-y2cPbobDbMjr09BbtdKROZWc/edit#gid=1444865654"",""articles_with_PRISMA_reasons!W2:W2113""), $A2095=IMPORTRANGE(""https://docs.google.co"&amp;"m/spreadsheets/d/1qpEmbGH0JjaJbUdp21-y2cPbobDbMjr09BbtdKROZWc/edit#gid=1444865654"",""articles_with_PRISMA_reasons!B2:B2113""))&gt;=2,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$A2095=IMPORTRANGE(""https://docs.google.com/spreadsheets/d/1qpEmbGH0JjaJbUdp21-y2cPbobDbMjr09BbtdKROZWc/edit#gid=1444865654"",""articles_with_PRISMA_reasons!B2:B2113""))&lt;2),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$A2095=IMPORTRANGE(""https://docs.google.com/spreadsheets/d/1qpEmbGH0JjaJbUdp21-y2cPbobDbMjr09Bbtd"&amp;"KROZWc/edit#gid=1444865654"",""articles_with_PRISMA_reasons!B2:B2113""))&lt;2,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$A2095=I"&amp;"MPORTRANGE(""https://docs.google.com/spreadsheets/d/1qpEmbGH0JjaJbUdp21-y2cPbobDbMjr09BbtdKROZWc/edit#gid=1444865654"",""articles_with_PRISMA_reasons!B2:B2113""))&gt;=2),
""Exclude""
)"),"Exclude")</f>
        <v>Exclude</v>
      </c>
      <c r="F2095" s="5" t="str">
        <f>IFERROR(__xludf.DUMMYFUNCTION("IFS(
E2095=""Exclude"",""Exclude"",
AND(
COUNTIF(
IMPORTRANGE(""https://docs.google.com/spreadsheets/d/1kGrh75X1cNR1D7_FcY9zMnHP8iPO4M5RCRjy6nZY0TY/edit#gid=0"",""Table 1: Study characteristics!B4:B171""),A2095)&gt;0,
COUNTIF(Studies!$A$2:$A$85,FILTER(IMPORT"&amp;"RANGE(""https://docs.google.com/spreadsheets/d/1kGrh75X1cNR1D7_FcY9zMnHP8iPO4M5RCRjy6nZY0TY/edit#gid=0"",""Table 1: Study characteristics!A4:A171""), $A2095=IMPORTRANGE(""https://docs.google.com/spreadsheets/d/1kGrh75X1cNR1D7_FcY9zMnHP8iPO4M5RCRjy6nZY0TY/"&amp;"edit#gid=0"",""Table 1: Study characteristics!B4:B171"")))&gt;0
),
""Include""
)"),"Exclude")</f>
        <v>Exclude</v>
      </c>
      <c r="G2095" s="5" t="str">
        <f>IFERROR(__xludf.DUMMYFUNCTION("IFS(
D2095=""Exclude"",
FILTER(IMPORTRANGE(""https://docs.google.com/spreadsheets/d/1BJSV3WBYJGRhQ6zExamkszQ5VutGIcaQqmbD9ZTVXMQ/edit#gid=1251630045"",""articles_with_PRISMA_reasons!AB2:AB2113""), $A2095=IMPORTRANGE(""https://docs.google.com/spreadsheets/"&amp;"d/1BJSV3WBYJGRhQ6zExamkszQ5VutGIcaQqmbD9ZTVXMQ/edit#gid=1251630045"",""articles_with_PRISMA_reasons!B2:B2113"")),
E2095=""Exclude"",
FILTER(IMPORTRANGE(""https://docs.google.com/spreadsheets/d/1qpEmbGH0JjaJbUdp21-y2cPbobDbMjr09BbtdKROZWc/edit#gid=14448656"&amp;"54"",""articles_with_PRISMA_reasons!Z2:Z2113""), $A2095=IMPORTRANGE(""https://docs.google.com/spreadsheets/d/1qpEmbGH0JjaJbUdp21-y2cPbobDbMjr09BbtdKROZWc/edit#gid=1444865654"",""articles_with_PRISMA_reasons!B2:B2113"")),F2095
=""Include"",FILTER(IMPORTRAN"&amp;"GE(""https://docs.google.com/spreadsheets/d/1kGrh75X1cNR1D7_FcY9zMnHP8iPO4M5RCRjy6nZY0TY/edit#gid=0"",""Table 1: Study characteristics!A4:A171""), $A2095=IMPORTRANGE(""https://docs.google.com/spreadsheets/d/1kGrh75X1cNR1D7_FcY9zMnHP8iPO4M5RCRjy6nZY0TY/edi"&amp;"t#gid=0"",""Table 1: Study characteristics!B4:B171""))
)"),"wrong study design")</f>
        <v>wrong study design</v>
      </c>
    </row>
    <row r="2096">
      <c r="A2096" s="4" t="str">
        <f>IFERROR(__xludf.DUMMYFUNCTION("""COMPUTED_VALUE"""),"Verbal learning and memory in children with myelomeningocele")</f>
        <v>Verbal learning and memory in children with myelomeningocele</v>
      </c>
      <c r="B2096" s="5" t="str">
        <f>IFERROR(__xludf.DUMMYFUNCTION("LEFT(FILTER(IMPORTRANGE(""https://docs.google.com/spreadsheets/d/1BJSV3WBYJGRhQ6zExamkszQ5VutGIcaQqmbD9ZTVXMQ/edit#gid=1251630045"",""articles_with_PRISMA_reasons!K2:K2113""), $A2096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$A2096=IMPORTRANGE(""https://docs.google.com/spreadsheets/d/1BJSV3WBYJGRhQ6zExamkszQ5VutGIcaQqmbD9ZTVXMQ/edit#gid=1251630045"",""articles_with_PRISMA_reasons!B2:B2113"")))-1)"),"Yeates")</f>
        <v>Yeates</v>
      </c>
      <c r="C2096" s="6">
        <f>IFERROR(__xludf.DUMMYFUNCTION("FILTER(IMPORTRANGE(""https://docs.google.com/spreadsheets/d/1BJSV3WBYJGRhQ6zExamkszQ5VutGIcaQqmbD9ZTVXMQ/edit#gid=1251630045"",""articles_with_PRISMA_reasons!C2:C2113""), $A2096=IMPORTRANGE(""https://docs.google.com/spreadsheets/d/1BJSV3WBYJGRhQ6zExamkszQ"&amp;"5VutGIcaQqmbD9ZTVXMQ/edit#gid=1251630045"",""articles_with_PRISMA_reasons!B2:B2113""))"),1995.0)</f>
        <v>1995</v>
      </c>
      <c r="D2096" s="5" t="str">
        <f>IFERROR(__xludf.DUMMYFUNCTION("IFS(AND(
FILTER(IMPORTRANGE(""https://docs.google.com/spreadsheets/d/1BJSV3WBYJGRhQ6zExamkszQ5VutGIcaQqmbD9ZTVXMQ/edit#gid=1251630045"",""articles_with_PRISMA_reasons!Y2:Y2113""), $A2096=IMPORTRANGE(""https://docs.google.com/spreadsheets/d/1BJSV3WBYJGRhQ6"&amp;"zExamkszQ5VutGIcaQqmbD9ZTVXMQ/edit#gid=1251630045"",""articles_with_PRISMA_reasons!B2:B2113""))&gt;=2,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$A2096=IMPORTRANGE(""https://docs.google.com/spreadsheets/d/1BJSV3WBYJGRhQ6zExamkszQ5VutGIcaQqmbD9ZTVXMQ/edit#gid=1251630045"",""articles_with_PRISMA_reasons!B2:B2113""))&lt;2),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$A2096=IMPORTRANGE(""https://docs.google.com/spreadsheets/d/1BJSV3WBYJGRhQ6zExamkszQ5VutGIcaQqmbD9ZTVXMQ/edit#gid=1251630045"",""a"&amp;"rticles_with_PRISMA_reasons!B2:B2113""))&lt;2,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$A2096=IMPORTRANGE(""https://docs.google"&amp;".com/spreadsheets/d/1BJSV3WBYJGRhQ6zExamkszQ5VutGIcaQqmbD9ZTVXMQ/edit#gid=1251630045"",""articles_with_PRISMA_reasons!B2:B2113""))&gt;=2),
""Exclude""
)"),"Exclude")</f>
        <v>Exclude</v>
      </c>
      <c r="E2096" s="5" t="str">
        <f>IFERROR(__xludf.DUMMYFUNCTION("IFS(
D2096=""Exclude"",""Exclude"",
AND(
FILTER(IMPORTRANGE(""https://docs.google.com/spreadsheets/d/1qpEmbGH0JjaJbUdp21-y2cPbobDbMjr09BbtdKROZWc/edit#gid=1444865654"",""articles_with_PRISMA_reasons!W2:W2113""), $A2096=IMPORTRANGE(""https://docs.google.co"&amp;"m/spreadsheets/d/1qpEmbGH0JjaJbUdp21-y2cPbobDbMjr09BbtdKROZWc/edit#gid=1444865654"",""articles_with_PRISMA_reasons!B2:B2113""))&gt;=2,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$A2096=IMPORTRANGE(""https://docs.google.com/spreadsheets/d/1qpEmbGH0JjaJbUdp21-y2cPbobDbMjr09BbtdKROZWc/edit#gid=1444865654"",""articles_with_PRISMA_reasons!B2:B2113""))&lt;2),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$A2096=IMPORTRANGE(""https://docs.google.com/spreadsheets/d/1qpEmbGH0JjaJbUdp21-y2cPbobDbMjr09Bbtd"&amp;"KROZWc/edit#gid=1444865654"",""articles_with_PRISMA_reasons!B2:B2113""))&lt;2,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$A2096=I"&amp;"MPORTRANGE(""https://docs.google.com/spreadsheets/d/1qpEmbGH0JjaJbUdp21-y2cPbobDbMjr09BbtdKROZWc/edit#gid=1444865654"",""articles_with_PRISMA_reasons!B2:B2113""))&gt;=2),
""Exclude""
)"),"Exclude")</f>
        <v>Exclude</v>
      </c>
      <c r="F2096" s="5" t="str">
        <f>IFERROR(__xludf.DUMMYFUNCTION("IFS(
E2096=""Exclude"",""Exclude"",
AND(
COUNTIF(
IMPORTRANGE(""https://docs.google.com/spreadsheets/d/1kGrh75X1cNR1D7_FcY9zMnHP8iPO4M5RCRjy6nZY0TY/edit#gid=0"",""Table 1: Study characteristics!B4:B171""),A2096)&gt;0,
COUNTIF(Studies!$A$2:$A$85,FILTER(IMPORT"&amp;"RANGE(""https://docs.google.com/spreadsheets/d/1kGrh75X1cNR1D7_FcY9zMnHP8iPO4M5RCRjy6nZY0TY/edit#gid=0"",""Table 1: Study characteristics!A4:A171""), $A2096=IMPORTRANGE(""https://docs.google.com/spreadsheets/d/1kGrh75X1cNR1D7_FcY9zMnHP8iPO4M5RCRjy6nZY0TY/"&amp;"edit#gid=0"",""Table 1: Study characteristics!B4:B171"")))&gt;0
),
""Include""
)"),"Exclude")</f>
        <v>Exclude</v>
      </c>
      <c r="G2096" s="5" t="str">
        <f>IFERROR(__xludf.DUMMYFUNCTION("IFS(
D2096=""Exclude"",
FILTER(IMPORTRANGE(""https://docs.google.com/spreadsheets/d/1BJSV3WBYJGRhQ6zExamkszQ5VutGIcaQqmbD9ZTVXMQ/edit#gid=1251630045"",""articles_with_PRISMA_reasons!AB2:AB2113""), $A2096=IMPORTRANGE(""https://docs.google.com/spreadsheets/"&amp;"d/1BJSV3WBYJGRhQ6zExamkszQ5VutGIcaQqmbD9ZTVXMQ/edit#gid=1251630045"",""articles_with_PRISMA_reasons!B2:B2113"")),
E2096=""Exclude"",
FILTER(IMPORTRANGE(""https://docs.google.com/spreadsheets/d/1qpEmbGH0JjaJbUdp21-y2cPbobDbMjr09BbtdKROZWc/edit#gid=14448656"&amp;"54"",""articles_with_PRISMA_reasons!Z2:Z2113""), $A2096=IMPORTRANGE(""https://docs.google.com/spreadsheets/d/1qpEmbGH0JjaJbUdp21-y2cPbobDbMjr09BbtdKROZWc/edit#gid=1444865654"",""articles_with_PRISMA_reasons!B2:B2113"")),F2096
=""Include"",FILTER(IMPORTRAN"&amp;"GE(""https://docs.google.com/spreadsheets/d/1kGrh75X1cNR1D7_FcY9zMnHP8iPO4M5RCRjy6nZY0TY/edit#gid=0"",""Table 1: Study characteristics!A4:A171""), $A2096=IMPORTRANGE(""https://docs.google.com/spreadsheets/d/1kGrh75X1cNR1D7_FcY9zMnHP8iPO4M5RCRjy6nZY0TY/edi"&amp;"t#gid=0"",""Table 1: Study characteristics!B4:B171""))
)"),"wrong study design")</f>
        <v>wrong study design</v>
      </c>
    </row>
    <row r="2097">
      <c r="A2097" s="4" t="str">
        <f>IFERROR(__xludf.DUMMYFUNCTION("""COMPUTED_VALUE"""),"Verification of anomalies of the central nervous system detected by prenatal ultrasound")</f>
        <v>Verification of anomalies of the central nervous system detected by prenatal ultrasound</v>
      </c>
      <c r="B2097" s="5" t="str">
        <f>IFERROR(__xludf.DUMMYFUNCTION("LEFT(FILTER(IMPORTRANGE(""https://docs.google.com/spreadsheets/d/1BJSV3WBYJGRhQ6zExamkszQ5VutGIcaQqmbD9ZTVXMQ/edit#gid=1251630045"",""articles_with_PRISMA_reasons!K2:K2113""), $A2097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$A2097=IMPORTRANGE(""https://docs.google.com/spreadsheets/d/1BJSV3WBYJGRhQ6zExamkszQ5VutGIcaQqmbD9ZTVXMQ/edit#gid=1251630045"",""articles_with_PRISMA_reasons!B2:B2113"")))-1)"),"Wald")</f>
        <v>Wald</v>
      </c>
      <c r="C2097" s="6">
        <f>IFERROR(__xludf.DUMMYFUNCTION("FILTER(IMPORTRANGE(""https://docs.google.com/spreadsheets/d/1BJSV3WBYJGRhQ6zExamkszQ5VutGIcaQqmbD9ZTVXMQ/edit#gid=1251630045"",""articles_with_PRISMA_reasons!C2:C2113""), $A2097=IMPORTRANGE(""https://docs.google.com/spreadsheets/d/1BJSV3WBYJGRhQ6zExamkszQ"&amp;"5VutGIcaQqmbD9ZTVXMQ/edit#gid=1251630045"",""articles_with_PRISMA_reasons!B2:B2113""))"),2004.0)</f>
        <v>2004</v>
      </c>
      <c r="D2097" s="5" t="str">
        <f>IFERROR(__xludf.DUMMYFUNCTION("IFS(AND(
FILTER(IMPORTRANGE(""https://docs.google.com/spreadsheets/d/1BJSV3WBYJGRhQ6zExamkszQ5VutGIcaQqmbD9ZTVXMQ/edit#gid=1251630045"",""articles_with_PRISMA_reasons!Y2:Y2113""), $A2097=IMPORTRANGE(""https://docs.google.com/spreadsheets/d/1BJSV3WBYJGRhQ6"&amp;"zExamkszQ5VutGIcaQqmbD9ZTVXMQ/edit#gid=1251630045"",""articles_with_PRISMA_reasons!B2:B2113""))&gt;=2,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$A2097=IMPORTRANGE(""https://docs.google.com/spreadsheets/d/1BJSV3WBYJGRhQ6zExamkszQ5VutGIcaQqmbD9ZTVXMQ/edit#gid=1251630045"",""articles_with_PRISMA_reasons!B2:B2113""))&lt;2),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$A2097=IMPORTRANGE(""https://docs.google.com/spreadsheets/d/1BJSV3WBYJGRhQ6zExamkszQ5VutGIcaQqmbD9ZTVXMQ/edit#gid=1251630045"",""a"&amp;"rticles_with_PRISMA_reasons!B2:B2113""))&lt;2,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$A2097=IMPORTRANGE(""https://docs.google"&amp;".com/spreadsheets/d/1BJSV3WBYJGRhQ6zExamkszQ5VutGIcaQqmbD9ZTVXMQ/edit#gid=1251630045"",""articles_with_PRISMA_reasons!B2:B2113""))&gt;=2),
""Exclude""
)"),"Exclude")</f>
        <v>Exclude</v>
      </c>
      <c r="E2097" s="5" t="str">
        <f>IFERROR(__xludf.DUMMYFUNCTION("IFS(
D2097=""Exclude"",""Exclude"",
AND(
FILTER(IMPORTRANGE(""https://docs.google.com/spreadsheets/d/1qpEmbGH0JjaJbUdp21-y2cPbobDbMjr09BbtdKROZWc/edit#gid=1444865654"",""articles_with_PRISMA_reasons!W2:W2113""), $A2097=IMPORTRANGE(""https://docs.google.co"&amp;"m/spreadsheets/d/1qpEmbGH0JjaJbUdp21-y2cPbobDbMjr09BbtdKROZWc/edit#gid=1444865654"",""articles_with_PRISMA_reasons!B2:B2113""))&gt;=2,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$A2097=IMPORTRANGE(""https://docs.google.com/spreadsheets/d/1qpEmbGH0JjaJbUdp21-y2cPbobDbMjr09BbtdKROZWc/edit#gid=1444865654"",""articles_with_PRISMA_reasons!B2:B2113""))&lt;2),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$A2097=IMPORTRANGE(""https://docs.google.com/spreadsheets/d/1qpEmbGH0JjaJbUdp21-y2cPbobDbMjr09Bbtd"&amp;"KROZWc/edit#gid=1444865654"",""articles_with_PRISMA_reasons!B2:B2113""))&lt;2,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$A2097=I"&amp;"MPORTRANGE(""https://docs.google.com/spreadsheets/d/1qpEmbGH0JjaJbUdp21-y2cPbobDbMjr09BbtdKROZWc/edit#gid=1444865654"",""articles_with_PRISMA_reasons!B2:B2113""))&gt;=2),
""Exclude""
)"),"Exclude")</f>
        <v>Exclude</v>
      </c>
      <c r="F2097" s="5" t="str">
        <f>IFERROR(__xludf.DUMMYFUNCTION("IFS(
E2097=""Exclude"",""Exclude"",
AND(
COUNTIF(
IMPORTRANGE(""https://docs.google.com/spreadsheets/d/1kGrh75X1cNR1D7_FcY9zMnHP8iPO4M5RCRjy6nZY0TY/edit#gid=0"",""Table 1: Study characteristics!B4:B171""),A2097)&gt;0,
COUNTIF(Studies!$A$2:$A$85,FILTER(IMPORT"&amp;"RANGE(""https://docs.google.com/spreadsheets/d/1kGrh75X1cNR1D7_FcY9zMnHP8iPO4M5RCRjy6nZY0TY/edit#gid=0"",""Table 1: Study characteristics!A4:A171""), $A2097=IMPORTRANGE(""https://docs.google.com/spreadsheets/d/1kGrh75X1cNR1D7_FcY9zMnHP8iPO4M5RCRjy6nZY0TY/"&amp;"edit#gid=0"",""Table 1: Study characteristics!B4:B171"")))&gt;0
),
""Include""
)"),"Exclude")</f>
        <v>Exclude</v>
      </c>
      <c r="G2097" s="5" t="str">
        <f>IFERROR(__xludf.DUMMYFUNCTION("IFS(
D2097=""Exclude"",
FILTER(IMPORTRANGE(""https://docs.google.com/spreadsheets/d/1BJSV3WBYJGRhQ6zExamkszQ5VutGIcaQqmbD9ZTVXMQ/edit#gid=1251630045"",""articles_with_PRISMA_reasons!AB2:AB2113""), $A2097=IMPORTRANGE(""https://docs.google.com/spreadsheets/"&amp;"d/1BJSV3WBYJGRhQ6zExamkszQ5VutGIcaQqmbD9ZTVXMQ/edit#gid=1251630045"",""articles_with_PRISMA_reasons!B2:B2113"")),
E2097=""Exclude"",
FILTER(IMPORTRANGE(""https://docs.google.com/spreadsheets/d/1qpEmbGH0JjaJbUdp21-y2cPbobDbMjr09BbtdKROZWc/edit#gid=14448656"&amp;"54"",""articles_with_PRISMA_reasons!Z2:Z2113""), $A2097=IMPORTRANGE(""https://docs.google.com/spreadsheets/d/1qpEmbGH0JjaJbUdp21-y2cPbobDbMjr09BbtdKROZWc/edit#gid=1444865654"",""articles_with_PRISMA_reasons!B2:B2113"")),F2097
=""Include"",FILTER(IMPORTRAN"&amp;"GE(""https://docs.google.com/spreadsheets/d/1kGrh75X1cNR1D7_FcY9zMnHP8iPO4M5RCRjy6nZY0TY/edit#gid=0"",""Table 1: Study characteristics!A4:A171""), $A2097=IMPORTRANGE(""https://docs.google.com/spreadsheets/d/1kGrh75X1cNR1D7_FcY9zMnHP8iPO4M5RCRjy6nZY0TY/edi"&amp;"t#gid=0"",""Table 1: Study characteristics!B4:B171""))
)"),"wrong population")</f>
        <v>wrong population</v>
      </c>
    </row>
    <row r="2098">
      <c r="A2098" s="4" t="str">
        <f>IFERROR(__xludf.DUMMYFUNCTION("""COMPUTED_VALUE"""),"Virtual Socialization in Adults With Spina Bifida")</f>
        <v>Virtual Socialization in Adults With Spina Bifida</v>
      </c>
      <c r="B2098" s="5" t="str">
        <f>IFERROR(__xludf.DUMMYFUNCTION("LEFT(FILTER(IMPORTRANGE(""https://docs.google.com/spreadsheets/d/1BJSV3WBYJGRhQ6zExamkszQ5VutGIcaQqmbD9ZTVXMQ/edit#gid=1251630045"",""articles_with_PRISMA_reasons!K2:K2113""), $A2098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$A2098=IMPORTRANGE(""https://docs.google.com/spreadsheets/d/1BJSV3WBYJGRhQ6zExamkszQ5VutGIcaQqmbD9ZTVXMQ/edit#gid=1251630045"",""articles_with_PRISMA_reasons!B2:B2113"")))-1)"),"Chan")</f>
        <v>Chan</v>
      </c>
      <c r="C2098" s="6">
        <f>IFERROR(__xludf.DUMMYFUNCTION("FILTER(IMPORTRANGE(""https://docs.google.com/spreadsheets/d/1BJSV3WBYJGRhQ6zExamkszQ5VutGIcaQqmbD9ZTVXMQ/edit#gid=1251630045"",""articles_with_PRISMA_reasons!C2:C2113""), $A2098=IMPORTRANGE(""https://docs.google.com/spreadsheets/d/1BJSV3WBYJGRhQ6zExamkszQ"&amp;"5VutGIcaQqmbD9ZTVXMQ/edit#gid=1251630045"",""articles_with_PRISMA_reasons!B2:B2113""))"),2011.0)</f>
        <v>2011</v>
      </c>
      <c r="D2098" s="5" t="str">
        <f>IFERROR(__xludf.DUMMYFUNCTION("IFS(AND(
FILTER(IMPORTRANGE(""https://docs.google.com/spreadsheets/d/1BJSV3WBYJGRhQ6zExamkszQ5VutGIcaQqmbD9ZTVXMQ/edit#gid=1251630045"",""articles_with_PRISMA_reasons!Y2:Y2113""), $A2098=IMPORTRANGE(""https://docs.google.com/spreadsheets/d/1BJSV3WBYJGRhQ6"&amp;"zExamkszQ5VutGIcaQqmbD9ZTVXMQ/edit#gid=1251630045"",""articles_with_PRISMA_reasons!B2:B2113""))&gt;=2,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$A2098=IMPORTRANGE(""https://docs.google.com/spreadsheets/d/1BJSV3WBYJGRhQ6zExamkszQ5VutGIcaQqmbD9ZTVXMQ/edit#gid=1251630045"",""articles_with_PRISMA_reasons!B2:B2113""))&lt;2),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$A2098=IMPORTRANGE(""https://docs.google.com/spreadsheets/d/1BJSV3WBYJGRhQ6zExamkszQ5VutGIcaQqmbD9ZTVXMQ/edit#gid=1251630045"",""a"&amp;"rticles_with_PRISMA_reasons!B2:B2113""))&lt;2,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$A2098=IMPORTRANGE(""https://docs.google"&amp;".com/spreadsheets/d/1BJSV3WBYJGRhQ6zExamkszQ5VutGIcaQqmbD9ZTVXMQ/edit#gid=1251630045"",""articles_with_PRISMA_reasons!B2:B2113""))&gt;=2),
""Exclude""
)"),"Exclude")</f>
        <v>Exclude</v>
      </c>
      <c r="E2098" s="5" t="str">
        <f>IFERROR(__xludf.DUMMYFUNCTION("IFS(
D2098=""Exclude"",""Exclude"",
AND(
FILTER(IMPORTRANGE(""https://docs.google.com/spreadsheets/d/1qpEmbGH0JjaJbUdp21-y2cPbobDbMjr09BbtdKROZWc/edit#gid=1444865654"",""articles_with_PRISMA_reasons!W2:W2113""), $A2098=IMPORTRANGE(""https://docs.google.co"&amp;"m/spreadsheets/d/1qpEmbGH0JjaJbUdp21-y2cPbobDbMjr09BbtdKROZWc/edit#gid=1444865654"",""articles_with_PRISMA_reasons!B2:B2113""))&gt;=2,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$A2098=IMPORTRANGE(""https://docs.google.com/spreadsheets/d/1qpEmbGH0JjaJbUdp21-y2cPbobDbMjr09BbtdKROZWc/edit#gid=1444865654"",""articles_with_PRISMA_reasons!B2:B2113""))&lt;2),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$A2098=IMPORTRANGE(""https://docs.google.com/spreadsheets/d/1qpEmbGH0JjaJbUdp21-y2cPbobDbMjr09Bbtd"&amp;"KROZWc/edit#gid=1444865654"",""articles_with_PRISMA_reasons!B2:B2113""))&lt;2,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$A2098=I"&amp;"MPORTRANGE(""https://docs.google.com/spreadsheets/d/1qpEmbGH0JjaJbUdp21-y2cPbobDbMjr09BbtdKROZWc/edit#gid=1444865654"",""articles_with_PRISMA_reasons!B2:B2113""))&gt;=2),
""Exclude""
)"),"Exclude")</f>
        <v>Exclude</v>
      </c>
      <c r="F2098" s="5" t="str">
        <f>IFERROR(__xludf.DUMMYFUNCTION("IFS(
E2098=""Exclude"",""Exclude"",
AND(
COUNTIF(
IMPORTRANGE(""https://docs.google.com/spreadsheets/d/1kGrh75X1cNR1D7_FcY9zMnHP8iPO4M5RCRjy6nZY0TY/edit#gid=0"",""Table 1: Study characteristics!B4:B171""),A2098)&gt;0,
COUNTIF(Studies!$A$2:$A$85,FILTER(IMPORT"&amp;"RANGE(""https://docs.google.com/spreadsheets/d/1kGrh75X1cNR1D7_FcY9zMnHP8iPO4M5RCRjy6nZY0TY/edit#gid=0"",""Table 1: Study characteristics!A4:A171""), $A2098=IMPORTRANGE(""https://docs.google.com/spreadsheets/d/1kGrh75X1cNR1D7_FcY9zMnHP8iPO4M5RCRjy6nZY0TY/"&amp;"edit#gid=0"",""Table 1: Study characteristics!B4:B171"")))&gt;0
),
""Include""
)"),"Exclude")</f>
        <v>Exclude</v>
      </c>
      <c r="G2098" s="5" t="str">
        <f>IFERROR(__xludf.DUMMYFUNCTION("IFS(
D2098=""Exclude"",
FILTER(IMPORTRANGE(""https://docs.google.com/spreadsheets/d/1BJSV3WBYJGRhQ6zExamkszQ5VutGIcaQqmbD9ZTVXMQ/edit#gid=1251630045"",""articles_with_PRISMA_reasons!AB2:AB2113""), $A2098=IMPORTRANGE(""https://docs.google.com/spreadsheets/"&amp;"d/1BJSV3WBYJGRhQ6zExamkszQ5VutGIcaQqmbD9ZTVXMQ/edit#gid=1251630045"",""articles_with_PRISMA_reasons!B2:B2113"")),
E2098=""Exclude"",
FILTER(IMPORTRANGE(""https://docs.google.com/spreadsheets/d/1qpEmbGH0JjaJbUdp21-y2cPbobDbMjr09BbtdKROZWc/edit#gid=14448656"&amp;"54"",""articles_with_PRISMA_reasons!Z2:Z2113""), $A2098=IMPORTRANGE(""https://docs.google.com/spreadsheets/d/1qpEmbGH0JjaJbUdp21-y2cPbobDbMjr09BbtdKROZWc/edit#gid=1444865654"",""articles_with_PRISMA_reasons!B2:B2113"")),F2098
=""Include"",FILTER(IMPORTRAN"&amp;"GE(""https://docs.google.com/spreadsheets/d/1kGrh75X1cNR1D7_FcY9zMnHP8iPO4M5RCRjy6nZY0TY/edit#gid=0"",""Table 1: Study characteristics!A4:A171""), $A2098=IMPORTRANGE(""https://docs.google.com/spreadsheets/d/1kGrh75X1cNR1D7_FcY9zMnHP8iPO4M5RCRjy6nZY0TY/edi"&amp;"t#gid=0"",""Table 1: Study characteristics!B4:B171""))
)"),"wrong study design")</f>
        <v>wrong study design</v>
      </c>
    </row>
    <row r="2099">
      <c r="A2099" s="4" t="str">
        <f>IFERROR(__xludf.DUMMYFUNCTION("""COMPUTED_VALUE"""),"Vision in children with hydrocephalus")</f>
        <v>Vision in children with hydrocephalus</v>
      </c>
      <c r="B2099" s="5" t="str">
        <f>IFERROR(__xludf.DUMMYFUNCTION("LEFT(FILTER(IMPORTRANGE(""https://docs.google.com/spreadsheets/d/1BJSV3WBYJGRhQ6zExamkszQ5VutGIcaQqmbD9ZTVXMQ/edit#gid=1251630045"",""articles_with_PRISMA_reasons!K2:K2113""), $A2099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$A2099=IMPORTRANGE(""https://docs.google.com/spreadsheets/d/1BJSV3WBYJGRhQ6zExamkszQ5VutGIcaQqmbD9ZTVXMQ/edit#gid=1251630045"",""articles_with_PRISMA_reasons!B2:B2113"")))-1)"),"Andersson")</f>
        <v>Andersson</v>
      </c>
      <c r="C2099" s="6">
        <f>IFERROR(__xludf.DUMMYFUNCTION("FILTER(IMPORTRANGE(""https://docs.google.com/spreadsheets/d/1BJSV3WBYJGRhQ6zExamkszQ5VutGIcaQqmbD9ZTVXMQ/edit#gid=1251630045"",""articles_with_PRISMA_reasons!C2:C2113""), $A2099=IMPORTRANGE(""https://docs.google.com/spreadsheets/d/1BJSV3WBYJGRhQ6zExamkszQ"&amp;"5VutGIcaQqmbD9ZTVXMQ/edit#gid=1251630045"",""articles_with_PRISMA_reasons!B2:B2113""))"),2006.0)</f>
        <v>2006</v>
      </c>
      <c r="D2099" s="5" t="str">
        <f>IFERROR(__xludf.DUMMYFUNCTION("IFS(AND(
FILTER(IMPORTRANGE(""https://docs.google.com/spreadsheets/d/1BJSV3WBYJGRhQ6zExamkszQ5VutGIcaQqmbD9ZTVXMQ/edit#gid=1251630045"",""articles_with_PRISMA_reasons!Y2:Y2113""), $A2099=IMPORTRANGE(""https://docs.google.com/spreadsheets/d/1BJSV3WBYJGRhQ6"&amp;"zExamkszQ5VutGIcaQqmbD9ZTVXMQ/edit#gid=1251630045"",""articles_with_PRISMA_reasons!B2:B2113""))&gt;=2,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$A2099=IMPORTRANGE(""https://docs.google.com/spreadsheets/d/1BJSV3WBYJGRhQ6zExamkszQ5VutGIcaQqmbD9ZTVXMQ/edit#gid=1251630045"",""articles_with_PRISMA_reasons!B2:B2113""))&lt;2),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$A2099=IMPORTRANGE(""https://docs.google.com/spreadsheets/d/1BJSV3WBYJGRhQ6zExamkszQ5VutGIcaQqmbD9ZTVXMQ/edit#gid=1251630045"",""a"&amp;"rticles_with_PRISMA_reasons!B2:B2113""))&lt;2,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$A2099=IMPORTRANGE(""https://docs.google"&amp;".com/spreadsheets/d/1BJSV3WBYJGRhQ6zExamkszQ5VutGIcaQqmbD9ZTVXMQ/edit#gid=1251630045"",""articles_with_PRISMA_reasons!B2:B2113""))&gt;=2),
""Exclude""
)"),"Exclude")</f>
        <v>Exclude</v>
      </c>
      <c r="E2099" s="5" t="str">
        <f>IFERROR(__xludf.DUMMYFUNCTION("IFS(
D2099=""Exclude"",""Exclude"",
AND(
FILTER(IMPORTRANGE(""https://docs.google.com/spreadsheets/d/1qpEmbGH0JjaJbUdp21-y2cPbobDbMjr09BbtdKROZWc/edit#gid=1444865654"",""articles_with_PRISMA_reasons!W2:W2113""), $A2099=IMPORTRANGE(""https://docs.google.co"&amp;"m/spreadsheets/d/1qpEmbGH0JjaJbUdp21-y2cPbobDbMjr09BbtdKROZWc/edit#gid=1444865654"",""articles_with_PRISMA_reasons!B2:B2113""))&gt;=2,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$A2099=IMPORTRANGE(""https://docs.google.com/spreadsheets/d/1qpEmbGH0JjaJbUdp21-y2cPbobDbMjr09BbtdKROZWc/edit#gid=1444865654"",""articles_with_PRISMA_reasons!B2:B2113""))&lt;2),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$A2099=IMPORTRANGE(""https://docs.google.com/spreadsheets/d/1qpEmbGH0JjaJbUdp21-y2cPbobDbMjr09Bbtd"&amp;"KROZWc/edit#gid=1444865654"",""articles_with_PRISMA_reasons!B2:B2113""))&lt;2,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$A2099=I"&amp;"MPORTRANGE(""https://docs.google.com/spreadsheets/d/1qpEmbGH0JjaJbUdp21-y2cPbobDbMjr09BbtdKROZWc/edit#gid=1444865654"",""articles_with_PRISMA_reasons!B2:B2113""))&gt;=2),
""Exclude""
)"),"Exclude")</f>
        <v>Exclude</v>
      </c>
      <c r="F2099" s="5" t="str">
        <f>IFERROR(__xludf.DUMMYFUNCTION("IFS(
E2099=""Exclude"",""Exclude"",
AND(
COUNTIF(
IMPORTRANGE(""https://docs.google.com/spreadsheets/d/1kGrh75X1cNR1D7_FcY9zMnHP8iPO4M5RCRjy6nZY0TY/edit#gid=0"",""Table 1: Study characteristics!B4:B171""),A2099)&gt;0,
COUNTIF(Studies!$A$2:$A$85,FILTER(IMPORT"&amp;"RANGE(""https://docs.google.com/spreadsheets/d/1kGrh75X1cNR1D7_FcY9zMnHP8iPO4M5RCRjy6nZY0TY/edit#gid=0"",""Table 1: Study characteristics!A4:A171""), $A2099=IMPORTRANGE(""https://docs.google.com/spreadsheets/d/1kGrh75X1cNR1D7_FcY9zMnHP8iPO4M5RCRjy6nZY0TY/"&amp;"edit#gid=0"",""Table 1: Study characteristics!B4:B171"")))&gt;0
),
""Include""
)"),"Exclude")</f>
        <v>Exclude</v>
      </c>
      <c r="G2099" s="5" t="str">
        <f>IFERROR(__xludf.DUMMYFUNCTION("IFS(
D2099=""Exclude"",
FILTER(IMPORTRANGE(""https://docs.google.com/spreadsheets/d/1BJSV3WBYJGRhQ6zExamkszQ5VutGIcaQqmbD9ZTVXMQ/edit#gid=1251630045"",""articles_with_PRISMA_reasons!AB2:AB2113""), $A2099=IMPORTRANGE(""https://docs.google.com/spreadsheets/"&amp;"d/1BJSV3WBYJGRhQ6zExamkszQ5VutGIcaQqmbD9ZTVXMQ/edit#gid=1251630045"",""articles_with_PRISMA_reasons!B2:B2113"")),
E2099=""Exclude"",
FILTER(IMPORTRANGE(""https://docs.google.com/spreadsheets/d/1qpEmbGH0JjaJbUdp21-y2cPbobDbMjr09BbtdKROZWc/edit#gid=14448656"&amp;"54"",""articles_with_PRISMA_reasons!Z2:Z2113""), $A2099=IMPORTRANGE(""https://docs.google.com/spreadsheets/d/1qpEmbGH0JjaJbUdp21-y2cPbobDbMjr09BbtdKROZWc/edit#gid=1444865654"",""articles_with_PRISMA_reasons!B2:B2113"")),F2099
=""Include"",FILTER(IMPORTRAN"&amp;"GE(""https://docs.google.com/spreadsheets/d/1kGrh75X1cNR1D7_FcY9zMnHP8iPO4M5RCRjy6nZY0TY/edit#gid=0"",""Table 1: Study characteristics!A4:A171""), $A2099=IMPORTRANGE(""https://docs.google.com/spreadsheets/d/1kGrh75X1cNR1D7_FcY9zMnHP8iPO4M5RCRjy6nZY0TY/edi"&amp;"t#gid=0"",""Table 1: Study characteristics!B4:B171""))
)"),"wrong population")</f>
        <v>wrong population</v>
      </c>
    </row>
    <row r="2100">
      <c r="A2100" s="4" t="str">
        <f>IFERROR(__xludf.DUMMYFUNCTION("""COMPUTED_VALUE"""),"Visual function in infants with congenital hydrocephalus with and without myelomeningocoele")</f>
        <v>Visual function in infants with congenital hydrocephalus with and without myelomeningocoele</v>
      </c>
      <c r="B2100" s="5" t="str">
        <f>IFERROR(__xludf.DUMMYFUNCTION("LEFT(FILTER(IMPORTRANGE(""https://docs.google.com/spreadsheets/d/1BJSV3WBYJGRhQ6zExamkszQ5VutGIcaQqmbD9ZTVXMQ/edit#gid=1251630045"",""articles_with_PRISMA_reasons!K2:K2113""), $A2100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$A2100=IMPORTRANGE(""https://docs.google.com/spreadsheets/d/1BJSV3WBYJGRhQ6zExamkszQ5VutGIcaQqmbD9ZTVXMQ/edit#gid=1251630045"",""articles_with_PRISMA_reasons!B2:B2113"")))-1)"),"Idowu")</f>
        <v>Idowu</v>
      </c>
      <c r="C2100" s="6">
        <f>IFERROR(__xludf.DUMMYFUNCTION("FILTER(IMPORTRANGE(""https://docs.google.com/spreadsheets/d/1BJSV3WBYJGRhQ6zExamkszQ5VutGIcaQqmbD9ZTVXMQ/edit#gid=1251630045"",""articles_with_PRISMA_reasons!C2:C2113""), $A2100=IMPORTRANGE(""https://docs.google.com/spreadsheets/d/1BJSV3WBYJGRhQ6zExamkszQ"&amp;"5VutGIcaQqmbD9ZTVXMQ/edit#gid=1251630045"",""articles_with_PRISMA_reasons!B2:B2113""))"),2014.0)</f>
        <v>2014</v>
      </c>
      <c r="D2100" s="5" t="str">
        <f>IFERROR(__xludf.DUMMYFUNCTION("IFS(AND(
FILTER(IMPORTRANGE(""https://docs.google.com/spreadsheets/d/1BJSV3WBYJGRhQ6zExamkszQ5VutGIcaQqmbD9ZTVXMQ/edit#gid=1251630045"",""articles_with_PRISMA_reasons!Y2:Y2113""), $A2100=IMPORTRANGE(""https://docs.google.com/spreadsheets/d/1BJSV3WBYJGRhQ6"&amp;"zExamkszQ5VutGIcaQqmbD9ZTVXMQ/edit#gid=1251630045"",""articles_with_PRISMA_reasons!B2:B2113""))&gt;=2,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$A2100=IMPORTRANGE(""https://docs.google.com/spreadsheets/d/1BJSV3WBYJGRhQ6zExamkszQ5VutGIcaQqmbD9ZTVXMQ/edit#gid=1251630045"",""articles_with_PRISMA_reasons!B2:B2113""))&lt;2),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$A2100=IMPORTRANGE(""https://docs.google.com/spreadsheets/d/1BJSV3WBYJGRhQ6zExamkszQ5VutGIcaQqmbD9ZTVXMQ/edit#gid=1251630045"",""a"&amp;"rticles_with_PRISMA_reasons!B2:B2113""))&lt;2,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$A2100=IMPORTRANGE(""https://docs.google"&amp;".com/spreadsheets/d/1BJSV3WBYJGRhQ6zExamkszQ5VutGIcaQqmbD9ZTVXMQ/edit#gid=1251630045"",""articles_with_PRISMA_reasons!B2:B2113""))&gt;=2),
""Exclude""
)"),"Exclude")</f>
        <v>Exclude</v>
      </c>
      <c r="E2100" s="5" t="str">
        <f>IFERROR(__xludf.DUMMYFUNCTION("IFS(
D2100=""Exclude"",""Exclude"",
AND(
FILTER(IMPORTRANGE(""https://docs.google.com/spreadsheets/d/1qpEmbGH0JjaJbUdp21-y2cPbobDbMjr09BbtdKROZWc/edit#gid=1444865654"",""articles_with_PRISMA_reasons!W2:W2113""), $A2100=IMPORTRANGE(""https://docs.google.co"&amp;"m/spreadsheets/d/1qpEmbGH0JjaJbUdp21-y2cPbobDbMjr09BbtdKROZWc/edit#gid=1444865654"",""articles_with_PRISMA_reasons!B2:B2113""))&gt;=2,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$A2100=IMPORTRANGE(""https://docs.google.com/spreadsheets/d/1qpEmbGH0JjaJbUdp21-y2cPbobDbMjr09BbtdKROZWc/edit#gid=1444865654"",""articles_with_PRISMA_reasons!B2:B2113""))&lt;2),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$A2100=IMPORTRANGE(""https://docs.google.com/spreadsheets/d/1qpEmbGH0JjaJbUdp21-y2cPbobDbMjr09Bbtd"&amp;"KROZWc/edit#gid=1444865654"",""articles_with_PRISMA_reasons!B2:B2113""))&lt;2,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$A2100=I"&amp;"MPORTRANGE(""https://docs.google.com/spreadsheets/d/1qpEmbGH0JjaJbUdp21-y2cPbobDbMjr09BbtdKROZWc/edit#gid=1444865654"",""articles_with_PRISMA_reasons!B2:B2113""))&gt;=2),
""Exclude""
)"),"Exclude")</f>
        <v>Exclude</v>
      </c>
      <c r="F2100" s="5" t="str">
        <f>IFERROR(__xludf.DUMMYFUNCTION("IFS(
E2100=""Exclude"",""Exclude"",
AND(
COUNTIF(
IMPORTRANGE(""https://docs.google.com/spreadsheets/d/1kGrh75X1cNR1D7_FcY9zMnHP8iPO4M5RCRjy6nZY0TY/edit#gid=0"",""Table 1: Study characteristics!B4:B171""),A2100)&gt;0,
COUNTIF(Studies!$A$2:$A$85,FILTER(IMPORT"&amp;"RANGE(""https://docs.google.com/spreadsheets/d/1kGrh75X1cNR1D7_FcY9zMnHP8iPO4M5RCRjy6nZY0TY/edit#gid=0"",""Table 1: Study characteristics!A4:A171""), $A2100=IMPORTRANGE(""https://docs.google.com/spreadsheets/d/1kGrh75X1cNR1D7_FcY9zMnHP8iPO4M5RCRjy6nZY0TY/"&amp;"edit#gid=0"",""Table 1: Study characteristics!B4:B171"")))&gt;0
),
""Include""
)"),"Exclude")</f>
        <v>Exclude</v>
      </c>
      <c r="G2100" s="5" t="str">
        <f>IFERROR(__xludf.DUMMYFUNCTION("IFS(
D2100=""Exclude"",
FILTER(IMPORTRANGE(""https://docs.google.com/spreadsheets/d/1BJSV3WBYJGRhQ6zExamkszQ5VutGIcaQqmbD9ZTVXMQ/edit#gid=1251630045"",""articles_with_PRISMA_reasons!AB2:AB2113""), $A2100=IMPORTRANGE(""https://docs.google.com/spreadsheets/"&amp;"d/1BJSV3WBYJGRhQ6zExamkszQ5VutGIcaQqmbD9ZTVXMQ/edit#gid=1251630045"",""articles_with_PRISMA_reasons!B2:B2113"")),
E2100=""Exclude"",
FILTER(IMPORTRANGE(""https://docs.google.com/spreadsheets/d/1qpEmbGH0JjaJbUdp21-y2cPbobDbMjr09BbtdKROZWc/edit#gid=14448656"&amp;"54"",""articles_with_PRISMA_reasons!Z2:Z2113""), $A2100=IMPORTRANGE(""https://docs.google.com/spreadsheets/d/1qpEmbGH0JjaJbUdp21-y2cPbobDbMjr09BbtdKROZWc/edit#gid=1444865654"",""articles_with_PRISMA_reasons!B2:B2113"")),F2100
=""Include"",FILTER(IMPORTRAN"&amp;"GE(""https://docs.google.com/spreadsheets/d/1kGrh75X1cNR1D7_FcY9zMnHP8iPO4M5RCRjy6nZY0TY/edit#gid=0"",""Table 1: Study characteristics!A4:A171""), $A2100=IMPORTRANGE(""https://docs.google.com/spreadsheets/d/1kGrh75X1cNR1D7_FcY9zMnHP8iPO4M5RCRjy6nZY0TY/edi"&amp;"t#gid=0"",""Table 1: Study characteristics!B4:B171""))
)"),"wrong intervention")</f>
        <v>wrong intervention</v>
      </c>
    </row>
    <row r="2101">
      <c r="A2101" s="4" t="str">
        <f>IFERROR(__xludf.DUMMYFUNCTION("""COMPUTED_VALUE"""),"Vitamin A: A multifunctional tool for development")</f>
        <v>Vitamin A: A multifunctional tool for development</v>
      </c>
      <c r="B2101" s="5" t="str">
        <f>IFERROR(__xludf.DUMMYFUNCTION("LEFT(FILTER(IMPORTRANGE(""https://docs.google.com/spreadsheets/d/1BJSV3WBYJGRhQ6zExamkszQ5VutGIcaQqmbD9ZTVXMQ/edit#gid=1251630045"",""articles_with_PRISMA_reasons!K2:K2113""), $A2101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$A2101=IMPORTRANGE(""https://docs.google.com/spreadsheets/d/1BJSV3WBYJGRhQ6zExamkszQ5VutGIcaQqmbD9ZTVXMQ/edit#gid=1251630045"",""articles_with_PRISMA_reasons!B2:B2113"")))-1)"),"Gutierrez-Mazariegos")</f>
        <v>Gutierrez-Mazariegos</v>
      </c>
      <c r="C2101" s="6">
        <f>IFERROR(__xludf.DUMMYFUNCTION("FILTER(IMPORTRANGE(""https://docs.google.com/spreadsheets/d/1BJSV3WBYJGRhQ6zExamkszQ5VutGIcaQqmbD9ZTVXMQ/edit#gid=1251630045"",""articles_with_PRISMA_reasons!C2:C2113""), $A2101=IMPORTRANGE(""https://docs.google.com/spreadsheets/d/1BJSV3WBYJGRhQ6zExamkszQ"&amp;"5VutGIcaQqmbD9ZTVXMQ/edit#gid=1251630045"",""articles_with_PRISMA_reasons!B2:B2113""))"),2011.0)</f>
        <v>2011</v>
      </c>
      <c r="D2101" s="5" t="str">
        <f>IFERROR(__xludf.DUMMYFUNCTION("IFS(AND(
FILTER(IMPORTRANGE(""https://docs.google.com/spreadsheets/d/1BJSV3WBYJGRhQ6zExamkszQ5VutGIcaQqmbD9ZTVXMQ/edit#gid=1251630045"",""articles_with_PRISMA_reasons!Y2:Y2113""), $A2101=IMPORTRANGE(""https://docs.google.com/spreadsheets/d/1BJSV3WBYJGRhQ6"&amp;"zExamkszQ5VutGIcaQqmbD9ZTVXMQ/edit#gid=1251630045"",""articles_with_PRISMA_reasons!B2:B2113""))&gt;=2,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$A2101=IMPORTRANGE(""https://docs.google.com/spreadsheets/d/1BJSV3WBYJGRhQ6zExamkszQ5VutGIcaQqmbD9ZTVXMQ/edit#gid=1251630045"",""articles_with_PRISMA_reasons!B2:B2113""))&lt;2),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$A2101=IMPORTRANGE(""https://docs.google.com/spreadsheets/d/1BJSV3WBYJGRhQ6zExamkszQ5VutGIcaQqmbD9ZTVXMQ/edit#gid=1251630045"",""a"&amp;"rticles_with_PRISMA_reasons!B2:B2113""))&lt;2,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$A2101=IMPORTRANGE(""https://docs.google"&amp;".com/spreadsheets/d/1BJSV3WBYJGRhQ6zExamkszQ5VutGIcaQqmbD9ZTVXMQ/edit#gid=1251630045"",""articles_with_PRISMA_reasons!B2:B2113""))&gt;=2),
""Exclude""
)"),"Exclude")</f>
        <v>Exclude</v>
      </c>
      <c r="E2101" s="5" t="str">
        <f>IFERROR(__xludf.DUMMYFUNCTION("IFS(
D2101=""Exclude"",""Exclude"",
AND(
FILTER(IMPORTRANGE(""https://docs.google.com/spreadsheets/d/1qpEmbGH0JjaJbUdp21-y2cPbobDbMjr09BbtdKROZWc/edit#gid=1444865654"",""articles_with_PRISMA_reasons!W2:W2113""), $A2101=IMPORTRANGE(""https://docs.google.co"&amp;"m/spreadsheets/d/1qpEmbGH0JjaJbUdp21-y2cPbobDbMjr09BbtdKROZWc/edit#gid=1444865654"",""articles_with_PRISMA_reasons!B2:B2113""))&gt;=2,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$A2101=IMPORTRANGE(""https://docs.google.com/spreadsheets/d/1qpEmbGH0JjaJbUdp21-y2cPbobDbMjr09BbtdKROZWc/edit#gid=1444865654"",""articles_with_PRISMA_reasons!B2:B2113""))&lt;2),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$A2101=IMPORTRANGE(""https://docs.google.com/spreadsheets/d/1qpEmbGH0JjaJbUdp21-y2cPbobDbMjr09Bbtd"&amp;"KROZWc/edit#gid=1444865654"",""articles_with_PRISMA_reasons!B2:B2113""))&lt;2,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$A2101=I"&amp;"MPORTRANGE(""https://docs.google.com/spreadsheets/d/1qpEmbGH0JjaJbUdp21-y2cPbobDbMjr09BbtdKROZWc/edit#gid=1444865654"",""articles_with_PRISMA_reasons!B2:B2113""))&gt;=2),
""Exclude""
)"),"Exclude")</f>
        <v>Exclude</v>
      </c>
      <c r="F2101" s="5" t="str">
        <f>IFERROR(__xludf.DUMMYFUNCTION("IFS(
E2101=""Exclude"",""Exclude"",
AND(
COUNTIF(
IMPORTRANGE(""https://docs.google.com/spreadsheets/d/1kGrh75X1cNR1D7_FcY9zMnHP8iPO4M5RCRjy6nZY0TY/edit#gid=0"",""Table 1: Study characteristics!B4:B171""),A2101)&gt;0,
COUNTIF(Studies!$A$2:$A$85,FILTER(IMPORT"&amp;"RANGE(""https://docs.google.com/spreadsheets/d/1kGrh75X1cNR1D7_FcY9zMnHP8iPO4M5RCRjy6nZY0TY/edit#gid=0"",""Table 1: Study characteristics!A4:A171""), $A2101=IMPORTRANGE(""https://docs.google.com/spreadsheets/d/1kGrh75X1cNR1D7_FcY9zMnHP8iPO4M5RCRjy6nZY0TY/"&amp;"edit#gid=0"",""Table 1: Study characteristics!B4:B171"")))&gt;0
),
""Include""
)"),"Exclude")</f>
        <v>Exclude</v>
      </c>
      <c r="G2101" s="5" t="str">
        <f>IFERROR(__xludf.DUMMYFUNCTION("IFS(
D2101=""Exclude"",
FILTER(IMPORTRANGE(""https://docs.google.com/spreadsheets/d/1BJSV3WBYJGRhQ6zExamkszQ5VutGIcaQqmbD9ZTVXMQ/edit#gid=1251630045"",""articles_with_PRISMA_reasons!AB2:AB2113""), $A2101=IMPORTRANGE(""https://docs.google.com/spreadsheets/"&amp;"d/1BJSV3WBYJGRhQ6zExamkszQ5VutGIcaQqmbD9ZTVXMQ/edit#gid=1251630045"",""articles_with_PRISMA_reasons!B2:B2113"")),
E2101=""Exclude"",
FILTER(IMPORTRANGE(""https://docs.google.com/spreadsheets/d/1qpEmbGH0JjaJbUdp21-y2cPbobDbMjr09BbtdKROZWc/edit#gid=14448656"&amp;"54"",""articles_with_PRISMA_reasons!Z2:Z2113""), $A2101=IMPORTRANGE(""https://docs.google.com/spreadsheets/d/1qpEmbGH0JjaJbUdp21-y2cPbobDbMjr09BbtdKROZWc/edit#gid=1444865654"",""articles_with_PRISMA_reasons!B2:B2113"")),F2101
=""Include"",FILTER(IMPORTRAN"&amp;"GE(""https://docs.google.com/spreadsheets/d/1kGrh75X1cNR1D7_FcY9zMnHP8iPO4M5RCRjy6nZY0TY/edit#gid=0"",""Table 1: Study characteristics!A4:A171""), $A2101=IMPORTRANGE(""https://docs.google.com/spreadsheets/d/1kGrh75X1cNR1D7_FcY9zMnHP8iPO4M5RCRjy6nZY0TY/edi"&amp;"t#gid=0"",""Table 1: Study characteristics!B4:B171""))
)"),"wrong study design")</f>
        <v>wrong study design</v>
      </c>
    </row>
    <row r="2102">
      <c r="A2102" s="4" t="str">
        <f>IFERROR(__xludf.DUMMYFUNCTION("""COMPUTED_VALUE"""),"Vocal cord palsy in an infant with myelomeningocoele")</f>
        <v>Vocal cord palsy in an infant with myelomeningocoele</v>
      </c>
      <c r="B2102" s="5" t="str">
        <f>IFERROR(__xludf.DUMMYFUNCTION("LEFT(FILTER(IMPORTRANGE(""https://docs.google.com/spreadsheets/d/1BJSV3WBYJGRhQ6zExamkszQ5VutGIcaQqmbD9ZTVXMQ/edit#gid=1251630045"",""articles_with_PRISMA_reasons!K2:K2113""), $A2102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$A2102=IMPORTRANGE(""https://docs.google.com/spreadsheets/d/1BJSV3WBYJGRhQ6zExamkszQ5VutGIcaQqmbD9ZTVXMQ/edit#gid=1251630045"",""articles_with_PRISMA_reasons!B2:B2113"")))-1)"),"Agrawal")</f>
        <v>Agrawal</v>
      </c>
      <c r="C2102" s="6">
        <f>IFERROR(__xludf.DUMMYFUNCTION("FILTER(IMPORTRANGE(""https://docs.google.com/spreadsheets/d/1BJSV3WBYJGRhQ6zExamkszQ5VutGIcaQqmbD9ZTVXMQ/edit#gid=1251630045"",""articles_with_PRISMA_reasons!C2:C2113""), $A2102=IMPORTRANGE(""https://docs.google.com/spreadsheets/d/1BJSV3WBYJGRhQ6zExamkszQ"&amp;"5VutGIcaQqmbD9ZTVXMQ/edit#gid=1251630045"",""articles_with_PRISMA_reasons!B2:B2113""))"),2011.0)</f>
        <v>2011</v>
      </c>
      <c r="D2102" s="5" t="str">
        <f>IFERROR(__xludf.DUMMYFUNCTION("IFS(AND(
FILTER(IMPORTRANGE(""https://docs.google.com/spreadsheets/d/1BJSV3WBYJGRhQ6zExamkszQ5VutGIcaQqmbD9ZTVXMQ/edit#gid=1251630045"",""articles_with_PRISMA_reasons!Y2:Y2113""), $A2102=IMPORTRANGE(""https://docs.google.com/spreadsheets/d/1BJSV3WBYJGRhQ6"&amp;"zExamkszQ5VutGIcaQqmbD9ZTVXMQ/edit#gid=1251630045"",""articles_with_PRISMA_reasons!B2:B2113""))&gt;=2,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$A2102=IMPORTRANGE(""https://docs.google.com/spreadsheets/d/1BJSV3WBYJGRhQ6zExamkszQ5VutGIcaQqmbD9ZTVXMQ/edit#gid=1251630045"",""articles_with_PRISMA_reasons!B2:B2113""))&lt;2),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$A2102=IMPORTRANGE(""https://docs.google.com/spreadsheets/d/1BJSV3WBYJGRhQ6zExamkszQ5VutGIcaQqmbD9ZTVXMQ/edit#gid=1251630045"",""a"&amp;"rticles_with_PRISMA_reasons!B2:B2113""))&lt;2,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$A2102=IMPORTRANGE(""https://docs.google"&amp;".com/spreadsheets/d/1BJSV3WBYJGRhQ6zExamkszQ5VutGIcaQqmbD9ZTVXMQ/edit#gid=1251630045"",""articles_with_PRISMA_reasons!B2:B2113""))&gt;=2),
""Exclude""
)"),"Exclude")</f>
        <v>Exclude</v>
      </c>
      <c r="E2102" s="5" t="str">
        <f>IFERROR(__xludf.DUMMYFUNCTION("IFS(
D2102=""Exclude"",""Exclude"",
AND(
FILTER(IMPORTRANGE(""https://docs.google.com/spreadsheets/d/1qpEmbGH0JjaJbUdp21-y2cPbobDbMjr09BbtdKROZWc/edit#gid=1444865654"",""articles_with_PRISMA_reasons!W2:W2113""), $A2102=IMPORTRANGE(""https://docs.google.co"&amp;"m/spreadsheets/d/1qpEmbGH0JjaJbUdp21-y2cPbobDbMjr09BbtdKROZWc/edit#gid=1444865654"",""articles_with_PRISMA_reasons!B2:B2113""))&gt;=2,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$A2102=IMPORTRANGE(""https://docs.google.com/spreadsheets/d/1qpEmbGH0JjaJbUdp21-y2cPbobDbMjr09BbtdKROZWc/edit#gid=1444865654"",""articles_with_PRISMA_reasons!B2:B2113""))&lt;2),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$A2102=IMPORTRANGE(""https://docs.google.com/spreadsheets/d/1qpEmbGH0JjaJbUdp21-y2cPbobDbMjr09Bbtd"&amp;"KROZWc/edit#gid=1444865654"",""articles_with_PRISMA_reasons!B2:B2113""))&lt;2,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$A2102=I"&amp;"MPORTRANGE(""https://docs.google.com/spreadsheets/d/1qpEmbGH0JjaJbUdp21-y2cPbobDbMjr09BbtdKROZWc/edit#gid=1444865654"",""articles_with_PRISMA_reasons!B2:B2113""))&gt;=2),
""Exclude""
)"),"Exclude")</f>
        <v>Exclude</v>
      </c>
      <c r="F2102" s="5" t="str">
        <f>IFERROR(__xludf.DUMMYFUNCTION("IFS(
E2102=""Exclude"",""Exclude"",
AND(
COUNTIF(
IMPORTRANGE(""https://docs.google.com/spreadsheets/d/1kGrh75X1cNR1D7_FcY9zMnHP8iPO4M5RCRjy6nZY0TY/edit#gid=0"",""Table 1: Study characteristics!B4:B171""),A2102)&gt;0,
COUNTIF(Studies!$A$2:$A$85,FILTER(IMPORT"&amp;"RANGE(""https://docs.google.com/spreadsheets/d/1kGrh75X1cNR1D7_FcY9zMnHP8iPO4M5RCRjy6nZY0TY/edit#gid=0"",""Table 1: Study characteristics!A4:A171""), $A2102=IMPORTRANGE(""https://docs.google.com/spreadsheets/d/1kGrh75X1cNR1D7_FcY9zMnHP8iPO4M5RCRjy6nZY0TY/"&amp;"edit#gid=0"",""Table 1: Study characteristics!B4:B171"")))&gt;0
),
""Include""
)"),"Exclude")</f>
        <v>Exclude</v>
      </c>
      <c r="G2102" s="5" t="str">
        <f>IFERROR(__xludf.DUMMYFUNCTION("IFS(
D2102=""Exclude"",
FILTER(IMPORTRANGE(""https://docs.google.com/spreadsheets/d/1BJSV3WBYJGRhQ6zExamkszQ5VutGIcaQqmbD9ZTVXMQ/edit#gid=1251630045"",""articles_with_PRISMA_reasons!AB2:AB2113""), $A2102=IMPORTRANGE(""https://docs.google.com/spreadsheets/"&amp;"d/1BJSV3WBYJGRhQ6zExamkszQ5VutGIcaQqmbD9ZTVXMQ/edit#gid=1251630045"",""articles_with_PRISMA_reasons!B2:B2113"")),
E2102=""Exclude"",
FILTER(IMPORTRANGE(""https://docs.google.com/spreadsheets/d/1qpEmbGH0JjaJbUdp21-y2cPbobDbMjr09BbtdKROZWc/edit#gid=14448656"&amp;"54"",""articles_with_PRISMA_reasons!Z2:Z2113""), $A2102=IMPORTRANGE(""https://docs.google.com/spreadsheets/d/1qpEmbGH0JjaJbUdp21-y2cPbobDbMjr09BbtdKROZWc/edit#gid=1444865654"",""articles_with_PRISMA_reasons!B2:B2113"")),F2102
=""Include"",FILTER(IMPORTRAN"&amp;"GE(""https://docs.google.com/spreadsheets/d/1kGrh75X1cNR1D7_FcY9zMnHP8iPO4M5RCRjy6nZY0TY/edit#gid=0"",""Table 1: Study characteristics!A4:A171""), $A2102=IMPORTRANGE(""https://docs.google.com/spreadsheets/d/1kGrh75X1cNR1D7_FcY9zMnHP8iPO4M5RCRjy6nZY0TY/edi"&amp;"t#gid=0"",""Table 1: Study characteristics!B4:B171""))
)"),"wrong study design")</f>
        <v>wrong study design</v>
      </c>
    </row>
    <row r="2103">
      <c r="A2103" s="4" t="str">
        <f>IFERROR(__xludf.DUMMYFUNCTION("""COMPUTED_VALUE"""),"Vocal cord palsy in pediatric practice: a review of 71 cases")</f>
        <v>Vocal cord palsy in pediatric practice: a review of 71 cases</v>
      </c>
      <c r="B2103" s="5" t="str">
        <f>IFERROR(__xludf.DUMMYFUNCTION("LEFT(FILTER(IMPORTRANGE(""https://docs.google.com/spreadsheets/d/1BJSV3WBYJGRhQ6zExamkszQ5VutGIcaQqmbD9ZTVXMQ/edit#gid=1251630045"",""articles_with_PRISMA_reasons!K2:K2113""), $A2103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$A2103=IMPORTRANGE(""https://docs.google.com/spreadsheets/d/1BJSV3WBYJGRhQ6zExamkszQ5VutGIcaQqmbD9ZTVXMQ/edit#gid=1251630045"",""articles_with_PRISMA_reasons!B2:B2113"")))-1)"),"Emery")</f>
        <v>Emery</v>
      </c>
      <c r="C2103" s="6">
        <f>IFERROR(__xludf.DUMMYFUNCTION("FILTER(IMPORTRANGE(""https://docs.google.com/spreadsheets/d/1BJSV3WBYJGRhQ6zExamkszQ5VutGIcaQqmbD9ZTVXMQ/edit#gid=1251630045"",""articles_with_PRISMA_reasons!C2:C2113""), $A2103=IMPORTRANGE(""https://docs.google.com/spreadsheets/d/1BJSV3WBYJGRhQ6zExamkszQ"&amp;"5VutGIcaQqmbD9ZTVXMQ/edit#gid=1251630045"",""articles_with_PRISMA_reasons!B2:B2113""))"),1984.0)</f>
        <v>1984</v>
      </c>
      <c r="D2103" s="5" t="str">
        <f>IFERROR(__xludf.DUMMYFUNCTION("IFS(AND(
FILTER(IMPORTRANGE(""https://docs.google.com/spreadsheets/d/1BJSV3WBYJGRhQ6zExamkszQ5VutGIcaQqmbD9ZTVXMQ/edit#gid=1251630045"",""articles_with_PRISMA_reasons!Y2:Y2113""), $A2103=IMPORTRANGE(""https://docs.google.com/spreadsheets/d/1BJSV3WBYJGRhQ6"&amp;"zExamkszQ5VutGIcaQqmbD9ZTVXMQ/edit#gid=1251630045"",""articles_with_PRISMA_reasons!B2:B2113""))&gt;=2,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$A2103=IMPORTRANGE(""https://docs.google.com/spreadsheets/d/1BJSV3WBYJGRhQ6zExamkszQ5VutGIcaQqmbD9ZTVXMQ/edit#gid=1251630045"",""articles_with_PRISMA_reasons!B2:B2113""))&lt;2),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$A2103=IMPORTRANGE(""https://docs.google.com/spreadsheets/d/1BJSV3WBYJGRhQ6zExamkszQ5VutGIcaQqmbD9ZTVXMQ/edit#gid=1251630045"",""a"&amp;"rticles_with_PRISMA_reasons!B2:B2113""))&lt;2,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$A2103=IMPORTRANGE(""https://docs.google"&amp;".com/spreadsheets/d/1BJSV3WBYJGRhQ6zExamkszQ5VutGIcaQqmbD9ZTVXMQ/edit#gid=1251630045"",""articles_with_PRISMA_reasons!B2:B2113""))&gt;=2),
""Exclude""
)"),"Exclude")</f>
        <v>Exclude</v>
      </c>
      <c r="E2103" s="5" t="str">
        <f>IFERROR(__xludf.DUMMYFUNCTION("IFS(
D2103=""Exclude"",""Exclude"",
AND(
FILTER(IMPORTRANGE(""https://docs.google.com/spreadsheets/d/1qpEmbGH0JjaJbUdp21-y2cPbobDbMjr09BbtdKROZWc/edit#gid=1444865654"",""articles_with_PRISMA_reasons!W2:W2113""), $A2103=IMPORTRANGE(""https://docs.google.co"&amp;"m/spreadsheets/d/1qpEmbGH0JjaJbUdp21-y2cPbobDbMjr09BbtdKROZWc/edit#gid=1444865654"",""articles_with_PRISMA_reasons!B2:B2113""))&gt;=2,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$A2103=IMPORTRANGE(""https://docs.google.com/spreadsheets/d/1qpEmbGH0JjaJbUdp21-y2cPbobDbMjr09BbtdKROZWc/edit#gid=1444865654"",""articles_with_PRISMA_reasons!B2:B2113""))&lt;2),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$A2103=IMPORTRANGE(""https://docs.google.com/spreadsheets/d/1qpEmbGH0JjaJbUdp21-y2cPbobDbMjr09Bbtd"&amp;"KROZWc/edit#gid=1444865654"",""articles_with_PRISMA_reasons!B2:B2113""))&lt;2,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$A2103=I"&amp;"MPORTRANGE(""https://docs.google.com/spreadsheets/d/1qpEmbGH0JjaJbUdp21-y2cPbobDbMjr09BbtdKROZWc/edit#gid=1444865654"",""articles_with_PRISMA_reasons!B2:B2113""))&gt;=2),
""Exclude""
)"),"Exclude")</f>
        <v>Exclude</v>
      </c>
      <c r="F2103" s="5" t="str">
        <f>IFERROR(__xludf.DUMMYFUNCTION("IFS(
E2103=""Exclude"",""Exclude"",
AND(
COUNTIF(
IMPORTRANGE(""https://docs.google.com/spreadsheets/d/1kGrh75X1cNR1D7_FcY9zMnHP8iPO4M5RCRjy6nZY0TY/edit#gid=0"",""Table 1: Study characteristics!B4:B171""),A2103)&gt;0,
COUNTIF(Studies!$A$2:$A$85,FILTER(IMPORT"&amp;"RANGE(""https://docs.google.com/spreadsheets/d/1kGrh75X1cNR1D7_FcY9zMnHP8iPO4M5RCRjy6nZY0TY/edit#gid=0"",""Table 1: Study characteristics!A4:A171""), $A2103=IMPORTRANGE(""https://docs.google.com/spreadsheets/d/1kGrh75X1cNR1D7_FcY9zMnHP8iPO4M5RCRjy6nZY0TY/"&amp;"edit#gid=0"",""Table 1: Study characteristics!B4:B171"")))&gt;0
),
""Include""
)"),"Exclude")</f>
        <v>Exclude</v>
      </c>
      <c r="G2103" s="5" t="str">
        <f>IFERROR(__xludf.DUMMYFUNCTION("IFS(
D2103=""Exclude"",
FILTER(IMPORTRANGE(""https://docs.google.com/spreadsheets/d/1BJSV3WBYJGRhQ6zExamkszQ5VutGIcaQqmbD9ZTVXMQ/edit#gid=1251630045"",""articles_with_PRISMA_reasons!AB2:AB2113""), $A2103=IMPORTRANGE(""https://docs.google.com/spreadsheets/"&amp;"d/1BJSV3WBYJGRhQ6zExamkszQ5VutGIcaQqmbD9ZTVXMQ/edit#gid=1251630045"",""articles_with_PRISMA_reasons!B2:B2113"")),
E2103=""Exclude"",
FILTER(IMPORTRANGE(""https://docs.google.com/spreadsheets/d/1qpEmbGH0JjaJbUdp21-y2cPbobDbMjr09BbtdKROZWc/edit#gid=14448656"&amp;"54"",""articles_with_PRISMA_reasons!Z2:Z2113""), $A2103=IMPORTRANGE(""https://docs.google.com/spreadsheets/d/1qpEmbGH0JjaJbUdp21-y2cPbobDbMjr09BbtdKROZWc/edit#gid=1444865654"",""articles_with_PRISMA_reasons!B2:B2113"")),F2103
=""Include"",FILTER(IMPORTRAN"&amp;"GE(""https://docs.google.com/spreadsheets/d/1kGrh75X1cNR1D7_FcY9zMnHP8iPO4M5RCRjy6nZY0TY/edit#gid=0"",""Table 1: Study characteristics!A4:A171""), $A2103=IMPORTRANGE(""https://docs.google.com/spreadsheets/d/1kGrh75X1cNR1D7_FcY9zMnHP8iPO4M5RCRjy6nZY0TY/edi"&amp;"t#gid=0"",""Table 1: Study characteristics!B4:B171""))
)"),"wrong population")</f>
        <v>wrong population</v>
      </c>
    </row>
    <row r="2104">
      <c r="A2104" s="4" t="str">
        <f>IFERROR(__xludf.DUMMYFUNCTION("""COMPUTED_VALUE"""),"Vocal cord paralysis in neuraxial malformation")</f>
        <v>Vocal cord paralysis in neuraxial malformation</v>
      </c>
      <c r="B2104" s="5" t="str">
        <f>IFERROR(__xludf.DUMMYFUNCTION("LEFT(FILTER(IMPORTRANGE(""https://docs.google.com/spreadsheets/d/1BJSV3WBYJGRhQ6zExamkszQ5VutGIcaQqmbD9ZTVXMQ/edit#gid=1251630045"",""articles_with_PRISMA_reasons!K2:K2113""), $A2104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$A2104=IMPORTRANGE(""https://docs.google.com/spreadsheets/d/1BJSV3WBYJGRhQ6zExamkszQ5VutGIcaQqmbD9ZTVXMQ/edit#gid=1251630045"",""articles_with_PRISMA_reasons!B2:B2113"")))-1)"),"Ravilochan")</f>
        <v>Ravilochan</v>
      </c>
      <c r="C2104" s="6">
        <f>IFERROR(__xludf.DUMMYFUNCTION("FILTER(IMPORTRANGE(""https://docs.google.com/spreadsheets/d/1BJSV3WBYJGRhQ6zExamkszQ5VutGIcaQqmbD9ZTVXMQ/edit#gid=1251630045"",""articles_with_PRISMA_reasons!C2:C2113""), $A2104=IMPORTRANGE(""https://docs.google.com/spreadsheets/d/1BJSV3WBYJGRhQ6zExamkszQ"&amp;"5VutGIcaQqmbD9ZTVXMQ/edit#gid=1251630045"",""articles_with_PRISMA_reasons!B2:B2113""))"),1983.0)</f>
        <v>1983</v>
      </c>
      <c r="D2104" s="5" t="str">
        <f>IFERROR(__xludf.DUMMYFUNCTION("IFS(AND(
FILTER(IMPORTRANGE(""https://docs.google.com/spreadsheets/d/1BJSV3WBYJGRhQ6zExamkszQ5VutGIcaQqmbD9ZTVXMQ/edit#gid=1251630045"",""articles_with_PRISMA_reasons!Y2:Y2113""), $A2104=IMPORTRANGE(""https://docs.google.com/spreadsheets/d/1BJSV3WBYJGRhQ6"&amp;"zExamkszQ5VutGIcaQqmbD9ZTVXMQ/edit#gid=1251630045"",""articles_with_PRISMA_reasons!B2:B2113""))&gt;=2,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$A2104=IMPORTRANGE(""https://docs.google.com/spreadsheets/d/1BJSV3WBYJGRhQ6zExamkszQ5VutGIcaQqmbD9ZTVXMQ/edit#gid=1251630045"",""articles_with_PRISMA_reasons!B2:B2113""))&lt;2),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$A2104=IMPORTRANGE(""https://docs.google.com/spreadsheets/d/1BJSV3WBYJGRhQ6zExamkszQ5VutGIcaQqmbD9ZTVXMQ/edit#gid=1251630045"",""a"&amp;"rticles_with_PRISMA_reasons!B2:B2113""))&lt;2,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$A2104=IMPORTRANGE(""https://docs.google"&amp;".com/spreadsheets/d/1BJSV3WBYJGRhQ6zExamkszQ5VutGIcaQqmbD9ZTVXMQ/edit#gid=1251630045"",""articles_with_PRISMA_reasons!B2:B2113""))&gt;=2),
""Exclude""
)"),"Exclude")</f>
        <v>Exclude</v>
      </c>
      <c r="E2104" s="5" t="str">
        <f>IFERROR(__xludf.DUMMYFUNCTION("IFS(
D2104=""Exclude"",""Exclude"",
AND(
FILTER(IMPORTRANGE(""https://docs.google.com/spreadsheets/d/1qpEmbGH0JjaJbUdp21-y2cPbobDbMjr09BbtdKROZWc/edit#gid=1444865654"",""articles_with_PRISMA_reasons!W2:W2113""), $A2104=IMPORTRANGE(""https://docs.google.co"&amp;"m/spreadsheets/d/1qpEmbGH0JjaJbUdp21-y2cPbobDbMjr09BbtdKROZWc/edit#gid=1444865654"",""articles_with_PRISMA_reasons!B2:B2113""))&gt;=2,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$A2104=IMPORTRANGE(""https://docs.google.com/spreadsheets/d/1qpEmbGH0JjaJbUdp21-y2cPbobDbMjr09BbtdKROZWc/edit#gid=1444865654"",""articles_with_PRISMA_reasons!B2:B2113""))&lt;2),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$A2104=IMPORTRANGE(""https://docs.google.com/spreadsheets/d/1qpEmbGH0JjaJbUdp21-y2cPbobDbMjr09Bbtd"&amp;"KROZWc/edit#gid=1444865654"",""articles_with_PRISMA_reasons!B2:B2113""))&lt;2,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$A2104=I"&amp;"MPORTRANGE(""https://docs.google.com/spreadsheets/d/1qpEmbGH0JjaJbUdp21-y2cPbobDbMjr09BbtdKROZWc/edit#gid=1444865654"",""articles_with_PRISMA_reasons!B2:B2113""))&gt;=2),
""Exclude""
)"),"Exclude")</f>
        <v>Exclude</v>
      </c>
      <c r="F2104" s="5" t="str">
        <f>IFERROR(__xludf.DUMMYFUNCTION("IFS(
E2104=""Exclude"",""Exclude"",
AND(
COUNTIF(
IMPORTRANGE(""https://docs.google.com/spreadsheets/d/1kGrh75X1cNR1D7_FcY9zMnHP8iPO4M5RCRjy6nZY0TY/edit#gid=0"",""Table 1: Study characteristics!B4:B171""),A2104)&gt;0,
COUNTIF(Studies!$A$2:$A$85,FILTER(IMPORT"&amp;"RANGE(""https://docs.google.com/spreadsheets/d/1kGrh75X1cNR1D7_FcY9zMnHP8iPO4M5RCRjy6nZY0TY/edit#gid=0"",""Table 1: Study characteristics!A4:A171""), $A2104=IMPORTRANGE(""https://docs.google.com/spreadsheets/d/1kGrh75X1cNR1D7_FcY9zMnHP8iPO4M5RCRjy6nZY0TY/"&amp;"edit#gid=0"",""Table 1: Study characteristics!B4:B171"")))&gt;0
),
""Include""
)"),"Exclude")</f>
        <v>Exclude</v>
      </c>
      <c r="G2104" s="5" t="str">
        <f>IFERROR(__xludf.DUMMYFUNCTION("IFS(
D2104=""Exclude"",
FILTER(IMPORTRANGE(""https://docs.google.com/spreadsheets/d/1BJSV3WBYJGRhQ6zExamkszQ5VutGIcaQqmbD9ZTVXMQ/edit#gid=1251630045"",""articles_with_PRISMA_reasons!AB2:AB2113""), $A2104=IMPORTRANGE(""https://docs.google.com/spreadsheets/"&amp;"d/1BJSV3WBYJGRhQ6zExamkszQ5VutGIcaQqmbD9ZTVXMQ/edit#gid=1251630045"",""articles_with_PRISMA_reasons!B2:B2113"")),
E2104=""Exclude"",
FILTER(IMPORTRANGE(""https://docs.google.com/spreadsheets/d/1qpEmbGH0JjaJbUdp21-y2cPbobDbMjr09BbtdKROZWc/edit#gid=14448656"&amp;"54"",""articles_with_PRISMA_reasons!Z2:Z2113""), $A2104=IMPORTRANGE(""https://docs.google.com/spreadsheets/d/1qpEmbGH0JjaJbUdp21-y2cPbobDbMjr09BbtdKROZWc/edit#gid=1444865654"",""articles_with_PRISMA_reasons!B2:B2113"")),F2104
=""Include"",FILTER(IMPORTRAN"&amp;"GE(""https://docs.google.com/spreadsheets/d/1kGrh75X1cNR1D7_FcY9zMnHP8iPO4M5RCRjy6nZY0TY/edit#gid=0"",""Table 1: Study characteristics!A4:A171""), $A2104=IMPORTRANGE(""https://docs.google.com/spreadsheets/d/1kGrh75X1cNR1D7_FcY9zMnHP8iPO4M5RCRjy6nZY0TY/edi"&amp;"t#gid=0"",""Table 1: Study characteristics!B4:B171""))
)"),"Duplicate")</f>
        <v>Duplicate</v>
      </c>
    </row>
    <row r="2105">
      <c r="A2105" s="4" t="str">
        <f>IFERROR(__xludf.DUMMYFUNCTION("""COMPUTED_VALUE"""),"Vocal-cord paralysis and brainstem dysfunction in children with spina bifida")</f>
        <v>Vocal-cord paralysis and brainstem dysfunction in children with spina bifida</v>
      </c>
      <c r="B2105" s="5" t="str">
        <f>IFERROR(__xludf.DUMMYFUNCTION("LEFT(FILTER(IMPORTRANGE(""https://docs.google.com/spreadsheets/d/1BJSV3WBYJGRhQ6zExamkszQ5VutGIcaQqmbD9ZTVXMQ/edit#gid=1251630045"",""articles_with_PRISMA_reasons!K2:K2113""), $A2105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$A2105=IMPORTRANGE(""https://docs.google.com/spreadsheets/d/1BJSV3WBYJGRhQ6zExamkszQ5VutGIcaQqmbD9ZTVXMQ/edit#gid=1251630045"",""articles_with_PRISMA_reasons!B2:B2113"")))-1)"),"Hesz")</f>
        <v>Hesz</v>
      </c>
      <c r="C2105" s="6">
        <f>IFERROR(__xludf.DUMMYFUNCTION("FILTER(IMPORTRANGE(""https://docs.google.com/spreadsheets/d/1BJSV3WBYJGRhQ6zExamkszQ5VutGIcaQqmbD9ZTVXMQ/edit#gid=1251630045"",""articles_with_PRISMA_reasons!C2:C2113""), $A2105=IMPORTRANGE(""https://docs.google.com/spreadsheets/d/1BJSV3WBYJGRhQ6zExamkszQ"&amp;"5VutGIcaQqmbD9ZTVXMQ/edit#gid=1251630045"",""articles_with_PRISMA_reasons!B2:B2113""))"),1985.0)</f>
        <v>1985</v>
      </c>
      <c r="D2105" s="5" t="str">
        <f>IFERROR(__xludf.DUMMYFUNCTION("IFS(AND(
FILTER(IMPORTRANGE(""https://docs.google.com/spreadsheets/d/1BJSV3WBYJGRhQ6zExamkszQ5VutGIcaQqmbD9ZTVXMQ/edit#gid=1251630045"",""articles_with_PRISMA_reasons!Y2:Y2113""), $A2105=IMPORTRANGE(""https://docs.google.com/spreadsheets/d/1BJSV3WBYJGRhQ6"&amp;"zExamkszQ5VutGIcaQqmbD9ZTVXMQ/edit#gid=1251630045"",""articles_with_PRISMA_reasons!B2:B2113""))&gt;=2,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$A2105=IMPORTRANGE(""https://docs.google.com/spreadsheets/d/1BJSV3WBYJGRhQ6zExamkszQ5VutGIcaQqmbD9ZTVXMQ/edit#gid=1251630045"",""articles_with_PRISMA_reasons!B2:B2113""))&lt;2),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$A2105=IMPORTRANGE(""https://docs.google.com/spreadsheets/d/1BJSV3WBYJGRhQ6zExamkszQ5VutGIcaQqmbD9ZTVXMQ/edit#gid=1251630045"",""a"&amp;"rticles_with_PRISMA_reasons!B2:B2113""))&lt;2,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$A2105=IMPORTRANGE(""https://docs.google"&amp;".com/spreadsheets/d/1BJSV3WBYJGRhQ6zExamkszQ5VutGIcaQqmbD9ZTVXMQ/edit#gid=1251630045"",""articles_with_PRISMA_reasons!B2:B2113""))&gt;=2),
""Exclude""
)"),"Exclude")</f>
        <v>Exclude</v>
      </c>
      <c r="E2105" s="5" t="str">
        <f>IFERROR(__xludf.DUMMYFUNCTION("IFS(
D2105=""Exclude"",""Exclude"",
AND(
FILTER(IMPORTRANGE(""https://docs.google.com/spreadsheets/d/1qpEmbGH0JjaJbUdp21-y2cPbobDbMjr09BbtdKROZWc/edit#gid=1444865654"",""articles_with_PRISMA_reasons!W2:W2113""), $A2105=IMPORTRANGE(""https://docs.google.co"&amp;"m/spreadsheets/d/1qpEmbGH0JjaJbUdp21-y2cPbobDbMjr09BbtdKROZWc/edit#gid=1444865654"",""articles_with_PRISMA_reasons!B2:B2113""))&gt;=2,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$A2105=IMPORTRANGE(""https://docs.google.com/spreadsheets/d/1qpEmbGH0JjaJbUdp21-y2cPbobDbMjr09BbtdKROZWc/edit#gid=1444865654"",""articles_with_PRISMA_reasons!B2:B2113""))&lt;2),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$A2105=IMPORTRANGE(""https://docs.google.com/spreadsheets/d/1qpEmbGH0JjaJbUdp21-y2cPbobDbMjr09Bbtd"&amp;"KROZWc/edit#gid=1444865654"",""articles_with_PRISMA_reasons!B2:B2113""))&lt;2,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$A2105=I"&amp;"MPORTRANGE(""https://docs.google.com/spreadsheets/d/1qpEmbGH0JjaJbUdp21-y2cPbobDbMjr09BbtdKROZWc/edit#gid=1444865654"",""articles_with_PRISMA_reasons!B2:B2113""))&gt;=2),
""Exclude""
)"),"Exclude")</f>
        <v>Exclude</v>
      </c>
      <c r="F2105" s="5" t="str">
        <f>IFERROR(__xludf.DUMMYFUNCTION("IFS(
E2105=""Exclude"",""Exclude"",
AND(
COUNTIF(
IMPORTRANGE(""https://docs.google.com/spreadsheets/d/1kGrh75X1cNR1D7_FcY9zMnHP8iPO4M5RCRjy6nZY0TY/edit#gid=0"",""Table 1: Study characteristics!B4:B171""),A2105)&gt;0,
COUNTIF(Studies!$A$2:$A$85,FILTER(IMPORT"&amp;"RANGE(""https://docs.google.com/spreadsheets/d/1kGrh75X1cNR1D7_FcY9zMnHP8iPO4M5RCRjy6nZY0TY/edit#gid=0"",""Table 1: Study characteristics!A4:A171""), $A2105=IMPORTRANGE(""https://docs.google.com/spreadsheets/d/1kGrh75X1cNR1D7_FcY9zMnHP8iPO4M5RCRjy6nZY0TY/"&amp;"edit#gid=0"",""Table 1: Study characteristics!B4:B171"")))&gt;0
),
""Include""
)"),"Exclude")</f>
        <v>Exclude</v>
      </c>
      <c r="G2105" s="5" t="str">
        <f>IFERROR(__xludf.DUMMYFUNCTION("IFS(
D2105=""Exclude"",
FILTER(IMPORTRANGE(""https://docs.google.com/spreadsheets/d/1BJSV3WBYJGRhQ6zExamkszQ5VutGIcaQqmbD9ZTVXMQ/edit#gid=1251630045"",""articles_with_PRISMA_reasons!AB2:AB2113""), $A2105=IMPORTRANGE(""https://docs.google.com/spreadsheets/"&amp;"d/1BJSV3WBYJGRhQ6zExamkszQ5VutGIcaQqmbD9ZTVXMQ/edit#gid=1251630045"",""articles_with_PRISMA_reasons!B2:B2113"")),
E2105=""Exclude"",
FILTER(IMPORTRANGE(""https://docs.google.com/spreadsheets/d/1qpEmbGH0JjaJbUdp21-y2cPbobDbMjr09BbtdKROZWc/edit#gid=14448656"&amp;"54"",""articles_with_PRISMA_reasons!Z2:Z2113""), $A2105=IMPORTRANGE(""https://docs.google.com/spreadsheets/d/1qpEmbGH0JjaJbUdp21-y2cPbobDbMjr09BbtdKROZWc/edit#gid=1444865654"",""articles_with_PRISMA_reasons!B2:B2113"")),F2105
=""Include"",FILTER(IMPORTRAN"&amp;"GE(""https://docs.google.com/spreadsheets/d/1kGrh75X1cNR1D7_FcY9zMnHP8iPO4M5RCRjy6nZY0TY/edit#gid=0"",""Table 1: Study characteristics!A4:A171""), $A2105=IMPORTRANGE(""https://docs.google.com/spreadsheets/d/1kGrh75X1cNR1D7_FcY9zMnHP8iPO4M5RCRjy6nZY0TY/edi"&amp;"t#gid=0"",""Table 1: Study characteristics!B4:B171""))
)"),"wrong study design")</f>
        <v>wrong study design</v>
      </c>
    </row>
    <row r="2106">
      <c r="A2106" s="4" t="str">
        <f>IFERROR(__xludf.DUMMYFUNCTION("""COMPUTED_VALUE"""),"Volumetric brain analysis in neurosurgery: Part 2. Brain and CSF volumes discriminate neurocognitive outcomes in hydrocephalus")</f>
        <v>Volumetric brain analysis in neurosurgery: Part 2. Brain and CSF volumes discriminate neurocognitive outcomes in hydrocephalus</v>
      </c>
      <c r="B2106" s="5" t="str">
        <f>IFERROR(__xludf.DUMMYFUNCTION("LEFT(FILTER(IMPORTRANGE(""https://docs.google.com/spreadsheets/d/1BJSV3WBYJGRhQ6zExamkszQ5VutGIcaQqmbD9ZTVXMQ/edit#gid=1251630045"",""articles_with_PRISMA_reasons!K2:K2113""), $A2106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$A2106=IMPORTRANGE(""https://docs.google.com/spreadsheets/d/1BJSV3WBYJGRhQ6zExamkszQ5VutGIcaQqmbD9ZTVXMQ/edit#gid=1251630045"",""articles_with_PRISMA_reasons!B2:B2113"")))-1)"),"M and ell")</f>
        <v>M and ell</v>
      </c>
      <c r="C2106" s="6" t="str">
        <f>IFERROR(__xludf.DUMMYFUNCTION("FILTER(IMPORTRANGE(""https://docs.google.com/spreadsheets/d/1BJSV3WBYJGRhQ6zExamkszQ5VutGIcaQqmbD9ZTVXMQ/edit#gid=1251630045"",""articles_with_PRISMA_reasons!C2:C2113""), $A2106=IMPORTRANGE(""https://docs.google.com/spreadsheets/d/1BJSV3WBYJGRhQ6zExamkszQ"&amp;"5VutGIcaQqmbD9ZTVXMQ/edit#gid=1251630045"",""articles_with_PRISMA_reasons!B2:B2113""))"),"Feb")</f>
        <v>Feb</v>
      </c>
      <c r="D2106" s="5" t="str">
        <f>IFERROR(__xludf.DUMMYFUNCTION("IFS(AND(
FILTER(IMPORTRANGE(""https://docs.google.com/spreadsheets/d/1BJSV3WBYJGRhQ6zExamkszQ5VutGIcaQqmbD9ZTVXMQ/edit#gid=1251630045"",""articles_with_PRISMA_reasons!Y2:Y2113""), $A2106=IMPORTRANGE(""https://docs.google.com/spreadsheets/d/1BJSV3WBYJGRhQ6"&amp;"zExamkszQ5VutGIcaQqmbD9ZTVXMQ/edit#gid=1251630045"",""articles_with_PRISMA_reasons!B2:B2113""))&gt;=2,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$A2106=IMPORTRANGE(""https://docs.google.com/spreadsheets/d/1BJSV3WBYJGRhQ6zExamkszQ5VutGIcaQqmbD9ZTVXMQ/edit#gid=1251630045"",""articles_with_PRISMA_reasons!B2:B2113""))&lt;2),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$A2106=IMPORTRANGE(""https://docs.google.com/spreadsheets/d/1BJSV3WBYJGRhQ6zExamkszQ5VutGIcaQqmbD9ZTVXMQ/edit#gid=1251630045"",""a"&amp;"rticles_with_PRISMA_reasons!B2:B2113""))&lt;2,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$A2106=IMPORTRANGE(""https://docs.google"&amp;".com/spreadsheets/d/1BJSV3WBYJGRhQ6zExamkszQ5VutGIcaQqmbD9ZTVXMQ/edit#gid=1251630045"",""articles_with_PRISMA_reasons!B2:B2113""))&gt;=2),
""Exclude""
)"),"Include")</f>
        <v>Include</v>
      </c>
      <c r="E2106" s="5" t="str">
        <f>IFERROR(__xludf.DUMMYFUNCTION("IFS(
D2106=""Exclude"",""Exclude"",
AND(
FILTER(IMPORTRANGE(""https://docs.google.com/spreadsheets/d/1qpEmbGH0JjaJbUdp21-y2cPbobDbMjr09BbtdKROZWc/edit#gid=1444865654"",""articles_with_PRISMA_reasons!W2:W2113""), $A2106=IMPORTRANGE(""https://docs.google.co"&amp;"m/spreadsheets/d/1qpEmbGH0JjaJbUdp21-y2cPbobDbMjr09BbtdKROZWc/edit#gid=1444865654"",""articles_with_PRISMA_reasons!B2:B2113""))&gt;=2,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$A2106=IMPORTRANGE(""https://docs.google.com/spreadsheets/d/1qpEmbGH0JjaJbUdp21-y2cPbobDbMjr09BbtdKROZWc/edit#gid=1444865654"",""articles_with_PRISMA_reasons!B2:B2113""))&lt;2),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$A2106=IMPORTRANGE(""https://docs.google.com/spreadsheets/d/1qpEmbGH0JjaJbUdp21-y2cPbobDbMjr09Bbtd"&amp;"KROZWc/edit#gid=1444865654"",""articles_with_PRISMA_reasons!B2:B2113""))&lt;2,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$A2106=I"&amp;"MPORTRANGE(""https://docs.google.com/spreadsheets/d/1qpEmbGH0JjaJbUdp21-y2cPbobDbMjr09BbtdKROZWc/edit#gid=1444865654"",""articles_with_PRISMA_reasons!B2:B2113""))&gt;=2),
""Exclude""
)"),"Exclude")</f>
        <v>Exclude</v>
      </c>
      <c r="F2106" s="5" t="str">
        <f>IFERROR(__xludf.DUMMYFUNCTION("IFS(
E2106=""Exclude"",""Exclude"",
AND(
COUNTIF(
IMPORTRANGE(""https://docs.google.com/spreadsheets/d/1kGrh75X1cNR1D7_FcY9zMnHP8iPO4M5RCRjy6nZY0TY/edit#gid=0"",""Table 1: Study characteristics!B4:B171""),A2106)&gt;0,
COUNTIF(Studies!$A$2:$A$85,FILTER(IMPORT"&amp;"RANGE(""https://docs.google.com/spreadsheets/d/1kGrh75X1cNR1D7_FcY9zMnHP8iPO4M5RCRjy6nZY0TY/edit#gid=0"",""Table 1: Study characteristics!A4:A171""), $A2106=IMPORTRANGE(""https://docs.google.com/spreadsheets/d/1kGrh75X1cNR1D7_FcY9zMnHP8iPO4M5RCRjy6nZY0TY/"&amp;"edit#gid=0"",""Table 1: Study characteristics!B4:B171"")))&gt;0
),
""Include""
)"),"Exclude")</f>
        <v>Exclude</v>
      </c>
      <c r="G2106" s="5" t="str">
        <f>IFERROR(__xludf.DUMMYFUNCTION("IFS(
D2106=""Exclude"",
FILTER(IMPORTRANGE(""https://docs.google.com/spreadsheets/d/1BJSV3WBYJGRhQ6zExamkszQ5VutGIcaQqmbD9ZTVXMQ/edit#gid=1251630045"",""articles_with_PRISMA_reasons!AB2:AB2113""), $A2106=IMPORTRANGE(""https://docs.google.com/spreadsheets/"&amp;"d/1BJSV3WBYJGRhQ6zExamkszQ5VutGIcaQqmbD9ZTVXMQ/edit#gid=1251630045"",""articles_with_PRISMA_reasons!B2:B2113"")),
E2106=""Exclude"",
FILTER(IMPORTRANGE(""https://docs.google.com/spreadsheets/d/1qpEmbGH0JjaJbUdp21-y2cPbobDbMjr09BbtdKROZWc/edit#gid=14448656"&amp;"54"",""articles_with_PRISMA_reasons!Z2:Z2113""), $A2106=IMPORTRANGE(""https://docs.google.com/spreadsheets/d/1qpEmbGH0JjaJbUdp21-y2cPbobDbMjr09BbtdKROZWc/edit#gid=1444865654"",""articles_with_PRISMA_reasons!B2:B2113"")),F2106
=""Include"",FILTER(IMPORTRAN"&amp;"GE(""https://docs.google.com/spreadsheets/d/1kGrh75X1cNR1D7_FcY9zMnHP8iPO4M5RCRjy6nZY0TY/edit#gid=0"",""Table 1: Study characteristics!A4:A171""), $A2106=IMPORTRANGE(""https://docs.google.com/spreadsheets/d/1kGrh75X1cNR1D7_FcY9zMnHP8iPO4M5RCRjy6nZY0TY/edi"&amp;"t#gid=0"",""Table 1: Study characteristics!B4:B171""))
)"),"wrong outcome")</f>
        <v>wrong outcome</v>
      </c>
    </row>
    <row r="2107">
      <c r="A2107" s="4" t="str">
        <f>IFERROR(__xludf.DUMMYFUNCTION("""COMPUTED_VALUE"""),"What do you know about...congenital malformations?")</f>
        <v>What do you know about...congenital malformations?</v>
      </c>
      <c r="B2107" s="5" t="str">
        <f>IFERROR(__xludf.DUMMYFUNCTION("LEFT(FILTER(IMPORTRANGE(""https://docs.google.com/spreadsheets/d/1BJSV3WBYJGRhQ6zExamkszQ5VutGIcaQqmbD9ZTVXMQ/edit#gid=1251630045"",""articles_with_PRISMA_reasons!K2:K2113""), $A2107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$A2107=IMPORTRANGE(""https://docs.google.com/spreadsheets/d/1BJSV3WBYJGRhQ6zExamkszQ5VutGIcaQqmbD9ZTVXMQ/edit#gid=1251630045"",""articles_with_PRISMA_reasons!B2:B2113"")))-1)"),"Querol")</f>
        <v>Querol</v>
      </c>
      <c r="C2107" s="6">
        <f>IFERROR(__xludf.DUMMYFUNCTION("FILTER(IMPORTRANGE(""https://docs.google.com/spreadsheets/d/1BJSV3WBYJGRhQ6zExamkszQ5VutGIcaQqmbD9ZTVXMQ/edit#gid=1251630045"",""articles_with_PRISMA_reasons!C2:C2113""), $A2107=IMPORTRANGE(""https://docs.google.com/spreadsheets/d/1BJSV3WBYJGRhQ6zExamkszQ"&amp;"5VutGIcaQqmbD9ZTVXMQ/edit#gid=1251630045"",""articles_with_PRISMA_reasons!B2:B2113""))"),2008.0)</f>
        <v>2008</v>
      </c>
      <c r="D2107" s="5" t="str">
        <f>IFERROR(__xludf.DUMMYFUNCTION("IFS(AND(
FILTER(IMPORTRANGE(""https://docs.google.com/spreadsheets/d/1BJSV3WBYJGRhQ6zExamkszQ5VutGIcaQqmbD9ZTVXMQ/edit#gid=1251630045"",""articles_with_PRISMA_reasons!Y2:Y2113""), $A2107=IMPORTRANGE(""https://docs.google.com/spreadsheets/d/1BJSV3WBYJGRhQ6"&amp;"zExamkszQ5VutGIcaQqmbD9ZTVXMQ/edit#gid=1251630045"",""articles_with_PRISMA_reasons!B2:B2113""))&gt;=2,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$A2107=IMPORTRANGE(""https://docs.google.com/spreadsheets/d/1BJSV3WBYJGRhQ6zExamkszQ5VutGIcaQqmbD9ZTVXMQ/edit#gid=1251630045"",""articles_with_PRISMA_reasons!B2:B2113""))&lt;2),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$A2107=IMPORTRANGE(""https://docs.google.com/spreadsheets/d/1BJSV3WBYJGRhQ6zExamkszQ5VutGIcaQqmbD9ZTVXMQ/edit#gid=1251630045"",""a"&amp;"rticles_with_PRISMA_reasons!B2:B2113""))&lt;2,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$A2107=IMPORTRANGE(""https://docs.google"&amp;".com/spreadsheets/d/1BJSV3WBYJGRhQ6zExamkszQ5VutGIcaQqmbD9ZTVXMQ/edit#gid=1251630045"",""articles_with_PRISMA_reasons!B2:B2113""))&gt;=2),
""Exclude""
)"),"Exclude")</f>
        <v>Exclude</v>
      </c>
      <c r="E2107" s="5" t="str">
        <f>IFERROR(__xludf.DUMMYFUNCTION("IFS(
D2107=""Exclude"",""Exclude"",
AND(
FILTER(IMPORTRANGE(""https://docs.google.com/spreadsheets/d/1qpEmbGH0JjaJbUdp21-y2cPbobDbMjr09BbtdKROZWc/edit#gid=1444865654"",""articles_with_PRISMA_reasons!W2:W2113""), $A2107=IMPORTRANGE(""https://docs.google.co"&amp;"m/spreadsheets/d/1qpEmbGH0JjaJbUdp21-y2cPbobDbMjr09BbtdKROZWc/edit#gid=1444865654"",""articles_with_PRISMA_reasons!B2:B2113""))&gt;=2,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$A2107=IMPORTRANGE(""https://docs.google.com/spreadsheets/d/1qpEmbGH0JjaJbUdp21-y2cPbobDbMjr09BbtdKROZWc/edit#gid=1444865654"",""articles_with_PRISMA_reasons!B2:B2113""))&lt;2),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$A2107=IMPORTRANGE(""https://docs.google.com/spreadsheets/d/1qpEmbGH0JjaJbUdp21-y2cPbobDbMjr09Bbtd"&amp;"KROZWc/edit#gid=1444865654"",""articles_with_PRISMA_reasons!B2:B2113""))&lt;2,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$A2107=I"&amp;"MPORTRANGE(""https://docs.google.com/spreadsheets/d/1qpEmbGH0JjaJbUdp21-y2cPbobDbMjr09BbtdKROZWc/edit#gid=1444865654"",""articles_with_PRISMA_reasons!B2:B2113""))&gt;=2),
""Exclude""
)"),"Exclude")</f>
        <v>Exclude</v>
      </c>
      <c r="F2107" s="5" t="str">
        <f>IFERROR(__xludf.DUMMYFUNCTION("IFS(
E2107=""Exclude"",""Exclude"",
AND(
COUNTIF(
IMPORTRANGE(""https://docs.google.com/spreadsheets/d/1kGrh75X1cNR1D7_FcY9zMnHP8iPO4M5RCRjy6nZY0TY/edit#gid=0"",""Table 1: Study characteristics!B4:B171""),A2107)&gt;0,
COUNTIF(Studies!$A$2:$A$85,FILTER(IMPORT"&amp;"RANGE(""https://docs.google.com/spreadsheets/d/1kGrh75X1cNR1D7_FcY9zMnHP8iPO4M5RCRjy6nZY0TY/edit#gid=0"",""Table 1: Study characteristics!A4:A171""), $A2107=IMPORTRANGE(""https://docs.google.com/spreadsheets/d/1kGrh75X1cNR1D7_FcY9zMnHP8iPO4M5RCRjy6nZY0TY/"&amp;"edit#gid=0"",""Table 1: Study characteristics!B4:B171"")))&gt;0
),
""Include""
)"),"Exclude")</f>
        <v>Exclude</v>
      </c>
      <c r="G2107" s="5" t="str">
        <f>IFERROR(__xludf.DUMMYFUNCTION("IFS(
D2107=""Exclude"",
FILTER(IMPORTRANGE(""https://docs.google.com/spreadsheets/d/1BJSV3WBYJGRhQ6zExamkszQ5VutGIcaQqmbD9ZTVXMQ/edit#gid=1251630045"",""articles_with_PRISMA_reasons!AB2:AB2113""), $A2107=IMPORTRANGE(""https://docs.google.com/spreadsheets/"&amp;"d/1BJSV3WBYJGRhQ6zExamkszQ5VutGIcaQqmbD9ZTVXMQ/edit#gid=1251630045"",""articles_with_PRISMA_reasons!B2:B2113"")),
E2107=""Exclude"",
FILTER(IMPORTRANGE(""https://docs.google.com/spreadsheets/d/1qpEmbGH0JjaJbUdp21-y2cPbobDbMjr09BbtdKROZWc/edit#gid=14448656"&amp;"54"",""articles_with_PRISMA_reasons!Z2:Z2113""), $A2107=IMPORTRANGE(""https://docs.google.com/spreadsheets/d/1qpEmbGH0JjaJbUdp21-y2cPbobDbMjr09BbtdKROZWc/edit#gid=1444865654"",""articles_with_PRISMA_reasons!B2:B2113"")),F2107
=""Include"",FILTER(IMPORTRAN"&amp;"GE(""https://docs.google.com/spreadsheets/d/1kGrh75X1cNR1D7_FcY9zMnHP8iPO4M5RCRjy6nZY0TY/edit#gid=0"",""Table 1: Study characteristics!A4:A171""), $A2107=IMPORTRANGE(""https://docs.google.com/spreadsheets/d/1kGrh75X1cNR1D7_FcY9zMnHP8iPO4M5RCRjy6nZY0TY/edi"&amp;"t#gid=0"",""Table 1: Study characteristics!B4:B171""))
)"),"wrong study design")</f>
        <v>wrong study design</v>
      </c>
    </row>
    <row r="2108">
      <c r="A2108" s="4" t="str">
        <f>IFERROR(__xludf.DUMMYFUNCTION("""COMPUTED_VALUE"""),"When is a shunt no longer necessary? An investigation of 300 patients with hydrocephalus and myelomeningocele: 11-22 year follow up")</f>
        <v>When is a shunt no longer necessary? An investigation of 300 patients with hydrocephalus and myelomeningocele: 11-22 year follow up</v>
      </c>
      <c r="B2108" s="5" t="str">
        <f>IFERROR(__xludf.DUMMYFUNCTION("LEFT(FILTER(IMPORTRANGE(""https://docs.google.com/spreadsheets/d/1BJSV3WBYJGRhQ6zExamkszQ5VutGIcaQqmbD9ZTVXMQ/edit#gid=1251630045"",""articles_with_PRISMA_reasons!K2:K2113""), $A2108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$A2108=IMPORTRANGE(""https://docs.google.com/spreadsheets/d/1BJSV3WBYJGRhQ6zExamkszQ5VutGIcaQqmbD9ZTVXMQ/edit#gid=1251630045"",""articles_with_PRISMA_reasons!B2:B2113"")))-1)"),"Lorber")</f>
        <v>Lorber</v>
      </c>
      <c r="C2108" s="6">
        <f>IFERROR(__xludf.DUMMYFUNCTION("FILTER(IMPORTRANGE(""https://docs.google.com/spreadsheets/d/1BJSV3WBYJGRhQ6zExamkszQ5VutGIcaQqmbD9ZTVXMQ/edit#gid=1251630045"",""articles_with_PRISMA_reasons!C2:C2113""), $A2108=IMPORTRANGE(""https://docs.google.com/spreadsheets/d/1BJSV3WBYJGRhQ6zExamkszQ"&amp;"5VutGIcaQqmbD9ZTVXMQ/edit#gid=1251630045"",""articles_with_PRISMA_reasons!B2:B2113""))"),1981.0)</f>
        <v>1981</v>
      </c>
      <c r="D2108" s="5" t="str">
        <f>IFERROR(__xludf.DUMMYFUNCTION("IFS(AND(
FILTER(IMPORTRANGE(""https://docs.google.com/spreadsheets/d/1BJSV3WBYJGRhQ6zExamkszQ5VutGIcaQqmbD9ZTVXMQ/edit#gid=1251630045"",""articles_with_PRISMA_reasons!Y2:Y2113""), $A2108=IMPORTRANGE(""https://docs.google.com/spreadsheets/d/1BJSV3WBYJGRhQ6"&amp;"zExamkszQ5VutGIcaQqmbD9ZTVXMQ/edit#gid=1251630045"",""articles_with_PRISMA_reasons!B2:B2113""))&gt;=2,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$A2108=IMPORTRANGE(""https://docs.google.com/spreadsheets/d/1BJSV3WBYJGRhQ6zExamkszQ5VutGIcaQqmbD9ZTVXMQ/edit#gid=1251630045"",""articles_with_PRISMA_reasons!B2:B2113""))&lt;2),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$A2108=IMPORTRANGE(""https://docs.google.com/spreadsheets/d/1BJSV3WBYJGRhQ6zExamkszQ5VutGIcaQqmbD9ZTVXMQ/edit#gid=1251630045"",""a"&amp;"rticles_with_PRISMA_reasons!B2:B2113""))&lt;2,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$A2108=IMPORTRANGE(""https://docs.google"&amp;".com/spreadsheets/d/1BJSV3WBYJGRhQ6zExamkszQ5VutGIcaQqmbD9ZTVXMQ/edit#gid=1251630045"",""articles_with_PRISMA_reasons!B2:B2113""))&gt;=2),
""Exclude""
)"),"Exclude")</f>
        <v>Exclude</v>
      </c>
      <c r="E2108" s="5" t="str">
        <f>IFERROR(__xludf.DUMMYFUNCTION("IFS(
D2108=""Exclude"",""Exclude"",
AND(
FILTER(IMPORTRANGE(""https://docs.google.com/spreadsheets/d/1qpEmbGH0JjaJbUdp21-y2cPbobDbMjr09BbtdKROZWc/edit#gid=1444865654"",""articles_with_PRISMA_reasons!W2:W2113""), $A2108=IMPORTRANGE(""https://docs.google.co"&amp;"m/spreadsheets/d/1qpEmbGH0JjaJbUdp21-y2cPbobDbMjr09BbtdKROZWc/edit#gid=1444865654"",""articles_with_PRISMA_reasons!B2:B2113""))&gt;=2,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$A2108=IMPORTRANGE(""https://docs.google.com/spreadsheets/d/1qpEmbGH0JjaJbUdp21-y2cPbobDbMjr09BbtdKROZWc/edit#gid=1444865654"",""articles_with_PRISMA_reasons!B2:B2113""))&lt;2),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$A2108=IMPORTRANGE(""https://docs.google.com/spreadsheets/d/1qpEmbGH0JjaJbUdp21-y2cPbobDbMjr09Bbtd"&amp;"KROZWc/edit#gid=1444865654"",""articles_with_PRISMA_reasons!B2:B2113""))&lt;2,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$A2108=I"&amp;"MPORTRANGE(""https://docs.google.com/spreadsheets/d/1qpEmbGH0JjaJbUdp21-y2cPbobDbMjr09BbtdKROZWc/edit#gid=1444865654"",""articles_with_PRISMA_reasons!B2:B2113""))&gt;=2),
""Exclude""
)"),"Exclude")</f>
        <v>Exclude</v>
      </c>
      <c r="F2108" s="5" t="str">
        <f>IFERROR(__xludf.DUMMYFUNCTION("IFS(
E2108=""Exclude"",""Exclude"",
AND(
COUNTIF(
IMPORTRANGE(""https://docs.google.com/spreadsheets/d/1kGrh75X1cNR1D7_FcY9zMnHP8iPO4M5RCRjy6nZY0TY/edit#gid=0"",""Table 1: Study characteristics!B4:B171""),A2108)&gt;0,
COUNTIF(Studies!$A$2:$A$85,FILTER(IMPORT"&amp;"RANGE(""https://docs.google.com/spreadsheets/d/1kGrh75X1cNR1D7_FcY9zMnHP8iPO4M5RCRjy6nZY0TY/edit#gid=0"",""Table 1: Study characteristics!A4:A171""), $A2108=IMPORTRANGE(""https://docs.google.com/spreadsheets/d/1kGrh75X1cNR1D7_FcY9zMnHP8iPO4M5RCRjy6nZY0TY/"&amp;"edit#gid=0"",""Table 1: Study characteristics!B4:B171"")))&gt;0
),
""Include""
)"),"Exclude")</f>
        <v>Exclude</v>
      </c>
      <c r="G2108" s="5" t="str">
        <f>IFERROR(__xludf.DUMMYFUNCTION("IFS(
D2108=""Exclude"",
FILTER(IMPORTRANGE(""https://docs.google.com/spreadsheets/d/1BJSV3WBYJGRhQ6zExamkszQ5VutGIcaQqmbD9ZTVXMQ/edit#gid=1251630045"",""articles_with_PRISMA_reasons!AB2:AB2113""), $A2108=IMPORTRANGE(""https://docs.google.com/spreadsheets/"&amp;"d/1BJSV3WBYJGRhQ6zExamkszQ5VutGIcaQqmbD9ZTVXMQ/edit#gid=1251630045"",""articles_with_PRISMA_reasons!B2:B2113"")),
E2108=""Exclude"",
FILTER(IMPORTRANGE(""https://docs.google.com/spreadsheets/d/1qpEmbGH0JjaJbUdp21-y2cPbobDbMjr09BbtdKROZWc/edit#gid=14448656"&amp;"54"",""articles_with_PRISMA_reasons!Z2:Z2113""), $A2108=IMPORTRANGE(""https://docs.google.com/spreadsheets/d/1qpEmbGH0JjaJbUdp21-y2cPbobDbMjr09BbtdKROZWc/edit#gid=1444865654"",""articles_with_PRISMA_reasons!B2:B2113"")),F2108
=""Include"",FILTER(IMPORTRAN"&amp;"GE(""https://docs.google.com/spreadsheets/d/1kGrh75X1cNR1D7_FcY9zMnHP8iPO4M5RCRjy6nZY0TY/edit#gid=0"",""Table 1: Study characteristics!A4:A171""), $A2108=IMPORTRANGE(""https://docs.google.com/spreadsheets/d/1kGrh75X1cNR1D7_FcY9zMnHP8iPO4M5RCRjy6nZY0TY/edi"&amp;"t#gid=0"",""Table 1: Study characteristics!B4:B171""))
)"),"wrong study design")</f>
        <v>wrong study design</v>
      </c>
    </row>
    <row r="2109">
      <c r="A2109" s="4" t="str">
        <f>IFERROR(__xludf.DUMMYFUNCTION("""COMPUTED_VALUE"""),"When should ventriculoperitoneal shunt placement be performed in cases with myelomeningocele and hydrocephalus?")</f>
        <v>When should ventriculoperitoneal shunt placement be performed in cases with myelomeningocele and hydrocephalus?</v>
      </c>
      <c r="B2109" s="5" t="str">
        <f>IFERROR(__xludf.DUMMYFUNCTION("LEFT(FILTER(IMPORTRANGE(""https://docs.google.com/spreadsheets/d/1BJSV3WBYJGRhQ6zExamkszQ5VutGIcaQqmbD9ZTVXMQ/edit#gid=1251630045"",""articles_with_PRISMA_reasons!K2:K2113""), $A2109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$A2109=IMPORTRANGE(""https://docs.google.com/spreadsheets/d/1BJSV3WBYJGRhQ6zExamkszQ5VutGIcaQqmbD9ZTVXMQ/edit#gid=1251630045"",""articles_with_PRISMA_reasons!B2:B2113"")))-1)"),"Oktem")</f>
        <v>Oktem</v>
      </c>
      <c r="C2109" s="6" t="str">
        <f>IFERROR(__xludf.DUMMYFUNCTION("FILTER(IMPORTRANGE(""https://docs.google.com/spreadsheets/d/1BJSV3WBYJGRhQ6zExamkszQ5VutGIcaQqmbD9ZTVXMQ/edit#gid=1251630045"",""articles_with_PRISMA_reasons!C2:C2113""), $A2109=IMPORTRANGE(""https://docs.google.com/spreadsheets/d/1BJSV3WBYJGRhQ6zExamkszQ"&amp;"5VutGIcaQqmbD9ZTVXMQ/edit#gid=1251630045"",""articles_with_PRISMA_reasons!B2:B2113""))"),"Oct")</f>
        <v>Oct</v>
      </c>
      <c r="D2109" s="5" t="str">
        <f>IFERROR(__xludf.DUMMYFUNCTION("IFS(AND(
FILTER(IMPORTRANGE(""https://docs.google.com/spreadsheets/d/1BJSV3WBYJGRhQ6zExamkszQ5VutGIcaQqmbD9ZTVXMQ/edit#gid=1251630045"",""articles_with_PRISMA_reasons!Y2:Y2113""), $A2109=IMPORTRANGE(""https://docs.google.com/spreadsheets/d/1BJSV3WBYJGRhQ6"&amp;"zExamkszQ5VutGIcaQqmbD9ZTVXMQ/edit#gid=1251630045"",""articles_with_PRISMA_reasons!B2:B2113""))&gt;=2,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$A2109=IMPORTRANGE(""https://docs.google.com/spreadsheets/d/1BJSV3WBYJGRhQ6zExamkszQ5VutGIcaQqmbD9ZTVXMQ/edit#gid=1251630045"",""articles_with_PRISMA_reasons!B2:B2113""))&lt;2),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$A2109=IMPORTRANGE(""https://docs.google.com/spreadsheets/d/1BJSV3WBYJGRhQ6zExamkszQ5VutGIcaQqmbD9ZTVXMQ/edit#gid=1251630045"",""a"&amp;"rticles_with_PRISMA_reasons!B2:B2113""))&lt;2,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$A2109=IMPORTRANGE(""https://docs.google"&amp;".com/spreadsheets/d/1BJSV3WBYJGRhQ6zExamkszQ5VutGIcaQqmbD9ZTVXMQ/edit#gid=1251630045"",""articles_with_PRISMA_reasons!B2:B2113""))&gt;=2),
""Exclude""
)"),"Include")</f>
        <v>Include</v>
      </c>
      <c r="E2109" s="5" t="str">
        <f>IFERROR(__xludf.DUMMYFUNCTION("IFS(
D2109=""Exclude"",""Exclude"",
AND(
FILTER(IMPORTRANGE(""https://docs.google.com/spreadsheets/d/1qpEmbGH0JjaJbUdp21-y2cPbobDbMjr09BbtdKROZWc/edit#gid=1444865654"",""articles_with_PRISMA_reasons!W2:W2113""), $A2109=IMPORTRANGE(""https://docs.google.co"&amp;"m/spreadsheets/d/1qpEmbGH0JjaJbUdp21-y2cPbobDbMjr09BbtdKROZWc/edit#gid=1444865654"",""articles_with_PRISMA_reasons!B2:B2113""))&gt;=2,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$A2109=IMPORTRANGE(""https://docs.google.com/spreadsheets/d/1qpEmbGH0JjaJbUdp21-y2cPbobDbMjr09BbtdKROZWc/edit#gid=1444865654"",""articles_with_PRISMA_reasons!B2:B2113""))&lt;2),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$A2109=IMPORTRANGE(""https://docs.google.com/spreadsheets/d/1qpEmbGH0JjaJbUdp21-y2cPbobDbMjr09Bbtd"&amp;"KROZWc/edit#gid=1444865654"",""articles_with_PRISMA_reasons!B2:B2113""))&lt;2,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$A2109=I"&amp;"MPORTRANGE(""https://docs.google.com/spreadsheets/d/1qpEmbGH0JjaJbUdp21-y2cPbobDbMjr09BbtdKROZWc/edit#gid=1444865654"",""articles_with_PRISMA_reasons!B2:B2113""))&gt;=2),
""Exclude""
)"),"Exclude")</f>
        <v>Exclude</v>
      </c>
      <c r="F2109" s="5" t="str">
        <f>IFERROR(__xludf.DUMMYFUNCTION("IFS(
E2109=""Exclude"",""Exclude"",
AND(
COUNTIF(
IMPORTRANGE(""https://docs.google.com/spreadsheets/d/1kGrh75X1cNR1D7_FcY9zMnHP8iPO4M5RCRjy6nZY0TY/edit#gid=0"",""Table 1: Study characteristics!B4:B171""),A2109)&gt;0,
COUNTIF(Studies!$A$2:$A$85,FILTER(IMPORT"&amp;"RANGE(""https://docs.google.com/spreadsheets/d/1kGrh75X1cNR1D7_FcY9zMnHP8iPO4M5RCRjy6nZY0TY/edit#gid=0"",""Table 1: Study characteristics!A4:A171""), $A2109=IMPORTRANGE(""https://docs.google.com/spreadsheets/d/1kGrh75X1cNR1D7_FcY9zMnHP8iPO4M5RCRjy6nZY0TY/"&amp;"edit#gid=0"",""Table 1: Study characteristics!B4:B171"")))&gt;0
),
""Include""
)"),"Exclude")</f>
        <v>Exclude</v>
      </c>
      <c r="G2109" s="5" t="str">
        <f>IFERROR(__xludf.DUMMYFUNCTION("IFS(
D2109=""Exclude"",
FILTER(IMPORTRANGE(""https://docs.google.com/spreadsheets/d/1BJSV3WBYJGRhQ6zExamkszQ5VutGIcaQqmbD9ZTVXMQ/edit#gid=1251630045"",""articles_with_PRISMA_reasons!AB2:AB2113""), $A2109=IMPORTRANGE(""https://docs.google.com/spreadsheets/"&amp;"d/1BJSV3WBYJGRhQ6zExamkszQ5VutGIcaQqmbD9ZTVXMQ/edit#gid=1251630045"",""articles_with_PRISMA_reasons!B2:B2113"")),
E2109=""Exclude"",
FILTER(IMPORTRANGE(""https://docs.google.com/spreadsheets/d/1qpEmbGH0JjaJbUdp21-y2cPbobDbMjr09BbtdKROZWc/edit#gid=14448656"&amp;"54"",""articles_with_PRISMA_reasons!Z2:Z2113""), $A2109=IMPORTRANGE(""https://docs.google.com/spreadsheets/d/1qpEmbGH0JjaJbUdp21-y2cPbobDbMjr09BbtdKROZWc/edit#gid=1444865654"",""articles_with_PRISMA_reasons!B2:B2113"")),F2109
=""Include"",FILTER(IMPORTRAN"&amp;"GE(""https://docs.google.com/spreadsheets/d/1kGrh75X1cNR1D7_FcY9zMnHP8iPO4M5RCRjy6nZY0TY/edit#gid=0"",""Table 1: Study characteristics!A4:A171""), $A2109=IMPORTRANGE(""https://docs.google.com/spreadsheets/d/1kGrh75X1cNR1D7_FcY9zMnHP8iPO4M5RCRjy6nZY0TY/edi"&amp;"t#gid=0"",""Table 1: Study characteristics!B4:B171""))
)"),"wrong population")</f>
        <v>wrong population</v>
      </c>
    </row>
    <row r="2110">
      <c r="A2110" s="4" t="str">
        <f>IFERROR(__xludf.DUMMYFUNCTION("""COMPUTED_VALUE"""),"White and grey matter relations to simple, choice, and cognitive reaction time in spina bifida")</f>
        <v>White and grey matter relations to simple, choice, and cognitive reaction time in spina bifida</v>
      </c>
      <c r="B2110" s="5" t="str">
        <f>IFERROR(__xludf.DUMMYFUNCTION("LEFT(FILTER(IMPORTRANGE(""https://docs.google.com/spreadsheets/d/1BJSV3WBYJGRhQ6zExamkszQ5VutGIcaQqmbD9ZTVXMQ/edit#gid=1251630045"",""articles_with_PRISMA_reasons!K2:K2113""), $A2110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$A2110=IMPORTRANGE(""https://docs.google.com/spreadsheets/d/1BJSV3WBYJGRhQ6zExamkszQ5VutGIcaQqmbD9ZTVXMQ/edit#gid=1251630045"",""articles_with_PRISMA_reasons!B2:B2113"")))-1)"),"Dennis")</f>
        <v>Dennis</v>
      </c>
      <c r="C2110" s="6">
        <f>IFERROR(__xludf.DUMMYFUNCTION("FILTER(IMPORTRANGE(""https://docs.google.com/spreadsheets/d/1BJSV3WBYJGRhQ6zExamkszQ5VutGIcaQqmbD9ZTVXMQ/edit#gid=1251630045"",""articles_with_PRISMA_reasons!C2:C2113""), $A2110=IMPORTRANGE(""https://docs.google.com/spreadsheets/d/1BJSV3WBYJGRhQ6zExamkszQ"&amp;"5VutGIcaQqmbD9ZTVXMQ/edit#gid=1251630045"",""articles_with_PRISMA_reasons!B2:B2113""))"),2016.0)</f>
        <v>2016</v>
      </c>
      <c r="D2110" s="5" t="str">
        <f>IFERROR(__xludf.DUMMYFUNCTION("IFS(AND(
FILTER(IMPORTRANGE(""https://docs.google.com/spreadsheets/d/1BJSV3WBYJGRhQ6zExamkszQ5VutGIcaQqmbD9ZTVXMQ/edit#gid=1251630045"",""articles_with_PRISMA_reasons!Y2:Y2113""), $A2110=IMPORTRANGE(""https://docs.google.com/spreadsheets/d/1BJSV3WBYJGRhQ6"&amp;"zExamkszQ5VutGIcaQqmbD9ZTVXMQ/edit#gid=1251630045"",""articles_with_PRISMA_reasons!B2:B2113""))&gt;=2,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$A2110=IMPORTRANGE(""https://docs.google.com/spreadsheets/d/1BJSV3WBYJGRhQ6zExamkszQ5VutGIcaQqmbD9ZTVXMQ/edit#gid=1251630045"",""articles_with_PRISMA_reasons!B2:B2113""))&lt;2),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$A2110=IMPORTRANGE(""https://docs.google.com/spreadsheets/d/1BJSV3WBYJGRhQ6zExamkszQ5VutGIcaQqmbD9ZTVXMQ/edit#gid=1251630045"",""a"&amp;"rticles_with_PRISMA_reasons!B2:B2113""))&lt;2,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$A2110=IMPORTRANGE(""https://docs.google"&amp;".com/spreadsheets/d/1BJSV3WBYJGRhQ6zExamkszQ5VutGIcaQqmbD9ZTVXMQ/edit#gid=1251630045"",""articles_with_PRISMA_reasons!B2:B2113""))&gt;=2),
""Exclude""
)"),"Exclude")</f>
        <v>Exclude</v>
      </c>
      <c r="E2110" s="5" t="str">
        <f>IFERROR(__xludf.DUMMYFUNCTION("IFS(
D2110=""Exclude"",""Exclude"",
AND(
FILTER(IMPORTRANGE(""https://docs.google.com/spreadsheets/d/1qpEmbGH0JjaJbUdp21-y2cPbobDbMjr09BbtdKROZWc/edit#gid=1444865654"",""articles_with_PRISMA_reasons!W2:W2113""), $A2110=IMPORTRANGE(""https://docs.google.co"&amp;"m/spreadsheets/d/1qpEmbGH0JjaJbUdp21-y2cPbobDbMjr09BbtdKROZWc/edit#gid=1444865654"",""articles_with_PRISMA_reasons!B2:B2113""))&gt;=2,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$A2110=IMPORTRANGE(""https://docs.google.com/spreadsheets/d/1qpEmbGH0JjaJbUdp21-y2cPbobDbMjr09BbtdKROZWc/edit#gid=1444865654"",""articles_with_PRISMA_reasons!B2:B2113""))&lt;2),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$A2110=IMPORTRANGE(""https://docs.google.com/spreadsheets/d/1qpEmbGH0JjaJbUdp21-y2cPbobDbMjr09Bbtd"&amp;"KROZWc/edit#gid=1444865654"",""articles_with_PRISMA_reasons!B2:B2113""))&lt;2,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$A2110=I"&amp;"MPORTRANGE(""https://docs.google.com/spreadsheets/d/1qpEmbGH0JjaJbUdp21-y2cPbobDbMjr09BbtdKROZWc/edit#gid=1444865654"",""articles_with_PRISMA_reasons!B2:B2113""))&gt;=2),
""Exclude""
)"),"Exclude")</f>
        <v>Exclude</v>
      </c>
      <c r="F2110" s="5" t="str">
        <f>IFERROR(__xludf.DUMMYFUNCTION("IFS(
E2110=""Exclude"",""Exclude"",
AND(
COUNTIF(
IMPORTRANGE(""https://docs.google.com/spreadsheets/d/1kGrh75X1cNR1D7_FcY9zMnHP8iPO4M5RCRjy6nZY0TY/edit#gid=0"",""Table 1: Study characteristics!B4:B171""),A2110)&gt;0,
COUNTIF(Studies!$A$2:$A$85,FILTER(IMPORT"&amp;"RANGE(""https://docs.google.com/spreadsheets/d/1kGrh75X1cNR1D7_FcY9zMnHP8iPO4M5RCRjy6nZY0TY/edit#gid=0"",""Table 1: Study characteristics!A4:A171""), $A2110=IMPORTRANGE(""https://docs.google.com/spreadsheets/d/1kGrh75X1cNR1D7_FcY9zMnHP8iPO4M5RCRjy6nZY0TY/"&amp;"edit#gid=0"",""Table 1: Study characteristics!B4:B171"")))&gt;0
),
""Include""
)"),"Exclude")</f>
        <v>Exclude</v>
      </c>
      <c r="G2110" s="5" t="str">
        <f>IFERROR(__xludf.DUMMYFUNCTION("IFS(
D2110=""Exclude"",
FILTER(IMPORTRANGE(""https://docs.google.com/spreadsheets/d/1BJSV3WBYJGRhQ6zExamkszQ5VutGIcaQqmbD9ZTVXMQ/edit#gid=1251630045"",""articles_with_PRISMA_reasons!AB2:AB2113""), $A2110=IMPORTRANGE(""https://docs.google.com/spreadsheets/"&amp;"d/1BJSV3WBYJGRhQ6zExamkszQ5VutGIcaQqmbD9ZTVXMQ/edit#gid=1251630045"",""articles_with_PRISMA_reasons!B2:B2113"")),
E2110=""Exclude"",
FILTER(IMPORTRANGE(""https://docs.google.com/spreadsheets/d/1qpEmbGH0JjaJbUdp21-y2cPbobDbMjr09BbtdKROZWc/edit#gid=14448656"&amp;"54"",""articles_with_PRISMA_reasons!Z2:Z2113""), $A2110=IMPORTRANGE(""https://docs.google.com/spreadsheets/d/1qpEmbGH0JjaJbUdp21-y2cPbobDbMjr09BbtdKROZWc/edit#gid=1444865654"",""articles_with_PRISMA_reasons!B2:B2113"")),F2110
=""Include"",FILTER(IMPORTRAN"&amp;"GE(""https://docs.google.com/spreadsheets/d/1kGrh75X1cNR1D7_FcY9zMnHP8iPO4M5RCRjy6nZY0TY/edit#gid=0"",""Table 1: Study characteristics!A4:A171""), $A2110=IMPORTRANGE(""https://docs.google.com/spreadsheets/d/1kGrh75X1cNR1D7_FcY9zMnHP8iPO4M5RCRjy6nZY0TY/edi"&amp;"t#gid=0"",""Table 1: Study characteristics!B4:B171""))
)"),"wrong population")</f>
        <v>wrong population</v>
      </c>
    </row>
    <row r="2111">
      <c r="A2111" s="4" t="str">
        <f>IFERROR(__xludf.DUMMYFUNCTION("""COMPUTED_VALUE"""),"White matter microstructural abnormalities in children with spina bifida myelomeningocele and hydrocephalus: A diffusion tensor tractography study of the association pathways")</f>
        <v>White matter microstructural abnormalities in children with spina bifida myelomeningocele and hydrocephalus: A diffusion tensor tractography study of the association pathways</v>
      </c>
      <c r="B2111" s="5" t="str">
        <f>IFERROR(__xludf.DUMMYFUNCTION("LEFT(FILTER(IMPORTRANGE(""https://docs.google.com/spreadsheets/d/1BJSV3WBYJGRhQ6zExamkszQ5VutGIcaQqmbD9ZTVXMQ/edit#gid=1251630045"",""articles_with_PRISMA_reasons!K2:K2113""), $A2111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$A2111=IMPORTRANGE(""https://docs.google.com/spreadsheets/d/1BJSV3WBYJGRhQ6zExamkszQ5VutGIcaQqmbD9ZTVXMQ/edit#gid=1251630045"",""articles_with_PRISMA_reasons!B2:B2113"")))-1)"),"Eluvathingal")</f>
        <v>Eluvathingal</v>
      </c>
      <c r="C2111" s="6">
        <f>IFERROR(__xludf.DUMMYFUNCTION("FILTER(IMPORTRANGE(""https://docs.google.com/spreadsheets/d/1BJSV3WBYJGRhQ6zExamkszQ5VutGIcaQqmbD9ZTVXMQ/edit#gid=1251630045"",""articles_with_PRISMA_reasons!C2:C2113""), $A2111=IMPORTRANGE(""https://docs.google.com/spreadsheets/d/1BJSV3WBYJGRhQ6zExamkszQ"&amp;"5VutGIcaQqmbD9ZTVXMQ/edit#gid=1251630045"",""articles_with_PRISMA_reasons!B2:B2113""))"),2008.0)</f>
        <v>2008</v>
      </c>
      <c r="D2111" s="5" t="str">
        <f>IFERROR(__xludf.DUMMYFUNCTION("IFS(AND(
FILTER(IMPORTRANGE(""https://docs.google.com/spreadsheets/d/1BJSV3WBYJGRhQ6zExamkszQ5VutGIcaQqmbD9ZTVXMQ/edit#gid=1251630045"",""articles_with_PRISMA_reasons!Y2:Y2113""), $A2111=IMPORTRANGE(""https://docs.google.com/spreadsheets/d/1BJSV3WBYJGRhQ6"&amp;"zExamkszQ5VutGIcaQqmbD9ZTVXMQ/edit#gid=1251630045"",""articles_with_PRISMA_reasons!B2:B2113""))&gt;=2,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$A2111=IMPORTRANGE(""https://docs.google.com/spreadsheets/d/1BJSV3WBYJGRhQ6zExamkszQ5VutGIcaQqmbD9ZTVXMQ/edit#gid=1251630045"",""articles_with_PRISMA_reasons!B2:B2113""))&lt;2),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$A2111=IMPORTRANGE(""https://docs.google.com/spreadsheets/d/1BJSV3WBYJGRhQ6zExamkszQ5VutGIcaQqmbD9ZTVXMQ/edit#gid=1251630045"",""a"&amp;"rticles_with_PRISMA_reasons!B2:B2113""))&lt;2,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$A2111=IMPORTRANGE(""https://docs.google"&amp;".com/spreadsheets/d/1BJSV3WBYJGRhQ6zExamkszQ5VutGIcaQqmbD9ZTVXMQ/edit#gid=1251630045"",""articles_with_PRISMA_reasons!B2:B2113""))&gt;=2),
""Exclude""
)"),"Exclude")</f>
        <v>Exclude</v>
      </c>
      <c r="E2111" s="5" t="str">
        <f>IFERROR(__xludf.DUMMYFUNCTION("IFS(
D2111=""Exclude"",""Exclude"",
AND(
FILTER(IMPORTRANGE(""https://docs.google.com/spreadsheets/d/1qpEmbGH0JjaJbUdp21-y2cPbobDbMjr09BbtdKROZWc/edit#gid=1444865654"",""articles_with_PRISMA_reasons!W2:W2113""), $A2111=IMPORTRANGE(""https://docs.google.co"&amp;"m/spreadsheets/d/1qpEmbGH0JjaJbUdp21-y2cPbobDbMjr09BbtdKROZWc/edit#gid=1444865654"",""articles_with_PRISMA_reasons!B2:B2113""))&gt;=2,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$A2111=IMPORTRANGE(""https://docs.google.com/spreadsheets/d/1qpEmbGH0JjaJbUdp21-y2cPbobDbMjr09BbtdKROZWc/edit#gid=1444865654"",""articles_with_PRISMA_reasons!B2:B2113""))&lt;2),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$A2111=IMPORTRANGE(""https://docs.google.com/spreadsheets/d/1qpEmbGH0JjaJbUdp21-y2cPbobDbMjr09Bbtd"&amp;"KROZWc/edit#gid=1444865654"",""articles_with_PRISMA_reasons!B2:B2113""))&lt;2,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$A2111=I"&amp;"MPORTRANGE(""https://docs.google.com/spreadsheets/d/1qpEmbGH0JjaJbUdp21-y2cPbobDbMjr09BbtdKROZWc/edit#gid=1444865654"",""articles_with_PRISMA_reasons!B2:B2113""))&gt;=2),
""Exclude""
)"),"Exclude")</f>
        <v>Exclude</v>
      </c>
      <c r="F2111" s="5" t="str">
        <f>IFERROR(__xludf.DUMMYFUNCTION("IFS(
E2111=""Exclude"",""Exclude"",
AND(
COUNTIF(
IMPORTRANGE(""https://docs.google.com/spreadsheets/d/1kGrh75X1cNR1D7_FcY9zMnHP8iPO4M5RCRjy6nZY0TY/edit#gid=0"",""Table 1: Study characteristics!B4:B171""),A2111)&gt;0,
COUNTIF(Studies!$A$2:$A$85,FILTER(IMPORT"&amp;"RANGE(""https://docs.google.com/spreadsheets/d/1kGrh75X1cNR1D7_FcY9zMnHP8iPO4M5RCRjy6nZY0TY/edit#gid=0"",""Table 1: Study characteristics!A4:A171""), $A2111=IMPORTRANGE(""https://docs.google.com/spreadsheets/d/1kGrh75X1cNR1D7_FcY9zMnHP8iPO4M5RCRjy6nZY0TY/"&amp;"edit#gid=0"",""Table 1: Study characteristics!B4:B171"")))&gt;0
),
""Include""
)"),"Exclude")</f>
        <v>Exclude</v>
      </c>
      <c r="G2111" s="5" t="str">
        <f>IFERROR(__xludf.DUMMYFUNCTION("IFS(
D2111=""Exclude"",
FILTER(IMPORTRANGE(""https://docs.google.com/spreadsheets/d/1BJSV3WBYJGRhQ6zExamkszQ5VutGIcaQqmbD9ZTVXMQ/edit#gid=1251630045"",""articles_with_PRISMA_reasons!AB2:AB2113""), $A2111=IMPORTRANGE(""https://docs.google.com/spreadsheets/"&amp;"d/1BJSV3WBYJGRhQ6zExamkszQ5VutGIcaQqmbD9ZTVXMQ/edit#gid=1251630045"",""articles_with_PRISMA_reasons!B2:B2113"")),
E2111=""Exclude"",
FILTER(IMPORTRANGE(""https://docs.google.com/spreadsheets/d/1qpEmbGH0JjaJbUdp21-y2cPbobDbMjr09BbtdKROZWc/edit#gid=14448656"&amp;"54"",""articles_with_PRISMA_reasons!Z2:Z2113""), $A2111=IMPORTRANGE(""https://docs.google.com/spreadsheets/d/1qpEmbGH0JjaJbUdp21-y2cPbobDbMjr09BbtdKROZWc/edit#gid=1444865654"",""articles_with_PRISMA_reasons!B2:B2113"")),F2111
=""Include"",FILTER(IMPORTRAN"&amp;"GE(""https://docs.google.com/spreadsheets/d/1kGrh75X1cNR1D7_FcY9zMnHP8iPO4M5RCRjy6nZY0TY/edit#gid=0"",""Table 1: Study characteristics!A4:A171""), $A2111=IMPORTRANGE(""https://docs.google.com/spreadsheets/d/1kGrh75X1cNR1D7_FcY9zMnHP8iPO4M5RCRjy6nZY0TY/edi"&amp;"t#gid=0"",""Table 1: Study characteristics!B4:B171""))
)"),"wrong population")</f>
        <v>wrong population</v>
      </c>
    </row>
    <row r="2112">
      <c r="A2112" s="4" t="str">
        <f>IFERROR(__xludf.DUMMYFUNCTION("""COMPUTED_VALUE"""),"Why fetal neurosurgery?")</f>
        <v>Why fetal neurosurgery?</v>
      </c>
      <c r="B2112" s="5" t="str">
        <f>IFERROR(__xludf.DUMMYFUNCTION("LEFT(FILTER(IMPORTRANGE(""https://docs.google.com/spreadsheets/d/1BJSV3WBYJGRhQ6zExamkszQ5VutGIcaQqmbD9ZTVXMQ/edit#gid=1251630045"",""articles_with_PRISMA_reasons!K2:K2113""), $A2112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$A2112=IMPORTRANGE(""https://docs.google.com/spreadsheets/d/1BJSV3WBYJGRhQ6zExamkszQ5VutGIcaQqmbD9ZTVXMQ/edit#gid=1251630045"",""articles_with_PRISMA_reasons!B2:B2113"")))-1)"),"Zuccaro")</f>
        <v>Zuccaro</v>
      </c>
      <c r="C2112" s="6">
        <f>IFERROR(__xludf.DUMMYFUNCTION("FILTER(IMPORTRANGE(""https://docs.google.com/spreadsheets/d/1BJSV3WBYJGRhQ6zExamkszQ5VutGIcaQqmbD9ZTVXMQ/edit#gid=1251630045"",""articles_with_PRISMA_reasons!C2:C2113""), $A2112=IMPORTRANGE(""https://docs.google.com/spreadsheets/d/1BJSV3WBYJGRhQ6zExamkszQ"&amp;"5VutGIcaQqmbD9ZTVXMQ/edit#gid=1251630045"",""articles_with_PRISMA_reasons!B2:B2113""))"),2017.0)</f>
        <v>2017</v>
      </c>
      <c r="D2112" s="5" t="str">
        <f>IFERROR(__xludf.DUMMYFUNCTION("IFS(AND(
FILTER(IMPORTRANGE(""https://docs.google.com/spreadsheets/d/1BJSV3WBYJGRhQ6zExamkszQ5VutGIcaQqmbD9ZTVXMQ/edit#gid=1251630045"",""articles_with_PRISMA_reasons!Y2:Y2113""), $A2112=IMPORTRANGE(""https://docs.google.com/spreadsheets/d/1BJSV3WBYJGRhQ6"&amp;"zExamkszQ5VutGIcaQqmbD9ZTVXMQ/edit#gid=1251630045"",""articles_with_PRISMA_reasons!B2:B2113""))&gt;=2,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$A2112=IMPORTRANGE(""https://docs.google.com/spreadsheets/d/1BJSV3WBYJGRhQ6zExamkszQ5VutGIcaQqmbD9ZTVXMQ/edit#gid=1251630045"",""articles_with_PRISMA_reasons!B2:B2113""))&lt;2),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$A2112=IMPORTRANGE(""https://docs.google.com/spreadsheets/d/1BJSV3WBYJGRhQ6zExamkszQ5VutGIcaQqmbD9ZTVXMQ/edit#gid=1251630045"",""a"&amp;"rticles_with_PRISMA_reasons!B2:B2113""))&lt;2,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$A2112=IMPORTRANGE(""https://docs.google"&amp;".com/spreadsheets/d/1BJSV3WBYJGRhQ6zExamkszQ5VutGIcaQqmbD9ZTVXMQ/edit#gid=1251630045"",""articles_with_PRISMA_reasons!B2:B2113""))&gt;=2),
""Exclude""
)"),"Exclude")</f>
        <v>Exclude</v>
      </c>
      <c r="E2112" s="5" t="str">
        <f>IFERROR(__xludf.DUMMYFUNCTION("IFS(
D2112=""Exclude"",""Exclude"",
AND(
FILTER(IMPORTRANGE(""https://docs.google.com/spreadsheets/d/1qpEmbGH0JjaJbUdp21-y2cPbobDbMjr09BbtdKROZWc/edit#gid=1444865654"",""articles_with_PRISMA_reasons!W2:W2113""), $A2112=IMPORTRANGE(""https://docs.google.co"&amp;"m/spreadsheets/d/1qpEmbGH0JjaJbUdp21-y2cPbobDbMjr09BbtdKROZWc/edit#gid=1444865654"",""articles_with_PRISMA_reasons!B2:B2113""))&gt;=2,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$A2112=IMPORTRANGE(""https://docs.google.com/spreadsheets/d/1qpEmbGH0JjaJbUdp21-y2cPbobDbMjr09BbtdKROZWc/edit#gid=1444865654"",""articles_with_PRISMA_reasons!B2:B2113""))&lt;2),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$A2112=IMPORTRANGE(""https://docs.google.com/spreadsheets/d/1qpEmbGH0JjaJbUdp21-y2cPbobDbMjr09Bbtd"&amp;"KROZWc/edit#gid=1444865654"",""articles_with_PRISMA_reasons!B2:B2113""))&lt;2,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$A2112=I"&amp;"MPORTRANGE(""https://docs.google.com/spreadsheets/d/1qpEmbGH0JjaJbUdp21-y2cPbobDbMjr09BbtdKROZWc/edit#gid=1444865654"",""articles_with_PRISMA_reasons!B2:B2113""))&gt;=2),
""Exclude""
)"),"Exclude")</f>
        <v>Exclude</v>
      </c>
      <c r="F2112" s="5" t="str">
        <f>IFERROR(__xludf.DUMMYFUNCTION("IFS(
E2112=""Exclude"",""Exclude"",
AND(
COUNTIF(
IMPORTRANGE(""https://docs.google.com/spreadsheets/d/1kGrh75X1cNR1D7_FcY9zMnHP8iPO4M5RCRjy6nZY0TY/edit#gid=0"",""Table 1: Study characteristics!B4:B171""),A2112)&gt;0,
COUNTIF(Studies!$A$2:$A$85,FILTER(IMPORT"&amp;"RANGE(""https://docs.google.com/spreadsheets/d/1kGrh75X1cNR1D7_FcY9zMnHP8iPO4M5RCRjy6nZY0TY/edit#gid=0"",""Table 1: Study characteristics!A4:A171""), $A2112=IMPORTRANGE(""https://docs.google.com/spreadsheets/d/1kGrh75X1cNR1D7_FcY9zMnHP8iPO4M5RCRjy6nZY0TY/"&amp;"edit#gid=0"",""Table 1: Study characteristics!B4:B171"")))&gt;0
),
""Include""
)"),"Exclude")</f>
        <v>Exclude</v>
      </c>
      <c r="G2112" s="5" t="str">
        <f>IFERROR(__xludf.DUMMYFUNCTION("IFS(
D2112=""Exclude"",
FILTER(IMPORTRANGE(""https://docs.google.com/spreadsheets/d/1BJSV3WBYJGRhQ6zExamkszQ5VutGIcaQqmbD9ZTVXMQ/edit#gid=1251630045"",""articles_with_PRISMA_reasons!AB2:AB2113""), $A2112=IMPORTRANGE(""https://docs.google.com/spreadsheets/"&amp;"d/1BJSV3WBYJGRhQ6zExamkszQ5VutGIcaQqmbD9ZTVXMQ/edit#gid=1251630045"",""articles_with_PRISMA_reasons!B2:B2113"")),
E2112=""Exclude"",
FILTER(IMPORTRANGE(""https://docs.google.com/spreadsheets/d/1qpEmbGH0JjaJbUdp21-y2cPbobDbMjr09BbtdKROZWc/edit#gid=14448656"&amp;"54"",""articles_with_PRISMA_reasons!Z2:Z2113""), $A2112=IMPORTRANGE(""https://docs.google.com/spreadsheets/d/1qpEmbGH0JjaJbUdp21-y2cPbobDbMjr09BbtdKROZWc/edit#gid=1444865654"",""articles_with_PRISMA_reasons!B2:B2113"")),F2112
=""Include"",FILTER(IMPORTRAN"&amp;"GE(""https://docs.google.com/spreadsheets/d/1kGrh75X1cNR1D7_FcY9zMnHP8iPO4M5RCRjy6nZY0TY/edit#gid=0"",""Table 1: Study characteristics!A4:A171""), $A2112=IMPORTRANGE(""https://docs.google.com/spreadsheets/d/1kGrh75X1cNR1D7_FcY9zMnHP8iPO4M5RCRjy6nZY0TY/edi"&amp;"t#gid=0"",""Table 1: Study characteristics!B4:B171""))
)"),"wrong study design")</f>
        <v>wrong study design</v>
      </c>
    </row>
    <row r="2113">
      <c r="A2113" s="4" t="str">
        <f>IFERROR(__xludf.DUMMYFUNCTION("""COMPUTED_VALUE"""),"Working memory and information processing speed in children with myelomeningocele and shunted hydrocephalus: Analysis of the Children's Paced Auditory Serial Addition Test")</f>
        <v>Working memory and information processing speed in children with myelomeningocele and shunted hydrocephalus: Analysis of the Children's Paced Auditory Serial Addition Test</v>
      </c>
      <c r="B2113" s="5" t="str">
        <f>IFERROR(__xludf.DUMMYFUNCTION("LEFT(FILTER(IMPORTRANGE(""https://docs.google.com/spreadsheets/d/1BJSV3WBYJGRhQ6zExamkszQ5VutGIcaQqmbD9ZTVXMQ/edit#gid=1251630045"",""articles_with_PRISMA_reasons!K2:K2113""), $A2113=IMPORTRANGE(""https://docs.google.com/spreadsheets/d/1BJSV3WBYJGRhQ6zExa"&amp;"mkszQ5VutGIcaQqmbD9ZTVXMQ/edit#gid=1251630045"",""articles_with_PRISMA_reasons!B2:B2113"")),SEARCH("","",FILTER(IMPORTRANGE(""https://docs.google.com/spreadsheets/d/1BJSV3WBYJGRhQ6zExamkszQ5VutGIcaQqmbD9ZTVXMQ/edit#gid=1251630045"",""articles_with_PRISMA_"&amp;"reasons!K2:K2113""), $A2113=IMPORTRANGE(""https://docs.google.com/spreadsheets/d/1BJSV3WBYJGRhQ6zExamkszQ5VutGIcaQqmbD9ZTVXMQ/edit#gid=1251630045"",""articles_with_PRISMA_reasons!B2:B2113"")))-1)"),"Boyer")</f>
        <v>Boyer</v>
      </c>
      <c r="C2113" s="6">
        <f>IFERROR(__xludf.DUMMYFUNCTION("FILTER(IMPORTRANGE(""https://docs.google.com/spreadsheets/d/1BJSV3WBYJGRhQ6zExamkszQ5VutGIcaQqmbD9ZTVXMQ/edit#gid=1251630045"",""articles_with_PRISMA_reasons!C2:C2113""), $A2113=IMPORTRANGE(""https://docs.google.com/spreadsheets/d/1BJSV3WBYJGRhQ6zExamkszQ"&amp;"5VutGIcaQqmbD9ZTVXMQ/edit#gid=1251630045"",""articles_with_PRISMA_reasons!B2:B2113""))"),2006.0)</f>
        <v>2006</v>
      </c>
      <c r="D2113" s="5" t="str">
        <f>IFERROR(__xludf.DUMMYFUNCTION("IFS(AND(
FILTER(IMPORTRANGE(""https://docs.google.com/spreadsheets/d/1BJSV3WBYJGRhQ6zExamkszQ5VutGIcaQqmbD9ZTVXMQ/edit#gid=1251630045"",""articles_with_PRISMA_reasons!Y2:Y2113""), $A2113=IMPORTRANGE(""https://docs.google.com/spreadsheets/d/1BJSV3WBYJGRhQ6"&amp;"zExamkszQ5VutGIcaQqmbD9ZTVXMQ/edit#gid=1251630045"",""articles_with_PRISMA_reasons!B2:B2113""))&gt;=2,
FILTER(IMPORTRANGE(""https://docs.google.com/spreadsheets/d/1BJSV3WBYJGRhQ6zExamkszQ5VutGIcaQqmbD9ZTVXMQ/edit#gid=1251630045"",""articles_with_PRISMA_reaso"&amp;"ns!Z2:Z2113""), $A2113=IMPORTRANGE(""https://docs.google.com/spreadsheets/d/1BJSV3WBYJGRhQ6zExamkszQ5VutGIcaQqmbD9ZTVXMQ/edit#gid=1251630045"",""articles_with_PRISMA_reasons!B2:B2113""))&lt;2),
""Include"",
AND(
FILTER(IMPORTRANGE(""https://docs.google.com/s"&amp;"preadsheets/d/1BJSV3WBYJGRhQ6zExamkszQ5VutGIcaQqmbD9ZTVXMQ/edit#gid=1251630045"",""articles_with_PRISMA_reasons!Y2:Y2113""), $A2113=IMPORTRANGE(""https://docs.google.com/spreadsheets/d/1BJSV3WBYJGRhQ6zExamkszQ5VutGIcaQqmbD9ZTVXMQ/edit#gid=1251630045"",""a"&amp;"rticles_with_PRISMA_reasons!B2:B2113""))&lt;2,
FILTER(IMPORTRANGE(""https://docs.google.com/spreadsheets/d/1BJSV3WBYJGRhQ6zExamkszQ5VutGIcaQqmbD9ZTVXMQ/edit#gid=1251630045"",""articles_with_PRISMA_reasons!Z2:Z2113""), $A2113=IMPORTRANGE(""https://docs.google"&amp;".com/spreadsheets/d/1BJSV3WBYJGRhQ6zExamkszQ5VutGIcaQqmbD9ZTVXMQ/edit#gid=1251630045"",""articles_with_PRISMA_reasons!B2:B2113""))&gt;=2),
""Exclude""
)"),"Exclude")</f>
        <v>Exclude</v>
      </c>
      <c r="E2113" s="5" t="str">
        <f>IFERROR(__xludf.DUMMYFUNCTION("IFS(
D2113=""Exclude"",""Exclude"",
AND(
FILTER(IMPORTRANGE(""https://docs.google.com/spreadsheets/d/1qpEmbGH0JjaJbUdp21-y2cPbobDbMjr09BbtdKROZWc/edit#gid=1444865654"",""articles_with_PRISMA_reasons!W2:W2113""), $A2113=IMPORTRANGE(""https://docs.google.co"&amp;"m/spreadsheets/d/1qpEmbGH0JjaJbUdp21-y2cPbobDbMjr09BbtdKROZWc/edit#gid=1444865654"",""articles_with_PRISMA_reasons!B2:B2113""))&gt;=2,
FILTER(IMPORTRANGE(""https://docs.google.com/spreadsheets/d/1qpEmbGH0JjaJbUdp21-y2cPbobDbMjr09BbtdKROZWc/edit#gid=144486565"&amp;"4"",""articles_with_PRISMA_reasons!X2:X2113""), $A2113=IMPORTRANGE(""https://docs.google.com/spreadsheets/d/1qpEmbGH0JjaJbUdp21-y2cPbobDbMjr09BbtdKROZWc/edit#gid=1444865654"",""articles_with_PRISMA_reasons!B2:B2113""))&lt;2),
""Include"",
AND(
FILTER(IMPORTR"&amp;"ANGE(""https://docs.google.com/spreadsheets/d/1qpEmbGH0JjaJbUdp21-y2cPbobDbMjr09BbtdKROZWc/edit#gid=1444865654"",""articles_with_PRISMA_reasons!W2:W2113""), $A2113=IMPORTRANGE(""https://docs.google.com/spreadsheets/d/1qpEmbGH0JjaJbUdp21-y2cPbobDbMjr09Bbtd"&amp;"KROZWc/edit#gid=1444865654"",""articles_with_PRISMA_reasons!B2:B2113""))&lt;2,
FILTER(IMPORTRANGE(""https://docs.google.com/spreadsheets/d/1qpEmbGH0JjaJbUdp21-y2cPbobDbMjr09BbtdKROZWc/edit#gid=1444865654"",""articles_with_PRISMA_reasons!X2:X2113""), $A2113=I"&amp;"MPORTRANGE(""https://docs.google.com/spreadsheets/d/1qpEmbGH0JjaJbUdp21-y2cPbobDbMjr09BbtdKROZWc/edit#gid=1444865654"",""articles_with_PRISMA_reasons!B2:B2113""))&gt;=2),
""Exclude""
)"),"Exclude")</f>
        <v>Exclude</v>
      </c>
      <c r="F2113" s="5" t="str">
        <f>IFERROR(__xludf.DUMMYFUNCTION("IFS(
E2113=""Exclude"",""Exclude"",
AND(
COUNTIF(
IMPORTRANGE(""https://docs.google.com/spreadsheets/d/1kGrh75X1cNR1D7_FcY9zMnHP8iPO4M5RCRjy6nZY0TY/edit#gid=0"",""Table 1: Study characteristics!B4:B171""),A2113)&gt;0,
COUNTIF(Studies!$A$2:$A$85,FILTER(IMPORT"&amp;"RANGE(""https://docs.google.com/spreadsheets/d/1kGrh75X1cNR1D7_FcY9zMnHP8iPO4M5RCRjy6nZY0TY/edit#gid=0"",""Table 1: Study characteristics!A4:A171""), $A2113=IMPORTRANGE(""https://docs.google.com/spreadsheets/d/1kGrh75X1cNR1D7_FcY9zMnHP8iPO4M5RCRjy6nZY0TY/"&amp;"edit#gid=0"",""Table 1: Study characteristics!B4:B171"")))&gt;0
),
""Include""
)"),"Exclude")</f>
        <v>Exclude</v>
      </c>
      <c r="G2113" s="5" t="str">
        <f>IFERROR(__xludf.DUMMYFUNCTION("IFS(
D2113=""Exclude"",
FILTER(IMPORTRANGE(""https://docs.google.com/spreadsheets/d/1BJSV3WBYJGRhQ6zExamkszQ5VutGIcaQqmbD9ZTVXMQ/edit#gid=1251630045"",""articles_with_PRISMA_reasons!AB2:AB2113""), $A2113=IMPORTRANGE(""https://docs.google.com/spreadsheets/"&amp;"d/1BJSV3WBYJGRhQ6zExamkszQ5VutGIcaQqmbD9ZTVXMQ/edit#gid=1251630045"",""articles_with_PRISMA_reasons!B2:B2113"")),
E2113=""Exclude"",
FILTER(IMPORTRANGE(""https://docs.google.com/spreadsheets/d/1qpEmbGH0JjaJbUdp21-y2cPbobDbMjr09BbtdKROZWc/edit#gid=14448656"&amp;"54"",""articles_with_PRISMA_reasons!Z2:Z2113""), $A2113=IMPORTRANGE(""https://docs.google.com/spreadsheets/d/1qpEmbGH0JjaJbUdp21-y2cPbobDbMjr09BbtdKROZWc/edit#gid=1444865654"",""articles_with_PRISMA_reasons!B2:B2113"")),F2113
=""Include"",FILTER(IMPORTRAN"&amp;"GE(""https://docs.google.com/spreadsheets/d/1kGrh75X1cNR1D7_FcY9zMnHP8iPO4M5RCRjy6nZY0TY/edit#gid=0"",""Table 1: Study characteristics!A4:A171""), $A2113=IMPORTRANGE(""https://docs.google.com/spreadsheets/d/1kGrh75X1cNR1D7_FcY9zMnHP8iPO4M5RCRjy6nZY0TY/edi"&amp;"t#gid=0"",""Table 1: Study characteristics!B4:B171""))
)"),"wrong population")</f>
        <v>wrong population</v>
      </c>
    </row>
    <row r="2114">
      <c r="A2114" s="4" t="s">
        <v>47</v>
      </c>
      <c r="B2114" s="5"/>
      <c r="C2114" s="6"/>
      <c r="D2114" s="2" t="s">
        <v>8</v>
      </c>
      <c r="E2114" s="2" t="s">
        <v>8</v>
      </c>
      <c r="F2114" s="2" t="s">
        <v>8</v>
      </c>
      <c r="G2114" s="12" t="s">
        <v>7</v>
      </c>
    </row>
    <row r="2115">
      <c r="A2115" s="4" t="s">
        <v>48</v>
      </c>
      <c r="B2115" s="5"/>
      <c r="C2115" s="6"/>
      <c r="D2115" s="2" t="s">
        <v>8</v>
      </c>
      <c r="E2115" s="2" t="s">
        <v>8</v>
      </c>
      <c r="F2115" s="2" t="s">
        <v>8</v>
      </c>
      <c r="G2115" s="12" t="s">
        <v>49</v>
      </c>
    </row>
    <row r="2116">
      <c r="A2116" s="4" t="s">
        <v>50</v>
      </c>
      <c r="B2116" s="5"/>
      <c r="C2116" s="6"/>
      <c r="D2116" s="2" t="s">
        <v>8</v>
      </c>
      <c r="E2116" s="2" t="s">
        <v>8</v>
      </c>
      <c r="F2116" s="2" t="s">
        <v>8</v>
      </c>
      <c r="G2116" s="12" t="s">
        <v>49</v>
      </c>
    </row>
    <row r="2117">
      <c r="A2117" s="4" t="s">
        <v>51</v>
      </c>
      <c r="B2117" s="5"/>
      <c r="C2117" s="6"/>
      <c r="D2117" s="2" t="s">
        <v>8</v>
      </c>
      <c r="E2117" s="2" t="s">
        <v>8</v>
      </c>
      <c r="F2117" s="2" t="s">
        <v>8</v>
      </c>
      <c r="G2117" s="12" t="s">
        <v>52</v>
      </c>
    </row>
    <row r="2118">
      <c r="A2118" s="4" t="s">
        <v>53</v>
      </c>
      <c r="B2118" s="5"/>
      <c r="C2118" s="6"/>
      <c r="D2118" s="2" t="s">
        <v>8</v>
      </c>
      <c r="E2118" s="2" t="s">
        <v>8</v>
      </c>
      <c r="F2118" s="2" t="s">
        <v>8</v>
      </c>
      <c r="G2118" s="12" t="s">
        <v>7</v>
      </c>
    </row>
    <row r="2119">
      <c r="A2119" s="4" t="s">
        <v>54</v>
      </c>
      <c r="B2119" s="5"/>
      <c r="C2119" s="6"/>
      <c r="D2119" s="2" t="s">
        <v>8</v>
      </c>
      <c r="E2119" s="2" t="s">
        <v>8</v>
      </c>
      <c r="F2119" s="2" t="s">
        <v>8</v>
      </c>
      <c r="G2119" s="12" t="s">
        <v>7</v>
      </c>
    </row>
    <row r="2120">
      <c r="A2120" s="4" t="s">
        <v>55</v>
      </c>
      <c r="B2120" s="5"/>
      <c r="C2120" s="6"/>
      <c r="D2120" s="2" t="s">
        <v>8</v>
      </c>
      <c r="E2120" s="2" t="s">
        <v>8</v>
      </c>
      <c r="F2120" s="2" t="s">
        <v>8</v>
      </c>
      <c r="G2120" s="12" t="s">
        <v>49</v>
      </c>
    </row>
    <row r="2121">
      <c r="A2121" s="4" t="s">
        <v>56</v>
      </c>
      <c r="B2121" s="5"/>
      <c r="C2121" s="6"/>
      <c r="D2121" s="2" t="s">
        <v>8</v>
      </c>
      <c r="E2121" s="2" t="s">
        <v>8</v>
      </c>
      <c r="F2121" s="2" t="s">
        <v>8</v>
      </c>
      <c r="G2121" s="12" t="s">
        <v>7</v>
      </c>
    </row>
    <row r="2122">
      <c r="A2122" s="4" t="s">
        <v>56</v>
      </c>
      <c r="B2122" s="5"/>
      <c r="C2122" s="6"/>
      <c r="D2122" s="2" t="s">
        <v>8</v>
      </c>
      <c r="E2122" s="2" t="s">
        <v>8</v>
      </c>
      <c r="F2122" s="2" t="s">
        <v>8</v>
      </c>
      <c r="G2122" s="2" t="s">
        <v>13</v>
      </c>
    </row>
    <row r="2123">
      <c r="A2123" s="4" t="s">
        <v>57</v>
      </c>
      <c r="B2123" s="5"/>
      <c r="C2123" s="6"/>
      <c r="D2123" s="2" t="s">
        <v>8</v>
      </c>
      <c r="E2123" s="2" t="s">
        <v>8</v>
      </c>
      <c r="F2123" s="2" t="s">
        <v>8</v>
      </c>
      <c r="G2123" s="12" t="s">
        <v>58</v>
      </c>
    </row>
    <row r="2124">
      <c r="A2124" s="4" t="s">
        <v>59</v>
      </c>
      <c r="B2124" s="5"/>
      <c r="C2124" s="6"/>
      <c r="D2124" s="2" t="s">
        <v>8</v>
      </c>
      <c r="E2124" s="2" t="s">
        <v>8</v>
      </c>
      <c r="F2124" s="2" t="s">
        <v>8</v>
      </c>
      <c r="G2124" s="12" t="s">
        <v>7</v>
      </c>
    </row>
    <row r="2125">
      <c r="A2125" s="4" t="s">
        <v>60</v>
      </c>
      <c r="B2125" s="5"/>
      <c r="C2125" s="6"/>
      <c r="D2125" s="2" t="s">
        <v>8</v>
      </c>
      <c r="E2125" s="2" t="s">
        <v>8</v>
      </c>
      <c r="F2125" s="2" t="s">
        <v>8</v>
      </c>
      <c r="G2125" s="12" t="s">
        <v>58</v>
      </c>
    </row>
    <row r="2126">
      <c r="A2126" s="4" t="s">
        <v>61</v>
      </c>
      <c r="B2126" s="5"/>
      <c r="C2126" s="6"/>
      <c r="D2126" s="2" t="s">
        <v>8</v>
      </c>
      <c r="E2126" s="2" t="s">
        <v>8</v>
      </c>
      <c r="F2126" s="2" t="s">
        <v>8</v>
      </c>
      <c r="G2126" s="12" t="s">
        <v>52</v>
      </c>
    </row>
    <row r="2127">
      <c r="A2127" s="4" t="s">
        <v>62</v>
      </c>
      <c r="B2127" s="5"/>
      <c r="C2127" s="6"/>
      <c r="D2127" s="2" t="s">
        <v>8</v>
      </c>
      <c r="E2127" s="2" t="s">
        <v>8</v>
      </c>
      <c r="F2127" s="2" t="s">
        <v>8</v>
      </c>
      <c r="G2127" s="12" t="s">
        <v>7</v>
      </c>
    </row>
    <row r="2128">
      <c r="A2128" s="4" t="s">
        <v>63</v>
      </c>
      <c r="B2128" s="5"/>
      <c r="C2128" s="6"/>
      <c r="D2128" s="2" t="s">
        <v>8</v>
      </c>
      <c r="E2128" s="2" t="s">
        <v>8</v>
      </c>
      <c r="F2128" s="2" t="s">
        <v>8</v>
      </c>
      <c r="G2128" s="12" t="s">
        <v>52</v>
      </c>
    </row>
    <row r="2129">
      <c r="A2129" s="4" t="s">
        <v>64</v>
      </c>
      <c r="B2129" s="5"/>
      <c r="C2129" s="6"/>
      <c r="D2129" s="2" t="s">
        <v>8</v>
      </c>
      <c r="E2129" s="2" t="s">
        <v>8</v>
      </c>
      <c r="F2129" s="2" t="s">
        <v>8</v>
      </c>
      <c r="G2129" s="12" t="s">
        <v>52</v>
      </c>
    </row>
    <row r="2130">
      <c r="A2130" s="4" t="s">
        <v>65</v>
      </c>
      <c r="B2130" s="5"/>
      <c r="C2130" s="6"/>
      <c r="D2130" s="2" t="s">
        <v>8</v>
      </c>
      <c r="E2130" s="2" t="s">
        <v>8</v>
      </c>
      <c r="F2130" s="2" t="s">
        <v>8</v>
      </c>
      <c r="G2130" s="12" t="s">
        <v>49</v>
      </c>
    </row>
    <row r="2131">
      <c r="A2131" s="4" t="s">
        <v>66</v>
      </c>
      <c r="B2131" s="5"/>
      <c r="C2131" s="6"/>
      <c r="D2131" s="2" t="s">
        <v>8</v>
      </c>
      <c r="E2131" s="2" t="s">
        <v>8</v>
      </c>
      <c r="F2131" s="2" t="s">
        <v>8</v>
      </c>
      <c r="G2131" s="12" t="s">
        <v>52</v>
      </c>
    </row>
    <row r="2132">
      <c r="A2132" s="4" t="s">
        <v>67</v>
      </c>
      <c r="B2132" s="5"/>
      <c r="C2132" s="6"/>
      <c r="D2132" s="2" t="s">
        <v>8</v>
      </c>
      <c r="E2132" s="2" t="s">
        <v>8</v>
      </c>
      <c r="F2132" s="2" t="s">
        <v>8</v>
      </c>
      <c r="G2132" s="12" t="s">
        <v>52</v>
      </c>
    </row>
    <row r="2133">
      <c r="A2133" s="4" t="s">
        <v>68</v>
      </c>
      <c r="B2133" s="5"/>
      <c r="C2133" s="6"/>
      <c r="D2133" s="2" t="s">
        <v>8</v>
      </c>
      <c r="E2133" s="2" t="s">
        <v>8</v>
      </c>
      <c r="F2133" s="2" t="s">
        <v>8</v>
      </c>
      <c r="G2133" s="12" t="s">
        <v>58</v>
      </c>
    </row>
    <row r="2134">
      <c r="A2134" s="4" t="s">
        <v>69</v>
      </c>
      <c r="B2134" s="5"/>
      <c r="C2134" s="6"/>
      <c r="D2134" s="2" t="s">
        <v>8</v>
      </c>
      <c r="E2134" s="2" t="s">
        <v>8</v>
      </c>
      <c r="F2134" s="2" t="s">
        <v>8</v>
      </c>
      <c r="G2134" s="12" t="s">
        <v>7</v>
      </c>
    </row>
    <row r="2135">
      <c r="A2135" s="4" t="s">
        <v>70</v>
      </c>
      <c r="B2135" s="5"/>
      <c r="C2135" s="6"/>
      <c r="D2135" s="2" t="s">
        <v>8</v>
      </c>
      <c r="E2135" s="2" t="s">
        <v>8</v>
      </c>
      <c r="F2135" s="2" t="s">
        <v>8</v>
      </c>
      <c r="G2135" s="12" t="s">
        <v>7</v>
      </c>
    </row>
    <row r="2136">
      <c r="A2136" s="4" t="s">
        <v>71</v>
      </c>
      <c r="B2136" s="5"/>
      <c r="C2136" s="6"/>
      <c r="D2136" s="2" t="s">
        <v>8</v>
      </c>
      <c r="E2136" s="2" t="s">
        <v>8</v>
      </c>
      <c r="F2136" s="2" t="s">
        <v>8</v>
      </c>
      <c r="G2136" s="12" t="s">
        <v>52</v>
      </c>
    </row>
    <row r="2137">
      <c r="A2137" s="4" t="s">
        <v>72</v>
      </c>
      <c r="B2137" s="5"/>
      <c r="C2137" s="6"/>
      <c r="D2137" s="2" t="s">
        <v>8</v>
      </c>
      <c r="E2137" s="2" t="s">
        <v>8</v>
      </c>
      <c r="F2137" s="2" t="s">
        <v>8</v>
      </c>
      <c r="G2137" s="12" t="s">
        <v>52</v>
      </c>
    </row>
    <row r="2138">
      <c r="A2138" s="4" t="s">
        <v>73</v>
      </c>
      <c r="B2138" s="5"/>
      <c r="C2138" s="6"/>
      <c r="D2138" s="2" t="s">
        <v>8</v>
      </c>
      <c r="E2138" s="2" t="s">
        <v>8</v>
      </c>
      <c r="F2138" s="2" t="s">
        <v>8</v>
      </c>
      <c r="G2138" s="12" t="s">
        <v>49</v>
      </c>
    </row>
    <row r="2139">
      <c r="A2139" s="1" t="s">
        <v>74</v>
      </c>
      <c r="B2139" s="2" t="s">
        <v>75</v>
      </c>
      <c r="C2139" s="3">
        <v>1968.0</v>
      </c>
      <c r="D2139" s="2" t="s">
        <v>14</v>
      </c>
      <c r="E2139" s="2" t="s">
        <v>14</v>
      </c>
      <c r="F2139" s="2" t="s">
        <v>14</v>
      </c>
      <c r="G2139" s="2" t="s">
        <v>76</v>
      </c>
    </row>
    <row r="2140">
      <c r="A2140" s="1" t="s">
        <v>77</v>
      </c>
      <c r="B2140" s="2" t="s">
        <v>78</v>
      </c>
      <c r="C2140" s="3">
        <v>1987.0</v>
      </c>
      <c r="D2140" s="2" t="s">
        <v>14</v>
      </c>
      <c r="E2140" s="2" t="s">
        <v>14</v>
      </c>
      <c r="F2140" s="2" t="s">
        <v>14</v>
      </c>
      <c r="G2140" s="2" t="s">
        <v>79</v>
      </c>
    </row>
    <row r="2141">
      <c r="A2141" s="1" t="s">
        <v>80</v>
      </c>
      <c r="B2141" s="2" t="s">
        <v>81</v>
      </c>
      <c r="C2141" s="3">
        <v>2007.0</v>
      </c>
      <c r="D2141" s="2" t="s">
        <v>14</v>
      </c>
      <c r="E2141" s="2" t="s">
        <v>14</v>
      </c>
      <c r="F2141" s="2" t="s">
        <v>8</v>
      </c>
      <c r="G2141" s="2" t="s">
        <v>34</v>
      </c>
    </row>
    <row r="2142">
      <c r="A2142" s="4" t="s">
        <v>82</v>
      </c>
      <c r="B2142" s="2" t="s">
        <v>83</v>
      </c>
      <c r="C2142" s="3">
        <v>2015.0</v>
      </c>
      <c r="D2142" s="2" t="s">
        <v>14</v>
      </c>
      <c r="E2142" s="2" t="s">
        <v>14</v>
      </c>
      <c r="F2142" s="2" t="s">
        <v>14</v>
      </c>
      <c r="G2142" s="2" t="s">
        <v>84</v>
      </c>
    </row>
    <row r="2143">
      <c r="A2143" s="4" t="s">
        <v>85</v>
      </c>
      <c r="B2143" s="5"/>
      <c r="C2143" s="6"/>
      <c r="D2143" s="2" t="s">
        <v>8</v>
      </c>
      <c r="E2143" s="2" t="s">
        <v>8</v>
      </c>
      <c r="F2143" s="2" t="s">
        <v>8</v>
      </c>
      <c r="G2143" s="12" t="s">
        <v>49</v>
      </c>
    </row>
    <row r="2144">
      <c r="A2144" s="4" t="s">
        <v>86</v>
      </c>
      <c r="B2144" s="5"/>
      <c r="C2144" s="6"/>
      <c r="D2144" s="2" t="s">
        <v>8</v>
      </c>
      <c r="E2144" s="2" t="s">
        <v>8</v>
      </c>
      <c r="F2144" s="2" t="s">
        <v>8</v>
      </c>
      <c r="G2144" s="12" t="s">
        <v>49</v>
      </c>
    </row>
    <row r="2145">
      <c r="A2145" s="4" t="s">
        <v>87</v>
      </c>
      <c r="B2145" s="5"/>
      <c r="C2145" s="6"/>
      <c r="D2145" s="2" t="s">
        <v>8</v>
      </c>
      <c r="E2145" s="2" t="s">
        <v>8</v>
      </c>
      <c r="F2145" s="2" t="s">
        <v>8</v>
      </c>
      <c r="G2145" s="12" t="s">
        <v>58</v>
      </c>
    </row>
    <row r="2146">
      <c r="A2146" s="4" t="s">
        <v>88</v>
      </c>
      <c r="B2146" s="5"/>
      <c r="C2146" s="6"/>
      <c r="D2146" s="2" t="s">
        <v>8</v>
      </c>
      <c r="E2146" s="2" t="s">
        <v>8</v>
      </c>
      <c r="F2146" s="2" t="s">
        <v>8</v>
      </c>
      <c r="G2146" s="12" t="s">
        <v>58</v>
      </c>
    </row>
    <row r="2147">
      <c r="A2147" s="4" t="s">
        <v>89</v>
      </c>
      <c r="B2147" s="5"/>
      <c r="C2147" s="6"/>
      <c r="D2147" s="2" t="s">
        <v>8</v>
      </c>
      <c r="E2147" s="2" t="s">
        <v>8</v>
      </c>
      <c r="F2147" s="2" t="s">
        <v>8</v>
      </c>
      <c r="G2147" s="12" t="s">
        <v>58</v>
      </c>
    </row>
    <row r="2148">
      <c r="A2148" s="4" t="s">
        <v>90</v>
      </c>
      <c r="B2148" s="5"/>
      <c r="C2148" s="6"/>
      <c r="D2148" s="2" t="s">
        <v>8</v>
      </c>
      <c r="E2148" s="2" t="s">
        <v>8</v>
      </c>
      <c r="F2148" s="2" t="s">
        <v>8</v>
      </c>
      <c r="G2148" s="12" t="s">
        <v>58</v>
      </c>
    </row>
    <row r="2149">
      <c r="A2149" s="4" t="s">
        <v>91</v>
      </c>
      <c r="B2149" s="5"/>
      <c r="C2149" s="6"/>
      <c r="D2149" s="2" t="s">
        <v>8</v>
      </c>
      <c r="E2149" s="2" t="s">
        <v>8</v>
      </c>
      <c r="F2149" s="2" t="s">
        <v>8</v>
      </c>
      <c r="G2149" s="12" t="s">
        <v>7</v>
      </c>
    </row>
    <row r="2150">
      <c r="A2150" s="4" t="s">
        <v>92</v>
      </c>
      <c r="B2150" s="5"/>
      <c r="C2150" s="6"/>
      <c r="D2150" s="2" t="s">
        <v>8</v>
      </c>
      <c r="E2150" s="2" t="s">
        <v>8</v>
      </c>
      <c r="F2150" s="2" t="s">
        <v>8</v>
      </c>
      <c r="G2150" s="12" t="s">
        <v>58</v>
      </c>
    </row>
    <row r="2151">
      <c r="A2151" s="4" t="s">
        <v>93</v>
      </c>
      <c r="B2151" s="5"/>
      <c r="C2151" s="6"/>
      <c r="D2151" s="2" t="s">
        <v>8</v>
      </c>
      <c r="E2151" s="2" t="s">
        <v>8</v>
      </c>
      <c r="F2151" s="2" t="s">
        <v>8</v>
      </c>
      <c r="G2151" s="12" t="s">
        <v>7</v>
      </c>
    </row>
    <row r="2152">
      <c r="A2152" s="4" t="s">
        <v>68</v>
      </c>
      <c r="B2152" s="5"/>
      <c r="C2152" s="6"/>
      <c r="D2152" s="2" t="s">
        <v>8</v>
      </c>
      <c r="E2152" s="2" t="s">
        <v>8</v>
      </c>
      <c r="F2152" s="2" t="s">
        <v>8</v>
      </c>
      <c r="G2152" s="12" t="s">
        <v>7</v>
      </c>
    </row>
    <row r="2153">
      <c r="A2153" s="4" t="s">
        <v>94</v>
      </c>
      <c r="B2153" s="5"/>
      <c r="C2153" s="6"/>
      <c r="D2153" s="2" t="s">
        <v>8</v>
      </c>
      <c r="E2153" s="2" t="s">
        <v>8</v>
      </c>
      <c r="F2153" s="2" t="s">
        <v>8</v>
      </c>
      <c r="G2153" s="12" t="s">
        <v>7</v>
      </c>
    </row>
    <row r="2154">
      <c r="A2154" s="4" t="s">
        <v>95</v>
      </c>
      <c r="B2154" s="5"/>
      <c r="C2154" s="6"/>
      <c r="D2154" s="2" t="s">
        <v>8</v>
      </c>
      <c r="E2154" s="2" t="s">
        <v>8</v>
      </c>
      <c r="F2154" s="2" t="s">
        <v>8</v>
      </c>
      <c r="G2154" s="2" t="s">
        <v>13</v>
      </c>
    </row>
    <row r="2155">
      <c r="A2155" s="4" t="s">
        <v>96</v>
      </c>
      <c r="B2155" s="5"/>
      <c r="C2155" s="6"/>
      <c r="D2155" s="2" t="s">
        <v>8</v>
      </c>
      <c r="E2155" s="2" t="s">
        <v>8</v>
      </c>
      <c r="F2155" s="2" t="s">
        <v>8</v>
      </c>
      <c r="G2155" s="12" t="s">
        <v>7</v>
      </c>
    </row>
    <row r="2156">
      <c r="A2156" s="4" t="s">
        <v>86</v>
      </c>
      <c r="B2156" s="5"/>
      <c r="C2156" s="6"/>
      <c r="D2156" s="2" t="s">
        <v>8</v>
      </c>
      <c r="E2156" s="2" t="s">
        <v>8</v>
      </c>
      <c r="F2156" s="2" t="s">
        <v>8</v>
      </c>
      <c r="G2156" s="2" t="s">
        <v>13</v>
      </c>
    </row>
    <row r="2157">
      <c r="A2157" s="4" t="s">
        <v>97</v>
      </c>
      <c r="B2157" s="5"/>
      <c r="C2157" s="6"/>
      <c r="D2157" s="2" t="s">
        <v>8</v>
      </c>
      <c r="E2157" s="2" t="s">
        <v>8</v>
      </c>
      <c r="F2157" s="2" t="s">
        <v>8</v>
      </c>
      <c r="G2157" s="12" t="s">
        <v>49</v>
      </c>
    </row>
    <row r="2158">
      <c r="A2158" s="4" t="s">
        <v>98</v>
      </c>
      <c r="B2158" s="5"/>
      <c r="C2158" s="6"/>
      <c r="D2158" s="2" t="s">
        <v>8</v>
      </c>
      <c r="E2158" s="2" t="s">
        <v>8</v>
      </c>
      <c r="F2158" s="2" t="s">
        <v>8</v>
      </c>
      <c r="G2158" s="12" t="s">
        <v>7</v>
      </c>
    </row>
    <row r="2159">
      <c r="A2159" s="4" t="s">
        <v>99</v>
      </c>
      <c r="B2159" s="5"/>
      <c r="C2159" s="6"/>
      <c r="D2159" s="2" t="s">
        <v>8</v>
      </c>
      <c r="E2159" s="2" t="s">
        <v>8</v>
      </c>
      <c r="F2159" s="2" t="s">
        <v>8</v>
      </c>
      <c r="G2159" s="12" t="s">
        <v>49</v>
      </c>
    </row>
    <row r="2160">
      <c r="A2160" s="4" t="s">
        <v>100</v>
      </c>
      <c r="B2160" s="5"/>
      <c r="C2160" s="6"/>
      <c r="D2160" s="2" t="s">
        <v>8</v>
      </c>
      <c r="E2160" s="2" t="s">
        <v>8</v>
      </c>
      <c r="F2160" s="2" t="s">
        <v>8</v>
      </c>
      <c r="G2160" s="12" t="s">
        <v>101</v>
      </c>
    </row>
    <row r="2161">
      <c r="A2161" s="4" t="s">
        <v>102</v>
      </c>
      <c r="B2161" s="5"/>
      <c r="C2161" s="6"/>
      <c r="D2161" s="2" t="s">
        <v>8</v>
      </c>
      <c r="E2161" s="2" t="s">
        <v>8</v>
      </c>
      <c r="F2161" s="2" t="s">
        <v>8</v>
      </c>
      <c r="G2161" s="12" t="s">
        <v>58</v>
      </c>
    </row>
    <row r="2162">
      <c r="A2162" s="4" t="s">
        <v>103</v>
      </c>
      <c r="B2162" s="5"/>
      <c r="C2162" s="6"/>
      <c r="D2162" s="2" t="s">
        <v>8</v>
      </c>
      <c r="E2162" s="2" t="s">
        <v>8</v>
      </c>
      <c r="F2162" s="2" t="s">
        <v>8</v>
      </c>
      <c r="G2162" s="12" t="s">
        <v>52</v>
      </c>
    </row>
    <row r="2163">
      <c r="A2163" s="4" t="s">
        <v>104</v>
      </c>
      <c r="B2163" s="5"/>
      <c r="C2163" s="6"/>
      <c r="D2163" s="2" t="s">
        <v>8</v>
      </c>
      <c r="E2163" s="2" t="s">
        <v>8</v>
      </c>
      <c r="F2163" s="2" t="s">
        <v>8</v>
      </c>
      <c r="G2163" s="12" t="s">
        <v>20</v>
      </c>
    </row>
    <row r="2164">
      <c r="A2164" s="4" t="s">
        <v>105</v>
      </c>
      <c r="B2164" s="5"/>
      <c r="C2164" s="6"/>
      <c r="D2164" s="2" t="s">
        <v>8</v>
      </c>
      <c r="E2164" s="2" t="s">
        <v>8</v>
      </c>
      <c r="F2164" s="2" t="s">
        <v>8</v>
      </c>
      <c r="G2164" s="12" t="s">
        <v>58</v>
      </c>
    </row>
    <row r="2165">
      <c r="A2165" s="4" t="s">
        <v>106</v>
      </c>
      <c r="B2165" s="5"/>
      <c r="C2165" s="6"/>
      <c r="D2165" s="2" t="s">
        <v>8</v>
      </c>
      <c r="E2165" s="2" t="s">
        <v>8</v>
      </c>
      <c r="F2165" s="2" t="s">
        <v>8</v>
      </c>
      <c r="G2165" s="12" t="s">
        <v>49</v>
      </c>
    </row>
    <row r="2166">
      <c r="A2166" s="4" t="s">
        <v>107</v>
      </c>
      <c r="B2166" s="5"/>
      <c r="C2166" s="6"/>
      <c r="D2166" s="2" t="s">
        <v>8</v>
      </c>
      <c r="E2166" s="2" t="s">
        <v>8</v>
      </c>
      <c r="F2166" s="2" t="s">
        <v>8</v>
      </c>
      <c r="G2166" s="12" t="s">
        <v>58</v>
      </c>
    </row>
    <row r="2167">
      <c r="A2167" s="4" t="s">
        <v>108</v>
      </c>
      <c r="B2167" s="5"/>
      <c r="C2167" s="6"/>
      <c r="D2167" s="2" t="s">
        <v>8</v>
      </c>
      <c r="E2167" s="2" t="s">
        <v>8</v>
      </c>
      <c r="F2167" s="2" t="s">
        <v>8</v>
      </c>
      <c r="G2167" s="12" t="s">
        <v>58</v>
      </c>
    </row>
    <row r="2168">
      <c r="A2168" s="4" t="s">
        <v>109</v>
      </c>
      <c r="B2168" s="5"/>
      <c r="C2168" s="6"/>
      <c r="D2168" s="2" t="s">
        <v>8</v>
      </c>
      <c r="E2168" s="2" t="s">
        <v>8</v>
      </c>
      <c r="F2168" s="2" t="s">
        <v>8</v>
      </c>
      <c r="G2168" s="12" t="s">
        <v>58</v>
      </c>
    </row>
    <row r="2169">
      <c r="A2169" s="4" t="s">
        <v>106</v>
      </c>
      <c r="B2169" s="5"/>
      <c r="C2169" s="6"/>
      <c r="D2169" s="2" t="s">
        <v>8</v>
      </c>
      <c r="E2169" s="2" t="s">
        <v>8</v>
      </c>
      <c r="F2169" s="2" t="s">
        <v>8</v>
      </c>
      <c r="G2169" s="2" t="s">
        <v>13</v>
      </c>
    </row>
    <row r="2170">
      <c r="A2170" s="4" t="s">
        <v>110</v>
      </c>
      <c r="B2170" s="5"/>
      <c r="C2170" s="6"/>
      <c r="D2170" s="2" t="s">
        <v>8</v>
      </c>
      <c r="E2170" s="2" t="s">
        <v>8</v>
      </c>
      <c r="F2170" s="2" t="s">
        <v>8</v>
      </c>
      <c r="G2170" s="12" t="s">
        <v>49</v>
      </c>
    </row>
    <row r="2171">
      <c r="A2171" s="4" t="s">
        <v>110</v>
      </c>
      <c r="B2171" s="5"/>
      <c r="C2171" s="6"/>
      <c r="D2171" s="2" t="s">
        <v>8</v>
      </c>
      <c r="E2171" s="2" t="s">
        <v>8</v>
      </c>
      <c r="F2171" s="2" t="s">
        <v>8</v>
      </c>
      <c r="G2171" s="2" t="s">
        <v>13</v>
      </c>
    </row>
    <row r="2172">
      <c r="A2172" s="4" t="s">
        <v>111</v>
      </c>
      <c r="B2172" s="5"/>
      <c r="C2172" s="6"/>
      <c r="D2172" s="2" t="s">
        <v>8</v>
      </c>
      <c r="E2172" s="2" t="s">
        <v>8</v>
      </c>
      <c r="F2172" s="2" t="s">
        <v>8</v>
      </c>
      <c r="G2172" s="12" t="s">
        <v>58</v>
      </c>
    </row>
    <row r="2173">
      <c r="A2173" s="4" t="s">
        <v>112</v>
      </c>
      <c r="B2173" s="5"/>
      <c r="C2173" s="6"/>
      <c r="D2173" s="2" t="s">
        <v>8</v>
      </c>
      <c r="E2173" s="2" t="s">
        <v>8</v>
      </c>
      <c r="F2173" s="2" t="s">
        <v>8</v>
      </c>
      <c r="G2173" s="12" t="s">
        <v>58</v>
      </c>
    </row>
    <row r="2174">
      <c r="A2174" s="4" t="s">
        <v>113</v>
      </c>
      <c r="B2174" s="5"/>
      <c r="C2174" s="6"/>
      <c r="D2174" s="2" t="s">
        <v>8</v>
      </c>
      <c r="E2174" s="2" t="s">
        <v>8</v>
      </c>
      <c r="F2174" s="2" t="s">
        <v>8</v>
      </c>
      <c r="G2174" s="12" t="s">
        <v>58</v>
      </c>
    </row>
    <row r="2175">
      <c r="A2175" s="4" t="s">
        <v>114</v>
      </c>
      <c r="B2175" s="5"/>
      <c r="C2175" s="6"/>
      <c r="D2175" s="2" t="s">
        <v>8</v>
      </c>
      <c r="E2175" s="2" t="s">
        <v>8</v>
      </c>
      <c r="F2175" s="2" t="s">
        <v>8</v>
      </c>
      <c r="G2175" s="12" t="s">
        <v>58</v>
      </c>
    </row>
    <row r="2176">
      <c r="A2176" s="4" t="s">
        <v>115</v>
      </c>
      <c r="B2176" s="5"/>
      <c r="C2176" s="6"/>
      <c r="D2176" s="2" t="s">
        <v>8</v>
      </c>
      <c r="E2176" s="2" t="s">
        <v>8</v>
      </c>
      <c r="F2176" s="2" t="s">
        <v>8</v>
      </c>
      <c r="G2176" s="12" t="s">
        <v>7</v>
      </c>
    </row>
    <row r="2177">
      <c r="A2177" s="4" t="s">
        <v>116</v>
      </c>
      <c r="B2177" s="5"/>
      <c r="C2177" s="6"/>
      <c r="D2177" s="2" t="s">
        <v>8</v>
      </c>
      <c r="E2177" s="2" t="s">
        <v>8</v>
      </c>
      <c r="F2177" s="2" t="s">
        <v>8</v>
      </c>
      <c r="G2177" s="12" t="s">
        <v>52</v>
      </c>
    </row>
    <row r="2178">
      <c r="A2178" s="4" t="s">
        <v>117</v>
      </c>
      <c r="B2178" s="5"/>
      <c r="C2178" s="6"/>
      <c r="D2178" s="2" t="s">
        <v>8</v>
      </c>
      <c r="E2178" s="2" t="s">
        <v>8</v>
      </c>
      <c r="F2178" s="2" t="s">
        <v>8</v>
      </c>
      <c r="G2178" s="12" t="s">
        <v>7</v>
      </c>
    </row>
    <row r="2179">
      <c r="A2179" s="4" t="s">
        <v>118</v>
      </c>
      <c r="B2179" s="5"/>
      <c r="C2179" s="6"/>
      <c r="D2179" s="2" t="s">
        <v>8</v>
      </c>
      <c r="E2179" s="2" t="s">
        <v>8</v>
      </c>
      <c r="F2179" s="2" t="s">
        <v>8</v>
      </c>
      <c r="G2179" s="12" t="s">
        <v>49</v>
      </c>
    </row>
    <row r="2180">
      <c r="A2180" s="4" t="s">
        <v>118</v>
      </c>
      <c r="B2180" s="5"/>
      <c r="C2180" s="6"/>
      <c r="D2180" s="2" t="s">
        <v>8</v>
      </c>
      <c r="E2180" s="2" t="s">
        <v>8</v>
      </c>
      <c r="F2180" s="2" t="s">
        <v>8</v>
      </c>
      <c r="G2180" s="2" t="s">
        <v>13</v>
      </c>
    </row>
    <row r="2181">
      <c r="A2181" s="4" t="s">
        <v>119</v>
      </c>
      <c r="B2181" s="5"/>
      <c r="C2181" s="6"/>
      <c r="D2181" s="2" t="s">
        <v>8</v>
      </c>
      <c r="E2181" s="2" t="s">
        <v>8</v>
      </c>
      <c r="F2181" s="2" t="s">
        <v>8</v>
      </c>
      <c r="G2181" s="12" t="s">
        <v>7</v>
      </c>
    </row>
    <row r="2182">
      <c r="A2182" s="4" t="s">
        <v>119</v>
      </c>
      <c r="B2182" s="5"/>
      <c r="C2182" s="6"/>
      <c r="D2182" s="2" t="s">
        <v>8</v>
      </c>
      <c r="E2182" s="2" t="s">
        <v>8</v>
      </c>
      <c r="F2182" s="2" t="s">
        <v>8</v>
      </c>
      <c r="G2182" s="2" t="s">
        <v>13</v>
      </c>
    </row>
    <row r="2183">
      <c r="A2183" s="4" t="s">
        <v>120</v>
      </c>
      <c r="B2183" s="5"/>
      <c r="C2183" s="6"/>
      <c r="D2183" s="2" t="s">
        <v>8</v>
      </c>
      <c r="E2183" s="2" t="s">
        <v>8</v>
      </c>
      <c r="F2183" s="2" t="s">
        <v>8</v>
      </c>
      <c r="G2183" s="12" t="s">
        <v>49</v>
      </c>
    </row>
    <row r="2184">
      <c r="A2184" s="4" t="s">
        <v>121</v>
      </c>
      <c r="B2184" s="5"/>
      <c r="C2184" s="6"/>
      <c r="D2184" s="2" t="s">
        <v>8</v>
      </c>
      <c r="E2184" s="2" t="s">
        <v>8</v>
      </c>
      <c r="F2184" s="2" t="s">
        <v>8</v>
      </c>
      <c r="G2184" s="12" t="s">
        <v>49</v>
      </c>
    </row>
    <row r="2185">
      <c r="A2185" s="4" t="s">
        <v>122</v>
      </c>
      <c r="B2185" s="5"/>
      <c r="C2185" s="6"/>
      <c r="D2185" s="2" t="s">
        <v>8</v>
      </c>
      <c r="E2185" s="2" t="s">
        <v>8</v>
      </c>
      <c r="F2185" s="2" t="s">
        <v>8</v>
      </c>
      <c r="G2185" s="12" t="s">
        <v>52</v>
      </c>
    </row>
    <row r="2186">
      <c r="A2186" s="4" t="s">
        <v>123</v>
      </c>
      <c r="B2186" s="2" t="s">
        <v>124</v>
      </c>
      <c r="C2186" s="3">
        <v>2000.0</v>
      </c>
      <c r="D2186" s="2" t="s">
        <v>14</v>
      </c>
      <c r="E2186" s="2" t="s">
        <v>14</v>
      </c>
      <c r="F2186" s="2" t="s">
        <v>8</v>
      </c>
      <c r="G2186" s="2" t="s">
        <v>49</v>
      </c>
    </row>
    <row r="2187">
      <c r="A2187" s="4" t="s">
        <v>125</v>
      </c>
      <c r="B2187" s="5"/>
      <c r="C2187" s="6"/>
      <c r="D2187" s="2" t="s">
        <v>8</v>
      </c>
      <c r="E2187" s="2" t="s">
        <v>8</v>
      </c>
      <c r="F2187" s="2" t="s">
        <v>8</v>
      </c>
      <c r="G2187" s="12" t="s">
        <v>52</v>
      </c>
    </row>
    <row r="2188">
      <c r="A2188" s="4" t="s">
        <v>126</v>
      </c>
      <c r="B2188" s="5"/>
      <c r="C2188" s="6"/>
      <c r="D2188" s="2" t="s">
        <v>8</v>
      </c>
      <c r="E2188" s="2" t="s">
        <v>8</v>
      </c>
      <c r="F2188" s="2" t="s">
        <v>8</v>
      </c>
      <c r="G2188" s="12" t="s">
        <v>7</v>
      </c>
    </row>
    <row r="2189">
      <c r="A2189" s="4" t="s">
        <v>127</v>
      </c>
      <c r="B2189" s="5"/>
      <c r="C2189" s="6"/>
      <c r="D2189" s="2" t="s">
        <v>8</v>
      </c>
      <c r="E2189" s="2" t="s">
        <v>8</v>
      </c>
      <c r="F2189" s="2" t="s">
        <v>8</v>
      </c>
      <c r="G2189" s="12" t="s">
        <v>7</v>
      </c>
    </row>
    <row r="2190">
      <c r="A2190" s="4" t="s">
        <v>128</v>
      </c>
      <c r="B2190" s="5"/>
      <c r="C2190" s="6"/>
      <c r="D2190" s="2" t="s">
        <v>8</v>
      </c>
      <c r="E2190" s="2" t="s">
        <v>8</v>
      </c>
      <c r="F2190" s="2" t="s">
        <v>8</v>
      </c>
      <c r="G2190" s="12" t="s">
        <v>7</v>
      </c>
    </row>
    <row r="2191">
      <c r="A2191" s="4" t="s">
        <v>129</v>
      </c>
      <c r="B2191" s="5"/>
      <c r="C2191" s="6"/>
      <c r="D2191" s="2" t="s">
        <v>8</v>
      </c>
      <c r="E2191" s="2" t="s">
        <v>8</v>
      </c>
      <c r="F2191" s="2" t="s">
        <v>8</v>
      </c>
      <c r="G2191" s="12" t="s">
        <v>7</v>
      </c>
    </row>
    <row r="2192">
      <c r="A2192" s="4" t="s">
        <v>130</v>
      </c>
      <c r="B2192" s="5"/>
      <c r="C2192" s="6"/>
      <c r="D2192" s="2" t="s">
        <v>8</v>
      </c>
      <c r="E2192" s="2" t="s">
        <v>8</v>
      </c>
      <c r="F2192" s="2" t="s">
        <v>8</v>
      </c>
      <c r="G2192" s="12" t="s">
        <v>49</v>
      </c>
    </row>
    <row r="2193">
      <c r="A2193" s="4" t="s">
        <v>131</v>
      </c>
      <c r="B2193" s="5"/>
      <c r="C2193" s="6"/>
      <c r="D2193" s="2" t="s">
        <v>8</v>
      </c>
      <c r="E2193" s="2" t="s">
        <v>8</v>
      </c>
      <c r="F2193" s="2" t="s">
        <v>8</v>
      </c>
      <c r="G2193" s="12" t="s">
        <v>49</v>
      </c>
    </row>
    <row r="2194">
      <c r="A2194" s="4" t="s">
        <v>132</v>
      </c>
      <c r="B2194" s="5"/>
      <c r="C2194" s="6"/>
      <c r="D2194" s="2" t="s">
        <v>8</v>
      </c>
      <c r="E2194" s="2" t="s">
        <v>8</v>
      </c>
      <c r="F2194" s="2" t="s">
        <v>8</v>
      </c>
      <c r="G2194" s="12" t="s">
        <v>7</v>
      </c>
    </row>
    <row r="2195">
      <c r="A2195" s="4" t="s">
        <v>133</v>
      </c>
      <c r="B2195" s="5"/>
      <c r="C2195" s="6"/>
      <c r="D2195" s="2" t="s">
        <v>8</v>
      </c>
      <c r="E2195" s="2" t="s">
        <v>8</v>
      </c>
      <c r="F2195" s="2" t="s">
        <v>8</v>
      </c>
      <c r="G2195" s="12" t="s">
        <v>58</v>
      </c>
    </row>
    <row r="2196">
      <c r="A2196" s="4" t="s">
        <v>133</v>
      </c>
      <c r="B2196" s="5"/>
      <c r="C2196" s="6"/>
      <c r="D2196" s="2" t="s">
        <v>8</v>
      </c>
      <c r="E2196" s="2" t="s">
        <v>8</v>
      </c>
      <c r="F2196" s="2" t="s">
        <v>8</v>
      </c>
      <c r="G2196" s="5" t="s">
        <v>58</v>
      </c>
    </row>
  </sheetData>
  <autoFilter ref="$A$1:$G$21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40.75"/>
    <col customWidth="1" min="3" max="3" width="15.25"/>
    <col customWidth="1" min="4" max="4" width="15.63"/>
    <col customWidth="1" min="5" max="5" width="16.75"/>
    <col customWidth="1" min="6" max="6" width="20.88"/>
    <col customWidth="1" min="7" max="7" width="14.75"/>
    <col customWidth="1" min="8" max="8" width="25.63"/>
    <col customWidth="1" min="9" max="9" width="12.5"/>
    <col customWidth="1" min="17" max="17" width="19.5"/>
    <col customWidth="1" min="18" max="18" width="16.88"/>
  </cols>
  <sheetData>
    <row r="1">
      <c r="A1" s="1" t="s">
        <v>134</v>
      </c>
      <c r="B1" s="1" t="s">
        <v>135</v>
      </c>
      <c r="C1" s="1" t="s">
        <v>1</v>
      </c>
      <c r="D1" s="3" t="s">
        <v>2</v>
      </c>
      <c r="E1" s="1" t="s">
        <v>136</v>
      </c>
      <c r="F1" s="1" t="s">
        <v>137</v>
      </c>
      <c r="G1" s="1" t="s">
        <v>138</v>
      </c>
      <c r="H1" s="1" t="s">
        <v>139</v>
      </c>
      <c r="I1" s="3" t="s">
        <v>140</v>
      </c>
      <c r="J1" s="3" t="s">
        <v>141</v>
      </c>
      <c r="K1" s="3" t="s">
        <v>142</v>
      </c>
      <c r="L1" s="3" t="s">
        <v>143</v>
      </c>
      <c r="M1" s="3" t="s">
        <v>144</v>
      </c>
      <c r="N1" s="3" t="s">
        <v>145</v>
      </c>
      <c r="O1" s="3" t="s">
        <v>146</v>
      </c>
      <c r="P1" s="3" t="s">
        <v>147</v>
      </c>
      <c r="Q1" s="1" t="s">
        <v>148</v>
      </c>
      <c r="R1" s="1" t="s">
        <v>149</v>
      </c>
    </row>
    <row r="2">
      <c r="A2" s="4" t="str">
        <f>IFERROR(__xludf.DUMMYFUNCTION("FILTER(IMPORTRANGE(""https://docs.google.com/spreadsheets/d/1kGrh75X1cNR1D7_FcY9zMnHP8iPO4M5RCRjy6nZY0TY/edit#gid=1248694442"",""Table 1: Study characteristics!A4:A175""),IMPORTRANGE(""https://docs.google.com/spreadsheets/d/1kGrh75X1cNR1D7_FcY9zMnHP8iPO4M"&amp;"5RCRjy6nZY0TY/edit#gid=1248694442"",""Table 1: Study characteristics!D4:D175"")=""Passed"")"),"ID 1")</f>
        <v>ID 1</v>
      </c>
      <c r="B2" s="13" t="s">
        <v>150</v>
      </c>
      <c r="C2" s="4" t="str">
        <f>IFERROR(__xludf.DUMMYFUNCTION("LEFT(FILTER(IMPORTRANGE(""https://docs.google.com/spreadsheets/d/1kGrh75X1cNR1D7_FcY9zMnHP8iPO4M5RCRjy6nZY0TY/edit#gid=1248694442"",""Table 1: Study characteristics!C4:C175""), $A2=IMPORTRANGE(""https://docs.google.com/spreadsheets/d/1kGrh75X1cNR1D7_FcY9z"&amp;"MnHP8iPO4M5RCRjy6nZY0TY/edit#gid=1248694442"",""Table 1: Study characteristics!A4:A175"")),SEARCH("","",FILTER(IMPORTRANGE(""https://docs.google.com/spreadsheets/d/1kGrh75X1cNR1D7_FcY9zMnHP8iPO4M5RCRjy6nZY0TY/edit#gid=1248694442"",""Table 1: Study charact"&amp;"eristics!C4:C175""), $A2=IMPORTRANGE(""https://docs.google.com/spreadsheets/d/1kGrh75X1cNR1D7_FcY9zMnHP8iPO4M5RCRjy6nZY0TY/edit#gid=1248694442"",""Table 1: Study characteristics!A4:A175"")))-1)"),"Martínez-Lage")</f>
        <v>Martínez-Lage</v>
      </c>
      <c r="D2" s="4">
        <f>IFERROR(__xludf.DUMMYFUNCTION("FILTER(IMPORTRANGE(""https://docs.google.com/spreadsheets/d/1kGrh75X1cNR1D7_FcY9zMnHP8iPO4M5RCRjy6nZY0TY/edit#gid=1248694442"",""Table 1: Study characteristics!K4:K175""), $A2=IMPORTRANGE(""https://docs.google.com/spreadsheets/d/1kGrh75X1cNR1D7_FcY9zMnHP8"&amp;"iPO4M5RCRjy6nZY0TY/edit#gid=1248694442"",""Table 1: Study characteristics!A4:A175""))"),2005.0)</f>
        <v>2005</v>
      </c>
      <c r="E2" s="4" t="str">
        <f>IFERROR(__xludf.DUMMYFUNCTION("FILTER(IMPORTRANGE(""https://docs.google.com/spreadsheets/d/1kGrh75X1cNR1D7_FcY9zMnHP8iPO4M5RCRjy6nZY0TY/edit#gid=1248694442"",""Table 1: Study characteristics!M4:M175""), $A2=IMPORTRANGE(""https://docs.google.com/spreadsheets/d/1kGrh75X1cNR1D7_FcY9zMnHP8"&amp;"iPO4M5RCRjy6nZY0TY/edit#gid=1248694442"",""Table 1: Study characteristics!A4:A175""))"),"Lower middle income")</f>
        <v>Lower middle income</v>
      </c>
      <c r="F2" s="4" t="str">
        <f>IFERROR(__xludf.DUMMYFUNCTION("FILTER(IMPORTRANGE(""https://docs.google.com/spreadsheets/d/1kGrh75X1cNR1D7_FcY9zMnHP8iPO4M5RCRjy6nZY0TY/edit#gid=1248694442"",""Table 1: Study characteristics!N4:N175""), $A2=IMPORTRANGE(""https://docs.google.com/spreadsheets/d/1kGrh75X1cNR1D7_FcY9zMnHP8"&amp;"iPO4M5RCRjy6nZY0TY/edit#gid=1248694442"",""Table 1: Study characteristics!A4:A175""))"),"Latin America &amp; Caribbean")</f>
        <v>Latin America &amp; Caribbean</v>
      </c>
      <c r="G2" s="4" t="str">
        <f>IFERROR(__xludf.DUMMYFUNCTION("FILTER(IMPORTRANGE(""https://docs.google.com/spreadsheets/d/1kGrh75X1cNR1D7_FcY9zMnHP8iPO4M5RCRjy6nZY0TY/edit#gid=1248694442"",""Table 1: Study characteristics!J4:J175""), $A2=IMPORTRANGE(""https://docs.google.com/spreadsheets/d/1kGrh75X1cNR1D7_FcY9zMnHP8"&amp;"iPO4M5RCRjy6nZY0TY/edit#gid=1248694442"",""Table 1: Study characteristics!A4:A175""))"),"Bolivia")</f>
        <v>Bolivia</v>
      </c>
      <c r="H2" s="4" t="str">
        <f>IFERROR(__xludf.DUMMYFUNCTION("FILTER(IMPORTRANGE(""https://docs.google.com/spreadsheets/d/1kGrh75X1cNR1D7_FcY9zMnHP8iPO4M5RCRjy6nZY0TY/edit#gid=1248694442"",""Table 1: Study characteristics!O4:O175""), $A2=IMPORTRANGE(""https://docs.google.com/spreadsheets/d/1kGrh75X1cNR1D7_FcY9zMnHP8"&amp;"iPO4M5RCRjy6nZY0TY/edit#gid=1248694442"",""Table 1: Study characteristics!A4:A175""))"),"Retrospective study (unspecified)")</f>
        <v>Retrospective study (unspecified)</v>
      </c>
      <c r="I2" s="14" t="str">
        <f>IFERROR(__xludf.DUMMYFUNCTION("IFNA(FILTER(IMPORTRANGE(""https://docs.google.com/spreadsheets/d/1kGrh75X1cNR1D7_FcY9zMnHP8iPO4M5RCRjy6nZY0TY/edit#gid=1248694442"",""Table 3: 1st-line HC!C5:C111""), $A2=IMPORTRANGE(""https://docs.google.com/spreadsheets/d/1kGrh75X1cNR1D7_FcY9zMnHP8iPO4M"&amp;"5RCRjy6nZY0TY/edit#gid=1248694442"",""Table 3: 1st-line HC!A5:A111"")),"""")"),"Unselected")</f>
        <v>Unselected</v>
      </c>
      <c r="J2" s="4">
        <f>IFERROR(__xludf.DUMMYFUNCTION("FILTER(IMPORTRANGE(""https://docs.google.com/spreadsheets/d/1kGrh75X1cNR1D7_FcY9zMnHP8iPO4M5RCRjy6nZY0TY/edit#gid=1248694442"",""Table 1: Study characteristics!P4:P175""), $A2=IMPORTRANGE(""https://docs.google.com/spreadsheets/d/1kGrh75X1cNR1D7_FcY9zMnHP8"&amp;"iPO4M5RCRjy6nZY0TY/edit#gid=1248694442"",""Table 1: Study characteristics!A4:A175""))"),39.0)</f>
        <v>39</v>
      </c>
      <c r="K2" s="4" t="str">
        <f>IFERROR(__xludf.DUMMYFUNCTION("FILTER(IMPORTRANGE(""https://docs.google.com/spreadsheets/d/1kGrh75X1cNR1D7_FcY9zMnHP8iPO4M5RCRjy6nZY0TY/edit#gid=1248694442"",""Table 1: Study characteristics!U4:U175""), $A2=IMPORTRANGE(""https://docs.google.com/spreadsheets/d/1kGrh75X1cNR1D7_FcY9zMnHP8"&amp;"iPO4M5RCRjy6nZY0TY/edit#gid=1248694442"",""Table 1: Study characteristics!A4:A175""))"),"")</f>
        <v/>
      </c>
      <c r="L2" s="4" t="str">
        <f>IFERROR(__xludf.DUMMYFUNCTION("FILTER(IMPORTRANGE(""https://docs.google.com/spreadsheets/d/1kGrh75X1cNR1D7_FcY9zMnHP8iPO4M5RCRjy6nZY0TY/edit#gid=1248694442"",""Table 1: Study characteristics!V4:V175""), $A2=IMPORTRANGE(""https://docs.google.com/spreadsheets/d/1kGrh75X1cNR1D7_FcY9zMnHP8"&amp;"iPO4M5RCRjy6nZY0TY/edit#gid=1248694442"",""Table 1: Study characteristics!A4:A175""))"),"")</f>
        <v/>
      </c>
      <c r="M2" s="4">
        <f>IFERROR(__xludf.DUMMYFUNCTION("FILTER(IMPORTRANGE(""https://docs.google.com/spreadsheets/d/1kGrh75X1cNR1D7_FcY9zMnHP8iPO4M5RCRjy6nZY0TY/edit#gid=1248694442"",""Table 1: Study characteristics!Q4:Q175""), $A2=IMPORTRANGE(""https://docs.google.com/spreadsheets/d/1kGrh75X1cNR1D7_FcY9zMnHP8"&amp;"iPO4M5RCRjy6nZY0TY/edit#gid=1248694442"",""Table 1: Study characteristics!A4:A175""))"),228.0)</f>
        <v>228</v>
      </c>
      <c r="N2" s="4" t="str">
        <f>IFERROR(__xludf.DUMMYFUNCTION("FILTER(IMPORTRANGE(""https://docs.google.com/spreadsheets/d/1kGrh75X1cNR1D7_FcY9zMnHP8iPO4M5RCRjy6nZY0TY/edit#gid=1248694442"",""Table 1: Study characteristics!R4:R175""), $A2=IMPORTRANGE(""https://docs.google.com/spreadsheets/d/1kGrh75X1cNR1D7_FcY9zMnHP8"&amp;"iPO4M5RCRjy6nZY0TY/edit#gid=1248694442"",""Table 1: Study characteristics!A4:A175""))"),"")</f>
        <v/>
      </c>
      <c r="O2" s="4" t="str">
        <f>IFERROR(__xludf.DUMMYFUNCTION("FILTER(IMPORTRANGE(""https://docs.google.com/spreadsheets/d/1kGrh75X1cNR1D7_FcY9zMnHP8iPO4M5RCRjy6nZY0TY/edit#gid=1248694442"",""Table 1: Study characteristics!S4:S175""), $A2=IMPORTRANGE(""https://docs.google.com/spreadsheets/d/1kGrh75X1cNR1D7_FcY9zMnHP8"&amp;"iPO4M5RCRjy6nZY0TY/edit#gid=1248694442"",""Table 1: Study characteristics!A4:A175""))"),"")</f>
        <v/>
      </c>
      <c r="P2" s="6" t="str">
        <f>IFERROR(__xludf.DUMMYFUNCTION("FILTER(IMPORTRANGE(""https://docs.google.com/spreadsheets/d/1kGrh75X1cNR1D7_FcY9zMnHP8iPO4M5RCRjy6nZY0TY/edit#gid=1248694442"",""Table 1: Study characteristics!T4:T175""), $A2=IMPORTRANGE(""https://docs.google.com/spreadsheets/d/1kGrh75X1cNR1D7_FcY9zMnHP8"&amp;"iPO4M5RCRjy6nZY0TY/edit#gid=1248694442"",""Table 1: Study characteristics!A4:A175""))"),"0.7-14.43")</f>
        <v>0.7-14.43</v>
      </c>
      <c r="Q2" s="6" t="str">
        <f>IFERROR(__xludf.DUMMYFUNCTION("FILTER(IMPORTRANGE(""https://docs.google.com/spreadsheets/d/1kGrh75X1cNR1D7_FcY9zMnHP8iPO4M5RCRjy6nZY0TY/edit#gid=1248694442"",""Table 1: Study characteristics!L4:L175""), $A2=IMPORTRANGE(""https://docs.google.com/spreadsheets/d/1kGrh75X1cNR1D7_FcY9zMnHP8"&amp;"iPO4M5RCRjy6nZY0TY/edit#gid=1248694442"",""Table 1: Study characteristics!A4:A175""))"),"1993-2002")</f>
        <v>1993-2002</v>
      </c>
      <c r="R2" s="4" t="str">
        <f>IFERROR(__xludf.DUMMYFUNCTION("FILTER(IMPORTRANGE(""https://docs.google.com/spreadsheets/d/1kGrh75X1cNR1D7_FcY9zMnHP8iPO4M5RCRjy6nZY0TY/edit#gid=1248694442"",""Table 1: Study characteristics!I4:I175""), $A2=IMPORTRANGE(""https://docs.google.com/spreadsheets/d/1kGrh75X1cNR1D7_FcY9zMnHP8"&amp;"iPO4M5RCRjy6nZY0TY/edit#gid=1248694442"",""Table 1: Study characteristics!A4:A175""))"),"Spanish")</f>
        <v>Spanish</v>
      </c>
    </row>
    <row r="3">
      <c r="A3" s="4" t="str">
        <f>IFERROR(__xludf.DUMMYFUNCTION("""COMPUTED_VALUE"""),"ID 4")</f>
        <v>ID 4</v>
      </c>
      <c r="B3" s="15" t="s">
        <v>151</v>
      </c>
      <c r="C3" s="4" t="str">
        <f>IFERROR(__xludf.DUMMYFUNCTION("LEFT(FILTER(IMPORTRANGE(""https://docs.google.com/spreadsheets/d/1kGrh75X1cNR1D7_FcY9zMnHP8iPO4M5RCRjy6nZY0TY/edit#gid=1248694442"",""Table 1: Study characteristics!C4:C175""), $A3=IMPORTRANGE(""https://docs.google.com/spreadsheets/d/1kGrh75X1cNR1D7_FcY9z"&amp;"MnHP8iPO4M5RCRjy6nZY0TY/edit#gid=1248694442"",""Table 1: Study characteristics!A4:A175"")),SEARCH("","",FILTER(IMPORTRANGE(""https://docs.google.com/spreadsheets/d/1kGrh75X1cNR1D7_FcY9zMnHP8iPO4M5RCRjy6nZY0TY/edit#gid=1248694442"",""Table 1: Study charact"&amp;"eristics!C4:C175""), $A3=IMPORTRANGE(""https://docs.google.com/spreadsheets/d/1kGrh75X1cNR1D7_FcY9zMnHP8iPO4M5RCRjy6nZY0TY/edit#gid=1248694442"",""Table 1: Study characteristics!A4:A175"")))-1)"),"Sacar")</f>
        <v>Sacar</v>
      </c>
      <c r="D3" s="4">
        <f>IFERROR(__xludf.DUMMYFUNCTION("FILTER(IMPORTRANGE(""https://docs.google.com/spreadsheets/d/1kGrh75X1cNR1D7_FcY9zMnHP8iPO4M5RCRjy6nZY0TY/edit#gid=1248694442"",""Table 1: Study characteristics!K4:K175""), $A3=IMPORTRANGE(""https://docs.google.com/spreadsheets/d/1kGrh75X1cNR1D7_FcY9zMnHP8"&amp;"iPO4M5RCRjy6nZY0TY/edit#gid=1248694442"",""Table 1: Study characteristics!A4:A175""))"),2006.0)</f>
        <v>2006</v>
      </c>
      <c r="E3" s="4" t="str">
        <f>IFERROR(__xludf.DUMMYFUNCTION("FILTER(IMPORTRANGE(""https://docs.google.com/spreadsheets/d/1kGrh75X1cNR1D7_FcY9zMnHP8iPO4M5RCRjy6nZY0TY/edit#gid=1248694442"",""Table 1: Study characteristics!M4:M175""), $A3=IMPORTRANGE(""https://docs.google.com/spreadsheets/d/1kGrh75X1cNR1D7_FcY9zMnHP8"&amp;"iPO4M5RCRjy6nZY0TY/edit#gid=1248694442"",""Table 1: Study characteristics!A4:A175""))"),"Upper middle income")</f>
        <v>Upper middle income</v>
      </c>
      <c r="F3" s="4" t="str">
        <f>IFERROR(__xludf.DUMMYFUNCTION("FILTER(IMPORTRANGE(""https://docs.google.com/spreadsheets/d/1kGrh75X1cNR1D7_FcY9zMnHP8iPO4M5RCRjy6nZY0TY/edit#gid=1248694442"",""Table 1: Study characteristics!N4:N175""), $A3=IMPORTRANGE(""https://docs.google.com/spreadsheets/d/1kGrh75X1cNR1D7_FcY9zMnHP8"&amp;"iPO4M5RCRjy6nZY0TY/edit#gid=1248694442"",""Table 1: Study characteristics!A4:A175""))"),"Europe &amp; Central Asia")</f>
        <v>Europe &amp; Central Asia</v>
      </c>
      <c r="G3" s="4" t="str">
        <f>IFERROR(__xludf.DUMMYFUNCTION("FILTER(IMPORTRANGE(""https://docs.google.com/spreadsheets/d/1kGrh75X1cNR1D7_FcY9zMnHP8iPO4M5RCRjy6nZY0TY/edit#gid=1248694442"",""Table 1: Study characteristics!J4:J175""), $A3=IMPORTRANGE(""https://docs.google.com/spreadsheets/d/1kGrh75X1cNR1D7_FcY9zMnHP8"&amp;"iPO4M5RCRjy6nZY0TY/edit#gid=1248694442"",""Table 1: Study characteristics!A4:A175""))"),"Turkey")</f>
        <v>Turkey</v>
      </c>
      <c r="H3" s="4" t="str">
        <f>IFERROR(__xludf.DUMMYFUNCTION("FILTER(IMPORTRANGE(""https://docs.google.com/spreadsheets/d/1kGrh75X1cNR1D7_FcY9zMnHP8iPO4M5RCRjy6nZY0TY/edit#gid=1248694442"",""Table 1: Study characteristics!O4:O175""), $A3=IMPORTRANGE(""https://docs.google.com/spreadsheets/d/1kGrh75X1cNR1D7_FcY9zMnHP8"&amp;"iPO4M5RCRjy6nZY0TY/edit#gid=1248694442"",""Table 1: Study characteristics!A4:A175""))"),"Retrospective study (unspecified)")</f>
        <v>Retrospective study (unspecified)</v>
      </c>
      <c r="I3" s="14" t="str">
        <f>IFERROR(__xludf.DUMMYFUNCTION("IFNA(FILTER(IMPORTRANGE(""https://docs.google.com/spreadsheets/d/1kGrh75X1cNR1D7_FcY9zMnHP8iPO4M5RCRjy6nZY0TY/edit#gid=1248694442"",""Table 3: 1st-line HC!C5:C111""), $A3=IMPORTRANGE(""https://docs.google.com/spreadsheets/d/1kGrh75X1cNR1D7_FcY9zMnHP8iPO4M"&amp;"5RCRjy6nZY0TY/edit#gid=1248694442"",""Table 3: 1st-line HC!A5:A111"")),"""")"),"Selected")</f>
        <v>Selected</v>
      </c>
      <c r="J3" s="4">
        <f>IFERROR(__xludf.DUMMYFUNCTION("FILTER(IMPORTRANGE(""https://docs.google.com/spreadsheets/d/1kGrh75X1cNR1D7_FcY9zMnHP8iPO4M5RCRjy6nZY0TY/edit#gid=1248694442"",""Table 1: Study characteristics!P4:P175""), $A3=IMPORTRANGE(""https://docs.google.com/spreadsheets/d/1kGrh75X1cNR1D7_FcY9zMnHP8"&amp;"iPO4M5RCRjy6nZY0TY/edit#gid=1248694442"",""Table 1: Study characteristics!A4:A175""))"),7.0)</f>
        <v>7</v>
      </c>
      <c r="K3" s="4">
        <f>IFERROR(__xludf.DUMMYFUNCTION("FILTER(IMPORTRANGE(""https://docs.google.com/spreadsheets/d/1kGrh75X1cNR1D7_FcY9zMnHP8iPO4M5RCRjy6nZY0TY/edit#gid=1248694442"",""Table 1: Study characteristics!U4:U175""), $A3=IMPORTRANGE(""https://docs.google.com/spreadsheets/d/1kGrh75X1cNR1D7_FcY9zMnHP8"&amp;"iPO4M5RCRjy6nZY0TY/edit#gid=1248694442"",""Table 1: Study characteristics!A4:A175""))"),3.0)</f>
        <v>3</v>
      </c>
      <c r="L3" s="4">
        <f>IFERROR(__xludf.DUMMYFUNCTION("FILTER(IMPORTRANGE(""https://docs.google.com/spreadsheets/d/1kGrh75X1cNR1D7_FcY9zMnHP8iPO4M5RCRjy6nZY0TY/edit#gid=1248694442"",""Table 1: Study characteristics!V4:V175""), $A3=IMPORTRANGE(""https://docs.google.com/spreadsheets/d/1kGrh75X1cNR1D7_FcY9zMnHP8"&amp;"iPO4M5RCRjy6nZY0TY/edit#gid=1248694442"",""Table 1: Study characteristics!A4:A175""))"),4.0)</f>
        <v>4</v>
      </c>
      <c r="M3" s="4">
        <f>IFERROR(__xludf.DUMMYFUNCTION("FILTER(IMPORTRANGE(""https://docs.google.com/spreadsheets/d/1kGrh75X1cNR1D7_FcY9zMnHP8iPO4M5RCRjy6nZY0TY/edit#gid=1248694442"",""Table 1: Study characteristics!Q4:Q175""), $A3=IMPORTRANGE(""https://docs.google.com/spreadsheets/d/1kGrh75X1cNR1D7_FcY9zMnHP8"&amp;"iPO4M5RCRjy6nZY0TY/edit#gid=1248694442"",""Table 1: Study characteristics!A4:A175""))"),45.56)</f>
        <v>45.56</v>
      </c>
      <c r="N3" s="4" t="str">
        <f>IFERROR(__xludf.DUMMYFUNCTION("FILTER(IMPORTRANGE(""https://docs.google.com/spreadsheets/d/1kGrh75X1cNR1D7_FcY9zMnHP8iPO4M5RCRjy6nZY0TY/edit#gid=1248694442"",""Table 1: Study characteristics!R4:R175""), $A3=IMPORTRANGE(""https://docs.google.com/spreadsheets/d/1kGrh75X1cNR1D7_FcY9zMnHP8"&amp;"iPO4M5RCRjy6nZY0TY/edit#gid=1248694442"",""Table 1: Study characteristics!A4:A175""))"),"")</f>
        <v/>
      </c>
      <c r="O3" s="4" t="str">
        <f>IFERROR(__xludf.DUMMYFUNCTION("FILTER(IMPORTRANGE(""https://docs.google.com/spreadsheets/d/1kGrh75X1cNR1D7_FcY9zMnHP8iPO4M5RCRjy6nZY0TY/edit#gid=1248694442"",""Table 1: Study characteristics!S4:S175""), $A3=IMPORTRANGE(""https://docs.google.com/spreadsheets/d/1kGrh75X1cNR1D7_FcY9zMnHP8"&amp;"iPO4M5RCRjy6nZY0TY/edit#gid=1248694442"",""Table 1: Study characteristics!A4:A175""))"),"")</f>
        <v/>
      </c>
      <c r="P3" s="6" t="str">
        <f>IFERROR(__xludf.DUMMYFUNCTION("FILTER(IMPORTRANGE(""https://docs.google.com/spreadsheets/d/1kGrh75X1cNR1D7_FcY9zMnHP8iPO4M5RCRjy6nZY0TY/edit#gid=1248694442"",""Table 1: Study characteristics!T4:T175""), $A3=IMPORTRANGE(""https://docs.google.com/spreadsheets/d/1kGrh75X1cNR1D7_FcY9zMnHP8"&amp;"iPO4M5RCRjy6nZY0TY/edit#gid=1248694442"",""Table 1: Study characteristics!A4:A175""))"),"")</f>
        <v/>
      </c>
      <c r="Q3" s="6" t="str">
        <f>IFERROR(__xludf.DUMMYFUNCTION("FILTER(IMPORTRANGE(""https://docs.google.com/spreadsheets/d/1kGrh75X1cNR1D7_FcY9zMnHP8iPO4M5RCRjy6nZY0TY/edit#gid=1248694442"",""Table 1: Study characteristics!L4:L175""), $A3=IMPORTRANGE(""https://docs.google.com/spreadsheets/d/1kGrh75X1cNR1D7_FcY9zMnHP8"&amp;"iPO4M5RCRjy6nZY0TY/edit#gid=1248694442"",""Table 1: Study characteristics!A4:A175""))"),"2000-2004")</f>
        <v>2000-2004</v>
      </c>
      <c r="R3" s="4" t="str">
        <f>IFERROR(__xludf.DUMMYFUNCTION("FILTER(IMPORTRANGE(""https://docs.google.com/spreadsheets/d/1kGrh75X1cNR1D7_FcY9zMnHP8iPO4M5RCRjy6nZY0TY/edit#gid=1248694442"",""Table 1: Study characteristics!I4:I175""), $A3=IMPORTRANGE(""https://docs.google.com/spreadsheets/d/1kGrh75X1cNR1D7_FcY9zMnHP8"&amp;"iPO4M5RCRjy6nZY0TY/edit#gid=1248694442"",""Table 1: Study characteristics!A4:A175""))"),"English")</f>
        <v>English</v>
      </c>
    </row>
    <row r="4">
      <c r="A4" s="4" t="str">
        <f>IFERROR(__xludf.DUMMYFUNCTION("""COMPUTED_VALUE"""),"ID 5")</f>
        <v>ID 5</v>
      </c>
      <c r="B4" s="13" t="s">
        <v>152</v>
      </c>
      <c r="C4" s="4" t="str">
        <f>IFERROR(__xludf.DUMMYFUNCTION("LEFT(FILTER(IMPORTRANGE(""https://docs.google.com/spreadsheets/d/1kGrh75X1cNR1D7_FcY9zMnHP8iPO4M5RCRjy6nZY0TY/edit#gid=1248694442"",""Table 1: Study characteristics!C4:C175""), $A4=IMPORTRANGE(""https://docs.google.com/spreadsheets/d/1kGrh75X1cNR1D7_FcY9z"&amp;"MnHP8iPO4M5RCRjy6nZY0TY/edit#gid=1248694442"",""Table 1: Study characteristics!A4:A175"")),SEARCH("","",FILTER(IMPORTRANGE(""https://docs.google.com/spreadsheets/d/1kGrh75X1cNR1D7_FcY9zMnHP8iPO4M5RCRjy6nZY0TY/edit#gid=1248694442"",""Table 1: Study charact"&amp;"eristics!C4:C175""), $A4=IMPORTRANGE(""https://docs.google.com/spreadsheets/d/1kGrh75X1cNR1D7_FcY9zMnHP8iPO4M5RCRjy6nZY0TY/edit#gid=1248694442"",""Table 1: Study characteristics!A4:A175"")))-1)"),"Clemmensen")</f>
        <v>Clemmensen</v>
      </c>
      <c r="D4" s="4">
        <f>IFERROR(__xludf.DUMMYFUNCTION("FILTER(IMPORTRANGE(""https://docs.google.com/spreadsheets/d/1kGrh75X1cNR1D7_FcY9zMnHP8iPO4M5RCRjy6nZY0TY/edit#gid=1248694442"",""Table 1: Study characteristics!K4:K175""), $A4=IMPORTRANGE(""https://docs.google.com/spreadsheets/d/1kGrh75X1cNR1D7_FcY9zMnHP8"&amp;"iPO4M5RCRjy6nZY0TY/edit#gid=1248694442"",""Table 1: Study characteristics!A4:A175""))"),2010.0)</f>
        <v>2010</v>
      </c>
      <c r="E4" s="4" t="str">
        <f>IFERROR(__xludf.DUMMYFUNCTION("FILTER(IMPORTRANGE(""https://docs.google.com/spreadsheets/d/1kGrh75X1cNR1D7_FcY9zMnHP8iPO4M5RCRjy6nZY0TY/edit#gid=1248694442"",""Table 1: Study characteristics!M4:M175""), $A4=IMPORTRANGE(""https://docs.google.com/spreadsheets/d/1kGrh75X1cNR1D7_FcY9zMnHP8"&amp;"iPO4M5RCRjy6nZY0TY/edit#gid=1248694442"",""Table 1: Study characteristics!A4:A175""))"),"High income")</f>
        <v>High income</v>
      </c>
      <c r="F4" s="4" t="str">
        <f>IFERROR(__xludf.DUMMYFUNCTION("FILTER(IMPORTRANGE(""https://docs.google.com/spreadsheets/d/1kGrh75X1cNR1D7_FcY9zMnHP8iPO4M5RCRjy6nZY0TY/edit#gid=1248694442"",""Table 1: Study characteristics!N4:N175""), $A4=IMPORTRANGE(""https://docs.google.com/spreadsheets/d/1kGrh75X1cNR1D7_FcY9zMnHP8"&amp;"iPO4M5RCRjy6nZY0TY/edit#gid=1248694442"",""Table 1: Study characteristics!A4:A175""))"),"Europe &amp; Central Asia")</f>
        <v>Europe &amp; Central Asia</v>
      </c>
      <c r="G4" s="4" t="str">
        <f>IFERROR(__xludf.DUMMYFUNCTION("FILTER(IMPORTRANGE(""https://docs.google.com/spreadsheets/d/1kGrh75X1cNR1D7_FcY9zMnHP8iPO4M5RCRjy6nZY0TY/edit#gid=1248694442"",""Table 1: Study characteristics!J4:J175""), $A4=IMPORTRANGE(""https://docs.google.com/spreadsheets/d/1kGrh75X1cNR1D7_FcY9zMnHP8"&amp;"iPO4M5RCRjy6nZY0TY/edit#gid=1248694442"",""Table 1: Study characteristics!A4:A175""))"),"Denmark")</f>
        <v>Denmark</v>
      </c>
      <c r="H4" s="4" t="str">
        <f>IFERROR(__xludf.DUMMYFUNCTION("FILTER(IMPORTRANGE(""https://docs.google.com/spreadsheets/d/1kGrh75X1cNR1D7_FcY9zMnHP8iPO4M5RCRjy6nZY0TY/edit#gid=1248694442"",""Table 1: Study characteristics!O4:O175""), $A4=IMPORTRANGE(""https://docs.google.com/spreadsheets/d/1kGrh75X1cNR1D7_FcY9zMnHP8"&amp;"iPO4M5RCRjy6nZY0TY/edit#gid=1248694442"",""Table 1: Study characteristics!A4:A175""))"),"Retrospective study (unspecified)")</f>
        <v>Retrospective study (unspecified)</v>
      </c>
      <c r="I4" s="14" t="str">
        <f>IFERROR(__xludf.DUMMYFUNCTION("IFNA(FILTER(IMPORTRANGE(""https://docs.google.com/spreadsheets/d/1kGrh75X1cNR1D7_FcY9zMnHP8iPO4M5RCRjy6nZY0TY/edit#gid=1248694442"",""Table 3: 1st-line HC!C5:C111""), $A4=IMPORTRANGE(""https://docs.google.com/spreadsheets/d/1kGrh75X1cNR1D7_FcY9zMnHP8iPO4M"&amp;"5RCRjy6nZY0TY/edit#gid=1248694442"",""Table 3: 1st-line HC!A5:A111"")),"""")"),"Selected")</f>
        <v>Selected</v>
      </c>
      <c r="J4" s="4">
        <f>IFERROR(__xludf.DUMMYFUNCTION("FILTER(IMPORTRANGE(""https://docs.google.com/spreadsheets/d/1kGrh75X1cNR1D7_FcY9zMnHP8iPO4M5RCRjy6nZY0TY/edit#gid=1248694442"",""Table 1: Study characteristics!P4:P175""), $A4=IMPORTRANGE(""https://docs.google.com/spreadsheets/d/1kGrh75X1cNR1D7_FcY9zMnHP8"&amp;"iPO4M5RCRjy6nZY0TY/edit#gid=1248694442"",""Table 1: Study characteristics!A4:A175""))"),59.0)</f>
        <v>59</v>
      </c>
      <c r="K4" s="4" t="str">
        <f>IFERROR(__xludf.DUMMYFUNCTION("FILTER(IMPORTRANGE(""https://docs.google.com/spreadsheets/d/1kGrh75X1cNR1D7_FcY9zMnHP8iPO4M5RCRjy6nZY0TY/edit#gid=1248694442"",""Table 1: Study characteristics!U4:U175""), $A4=IMPORTRANGE(""https://docs.google.com/spreadsheets/d/1kGrh75X1cNR1D7_FcY9zMnHP8"&amp;"iPO4M5RCRjy6nZY0TY/edit#gid=1248694442"",""Table 1: Study characteristics!A4:A175""))"),"")</f>
        <v/>
      </c>
      <c r="L4" s="4" t="str">
        <f>IFERROR(__xludf.DUMMYFUNCTION("FILTER(IMPORTRANGE(""https://docs.google.com/spreadsheets/d/1kGrh75X1cNR1D7_FcY9zMnHP8iPO4M5RCRjy6nZY0TY/edit#gid=1248694442"",""Table 1: Study characteristics!V4:V175""), $A4=IMPORTRANGE(""https://docs.google.com/spreadsheets/d/1kGrh75X1cNR1D7_FcY9zMnHP8"&amp;"iPO4M5RCRjy6nZY0TY/edit#gid=1248694442"",""Table 1: Study characteristics!A4:A175""))"),"")</f>
        <v/>
      </c>
      <c r="M4" s="4" t="str">
        <f>IFERROR(__xludf.DUMMYFUNCTION("FILTER(IMPORTRANGE(""https://docs.google.com/spreadsheets/d/1kGrh75X1cNR1D7_FcY9zMnHP8iPO4M5RCRjy6nZY0TY/edit#gid=1248694442"",""Table 1: Study characteristics!Q4:Q175""), $A4=IMPORTRANGE(""https://docs.google.com/spreadsheets/d/1kGrh75X1cNR1D7_FcY9zMnHP8"&amp;"iPO4M5RCRjy6nZY0TY/edit#gid=1248694442"",""Table 1: Study characteristics!A4:A175""))"),"")</f>
        <v/>
      </c>
      <c r="N4" s="4" t="str">
        <f>IFERROR(__xludf.DUMMYFUNCTION("FILTER(IMPORTRANGE(""https://docs.google.com/spreadsheets/d/1kGrh75X1cNR1D7_FcY9zMnHP8iPO4M5RCRjy6nZY0TY/edit#gid=1248694442"",""Table 1: Study characteristics!R4:R175""), $A4=IMPORTRANGE(""https://docs.google.com/spreadsheets/d/1kGrh75X1cNR1D7_FcY9zMnHP8"&amp;"iPO4M5RCRjy6nZY0TY/edit#gid=1248694442"",""Table 1: Study characteristics!A4:A175""))"),"")</f>
        <v/>
      </c>
      <c r="O4" s="4" t="str">
        <f>IFERROR(__xludf.DUMMYFUNCTION("FILTER(IMPORTRANGE(""https://docs.google.com/spreadsheets/d/1kGrh75X1cNR1D7_FcY9zMnHP8iPO4M5RCRjy6nZY0TY/edit#gid=1248694442"",""Table 1: Study characteristics!S4:S175""), $A4=IMPORTRANGE(""https://docs.google.com/spreadsheets/d/1kGrh75X1cNR1D7_FcY9zMnHP8"&amp;"iPO4M5RCRjy6nZY0TY/edit#gid=1248694442"",""Table 1: Study characteristics!A4:A175""))"),"")</f>
        <v/>
      </c>
      <c r="P4" s="6" t="str">
        <f>IFERROR(__xludf.DUMMYFUNCTION("FILTER(IMPORTRANGE(""https://docs.google.com/spreadsheets/d/1kGrh75X1cNR1D7_FcY9zMnHP8iPO4M5RCRjy6nZY0TY/edit#gid=1248694442"",""Table 1: Study characteristics!T4:T175""), $A4=IMPORTRANGE(""https://docs.google.com/spreadsheets/d/1kGrh75X1cNR1D7_FcY9zMnHP8"&amp;"iPO4M5RCRjy6nZY0TY/edit#gid=1248694442"",""Table 1: Study characteristics!A4:A175""))"),"")</f>
        <v/>
      </c>
      <c r="Q4" s="6" t="str">
        <f>IFERROR(__xludf.DUMMYFUNCTION("FILTER(IMPORTRANGE(""https://docs.google.com/spreadsheets/d/1kGrh75X1cNR1D7_FcY9zMnHP8iPO4M5RCRjy6nZY0TY/edit#gid=1248694442"",""Table 1: Study characteristics!L4:L175""), $A4=IMPORTRANGE(""https://docs.google.com/spreadsheets/d/1kGrh75X1cNR1D7_FcY9zMnHP8"&amp;"iPO4M5RCRjy6nZY0TY/edit#gid=1248694442"",""Table 1: Study characteristics!A4:A175""))"),"1983-2007")</f>
        <v>1983-2007</v>
      </c>
      <c r="R4" s="4" t="str">
        <f>IFERROR(__xludf.DUMMYFUNCTION("FILTER(IMPORTRANGE(""https://docs.google.com/spreadsheets/d/1kGrh75X1cNR1D7_FcY9zMnHP8iPO4M5RCRjy6nZY0TY/edit#gid=1248694442"",""Table 1: Study characteristics!I4:I175""), $A4=IMPORTRANGE(""https://docs.google.com/spreadsheets/d/1kGrh75X1cNR1D7_FcY9zMnHP8"&amp;"iPO4M5RCRjy6nZY0TY/edit#gid=1248694442"",""Table 1: Study characteristics!A4:A175""))"),"English")</f>
        <v>English</v>
      </c>
    </row>
    <row r="5">
      <c r="A5" s="4" t="str">
        <f>IFERROR(__xludf.DUMMYFUNCTION("""COMPUTED_VALUE"""),"ID 6")</f>
        <v>ID 6</v>
      </c>
      <c r="B5" s="13" t="s">
        <v>153</v>
      </c>
      <c r="C5" s="4" t="str">
        <f>IFERROR(__xludf.DUMMYFUNCTION("LEFT(FILTER(IMPORTRANGE(""https://docs.google.com/spreadsheets/d/1kGrh75X1cNR1D7_FcY9zMnHP8iPO4M5RCRjy6nZY0TY/edit#gid=1248694442"",""Table 1: Study characteristics!C4:C175""), $A5=IMPORTRANGE(""https://docs.google.com/spreadsheets/d/1kGrh75X1cNR1D7_FcY9z"&amp;"MnHP8iPO4M5RCRjy6nZY0TY/edit#gid=1248694442"",""Table 1: Study characteristics!A4:A175"")),SEARCH("","",FILTER(IMPORTRANGE(""https://docs.google.com/spreadsheets/d/1kGrh75X1cNR1D7_FcY9zMnHP8iPO4M5RCRjy6nZY0TY/edit#gid=1248694442"",""Table 1: Study charact"&amp;"eristics!C4:C175""), $A5=IMPORTRANGE(""https://docs.google.com/spreadsheets/d/1kGrh75X1cNR1D7_FcY9zMnHP8iPO4M5RCRjy6nZY0TY/edit#gid=1248694442"",""Table 1: Study characteristics!A4:A175"")))-1)"),"Sandquist")</f>
        <v>Sandquist</v>
      </c>
      <c r="D5" s="4">
        <f>IFERROR(__xludf.DUMMYFUNCTION("FILTER(IMPORTRANGE(""https://docs.google.com/spreadsheets/d/1kGrh75X1cNR1D7_FcY9zMnHP8iPO4M5RCRjy6nZY0TY/edit#gid=1248694442"",""Table 1: Study characteristics!K4:K175""), $A5=IMPORTRANGE(""https://docs.google.com/spreadsheets/d/1kGrh75X1cNR1D7_FcY9zMnHP8"&amp;"iPO4M5RCRjy6nZY0TY/edit#gid=1248694442"",""Table 1: Study characteristics!A4:A175""))"),2003.0)</f>
        <v>2003</v>
      </c>
      <c r="E5" s="4" t="str">
        <f>IFERROR(__xludf.DUMMYFUNCTION("FILTER(IMPORTRANGE(""https://docs.google.com/spreadsheets/d/1kGrh75X1cNR1D7_FcY9zMnHP8iPO4M5RCRjy6nZY0TY/edit#gid=1248694442"",""Table 1: Study characteristics!M4:M175""), $A5=IMPORTRANGE(""https://docs.google.com/spreadsheets/d/1kGrh75X1cNR1D7_FcY9zMnHP8"&amp;"iPO4M5RCRjy6nZY0TY/edit#gid=1248694442"",""Table 1: Study characteristics!A4:A175""))"),"High income")</f>
        <v>High income</v>
      </c>
      <c r="F5" s="4" t="str">
        <f>IFERROR(__xludf.DUMMYFUNCTION("FILTER(IMPORTRANGE(""https://docs.google.com/spreadsheets/d/1kGrh75X1cNR1D7_FcY9zMnHP8iPO4M5RCRjy6nZY0TY/edit#gid=1248694442"",""Table 1: Study characteristics!N4:N175""), $A5=IMPORTRANGE(""https://docs.google.com/spreadsheets/d/1kGrh75X1cNR1D7_FcY9zMnHP8"&amp;"iPO4M5RCRjy6nZY0TY/edit#gid=1248694442"",""Table 1: Study characteristics!A4:A175""))"),"North America")</f>
        <v>North America</v>
      </c>
      <c r="G5" s="4" t="str">
        <f>IFERROR(__xludf.DUMMYFUNCTION("FILTER(IMPORTRANGE(""https://docs.google.com/spreadsheets/d/1kGrh75X1cNR1D7_FcY9zMnHP8iPO4M5RCRjy6nZY0TY/edit#gid=1248694442"",""Table 1: Study characteristics!J4:J175""), $A5=IMPORTRANGE(""https://docs.google.com/spreadsheets/d/1kGrh75X1cNR1D7_FcY9zMnHP8"&amp;"iPO4M5RCRjy6nZY0TY/edit#gid=1248694442"",""Table 1: Study characteristics!A4:A175""))"),"United States")</f>
        <v>United States</v>
      </c>
      <c r="H5" s="4" t="str">
        <f>IFERROR(__xludf.DUMMYFUNCTION("FILTER(IMPORTRANGE(""https://docs.google.com/spreadsheets/d/1kGrh75X1cNR1D7_FcY9zMnHP8iPO4M5RCRjy6nZY0TY/edit#gid=1248694442"",""Table 1: Study characteristics!O4:O175""), $A5=IMPORTRANGE(""https://docs.google.com/spreadsheets/d/1kGrh75X1cNR1D7_FcY9zMnHP8"&amp;"iPO4M5RCRjy6nZY0TY/edit#gid=1248694442"",""Table 1: Study characteristics!A4:A175""))"),"Prospective study (unspecified)")</f>
        <v>Prospective study (unspecified)</v>
      </c>
      <c r="I5" s="14" t="str">
        <f>IFERROR(__xludf.DUMMYFUNCTION("IFNA(FILTER(IMPORTRANGE(""https://docs.google.com/spreadsheets/d/1kGrh75X1cNR1D7_FcY9zMnHP8iPO4M5RCRjy6nZY0TY/edit#gid=1248694442"",""Table 3: 1st-line HC!C5:C111""), $A5=IMPORTRANGE(""https://docs.google.com/spreadsheets/d/1kGrh75X1cNR1D7_FcY9zMnHP8iPO4M"&amp;"5RCRjy6nZY0TY/edit#gid=1248694442"",""Table 3: 1st-line HC!A5:A111"")),"""")"),"Selected")</f>
        <v>Selected</v>
      </c>
      <c r="J5" s="4">
        <f>IFERROR(__xludf.DUMMYFUNCTION("FILTER(IMPORTRANGE(""https://docs.google.com/spreadsheets/d/1kGrh75X1cNR1D7_FcY9zMnHP8iPO4M5RCRjy6nZY0TY/edit#gid=1248694442"",""Table 1: Study characteristics!P4:P175""), $A5=IMPORTRANGE(""https://docs.google.com/spreadsheets/d/1kGrh75X1cNR1D7_FcY9zMnHP8"&amp;"iPO4M5RCRjy6nZY0TY/edit#gid=1248694442"",""Table 1: Study characteristics!A4:A175""))"),5.0)</f>
        <v>5</v>
      </c>
      <c r="K5" s="4" t="str">
        <f>IFERROR(__xludf.DUMMYFUNCTION("FILTER(IMPORTRANGE(""https://docs.google.com/spreadsheets/d/1kGrh75X1cNR1D7_FcY9zMnHP8iPO4M5RCRjy6nZY0TY/edit#gid=1248694442"",""Table 1: Study characteristics!U4:U175""), $A5=IMPORTRANGE(""https://docs.google.com/spreadsheets/d/1kGrh75X1cNR1D7_FcY9zMnHP8"&amp;"iPO4M5RCRjy6nZY0TY/edit#gid=1248694442"",""Table 1: Study characteristics!A4:A175""))"),"")</f>
        <v/>
      </c>
      <c r="L5" s="4" t="str">
        <f>IFERROR(__xludf.DUMMYFUNCTION("FILTER(IMPORTRANGE(""https://docs.google.com/spreadsheets/d/1kGrh75X1cNR1D7_FcY9zMnHP8iPO4M5RCRjy6nZY0TY/edit#gid=1248694442"",""Table 1: Study characteristics!V4:V175""), $A5=IMPORTRANGE(""https://docs.google.com/spreadsheets/d/1kGrh75X1cNR1D7_FcY9zMnHP8"&amp;"iPO4M5RCRjy6nZY0TY/edit#gid=1248694442"",""Table 1: Study characteristics!A4:A175""))"),"")</f>
        <v/>
      </c>
      <c r="M5" s="4" t="str">
        <f>IFERROR(__xludf.DUMMYFUNCTION("FILTER(IMPORTRANGE(""https://docs.google.com/spreadsheets/d/1kGrh75X1cNR1D7_FcY9zMnHP8iPO4M5RCRjy6nZY0TY/edit#gid=1248694442"",""Table 1: Study characteristics!Q4:Q175""), $A5=IMPORTRANGE(""https://docs.google.com/spreadsheets/d/1kGrh75X1cNR1D7_FcY9zMnHP8"&amp;"iPO4M5RCRjy6nZY0TY/edit#gid=1248694442"",""Table 1: Study characteristics!A4:A175""))"),"")</f>
        <v/>
      </c>
      <c r="N5" s="4" t="str">
        <f>IFERROR(__xludf.DUMMYFUNCTION("FILTER(IMPORTRANGE(""https://docs.google.com/spreadsheets/d/1kGrh75X1cNR1D7_FcY9zMnHP8iPO4M5RCRjy6nZY0TY/edit#gid=1248694442"",""Table 1: Study characteristics!R4:R175""), $A5=IMPORTRANGE(""https://docs.google.com/spreadsheets/d/1kGrh75X1cNR1D7_FcY9zMnHP8"&amp;"iPO4M5RCRjy6nZY0TY/edit#gid=1248694442"",""Table 1: Study characteristics!A4:A175""))"),"")</f>
        <v/>
      </c>
      <c r="O5" s="4" t="str">
        <f>IFERROR(__xludf.DUMMYFUNCTION("FILTER(IMPORTRANGE(""https://docs.google.com/spreadsheets/d/1kGrh75X1cNR1D7_FcY9zMnHP8iPO4M5RCRjy6nZY0TY/edit#gid=1248694442"",""Table 1: Study characteristics!S4:S175""), $A5=IMPORTRANGE(""https://docs.google.com/spreadsheets/d/1kGrh75X1cNR1D7_FcY9zMnHP8"&amp;"iPO4M5RCRjy6nZY0TY/edit#gid=1248694442"",""Table 1: Study characteristics!A4:A175""))"),"")</f>
        <v/>
      </c>
      <c r="P5" s="6" t="str">
        <f>IFERROR(__xludf.DUMMYFUNCTION("FILTER(IMPORTRANGE(""https://docs.google.com/spreadsheets/d/1kGrh75X1cNR1D7_FcY9zMnHP8iPO4M5RCRjy6nZY0TY/edit#gid=1248694442"",""Table 1: Study characteristics!T4:T175""), $A5=IMPORTRANGE(""https://docs.google.com/spreadsheets/d/1kGrh75X1cNR1D7_FcY9zMnHP8"&amp;"iPO4M5RCRjy6nZY0TY/edit#gid=1248694442"",""Table 1: Study characteristics!A4:A175""))"),"")</f>
        <v/>
      </c>
      <c r="Q5" s="6" t="str">
        <f>IFERROR(__xludf.DUMMYFUNCTION("FILTER(IMPORTRANGE(""https://docs.google.com/spreadsheets/d/1kGrh75X1cNR1D7_FcY9zMnHP8iPO4M5RCRjy6nZY0TY/edit#gid=1248694442"",""Table 1: Study characteristics!L4:L175""), $A5=IMPORTRANGE(""https://docs.google.com/spreadsheets/d/1kGrh75X1cNR1D7_FcY9zMnHP8"&amp;"iPO4M5RCRjy6nZY0TY/edit#gid=1248694442"",""Table 1: Study characteristics!A4:A175""))"),"")</f>
        <v/>
      </c>
      <c r="R5" s="4" t="str">
        <f>IFERROR(__xludf.DUMMYFUNCTION("FILTER(IMPORTRANGE(""https://docs.google.com/spreadsheets/d/1kGrh75X1cNR1D7_FcY9zMnHP8iPO4M5RCRjy6nZY0TY/edit#gid=1248694442"",""Table 1: Study characteristics!I4:I175""), $A5=IMPORTRANGE(""https://docs.google.com/spreadsheets/d/1kGrh75X1cNR1D7_FcY9zMnHP8"&amp;"iPO4M5RCRjy6nZY0TY/edit#gid=1248694442"",""Table 1: Study characteristics!A4:A175""))"),"English")</f>
        <v>English</v>
      </c>
    </row>
    <row r="6">
      <c r="A6" s="4" t="str">
        <f>IFERROR(__xludf.DUMMYFUNCTION("""COMPUTED_VALUE"""),"ID 8")</f>
        <v>ID 8</v>
      </c>
      <c r="B6" s="13" t="s">
        <v>154</v>
      </c>
      <c r="C6" s="4" t="str">
        <f>IFERROR(__xludf.DUMMYFUNCTION("LEFT(FILTER(IMPORTRANGE(""https://docs.google.com/spreadsheets/d/1kGrh75X1cNR1D7_FcY9zMnHP8iPO4M5RCRjy6nZY0TY/edit#gid=1248694442"",""Table 1: Study characteristics!C4:C175""), $A6=IMPORTRANGE(""https://docs.google.com/spreadsheets/d/1kGrh75X1cNR1D7_FcY9z"&amp;"MnHP8iPO4M5RCRjy6nZY0TY/edit#gid=1248694442"",""Table 1: Study characteristics!A4:A175"")),SEARCH("","",FILTER(IMPORTRANGE(""https://docs.google.com/spreadsheets/d/1kGrh75X1cNR1D7_FcY9zMnHP8iPO4M5RCRjy6nZY0TY/edit#gid=1248694442"",""Table 1: Study charact"&amp;"eristics!C4:C175""), $A6=IMPORTRANGE(""https://docs.google.com/spreadsheets/d/1kGrh75X1cNR1D7_FcY9zMnHP8iPO4M5RCRjy6nZY0TY/edit#gid=1248694442"",""Table 1: Study characteristics!A4:A175"")))-1)"),"Bluestone")</f>
        <v>Bluestone</v>
      </c>
      <c r="D6" s="4">
        <f>IFERROR(__xludf.DUMMYFUNCTION("FILTER(IMPORTRANGE(""https://docs.google.com/spreadsheets/d/1kGrh75X1cNR1D7_FcY9zMnHP8iPO4M5RCRjy6nZY0TY/edit#gid=1248694442"",""Table 1: Study characteristics!K4:K175""), $A6=IMPORTRANGE(""https://docs.google.com/spreadsheets/d/1kGrh75X1cNR1D7_FcY9zMnHP8"&amp;"iPO4M5RCRjy6nZY0TY/edit#gid=1248694442"",""Table 1: Study characteristics!A4:A175""))"),1972.0)</f>
        <v>1972</v>
      </c>
      <c r="E6" s="4" t="str">
        <f>IFERROR(__xludf.DUMMYFUNCTION("FILTER(IMPORTRANGE(""https://docs.google.com/spreadsheets/d/1kGrh75X1cNR1D7_FcY9zMnHP8iPO4M5RCRjy6nZY0TY/edit#gid=1248694442"",""Table 1: Study characteristics!M4:M175""), $A6=IMPORTRANGE(""https://docs.google.com/spreadsheets/d/1kGrh75X1cNR1D7_FcY9zMnHP8"&amp;"iPO4M5RCRjy6nZY0TY/edit#gid=1248694442"",""Table 1: Study characteristics!A4:A175""))"),"High income")</f>
        <v>High income</v>
      </c>
      <c r="F6" s="4" t="str">
        <f>IFERROR(__xludf.DUMMYFUNCTION("FILTER(IMPORTRANGE(""https://docs.google.com/spreadsheets/d/1kGrh75X1cNR1D7_FcY9zMnHP8iPO4M5RCRjy6nZY0TY/edit#gid=1248694442"",""Table 1: Study characteristics!N4:N175""), $A6=IMPORTRANGE(""https://docs.google.com/spreadsheets/d/1kGrh75X1cNR1D7_FcY9zMnHP8"&amp;"iPO4M5RCRjy6nZY0TY/edit#gid=1248694442"",""Table 1: Study characteristics!A4:A175""))"),"North America")</f>
        <v>North America</v>
      </c>
      <c r="G6" s="4" t="str">
        <f>IFERROR(__xludf.DUMMYFUNCTION("FILTER(IMPORTRANGE(""https://docs.google.com/spreadsheets/d/1kGrh75X1cNR1D7_FcY9zMnHP8iPO4M5RCRjy6nZY0TY/edit#gid=1248694442"",""Table 1: Study characteristics!J4:J175""), $A6=IMPORTRANGE(""https://docs.google.com/spreadsheets/d/1kGrh75X1cNR1D7_FcY9zMnHP8"&amp;"iPO4M5RCRjy6nZY0TY/edit#gid=1248694442"",""Table 1: Study characteristics!A4:A175""))"),"United States")</f>
        <v>United States</v>
      </c>
      <c r="H6" s="4" t="str">
        <f>IFERROR(__xludf.DUMMYFUNCTION("FILTER(IMPORTRANGE(""https://docs.google.com/spreadsheets/d/1kGrh75X1cNR1D7_FcY9zMnHP8iPO4M5RCRjy6nZY0TY/edit#gid=1248694442"",""Table 1: Study characteristics!O4:O175""), $A6=IMPORTRANGE(""https://docs.google.com/spreadsheets/d/1kGrh75X1cNR1D7_FcY9zMnHP8"&amp;"iPO4M5RCRjy6nZY0TY/edit#gid=1248694442"",""Table 1: Study characteristics!A4:A175""))"),"Retrospective study (unspecified)")</f>
        <v>Retrospective study (unspecified)</v>
      </c>
      <c r="I6" s="14" t="str">
        <f>IFERROR(__xludf.DUMMYFUNCTION("IFNA(FILTER(IMPORTRANGE(""https://docs.google.com/spreadsheets/d/1kGrh75X1cNR1D7_FcY9zMnHP8iPO4M5RCRjy6nZY0TY/edit#gid=1248694442"",""Table 3: 1st-line HC!C5:C111""), $A6=IMPORTRANGE(""https://docs.google.com/spreadsheets/d/1kGrh75X1cNR1D7_FcY9zMnHP8iPO4M"&amp;"5RCRjy6nZY0TY/edit#gid=1248694442"",""Table 3: 1st-line HC!A5:A111"")),"""")"),"Selected")</f>
        <v>Selected</v>
      </c>
      <c r="J6" s="4">
        <f>IFERROR(__xludf.DUMMYFUNCTION("FILTER(IMPORTRANGE(""https://docs.google.com/spreadsheets/d/1kGrh75X1cNR1D7_FcY9zMnHP8iPO4M5RCRjy6nZY0TY/edit#gid=1248694442"",""Table 1: Study characteristics!P4:P175""), $A6=IMPORTRANGE(""https://docs.google.com/spreadsheets/d/1kGrh75X1cNR1D7_FcY9zMnHP8"&amp;"iPO4M5RCRjy6nZY0TY/edit#gid=1248694442"",""Table 1: Study characteristics!A4:A175""))"),12.0)</f>
        <v>12</v>
      </c>
      <c r="K6" s="4">
        <f>IFERROR(__xludf.DUMMYFUNCTION("FILTER(IMPORTRANGE(""https://docs.google.com/spreadsheets/d/1kGrh75X1cNR1D7_FcY9zMnHP8iPO4M5RCRjy6nZY0TY/edit#gid=1248694442"",""Table 1: Study characteristics!U4:U175""), $A6=IMPORTRANGE(""https://docs.google.com/spreadsheets/d/1kGrh75X1cNR1D7_FcY9zMnHP8"&amp;"iPO4M5RCRjy6nZY0TY/edit#gid=1248694442"",""Table 1: Study characteristics!A4:A175""))"),10.0)</f>
        <v>10</v>
      </c>
      <c r="L6" s="4">
        <f>IFERROR(__xludf.DUMMYFUNCTION("FILTER(IMPORTRANGE(""https://docs.google.com/spreadsheets/d/1kGrh75X1cNR1D7_FcY9zMnHP8iPO4M5RCRjy6nZY0TY/edit#gid=1248694442"",""Table 1: Study characteristics!V4:V175""), $A6=IMPORTRANGE(""https://docs.google.com/spreadsheets/d/1kGrh75X1cNR1D7_FcY9zMnHP8"&amp;"iPO4M5RCRjy6nZY0TY/edit#gid=1248694442"",""Table 1: Study characteristics!A4:A175""))"),2.0)</f>
        <v>2</v>
      </c>
      <c r="M6" s="4" t="str">
        <f>IFERROR(__xludf.DUMMYFUNCTION("FILTER(IMPORTRANGE(""https://docs.google.com/spreadsheets/d/1kGrh75X1cNR1D7_FcY9zMnHP8iPO4M5RCRjy6nZY0TY/edit#gid=1248694442"",""Table 1: Study characteristics!Q4:Q175""), $A6=IMPORTRANGE(""https://docs.google.com/spreadsheets/d/1kGrh75X1cNR1D7_FcY9zMnHP8"&amp;"iPO4M5RCRjy6nZY0TY/edit#gid=1248694442"",""Table 1: Study characteristics!A4:A175""))"),"")</f>
        <v/>
      </c>
      <c r="N6" s="4" t="str">
        <f>IFERROR(__xludf.DUMMYFUNCTION("FILTER(IMPORTRANGE(""https://docs.google.com/spreadsheets/d/1kGrh75X1cNR1D7_FcY9zMnHP8iPO4M5RCRjy6nZY0TY/edit#gid=1248694442"",""Table 1: Study characteristics!R4:R175""), $A6=IMPORTRANGE(""https://docs.google.com/spreadsheets/d/1kGrh75X1cNR1D7_FcY9zMnHP8"&amp;"iPO4M5RCRjy6nZY0TY/edit#gid=1248694442"",""Table 1: Study characteristics!A4:A175""))"),"")</f>
        <v/>
      </c>
      <c r="O6" s="4" t="str">
        <f>IFERROR(__xludf.DUMMYFUNCTION("FILTER(IMPORTRANGE(""https://docs.google.com/spreadsheets/d/1kGrh75X1cNR1D7_FcY9zMnHP8iPO4M5RCRjy6nZY0TY/edit#gid=1248694442"",""Table 1: Study characteristics!S4:S175""), $A6=IMPORTRANGE(""https://docs.google.com/spreadsheets/d/1kGrh75X1cNR1D7_FcY9zMnHP8"&amp;"iPO4M5RCRjy6nZY0TY/edit#gid=1248694442"",""Table 1: Study characteristics!A4:A175""))"),"")</f>
        <v/>
      </c>
      <c r="P6" s="6" t="str">
        <f>IFERROR(__xludf.DUMMYFUNCTION("FILTER(IMPORTRANGE(""https://docs.google.com/spreadsheets/d/1kGrh75X1cNR1D7_FcY9zMnHP8iPO4M5RCRjy6nZY0TY/edit#gid=1248694442"",""Table 1: Study characteristics!T4:T175""), $A6=IMPORTRANGE(""https://docs.google.com/spreadsheets/d/1kGrh75X1cNR1D7_FcY9zMnHP8"&amp;"iPO4M5RCRjy6nZY0TY/edit#gid=1248694442"",""Table 1: Study characteristics!A4:A175""))"),"")</f>
        <v/>
      </c>
      <c r="Q6" s="6" t="str">
        <f>IFERROR(__xludf.DUMMYFUNCTION("FILTER(IMPORTRANGE(""https://docs.google.com/spreadsheets/d/1kGrh75X1cNR1D7_FcY9zMnHP8iPO4M5RCRjy6nZY0TY/edit#gid=1248694442"",""Table 1: Study characteristics!L4:L175""), $A6=IMPORTRANGE(""https://docs.google.com/spreadsheets/d/1kGrh75X1cNR1D7_FcY9zMnHP8"&amp;"iPO4M5RCRjy6nZY0TY/edit#gid=1248694442"",""Table 1: Study characteristics!A4:A175""))"),"1966-1971")</f>
        <v>1966-1971</v>
      </c>
      <c r="R6" s="4" t="str">
        <f>IFERROR(__xludf.DUMMYFUNCTION("FILTER(IMPORTRANGE(""https://docs.google.com/spreadsheets/d/1kGrh75X1cNR1D7_FcY9zMnHP8iPO4M5RCRjy6nZY0TY/edit#gid=1248694442"",""Table 1: Study characteristics!I4:I175""), $A6=IMPORTRANGE(""https://docs.google.com/spreadsheets/d/1kGrh75X1cNR1D7_FcY9zMnHP8"&amp;"iPO4M5RCRjy6nZY0TY/edit#gid=1248694442"",""Table 1: Study characteristics!A4:A175""))"),"English")</f>
        <v>English</v>
      </c>
    </row>
    <row r="7">
      <c r="A7" s="4" t="str">
        <f>IFERROR(__xludf.DUMMYFUNCTION("""COMPUTED_VALUE"""),"ID 9")</f>
        <v>ID 9</v>
      </c>
      <c r="B7" s="13" t="s">
        <v>155</v>
      </c>
      <c r="C7" s="4" t="str">
        <f>IFERROR(__xludf.DUMMYFUNCTION("LEFT(FILTER(IMPORTRANGE(""https://docs.google.com/spreadsheets/d/1kGrh75X1cNR1D7_FcY9zMnHP8iPO4M5RCRjy6nZY0TY/edit#gid=1248694442"",""Table 1: Study characteristics!C4:C175""), $A7=IMPORTRANGE(""https://docs.google.com/spreadsheets/d/1kGrh75X1cNR1D7_FcY9z"&amp;"MnHP8iPO4M5RCRjy6nZY0TY/edit#gid=1248694442"",""Table 1: Study characteristics!A4:A175"")),SEARCH("","",FILTER(IMPORTRANGE(""https://docs.google.com/spreadsheets/d/1kGrh75X1cNR1D7_FcY9zMnHP8iPO4M5RCRjy6nZY0TY/edit#gid=1248694442"",""Table 1: Study charact"&amp;"eristics!C4:C175""), $A7=IMPORTRANGE(""https://docs.google.com/spreadsheets/d/1kGrh75X1cNR1D7_FcY9zMnHP8iPO4M5RCRjy6nZY0TY/edit#gid=1248694442"",""Table 1: Study characteristics!A4:A175"")))-1)"),"Díaz Llopis")</f>
        <v>Díaz Llopis</v>
      </c>
      <c r="D7" s="4">
        <f>IFERROR(__xludf.DUMMYFUNCTION("FILTER(IMPORTRANGE(""https://docs.google.com/spreadsheets/d/1kGrh75X1cNR1D7_FcY9zMnHP8iPO4M5RCRjy6nZY0TY/edit#gid=1248694442"",""Table 1: Study characteristics!K4:K175""), $A7=IMPORTRANGE(""https://docs.google.com/spreadsheets/d/1kGrh75X1cNR1D7_FcY9zMnHP8"&amp;"iPO4M5RCRjy6nZY0TY/edit#gid=1248694442"",""Table 1: Study characteristics!A4:A175""))"),1993.0)</f>
        <v>1993</v>
      </c>
      <c r="E7" s="4" t="str">
        <f>IFERROR(__xludf.DUMMYFUNCTION("FILTER(IMPORTRANGE(""https://docs.google.com/spreadsheets/d/1kGrh75X1cNR1D7_FcY9zMnHP8iPO4M5RCRjy6nZY0TY/edit#gid=1248694442"",""Table 1: Study characteristics!M4:M175""), $A7=IMPORTRANGE(""https://docs.google.com/spreadsheets/d/1kGrh75X1cNR1D7_FcY9zMnHP8"&amp;"iPO4M5RCRjy6nZY0TY/edit#gid=1248694442"",""Table 1: Study characteristics!A4:A175""))"),"High income")</f>
        <v>High income</v>
      </c>
      <c r="F7" s="4" t="str">
        <f>IFERROR(__xludf.DUMMYFUNCTION("FILTER(IMPORTRANGE(""https://docs.google.com/spreadsheets/d/1kGrh75X1cNR1D7_FcY9zMnHP8iPO4M5RCRjy6nZY0TY/edit#gid=1248694442"",""Table 1: Study characteristics!N4:N175""), $A7=IMPORTRANGE(""https://docs.google.com/spreadsheets/d/1kGrh75X1cNR1D7_FcY9zMnHP8"&amp;"iPO4M5RCRjy6nZY0TY/edit#gid=1248694442"",""Table 1: Study characteristics!A4:A175""))"),"Europe &amp; Central Asia")</f>
        <v>Europe &amp; Central Asia</v>
      </c>
      <c r="G7" s="4" t="str">
        <f>IFERROR(__xludf.DUMMYFUNCTION("FILTER(IMPORTRANGE(""https://docs.google.com/spreadsheets/d/1kGrh75X1cNR1D7_FcY9zMnHP8iPO4M5RCRjy6nZY0TY/edit#gid=1248694442"",""Table 1: Study characteristics!J4:J175""), $A7=IMPORTRANGE(""https://docs.google.com/spreadsheets/d/1kGrh75X1cNR1D7_FcY9zMnHP8"&amp;"iPO4M5RCRjy6nZY0TY/edit#gid=1248694442"",""Table 1: Study characteristics!A4:A175""))"),"Spain")</f>
        <v>Spain</v>
      </c>
      <c r="H7" s="4" t="str">
        <f>IFERROR(__xludf.DUMMYFUNCTION("FILTER(IMPORTRANGE(""https://docs.google.com/spreadsheets/d/1kGrh75X1cNR1D7_FcY9zMnHP8iPO4M5RCRjy6nZY0TY/edit#gid=1248694442"",""Table 1: Study characteristics!O4:O175""), $A7=IMPORTRANGE(""https://docs.google.com/spreadsheets/d/1kGrh75X1cNR1D7_FcY9zMnHP8"&amp;"iPO4M5RCRjy6nZY0TY/edit#gid=1248694442"",""Table 1: Study characteristics!A4:A175""))"),"Retrospective study (unspecified)")</f>
        <v>Retrospective study (unspecified)</v>
      </c>
      <c r="I7" s="14" t="str">
        <f>IFERROR(__xludf.DUMMYFUNCTION("IFNA(FILTER(IMPORTRANGE(""https://docs.google.com/spreadsheets/d/1kGrh75X1cNR1D7_FcY9zMnHP8iPO4M5RCRjy6nZY0TY/edit#gid=1248694442"",""Table 3: 1st-line HC!C5:C111""), $A7=IMPORTRANGE(""https://docs.google.com/spreadsheets/d/1kGrh75X1cNR1D7_FcY9zMnHP8iPO4M"&amp;"5RCRjy6nZY0TY/edit#gid=1248694442"",""Table 3: 1st-line HC!A5:A111"")),"""")"),"Unselected")</f>
        <v>Unselected</v>
      </c>
      <c r="J7" s="4">
        <f>IFERROR(__xludf.DUMMYFUNCTION("FILTER(IMPORTRANGE(""https://docs.google.com/spreadsheets/d/1kGrh75X1cNR1D7_FcY9zMnHP8iPO4M5RCRjy6nZY0TY/edit#gid=1248694442"",""Table 1: Study characteristics!P4:P175""), $A7=IMPORTRANGE(""https://docs.google.com/spreadsheets/d/1kGrh75X1cNR1D7_FcY9zMnHP8"&amp;"iPO4M5RCRjy6nZY0TY/edit#gid=1248694442"",""Table 1: Study characteristics!A4:A175""))"),930.0)</f>
        <v>930</v>
      </c>
      <c r="K7" s="4" t="str">
        <f>IFERROR(__xludf.DUMMYFUNCTION("FILTER(IMPORTRANGE(""https://docs.google.com/spreadsheets/d/1kGrh75X1cNR1D7_FcY9zMnHP8iPO4M5RCRjy6nZY0TY/edit#gid=1248694442"",""Table 1: Study characteristics!U4:U175""), $A7=IMPORTRANGE(""https://docs.google.com/spreadsheets/d/1kGrh75X1cNR1D7_FcY9zMnHP8"&amp;"iPO4M5RCRjy6nZY0TY/edit#gid=1248694442"",""Table 1: Study characteristics!A4:A175""))"),"")</f>
        <v/>
      </c>
      <c r="L7" s="4" t="str">
        <f>IFERROR(__xludf.DUMMYFUNCTION("FILTER(IMPORTRANGE(""https://docs.google.com/spreadsheets/d/1kGrh75X1cNR1D7_FcY9zMnHP8iPO4M5RCRjy6nZY0TY/edit#gid=1248694442"",""Table 1: Study characteristics!V4:V175""), $A7=IMPORTRANGE(""https://docs.google.com/spreadsheets/d/1kGrh75X1cNR1D7_FcY9zMnHP8"&amp;"iPO4M5RCRjy6nZY0TY/edit#gid=1248694442"",""Table 1: Study characteristics!A4:A175""))"),"")</f>
        <v/>
      </c>
      <c r="M7" s="4" t="str">
        <f>IFERROR(__xludf.DUMMYFUNCTION("FILTER(IMPORTRANGE(""https://docs.google.com/spreadsheets/d/1kGrh75X1cNR1D7_FcY9zMnHP8iPO4M5RCRjy6nZY0TY/edit#gid=1248694442"",""Table 1: Study characteristics!Q4:Q175""), $A7=IMPORTRANGE(""https://docs.google.com/spreadsheets/d/1kGrh75X1cNR1D7_FcY9zMnHP8"&amp;"iPO4M5RCRjy6nZY0TY/edit#gid=1248694442"",""Table 1: Study characteristics!A4:A175""))"),"")</f>
        <v/>
      </c>
      <c r="N7" s="4" t="str">
        <f>IFERROR(__xludf.DUMMYFUNCTION("FILTER(IMPORTRANGE(""https://docs.google.com/spreadsheets/d/1kGrh75X1cNR1D7_FcY9zMnHP8iPO4M5RCRjy6nZY0TY/edit#gid=1248694442"",""Table 1: Study characteristics!R4:R175""), $A7=IMPORTRANGE(""https://docs.google.com/spreadsheets/d/1kGrh75X1cNR1D7_FcY9zMnHP8"&amp;"iPO4M5RCRjy6nZY0TY/edit#gid=1248694442"",""Table 1: Study characteristics!A4:A175""))"),"")</f>
        <v/>
      </c>
      <c r="O7" s="4" t="str">
        <f>IFERROR(__xludf.DUMMYFUNCTION("FILTER(IMPORTRANGE(""https://docs.google.com/spreadsheets/d/1kGrh75X1cNR1D7_FcY9zMnHP8iPO4M5RCRjy6nZY0TY/edit#gid=1248694442"",""Table 1: Study characteristics!S4:S175""), $A7=IMPORTRANGE(""https://docs.google.com/spreadsheets/d/1kGrh75X1cNR1D7_FcY9zMnHP8"&amp;"iPO4M5RCRjy6nZY0TY/edit#gid=1248694442"",""Table 1: Study characteristics!A4:A175""))"),"")</f>
        <v/>
      </c>
      <c r="P7" s="6" t="str">
        <f>IFERROR(__xludf.DUMMYFUNCTION("FILTER(IMPORTRANGE(""https://docs.google.com/spreadsheets/d/1kGrh75X1cNR1D7_FcY9zMnHP8iPO4M5RCRjy6nZY0TY/edit#gid=1248694442"",""Table 1: Study characteristics!T4:T175""), $A7=IMPORTRANGE(""https://docs.google.com/spreadsheets/d/1kGrh75X1cNR1D7_FcY9zMnHP8"&amp;"iPO4M5RCRjy6nZY0TY/edit#gid=1248694442"",""Table 1: Study characteristics!A4:A175""))"),"")</f>
        <v/>
      </c>
      <c r="Q7" s="6" t="str">
        <f>IFERROR(__xludf.DUMMYFUNCTION("FILTER(IMPORTRANGE(""https://docs.google.com/spreadsheets/d/1kGrh75X1cNR1D7_FcY9zMnHP8iPO4M5RCRjy6nZY0TY/edit#gid=1248694442"",""Table 1: Study characteristics!L4:L175""), $A7=IMPORTRANGE(""https://docs.google.com/spreadsheets/d/1kGrh75X1cNR1D7_FcY9zMnHP8"&amp;"iPO4M5RCRjy6nZY0TY/edit#gid=1248694442"",""Table 1: Study characteristics!A4:A175""))"),"1986-1988")</f>
        <v>1986-1988</v>
      </c>
      <c r="R7" s="4" t="str">
        <f>IFERROR(__xludf.DUMMYFUNCTION("FILTER(IMPORTRANGE(""https://docs.google.com/spreadsheets/d/1kGrh75X1cNR1D7_FcY9zMnHP8iPO4M5RCRjy6nZY0TY/edit#gid=1248694442"",""Table 1: Study characteristics!I4:I175""), $A7=IMPORTRANGE(""https://docs.google.com/spreadsheets/d/1kGrh75X1cNR1D7_FcY9zMnHP8"&amp;"iPO4M5RCRjy6nZY0TY/edit#gid=1248694442"",""Table 1: Study characteristics!A4:A175""))"),"English")</f>
        <v>English</v>
      </c>
    </row>
    <row r="8">
      <c r="A8" s="4" t="str">
        <f>IFERROR(__xludf.DUMMYFUNCTION("""COMPUTED_VALUE"""),"ID 10")</f>
        <v>ID 10</v>
      </c>
      <c r="B8" s="13" t="s">
        <v>156</v>
      </c>
      <c r="C8" s="4" t="str">
        <f>IFERROR(__xludf.DUMMYFUNCTION("LEFT(FILTER(IMPORTRANGE(""https://docs.google.com/spreadsheets/d/1kGrh75X1cNR1D7_FcY9zMnHP8iPO4M5RCRjy6nZY0TY/edit#gid=1248694442"",""Table 1: Study characteristics!C4:C175""), $A8=IMPORTRANGE(""https://docs.google.com/spreadsheets/d/1kGrh75X1cNR1D7_FcY9z"&amp;"MnHP8iPO4M5RCRjy6nZY0TY/edit#gid=1248694442"",""Table 1: Study characteristics!A4:A175"")),SEARCH("","",FILTER(IMPORTRANGE(""https://docs.google.com/spreadsheets/d/1kGrh75X1cNR1D7_FcY9zMnHP8iPO4M5RCRjy6nZY0TY/edit#gid=1248694442"",""Table 1: Study charact"&amp;"eristics!C4:C175""), $A8=IMPORTRANGE(""https://docs.google.com/spreadsheets/d/1kGrh75X1cNR1D7_FcY9zMnHP8iPO4M5RCRjy6nZY0TY/edit#gid=1248694442"",""Table 1: Study characteristics!A4:A175"")))-1)"),"Zambelli")</f>
        <v>Zambelli</v>
      </c>
      <c r="D8" s="4">
        <f>IFERROR(__xludf.DUMMYFUNCTION("FILTER(IMPORTRANGE(""https://docs.google.com/spreadsheets/d/1kGrh75X1cNR1D7_FcY9zMnHP8iPO4M5RCRjy6nZY0TY/edit#gid=1248694442"",""Table 1: Study characteristics!K4:K175""), $A8=IMPORTRANGE(""https://docs.google.com/spreadsheets/d/1kGrh75X1cNR1D7_FcY9zMnHP8"&amp;"iPO4M5RCRjy6nZY0TY/edit#gid=1248694442"",""Table 1: Study characteristics!A4:A175""))"),2007.0)</f>
        <v>2007</v>
      </c>
      <c r="E8" s="4" t="str">
        <f>IFERROR(__xludf.DUMMYFUNCTION("FILTER(IMPORTRANGE(""https://docs.google.com/spreadsheets/d/1kGrh75X1cNR1D7_FcY9zMnHP8iPO4M5RCRjy6nZY0TY/edit#gid=1248694442"",""Table 1: Study characteristics!M4:M175""), $A8=IMPORTRANGE(""https://docs.google.com/spreadsheets/d/1kGrh75X1cNR1D7_FcY9zMnHP8"&amp;"iPO4M5RCRjy6nZY0TY/edit#gid=1248694442"",""Table 1: Study characteristics!A4:A175""))"),"Upper middle income")</f>
        <v>Upper middle income</v>
      </c>
      <c r="F8" s="4" t="str">
        <f>IFERROR(__xludf.DUMMYFUNCTION("FILTER(IMPORTRANGE(""https://docs.google.com/spreadsheets/d/1kGrh75X1cNR1D7_FcY9zMnHP8iPO4M5RCRjy6nZY0TY/edit#gid=1248694442"",""Table 1: Study characteristics!N4:N175""), $A8=IMPORTRANGE(""https://docs.google.com/spreadsheets/d/1kGrh75X1cNR1D7_FcY9zMnHP8"&amp;"iPO4M5RCRjy6nZY0TY/edit#gid=1248694442"",""Table 1: Study characteristics!A4:A175""))"),"Latin America &amp; Caribbean")</f>
        <v>Latin America &amp; Caribbean</v>
      </c>
      <c r="G8" s="4" t="str">
        <f>IFERROR(__xludf.DUMMYFUNCTION("FILTER(IMPORTRANGE(""https://docs.google.com/spreadsheets/d/1kGrh75X1cNR1D7_FcY9zMnHP8iPO4M5RCRjy6nZY0TY/edit#gid=1248694442"",""Table 1: Study characteristics!J4:J175""), $A8=IMPORTRANGE(""https://docs.google.com/spreadsheets/d/1kGrh75X1cNR1D7_FcY9zMnHP8"&amp;"iPO4M5RCRjy6nZY0TY/edit#gid=1248694442"",""Table 1: Study characteristics!A4:A175""))"),"Brazil")</f>
        <v>Brazil</v>
      </c>
      <c r="H8" s="4" t="str">
        <f>IFERROR(__xludf.DUMMYFUNCTION("FILTER(IMPORTRANGE(""https://docs.google.com/spreadsheets/d/1kGrh75X1cNR1D7_FcY9zMnHP8iPO4M5RCRjy6nZY0TY/edit#gid=1248694442"",""Table 1: Study characteristics!O4:O175""), $A8=IMPORTRANGE(""https://docs.google.com/spreadsheets/d/1kGrh75X1cNR1D7_FcY9zMnHP8"&amp;"iPO4M5RCRjy6nZY0TY/edit#gid=1248694442"",""Table 1: Study characteristics!A4:A175""))"),"Retrospective study (unspecified)")</f>
        <v>Retrospective study (unspecified)</v>
      </c>
      <c r="I8" s="14" t="str">
        <f>IFERROR(__xludf.DUMMYFUNCTION("IFNA(FILTER(IMPORTRANGE(""https://docs.google.com/spreadsheets/d/1kGrh75X1cNR1D7_FcY9zMnHP8iPO4M5RCRjy6nZY0TY/edit#gid=1248694442"",""Table 3: 1st-line HC!C5:C111""), $A8=IMPORTRANGE(""https://docs.google.com/spreadsheets/d/1kGrh75X1cNR1D7_FcY9zMnHP8iPO4M"&amp;"5RCRjy6nZY0TY/edit#gid=1248694442"",""Table 3: 1st-line HC!A5:A111"")),"""")"),"Selected")</f>
        <v>Selected</v>
      </c>
      <c r="J8" s="4">
        <f>IFERROR(__xludf.DUMMYFUNCTION("FILTER(IMPORTRANGE(""https://docs.google.com/spreadsheets/d/1kGrh75X1cNR1D7_FcY9zMnHP8iPO4M5RCRjy6nZY0TY/edit#gid=1248694442"",""Table 1: Study characteristics!P4:P175""), $A8=IMPORTRANGE(""https://docs.google.com/spreadsheets/d/1kGrh75X1cNR1D7_FcY9zMnHP8"&amp;"iPO4M5RCRjy6nZY0TY/edit#gid=1248694442"",""Table 1: Study characteristics!A4:A175""))"),77.0)</f>
        <v>77</v>
      </c>
      <c r="K8" s="4" t="str">
        <f>IFERROR(__xludf.DUMMYFUNCTION("FILTER(IMPORTRANGE(""https://docs.google.com/spreadsheets/d/1kGrh75X1cNR1D7_FcY9zMnHP8iPO4M5RCRjy6nZY0TY/edit#gid=1248694442"",""Table 1: Study characteristics!U4:U175""), $A8=IMPORTRANGE(""https://docs.google.com/spreadsheets/d/1kGrh75X1cNR1D7_FcY9zMnHP8"&amp;"iPO4M5RCRjy6nZY0TY/edit#gid=1248694442"",""Table 1: Study characteristics!A4:A175""))"),"")</f>
        <v/>
      </c>
      <c r="L8" s="4" t="str">
        <f>IFERROR(__xludf.DUMMYFUNCTION("FILTER(IMPORTRANGE(""https://docs.google.com/spreadsheets/d/1kGrh75X1cNR1D7_FcY9zMnHP8iPO4M5RCRjy6nZY0TY/edit#gid=1248694442"",""Table 1: Study characteristics!V4:V175""), $A8=IMPORTRANGE(""https://docs.google.com/spreadsheets/d/1kGrh75X1cNR1D7_FcY9zMnHP8"&amp;"iPO4M5RCRjy6nZY0TY/edit#gid=1248694442"",""Table 1: Study characteristics!A4:A175""))"),"")</f>
        <v/>
      </c>
      <c r="M8" s="4" t="str">
        <f>IFERROR(__xludf.DUMMYFUNCTION("FILTER(IMPORTRANGE(""https://docs.google.com/spreadsheets/d/1kGrh75X1cNR1D7_FcY9zMnHP8iPO4M5RCRjy6nZY0TY/edit#gid=1248694442"",""Table 1: Study characteristics!Q4:Q175""), $A8=IMPORTRANGE(""https://docs.google.com/spreadsheets/d/1kGrh75X1cNR1D7_FcY9zMnHP8"&amp;"iPO4M5RCRjy6nZY0TY/edit#gid=1248694442"",""Table 1: Study characteristics!A4:A175""))"),"")</f>
        <v/>
      </c>
      <c r="N8" s="4" t="str">
        <f>IFERROR(__xludf.DUMMYFUNCTION("FILTER(IMPORTRANGE(""https://docs.google.com/spreadsheets/d/1kGrh75X1cNR1D7_FcY9zMnHP8iPO4M5RCRjy6nZY0TY/edit#gid=1248694442"",""Table 1: Study characteristics!R4:R175""), $A8=IMPORTRANGE(""https://docs.google.com/spreadsheets/d/1kGrh75X1cNR1D7_FcY9zMnHP8"&amp;"iPO4M5RCRjy6nZY0TY/edit#gid=1248694442"",""Table 1: Study characteristics!A4:A175""))"),"")</f>
        <v/>
      </c>
      <c r="O8" s="4" t="str">
        <f>IFERROR(__xludf.DUMMYFUNCTION("FILTER(IMPORTRANGE(""https://docs.google.com/spreadsheets/d/1kGrh75X1cNR1D7_FcY9zMnHP8iPO4M5RCRjy6nZY0TY/edit#gid=1248694442"",""Table 1: Study characteristics!S4:S175""), $A8=IMPORTRANGE(""https://docs.google.com/spreadsheets/d/1kGrh75X1cNR1D7_FcY9zMnHP8"&amp;"iPO4M5RCRjy6nZY0TY/edit#gid=1248694442"",""Table 1: Study characteristics!A4:A175""))"),"")</f>
        <v/>
      </c>
      <c r="P8" s="6" t="str">
        <f>IFERROR(__xludf.DUMMYFUNCTION("FILTER(IMPORTRANGE(""https://docs.google.com/spreadsheets/d/1kGrh75X1cNR1D7_FcY9zMnHP8iPO4M5RCRjy6nZY0TY/edit#gid=1248694442"",""Table 1: Study characteristics!T4:T175""), $A8=IMPORTRANGE(""https://docs.google.com/spreadsheets/d/1kGrh75X1cNR1D7_FcY9zMnHP8"&amp;"iPO4M5RCRjy6nZY0TY/edit#gid=1248694442"",""Table 1: Study characteristics!A4:A175""))"),"")</f>
        <v/>
      </c>
      <c r="Q8" s="6" t="str">
        <f>IFERROR(__xludf.DUMMYFUNCTION("FILTER(IMPORTRANGE(""https://docs.google.com/spreadsheets/d/1kGrh75X1cNR1D7_FcY9zMnHP8iPO4M5RCRjy6nZY0TY/edit#gid=1248694442"",""Table 1: Study characteristics!L4:L175""), $A8=IMPORTRANGE(""https://docs.google.com/spreadsheets/d/1kGrh75X1cNR1D7_FcY9zMnHP8"&amp;"iPO4M5RCRjy6nZY0TY/edit#gid=1248694442"",""Table 1: Study characteristics!A4:A175""))"),"1994-2002")</f>
        <v>1994-2002</v>
      </c>
      <c r="R8" s="4" t="str">
        <f>IFERROR(__xludf.DUMMYFUNCTION("FILTER(IMPORTRANGE(""https://docs.google.com/spreadsheets/d/1kGrh75X1cNR1D7_FcY9zMnHP8iPO4M5RCRjy6nZY0TY/edit#gid=1248694442"",""Table 1: Study characteristics!I4:I175""), $A8=IMPORTRANGE(""https://docs.google.com/spreadsheets/d/1kGrh75X1cNR1D7_FcY9zMnHP8"&amp;"iPO4M5RCRjy6nZY0TY/edit#gid=1248694442"",""Table 1: Study characteristics!A4:A175""))"),"English")</f>
        <v>English</v>
      </c>
    </row>
    <row r="9">
      <c r="A9" s="4" t="str">
        <f>IFERROR(__xludf.DUMMYFUNCTION("""COMPUTED_VALUE"""),"ID 11")</f>
        <v>ID 11</v>
      </c>
      <c r="B9" s="13" t="s">
        <v>157</v>
      </c>
      <c r="C9" s="4" t="str">
        <f>IFERROR(__xludf.DUMMYFUNCTION("LEFT(FILTER(IMPORTRANGE(""https://docs.google.com/spreadsheets/d/1kGrh75X1cNR1D7_FcY9zMnHP8iPO4M5RCRjy6nZY0TY/edit#gid=1248694442"",""Table 1: Study characteristics!C4:C175""), $A9=IMPORTRANGE(""https://docs.google.com/spreadsheets/d/1kGrh75X1cNR1D7_FcY9z"&amp;"MnHP8iPO4M5RCRjy6nZY0TY/edit#gid=1248694442"",""Table 1: Study characteristics!A4:A175"")),SEARCH("","",FILTER(IMPORTRANGE(""https://docs.google.com/spreadsheets/d/1kGrh75X1cNR1D7_FcY9zMnHP8iPO4M5RCRjy6nZY0TY/edit#gid=1248694442"",""Table 1: Study charact"&amp;"eristics!C4:C175""), $A9=IMPORTRANGE(""https://docs.google.com/spreadsheets/d/1kGrh75X1cNR1D7_FcY9zMnHP8iPO4M5RCRjy6nZY0TY/edit#gid=1248694442"",""Table 1: Study characteristics!A4:A175"")))-1)"),"Rath")</f>
        <v>Rath</v>
      </c>
      <c r="D9" s="4">
        <f>IFERROR(__xludf.DUMMYFUNCTION("FILTER(IMPORTRANGE(""https://docs.google.com/spreadsheets/d/1kGrh75X1cNR1D7_FcY9zMnHP8iPO4M5RCRjy6nZY0TY/edit#gid=1248694442"",""Table 1: Study characteristics!K4:K175""), $A9=IMPORTRANGE(""https://docs.google.com/spreadsheets/d/1kGrh75X1cNR1D7_FcY9zMnHP8"&amp;"iPO4M5RCRjy6nZY0TY/edit#gid=1248694442"",""Table 1: Study characteristics!A4:A175""))"),2006.0)</f>
        <v>2006</v>
      </c>
      <c r="E9" s="4" t="str">
        <f>IFERROR(__xludf.DUMMYFUNCTION("FILTER(IMPORTRANGE(""https://docs.google.com/spreadsheets/d/1kGrh75X1cNR1D7_FcY9zMnHP8iPO4M5RCRjy6nZY0TY/edit#gid=1248694442"",""Table 1: Study characteristics!M4:M175""), $A9=IMPORTRANGE(""https://docs.google.com/spreadsheets/d/1kGrh75X1cNR1D7_FcY9zMnHP8"&amp;"iPO4M5RCRjy6nZY0TY/edit#gid=1248694442"",""Table 1: Study characteristics!A4:A175""))"),"Lower middle income")</f>
        <v>Lower middle income</v>
      </c>
      <c r="F9" s="4" t="str">
        <f>IFERROR(__xludf.DUMMYFUNCTION("FILTER(IMPORTRANGE(""https://docs.google.com/spreadsheets/d/1kGrh75X1cNR1D7_FcY9zMnHP8iPO4M5RCRjy6nZY0TY/edit#gid=1248694442"",""Table 1: Study characteristics!N4:N175""), $A9=IMPORTRANGE(""https://docs.google.com/spreadsheets/d/1kGrh75X1cNR1D7_FcY9zMnHP8"&amp;"iPO4M5RCRjy6nZY0TY/edit#gid=1248694442"",""Table 1: Study characteristics!A4:A175""))"),"South Asia")</f>
        <v>South Asia</v>
      </c>
      <c r="G9" s="4" t="str">
        <f>IFERROR(__xludf.DUMMYFUNCTION("FILTER(IMPORTRANGE(""https://docs.google.com/spreadsheets/d/1kGrh75X1cNR1D7_FcY9zMnHP8iPO4M5RCRjy6nZY0TY/edit#gid=1248694442"",""Table 1: Study characteristics!J4:J175""), $A9=IMPORTRANGE(""https://docs.google.com/spreadsheets/d/1kGrh75X1cNR1D7_FcY9zMnHP8"&amp;"iPO4M5RCRjy6nZY0TY/edit#gid=1248694442"",""Table 1: Study characteristics!A4:A175""))"),"India")</f>
        <v>India</v>
      </c>
      <c r="H9" s="4" t="str">
        <f>IFERROR(__xludf.DUMMYFUNCTION("FILTER(IMPORTRANGE(""https://docs.google.com/spreadsheets/d/1kGrh75X1cNR1D7_FcY9zMnHP8iPO4M5RCRjy6nZY0TY/edit#gid=1248694442"",""Table 1: Study characteristics!O4:O175""), $A9=IMPORTRANGE(""https://docs.google.com/spreadsheets/d/1kGrh75X1cNR1D7_FcY9zMnHP8"&amp;"iPO4M5RCRjy6nZY0TY/edit#gid=1248694442"",""Table 1: Study characteristics!A4:A175""))"),"Multiple case report")</f>
        <v>Multiple case report</v>
      </c>
      <c r="I9" s="14" t="str">
        <f>IFERROR(__xludf.DUMMYFUNCTION("IFNA(FILTER(IMPORTRANGE(""https://docs.google.com/spreadsheets/d/1kGrh75X1cNR1D7_FcY9zMnHP8iPO4M5RCRjy6nZY0TY/edit#gid=1248694442"",""Table 3: 1st-line HC!C5:C111""), $A9=IMPORTRANGE(""https://docs.google.com/spreadsheets/d/1kGrh75X1cNR1D7_FcY9zMnHP8iPO4M"&amp;"5RCRjy6nZY0TY/edit#gid=1248694442"",""Table 3: 1st-line HC!A5:A111"")),"""")"),"Selected")</f>
        <v>Selected</v>
      </c>
      <c r="J9" s="4">
        <f>IFERROR(__xludf.DUMMYFUNCTION("FILTER(IMPORTRANGE(""https://docs.google.com/spreadsheets/d/1kGrh75X1cNR1D7_FcY9zMnHP8iPO4M5RCRjy6nZY0TY/edit#gid=1248694442"",""Table 1: Study characteristics!P4:P175""), $A9=IMPORTRANGE(""https://docs.google.com/spreadsheets/d/1kGrh75X1cNR1D7_FcY9zMnHP8"&amp;"iPO4M5RCRjy6nZY0TY/edit#gid=1248694442"",""Table 1: Study characteristics!A4:A175""))"),2.0)</f>
        <v>2</v>
      </c>
      <c r="K9" s="4">
        <f>IFERROR(__xludf.DUMMYFUNCTION("FILTER(IMPORTRANGE(""https://docs.google.com/spreadsheets/d/1kGrh75X1cNR1D7_FcY9zMnHP8iPO4M5RCRjy6nZY0TY/edit#gid=1248694442"",""Table 1: Study characteristics!U4:U175""), $A9=IMPORTRANGE(""https://docs.google.com/spreadsheets/d/1kGrh75X1cNR1D7_FcY9zMnHP8"&amp;"iPO4M5RCRjy6nZY0TY/edit#gid=1248694442"",""Table 1: Study characteristics!A4:A175""))"),1.0)</f>
        <v>1</v>
      </c>
      <c r="L9" s="4">
        <f>IFERROR(__xludf.DUMMYFUNCTION("FILTER(IMPORTRANGE(""https://docs.google.com/spreadsheets/d/1kGrh75X1cNR1D7_FcY9zMnHP8iPO4M5RCRjy6nZY0TY/edit#gid=1248694442"",""Table 1: Study characteristics!V4:V175""), $A9=IMPORTRANGE(""https://docs.google.com/spreadsheets/d/1kGrh75X1cNR1D7_FcY9zMnHP8"&amp;"iPO4M5RCRjy6nZY0TY/edit#gid=1248694442"",""Table 1: Study characteristics!A4:A175""))"),1.0)</f>
        <v>1</v>
      </c>
      <c r="M9" s="4">
        <f>IFERROR(__xludf.DUMMYFUNCTION("FILTER(IMPORTRANGE(""https://docs.google.com/spreadsheets/d/1kGrh75X1cNR1D7_FcY9zMnHP8iPO4M5RCRjy6nZY0TY/edit#gid=1248694442"",""Table 1: Study characteristics!Q4:Q175""), $A9=IMPORTRANGE(""https://docs.google.com/spreadsheets/d/1kGrh75X1cNR1D7_FcY9zMnHP8"&amp;"iPO4M5RCRjy6nZY0TY/edit#gid=1248694442"",""Table 1: Study characteristics!A4:A175""))"),150.0)</f>
        <v>150</v>
      </c>
      <c r="N9" s="4">
        <f>IFERROR(__xludf.DUMMYFUNCTION("FILTER(IMPORTRANGE(""https://docs.google.com/spreadsheets/d/1kGrh75X1cNR1D7_FcY9zMnHP8iPO4M5RCRjy6nZY0TY/edit#gid=1248694442"",""Table 1: Study characteristics!R4:R175""), $A9=IMPORTRANGE(""https://docs.google.com/spreadsheets/d/1kGrh75X1cNR1D7_FcY9zMnHP8"&amp;"iPO4M5RCRjy6nZY0TY/edit#gid=1248694442"",""Table 1: Study characteristics!A4:A175""))"),150.0)</f>
        <v>150</v>
      </c>
      <c r="O9" s="4" t="str">
        <f>IFERROR(__xludf.DUMMYFUNCTION("FILTER(IMPORTRANGE(""https://docs.google.com/spreadsheets/d/1kGrh75X1cNR1D7_FcY9zMnHP8iPO4M5RCRjy6nZY0TY/edit#gid=1248694442"",""Table 1: Study characteristics!S4:S175""), $A9=IMPORTRANGE(""https://docs.google.com/spreadsheets/d/1kGrh75X1cNR1D7_FcY9zMnHP8"&amp;"iPO4M5RCRjy6nZY0TY/edit#gid=1248694442"",""Table 1: Study characteristics!A4:A175""))"),"")</f>
        <v/>
      </c>
      <c r="P9" s="6" t="str">
        <f>IFERROR(__xludf.DUMMYFUNCTION("FILTER(IMPORTRANGE(""https://docs.google.com/spreadsheets/d/1kGrh75X1cNR1D7_FcY9zMnHP8iPO4M5RCRjy6nZY0TY/edit#gid=1248694442"",""Table 1: Study characteristics!T4:T175""), $A9=IMPORTRANGE(""https://docs.google.com/spreadsheets/d/1kGrh75X1cNR1D7_FcY9zMnHP8"&amp;"iPO4M5RCRjy6nZY0TY/edit#gid=1248694442"",""Table 1: Study characteristics!A4:A175""))"),"4-36")</f>
        <v>4-36</v>
      </c>
      <c r="Q9" s="6" t="str">
        <f>IFERROR(__xludf.DUMMYFUNCTION("FILTER(IMPORTRANGE(""https://docs.google.com/spreadsheets/d/1kGrh75X1cNR1D7_FcY9zMnHP8iPO4M5RCRjy6nZY0TY/edit#gid=1248694442"",""Table 1: Study characteristics!L4:L175""), $A9=IMPORTRANGE(""https://docs.google.com/spreadsheets/d/1kGrh75X1cNR1D7_FcY9zMnHP8"&amp;"iPO4M5RCRjy6nZY0TY/edit#gid=1248694442"",""Table 1: Study characteristics!A4:A175""))"),"2006-2006")</f>
        <v>2006-2006</v>
      </c>
      <c r="R9" s="4" t="str">
        <f>IFERROR(__xludf.DUMMYFUNCTION("FILTER(IMPORTRANGE(""https://docs.google.com/spreadsheets/d/1kGrh75X1cNR1D7_FcY9zMnHP8iPO4M5RCRjy6nZY0TY/edit#gid=1248694442"",""Table 1: Study characteristics!I4:I175""), $A9=IMPORTRANGE(""https://docs.google.com/spreadsheets/d/1kGrh75X1cNR1D7_FcY9zMnHP8"&amp;"iPO4M5RCRjy6nZY0TY/edit#gid=1248694442"",""Table 1: Study characteristics!A4:A175""))"),"English")</f>
        <v>English</v>
      </c>
    </row>
    <row r="10">
      <c r="A10" s="4" t="str">
        <f>IFERROR(__xludf.DUMMYFUNCTION("""COMPUTED_VALUE"""),"ID 14")</f>
        <v>ID 14</v>
      </c>
      <c r="B10" s="13" t="s">
        <v>158</v>
      </c>
      <c r="C10" s="4" t="str">
        <f>IFERROR(__xludf.DUMMYFUNCTION("LEFT(FILTER(IMPORTRANGE(""https://docs.google.com/spreadsheets/d/1kGrh75X1cNR1D7_FcY9zMnHP8iPO4M5RCRjy6nZY0TY/edit#gid=1248694442"",""Table 1: Study characteristics!C4:C175""), $A10=IMPORTRANGE(""https://docs.google.com/spreadsheets/d/1kGrh75X1cNR1D7_FcY9"&amp;"zMnHP8iPO4M5RCRjy6nZY0TY/edit#gid=1248694442"",""Table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$A10=IMPORTRANGE(""https://docs.google.com/spreadsheets/d/1kGrh75X1cNR1D7_FcY9zMnHP8iPO4M5RCRjy6nZY0TY/edit#gid=1248694442"",""Table 1: Study characteristics!A4:A175"")))-1)"),"Alexiou")</f>
        <v>Alexiou</v>
      </c>
      <c r="D10" s="4">
        <f>IFERROR(__xludf.DUMMYFUNCTION("FILTER(IMPORTRANGE(""https://docs.google.com/spreadsheets/d/1kGrh75X1cNR1D7_FcY9zMnHP8iPO4M5RCRjy6nZY0TY/edit#gid=1248694442"",""Table 1: Study characteristics!K4:K175""), $A10=IMPORTRANGE(""https://docs.google.com/spreadsheets/d/1kGrh75X1cNR1D7_FcY9zMnHP"&amp;"8iPO4M5RCRjy6nZY0TY/edit#gid=1248694442"",""Table 1: Study characteristics!A4:A175""))"),2011.0)</f>
        <v>2011</v>
      </c>
      <c r="E10" s="4" t="str">
        <f>IFERROR(__xludf.DUMMYFUNCTION("FILTER(IMPORTRANGE(""https://docs.google.com/spreadsheets/d/1kGrh75X1cNR1D7_FcY9zMnHP8iPO4M5RCRjy6nZY0TY/edit#gid=1248694442"",""Table 1: Study characteristics!M4:M175""), $A10=IMPORTRANGE(""https://docs.google.com/spreadsheets/d/1kGrh75X1cNR1D7_FcY9zMnHP"&amp;"8iPO4M5RCRjy6nZY0TY/edit#gid=1248694442"",""Table 1: Study characteristics!A4:A175""))"),"High income")</f>
        <v>High income</v>
      </c>
      <c r="F10" s="4" t="str">
        <f>IFERROR(__xludf.DUMMYFUNCTION("FILTER(IMPORTRANGE(""https://docs.google.com/spreadsheets/d/1kGrh75X1cNR1D7_FcY9zMnHP8iPO4M5RCRjy6nZY0TY/edit#gid=1248694442"",""Table 1: Study characteristics!N4:N175""), $A10=IMPORTRANGE(""https://docs.google.com/spreadsheets/d/1kGrh75X1cNR1D7_FcY9zMnHP"&amp;"8iPO4M5RCRjy6nZY0TY/edit#gid=1248694442"",""Table 1: Study characteristics!A4:A175""))"),"Europe &amp; Central Asia")</f>
        <v>Europe &amp; Central Asia</v>
      </c>
      <c r="G10" s="4" t="str">
        <f>IFERROR(__xludf.DUMMYFUNCTION("FILTER(IMPORTRANGE(""https://docs.google.com/spreadsheets/d/1kGrh75X1cNR1D7_FcY9zMnHP8iPO4M5RCRjy6nZY0TY/edit#gid=1248694442"",""Table 1: Study characteristics!J4:J175""), $A10=IMPORTRANGE(""https://docs.google.com/spreadsheets/d/1kGrh75X1cNR1D7_FcY9zMnHP"&amp;"8iPO4M5RCRjy6nZY0TY/edit#gid=1248694442"",""Table 1: Study characteristics!A4:A175""))"),"Greece")</f>
        <v>Greece</v>
      </c>
      <c r="H10" s="4" t="str">
        <f>IFERROR(__xludf.DUMMYFUNCTION("FILTER(IMPORTRANGE(""https://docs.google.com/spreadsheets/d/1kGrh75X1cNR1D7_FcY9zMnHP8iPO4M5RCRjy6nZY0TY/edit#gid=1248694442"",""Table 1: Study characteristics!O4:O175""), $A10=IMPORTRANGE(""https://docs.google.com/spreadsheets/d/1kGrh75X1cNR1D7_FcY9zMnHP"&amp;"8iPO4M5RCRjy6nZY0TY/edit#gid=1248694442"",""Table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10" s="14" t="str">
        <f>IFERROR(__xludf.DUMMYFUNCTION("IFNA(FILTER(IMPORTRANGE(""https://docs.google.com/spreadsheets/d/1kGrh75X1cNR1D7_FcY9zMnHP8iPO4M5RCRjy6nZY0TY/edit#gid=1248694442"",""Table 3: 1st-line HC!C5:C111""), $A10=IMPORTRANGE(""https://docs.google.com/spreadsheets/d/1kGrh75X1cNR1D7_FcY9zMnHP8iPO4"&amp;"M5RCRjy6nZY0TY/edit#gid=1248694442"",""Table 3: 1st-line HC!A5:A111"")),"""")"),"")</f>
        <v/>
      </c>
      <c r="J10" s="4">
        <f>IFERROR(__xludf.DUMMYFUNCTION("FILTER(IMPORTRANGE(""https://docs.google.com/spreadsheets/d/1kGrh75X1cNR1D7_FcY9zMnHP8iPO4M5RCRjy6nZY0TY/edit#gid=1248694442"",""Table 1: Study characteristics!P4:P175""), $A10=IMPORTRANGE(""https://docs.google.com/spreadsheets/d/1kGrh75X1cNR1D7_FcY9zMnHP"&amp;"8iPO4M5RCRjy6nZY0TY/edit#gid=1248694442"",""Table 1: Study characteristics!A4:A175""))"),21.0)</f>
        <v>21</v>
      </c>
      <c r="K10" s="4">
        <f>IFERROR(__xludf.DUMMYFUNCTION("FILTER(IMPORTRANGE(""https://docs.google.com/spreadsheets/d/1kGrh75X1cNR1D7_FcY9zMnHP8iPO4M5RCRjy6nZY0TY/edit#gid=1248694442"",""Table 1: Study characteristics!U4:U175""), $A10=IMPORTRANGE(""https://docs.google.com/spreadsheets/d/1kGrh75X1cNR1D7_FcY9zMnHP"&amp;"8iPO4M5RCRjy6nZY0TY/edit#gid=1248694442"",""Table 1: Study characteristics!A4:A175""))"),11.0)</f>
        <v>11</v>
      </c>
      <c r="L10" s="4">
        <f>IFERROR(__xludf.DUMMYFUNCTION("FILTER(IMPORTRANGE(""https://docs.google.com/spreadsheets/d/1kGrh75X1cNR1D7_FcY9zMnHP8iPO4M5RCRjy6nZY0TY/edit#gid=1248694442"",""Table 1: Study characteristics!V4:V175""), $A10=IMPORTRANGE(""https://docs.google.com/spreadsheets/d/1kGrh75X1cNR1D7_FcY9zMnHP"&amp;"8iPO4M5RCRjy6nZY0TY/edit#gid=1248694442"",""Table 1: Study characteristics!A4:A175""))"),10.0)</f>
        <v>10</v>
      </c>
      <c r="M10" s="4">
        <f>IFERROR(__xludf.DUMMYFUNCTION("FILTER(IMPORTRANGE(""https://docs.google.com/spreadsheets/d/1kGrh75X1cNR1D7_FcY9zMnHP8iPO4M5RCRjy6nZY0TY/edit#gid=1248694442"",""Table 1: Study characteristics!Q4:Q175""), $A10=IMPORTRANGE(""https://docs.google.com/spreadsheets/d/1kGrh75X1cNR1D7_FcY9zMnHP"&amp;"8iPO4M5RCRjy6nZY0TY/edit#gid=1248694442"",""Table 1: Study characteristics!A4:A175""))"),45.0)</f>
        <v>45</v>
      </c>
      <c r="N10" s="4" t="str">
        <f>IFERROR(__xludf.DUMMYFUNCTION("FILTER(IMPORTRANGE(""https://docs.google.com/spreadsheets/d/1kGrh75X1cNR1D7_FcY9zMnHP8iPO4M5RCRjy6nZY0TY/edit#gid=1248694442"",""Table 1: Study characteristics!R4:R175""), $A10=IMPORTRANGE(""https://docs.google.com/spreadsheets/d/1kGrh75X1cNR1D7_FcY9zMnHP"&amp;"8iPO4M5RCRjy6nZY0TY/edit#gid=1248694442"",""Table 1: Study characteristics!A4:A175""))"),"")</f>
        <v/>
      </c>
      <c r="O10" s="4" t="str">
        <f>IFERROR(__xludf.DUMMYFUNCTION("FILTER(IMPORTRANGE(""https://docs.google.com/spreadsheets/d/1kGrh75X1cNR1D7_FcY9zMnHP8iPO4M5RCRjy6nZY0TY/edit#gid=1248694442"",""Table 1: Study characteristics!S4:S175""), $A10=IMPORTRANGE(""https://docs.google.com/spreadsheets/d/1kGrh75X1cNR1D7_FcY9zMnHP"&amp;"8iPO4M5RCRjy6nZY0TY/edit#gid=1248694442"",""Table 1: Study characteristics!A4:A175""))"),"")</f>
        <v/>
      </c>
      <c r="P10" s="6" t="str">
        <f>IFERROR(__xludf.DUMMYFUNCTION("FILTER(IMPORTRANGE(""https://docs.google.com/spreadsheets/d/1kGrh75X1cNR1D7_FcY9zMnHP8iPO4M5RCRjy6nZY0TY/edit#gid=1248694442"",""Table 1: Study characteristics!T4:T175""), $A10=IMPORTRANGE(""https://docs.google.com/spreadsheets/d/1kGrh75X1cNR1D7_FcY9zMnHP"&amp;"8iPO4M5RCRjy6nZY0TY/edit#gid=1248694442"",""Table 1: Study characteristics!A4:A175""))"),"1-44")</f>
        <v>1-44</v>
      </c>
      <c r="Q10" s="6" t="str">
        <f>IFERROR(__xludf.DUMMYFUNCTION("FILTER(IMPORTRANGE(""https://docs.google.com/spreadsheets/d/1kGrh75X1cNR1D7_FcY9zMnHP8iPO4M5RCRjy6nZY0TY/edit#gid=1248694442"",""Table 1: Study characteristics!L4:L175""), $A10=IMPORTRANGE(""https://docs.google.com/spreadsheets/d/1kGrh75X1cNR1D7_FcY9zMnHP"&amp;"8iPO4M5RCRjy6nZY0TY/edit#gid=1248694442"",""Table 1: Study characteristics!A4:A175""))"),"1995-2008")</f>
        <v>1995-2008</v>
      </c>
      <c r="R10" s="4" t="str">
        <f>IFERROR(__xludf.DUMMYFUNCTION("FILTER(IMPORTRANGE(""https://docs.google.com/spreadsheets/d/1kGrh75X1cNR1D7_FcY9zMnHP8iPO4M5RCRjy6nZY0TY/edit#gid=1248694442"",""Table 1: Study characteristics!I4:I175""), $A10=IMPORTRANGE(""https://docs.google.com/spreadsheets/d/1kGrh75X1cNR1D7_FcY9zMnHP"&amp;"8iPO4M5RCRjy6nZY0TY/edit#gid=1248694442"",""Table 1: Study characteristics!A4:A175""))"),"English")</f>
        <v>English</v>
      </c>
    </row>
    <row r="11">
      <c r="A11" s="4" t="str">
        <f>IFERROR(__xludf.DUMMYFUNCTION("""COMPUTED_VALUE"""),"ID 15")</f>
        <v>ID 15</v>
      </c>
      <c r="B11" s="15" t="s">
        <v>159</v>
      </c>
      <c r="C11" s="4" t="str">
        <f>IFERROR(__xludf.DUMMYFUNCTION("LEFT(FILTER(IMPORTRANGE(""https://docs.google.com/spreadsheets/d/1kGrh75X1cNR1D7_FcY9zMnHP8iPO4M5RCRjy6nZY0TY/edit#gid=1248694442"",""Table 1: Study characteristics!C4:C175""), $A11=IMPORTRANGE(""https://docs.google.com/spreadsheets/d/1kGrh75X1cNR1D7_FcY9"&amp;"zMnHP8iPO4M5RCRjy6nZY0TY/edit#gid=1248694442"",""Table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$A11=IMPORTRANGE(""https://docs.google.com/spreadsheets/d/1kGrh75X1cNR1D7_FcY9zMnHP8iPO4M5RCRjy6nZY0TY/edit#gid=1248694442"",""Table 1: Study characteristics!A4:A175"")))-1)"),"Kawamura")</f>
        <v>Kawamura</v>
      </c>
      <c r="D11" s="4">
        <f>IFERROR(__xludf.DUMMYFUNCTION("FILTER(IMPORTRANGE(""https://docs.google.com/spreadsheets/d/1kGrh75X1cNR1D7_FcY9zMnHP8iPO4M5RCRjy6nZY0TY/edit#gid=1248694442"",""Table 1: Study characteristics!K4:K175""), $A11=IMPORTRANGE(""https://docs.google.com/spreadsheets/d/1kGrh75X1cNR1D7_FcY9zMnHP"&amp;"8iPO4M5RCRjy6nZY0TY/edit#gid=1248694442"",""Table 1: Study characteristics!A4:A175""))"),2001.0)</f>
        <v>2001</v>
      </c>
      <c r="E11" s="4" t="str">
        <f>IFERROR(__xludf.DUMMYFUNCTION("FILTER(IMPORTRANGE(""https://docs.google.com/spreadsheets/d/1kGrh75X1cNR1D7_FcY9zMnHP8iPO4M5RCRjy6nZY0TY/edit#gid=1248694442"",""Table 1: Study characteristics!M4:M175""), $A11=IMPORTRANGE(""https://docs.google.com/spreadsheets/d/1kGrh75X1cNR1D7_FcY9zMnHP"&amp;"8iPO4M5RCRjy6nZY0TY/edit#gid=1248694442"",""Table 1: Study characteristics!A4:A175""))"),"High income")</f>
        <v>High income</v>
      </c>
      <c r="F11" s="4" t="str">
        <f>IFERROR(__xludf.DUMMYFUNCTION("FILTER(IMPORTRANGE(""https://docs.google.com/spreadsheets/d/1kGrh75X1cNR1D7_FcY9zMnHP8iPO4M5RCRjy6nZY0TY/edit#gid=1248694442"",""Table 1: Study characteristics!N4:N175""), $A11=IMPORTRANGE(""https://docs.google.com/spreadsheets/d/1kGrh75X1cNR1D7_FcY9zMnHP"&amp;"8iPO4M5RCRjy6nZY0TY/edit#gid=1248694442"",""Table 1: Study characteristics!A4:A175""))"),"East Asia &amp; Pacific")</f>
        <v>East Asia &amp; Pacific</v>
      </c>
      <c r="G11" s="4" t="str">
        <f>IFERROR(__xludf.DUMMYFUNCTION("FILTER(IMPORTRANGE(""https://docs.google.com/spreadsheets/d/1kGrh75X1cNR1D7_FcY9zMnHP8iPO4M5RCRjy6nZY0TY/edit#gid=1248694442"",""Table 1: Study characteristics!J4:J175""), $A11=IMPORTRANGE(""https://docs.google.com/spreadsheets/d/1kGrh75X1cNR1D7_FcY9zMnHP"&amp;"8iPO4M5RCRjy6nZY0TY/edit#gid=1248694442"",""Table 1: Study characteristics!A4:A175""))"),"Japan")</f>
        <v>Japan</v>
      </c>
      <c r="H11" s="4" t="str">
        <f>IFERROR(__xludf.DUMMYFUNCTION("FILTER(IMPORTRANGE(""https://docs.google.com/spreadsheets/d/1kGrh75X1cNR1D7_FcY9zMnHP8iPO4M5RCRjy6nZY0TY/edit#gid=1248694442"",""Table 1: Study characteristics!O4:O175""), $A11=IMPORTRANGE(""https://docs.google.com/spreadsheets/d/1kGrh75X1cNR1D7_FcY9zMnHP"&amp;"8iPO4M5RCRjy6nZY0TY/edit#gid=1248694442"",""Table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11" s="14" t="str">
        <f>IFERROR(__xludf.DUMMYFUNCTION("IFNA(FILTER(IMPORTRANGE(""https://docs.google.com/spreadsheets/d/1kGrh75X1cNR1D7_FcY9zMnHP8iPO4M5RCRjy6nZY0TY/edit#gid=1248694442"",""Table 3: 1st-line HC!C5:C111""), $A11=IMPORTRANGE(""https://docs.google.com/spreadsheets/d/1kGrh75X1cNR1D7_FcY9zMnHP8iPO4"&amp;"M5RCRjy6nZY0TY/edit#gid=1248694442"",""Table 3: 1st-line HC!A5:A111"")),"""")"),"Selected")</f>
        <v>Selected</v>
      </c>
      <c r="J11" s="4">
        <f>IFERROR(__xludf.DUMMYFUNCTION("FILTER(IMPORTRANGE(""https://docs.google.com/spreadsheets/d/1kGrh75X1cNR1D7_FcY9zMnHP8iPO4M5RCRjy6nZY0TY/edit#gid=1248694442"",""Table 1: Study characteristics!P4:P175""), $A11=IMPORTRANGE(""https://docs.google.com/spreadsheets/d/1kGrh75X1cNR1D7_FcY9zMnHP"&amp;"8iPO4M5RCRjy6nZY0TY/edit#gid=1248694442"",""Table 1: Study characteristics!A4:A175""))"),5.0)</f>
        <v>5</v>
      </c>
      <c r="K11" s="4">
        <f>IFERROR(__xludf.DUMMYFUNCTION("FILTER(IMPORTRANGE(""https://docs.google.com/spreadsheets/d/1kGrh75X1cNR1D7_FcY9zMnHP8iPO4M5RCRjy6nZY0TY/edit#gid=1248694442"",""Table 1: Study characteristics!U4:U175""), $A11=IMPORTRANGE(""https://docs.google.com/spreadsheets/d/1kGrh75X1cNR1D7_FcY9zMnHP"&amp;"8iPO4M5RCRjy6nZY0TY/edit#gid=1248694442"",""Table 1: Study characteristics!A4:A175""))"),4.0)</f>
        <v>4</v>
      </c>
      <c r="L11" s="4">
        <f>IFERROR(__xludf.DUMMYFUNCTION("FILTER(IMPORTRANGE(""https://docs.google.com/spreadsheets/d/1kGrh75X1cNR1D7_FcY9zMnHP8iPO4M5RCRjy6nZY0TY/edit#gid=1248694442"",""Table 1: Study characteristics!V4:V175""), $A11=IMPORTRANGE(""https://docs.google.com/spreadsheets/d/1kGrh75X1cNR1D7_FcY9zMnHP"&amp;"8iPO4M5RCRjy6nZY0TY/edit#gid=1248694442"",""Table 1: Study characteristics!A4:A175""))"),6.0)</f>
        <v>6</v>
      </c>
      <c r="M11" s="4">
        <f>IFERROR(__xludf.DUMMYFUNCTION("FILTER(IMPORTRANGE(""https://docs.google.com/spreadsheets/d/1kGrh75X1cNR1D7_FcY9zMnHP8iPO4M5RCRjy6nZY0TY/edit#gid=1248694442"",""Table 1: Study characteristics!Q4:Q175""), $A11=IMPORTRANGE(""https://docs.google.com/spreadsheets/d/1kGrh75X1cNR1D7_FcY9zMnHP"&amp;"8iPO4M5RCRjy6nZY0TY/edit#gid=1248694442"",""Table 1: Study characteristics!A4:A175""))"),7.5)</f>
        <v>7.5</v>
      </c>
      <c r="N11" s="4" t="str">
        <f>IFERROR(__xludf.DUMMYFUNCTION("FILTER(IMPORTRANGE(""https://docs.google.com/spreadsheets/d/1kGrh75X1cNR1D7_FcY9zMnHP8iPO4M5RCRjy6nZY0TY/edit#gid=1248694442"",""Table 1: Study characteristics!R4:R175""), $A11=IMPORTRANGE(""https://docs.google.com/spreadsheets/d/1kGrh75X1cNR1D7_FcY9zMnHP"&amp;"8iPO4M5RCRjy6nZY0TY/edit#gid=1248694442"",""Table 1: Study characteristics!A4:A175""))"),"")</f>
        <v/>
      </c>
      <c r="O11" s="4" t="str">
        <f>IFERROR(__xludf.DUMMYFUNCTION("FILTER(IMPORTRANGE(""https://docs.google.com/spreadsheets/d/1kGrh75X1cNR1D7_FcY9zMnHP8iPO4M5RCRjy6nZY0TY/edit#gid=1248694442"",""Table 1: Study characteristics!S4:S175""), $A11=IMPORTRANGE(""https://docs.google.com/spreadsheets/d/1kGrh75X1cNR1D7_FcY9zMnHP"&amp;"8iPO4M5RCRjy6nZY0TY/edit#gid=1248694442"",""Table 1: Study characteristics!A4:A175""))"),"")</f>
        <v/>
      </c>
      <c r="P11" s="6" t="str">
        <f>IFERROR(__xludf.DUMMYFUNCTION("FILTER(IMPORTRANGE(""https://docs.google.com/spreadsheets/d/1kGrh75X1cNR1D7_FcY9zMnHP8iPO4M5RCRjy6nZY0TY/edit#gid=1248694442"",""Table 1: Study characteristics!T4:T175""), $A11=IMPORTRANGE(""https://docs.google.com/spreadsheets/d/1kGrh75X1cNR1D7_FcY9zMnHP"&amp;"8iPO4M5RCRjy6nZY0TY/edit#gid=1248694442"",""Table 1: Study characteristics!A4:A175""))"),"")</f>
        <v/>
      </c>
      <c r="Q11" s="6" t="str">
        <f>IFERROR(__xludf.DUMMYFUNCTION("FILTER(IMPORTRANGE(""https://docs.google.com/spreadsheets/d/1kGrh75X1cNR1D7_FcY9zMnHP8iPO4M5RCRjy6nZY0TY/edit#gid=1248694442"",""Table 1: Study characteristics!L4:L175""), $A11=IMPORTRANGE(""https://docs.google.com/spreadsheets/d/1kGrh75X1cNR1D7_FcY9zMnHP"&amp;"8iPO4M5RCRjy6nZY0TY/edit#gid=1248694442"",""Table 1: Study characteristics!A4:A175""))"),"1980-1999")</f>
        <v>1980-1999</v>
      </c>
      <c r="R11" s="4" t="str">
        <f>IFERROR(__xludf.DUMMYFUNCTION("FILTER(IMPORTRANGE(""https://docs.google.com/spreadsheets/d/1kGrh75X1cNR1D7_FcY9zMnHP8iPO4M5RCRjy6nZY0TY/edit#gid=1248694442"",""Table 1: Study characteristics!I4:I175""), $A11=IMPORTRANGE(""https://docs.google.com/spreadsheets/d/1kGrh75X1cNR1D7_FcY9zMnHP"&amp;"8iPO4M5RCRjy6nZY0TY/edit#gid=1248694442"",""Table 1: Study characteristics!A4:A175""))"),"English")</f>
        <v>English</v>
      </c>
    </row>
    <row r="12">
      <c r="A12" s="4" t="str">
        <f>IFERROR(__xludf.DUMMYFUNCTION("""COMPUTED_VALUE"""),"ID 18")</f>
        <v>ID 18</v>
      </c>
      <c r="B12" s="13" t="s">
        <v>160</v>
      </c>
      <c r="C12" s="4" t="str">
        <f>IFERROR(__xludf.DUMMYFUNCTION("LEFT(FILTER(IMPORTRANGE(""https://docs.google.com/spreadsheets/d/1kGrh75X1cNR1D7_FcY9zMnHP8iPO4M5RCRjy6nZY0TY/edit#gid=1248694442"",""Table 1: Study characteristics!C4:C175""), $A12=IMPORTRANGE(""https://docs.google.com/spreadsheets/d/1kGrh75X1cNR1D7_FcY9"&amp;"zMnHP8iPO4M5RCRjy6nZY0TY/edit#gid=1248694442"",""Table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$A12=IMPORTRANGE(""https://docs.google.com/spreadsheets/d/1kGrh75X1cNR1D7_FcY9zMnHP8iPO4M5RCRjy6nZY0TY/edit#gid=1248694442"",""Table 1: Study characteristics!A4:A175"")))-1)"),"Ammirati")</f>
        <v>Ammirati</v>
      </c>
      <c r="D12" s="4">
        <f>IFERROR(__xludf.DUMMYFUNCTION("FILTER(IMPORTRANGE(""https://docs.google.com/spreadsheets/d/1kGrh75X1cNR1D7_FcY9zMnHP8iPO4M5RCRjy6nZY0TY/edit#gid=1248694442"",""Table 1: Study characteristics!K4:K175""), $A12=IMPORTRANGE(""https://docs.google.com/spreadsheets/d/1kGrh75X1cNR1D7_FcY9zMnHP"&amp;"8iPO4M5RCRjy6nZY0TY/edit#gid=1248694442"",""Table 1: Study characteristics!A4:A175""))"),1987.0)</f>
        <v>1987</v>
      </c>
      <c r="E12" s="4" t="str">
        <f>IFERROR(__xludf.DUMMYFUNCTION("FILTER(IMPORTRANGE(""https://docs.google.com/spreadsheets/d/1kGrh75X1cNR1D7_FcY9zMnHP8iPO4M5RCRjy6nZY0TY/edit#gid=1248694442"",""Table 1: Study characteristics!M4:M175""), $A12=IMPORTRANGE(""https://docs.google.com/spreadsheets/d/1kGrh75X1cNR1D7_FcY9zMnHP"&amp;"8iPO4M5RCRjy6nZY0TY/edit#gid=1248694442"",""Table 1: Study characteristics!A4:A175""))"),"High income")</f>
        <v>High income</v>
      </c>
      <c r="F12" s="4" t="str">
        <f>IFERROR(__xludf.DUMMYFUNCTION("FILTER(IMPORTRANGE(""https://docs.google.com/spreadsheets/d/1kGrh75X1cNR1D7_FcY9zMnHP8iPO4M5RCRjy6nZY0TY/edit#gid=1248694442"",""Table 1: Study characteristics!N4:N175""), $A12=IMPORTRANGE(""https://docs.google.com/spreadsheets/d/1kGrh75X1cNR1D7_FcY9zMnHP"&amp;"8iPO4M5RCRjy6nZY0TY/edit#gid=1248694442"",""Table 1: Study characteristics!A4:A175""))"),"North America")</f>
        <v>North America</v>
      </c>
      <c r="G12" s="4" t="str">
        <f>IFERROR(__xludf.DUMMYFUNCTION("FILTER(IMPORTRANGE(""https://docs.google.com/spreadsheets/d/1kGrh75X1cNR1D7_FcY9zMnHP8iPO4M5RCRjy6nZY0TY/edit#gid=1248694442"",""Table 1: Study characteristics!J4:J175""), $A12=IMPORTRANGE(""https://docs.google.com/spreadsheets/d/1kGrh75X1cNR1D7_FcY9zMnHP"&amp;"8iPO4M5RCRjy6nZY0TY/edit#gid=1248694442"",""Table 1: Study characteristics!A4:A175""))"),"United States")</f>
        <v>United States</v>
      </c>
      <c r="H12" s="4" t="str">
        <f>IFERROR(__xludf.DUMMYFUNCTION("FILTER(IMPORTRANGE(""https://docs.google.com/spreadsheets/d/1kGrh75X1cNR1D7_FcY9zMnHP8iPO4M5RCRjy6nZY0TY/edit#gid=1248694442"",""Table 1: Study characteristics!O4:O175""), $A12=IMPORTRANGE(""https://docs.google.com/spreadsheets/d/1kGrh75X1cNR1D7_FcY9zMnHP"&amp;"8iPO4M5RCRjy6nZY0TY/edit#gid=1248694442"",""Table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12" s="14" t="str">
        <f>IFERROR(__xludf.DUMMYFUNCTION("IFNA(FILTER(IMPORTRANGE(""https://docs.google.com/spreadsheets/d/1kGrh75X1cNR1D7_FcY9zMnHP8iPO4M5RCRjy6nZY0TY/edit#gid=1248694442"",""Table 3: 1st-line HC!C5:C111""), $A12=IMPORTRANGE(""https://docs.google.com/spreadsheets/d/1kGrh75X1cNR1D7_FcY9zMnHP8iPO4"&amp;"M5RCRjy6nZY0TY/edit#gid=1248694442"",""Table 3: 1st-line HC!A5:A111"")),"""")"),"Selected")</f>
        <v>Selected</v>
      </c>
      <c r="J12" s="4">
        <f>IFERROR(__xludf.DUMMYFUNCTION("FILTER(IMPORTRANGE(""https://docs.google.com/spreadsheets/d/1kGrh75X1cNR1D7_FcY9zMnHP8iPO4M5RCRjy6nZY0TY/edit#gid=1248694442"",""Table 1: Study characteristics!P4:P175""), $A12=IMPORTRANGE(""https://docs.google.com/spreadsheets/d/1kGrh75X1cNR1D7_FcY9zMnHP"&amp;"8iPO4M5RCRjy6nZY0TY/edit#gid=1248694442"",""Table 1: Study characteristics!A4:A175""))"),174.0)</f>
        <v>174</v>
      </c>
      <c r="K12" s="4" t="str">
        <f>IFERROR(__xludf.DUMMYFUNCTION("FILTER(IMPORTRANGE(""https://docs.google.com/spreadsheets/d/1kGrh75X1cNR1D7_FcY9zMnHP8iPO4M5RCRjy6nZY0TY/edit#gid=1248694442"",""Table 1: Study characteristics!U4:U175""), $A12=IMPORTRANGE(""https://docs.google.com/spreadsheets/d/1kGrh75X1cNR1D7_FcY9zMnHP"&amp;"8iPO4M5RCRjy6nZY0TY/edit#gid=1248694442"",""Table 1: Study characteristics!A4:A175""))"),"")</f>
        <v/>
      </c>
      <c r="L12" s="4" t="str">
        <f>IFERROR(__xludf.DUMMYFUNCTION("FILTER(IMPORTRANGE(""https://docs.google.com/spreadsheets/d/1kGrh75X1cNR1D7_FcY9zMnHP8iPO4M5RCRjy6nZY0TY/edit#gid=1248694442"",""Table 1: Study characteristics!V4:V175""), $A12=IMPORTRANGE(""https://docs.google.com/spreadsheets/d/1kGrh75X1cNR1D7_FcY9zMnHP"&amp;"8iPO4M5RCRjy6nZY0TY/edit#gid=1248694442"",""Table 1: Study characteristics!A4:A175""))"),"")</f>
        <v/>
      </c>
      <c r="M12" s="4" t="str">
        <f>IFERROR(__xludf.DUMMYFUNCTION("FILTER(IMPORTRANGE(""https://docs.google.com/spreadsheets/d/1kGrh75X1cNR1D7_FcY9zMnHP8iPO4M5RCRjy6nZY0TY/edit#gid=1248694442"",""Table 1: Study characteristics!Q4:Q175""), $A12=IMPORTRANGE(""https://docs.google.com/spreadsheets/d/1kGrh75X1cNR1D7_FcY9zMnHP"&amp;"8iPO4M5RCRjy6nZY0TY/edit#gid=1248694442"",""Table 1: Study characteristics!A4:A175""))"),"")</f>
        <v/>
      </c>
      <c r="N12" s="4" t="str">
        <f>IFERROR(__xludf.DUMMYFUNCTION("FILTER(IMPORTRANGE(""https://docs.google.com/spreadsheets/d/1kGrh75X1cNR1D7_FcY9zMnHP8iPO4M5RCRjy6nZY0TY/edit#gid=1248694442"",""Table 1: Study characteristics!R4:R175""), $A12=IMPORTRANGE(""https://docs.google.com/spreadsheets/d/1kGrh75X1cNR1D7_FcY9zMnHP"&amp;"8iPO4M5RCRjy6nZY0TY/edit#gid=1248694442"",""Table 1: Study characteristics!A4:A175""))"),"")</f>
        <v/>
      </c>
      <c r="O12" s="4" t="str">
        <f>IFERROR(__xludf.DUMMYFUNCTION("FILTER(IMPORTRANGE(""https://docs.google.com/spreadsheets/d/1kGrh75X1cNR1D7_FcY9zMnHP8iPO4M5RCRjy6nZY0TY/edit#gid=1248694442"",""Table 1: Study characteristics!S4:S175""), $A12=IMPORTRANGE(""https://docs.google.com/spreadsheets/d/1kGrh75X1cNR1D7_FcY9zMnHP"&amp;"8iPO4M5RCRjy6nZY0TY/edit#gid=1248694442"",""Table 1: Study characteristics!A4:A175""))"),"")</f>
        <v/>
      </c>
      <c r="P12" s="6" t="str">
        <f>IFERROR(__xludf.DUMMYFUNCTION("FILTER(IMPORTRANGE(""https://docs.google.com/spreadsheets/d/1kGrh75X1cNR1D7_FcY9zMnHP8iPO4M5RCRjy6nZY0TY/edit#gid=1248694442"",""Table 1: Study characteristics!T4:T175""), $A12=IMPORTRANGE(""https://docs.google.com/spreadsheets/d/1kGrh75X1cNR1D7_FcY9zMnHP"&amp;"8iPO4M5RCRjy6nZY0TY/edit#gid=1248694442"",""Table 1: Study characteristics!A4:A175""))"),"")</f>
        <v/>
      </c>
      <c r="Q12" s="6" t="str">
        <f>IFERROR(__xludf.DUMMYFUNCTION("FILTER(IMPORTRANGE(""https://docs.google.com/spreadsheets/d/1kGrh75X1cNR1D7_FcY9zMnHP8iPO4M5RCRjy6nZY0TY/edit#gid=1248694442"",""Table 1: Study characteristics!L4:L175""), $A12=IMPORTRANGE(""https://docs.google.com/spreadsheets/d/1kGrh75X1cNR1D7_FcY9zMnHP"&amp;"8iPO4M5RCRjy6nZY0TY/edit#gid=1248694442"",""Table 1: Study characteristics!A4:A175""))"),"1973-1982")</f>
        <v>1973-1982</v>
      </c>
      <c r="R12" s="4" t="str">
        <f>IFERROR(__xludf.DUMMYFUNCTION("FILTER(IMPORTRANGE(""https://docs.google.com/spreadsheets/d/1kGrh75X1cNR1D7_FcY9zMnHP8iPO4M5RCRjy6nZY0TY/edit#gid=1248694442"",""Table 1: Study characteristics!I4:I175""), $A12=IMPORTRANGE(""https://docs.google.com/spreadsheets/d/1kGrh75X1cNR1D7_FcY9zMnHP"&amp;"8iPO4M5RCRjy6nZY0TY/edit#gid=1248694442"",""Table 1: Study characteristics!A4:A175""))"),"English")</f>
        <v>English</v>
      </c>
    </row>
    <row r="13">
      <c r="A13" s="4" t="str">
        <f>IFERROR(__xludf.DUMMYFUNCTION("""COMPUTED_VALUE"""),"ID 20")</f>
        <v>ID 20</v>
      </c>
      <c r="B13" s="13" t="s">
        <v>161</v>
      </c>
      <c r="C13" s="4" t="str">
        <f>IFERROR(__xludf.DUMMYFUNCTION("LEFT(FILTER(IMPORTRANGE(""https://docs.google.com/spreadsheets/d/1kGrh75X1cNR1D7_FcY9zMnHP8iPO4M5RCRjy6nZY0TY/edit#gid=1248694442"",""Table 1: Study characteristics!C4:C175""), $A13=IMPORTRANGE(""https://docs.google.com/spreadsheets/d/1kGrh75X1cNR1D7_FcY9"&amp;"zMnHP8iPO4M5RCRjy6nZY0TY/edit#gid=1248694442"",""Table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$A13=IMPORTRANGE(""https://docs.google.com/spreadsheets/d/1kGrh75X1cNR1D7_FcY9zMnHP8iPO4M5RCRjy6nZY0TY/edit#gid=1248694442"",""Table 1: Study characteristics!A4:A175"")))-1)"),"Habibi")</f>
        <v>Habibi</v>
      </c>
      <c r="D13" s="4">
        <f>IFERROR(__xludf.DUMMYFUNCTION("FILTER(IMPORTRANGE(""https://docs.google.com/spreadsheets/d/1kGrh75X1cNR1D7_FcY9zMnHP8iPO4M5RCRjy6nZY0TY/edit#gid=1248694442"",""Table 1: Study characteristics!K4:K175""), $A13=IMPORTRANGE(""https://docs.google.com/spreadsheets/d/1kGrh75X1cNR1D7_FcY9zMnHP"&amp;"8iPO4M5RCRjy6nZY0TY/edit#gid=1248694442"",""Table 1: Study characteristics!A4:A175""))"),2006.0)</f>
        <v>2006</v>
      </c>
      <c r="E13" s="4" t="str">
        <f>IFERROR(__xludf.DUMMYFUNCTION("FILTER(IMPORTRANGE(""https://docs.google.com/spreadsheets/d/1kGrh75X1cNR1D7_FcY9zMnHP8iPO4M5RCRjy6nZY0TY/edit#gid=1248694442"",""Table 1: Study characteristics!M4:M175""), $A13=IMPORTRANGE(""https://docs.google.com/spreadsheets/d/1kGrh75X1cNR1D7_FcY9zMnHP"&amp;"8iPO4M5RCRjy6nZY0TY/edit#gid=1248694442"",""Table 1: Study characteristics!A4:A175""))"),"Lower middle income")</f>
        <v>Lower middle income</v>
      </c>
      <c r="F13" s="4" t="str">
        <f>IFERROR(__xludf.DUMMYFUNCTION("FILTER(IMPORTRANGE(""https://docs.google.com/spreadsheets/d/1kGrh75X1cNR1D7_FcY9zMnHP8iPO4M5RCRjy6nZY0TY/edit#gid=1248694442"",""Table 1: Study characteristics!N4:N175""), $A13=IMPORTRANGE(""https://docs.google.com/spreadsheets/d/1kGrh75X1cNR1D7_FcY9zMnHP"&amp;"8iPO4M5RCRjy6nZY0TY/edit#gid=1248694442"",""Table 1: Study characteristics!A4:A175""))"),"Middle East &amp; North Africa")</f>
        <v>Middle East &amp; North Africa</v>
      </c>
      <c r="G13" s="4" t="str">
        <f>IFERROR(__xludf.DUMMYFUNCTION("FILTER(IMPORTRANGE(""https://docs.google.com/spreadsheets/d/1kGrh75X1cNR1D7_FcY9zMnHP8iPO4M5RCRjy6nZY0TY/edit#gid=1248694442"",""Table 1: Study characteristics!J4:J175""), $A13=IMPORTRANGE(""https://docs.google.com/spreadsheets/d/1kGrh75X1cNR1D7_FcY9zMnHP"&amp;"8iPO4M5RCRjy6nZY0TY/edit#gid=1248694442"",""Table 1: Study characteristics!A4:A175""))"),"Iran, Islamic Rep.")</f>
        <v>Iran, Islamic Rep.</v>
      </c>
      <c r="H13" s="4" t="str">
        <f>IFERROR(__xludf.DUMMYFUNCTION("FILTER(IMPORTRANGE(""https://docs.google.com/spreadsheets/d/1kGrh75X1cNR1D7_FcY9zMnHP8iPO4M5RCRjy6nZY0TY/edit#gid=1248694442"",""Table 1: Study characteristics!O4:O175""), $A13=IMPORTRANGE(""https://docs.google.com/spreadsheets/d/1kGrh75X1cNR1D7_FcY9zMnHP"&amp;"8iPO4M5RCRjy6nZY0TY/edit#gid=1248694442"",""Table 1: Study characteristics!A4:A175""))"),"Multiple case report")</f>
        <v>Multiple case report</v>
      </c>
      <c r="I13" s="14" t="str">
        <f>IFERROR(__xludf.DUMMYFUNCTION("IFNA(FILTER(IMPORTRANGE(""https://docs.google.com/spreadsheets/d/1kGrh75X1cNR1D7_FcY9zMnHP8iPO4M5RCRjy6nZY0TY/edit#gid=1248694442"",""Table 3: 1st-line HC!C5:C111""), $A13=IMPORTRANGE(""https://docs.google.com/spreadsheets/d/1kGrh75X1cNR1D7_FcY9zMnHP8iPO4"&amp;"M5RCRjy6nZY0TY/edit#gid=1248694442"",""Table 3: 1st-line HC!A5:A111"")),"""")"),"Selected")</f>
        <v>Selected</v>
      </c>
      <c r="J13" s="4">
        <f>IFERROR(__xludf.DUMMYFUNCTION("FILTER(IMPORTRANGE(""https://docs.google.com/spreadsheets/d/1kGrh75X1cNR1D7_FcY9zMnHP8iPO4M5RCRjy6nZY0TY/edit#gid=1248694442"",""Table 1: Study characteristics!P4:P175""), $A13=IMPORTRANGE(""https://docs.google.com/spreadsheets/d/1kGrh75X1cNR1D7_FcY9zMnHP"&amp;"8iPO4M5RCRjy6nZY0TY/edit#gid=1248694442"",""Table 1: Study characteristics!A4:A175""))"),8.0)</f>
        <v>8</v>
      </c>
      <c r="K13" s="4">
        <f>IFERROR(__xludf.DUMMYFUNCTION("FILTER(IMPORTRANGE(""https://docs.google.com/spreadsheets/d/1kGrh75X1cNR1D7_FcY9zMnHP8iPO4M5RCRjy6nZY0TY/edit#gid=1248694442"",""Table 1: Study characteristics!U4:U175""), $A13=IMPORTRANGE(""https://docs.google.com/spreadsheets/d/1kGrh75X1cNR1D7_FcY9zMnHP"&amp;"8iPO4M5RCRjy6nZY0TY/edit#gid=1248694442"",""Table 1: Study characteristics!A4:A175""))"),3.0)</f>
        <v>3</v>
      </c>
      <c r="L13" s="4">
        <f>IFERROR(__xludf.DUMMYFUNCTION("FILTER(IMPORTRANGE(""https://docs.google.com/spreadsheets/d/1kGrh75X1cNR1D7_FcY9zMnHP8iPO4M5RCRjy6nZY0TY/edit#gid=1248694442"",""Table 1: Study characteristics!V4:V175""), $A13=IMPORTRANGE(""https://docs.google.com/spreadsheets/d/1kGrh75X1cNR1D7_FcY9zMnHP"&amp;"8iPO4M5RCRjy6nZY0TY/edit#gid=1248694442"",""Table 1: Study characteristics!A4:A175""))"),5.0)</f>
        <v>5</v>
      </c>
      <c r="M13" s="4" t="str">
        <f>IFERROR(__xludf.DUMMYFUNCTION("FILTER(IMPORTRANGE(""https://docs.google.com/spreadsheets/d/1kGrh75X1cNR1D7_FcY9zMnHP8iPO4M5RCRjy6nZY0TY/edit#gid=1248694442"",""Table 1: Study characteristics!Q4:Q175""), $A13=IMPORTRANGE(""https://docs.google.com/spreadsheets/d/1kGrh75X1cNR1D7_FcY9zMnHP"&amp;"8iPO4M5RCRjy6nZY0TY/edit#gid=1248694442"",""Table 1: Study characteristics!A4:A175""))"),"")</f>
        <v/>
      </c>
      <c r="N13" s="4">
        <f>IFERROR(__xludf.DUMMYFUNCTION("FILTER(IMPORTRANGE(""https://docs.google.com/spreadsheets/d/1kGrh75X1cNR1D7_FcY9zMnHP8iPO4M5RCRjy6nZY0TY/edit#gid=1248694442"",""Table 1: Study characteristics!R4:R175""), $A13=IMPORTRANGE(""https://docs.google.com/spreadsheets/d/1kGrh75X1cNR1D7_FcY9zMnHP"&amp;"8iPO4M5RCRjy6nZY0TY/edit#gid=1248694442"",""Table 1: Study characteristics!A4:A175""))"),17.0)</f>
        <v>17</v>
      </c>
      <c r="O13" s="4" t="str">
        <f>IFERROR(__xludf.DUMMYFUNCTION("FILTER(IMPORTRANGE(""https://docs.google.com/spreadsheets/d/1kGrh75X1cNR1D7_FcY9zMnHP8iPO4M5RCRjy6nZY0TY/edit#gid=1248694442"",""Table 1: Study characteristics!S4:S175""), $A13=IMPORTRANGE(""https://docs.google.com/spreadsheets/d/1kGrh75X1cNR1D7_FcY9zMnHP"&amp;"8iPO4M5RCRjy6nZY0TY/edit#gid=1248694442"",""Table 1: Study characteristics!A4:A175""))"),"")</f>
        <v/>
      </c>
      <c r="P13" s="6" t="str">
        <f>IFERROR(__xludf.DUMMYFUNCTION("FILTER(IMPORTRANGE(""https://docs.google.com/spreadsheets/d/1kGrh75X1cNR1D7_FcY9zMnHP8iPO4M5RCRjy6nZY0TY/edit#gid=1248694442"",""Table 1: Study characteristics!T4:T175""), $A13=IMPORTRANGE(""https://docs.google.com/spreadsheets/d/1kGrh75X1cNR1D7_FcY9zMnHP"&amp;"8iPO4M5RCRjy6nZY0TY/edit#gid=1248694442"",""Table 1: Study characteristics!A4:A175""))"),"1-121.67")</f>
        <v>1-121.67</v>
      </c>
      <c r="Q13" s="6" t="str">
        <f>IFERROR(__xludf.DUMMYFUNCTION("FILTER(IMPORTRANGE(""https://docs.google.com/spreadsheets/d/1kGrh75X1cNR1D7_FcY9zMnHP8iPO4M5RCRjy6nZY0TY/edit#gid=1248694442"",""Table 1: Study characteristics!L4:L175""), $A13=IMPORTRANGE(""https://docs.google.com/spreadsheets/d/1kGrh75X1cNR1D7_FcY9zMnHP"&amp;"8iPO4M5RCRjy6nZY0TY/edit#gid=1248694442"",""Table 1: Study characteristics!A4:A175""))"),"2000-2003")</f>
        <v>2000-2003</v>
      </c>
      <c r="R13" s="4" t="str">
        <f>IFERROR(__xludf.DUMMYFUNCTION("FILTER(IMPORTRANGE(""https://docs.google.com/spreadsheets/d/1kGrh75X1cNR1D7_FcY9zMnHP8iPO4M5RCRjy6nZY0TY/edit#gid=1248694442"",""Table 1: Study characteristics!I4:I175""), $A13=IMPORTRANGE(""https://docs.google.com/spreadsheets/d/1kGrh75X1cNR1D7_FcY9zMnHP"&amp;"8iPO4M5RCRjy6nZY0TY/edit#gid=1248694442"",""Table 1: Study characteristics!A4:A175""))"),"English")</f>
        <v>English</v>
      </c>
    </row>
    <row r="14">
      <c r="A14" s="4" t="str">
        <f>IFERROR(__xludf.DUMMYFUNCTION("""COMPUTED_VALUE"""),"ID 22")</f>
        <v>ID 22</v>
      </c>
      <c r="B14" s="13" t="s">
        <v>162</v>
      </c>
      <c r="C14" s="4" t="str">
        <f>IFERROR(__xludf.DUMMYFUNCTION("LEFT(FILTER(IMPORTRANGE(""https://docs.google.com/spreadsheets/d/1kGrh75X1cNR1D7_FcY9zMnHP8iPO4M5RCRjy6nZY0TY/edit#gid=1248694442"",""Table 1: Study characteristics!C4:C175""), $A14=IMPORTRANGE(""https://docs.google.com/spreadsheets/d/1kGrh75X1cNR1D7_FcY9"&amp;"zMnHP8iPO4M5RCRjy6nZY0TY/edit#gid=1248694442"",""Table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$A14=IMPORTRANGE(""https://docs.google.com/spreadsheets/d/1kGrh75X1cNR1D7_FcY9zMnHP8iPO4M5RCRjy6nZY0TY/edit#gid=1248694442"",""Table 1: Study characteristics!A4:A175"")))-1)"),"El Ghoul")</f>
        <v>El Ghoul</v>
      </c>
      <c r="D14" s="4">
        <f>IFERROR(__xludf.DUMMYFUNCTION("FILTER(IMPORTRANGE(""https://docs.google.com/spreadsheets/d/1kGrh75X1cNR1D7_FcY9zMnHP8iPO4M5RCRjy6nZY0TY/edit#gid=1248694442"",""Table 1: Study characteristics!K4:K175""), $A14=IMPORTRANGE(""https://docs.google.com/spreadsheets/d/1kGrh75X1cNR1D7_FcY9zMnHP"&amp;"8iPO4M5RCRjy6nZY0TY/edit#gid=1248694442"",""Table 1: Study characteristics!A4:A175""))"),2021.0)</f>
        <v>2021</v>
      </c>
      <c r="E14" s="4" t="str">
        <f>IFERROR(__xludf.DUMMYFUNCTION("FILTER(IMPORTRANGE(""https://docs.google.com/spreadsheets/d/1kGrh75X1cNR1D7_FcY9zMnHP8iPO4M5RCRjy6nZY0TY/edit#gid=1248694442"",""Table 1: Study characteristics!M4:M175""), $A14=IMPORTRANGE(""https://docs.google.com/spreadsheets/d/1kGrh75X1cNR1D7_FcY9zMnHP"&amp;"8iPO4M5RCRjy6nZY0TY/edit#gid=1248694442"",""Table 1: Study characteristics!A4:A175""))"),"Lower middle income")</f>
        <v>Lower middle income</v>
      </c>
      <c r="F14" s="4" t="str">
        <f>IFERROR(__xludf.DUMMYFUNCTION("FILTER(IMPORTRANGE(""https://docs.google.com/spreadsheets/d/1kGrh75X1cNR1D7_FcY9zMnHP8iPO4M5RCRjy6nZY0TY/edit#gid=1248694442"",""Table 1: Study characteristics!N4:N175""), $A14=IMPORTRANGE(""https://docs.google.com/spreadsheets/d/1kGrh75X1cNR1D7_FcY9zMnHP"&amp;"8iPO4M5RCRjy6nZY0TY/edit#gid=1248694442"",""Table 1: Study characteristics!A4:A175""))"),"Middle East &amp; North Africa")</f>
        <v>Middle East &amp; North Africa</v>
      </c>
      <c r="G14" s="4" t="str">
        <f>IFERROR(__xludf.DUMMYFUNCTION("FILTER(IMPORTRANGE(""https://docs.google.com/spreadsheets/d/1kGrh75X1cNR1D7_FcY9zMnHP8iPO4M5RCRjy6nZY0TY/edit#gid=1248694442"",""Table 1: Study characteristics!J4:J175""), $A14=IMPORTRANGE(""https://docs.google.com/spreadsheets/d/1kGrh75X1cNR1D7_FcY9zMnHP"&amp;"8iPO4M5RCRjy6nZY0TY/edit#gid=1248694442"",""Table 1: Study characteristics!A4:A175""))"),"Egypt, Arab Rep.")</f>
        <v>Egypt, Arab Rep.</v>
      </c>
      <c r="H14" s="4" t="str">
        <f>IFERROR(__xludf.DUMMYFUNCTION("FILTER(IMPORTRANGE(""https://docs.google.com/spreadsheets/d/1kGrh75X1cNR1D7_FcY9zMnHP8iPO4M5RCRjy6nZY0TY/edit#gid=1248694442"",""Table 1: Study characteristics!O4:O175""), $A14=IMPORTRANGE(""https://docs.google.com/spreadsheets/d/1kGrh75X1cNR1D7_FcY9zMnHP"&amp;"8iPO4M5RCRjy6nZY0TY/edit#gid=1248694442"",""Table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14" s="14" t="str">
        <f>IFERROR(__xludf.DUMMYFUNCTION("IFNA(FILTER(IMPORTRANGE(""https://docs.google.com/spreadsheets/d/1kGrh75X1cNR1D7_FcY9zMnHP8iPO4M5RCRjy6nZY0TY/edit#gid=1248694442"",""Table 3: 1st-line HC!C5:C111""), $A14=IMPORTRANGE(""https://docs.google.com/spreadsheets/d/1kGrh75X1cNR1D7_FcY9zMnHP8iPO4"&amp;"M5RCRjy6nZY0TY/edit#gid=1248694442"",""Table 3: 1st-line HC!A5:A111"")),"""")"),"Selected")</f>
        <v>Selected</v>
      </c>
      <c r="J14" s="4">
        <f>IFERROR(__xludf.DUMMYFUNCTION("FILTER(IMPORTRANGE(""https://docs.google.com/spreadsheets/d/1kGrh75X1cNR1D7_FcY9zMnHP8iPO4M5RCRjy6nZY0TY/edit#gid=1248694442"",""Table 1: Study characteristics!P4:P175""), $A14=IMPORTRANGE(""https://docs.google.com/spreadsheets/d/1kGrh75X1cNR1D7_FcY9zMnHP"&amp;"8iPO4M5RCRjy6nZY0TY/edit#gid=1248694442"",""Table 1: Study characteristics!A4:A175""))"),27.0)</f>
        <v>27</v>
      </c>
      <c r="K14" s="4">
        <f>IFERROR(__xludf.DUMMYFUNCTION("FILTER(IMPORTRANGE(""https://docs.google.com/spreadsheets/d/1kGrh75X1cNR1D7_FcY9zMnHP8iPO4M5RCRjy6nZY0TY/edit#gid=1248694442"",""Table 1: Study characteristics!U4:U175""), $A14=IMPORTRANGE(""https://docs.google.com/spreadsheets/d/1kGrh75X1cNR1D7_FcY9zMnHP"&amp;"8iPO4M5RCRjy6nZY0TY/edit#gid=1248694442"",""Table 1: Study characteristics!A4:A175""))"),16.0)</f>
        <v>16</v>
      </c>
      <c r="L14" s="4">
        <f>IFERROR(__xludf.DUMMYFUNCTION("FILTER(IMPORTRANGE(""https://docs.google.com/spreadsheets/d/1kGrh75X1cNR1D7_FcY9zMnHP8iPO4M5RCRjy6nZY0TY/edit#gid=1248694442"",""Table 1: Study characteristics!V4:V175""), $A14=IMPORTRANGE(""https://docs.google.com/spreadsheets/d/1kGrh75X1cNR1D7_FcY9zMnHP"&amp;"8iPO4M5RCRjy6nZY0TY/edit#gid=1248694442"",""Table 1: Study characteristics!A4:A175""))"),11.0)</f>
        <v>11</v>
      </c>
      <c r="M14" s="4">
        <f>IFERROR(__xludf.DUMMYFUNCTION("FILTER(IMPORTRANGE(""https://docs.google.com/spreadsheets/d/1kGrh75X1cNR1D7_FcY9zMnHP8iPO4M5RCRjy6nZY0TY/edit#gid=1248694442"",""Table 1: Study characteristics!Q4:Q175""), $A14=IMPORTRANGE(""https://docs.google.com/spreadsheets/d/1kGrh75X1cNR1D7_FcY9zMnHP"&amp;"8iPO4M5RCRjy6nZY0TY/edit#gid=1248694442"",""Table 1: Study characteristics!A4:A175""))"),16.84)</f>
        <v>16.84</v>
      </c>
      <c r="N14" s="4">
        <f>IFERROR(__xludf.DUMMYFUNCTION("FILTER(IMPORTRANGE(""https://docs.google.com/spreadsheets/d/1kGrh75X1cNR1D7_FcY9zMnHP8iPO4M5RCRjy6nZY0TY/edit#gid=1248694442"",""Table 1: Study characteristics!R4:R175""), $A14=IMPORTRANGE(""https://docs.google.com/spreadsheets/d/1kGrh75X1cNR1D7_FcY9zMnHP"&amp;"8iPO4M5RCRjy6nZY0TY/edit#gid=1248694442"",""Table 1: Study characteristics!A4:A175""))"),6.5)</f>
        <v>6.5</v>
      </c>
      <c r="O14" s="4" t="str">
        <f>IFERROR(__xludf.DUMMYFUNCTION("FILTER(IMPORTRANGE(""https://docs.google.com/spreadsheets/d/1kGrh75X1cNR1D7_FcY9zMnHP8iPO4M5RCRjy6nZY0TY/edit#gid=1248694442"",""Table 1: Study characteristics!S4:S175""), $A14=IMPORTRANGE(""https://docs.google.com/spreadsheets/d/1kGrh75X1cNR1D7_FcY9zMnHP"&amp;"8iPO4M5RCRjy6nZY0TY/edit#gid=1248694442"",""Table 1: Study characteristics!A4:A175""))"),"")</f>
        <v/>
      </c>
      <c r="P14" s="6" t="str">
        <f>IFERROR(__xludf.DUMMYFUNCTION("FILTER(IMPORTRANGE(""https://docs.google.com/spreadsheets/d/1kGrh75X1cNR1D7_FcY9zMnHP8iPO4M5RCRjy6nZY0TY/edit#gid=1248694442"",""Table 1: Study characteristics!T4:T175""), $A14=IMPORTRANGE(""https://docs.google.com/spreadsheets/d/1kGrh75X1cNR1D7_FcY9zMnHP"&amp;"8iPO4M5RCRjy6nZY0TY/edit#gid=1248694442"",""Table 1: Study characteristics!A4:A175""))"),"")</f>
        <v/>
      </c>
      <c r="Q14" s="6" t="str">
        <f>IFERROR(__xludf.DUMMYFUNCTION("FILTER(IMPORTRANGE(""https://docs.google.com/spreadsheets/d/1kGrh75X1cNR1D7_FcY9zMnHP8iPO4M5RCRjy6nZY0TY/edit#gid=1248694442"",""Table 1: Study characteristics!L4:L175""), $A14=IMPORTRANGE(""https://docs.google.com/spreadsheets/d/1kGrh75X1cNR1D7_FcY9zMnHP"&amp;"8iPO4M5RCRjy6nZY0TY/edit#gid=1248694442"",""Table 1: Study characteristics!A4:A175""))"),"")</f>
        <v/>
      </c>
      <c r="R14" s="4" t="str">
        <f>IFERROR(__xludf.DUMMYFUNCTION("FILTER(IMPORTRANGE(""https://docs.google.com/spreadsheets/d/1kGrh75X1cNR1D7_FcY9zMnHP8iPO4M5RCRjy6nZY0TY/edit#gid=1248694442"",""Table 1: Study characteristics!I4:I175""), $A14=IMPORTRANGE(""https://docs.google.com/spreadsheets/d/1kGrh75X1cNR1D7_FcY9zMnHP"&amp;"8iPO4M5RCRjy6nZY0TY/edit#gid=1248694442"",""Table 1: Study characteristics!A4:A175""))"),"English")</f>
        <v>English</v>
      </c>
    </row>
    <row r="15">
      <c r="A15" s="4" t="str">
        <f>IFERROR(__xludf.DUMMYFUNCTION("""COMPUTED_VALUE"""),"ID 23")</f>
        <v>ID 23</v>
      </c>
      <c r="B15" s="13" t="s">
        <v>163</v>
      </c>
      <c r="C15" s="4" t="str">
        <f>IFERROR(__xludf.DUMMYFUNCTION("LEFT(FILTER(IMPORTRANGE(""https://docs.google.com/spreadsheets/d/1kGrh75X1cNR1D7_FcY9zMnHP8iPO4M5RCRjy6nZY0TY/edit#gid=1248694442"",""Table 1: Study characteristics!C4:C175""), $A15=IMPORTRANGE(""https://docs.google.com/spreadsheets/d/1kGrh75X1cNR1D7_FcY9"&amp;"zMnHP8iPO4M5RCRjy6nZY0TY/edit#gid=1248694442"",""Table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$A15=IMPORTRANGE(""https://docs.google.com/spreadsheets/d/1kGrh75X1cNR1D7_FcY9zMnHP8iPO4M5RCRjy6nZY0TY/edit#gid=1248694442"",""Table 1: Study characteristics!A4:A175"")))-1)"),"Melo")</f>
        <v>Melo</v>
      </c>
      <c r="D15" s="4">
        <f>IFERROR(__xludf.DUMMYFUNCTION("FILTER(IMPORTRANGE(""https://docs.google.com/spreadsheets/d/1kGrh75X1cNR1D7_FcY9zMnHP8iPO4M5RCRjy6nZY0TY/edit#gid=1248694442"",""Table 1: Study characteristics!K4:K175""), $A15=IMPORTRANGE(""https://docs.google.com/spreadsheets/d/1kGrh75X1cNR1D7_FcY9zMnHP"&amp;"8iPO4M5RCRjy6nZY0TY/edit#gid=1248694442"",""Table 1: Study characteristics!A4:A175""))"),2015.0)</f>
        <v>2015</v>
      </c>
      <c r="E15" s="4" t="str">
        <f>IFERROR(__xludf.DUMMYFUNCTION("FILTER(IMPORTRANGE(""https://docs.google.com/spreadsheets/d/1kGrh75X1cNR1D7_FcY9zMnHP8iPO4M5RCRjy6nZY0TY/edit#gid=1248694442"",""Table 1: Study characteristics!M4:M175""), $A15=IMPORTRANGE(""https://docs.google.com/spreadsheets/d/1kGrh75X1cNR1D7_FcY9zMnHP"&amp;"8iPO4M5RCRjy6nZY0TY/edit#gid=1248694442"",""Table 1: Study characteristics!A4:A175""))"),"Upper middle income")</f>
        <v>Upper middle income</v>
      </c>
      <c r="F15" s="4" t="str">
        <f>IFERROR(__xludf.DUMMYFUNCTION("FILTER(IMPORTRANGE(""https://docs.google.com/spreadsheets/d/1kGrh75X1cNR1D7_FcY9zMnHP8iPO4M5RCRjy6nZY0TY/edit#gid=1248694442"",""Table 1: Study characteristics!N4:N175""), $A15=IMPORTRANGE(""https://docs.google.com/spreadsheets/d/1kGrh75X1cNR1D7_FcY9zMnHP"&amp;"8iPO4M5RCRjy6nZY0TY/edit#gid=1248694442"",""Table 1: Study characteristics!A4:A175""))"),"Latin America &amp; Caribbean")</f>
        <v>Latin America &amp; Caribbean</v>
      </c>
      <c r="G15" s="4" t="str">
        <f>IFERROR(__xludf.DUMMYFUNCTION("FILTER(IMPORTRANGE(""https://docs.google.com/spreadsheets/d/1kGrh75X1cNR1D7_FcY9zMnHP8iPO4M5RCRjy6nZY0TY/edit#gid=1248694442"",""Table 1: Study characteristics!J4:J175""), $A15=IMPORTRANGE(""https://docs.google.com/spreadsheets/d/1kGrh75X1cNR1D7_FcY9zMnHP"&amp;"8iPO4M5RCRjy6nZY0TY/edit#gid=1248694442"",""Table 1: Study characteristics!A4:A175""))"),"Brazil")</f>
        <v>Brazil</v>
      </c>
      <c r="H15" s="4" t="str">
        <f>IFERROR(__xludf.DUMMYFUNCTION("FILTER(IMPORTRANGE(""https://docs.google.com/spreadsheets/d/1kGrh75X1cNR1D7_FcY9zMnHP8iPO4M5RCRjy6nZY0TY/edit#gid=1248694442"",""Table 1: Study characteristics!O4:O175""), $A15=IMPORTRANGE(""https://docs.google.com/spreadsheets/d/1kGrh75X1cNR1D7_FcY9zMnHP"&amp;"8iPO4M5RCRjy6nZY0TY/edit#gid=1248694442"",""Table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15" s="14" t="str">
        <f>IFERROR(__xludf.DUMMYFUNCTION("IFNA(FILTER(IMPORTRANGE(""https://docs.google.com/spreadsheets/d/1kGrh75X1cNR1D7_FcY9zMnHP8iPO4M5RCRjy6nZY0TY/edit#gid=1248694442"",""Table 3: 1st-line HC!C5:C111""), $A15=IMPORTRANGE(""https://docs.google.com/spreadsheets/d/1kGrh75X1cNR1D7_FcY9zMnHP8iPO4"&amp;"M5RCRjy6nZY0TY/edit#gid=1248694442"",""Table 3: 1st-line HC!A5:A111"")),"""")"),"Selected")</f>
        <v>Selected</v>
      </c>
      <c r="J15" s="4">
        <f>IFERROR(__xludf.DUMMYFUNCTION("FILTER(IMPORTRANGE(""https://docs.google.com/spreadsheets/d/1kGrh75X1cNR1D7_FcY9zMnHP8iPO4M5RCRjy6nZY0TY/edit#gid=1248694442"",""Table 1: Study characteristics!P4:P175""), $A15=IMPORTRANGE(""https://docs.google.com/spreadsheets/d/1kGrh75X1cNR1D7_FcY9zMnHP"&amp;"8iPO4M5RCRjy6nZY0TY/edit#gid=1248694442"",""Table 1: Study characteristics!A4:A175""))"),32.0)</f>
        <v>32</v>
      </c>
      <c r="K15" s="4" t="str">
        <f>IFERROR(__xludf.DUMMYFUNCTION("FILTER(IMPORTRANGE(""https://docs.google.com/spreadsheets/d/1kGrh75X1cNR1D7_FcY9zMnHP8iPO4M5RCRjy6nZY0TY/edit#gid=1248694442"",""Table 1: Study characteristics!U4:U175""), $A15=IMPORTRANGE(""https://docs.google.com/spreadsheets/d/1kGrh75X1cNR1D7_FcY9zMnHP"&amp;"8iPO4M5RCRjy6nZY0TY/edit#gid=1248694442"",""Table 1: Study characteristics!A4:A175""))"),"")</f>
        <v/>
      </c>
      <c r="L15" s="4" t="str">
        <f>IFERROR(__xludf.DUMMYFUNCTION("FILTER(IMPORTRANGE(""https://docs.google.com/spreadsheets/d/1kGrh75X1cNR1D7_FcY9zMnHP8iPO4M5RCRjy6nZY0TY/edit#gid=1248694442"",""Table 1: Study characteristics!V4:V175""), $A15=IMPORTRANGE(""https://docs.google.com/spreadsheets/d/1kGrh75X1cNR1D7_FcY9zMnHP"&amp;"8iPO4M5RCRjy6nZY0TY/edit#gid=1248694442"",""Table 1: Study characteristics!A4:A175""))"),"")</f>
        <v/>
      </c>
      <c r="M15" s="4" t="str">
        <f>IFERROR(__xludf.DUMMYFUNCTION("FILTER(IMPORTRANGE(""https://docs.google.com/spreadsheets/d/1kGrh75X1cNR1D7_FcY9zMnHP8iPO4M5RCRjy6nZY0TY/edit#gid=1248694442"",""Table 1: Study characteristics!Q4:Q175""), $A15=IMPORTRANGE(""https://docs.google.com/spreadsheets/d/1kGrh75X1cNR1D7_FcY9zMnHP"&amp;"8iPO4M5RCRjy6nZY0TY/edit#gid=1248694442"",""Table 1: Study characteristics!A4:A175""))"),"")</f>
        <v/>
      </c>
      <c r="N15" s="4" t="str">
        <f>IFERROR(__xludf.DUMMYFUNCTION("FILTER(IMPORTRANGE(""https://docs.google.com/spreadsheets/d/1kGrh75X1cNR1D7_FcY9zMnHP8iPO4M5RCRjy6nZY0TY/edit#gid=1248694442"",""Table 1: Study characteristics!R4:R175""), $A15=IMPORTRANGE(""https://docs.google.com/spreadsheets/d/1kGrh75X1cNR1D7_FcY9zMnHP"&amp;"8iPO4M5RCRjy6nZY0TY/edit#gid=1248694442"",""Table 1: Study characteristics!A4:A175""))"),"")</f>
        <v/>
      </c>
      <c r="O15" s="4" t="str">
        <f>IFERROR(__xludf.DUMMYFUNCTION("FILTER(IMPORTRANGE(""https://docs.google.com/spreadsheets/d/1kGrh75X1cNR1D7_FcY9zMnHP8iPO4M5RCRjy6nZY0TY/edit#gid=1248694442"",""Table 1: Study characteristics!S4:S175""), $A15=IMPORTRANGE(""https://docs.google.com/spreadsheets/d/1kGrh75X1cNR1D7_FcY9zMnHP"&amp;"8iPO4M5RCRjy6nZY0TY/edit#gid=1248694442"",""Table 1: Study characteristics!A4:A175""))"),"")</f>
        <v/>
      </c>
      <c r="P15" s="6" t="str">
        <f>IFERROR(__xludf.DUMMYFUNCTION("FILTER(IMPORTRANGE(""https://docs.google.com/spreadsheets/d/1kGrh75X1cNR1D7_FcY9zMnHP8iPO4M5RCRjy6nZY0TY/edit#gid=1248694442"",""Table 1: Study characteristics!T4:T175""), $A15=IMPORTRANGE(""https://docs.google.com/spreadsheets/d/1kGrh75X1cNR1D7_FcY9zMnHP"&amp;"8iPO4M5RCRjy6nZY0TY/edit#gid=1248694442"",""Table 1: Study characteristics!A4:A175""))"),"")</f>
        <v/>
      </c>
      <c r="Q15" s="6" t="str">
        <f>IFERROR(__xludf.DUMMYFUNCTION("FILTER(IMPORTRANGE(""https://docs.google.com/spreadsheets/d/1kGrh75X1cNR1D7_FcY9zMnHP8iPO4M5RCRjy6nZY0TY/edit#gid=1248694442"",""Table 1: Study characteristics!L4:L175""), $A15=IMPORTRANGE(""https://docs.google.com/spreadsheets/d/1kGrh75X1cNR1D7_FcY9zMnHP"&amp;"8iPO4M5RCRjy6nZY0TY/edit#gid=1248694442"",""Table 1: Study characteristics!A4:A175""))"),"2009-2013")</f>
        <v>2009-2013</v>
      </c>
      <c r="R15" s="4" t="str">
        <f>IFERROR(__xludf.DUMMYFUNCTION("FILTER(IMPORTRANGE(""https://docs.google.com/spreadsheets/d/1kGrh75X1cNR1D7_FcY9zMnHP8iPO4M5RCRjy6nZY0TY/edit#gid=1248694442"",""Table 1: Study characteristics!I4:I175""), $A15=IMPORTRANGE(""https://docs.google.com/spreadsheets/d/1kGrh75X1cNR1D7_FcY9zMnHP"&amp;"8iPO4M5RCRjy6nZY0TY/edit#gid=1248694442"",""Table 1: Study characteristics!A4:A175""))"),"English")</f>
        <v>English</v>
      </c>
    </row>
    <row r="16">
      <c r="A16" s="4" t="str">
        <f>IFERROR(__xludf.DUMMYFUNCTION("""COMPUTED_VALUE"""),"ID 24")</f>
        <v>ID 24</v>
      </c>
      <c r="B16" s="13" t="s">
        <v>164</v>
      </c>
      <c r="C16" s="4" t="str">
        <f>IFERROR(__xludf.DUMMYFUNCTION("LEFT(FILTER(IMPORTRANGE(""https://docs.google.com/spreadsheets/d/1kGrh75X1cNR1D7_FcY9zMnHP8iPO4M5RCRjy6nZY0TY/edit#gid=1248694442"",""Table 1: Study characteristics!C4:C175""), $A16=IMPORTRANGE(""https://docs.google.com/spreadsheets/d/1kGrh75X1cNR1D7_FcY9"&amp;"zMnHP8iPO4M5RCRjy6nZY0TY/edit#gid=1248694442"",""Table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$A16=IMPORTRANGE(""https://docs.google.com/spreadsheets/d/1kGrh75X1cNR1D7_FcY9zMnHP8iPO4M5RCRjy6nZY0TY/edit#gid=1248694442"",""Table 1: Study characteristics!A4:A175"")))-1)"),"Bulbul")</f>
        <v>Bulbul</v>
      </c>
      <c r="D16" s="4">
        <f>IFERROR(__xludf.DUMMYFUNCTION("FILTER(IMPORTRANGE(""https://docs.google.com/spreadsheets/d/1kGrh75X1cNR1D7_FcY9zMnHP8iPO4M5RCRjy6nZY0TY/edit#gid=1248694442"",""Table 1: Study characteristics!K4:K175""), $A16=IMPORTRANGE(""https://docs.google.com/spreadsheets/d/1kGrh75X1cNR1D7_FcY9zMnHP"&amp;"8iPO4M5RCRjy6nZY0TY/edit#gid=1248694442"",""Table 1: Study characteristics!A4:A175""))"),2010.0)</f>
        <v>2010</v>
      </c>
      <c r="E16" s="4" t="str">
        <f>IFERROR(__xludf.DUMMYFUNCTION("FILTER(IMPORTRANGE(""https://docs.google.com/spreadsheets/d/1kGrh75X1cNR1D7_FcY9zMnHP8iPO4M5RCRjy6nZY0TY/edit#gid=1248694442"",""Table 1: Study characteristics!M4:M175""), $A16=IMPORTRANGE(""https://docs.google.com/spreadsheets/d/1kGrh75X1cNR1D7_FcY9zMnHP"&amp;"8iPO4M5RCRjy6nZY0TY/edit#gid=1248694442"",""Table 1: Study characteristics!A4:A175""))"),"Upper middle income")</f>
        <v>Upper middle income</v>
      </c>
      <c r="F16" s="4" t="str">
        <f>IFERROR(__xludf.DUMMYFUNCTION("FILTER(IMPORTRANGE(""https://docs.google.com/spreadsheets/d/1kGrh75X1cNR1D7_FcY9zMnHP8iPO4M5RCRjy6nZY0TY/edit#gid=1248694442"",""Table 1: Study characteristics!N4:N175""), $A16=IMPORTRANGE(""https://docs.google.com/spreadsheets/d/1kGrh75X1cNR1D7_FcY9zMnHP"&amp;"8iPO4M5RCRjy6nZY0TY/edit#gid=1248694442"",""Table 1: Study characteristics!A4:A175""))"),"Europe &amp; Central Asia")</f>
        <v>Europe &amp; Central Asia</v>
      </c>
      <c r="G16" s="4" t="str">
        <f>IFERROR(__xludf.DUMMYFUNCTION("FILTER(IMPORTRANGE(""https://docs.google.com/spreadsheets/d/1kGrh75X1cNR1D7_FcY9zMnHP8iPO4M5RCRjy6nZY0TY/edit#gid=1248694442"",""Table 1: Study characteristics!J4:J175""), $A16=IMPORTRANGE(""https://docs.google.com/spreadsheets/d/1kGrh75X1cNR1D7_FcY9zMnHP"&amp;"8iPO4M5RCRjy6nZY0TY/edit#gid=1248694442"",""Table 1: Study characteristics!A4:A175""))"),"Turkey")</f>
        <v>Turkey</v>
      </c>
      <c r="H16" s="4" t="str">
        <f>IFERROR(__xludf.DUMMYFUNCTION("FILTER(IMPORTRANGE(""https://docs.google.com/spreadsheets/d/1kGrh75X1cNR1D7_FcY9zMnHP8iPO4M5RCRjy6nZY0TY/edit#gid=1248694442"",""Table 1: Study characteristics!O4:O175""), $A16=IMPORTRANGE(""https://docs.google.com/spreadsheets/d/1kGrh75X1cNR1D7_FcY9zMnHP"&amp;"8iPO4M5RCRjy6nZY0TY/edit#gid=1248694442"",""Table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16" s="14" t="str">
        <f>IFERROR(__xludf.DUMMYFUNCTION("IFNA(FILTER(IMPORTRANGE(""https://docs.google.com/spreadsheets/d/1kGrh75X1cNR1D7_FcY9zMnHP8iPO4M5RCRjy6nZY0TY/edit#gid=1248694442"",""Table 3: 1st-line HC!C5:C111""), $A16=IMPORTRANGE(""https://docs.google.com/spreadsheets/d/1kGrh75X1cNR1D7_FcY9zMnHP8iPO4"&amp;"M5RCRjy6nZY0TY/edit#gid=1248694442"",""Table 3: 1st-line HC!A5:A111"")),"""")"),"Selected")</f>
        <v>Selected</v>
      </c>
      <c r="J16" s="4">
        <f>IFERROR(__xludf.DUMMYFUNCTION("FILTER(IMPORTRANGE(""https://docs.google.com/spreadsheets/d/1kGrh75X1cNR1D7_FcY9zMnHP8iPO4M5RCRjy6nZY0TY/edit#gid=1248694442"",""Table 1: Study characteristics!P4:P175""), $A16=IMPORTRANGE(""https://docs.google.com/spreadsheets/d/1kGrh75X1cNR1D7_FcY9zMnHP"&amp;"8iPO4M5RCRjy6nZY0TY/edit#gid=1248694442"",""Table 1: Study characteristics!A4:A175""))"),13.0)</f>
        <v>13</v>
      </c>
      <c r="K16" s="4" t="str">
        <f>IFERROR(__xludf.DUMMYFUNCTION("FILTER(IMPORTRANGE(""https://docs.google.com/spreadsheets/d/1kGrh75X1cNR1D7_FcY9zMnHP8iPO4M5RCRjy6nZY0TY/edit#gid=1248694442"",""Table 1: Study characteristics!U4:U175""), $A16=IMPORTRANGE(""https://docs.google.com/spreadsheets/d/1kGrh75X1cNR1D7_FcY9zMnHP"&amp;"8iPO4M5RCRjy6nZY0TY/edit#gid=1248694442"",""Table 1: Study characteristics!A4:A175""))"),"")</f>
        <v/>
      </c>
      <c r="L16" s="4" t="str">
        <f>IFERROR(__xludf.DUMMYFUNCTION("FILTER(IMPORTRANGE(""https://docs.google.com/spreadsheets/d/1kGrh75X1cNR1D7_FcY9zMnHP8iPO4M5RCRjy6nZY0TY/edit#gid=1248694442"",""Table 1: Study characteristics!V4:V175""), $A16=IMPORTRANGE(""https://docs.google.com/spreadsheets/d/1kGrh75X1cNR1D7_FcY9zMnHP"&amp;"8iPO4M5RCRjy6nZY0TY/edit#gid=1248694442"",""Table 1: Study characteristics!A4:A175""))"),"")</f>
        <v/>
      </c>
      <c r="M16" s="4" t="str">
        <f>IFERROR(__xludf.DUMMYFUNCTION("FILTER(IMPORTRANGE(""https://docs.google.com/spreadsheets/d/1kGrh75X1cNR1D7_FcY9zMnHP8iPO4M5RCRjy6nZY0TY/edit#gid=1248694442"",""Table 1: Study characteristics!Q4:Q175""), $A16=IMPORTRANGE(""https://docs.google.com/spreadsheets/d/1kGrh75X1cNR1D7_FcY9zMnHP"&amp;"8iPO4M5RCRjy6nZY0TY/edit#gid=1248694442"",""Table 1: Study characteristics!A4:A175""))"),"")</f>
        <v/>
      </c>
      <c r="N16" s="4" t="str">
        <f>IFERROR(__xludf.DUMMYFUNCTION("FILTER(IMPORTRANGE(""https://docs.google.com/spreadsheets/d/1kGrh75X1cNR1D7_FcY9zMnHP8iPO4M5RCRjy6nZY0TY/edit#gid=1248694442"",""Table 1: Study characteristics!R4:R175""), $A16=IMPORTRANGE(""https://docs.google.com/spreadsheets/d/1kGrh75X1cNR1D7_FcY9zMnHP"&amp;"8iPO4M5RCRjy6nZY0TY/edit#gid=1248694442"",""Table 1: Study characteristics!A4:A175""))"),"")</f>
        <v/>
      </c>
      <c r="O16" s="4" t="str">
        <f>IFERROR(__xludf.DUMMYFUNCTION("FILTER(IMPORTRANGE(""https://docs.google.com/spreadsheets/d/1kGrh75X1cNR1D7_FcY9zMnHP8iPO4M5RCRjy6nZY0TY/edit#gid=1248694442"",""Table 1: Study characteristics!S4:S175""), $A16=IMPORTRANGE(""https://docs.google.com/spreadsheets/d/1kGrh75X1cNR1D7_FcY9zMnHP"&amp;"8iPO4M5RCRjy6nZY0TY/edit#gid=1248694442"",""Table 1: Study characteristics!A4:A175""))"),"")</f>
        <v/>
      </c>
      <c r="P16" s="6" t="str">
        <f>IFERROR(__xludf.DUMMYFUNCTION("FILTER(IMPORTRANGE(""https://docs.google.com/spreadsheets/d/1kGrh75X1cNR1D7_FcY9zMnHP8iPO4M5RCRjy6nZY0TY/edit#gid=1248694442"",""Table 1: Study characteristics!T4:T175""), $A16=IMPORTRANGE(""https://docs.google.com/spreadsheets/d/1kGrh75X1cNR1D7_FcY9zMnHP"&amp;"8iPO4M5RCRjy6nZY0TY/edit#gid=1248694442"",""Table 1: Study characteristics!A4:A175""))"),"")</f>
        <v/>
      </c>
      <c r="Q16" s="6" t="str">
        <f>IFERROR(__xludf.DUMMYFUNCTION("FILTER(IMPORTRANGE(""https://docs.google.com/spreadsheets/d/1kGrh75X1cNR1D7_FcY9zMnHP8iPO4M5RCRjy6nZY0TY/edit#gid=1248694442"",""Table 1: Study characteristics!L4:L175""), $A16=IMPORTRANGE(""https://docs.google.com/spreadsheets/d/1kGrh75X1cNR1D7_FcY9zMnHP"&amp;"8iPO4M5RCRjy6nZY0TY/edit#gid=1248694442"",""Table 1: Study characteristics!A4:A175""))"),"2006-2008")</f>
        <v>2006-2008</v>
      </c>
      <c r="R16" s="4" t="str">
        <f>IFERROR(__xludf.DUMMYFUNCTION("FILTER(IMPORTRANGE(""https://docs.google.com/spreadsheets/d/1kGrh75X1cNR1D7_FcY9zMnHP8iPO4M5RCRjy6nZY0TY/edit#gid=1248694442"",""Table 1: Study characteristics!I4:I175""), $A16=IMPORTRANGE(""https://docs.google.com/spreadsheets/d/1kGrh75X1cNR1D7_FcY9zMnHP"&amp;"8iPO4M5RCRjy6nZY0TY/edit#gid=1248694442"",""Table 1: Study characteristics!A4:A175""))"),"English")</f>
        <v>English</v>
      </c>
    </row>
    <row r="17">
      <c r="A17" s="4" t="str">
        <f>IFERROR(__xludf.DUMMYFUNCTION("""COMPUTED_VALUE"""),"ID 27")</f>
        <v>ID 27</v>
      </c>
      <c r="B17" s="13" t="s">
        <v>165</v>
      </c>
      <c r="C17" s="4" t="str">
        <f>IFERROR(__xludf.DUMMYFUNCTION("LEFT(FILTER(IMPORTRANGE(""https://docs.google.com/spreadsheets/d/1kGrh75X1cNR1D7_FcY9zMnHP8iPO4M5RCRjy6nZY0TY/edit#gid=1248694442"",""Table 1: Study characteristics!C4:C175""), $A17=IMPORTRANGE(""https://docs.google.com/spreadsheets/d/1kGrh75X1cNR1D7_FcY9"&amp;"zMnHP8iPO4M5RCRjy6nZY0TY/edit#gid=1248694442"",""Table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$A17=IMPORTRANGE(""https://docs.google.com/spreadsheets/d/1kGrh75X1cNR1D7_FcY9zMnHP8iPO4M5RCRjy6nZY0TY/edit#gid=1248694442"",""Table 1: Study characteristics!A4:A175"")))-1)"),"Warf")</f>
        <v>Warf</v>
      </c>
      <c r="D17" s="4">
        <f>IFERROR(__xludf.DUMMYFUNCTION("FILTER(IMPORTRANGE(""https://docs.google.com/spreadsheets/d/1kGrh75X1cNR1D7_FcY9zMnHP8iPO4M5RCRjy6nZY0TY/edit#gid=1248694442"",""Table 1: Study characteristics!K4:K175""), $A17=IMPORTRANGE(""https://docs.google.com/spreadsheets/d/1kGrh75X1cNR1D7_FcY9zMnHP"&amp;"8iPO4M5RCRjy6nZY0TY/edit#gid=1248694442"",""Table 1: Study characteristics!A4:A175""))"),2008.0)</f>
        <v>2008</v>
      </c>
      <c r="E17" s="4" t="str">
        <f>IFERROR(__xludf.DUMMYFUNCTION("FILTER(IMPORTRANGE(""https://docs.google.com/spreadsheets/d/1kGrh75X1cNR1D7_FcY9zMnHP8iPO4M5RCRjy6nZY0TY/edit#gid=1248694442"",""Table 1: Study characteristics!M4:M175""), $A17=IMPORTRANGE(""https://docs.google.com/spreadsheets/d/1kGrh75X1cNR1D7_FcY9zMnHP"&amp;"8iPO4M5RCRjy6nZY0TY/edit#gid=1248694442"",""Table 1: Study characteristics!A4:A175""))"),"Low income")</f>
        <v>Low income</v>
      </c>
      <c r="F17" s="4" t="str">
        <f>IFERROR(__xludf.DUMMYFUNCTION("FILTER(IMPORTRANGE(""https://docs.google.com/spreadsheets/d/1kGrh75X1cNR1D7_FcY9zMnHP8iPO4M5RCRjy6nZY0TY/edit#gid=1248694442"",""Table 1: Study characteristics!N4:N175""), $A17=IMPORTRANGE(""https://docs.google.com/spreadsheets/d/1kGrh75X1cNR1D7_FcY9zMnHP"&amp;"8iPO4M5RCRjy6nZY0TY/edit#gid=1248694442"",""Table 1: Study characteristics!A4:A175""))"),"Sub-Saharan Africa")</f>
        <v>Sub-Saharan Africa</v>
      </c>
      <c r="G17" s="4" t="str">
        <f>IFERROR(__xludf.DUMMYFUNCTION("FILTER(IMPORTRANGE(""https://docs.google.com/spreadsheets/d/1kGrh75X1cNR1D7_FcY9zMnHP8iPO4M5RCRjy6nZY0TY/edit#gid=1248694442"",""Table 1: Study characteristics!J4:J175""), $A17=IMPORTRANGE(""https://docs.google.com/spreadsheets/d/1kGrh75X1cNR1D7_FcY9zMnHP"&amp;"8iPO4M5RCRjy6nZY0TY/edit#gid=1248694442"",""Table 1: Study characteristics!A4:A175""))"),"Uganda")</f>
        <v>Uganda</v>
      </c>
      <c r="H17" s="4" t="str">
        <f>IFERROR(__xludf.DUMMYFUNCTION("FILTER(IMPORTRANGE(""https://docs.google.com/spreadsheets/d/1kGrh75X1cNR1D7_FcY9zMnHP8iPO4M5RCRjy6nZY0TY/edit#gid=1248694442"",""Table 1: Study characteristics!O4:O175""), $A17=IMPORTRANGE(""https://docs.google.com/spreadsheets/d/1kGrh75X1cNR1D7_FcY9zMnHP"&amp;"8iPO4M5RCRjy6nZY0TY/edit#gid=1248694442"",""Table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17" s="14" t="str">
        <f>IFERROR(__xludf.DUMMYFUNCTION("IFNA(FILTER(IMPORTRANGE(""https://docs.google.com/spreadsheets/d/1kGrh75X1cNR1D7_FcY9zMnHP8iPO4M5RCRjy6nZY0TY/edit#gid=1248694442"",""Table 3: 1st-line HC!C5:C111""), $A17=IMPORTRANGE(""https://docs.google.com/spreadsheets/d/1kGrh75X1cNR1D7_FcY9zMnHP8iPO4"&amp;"M5RCRjy6nZY0TY/edit#gid=1248694442"",""Table 3: 1st-line HC!A5:A111"")),"""")"),"Selected")</f>
        <v>Selected</v>
      </c>
      <c r="J17" s="4">
        <f>IFERROR(__xludf.DUMMYFUNCTION("FILTER(IMPORTRANGE(""https://docs.google.com/spreadsheets/d/1kGrh75X1cNR1D7_FcY9zMnHP8iPO4M5RCRjy6nZY0TY/edit#gid=1248694442"",""Table 1: Study characteristics!P4:P175""), $A17=IMPORTRANGE(""https://docs.google.com/spreadsheets/d/1kGrh75X1cNR1D7_FcY9zMnHP"&amp;"8iPO4M5RCRjy6nZY0TY/edit#gid=1248694442"",""Table 1: Study characteristics!A4:A175""))"),115.0)</f>
        <v>115</v>
      </c>
      <c r="K17" s="4" t="str">
        <f>IFERROR(__xludf.DUMMYFUNCTION("FILTER(IMPORTRANGE(""https://docs.google.com/spreadsheets/d/1kGrh75X1cNR1D7_FcY9zMnHP8iPO4M5RCRjy6nZY0TY/edit#gid=1248694442"",""Table 1: Study characteristics!U4:U175""), $A17=IMPORTRANGE(""https://docs.google.com/spreadsheets/d/1kGrh75X1cNR1D7_FcY9zMnHP"&amp;"8iPO4M5RCRjy6nZY0TY/edit#gid=1248694442"",""Table 1: Study characteristics!A4:A175""))"),"")</f>
        <v/>
      </c>
      <c r="L17" s="4" t="str">
        <f>IFERROR(__xludf.DUMMYFUNCTION("FILTER(IMPORTRANGE(""https://docs.google.com/spreadsheets/d/1kGrh75X1cNR1D7_FcY9zMnHP8iPO4M5RCRjy6nZY0TY/edit#gid=1248694442"",""Table 1: Study characteristics!V4:V175""), $A17=IMPORTRANGE(""https://docs.google.com/spreadsheets/d/1kGrh75X1cNR1D7_FcY9zMnHP"&amp;"8iPO4M5RCRjy6nZY0TY/edit#gid=1248694442"",""Table 1: Study characteristics!A4:A175""))"),"")</f>
        <v/>
      </c>
      <c r="M17" s="4" t="str">
        <f>IFERROR(__xludf.DUMMYFUNCTION("FILTER(IMPORTRANGE(""https://docs.google.com/spreadsheets/d/1kGrh75X1cNR1D7_FcY9zMnHP8iPO4M5RCRjy6nZY0TY/edit#gid=1248694442"",""Table 1: Study characteristics!Q4:Q175""), $A17=IMPORTRANGE(""https://docs.google.com/spreadsheets/d/1kGrh75X1cNR1D7_FcY9zMnHP"&amp;"8iPO4M5RCRjy6nZY0TY/edit#gid=1248694442"",""Table 1: Study characteristics!A4:A175""))"),"")</f>
        <v/>
      </c>
      <c r="N17" s="4" t="str">
        <f>IFERROR(__xludf.DUMMYFUNCTION("FILTER(IMPORTRANGE(""https://docs.google.com/spreadsheets/d/1kGrh75X1cNR1D7_FcY9zMnHP8iPO4M5RCRjy6nZY0TY/edit#gid=1248694442"",""Table 1: Study characteristics!R4:R175""), $A17=IMPORTRANGE(""https://docs.google.com/spreadsheets/d/1kGrh75X1cNR1D7_FcY9zMnHP"&amp;"8iPO4M5RCRjy6nZY0TY/edit#gid=1248694442"",""Table 1: Study characteristics!A4:A175""))"),"")</f>
        <v/>
      </c>
      <c r="O17" s="4" t="str">
        <f>IFERROR(__xludf.DUMMYFUNCTION("FILTER(IMPORTRANGE(""https://docs.google.com/spreadsheets/d/1kGrh75X1cNR1D7_FcY9zMnHP8iPO4M5RCRjy6nZY0TY/edit#gid=1248694442"",""Table 1: Study characteristics!S4:S175""), $A17=IMPORTRANGE(""https://docs.google.com/spreadsheets/d/1kGrh75X1cNR1D7_FcY9zMnHP"&amp;"8iPO4M5RCRjy6nZY0TY/edit#gid=1248694442"",""Table 1: Study characteristics!A4:A175""))"),"")</f>
        <v/>
      </c>
      <c r="P17" s="6" t="str">
        <f>IFERROR(__xludf.DUMMYFUNCTION("FILTER(IMPORTRANGE(""https://docs.google.com/spreadsheets/d/1kGrh75X1cNR1D7_FcY9zMnHP8iPO4M5RCRjy6nZY0TY/edit#gid=1248694442"",""Table 1: Study characteristics!T4:T175""), $A17=IMPORTRANGE(""https://docs.google.com/spreadsheets/d/1kGrh75X1cNR1D7_FcY9zMnHP"&amp;"8iPO4M5RCRjy6nZY0TY/edit#gid=1248694442"",""Table 1: Study characteristics!A4:A175""))"),"")</f>
        <v/>
      </c>
      <c r="Q17" s="6" t="str">
        <f>IFERROR(__xludf.DUMMYFUNCTION("FILTER(IMPORTRANGE(""https://docs.google.com/spreadsheets/d/1kGrh75X1cNR1D7_FcY9zMnHP8iPO4M5RCRjy6nZY0TY/edit#gid=1248694442"",""Table 1: Study characteristics!L4:L175""), $A17=IMPORTRANGE(""https://docs.google.com/spreadsheets/d/1kGrh75X1cNR1D7_FcY9zMnHP"&amp;"8iPO4M5RCRjy6nZY0TY/edit#gid=1248694442"",""Table 1: Study characteristics!A4:A175""))"),"2003-2006")</f>
        <v>2003-2006</v>
      </c>
      <c r="R17" s="4" t="str">
        <f>IFERROR(__xludf.DUMMYFUNCTION("FILTER(IMPORTRANGE(""https://docs.google.com/spreadsheets/d/1kGrh75X1cNR1D7_FcY9zMnHP8iPO4M5RCRjy6nZY0TY/edit#gid=1248694442"",""Table 1: Study characteristics!I4:I175""), $A17=IMPORTRANGE(""https://docs.google.com/spreadsheets/d/1kGrh75X1cNR1D7_FcY9zMnHP"&amp;"8iPO4M5RCRjy6nZY0TY/edit#gid=1248694442"",""Table 1: Study characteristics!A4:A175""))"),"English")</f>
        <v>English</v>
      </c>
    </row>
    <row r="18">
      <c r="A18" s="4" t="str">
        <f>IFERROR(__xludf.DUMMYFUNCTION("""COMPUTED_VALUE"""),"ID 28")</f>
        <v>ID 28</v>
      </c>
      <c r="B18" s="13" t="s">
        <v>166</v>
      </c>
      <c r="C18" s="4" t="str">
        <f>IFERROR(__xludf.DUMMYFUNCTION("LEFT(FILTER(IMPORTRANGE(""https://docs.google.com/spreadsheets/d/1kGrh75X1cNR1D7_FcY9zMnHP8iPO4M5RCRjy6nZY0TY/edit#gid=1248694442"",""Table 1: Study characteristics!C4:C175""), $A18=IMPORTRANGE(""https://docs.google.com/spreadsheets/d/1kGrh75X1cNR1D7_FcY9"&amp;"zMnHP8iPO4M5RCRjy6nZY0TY/edit#gid=1248694442"",""Table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$A18=IMPORTRANGE(""https://docs.google.com/spreadsheets/d/1kGrh75X1cNR1D7_FcY9zMnHP8iPO4M5RCRjy6nZY0TY/edit#gid=1248694442"",""Table 1: Study characteristics!A4:A175"")))-1)"),"Kaiser")</f>
        <v>Kaiser</v>
      </c>
      <c r="D18" s="4">
        <f>IFERROR(__xludf.DUMMYFUNCTION("FILTER(IMPORTRANGE(""https://docs.google.com/spreadsheets/d/1kGrh75X1cNR1D7_FcY9zMnHP8iPO4M5RCRjy6nZY0TY/edit#gid=1248694442"",""Table 1: Study characteristics!K4:K175""), $A18=IMPORTRANGE(""https://docs.google.com/spreadsheets/d/1kGrh75X1cNR1D7_FcY9zMnHP"&amp;"8iPO4M5RCRjy6nZY0TY/edit#gid=1248694442"",""Table 1: Study characteristics!A4:A175""))"),1986.0)</f>
        <v>1986</v>
      </c>
      <c r="E18" s="4" t="str">
        <f>IFERROR(__xludf.DUMMYFUNCTION("FILTER(IMPORTRANGE(""https://docs.google.com/spreadsheets/d/1kGrh75X1cNR1D7_FcY9zMnHP8iPO4M5RCRjy6nZY0TY/edit#gid=1248694442"",""Table 1: Study characteristics!M4:M175""), $A18=IMPORTRANGE(""https://docs.google.com/spreadsheets/d/1kGrh75X1cNR1D7_FcY9zMnHP"&amp;"8iPO4M5RCRjy6nZY0TY/edit#gid=1248694442"",""Table 1: Study characteristics!A4:A175""))"),"High income")</f>
        <v>High income</v>
      </c>
      <c r="F18" s="4" t="str">
        <f>IFERROR(__xludf.DUMMYFUNCTION("FILTER(IMPORTRANGE(""https://docs.google.com/spreadsheets/d/1kGrh75X1cNR1D7_FcY9zMnHP8iPO4M5RCRjy6nZY0TY/edit#gid=1248694442"",""Table 1: Study characteristics!N4:N175""), $A18=IMPORTRANGE(""https://docs.google.com/spreadsheets/d/1kGrh75X1cNR1D7_FcY9zMnHP"&amp;"8iPO4M5RCRjy6nZY0TY/edit#gid=1248694442"",""Table 1: Study characteristics!A4:A175""))"),"Europe &amp; Central Asia")</f>
        <v>Europe &amp; Central Asia</v>
      </c>
      <c r="G18" s="4" t="str">
        <f>IFERROR(__xludf.DUMMYFUNCTION("FILTER(IMPORTRANGE(""https://docs.google.com/spreadsheets/d/1kGrh75X1cNR1D7_FcY9zMnHP8iPO4M5RCRjy6nZY0TY/edit#gid=1248694442"",""Table 1: Study characteristics!J4:J175""), $A18=IMPORTRANGE(""https://docs.google.com/spreadsheets/d/1kGrh75X1cNR1D7_FcY9zMnHP"&amp;"8iPO4M5RCRjy6nZY0TY/edit#gid=1248694442"",""Table 1: Study characteristics!A4:A175""))"),"Switzerland")</f>
        <v>Switzerland</v>
      </c>
      <c r="H18" s="4" t="str">
        <f>IFERROR(__xludf.DUMMYFUNCTION("FILTER(IMPORTRANGE(""https://docs.google.com/spreadsheets/d/1kGrh75X1cNR1D7_FcY9zMnHP8iPO4M5RCRjy6nZY0TY/edit#gid=1248694442"",""Table 1: Study characteristics!O4:O175""), $A18=IMPORTRANGE(""https://docs.google.com/spreadsheets/d/1kGrh75X1cNR1D7_FcY9zMnHP"&amp;"8iPO4M5RCRjy6nZY0TY/edit#gid=1248694442"",""Table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18" s="14" t="str">
        <f>IFERROR(__xludf.DUMMYFUNCTION("IFNA(FILTER(IMPORTRANGE(""https://docs.google.com/spreadsheets/d/1kGrh75X1cNR1D7_FcY9zMnHP8iPO4M5RCRjy6nZY0TY/edit#gid=1248694442"",""Table 3: 1st-line HC!C5:C111""), $A18=IMPORTRANGE(""https://docs.google.com/spreadsheets/d/1kGrh75X1cNR1D7_FcY9zMnHP8iPO4"&amp;"M5RCRjy6nZY0TY/edit#gid=1248694442"",""Table 3: 1st-line HC!A5:A111"")),"""")"),"Unselected")</f>
        <v>Unselected</v>
      </c>
      <c r="J18" s="4">
        <f>IFERROR(__xludf.DUMMYFUNCTION("FILTER(IMPORTRANGE(""https://docs.google.com/spreadsheets/d/1kGrh75X1cNR1D7_FcY9zMnHP8iPO4M5RCRjy6nZY0TY/edit#gid=1248694442"",""Table 1: Study characteristics!P4:P175""), $A18=IMPORTRANGE(""https://docs.google.com/spreadsheets/d/1kGrh75X1cNR1D7_FcY9zMnHP"&amp;"8iPO4M5RCRjy6nZY0TY/edit#gid=1248694442"",""Table 1: Study characteristics!A4:A175""))"),3.0)</f>
        <v>3</v>
      </c>
      <c r="K18" s="4" t="str">
        <f>IFERROR(__xludf.DUMMYFUNCTION("FILTER(IMPORTRANGE(""https://docs.google.com/spreadsheets/d/1kGrh75X1cNR1D7_FcY9zMnHP8iPO4M5RCRjy6nZY0TY/edit#gid=1248694442"",""Table 1: Study characteristics!U4:U175""), $A18=IMPORTRANGE(""https://docs.google.com/spreadsheets/d/1kGrh75X1cNR1D7_FcY9zMnHP"&amp;"8iPO4M5RCRjy6nZY0TY/edit#gid=1248694442"",""Table 1: Study characteristics!A4:A175""))"),"")</f>
        <v/>
      </c>
      <c r="L18" s="4" t="str">
        <f>IFERROR(__xludf.DUMMYFUNCTION("FILTER(IMPORTRANGE(""https://docs.google.com/spreadsheets/d/1kGrh75X1cNR1D7_FcY9zMnHP8iPO4M5RCRjy6nZY0TY/edit#gid=1248694442"",""Table 1: Study characteristics!V4:V175""), $A18=IMPORTRANGE(""https://docs.google.com/spreadsheets/d/1kGrh75X1cNR1D7_FcY9zMnHP"&amp;"8iPO4M5RCRjy6nZY0TY/edit#gid=1248694442"",""Table 1: Study characteristics!A4:A175""))"),"")</f>
        <v/>
      </c>
      <c r="M18" s="4" t="str">
        <f>IFERROR(__xludf.DUMMYFUNCTION("FILTER(IMPORTRANGE(""https://docs.google.com/spreadsheets/d/1kGrh75X1cNR1D7_FcY9zMnHP8iPO4M5RCRjy6nZY0TY/edit#gid=1248694442"",""Table 1: Study characteristics!Q4:Q175""), $A18=IMPORTRANGE(""https://docs.google.com/spreadsheets/d/1kGrh75X1cNR1D7_FcY9zMnHP"&amp;"8iPO4M5RCRjy6nZY0TY/edit#gid=1248694442"",""Table 1: Study characteristics!A4:A175""))"),"")</f>
        <v/>
      </c>
      <c r="N18" s="4" t="str">
        <f>IFERROR(__xludf.DUMMYFUNCTION("FILTER(IMPORTRANGE(""https://docs.google.com/spreadsheets/d/1kGrh75X1cNR1D7_FcY9zMnHP8iPO4M5RCRjy6nZY0TY/edit#gid=1248694442"",""Table 1: Study characteristics!R4:R175""), $A18=IMPORTRANGE(""https://docs.google.com/spreadsheets/d/1kGrh75X1cNR1D7_FcY9zMnHP"&amp;"8iPO4M5RCRjy6nZY0TY/edit#gid=1248694442"",""Table 1: Study characteristics!A4:A175""))"),"")</f>
        <v/>
      </c>
      <c r="O18" s="4" t="str">
        <f>IFERROR(__xludf.DUMMYFUNCTION("FILTER(IMPORTRANGE(""https://docs.google.com/spreadsheets/d/1kGrh75X1cNR1D7_FcY9zMnHP8iPO4M5RCRjy6nZY0TY/edit#gid=1248694442"",""Table 1: Study characteristics!S4:S175""), $A18=IMPORTRANGE(""https://docs.google.com/spreadsheets/d/1kGrh75X1cNR1D7_FcY9zMnHP"&amp;"8iPO4M5RCRjy6nZY0TY/edit#gid=1248694442"",""Table 1: Study characteristics!A4:A175""))"),"")</f>
        <v/>
      </c>
      <c r="P18" s="6" t="str">
        <f>IFERROR(__xludf.DUMMYFUNCTION("FILTER(IMPORTRANGE(""https://docs.google.com/spreadsheets/d/1kGrh75X1cNR1D7_FcY9zMnHP8iPO4M5RCRjy6nZY0TY/edit#gid=1248694442"",""Table 1: Study characteristics!T4:T175""), $A18=IMPORTRANGE(""https://docs.google.com/spreadsheets/d/1kGrh75X1cNR1D7_FcY9zMnHP"&amp;"8iPO4M5RCRjy6nZY0TY/edit#gid=1248694442"",""Table 1: Study characteristics!A4:A175""))"),"")</f>
        <v/>
      </c>
      <c r="Q18" s="6" t="str">
        <f>IFERROR(__xludf.DUMMYFUNCTION("FILTER(IMPORTRANGE(""https://docs.google.com/spreadsheets/d/1kGrh75X1cNR1D7_FcY9zMnHP8iPO4M5RCRjy6nZY0TY/edit#gid=1248694442"",""Table 1: Study characteristics!L4:L175""), $A18=IMPORTRANGE(""https://docs.google.com/spreadsheets/d/1kGrh75X1cNR1D7_FcY9zMnHP"&amp;"8iPO4M5RCRjy6nZY0TY/edit#gid=1248694442"",""Table 1: Study characteristics!A4:A175""))"),"1977-1984")</f>
        <v>1977-1984</v>
      </c>
      <c r="R18" s="4" t="str">
        <f>IFERROR(__xludf.DUMMYFUNCTION("FILTER(IMPORTRANGE(""https://docs.google.com/spreadsheets/d/1kGrh75X1cNR1D7_FcY9zMnHP8iPO4M5RCRjy6nZY0TY/edit#gid=1248694442"",""Table 1: Study characteristics!I4:I175""), $A18=IMPORTRANGE(""https://docs.google.com/spreadsheets/d/1kGrh75X1cNR1D7_FcY9zMnHP"&amp;"8iPO4M5RCRjy6nZY0TY/edit#gid=1248694442"",""Table 1: Study characteristics!A4:A175""))"),"English")</f>
        <v>English</v>
      </c>
    </row>
    <row r="19">
      <c r="A19" s="4" t="str">
        <f>IFERROR(__xludf.DUMMYFUNCTION("""COMPUTED_VALUE"""),"ID 31")</f>
        <v>ID 31</v>
      </c>
      <c r="B19" s="13" t="s">
        <v>167</v>
      </c>
      <c r="C19" s="4" t="str">
        <f>IFERROR(__xludf.DUMMYFUNCTION("LEFT(FILTER(IMPORTRANGE(""https://docs.google.com/spreadsheets/d/1kGrh75X1cNR1D7_FcY9zMnHP8iPO4M5RCRjy6nZY0TY/edit#gid=1248694442"",""Table 1: Study characteristics!C4:C175""), $A19=IMPORTRANGE(""https://docs.google.com/spreadsheets/d/1kGrh75X1cNR1D7_FcY9"&amp;"zMnHP8iPO4M5RCRjy6nZY0TY/edit#gid=1248694442"",""Table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$A19=IMPORTRANGE(""https://docs.google.com/spreadsheets/d/1kGrh75X1cNR1D7_FcY9zMnHP8iPO4M5RCRjy6nZY0TY/edit#gid=1248694442"",""Table 1: Study characteristics!A4:A175"")))-1)"),"Atalay")</f>
        <v>Atalay</v>
      </c>
      <c r="D19" s="4">
        <f>IFERROR(__xludf.DUMMYFUNCTION("FILTER(IMPORTRANGE(""https://docs.google.com/spreadsheets/d/1kGrh75X1cNR1D7_FcY9zMnHP8iPO4M5RCRjy6nZY0TY/edit#gid=1248694442"",""Table 1: Study characteristics!K4:K175""), $A19=IMPORTRANGE(""https://docs.google.com/spreadsheets/d/1kGrh75X1cNR1D7_FcY9zMnHP"&amp;"8iPO4M5RCRjy6nZY0TY/edit#gid=1248694442"",""Table 1: Study characteristics!A4:A175""))"),2021.0)</f>
        <v>2021</v>
      </c>
      <c r="E19" s="4" t="str">
        <f>IFERROR(__xludf.DUMMYFUNCTION("FILTER(IMPORTRANGE(""https://docs.google.com/spreadsheets/d/1kGrh75X1cNR1D7_FcY9zMnHP8iPO4M5RCRjy6nZY0TY/edit#gid=1248694442"",""Table 1: Study characteristics!M4:M175""), $A19=IMPORTRANGE(""https://docs.google.com/spreadsheets/d/1kGrh75X1cNR1D7_FcY9zMnHP"&amp;"8iPO4M5RCRjy6nZY0TY/edit#gid=1248694442"",""Table 1: Study characteristics!A4:A175""))"),"Upper middle income")</f>
        <v>Upper middle income</v>
      </c>
      <c r="F19" s="4" t="str">
        <f>IFERROR(__xludf.DUMMYFUNCTION("FILTER(IMPORTRANGE(""https://docs.google.com/spreadsheets/d/1kGrh75X1cNR1D7_FcY9zMnHP8iPO4M5RCRjy6nZY0TY/edit#gid=1248694442"",""Table 1: Study characteristics!N4:N175""), $A19=IMPORTRANGE(""https://docs.google.com/spreadsheets/d/1kGrh75X1cNR1D7_FcY9zMnHP"&amp;"8iPO4M5RCRjy6nZY0TY/edit#gid=1248694442"",""Table 1: Study characteristics!A4:A175""))"),"Europe &amp; Central Asia")</f>
        <v>Europe &amp; Central Asia</v>
      </c>
      <c r="G19" s="4" t="str">
        <f>IFERROR(__xludf.DUMMYFUNCTION("FILTER(IMPORTRANGE(""https://docs.google.com/spreadsheets/d/1kGrh75X1cNR1D7_FcY9zMnHP8iPO4M5RCRjy6nZY0TY/edit#gid=1248694442"",""Table 1: Study characteristics!J4:J175""), $A19=IMPORTRANGE(""https://docs.google.com/spreadsheets/d/1kGrh75X1cNR1D7_FcY9zMnHP"&amp;"8iPO4M5RCRjy6nZY0TY/edit#gid=1248694442"",""Table 1: Study characteristics!A4:A175""))"),"Turkey")</f>
        <v>Turkey</v>
      </c>
      <c r="H19" s="4" t="str">
        <f>IFERROR(__xludf.DUMMYFUNCTION("FILTER(IMPORTRANGE(""https://docs.google.com/spreadsheets/d/1kGrh75X1cNR1D7_FcY9zMnHP8iPO4M5RCRjy6nZY0TY/edit#gid=1248694442"",""Table 1: Study characteristics!O4:O175""), $A19=IMPORTRANGE(""https://docs.google.com/spreadsheets/d/1kGrh75X1cNR1D7_FcY9zMnHP"&amp;"8iPO4M5RCRjy6nZY0TY/edit#gid=1248694442"",""Table 1: Study characteristics!A4:A175""))"),"Case series")</f>
        <v>Case series</v>
      </c>
      <c r="I19" s="14" t="str">
        <f>IFERROR(__xludf.DUMMYFUNCTION("IFNA(FILTER(IMPORTRANGE(""https://docs.google.com/spreadsheets/d/1kGrh75X1cNR1D7_FcY9zMnHP8iPO4M5RCRjy6nZY0TY/edit#gid=1248694442"",""Table 3: 1st-line HC!C5:C111""), $A19=IMPORTRANGE(""https://docs.google.com/spreadsheets/d/1kGrh75X1cNR1D7_FcY9zMnHP8iPO4"&amp;"M5RCRjy6nZY0TY/edit#gid=1248694442"",""Table 3: 1st-line HC!A5:A111"")),"""")"),"Selected")</f>
        <v>Selected</v>
      </c>
      <c r="J19" s="4">
        <f>IFERROR(__xludf.DUMMYFUNCTION("FILTER(IMPORTRANGE(""https://docs.google.com/spreadsheets/d/1kGrh75X1cNR1D7_FcY9zMnHP8iPO4M5RCRjy6nZY0TY/edit#gid=1248694442"",""Table 1: Study characteristics!P4:P175""), $A19=IMPORTRANGE(""https://docs.google.com/spreadsheets/d/1kGrh75X1cNR1D7_FcY9zMnHP"&amp;"8iPO4M5RCRjy6nZY0TY/edit#gid=1248694442"",""Table 1: Study characteristics!A4:A175""))"),11.0)</f>
        <v>11</v>
      </c>
      <c r="K19" s="4" t="str">
        <f>IFERROR(__xludf.DUMMYFUNCTION("FILTER(IMPORTRANGE(""https://docs.google.com/spreadsheets/d/1kGrh75X1cNR1D7_FcY9zMnHP8iPO4M5RCRjy6nZY0TY/edit#gid=1248694442"",""Table 1: Study characteristics!U4:U175""), $A19=IMPORTRANGE(""https://docs.google.com/spreadsheets/d/1kGrh75X1cNR1D7_FcY9zMnHP"&amp;"8iPO4M5RCRjy6nZY0TY/edit#gid=1248694442"",""Table 1: Study characteristics!A4:A175""))"),"")</f>
        <v/>
      </c>
      <c r="L19" s="4" t="str">
        <f>IFERROR(__xludf.DUMMYFUNCTION("FILTER(IMPORTRANGE(""https://docs.google.com/spreadsheets/d/1kGrh75X1cNR1D7_FcY9zMnHP8iPO4M5RCRjy6nZY0TY/edit#gid=1248694442"",""Table 1: Study characteristics!V4:V175""), $A19=IMPORTRANGE(""https://docs.google.com/spreadsheets/d/1kGrh75X1cNR1D7_FcY9zMnHP"&amp;"8iPO4M5RCRjy6nZY0TY/edit#gid=1248694442"",""Table 1: Study characteristics!A4:A175""))"),"")</f>
        <v/>
      </c>
      <c r="M19" s="4" t="str">
        <f>IFERROR(__xludf.DUMMYFUNCTION("FILTER(IMPORTRANGE(""https://docs.google.com/spreadsheets/d/1kGrh75X1cNR1D7_FcY9zMnHP8iPO4M5RCRjy6nZY0TY/edit#gid=1248694442"",""Table 1: Study characteristics!Q4:Q175""), $A19=IMPORTRANGE(""https://docs.google.com/spreadsheets/d/1kGrh75X1cNR1D7_FcY9zMnHP"&amp;"8iPO4M5RCRjy6nZY0TY/edit#gid=1248694442"",""Table 1: Study characteristics!A4:A175""))"),"")</f>
        <v/>
      </c>
      <c r="N19" s="4" t="str">
        <f>IFERROR(__xludf.DUMMYFUNCTION("FILTER(IMPORTRANGE(""https://docs.google.com/spreadsheets/d/1kGrh75X1cNR1D7_FcY9zMnHP8iPO4M5RCRjy6nZY0TY/edit#gid=1248694442"",""Table 1: Study characteristics!R4:R175""), $A19=IMPORTRANGE(""https://docs.google.com/spreadsheets/d/1kGrh75X1cNR1D7_FcY9zMnHP"&amp;"8iPO4M5RCRjy6nZY0TY/edit#gid=1248694442"",""Table 1: Study characteristics!A4:A175""))"),"")</f>
        <v/>
      </c>
      <c r="O19" s="4" t="str">
        <f>IFERROR(__xludf.DUMMYFUNCTION("FILTER(IMPORTRANGE(""https://docs.google.com/spreadsheets/d/1kGrh75X1cNR1D7_FcY9zMnHP8iPO4M5RCRjy6nZY0TY/edit#gid=1248694442"",""Table 1: Study characteristics!S4:S175""), $A19=IMPORTRANGE(""https://docs.google.com/spreadsheets/d/1kGrh75X1cNR1D7_FcY9zMnHP"&amp;"8iPO4M5RCRjy6nZY0TY/edit#gid=1248694442"",""Table 1: Study characteristics!A4:A175""))"),"")</f>
        <v/>
      </c>
      <c r="P19" s="6" t="str">
        <f>IFERROR(__xludf.DUMMYFUNCTION("FILTER(IMPORTRANGE(""https://docs.google.com/spreadsheets/d/1kGrh75X1cNR1D7_FcY9zMnHP8iPO4M5RCRjy6nZY0TY/edit#gid=1248694442"",""Table 1: Study characteristics!T4:T175""), $A19=IMPORTRANGE(""https://docs.google.com/spreadsheets/d/1kGrh75X1cNR1D7_FcY9zMnHP"&amp;"8iPO4M5RCRjy6nZY0TY/edit#gid=1248694442"",""Table 1: Study characteristics!A4:A175""))"),"")</f>
        <v/>
      </c>
      <c r="Q19" s="6" t="str">
        <f>IFERROR(__xludf.DUMMYFUNCTION("FILTER(IMPORTRANGE(""https://docs.google.com/spreadsheets/d/1kGrh75X1cNR1D7_FcY9zMnHP8iPO4M5RCRjy6nZY0TY/edit#gid=1248694442"",""Table 1: Study characteristics!L4:L175""), $A19=IMPORTRANGE(""https://docs.google.com/spreadsheets/d/1kGrh75X1cNR1D7_FcY9zMnHP"&amp;"8iPO4M5RCRjy6nZY0TY/edit#gid=1248694442"",""Table 1: Study characteristics!A4:A175""))"),"2015-2019")</f>
        <v>2015-2019</v>
      </c>
      <c r="R19" s="4" t="str">
        <f>IFERROR(__xludf.DUMMYFUNCTION("FILTER(IMPORTRANGE(""https://docs.google.com/spreadsheets/d/1kGrh75X1cNR1D7_FcY9zMnHP8iPO4M5RCRjy6nZY0TY/edit#gid=1248694442"",""Table 1: Study characteristics!I4:I175""), $A19=IMPORTRANGE(""https://docs.google.com/spreadsheets/d/1kGrh75X1cNR1D7_FcY9zMnHP"&amp;"8iPO4M5RCRjy6nZY0TY/edit#gid=1248694442"",""Table 1: Study characteristics!A4:A175""))"),"English")</f>
        <v>English</v>
      </c>
    </row>
    <row r="20">
      <c r="A20" s="4" t="str">
        <f>IFERROR(__xludf.DUMMYFUNCTION("""COMPUTED_VALUE"""),"ID 32")</f>
        <v>ID 32</v>
      </c>
      <c r="B20" s="15" t="s">
        <v>168</v>
      </c>
      <c r="C20" s="4" t="str">
        <f>IFERROR(__xludf.DUMMYFUNCTION("LEFT(FILTER(IMPORTRANGE(""https://docs.google.com/spreadsheets/d/1kGrh75X1cNR1D7_FcY9zMnHP8iPO4M5RCRjy6nZY0TY/edit#gid=1248694442"",""Table 1: Study characteristics!C4:C175""), $A20=IMPORTRANGE(""https://docs.google.com/spreadsheets/d/1kGrh75X1cNR1D7_FcY9"&amp;"zMnHP8iPO4M5RCRjy6nZY0TY/edit#gid=1248694442"",""Table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$A20=IMPORTRANGE(""https://docs.google.com/spreadsheets/d/1kGrh75X1cNR1D7_FcY9zMnHP8iPO4M5RCRjy6nZY0TY/edit#gid=1248694442"",""Table 1: Study characteristics!A4:A175"")))-1)"),"Warf")</f>
        <v>Warf</v>
      </c>
      <c r="D20" s="4">
        <f>IFERROR(__xludf.DUMMYFUNCTION("FILTER(IMPORTRANGE(""https://docs.google.com/spreadsheets/d/1kGrh75X1cNR1D7_FcY9zMnHP8iPO4M5RCRjy6nZY0TY/edit#gid=1248694442"",""Table 1: Study characteristics!K4:K175""), $A20=IMPORTRANGE(""https://docs.google.com/spreadsheets/d/1kGrh75X1cNR1D7_FcY9zMnHP"&amp;"8iPO4M5RCRjy6nZY0TY/edit#gid=1248694442"",""Table 1: Study characteristics!A4:A175""))"),2005.0)</f>
        <v>2005</v>
      </c>
      <c r="E20" s="4" t="str">
        <f>IFERROR(__xludf.DUMMYFUNCTION("FILTER(IMPORTRANGE(""https://docs.google.com/spreadsheets/d/1kGrh75X1cNR1D7_FcY9zMnHP8iPO4M5RCRjy6nZY0TY/edit#gid=1248694442"",""Table 1: Study characteristics!M4:M175""), $A20=IMPORTRANGE(""https://docs.google.com/spreadsheets/d/1kGrh75X1cNR1D7_FcY9zMnHP"&amp;"8iPO4M5RCRjy6nZY0TY/edit#gid=1248694442"",""Table 1: Study characteristics!A4:A175""))"),"Low income")</f>
        <v>Low income</v>
      </c>
      <c r="F20" s="4" t="str">
        <f>IFERROR(__xludf.DUMMYFUNCTION("FILTER(IMPORTRANGE(""https://docs.google.com/spreadsheets/d/1kGrh75X1cNR1D7_FcY9zMnHP8iPO4M5RCRjy6nZY0TY/edit#gid=1248694442"",""Table 1: Study characteristics!N4:N175""), $A20=IMPORTRANGE(""https://docs.google.com/spreadsheets/d/1kGrh75X1cNR1D7_FcY9zMnHP"&amp;"8iPO4M5RCRjy6nZY0TY/edit#gid=1248694442"",""Table 1: Study characteristics!A4:A175""))"),"Sub-Saharan Africa")</f>
        <v>Sub-Saharan Africa</v>
      </c>
      <c r="G20" s="4" t="str">
        <f>IFERROR(__xludf.DUMMYFUNCTION("FILTER(IMPORTRANGE(""https://docs.google.com/spreadsheets/d/1kGrh75X1cNR1D7_FcY9zMnHP8iPO4M5RCRjy6nZY0TY/edit#gid=1248694442"",""Table 1: Study characteristics!J4:J175""), $A20=IMPORTRANGE(""https://docs.google.com/spreadsheets/d/1kGrh75X1cNR1D7_FcY9zMnHP"&amp;"8iPO4M5RCRjy6nZY0TY/edit#gid=1248694442"",""Table 1: Study characteristics!A4:A175""))"),"Uganda")</f>
        <v>Uganda</v>
      </c>
      <c r="H20" s="4" t="str">
        <f>IFERROR(__xludf.DUMMYFUNCTION("FILTER(IMPORTRANGE(""https://docs.google.com/spreadsheets/d/1kGrh75X1cNR1D7_FcY9zMnHP8iPO4M5RCRjy6nZY0TY/edit#gid=1248694442"",""Table 1: Study characteristics!O4:O175""), $A20=IMPORTRANGE(""https://docs.google.com/spreadsheets/d/1kGrh75X1cNR1D7_FcY9zMnHP"&amp;"8iPO4M5RCRjy6nZY0TY/edit#gid=1248694442"",""Table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20" s="14" t="str">
        <f>IFERROR(__xludf.DUMMYFUNCTION("IFNA(FILTER(IMPORTRANGE(""https://docs.google.com/spreadsheets/d/1kGrh75X1cNR1D7_FcY9zMnHP8iPO4M5RCRjy6nZY0TY/edit#gid=1248694442"",""Table 3: 1st-line HC!C5:C111""), $A20=IMPORTRANGE(""https://docs.google.com/spreadsheets/d/1kGrh75X1cNR1D7_FcY9zMnHP8iPO4"&amp;"M5RCRjy6nZY0TY/edit#gid=1248694442"",""Table 3: 1st-line HC!A5:A111"")),"""")"),"Selected")</f>
        <v>Selected</v>
      </c>
      <c r="J20" s="4">
        <f>IFERROR(__xludf.DUMMYFUNCTION("FILTER(IMPORTRANGE(""https://docs.google.com/spreadsheets/d/1kGrh75X1cNR1D7_FcY9zMnHP8iPO4M5RCRjy6nZY0TY/edit#gid=1248694442"",""Table 1: Study characteristics!P4:P175""), $A20=IMPORTRANGE(""https://docs.google.com/spreadsheets/d/1kGrh75X1cNR1D7_FcY9zMnHP"&amp;"8iPO4M5RCRjy6nZY0TY/edit#gid=1248694442"",""Table 1: Study characteristics!A4:A175""))"),65.0)</f>
        <v>65</v>
      </c>
      <c r="K20" s="4" t="str">
        <f>IFERROR(__xludf.DUMMYFUNCTION("FILTER(IMPORTRANGE(""https://docs.google.com/spreadsheets/d/1kGrh75X1cNR1D7_FcY9zMnHP8iPO4M5RCRjy6nZY0TY/edit#gid=1248694442"",""Table 1: Study characteristics!U4:U175""), $A20=IMPORTRANGE(""https://docs.google.com/spreadsheets/d/1kGrh75X1cNR1D7_FcY9zMnHP"&amp;"8iPO4M5RCRjy6nZY0TY/edit#gid=1248694442"",""Table 1: Study characteristics!A4:A175""))"),"")</f>
        <v/>
      </c>
      <c r="L20" s="4" t="str">
        <f>IFERROR(__xludf.DUMMYFUNCTION("FILTER(IMPORTRANGE(""https://docs.google.com/spreadsheets/d/1kGrh75X1cNR1D7_FcY9zMnHP8iPO4M5RCRjy6nZY0TY/edit#gid=1248694442"",""Table 1: Study characteristics!V4:V175""), $A20=IMPORTRANGE(""https://docs.google.com/spreadsheets/d/1kGrh75X1cNR1D7_FcY9zMnHP"&amp;"8iPO4M5RCRjy6nZY0TY/edit#gid=1248694442"",""Table 1: Study characteristics!A4:A175""))"),"")</f>
        <v/>
      </c>
      <c r="M20" s="4" t="str">
        <f>IFERROR(__xludf.DUMMYFUNCTION("FILTER(IMPORTRANGE(""https://docs.google.com/spreadsheets/d/1kGrh75X1cNR1D7_FcY9zMnHP8iPO4M5RCRjy6nZY0TY/edit#gid=1248694442"",""Table 1: Study characteristics!Q4:Q175""), $A20=IMPORTRANGE(""https://docs.google.com/spreadsheets/d/1kGrh75X1cNR1D7_FcY9zMnHP"&amp;"8iPO4M5RCRjy6nZY0TY/edit#gid=1248694442"",""Table 1: Study characteristics!A4:A175""))"),"")</f>
        <v/>
      </c>
      <c r="N20" s="4" t="str">
        <f>IFERROR(__xludf.DUMMYFUNCTION("FILTER(IMPORTRANGE(""https://docs.google.com/spreadsheets/d/1kGrh75X1cNR1D7_FcY9zMnHP8iPO4M5RCRjy6nZY0TY/edit#gid=1248694442"",""Table 1: Study characteristics!R4:R175""), $A20=IMPORTRANGE(""https://docs.google.com/spreadsheets/d/1kGrh75X1cNR1D7_FcY9zMnHP"&amp;"8iPO4M5RCRjy6nZY0TY/edit#gid=1248694442"",""Table 1: Study characteristics!A4:A175""))"),"")</f>
        <v/>
      </c>
      <c r="O20" s="4" t="str">
        <f>IFERROR(__xludf.DUMMYFUNCTION("FILTER(IMPORTRANGE(""https://docs.google.com/spreadsheets/d/1kGrh75X1cNR1D7_FcY9zMnHP8iPO4M5RCRjy6nZY0TY/edit#gid=1248694442"",""Table 1: Study characteristics!S4:S175""), $A20=IMPORTRANGE(""https://docs.google.com/spreadsheets/d/1kGrh75X1cNR1D7_FcY9zMnHP"&amp;"8iPO4M5RCRjy6nZY0TY/edit#gid=1248694442"",""Table 1: Study characteristics!A4:A175""))"),"")</f>
        <v/>
      </c>
      <c r="P20" s="6" t="str">
        <f>IFERROR(__xludf.DUMMYFUNCTION("FILTER(IMPORTRANGE(""https://docs.google.com/spreadsheets/d/1kGrh75X1cNR1D7_FcY9zMnHP8iPO4M5RCRjy6nZY0TY/edit#gid=1248694442"",""Table 1: Study characteristics!T4:T175""), $A20=IMPORTRANGE(""https://docs.google.com/spreadsheets/d/1kGrh75X1cNR1D7_FcY9zMnHP"&amp;"8iPO4M5RCRjy6nZY0TY/edit#gid=1248694442"",""Table 1: Study characteristics!A4:A175""))"),"")</f>
        <v/>
      </c>
      <c r="Q20" s="6" t="str">
        <f>IFERROR(__xludf.DUMMYFUNCTION("FILTER(IMPORTRANGE(""https://docs.google.com/spreadsheets/d/1kGrh75X1cNR1D7_FcY9zMnHP8iPO4M5RCRjy6nZY0TY/edit#gid=1248694442"",""Table 1: Study characteristics!L4:L175""), $A20=IMPORTRANGE(""https://docs.google.com/spreadsheets/d/1kGrh75X1cNR1D7_FcY9zMnHP"&amp;"8iPO4M5RCRjy6nZY0TY/edit#gid=1248694442"",""Table 1: Study characteristics!A4:A175""))"),"2001-2004")</f>
        <v>2001-2004</v>
      </c>
      <c r="R20" s="4" t="str">
        <f>IFERROR(__xludf.DUMMYFUNCTION("FILTER(IMPORTRANGE(""https://docs.google.com/spreadsheets/d/1kGrh75X1cNR1D7_FcY9zMnHP8iPO4M5RCRjy6nZY0TY/edit#gid=1248694442"",""Table 1: Study characteristics!I4:I175""), $A20=IMPORTRANGE(""https://docs.google.com/spreadsheets/d/1kGrh75X1cNR1D7_FcY9zMnHP"&amp;"8iPO4M5RCRjy6nZY0TY/edit#gid=1248694442"",""Table 1: Study characteristics!A4:A175""))"),"English")</f>
        <v>English</v>
      </c>
    </row>
    <row r="21">
      <c r="A21" s="4" t="str">
        <f>IFERROR(__xludf.DUMMYFUNCTION("""COMPUTED_VALUE"""),"ID 35")</f>
        <v>ID 35</v>
      </c>
      <c r="B21" s="13" t="s">
        <v>169</v>
      </c>
      <c r="C21" s="4" t="str">
        <f>IFERROR(__xludf.DUMMYFUNCTION("LEFT(FILTER(IMPORTRANGE(""https://docs.google.com/spreadsheets/d/1kGrh75X1cNR1D7_FcY9zMnHP8iPO4M5RCRjy6nZY0TY/edit#gid=1248694442"",""Table 1: Study characteristics!C4:C175""), $A21=IMPORTRANGE(""https://docs.google.com/spreadsheets/d/1kGrh75X1cNR1D7_FcY9"&amp;"zMnHP8iPO4M5RCRjy6nZY0TY/edit#gid=1248694442"",""Table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$A21=IMPORTRANGE(""https://docs.google.com/spreadsheets/d/1kGrh75X1cNR1D7_FcY9zMnHP8iPO4M5RCRjy6nZY0TY/edit#gid=1248694442"",""Table 1: Study characteristics!A4:A175"")))-1)"),"Arslan")</f>
        <v>Arslan</v>
      </c>
      <c r="D21" s="4">
        <f>IFERROR(__xludf.DUMMYFUNCTION("FILTER(IMPORTRANGE(""https://docs.google.com/spreadsheets/d/1kGrh75X1cNR1D7_FcY9zMnHP8iPO4M5RCRjy6nZY0TY/edit#gid=1248694442"",""Table 1: Study characteristics!K4:K175""), $A21=IMPORTRANGE(""https://docs.google.com/spreadsheets/d/1kGrh75X1cNR1D7_FcY9zMnHP"&amp;"8iPO4M5RCRjy6nZY0TY/edit#gid=1248694442"",""Table 1: Study characteristics!A4:A175""))"),2011.0)</f>
        <v>2011</v>
      </c>
      <c r="E21" s="4" t="str">
        <f>IFERROR(__xludf.DUMMYFUNCTION("FILTER(IMPORTRANGE(""https://docs.google.com/spreadsheets/d/1kGrh75X1cNR1D7_FcY9zMnHP8iPO4M5RCRjy6nZY0TY/edit#gid=1248694442"",""Table 1: Study characteristics!M4:M175""), $A21=IMPORTRANGE(""https://docs.google.com/spreadsheets/d/1kGrh75X1cNR1D7_FcY9zMnHP"&amp;"8iPO4M5RCRjy6nZY0TY/edit#gid=1248694442"",""Table 1: Study characteristics!A4:A175""))"),"Upper middle income")</f>
        <v>Upper middle income</v>
      </c>
      <c r="F21" s="4" t="str">
        <f>IFERROR(__xludf.DUMMYFUNCTION("FILTER(IMPORTRANGE(""https://docs.google.com/spreadsheets/d/1kGrh75X1cNR1D7_FcY9zMnHP8iPO4M5RCRjy6nZY0TY/edit#gid=1248694442"",""Table 1: Study characteristics!N4:N175""), $A21=IMPORTRANGE(""https://docs.google.com/spreadsheets/d/1kGrh75X1cNR1D7_FcY9zMnHP"&amp;"8iPO4M5RCRjy6nZY0TY/edit#gid=1248694442"",""Table 1: Study characteristics!A4:A175""))"),"Europe &amp; Central Asia")</f>
        <v>Europe &amp; Central Asia</v>
      </c>
      <c r="G21" s="4" t="str">
        <f>IFERROR(__xludf.DUMMYFUNCTION("FILTER(IMPORTRANGE(""https://docs.google.com/spreadsheets/d/1kGrh75X1cNR1D7_FcY9zMnHP8iPO4M5RCRjy6nZY0TY/edit#gid=1248694442"",""Table 1: Study characteristics!J4:J175""), $A21=IMPORTRANGE(""https://docs.google.com/spreadsheets/d/1kGrh75X1cNR1D7_FcY9zMnHP"&amp;"8iPO4M5RCRjy6nZY0TY/edit#gid=1248694442"",""Table 1: Study characteristics!A4:A175""))"),"Turkey")</f>
        <v>Turkey</v>
      </c>
      <c r="H21" s="4" t="str">
        <f>IFERROR(__xludf.DUMMYFUNCTION("FILTER(IMPORTRANGE(""https://docs.google.com/spreadsheets/d/1kGrh75X1cNR1D7_FcY9zMnHP8iPO4M5RCRjy6nZY0TY/edit#gid=1248694442"",""Table 1: Study characteristics!O4:O175""), $A21=IMPORTRANGE(""https://docs.google.com/spreadsheets/d/1kGrh75X1cNR1D7_FcY9zMnHP"&amp;"8iPO4M5RCRjy6nZY0TY/edit#gid=1248694442"",""Table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21" s="14" t="str">
        <f>IFERROR(__xludf.DUMMYFUNCTION("IFNA(FILTER(IMPORTRANGE(""https://docs.google.com/spreadsheets/d/1kGrh75X1cNR1D7_FcY9zMnHP8iPO4M5RCRjy6nZY0TY/edit#gid=1248694442"",""Table 3: 1st-line HC!C5:C111""), $A21=IMPORTRANGE(""https://docs.google.com/spreadsheets/d/1kGrh75X1cNR1D7_FcY9zMnHP8iPO4"&amp;"M5RCRjy6nZY0TY/edit#gid=1248694442"",""Table 3: 1st-line HC!A5:A111"")),"""")"),"Selected")</f>
        <v>Selected</v>
      </c>
      <c r="J21" s="4">
        <f>IFERROR(__xludf.DUMMYFUNCTION("FILTER(IMPORTRANGE(""https://docs.google.com/spreadsheets/d/1kGrh75X1cNR1D7_FcY9zMnHP8iPO4M5RCRjy6nZY0TY/edit#gid=1248694442"",""Table 1: Study characteristics!P4:P175""), $A21=IMPORTRANGE(""https://docs.google.com/spreadsheets/d/1kGrh75X1cNR1D7_FcY9zMnHP"&amp;"8iPO4M5RCRjy6nZY0TY/edit#gid=1248694442"",""Table 1: Study characteristics!A4:A175""))"),144.0)</f>
        <v>144</v>
      </c>
      <c r="K21" s="4">
        <f>IFERROR(__xludf.DUMMYFUNCTION("FILTER(IMPORTRANGE(""https://docs.google.com/spreadsheets/d/1kGrh75X1cNR1D7_FcY9zMnHP8iPO4M5RCRjy6nZY0TY/edit#gid=1248694442"",""Table 1: Study characteristics!U4:U175""), $A21=IMPORTRANGE(""https://docs.google.com/spreadsheets/d/1kGrh75X1cNR1D7_FcY9zMnHP"&amp;"8iPO4M5RCRjy6nZY0TY/edit#gid=1248694442"",""Table 1: Study characteristics!A4:A175""))"),61.0)</f>
        <v>61</v>
      </c>
      <c r="L21" s="4">
        <f>IFERROR(__xludf.DUMMYFUNCTION("FILTER(IMPORTRANGE(""https://docs.google.com/spreadsheets/d/1kGrh75X1cNR1D7_FcY9zMnHP8iPO4M5RCRjy6nZY0TY/edit#gid=1248694442"",""Table 1: Study characteristics!V4:V175""), $A21=IMPORTRANGE(""https://docs.google.com/spreadsheets/d/1kGrh75X1cNR1D7_FcY9zMnHP"&amp;"8iPO4M5RCRjy6nZY0TY/edit#gid=1248694442"",""Table 1: Study characteristics!A4:A175""))"),83.0)</f>
        <v>83</v>
      </c>
      <c r="M21" s="4">
        <f>IFERROR(__xludf.DUMMYFUNCTION("FILTER(IMPORTRANGE(""https://docs.google.com/spreadsheets/d/1kGrh75X1cNR1D7_FcY9zMnHP8iPO4M5RCRjy6nZY0TY/edit#gid=1248694442"",""Table 1: Study characteristics!Q4:Q175""), $A21=IMPORTRANGE(""https://docs.google.com/spreadsheets/d/1kGrh75X1cNR1D7_FcY9zMnHP"&amp;"8iPO4M5RCRjy6nZY0TY/edit#gid=1248694442"",""Table 1: Study characteristics!A4:A175""))"),4.0)</f>
        <v>4</v>
      </c>
      <c r="N21" s="4" t="str">
        <f>IFERROR(__xludf.DUMMYFUNCTION("FILTER(IMPORTRANGE(""https://docs.google.com/spreadsheets/d/1kGrh75X1cNR1D7_FcY9zMnHP8iPO4M5RCRjy6nZY0TY/edit#gid=1248694442"",""Table 1: Study characteristics!R4:R175""), $A21=IMPORTRANGE(""https://docs.google.com/spreadsheets/d/1kGrh75X1cNR1D7_FcY9zMnHP"&amp;"8iPO4M5RCRjy6nZY0TY/edit#gid=1248694442"",""Table 1: Study characteristics!A4:A175""))"),"")</f>
        <v/>
      </c>
      <c r="O21" s="4" t="str">
        <f>IFERROR(__xludf.DUMMYFUNCTION("FILTER(IMPORTRANGE(""https://docs.google.com/spreadsheets/d/1kGrh75X1cNR1D7_FcY9zMnHP8iPO4M5RCRjy6nZY0TY/edit#gid=1248694442"",""Table 1: Study characteristics!S4:S175""), $A21=IMPORTRANGE(""https://docs.google.com/spreadsheets/d/1kGrh75X1cNR1D7_FcY9zMnHP"&amp;"8iPO4M5RCRjy6nZY0TY/edit#gid=1248694442"",""Table 1: Study characteristics!A4:A175""))"),"")</f>
        <v/>
      </c>
      <c r="P21" s="6" t="str">
        <f>IFERROR(__xludf.DUMMYFUNCTION("FILTER(IMPORTRANGE(""https://docs.google.com/spreadsheets/d/1kGrh75X1cNR1D7_FcY9zMnHP8iPO4M5RCRjy6nZY0TY/edit#gid=1248694442"",""Table 1: Study characteristics!T4:T175""), $A21=IMPORTRANGE(""https://docs.google.com/spreadsheets/d/1kGrh75X1cNR1D7_FcY9zMnHP"&amp;"8iPO4M5RCRjy6nZY0TY/edit#gid=1248694442"",""Table 1: Study characteristics!A4:A175""))"),"1-15")</f>
        <v>1-15</v>
      </c>
      <c r="Q21" s="6" t="str">
        <f>IFERROR(__xludf.DUMMYFUNCTION("FILTER(IMPORTRANGE(""https://docs.google.com/spreadsheets/d/1kGrh75X1cNR1D7_FcY9zMnHP8iPO4M5RCRjy6nZY0TY/edit#gid=1248694442"",""Table 1: Study characteristics!L4:L175""), $A21=IMPORTRANGE(""https://docs.google.com/spreadsheets/d/1kGrh75X1cNR1D7_FcY9zMnHP"&amp;"8iPO4M5RCRjy6nZY0TY/edit#gid=1248694442"",""Table 1: Study characteristics!A4:A175""))"),"2000-2010")</f>
        <v>2000-2010</v>
      </c>
      <c r="R21" s="4" t="str">
        <f>IFERROR(__xludf.DUMMYFUNCTION("FILTER(IMPORTRANGE(""https://docs.google.com/spreadsheets/d/1kGrh75X1cNR1D7_FcY9zMnHP8iPO4M5RCRjy6nZY0TY/edit#gid=1248694442"",""Table 1: Study characteristics!I4:I175""), $A21=IMPORTRANGE(""https://docs.google.com/spreadsheets/d/1kGrh75X1cNR1D7_FcY9zMnHP"&amp;"8iPO4M5RCRjy6nZY0TY/edit#gid=1248694442"",""Table 1: Study characteristics!A4:A175""))"),"English")</f>
        <v>English</v>
      </c>
    </row>
    <row r="22">
      <c r="A22" s="4" t="str">
        <f>IFERROR(__xludf.DUMMYFUNCTION("""COMPUTED_VALUE"""),"ID 36")</f>
        <v>ID 36</v>
      </c>
      <c r="B22" s="13" t="s">
        <v>170</v>
      </c>
      <c r="C22" s="4" t="str">
        <f>IFERROR(__xludf.DUMMYFUNCTION("LEFT(FILTER(IMPORTRANGE(""https://docs.google.com/spreadsheets/d/1kGrh75X1cNR1D7_FcY9zMnHP8iPO4M5RCRjy6nZY0TY/edit#gid=1248694442"",""Table 1: Study characteristics!C4:C175""), $A22=IMPORTRANGE(""https://docs.google.com/spreadsheets/d/1kGrh75X1cNR1D7_FcY9"&amp;"zMnHP8iPO4M5RCRjy6nZY0TY/edit#gid=1248694442"",""Table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$A22=IMPORTRANGE(""https://docs.google.com/spreadsheets/d/1kGrh75X1cNR1D7_FcY9zMnHP8iPO4M5RCRjy6nZY0TY/edit#gid=1248694442"",""Table 1: Study characteristics!A4:A175"")))-1)"),"Miller")</f>
        <v>Miller</v>
      </c>
      <c r="D22" s="4">
        <f>IFERROR(__xludf.DUMMYFUNCTION("FILTER(IMPORTRANGE(""https://docs.google.com/spreadsheets/d/1kGrh75X1cNR1D7_FcY9zMnHP8iPO4M5RCRjy6nZY0TY/edit#gid=1248694442"",""Table 1: Study characteristics!K4:K175""), $A22=IMPORTRANGE(""https://docs.google.com/spreadsheets/d/1kGrh75X1cNR1D7_FcY9zMnHP"&amp;"8iPO4M5RCRjy6nZY0TY/edit#gid=1248694442"",""Table 1: Study characteristics!A4:A175""))"),1996.0)</f>
        <v>1996</v>
      </c>
      <c r="E22" s="4" t="str">
        <f>IFERROR(__xludf.DUMMYFUNCTION("FILTER(IMPORTRANGE(""https://docs.google.com/spreadsheets/d/1kGrh75X1cNR1D7_FcY9zMnHP8iPO4M5RCRjy6nZY0TY/edit#gid=1248694442"",""Table 1: Study characteristics!M4:M175""), $A22=IMPORTRANGE(""https://docs.google.com/spreadsheets/d/1kGrh75X1cNR1D7_FcY9zMnHP"&amp;"8iPO4M5RCRjy6nZY0TY/edit#gid=1248694442"",""Table 1: Study characteristics!A4:A175""))"),"High income")</f>
        <v>High income</v>
      </c>
      <c r="F22" s="4" t="str">
        <f>IFERROR(__xludf.DUMMYFUNCTION("FILTER(IMPORTRANGE(""https://docs.google.com/spreadsheets/d/1kGrh75X1cNR1D7_FcY9zMnHP8iPO4M5RCRjy6nZY0TY/edit#gid=1248694442"",""Table 1: Study characteristics!N4:N175""), $A22=IMPORTRANGE(""https://docs.google.com/spreadsheets/d/1kGrh75X1cNR1D7_FcY9zMnHP"&amp;"8iPO4M5RCRjy6nZY0TY/edit#gid=1248694442"",""Table 1: Study characteristics!A4:A175""))"),"North America")</f>
        <v>North America</v>
      </c>
      <c r="G22" s="4" t="str">
        <f>IFERROR(__xludf.DUMMYFUNCTION("FILTER(IMPORTRANGE(""https://docs.google.com/spreadsheets/d/1kGrh75X1cNR1D7_FcY9zMnHP8iPO4M5RCRjy6nZY0TY/edit#gid=1248694442"",""Table 1: Study characteristics!J4:J175""), $A22=IMPORTRANGE(""https://docs.google.com/spreadsheets/d/1kGrh75X1cNR1D7_FcY9zMnHP"&amp;"8iPO4M5RCRjy6nZY0TY/edit#gid=1248694442"",""Table 1: Study characteristics!A4:A175""))"),"United States")</f>
        <v>United States</v>
      </c>
      <c r="H22" s="4" t="str">
        <f>IFERROR(__xludf.DUMMYFUNCTION("FILTER(IMPORTRANGE(""https://docs.google.com/spreadsheets/d/1kGrh75X1cNR1D7_FcY9zMnHP8iPO4M5RCRjy6nZY0TY/edit#gid=1248694442"",""Table 1: Study characteristics!O4:O175""), $A22=IMPORTRANGE(""https://docs.google.com/spreadsheets/d/1kGrh75X1cNR1D7_FcY9zMnHP"&amp;"8iPO4M5RCRjy6nZY0TY/edit#gid=1248694442"",""Table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22" s="14" t="str">
        <f>IFERROR(__xludf.DUMMYFUNCTION("IFNA(FILTER(IMPORTRANGE(""https://docs.google.com/spreadsheets/d/1kGrh75X1cNR1D7_FcY9zMnHP8iPO4M5RCRjy6nZY0TY/edit#gid=1248694442"",""Table 3: 1st-line HC!C5:C111""), $A22=IMPORTRANGE(""https://docs.google.com/spreadsheets/d/1kGrh75X1cNR1D7_FcY9zMnHP8iPO4"&amp;"M5RCRjy6nZY0TY/edit#gid=1248694442"",""Table 3: 1st-line HC!A5:A111"")),"""")"),"Selected")</f>
        <v>Selected</v>
      </c>
      <c r="J22" s="4">
        <f>IFERROR(__xludf.DUMMYFUNCTION("FILTER(IMPORTRANGE(""https://docs.google.com/spreadsheets/d/1kGrh75X1cNR1D7_FcY9zMnHP8iPO4M5RCRjy6nZY0TY/edit#gid=1248694442"",""Table 1: Study characteristics!P4:P175""), $A22=IMPORTRANGE(""https://docs.google.com/spreadsheets/d/1kGrh75X1cNR1D7_FcY9zMnHP"&amp;"8iPO4M5RCRjy6nZY0TY/edit#gid=1248694442"",""Table 1: Study characteristics!A4:A175""))"),69.0)</f>
        <v>69</v>
      </c>
      <c r="K22" s="4" t="str">
        <f>IFERROR(__xludf.DUMMYFUNCTION("FILTER(IMPORTRANGE(""https://docs.google.com/spreadsheets/d/1kGrh75X1cNR1D7_FcY9zMnHP8iPO4M5RCRjy6nZY0TY/edit#gid=1248694442"",""Table 1: Study characteristics!U4:U175""), $A22=IMPORTRANGE(""https://docs.google.com/spreadsheets/d/1kGrh75X1cNR1D7_FcY9zMnHP"&amp;"8iPO4M5RCRjy6nZY0TY/edit#gid=1248694442"",""Table 1: Study characteristics!A4:A175""))"),"")</f>
        <v/>
      </c>
      <c r="L22" s="4" t="str">
        <f>IFERROR(__xludf.DUMMYFUNCTION("FILTER(IMPORTRANGE(""https://docs.google.com/spreadsheets/d/1kGrh75X1cNR1D7_FcY9zMnHP8iPO4M5RCRjy6nZY0TY/edit#gid=1248694442"",""Table 1: Study characteristics!V4:V175""), $A22=IMPORTRANGE(""https://docs.google.com/spreadsheets/d/1kGrh75X1cNR1D7_FcY9zMnHP"&amp;"8iPO4M5RCRjy6nZY0TY/edit#gid=1248694442"",""Table 1: Study characteristics!A4:A175""))"),"")</f>
        <v/>
      </c>
      <c r="M22" s="4" t="str">
        <f>IFERROR(__xludf.DUMMYFUNCTION("FILTER(IMPORTRANGE(""https://docs.google.com/spreadsheets/d/1kGrh75X1cNR1D7_FcY9zMnHP8iPO4M5RCRjy6nZY0TY/edit#gid=1248694442"",""Table 1: Study characteristics!Q4:Q175""), $A22=IMPORTRANGE(""https://docs.google.com/spreadsheets/d/1kGrh75X1cNR1D7_FcY9zMnHP"&amp;"8iPO4M5RCRjy6nZY0TY/edit#gid=1248694442"",""Table 1: Study characteristics!A4:A175""))"),"")</f>
        <v/>
      </c>
      <c r="N22" s="4" t="str">
        <f>IFERROR(__xludf.DUMMYFUNCTION("FILTER(IMPORTRANGE(""https://docs.google.com/spreadsheets/d/1kGrh75X1cNR1D7_FcY9zMnHP8iPO4M5RCRjy6nZY0TY/edit#gid=1248694442"",""Table 1: Study characteristics!R4:R175""), $A22=IMPORTRANGE(""https://docs.google.com/spreadsheets/d/1kGrh75X1cNR1D7_FcY9zMnHP"&amp;"8iPO4M5RCRjy6nZY0TY/edit#gid=1248694442"",""Table 1: Study characteristics!A4:A175""))"),"")</f>
        <v/>
      </c>
      <c r="O22" s="4" t="str">
        <f>IFERROR(__xludf.DUMMYFUNCTION("FILTER(IMPORTRANGE(""https://docs.google.com/spreadsheets/d/1kGrh75X1cNR1D7_FcY9zMnHP8iPO4M5RCRjy6nZY0TY/edit#gid=1248694442"",""Table 1: Study characteristics!S4:S175""), $A22=IMPORTRANGE(""https://docs.google.com/spreadsheets/d/1kGrh75X1cNR1D7_FcY9zMnHP"&amp;"8iPO4M5RCRjy6nZY0TY/edit#gid=1248694442"",""Table 1: Study characteristics!A4:A175""))"),"")</f>
        <v/>
      </c>
      <c r="P22" s="6" t="str">
        <f>IFERROR(__xludf.DUMMYFUNCTION("FILTER(IMPORTRANGE(""https://docs.google.com/spreadsheets/d/1kGrh75X1cNR1D7_FcY9zMnHP8iPO4M5RCRjy6nZY0TY/edit#gid=1248694442"",""Table 1: Study characteristics!T4:T175""), $A22=IMPORTRANGE(""https://docs.google.com/spreadsheets/d/1kGrh75X1cNR1D7_FcY9zMnHP"&amp;"8iPO4M5RCRjy6nZY0TY/edit#gid=1248694442"",""Table 1: Study characteristics!A4:A175""))"),"")</f>
        <v/>
      </c>
      <c r="Q22" s="6" t="str">
        <f>IFERROR(__xludf.DUMMYFUNCTION("FILTER(IMPORTRANGE(""https://docs.google.com/spreadsheets/d/1kGrh75X1cNR1D7_FcY9zMnHP8iPO4M5RCRjy6nZY0TY/edit#gid=1248694442"",""Table 1: Study characteristics!L4:L175""), $A22=IMPORTRANGE(""https://docs.google.com/spreadsheets/d/1kGrh75X1cNR1D7_FcY9zMnHP"&amp;"8iPO4M5RCRjy6nZY0TY/edit#gid=1248694442"",""Table 1: Study characteristics!A4:A175""))"),"1987-1993")</f>
        <v>1987-1993</v>
      </c>
      <c r="R22" s="4" t="str">
        <f>IFERROR(__xludf.DUMMYFUNCTION("FILTER(IMPORTRANGE(""https://docs.google.com/spreadsheets/d/1kGrh75X1cNR1D7_FcY9zMnHP8iPO4M5RCRjy6nZY0TY/edit#gid=1248694442"",""Table 1: Study characteristics!I4:I175""), $A22=IMPORTRANGE(""https://docs.google.com/spreadsheets/d/1kGrh75X1cNR1D7_FcY9zMnHP"&amp;"8iPO4M5RCRjy6nZY0TY/edit#gid=1248694442"",""Table 1: Study characteristics!A4:A175""))"),"English")</f>
        <v>English</v>
      </c>
    </row>
    <row r="23">
      <c r="A23" s="4" t="str">
        <f>IFERROR(__xludf.DUMMYFUNCTION("""COMPUTED_VALUE"""),"ID 37")</f>
        <v>ID 37</v>
      </c>
      <c r="B23" s="13" t="s">
        <v>171</v>
      </c>
      <c r="C23" s="4" t="str">
        <f>IFERROR(__xludf.DUMMYFUNCTION("LEFT(FILTER(IMPORTRANGE(""https://docs.google.com/spreadsheets/d/1kGrh75X1cNR1D7_FcY9zMnHP8iPO4M5RCRjy6nZY0TY/edit#gid=1248694442"",""Table 1: Study characteristics!C4:C175""), $A23=IMPORTRANGE(""https://docs.google.com/spreadsheets/d/1kGrh75X1cNR1D7_FcY9"&amp;"zMnHP8iPO4M5RCRjy6nZY0TY/edit#gid=1248694442"",""Table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$A23=IMPORTRANGE(""https://docs.google.com/spreadsheets/d/1kGrh75X1cNR1D7_FcY9zMnHP8iPO4M5RCRjy6nZY0TY/edit#gid=1248694442"",""Table 1: Study characteristics!A4:A175"")))-1)"),"Khattak")</f>
        <v>Khattak</v>
      </c>
      <c r="D23" s="4">
        <f>IFERROR(__xludf.DUMMYFUNCTION("FILTER(IMPORTRANGE(""https://docs.google.com/spreadsheets/d/1kGrh75X1cNR1D7_FcY9zMnHP8iPO4M5RCRjy6nZY0TY/edit#gid=1248694442"",""Table 1: Study characteristics!K4:K175""), $A23=IMPORTRANGE(""https://docs.google.com/spreadsheets/d/1kGrh75X1cNR1D7_FcY9zMnHP"&amp;"8iPO4M5RCRjy6nZY0TY/edit#gid=1248694442"",""Table 1: Study characteristics!A4:A175""))"),2018.0)</f>
        <v>2018</v>
      </c>
      <c r="E23" s="4" t="str">
        <f>IFERROR(__xludf.DUMMYFUNCTION("FILTER(IMPORTRANGE(""https://docs.google.com/spreadsheets/d/1kGrh75X1cNR1D7_FcY9zMnHP8iPO4M5RCRjy6nZY0TY/edit#gid=1248694442"",""Table 1: Study characteristics!M4:M175""), $A23=IMPORTRANGE(""https://docs.google.com/spreadsheets/d/1kGrh75X1cNR1D7_FcY9zMnHP"&amp;"8iPO4M5RCRjy6nZY0TY/edit#gid=1248694442"",""Table 1: Study characteristics!A4:A175""))"),"Lower middle income")</f>
        <v>Lower middle income</v>
      </c>
      <c r="F23" s="4" t="str">
        <f>IFERROR(__xludf.DUMMYFUNCTION("FILTER(IMPORTRANGE(""https://docs.google.com/spreadsheets/d/1kGrh75X1cNR1D7_FcY9zMnHP8iPO4M5RCRjy6nZY0TY/edit#gid=1248694442"",""Table 1: Study characteristics!N4:N175""), $A23=IMPORTRANGE(""https://docs.google.com/spreadsheets/d/1kGrh75X1cNR1D7_FcY9zMnHP"&amp;"8iPO4M5RCRjy6nZY0TY/edit#gid=1248694442"",""Table 1: Study characteristics!A4:A175""))"),"South Asia")</f>
        <v>South Asia</v>
      </c>
      <c r="G23" s="4" t="str">
        <f>IFERROR(__xludf.DUMMYFUNCTION("FILTER(IMPORTRANGE(""https://docs.google.com/spreadsheets/d/1kGrh75X1cNR1D7_FcY9zMnHP8iPO4M5RCRjy6nZY0TY/edit#gid=1248694442"",""Table 1: Study characteristics!J4:J175""), $A23=IMPORTRANGE(""https://docs.google.com/spreadsheets/d/1kGrh75X1cNR1D7_FcY9zMnHP"&amp;"8iPO4M5RCRjy6nZY0TY/edit#gid=1248694442"",""Table 1: Study characteristics!A4:A175""))"),"Pakistan")</f>
        <v>Pakistan</v>
      </c>
      <c r="H23" s="4" t="str">
        <f>IFERROR(__xludf.DUMMYFUNCTION("FILTER(IMPORTRANGE(""https://docs.google.com/spreadsheets/d/1kGrh75X1cNR1D7_FcY9zMnHP8iPO4M5RCRjy6nZY0TY/edit#gid=1248694442"",""Table 1: Study characteristics!O4:O175""), $A23=IMPORTRANGE(""https://docs.google.com/spreadsheets/d/1kGrh75X1cNR1D7_FcY9zMnHP"&amp;"8iPO4M5RCRjy6nZY0TY/edit#gid=1248694442"",""Table 1: Study characteristics!A4:A175""))"),"RCT")</f>
        <v>RCT</v>
      </c>
      <c r="I23" s="14" t="str">
        <f>IFERROR(__xludf.DUMMYFUNCTION("IFNA(FILTER(IMPORTRANGE(""https://docs.google.com/spreadsheets/d/1kGrh75X1cNR1D7_FcY9zMnHP8iPO4M5RCRjy6nZY0TY/edit#gid=1248694442"",""Table 3: 1st-line HC!C5:C111""), $A23=IMPORTRANGE(""https://docs.google.com/spreadsheets/d/1kGrh75X1cNR1D7_FcY9zMnHP8iPO4"&amp;"M5RCRjy6nZY0TY/edit#gid=1248694442"",""Table 3: 1st-line HC!A5:A111"")),"""")"),"Selected")</f>
        <v>Selected</v>
      </c>
      <c r="J23" s="4">
        <f>IFERROR(__xludf.DUMMYFUNCTION("FILTER(IMPORTRANGE(""https://docs.google.com/spreadsheets/d/1kGrh75X1cNR1D7_FcY9zMnHP8iPO4M5RCRjy6nZY0TY/edit#gid=1248694442"",""Table 1: Study characteristics!P4:P175""), $A23=IMPORTRANGE(""https://docs.google.com/spreadsheets/d/1kGrh75X1cNR1D7_FcY9zMnHP"&amp;"8iPO4M5RCRjy6nZY0TY/edit#gid=1248694442"",""Table 1: Study characteristics!A4:A175""))"),75.0)</f>
        <v>75</v>
      </c>
      <c r="K23" s="4" t="str">
        <f>IFERROR(__xludf.DUMMYFUNCTION("FILTER(IMPORTRANGE(""https://docs.google.com/spreadsheets/d/1kGrh75X1cNR1D7_FcY9zMnHP8iPO4M5RCRjy6nZY0TY/edit#gid=1248694442"",""Table 1: Study characteristics!U4:U175""), $A23=IMPORTRANGE(""https://docs.google.com/spreadsheets/d/1kGrh75X1cNR1D7_FcY9zMnHP"&amp;"8iPO4M5RCRjy6nZY0TY/edit#gid=1248694442"",""Table 1: Study characteristics!A4:A175""))"),"")</f>
        <v/>
      </c>
      <c r="L23" s="4" t="str">
        <f>IFERROR(__xludf.DUMMYFUNCTION("FILTER(IMPORTRANGE(""https://docs.google.com/spreadsheets/d/1kGrh75X1cNR1D7_FcY9zMnHP8iPO4M5RCRjy6nZY0TY/edit#gid=1248694442"",""Table 1: Study characteristics!V4:V175""), $A23=IMPORTRANGE(""https://docs.google.com/spreadsheets/d/1kGrh75X1cNR1D7_FcY9zMnHP"&amp;"8iPO4M5RCRjy6nZY0TY/edit#gid=1248694442"",""Table 1: Study characteristics!A4:A175""))"),"")</f>
        <v/>
      </c>
      <c r="M23" s="4" t="str">
        <f>IFERROR(__xludf.DUMMYFUNCTION("FILTER(IMPORTRANGE(""https://docs.google.com/spreadsheets/d/1kGrh75X1cNR1D7_FcY9zMnHP8iPO4M5RCRjy6nZY0TY/edit#gid=1248694442"",""Table 1: Study characteristics!Q4:Q175""), $A23=IMPORTRANGE(""https://docs.google.com/spreadsheets/d/1kGrh75X1cNR1D7_FcY9zMnHP"&amp;"8iPO4M5RCRjy6nZY0TY/edit#gid=1248694442"",""Table 1: Study characteristics!A4:A175""))"),"")</f>
        <v/>
      </c>
      <c r="N23" s="4" t="str">
        <f>IFERROR(__xludf.DUMMYFUNCTION("FILTER(IMPORTRANGE(""https://docs.google.com/spreadsheets/d/1kGrh75X1cNR1D7_FcY9zMnHP8iPO4M5RCRjy6nZY0TY/edit#gid=1248694442"",""Table 1: Study characteristics!R4:R175""), $A23=IMPORTRANGE(""https://docs.google.com/spreadsheets/d/1kGrh75X1cNR1D7_FcY9zMnHP"&amp;"8iPO4M5RCRjy6nZY0TY/edit#gid=1248694442"",""Table 1: Study characteristics!A4:A175""))"),"")</f>
        <v/>
      </c>
      <c r="O23" s="4" t="str">
        <f>IFERROR(__xludf.DUMMYFUNCTION("FILTER(IMPORTRANGE(""https://docs.google.com/spreadsheets/d/1kGrh75X1cNR1D7_FcY9zMnHP8iPO4M5RCRjy6nZY0TY/edit#gid=1248694442"",""Table 1: Study characteristics!S4:S175""), $A23=IMPORTRANGE(""https://docs.google.com/spreadsheets/d/1kGrh75X1cNR1D7_FcY9zMnHP"&amp;"8iPO4M5RCRjy6nZY0TY/edit#gid=1248694442"",""Table 1: Study characteristics!A4:A175""))"),"")</f>
        <v/>
      </c>
      <c r="P23" s="6" t="str">
        <f>IFERROR(__xludf.DUMMYFUNCTION("FILTER(IMPORTRANGE(""https://docs.google.com/spreadsheets/d/1kGrh75X1cNR1D7_FcY9zMnHP8iPO4M5RCRjy6nZY0TY/edit#gid=1248694442"",""Table 1: Study characteristics!T4:T175""), $A23=IMPORTRANGE(""https://docs.google.com/spreadsheets/d/1kGrh75X1cNR1D7_FcY9zMnHP"&amp;"8iPO4M5RCRjy6nZY0TY/edit#gid=1248694442"",""Table 1: Study characteristics!A4:A175""))"),"")</f>
        <v/>
      </c>
      <c r="Q23" s="6" t="str">
        <f>IFERROR(__xludf.DUMMYFUNCTION("FILTER(IMPORTRANGE(""https://docs.google.com/spreadsheets/d/1kGrh75X1cNR1D7_FcY9zMnHP8iPO4M5RCRjy6nZY0TY/edit#gid=1248694442"",""Table 1: Study characteristics!L4:L175""), $A23=IMPORTRANGE(""https://docs.google.com/spreadsheets/d/1kGrh75X1cNR1D7_FcY9zMnHP"&amp;"8iPO4M5RCRjy6nZY0TY/edit#gid=1248694442"",""Table 1: Study characteristics!A4:A175""))"),"2016-2016")</f>
        <v>2016-2016</v>
      </c>
      <c r="R23" s="4" t="str">
        <f>IFERROR(__xludf.DUMMYFUNCTION("FILTER(IMPORTRANGE(""https://docs.google.com/spreadsheets/d/1kGrh75X1cNR1D7_FcY9zMnHP8iPO4M5RCRjy6nZY0TY/edit#gid=1248694442"",""Table 1: Study characteristics!I4:I175""), $A23=IMPORTRANGE(""https://docs.google.com/spreadsheets/d/1kGrh75X1cNR1D7_FcY9zMnHP"&amp;"8iPO4M5RCRjy6nZY0TY/edit#gid=1248694442"",""Table 1: Study characteristics!A4:A175""))"),"English")</f>
        <v>English</v>
      </c>
    </row>
    <row r="24">
      <c r="A24" s="4" t="str">
        <f>IFERROR(__xludf.DUMMYFUNCTION("""COMPUTED_VALUE"""),"ID 38")</f>
        <v>ID 38</v>
      </c>
      <c r="B24" s="13" t="s">
        <v>172</v>
      </c>
      <c r="C24" s="4" t="str">
        <f>IFERROR(__xludf.DUMMYFUNCTION("LEFT(FILTER(IMPORTRANGE(""https://docs.google.com/spreadsheets/d/1kGrh75X1cNR1D7_FcY9zMnHP8iPO4M5RCRjy6nZY0TY/edit#gid=1248694442"",""Table 1: Study characteristics!C4:C175""), $A24=IMPORTRANGE(""https://docs.google.com/spreadsheets/d/1kGrh75X1cNR1D7_FcY9"&amp;"zMnHP8iPO4M5RCRjy6nZY0TY/edit#gid=1248694442"",""Table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$A24=IMPORTRANGE(""https://docs.google.com/spreadsheets/d/1kGrh75X1cNR1D7_FcY9zMnHP8iPO4M5RCRjy6nZY0TY/edit#gid=1248694442"",""Table 1: Study characteristics!A4:A175"")))-1)"),"Parent")</f>
        <v>Parent</v>
      </c>
      <c r="D24" s="4">
        <f>IFERROR(__xludf.DUMMYFUNCTION("FILTER(IMPORTRANGE(""https://docs.google.com/spreadsheets/d/1kGrh75X1cNR1D7_FcY9zMnHP8iPO4M5RCRjy6nZY0TY/edit#gid=1248694442"",""Table 1: Study characteristics!K4:K175""), $A24=IMPORTRANGE(""https://docs.google.com/spreadsheets/d/1kGrh75X1cNR1D7_FcY9zMnHP"&amp;"8iPO4M5RCRjy6nZY0TY/edit#gid=1248694442"",""Table 1: Study characteristics!A4:A175""))"),1995.0)</f>
        <v>1995</v>
      </c>
      <c r="E24" s="4" t="str">
        <f>IFERROR(__xludf.DUMMYFUNCTION("FILTER(IMPORTRANGE(""https://docs.google.com/spreadsheets/d/1kGrh75X1cNR1D7_FcY9zMnHP8iPO4M5RCRjy6nZY0TY/edit#gid=1248694442"",""Table 1: Study characteristics!M4:M175""), $A24=IMPORTRANGE(""https://docs.google.com/spreadsheets/d/1kGrh75X1cNR1D7_FcY9zMnHP"&amp;"8iPO4M5RCRjy6nZY0TY/edit#gid=1248694442"",""Table 1: Study characteristics!A4:A175""))"),"High income")</f>
        <v>High income</v>
      </c>
      <c r="F24" s="4" t="str">
        <f>IFERROR(__xludf.DUMMYFUNCTION("FILTER(IMPORTRANGE(""https://docs.google.com/spreadsheets/d/1kGrh75X1cNR1D7_FcY9zMnHP8iPO4M5RCRjy6nZY0TY/edit#gid=1248694442"",""Table 1: Study characteristics!N4:N175""), $A24=IMPORTRANGE(""https://docs.google.com/spreadsheets/d/1kGrh75X1cNR1D7_FcY9zMnHP"&amp;"8iPO4M5RCRjy6nZY0TY/edit#gid=1248694442"",""Table 1: Study characteristics!A4:A175""))"),"North America")</f>
        <v>North America</v>
      </c>
      <c r="G24" s="4" t="str">
        <f>IFERROR(__xludf.DUMMYFUNCTION("FILTER(IMPORTRANGE(""https://docs.google.com/spreadsheets/d/1kGrh75X1cNR1D7_FcY9zMnHP8iPO4M5RCRjy6nZY0TY/edit#gid=1248694442"",""Table 1: Study characteristics!J4:J175""), $A24=IMPORTRANGE(""https://docs.google.com/spreadsheets/d/1kGrh75X1cNR1D7_FcY9zMnHP"&amp;"8iPO4M5RCRjy6nZY0TY/edit#gid=1248694442"",""Table 1: Study characteristics!A4:A175""))"),"United States")</f>
        <v>United States</v>
      </c>
      <c r="H24" s="4" t="str">
        <f>IFERROR(__xludf.DUMMYFUNCTION("FILTER(IMPORTRANGE(""https://docs.google.com/spreadsheets/d/1kGrh75X1cNR1D7_FcY9zMnHP8iPO4M5RCRjy6nZY0TY/edit#gid=1248694442"",""Table 1: Study characteristics!O4:O175""), $A24=IMPORTRANGE(""https://docs.google.com/spreadsheets/d/1kGrh75X1cNR1D7_FcY9zMnHP"&amp;"8iPO4M5RCRjy6nZY0TY/edit#gid=1248694442"",""Table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24" s="14" t="str">
        <f>IFERROR(__xludf.DUMMYFUNCTION("IFNA(FILTER(IMPORTRANGE(""https://docs.google.com/spreadsheets/d/1kGrh75X1cNR1D7_FcY9zMnHP8iPO4M5RCRjy6nZY0TY/edit#gid=1248694442"",""Table 3: 1st-line HC!C5:C111""), $A24=IMPORTRANGE(""https://docs.google.com/spreadsheets/d/1kGrh75X1cNR1D7_FcY9zMnHP8iPO4"&amp;"M5RCRjy6nZY0TY/edit#gid=1248694442"",""Table 3: 1st-line HC!A5:A111"")),"""")"),"Selected")</f>
        <v>Selected</v>
      </c>
      <c r="J24" s="4">
        <f>IFERROR(__xludf.DUMMYFUNCTION("FILTER(IMPORTRANGE(""https://docs.google.com/spreadsheets/d/1kGrh75X1cNR1D7_FcY9zMnHP8iPO4M5RCRjy6nZY0TY/edit#gid=1248694442"",""Table 1: Study characteristics!P4:P175""), $A24=IMPORTRANGE(""https://docs.google.com/spreadsheets/d/1kGrh75X1cNR1D7_FcY9zMnHP"&amp;"8iPO4M5RCRjy6nZY0TY/edit#gid=1248694442"",""Table 1: Study characteristics!A4:A175""))"),89.0)</f>
        <v>89</v>
      </c>
      <c r="K24" s="4">
        <f>IFERROR(__xludf.DUMMYFUNCTION("FILTER(IMPORTRANGE(""https://docs.google.com/spreadsheets/d/1kGrh75X1cNR1D7_FcY9zMnHP8iPO4M5RCRjy6nZY0TY/edit#gid=1248694442"",""Table 1: Study characteristics!U4:U175""), $A24=IMPORTRANGE(""https://docs.google.com/spreadsheets/d/1kGrh75X1cNR1D7_FcY9zMnHP"&amp;"8iPO4M5RCRjy6nZY0TY/edit#gid=1248694442"",""Table 1: Study characteristics!A4:A175""))"),44.0)</f>
        <v>44</v>
      </c>
      <c r="L24" s="4">
        <f>IFERROR(__xludf.DUMMYFUNCTION("FILTER(IMPORTRANGE(""https://docs.google.com/spreadsheets/d/1kGrh75X1cNR1D7_FcY9zMnHP8iPO4M5RCRjy6nZY0TY/edit#gid=1248694442"",""Table 1: Study characteristics!V4:V175""), $A24=IMPORTRANGE(""https://docs.google.com/spreadsheets/d/1kGrh75X1cNR1D7_FcY9zMnHP"&amp;"8iPO4M5RCRjy6nZY0TY/edit#gid=1248694442"",""Table 1: Study characteristics!A4:A175""))"),45.0)</f>
        <v>45</v>
      </c>
      <c r="M24" s="4" t="str">
        <f>IFERROR(__xludf.DUMMYFUNCTION("FILTER(IMPORTRANGE(""https://docs.google.com/spreadsheets/d/1kGrh75X1cNR1D7_FcY9zMnHP8iPO4M5RCRjy6nZY0TY/edit#gid=1248694442"",""Table 1: Study characteristics!Q4:Q175""), $A24=IMPORTRANGE(""https://docs.google.com/spreadsheets/d/1kGrh75X1cNR1D7_FcY9zMnHP"&amp;"8iPO4M5RCRjy6nZY0TY/edit#gid=1248694442"",""Table 1: Study characteristics!A4:A175""))"),"")</f>
        <v/>
      </c>
      <c r="N24" s="4" t="str">
        <f>IFERROR(__xludf.DUMMYFUNCTION("FILTER(IMPORTRANGE(""https://docs.google.com/spreadsheets/d/1kGrh75X1cNR1D7_FcY9zMnHP8iPO4M5RCRjy6nZY0TY/edit#gid=1248694442"",""Table 1: Study characteristics!R4:R175""), $A24=IMPORTRANGE(""https://docs.google.com/spreadsheets/d/1kGrh75X1cNR1D7_FcY9zMnHP"&amp;"8iPO4M5RCRjy6nZY0TY/edit#gid=1248694442"",""Table 1: Study characteristics!A4:A175""))"),"")</f>
        <v/>
      </c>
      <c r="O24" s="4" t="str">
        <f>IFERROR(__xludf.DUMMYFUNCTION("FILTER(IMPORTRANGE(""https://docs.google.com/spreadsheets/d/1kGrh75X1cNR1D7_FcY9zMnHP8iPO4M5RCRjy6nZY0TY/edit#gid=1248694442"",""Table 1: Study characteristics!S4:S175""), $A24=IMPORTRANGE(""https://docs.google.com/spreadsheets/d/1kGrh75X1cNR1D7_FcY9zMnHP"&amp;"8iPO4M5RCRjy6nZY0TY/edit#gid=1248694442"",""Table 1: Study characteristics!A4:A175""))"),"")</f>
        <v/>
      </c>
      <c r="P24" s="6" t="str">
        <f>IFERROR(__xludf.DUMMYFUNCTION("FILTER(IMPORTRANGE(""https://docs.google.com/spreadsheets/d/1kGrh75X1cNR1D7_FcY9zMnHP8iPO4M5RCRjy6nZY0TY/edit#gid=1248694442"",""Table 1: Study characteristics!T4:T175""), $A24=IMPORTRANGE(""https://docs.google.com/spreadsheets/d/1kGrh75X1cNR1D7_FcY9zMnHP"&amp;"8iPO4M5RCRjy6nZY0TY/edit#gid=1248694442"",""Table 1: Study characteristics!A4:A175""))"),"")</f>
        <v/>
      </c>
      <c r="Q24" s="6" t="str">
        <f>IFERROR(__xludf.DUMMYFUNCTION("FILTER(IMPORTRANGE(""https://docs.google.com/spreadsheets/d/1kGrh75X1cNR1D7_FcY9zMnHP8iPO4M5RCRjy6nZY0TY/edit#gid=1248694442"",""Table 1: Study characteristics!L4:L175""), $A24=IMPORTRANGE(""https://docs.google.com/spreadsheets/d/1kGrh75X1cNR1D7_FcY9zMnHP"&amp;"8iPO4M5RCRjy6nZY0TY/edit#gid=1248694442"",""Table 1: Study characteristics!A4:A175""))"),"1985-1993")</f>
        <v>1985-1993</v>
      </c>
      <c r="R24" s="4" t="str">
        <f>IFERROR(__xludf.DUMMYFUNCTION("FILTER(IMPORTRANGE(""https://docs.google.com/spreadsheets/d/1kGrh75X1cNR1D7_FcY9zMnHP8iPO4M5RCRjy6nZY0TY/edit#gid=1248694442"",""Table 1: Study characteristics!I4:I175""), $A24=IMPORTRANGE(""https://docs.google.com/spreadsheets/d/1kGrh75X1cNR1D7_FcY9zMnHP"&amp;"8iPO4M5RCRjy6nZY0TY/edit#gid=1248694442"",""Table 1: Study characteristics!A4:A175""))"),"English")</f>
        <v>English</v>
      </c>
    </row>
    <row r="25">
      <c r="A25" s="4" t="str">
        <f>IFERROR(__xludf.DUMMYFUNCTION("""COMPUTED_VALUE"""),"ID 39")</f>
        <v>ID 39</v>
      </c>
      <c r="B25" s="13" t="s">
        <v>173</v>
      </c>
      <c r="C25" s="4" t="str">
        <f>IFERROR(__xludf.DUMMYFUNCTION("LEFT(FILTER(IMPORTRANGE(""https://docs.google.com/spreadsheets/d/1kGrh75X1cNR1D7_FcY9zMnHP8iPO4M5RCRjy6nZY0TY/edit#gid=1248694442"",""Table 1: Study characteristics!C4:C175""), $A25=IMPORTRANGE(""https://docs.google.com/spreadsheets/d/1kGrh75X1cNR1D7_FcY9"&amp;"zMnHP8iPO4M5RCRjy6nZY0TY/edit#gid=1248694442"",""Table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$A25=IMPORTRANGE(""https://docs.google.com/spreadsheets/d/1kGrh75X1cNR1D7_FcY9zMnHP8iPO4M5RCRjy6nZY0TY/edit#gid=1248694442"",""Table 1: Study characteristics!A4:A175"")))-1)"),"Spoor")</f>
        <v>Spoor</v>
      </c>
      <c r="D25" s="4">
        <f>IFERROR(__xludf.DUMMYFUNCTION("FILTER(IMPORTRANGE(""https://docs.google.com/spreadsheets/d/1kGrh75X1cNR1D7_FcY9zMnHP8iPO4M5RCRjy6nZY0TY/edit#gid=1248694442"",""Table 1: Study characteristics!K4:K175""), $A25=IMPORTRANGE(""https://docs.google.com/spreadsheets/d/1kGrh75X1cNR1D7_FcY9zMnHP"&amp;"8iPO4M5RCRjy6nZY0TY/edit#gid=1248694442"",""Table 1: Study characteristics!A4:A175""))"),2019.0)</f>
        <v>2019</v>
      </c>
      <c r="E25" s="4" t="str">
        <f>IFERROR(__xludf.DUMMYFUNCTION("FILTER(IMPORTRANGE(""https://docs.google.com/spreadsheets/d/1kGrh75X1cNR1D7_FcY9zMnHP8iPO4M5RCRjy6nZY0TY/edit#gid=1248694442"",""Table 1: Study characteristics!M4:M175""), $A25=IMPORTRANGE(""https://docs.google.com/spreadsheets/d/1kGrh75X1cNR1D7_FcY9zMnHP"&amp;"8iPO4M5RCRjy6nZY0TY/edit#gid=1248694442"",""Table 1: Study characteristics!A4:A175""))"),"High income")</f>
        <v>High income</v>
      </c>
      <c r="F25" s="4" t="str">
        <f>IFERROR(__xludf.DUMMYFUNCTION("FILTER(IMPORTRANGE(""https://docs.google.com/spreadsheets/d/1kGrh75X1cNR1D7_FcY9zMnHP8iPO4M5RCRjy6nZY0TY/edit#gid=1248694442"",""Table 1: Study characteristics!N4:N175""), $A25=IMPORTRANGE(""https://docs.google.com/spreadsheets/d/1kGrh75X1cNR1D7_FcY9zMnHP"&amp;"8iPO4M5RCRjy6nZY0TY/edit#gid=1248694442"",""Table 1: Study characteristics!A4:A175""))"),"Europe &amp; Central Asia")</f>
        <v>Europe &amp; Central Asia</v>
      </c>
      <c r="G25" s="4" t="str">
        <f>IFERROR(__xludf.DUMMYFUNCTION("FILTER(IMPORTRANGE(""https://docs.google.com/spreadsheets/d/1kGrh75X1cNR1D7_FcY9zMnHP8iPO4M5RCRjy6nZY0TY/edit#gid=1248694442"",""Table 1: Study characteristics!J4:J175""), $A25=IMPORTRANGE(""https://docs.google.com/spreadsheets/d/1kGrh75X1cNR1D7_FcY9zMnHP"&amp;"8iPO4M5RCRjy6nZY0TY/edit#gid=1248694442"",""Table 1: Study characteristics!A4:A175""))"),"Netherlands")</f>
        <v>Netherlands</v>
      </c>
      <c r="H25" s="4" t="str">
        <f>IFERROR(__xludf.DUMMYFUNCTION("FILTER(IMPORTRANGE(""https://docs.google.com/spreadsheets/d/1kGrh75X1cNR1D7_FcY9zMnHP8iPO4M5RCRjy6nZY0TY/edit#gid=1248694442"",""Table 1: Study characteristics!O4:O175""), $A25=IMPORTRANGE(""https://docs.google.com/spreadsheets/d/1kGrh75X1cNR1D7_FcY9zMnHP"&amp;"8iPO4M5RCRjy6nZY0TY/edit#gid=1248694442"",""Table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25" s="14" t="str">
        <f>IFERROR(__xludf.DUMMYFUNCTION("IFNA(FILTER(IMPORTRANGE(""https://docs.google.com/spreadsheets/d/1kGrh75X1cNR1D7_FcY9zMnHP8iPO4M5RCRjy6nZY0TY/edit#gid=1248694442"",""Table 3: 1st-line HC!C5:C111""), $A25=IMPORTRANGE(""https://docs.google.com/spreadsheets/d/1kGrh75X1cNR1D7_FcY9zMnHP8iPO4"&amp;"M5RCRjy6nZY0TY/edit#gid=1248694442"",""Table 3: 1st-line HC!A5:A111"")),"""")"),"Selected")</f>
        <v>Selected</v>
      </c>
      <c r="J25" s="4">
        <f>IFERROR(__xludf.DUMMYFUNCTION("FILTER(IMPORTRANGE(""https://docs.google.com/spreadsheets/d/1kGrh75X1cNR1D7_FcY9zMnHP8iPO4M5RCRjy6nZY0TY/edit#gid=1248694442"",""Table 1: Study characteristics!P4:P175""), $A25=IMPORTRANGE(""https://docs.google.com/spreadsheets/d/1kGrh75X1cNR1D7_FcY9zMnHP"&amp;"8iPO4M5RCRjy6nZY0TY/edit#gid=1248694442"",""Table 1: Study characteristics!A4:A175""))"),78.0)</f>
        <v>78</v>
      </c>
      <c r="K25" s="4" t="str">
        <f>IFERROR(__xludf.DUMMYFUNCTION("FILTER(IMPORTRANGE(""https://docs.google.com/spreadsheets/d/1kGrh75X1cNR1D7_FcY9zMnHP8iPO4M5RCRjy6nZY0TY/edit#gid=1248694442"",""Table 1: Study characteristics!U4:U175""), $A25=IMPORTRANGE(""https://docs.google.com/spreadsheets/d/1kGrh75X1cNR1D7_FcY9zMnHP"&amp;"8iPO4M5RCRjy6nZY0TY/edit#gid=1248694442"",""Table 1: Study characteristics!A4:A175""))"),"")</f>
        <v/>
      </c>
      <c r="L25" s="4" t="str">
        <f>IFERROR(__xludf.DUMMYFUNCTION("FILTER(IMPORTRANGE(""https://docs.google.com/spreadsheets/d/1kGrh75X1cNR1D7_FcY9zMnHP8iPO4M5RCRjy6nZY0TY/edit#gid=1248694442"",""Table 1: Study characteristics!V4:V175""), $A25=IMPORTRANGE(""https://docs.google.com/spreadsheets/d/1kGrh75X1cNR1D7_FcY9zMnHP"&amp;"8iPO4M5RCRjy6nZY0TY/edit#gid=1248694442"",""Table 1: Study characteristics!A4:A175""))"),"")</f>
        <v/>
      </c>
      <c r="M25" s="4" t="str">
        <f>IFERROR(__xludf.DUMMYFUNCTION("FILTER(IMPORTRANGE(""https://docs.google.com/spreadsheets/d/1kGrh75X1cNR1D7_FcY9zMnHP8iPO4M5RCRjy6nZY0TY/edit#gid=1248694442"",""Table 1: Study characteristics!Q4:Q175""), $A25=IMPORTRANGE(""https://docs.google.com/spreadsheets/d/1kGrh75X1cNR1D7_FcY9zMnHP"&amp;"8iPO4M5RCRjy6nZY0TY/edit#gid=1248694442"",""Table 1: Study characteristics!A4:A175""))"),"")</f>
        <v/>
      </c>
      <c r="N25" s="4" t="str">
        <f>IFERROR(__xludf.DUMMYFUNCTION("FILTER(IMPORTRANGE(""https://docs.google.com/spreadsheets/d/1kGrh75X1cNR1D7_FcY9zMnHP8iPO4M5RCRjy6nZY0TY/edit#gid=1248694442"",""Table 1: Study characteristics!R4:R175""), $A25=IMPORTRANGE(""https://docs.google.com/spreadsheets/d/1kGrh75X1cNR1D7_FcY9zMnHP"&amp;"8iPO4M5RCRjy6nZY0TY/edit#gid=1248694442"",""Table 1: Study characteristics!A4:A175""))"),"")</f>
        <v/>
      </c>
      <c r="O25" s="4" t="str">
        <f>IFERROR(__xludf.DUMMYFUNCTION("FILTER(IMPORTRANGE(""https://docs.google.com/spreadsheets/d/1kGrh75X1cNR1D7_FcY9zMnHP8iPO4M5RCRjy6nZY0TY/edit#gid=1248694442"",""Table 1: Study characteristics!S4:S175""), $A25=IMPORTRANGE(""https://docs.google.com/spreadsheets/d/1kGrh75X1cNR1D7_FcY9zMnHP"&amp;"8iPO4M5RCRjy6nZY0TY/edit#gid=1248694442"",""Table 1: Study characteristics!A4:A175""))"),"")</f>
        <v/>
      </c>
      <c r="P25" s="6" t="str">
        <f>IFERROR(__xludf.DUMMYFUNCTION("FILTER(IMPORTRANGE(""https://docs.google.com/spreadsheets/d/1kGrh75X1cNR1D7_FcY9zMnHP8iPO4M5RCRjy6nZY0TY/edit#gid=1248694442"",""Table 1: Study characteristics!T4:T175""), $A25=IMPORTRANGE(""https://docs.google.com/spreadsheets/d/1kGrh75X1cNR1D7_FcY9zMnHP"&amp;"8iPO4M5RCRjy6nZY0TY/edit#gid=1248694442"",""Table 1: Study characteristics!A4:A175""))"),"")</f>
        <v/>
      </c>
      <c r="Q25" s="6" t="str">
        <f>IFERROR(__xludf.DUMMYFUNCTION("FILTER(IMPORTRANGE(""https://docs.google.com/spreadsheets/d/1kGrh75X1cNR1D7_FcY9zMnHP8iPO4M5RCRjy6nZY0TY/edit#gid=1248694442"",""Table 1: Study characteristics!L4:L175""), $A25=IMPORTRANGE(""https://docs.google.com/spreadsheets/d/1kGrh75X1cNR1D7_FcY9zMnHP"&amp;"8iPO4M5RCRjy6nZY0TY/edit#gid=1248694442"",""Table 1: Study characteristics!A4:A175""))"),"2000-2018")</f>
        <v>2000-2018</v>
      </c>
      <c r="R25" s="4" t="str">
        <f>IFERROR(__xludf.DUMMYFUNCTION("FILTER(IMPORTRANGE(""https://docs.google.com/spreadsheets/d/1kGrh75X1cNR1D7_FcY9zMnHP8iPO4M5RCRjy6nZY0TY/edit#gid=1248694442"",""Table 1: Study characteristics!I4:I175""), $A25=IMPORTRANGE(""https://docs.google.com/spreadsheets/d/1kGrh75X1cNR1D7_FcY9zMnHP"&amp;"8iPO4M5RCRjy6nZY0TY/edit#gid=1248694442"",""Table 1: Study characteristics!A4:A175""))"),"English")</f>
        <v>English</v>
      </c>
    </row>
    <row r="26">
      <c r="A26" s="4" t="str">
        <f>IFERROR(__xludf.DUMMYFUNCTION("""COMPUTED_VALUE"""),"ID 43")</f>
        <v>ID 43</v>
      </c>
      <c r="B26" s="13" t="s">
        <v>174</v>
      </c>
      <c r="C26" s="4" t="str">
        <f>IFERROR(__xludf.DUMMYFUNCTION("LEFT(FILTER(IMPORTRANGE(""https://docs.google.com/spreadsheets/d/1kGrh75X1cNR1D7_FcY9zMnHP8iPO4M5RCRjy6nZY0TY/edit#gid=1248694442"",""Table 1: Study characteristics!C4:C175""), $A26=IMPORTRANGE(""https://docs.google.com/spreadsheets/d/1kGrh75X1cNR1D7_FcY9"&amp;"zMnHP8iPO4M5RCRjy6nZY0TY/edit#gid=1248694442"",""Table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$A26=IMPORTRANGE(""https://docs.google.com/spreadsheets/d/1kGrh75X1cNR1D7_FcY9zMnHP8iPO4M5RCRjy6nZY0TY/edit#gid=1248694442"",""Table 1: Study characteristics!A4:A175"")))-1)"),"Licci")</f>
        <v>Licci</v>
      </c>
      <c r="D26" s="4">
        <f>IFERROR(__xludf.DUMMYFUNCTION("FILTER(IMPORTRANGE(""https://docs.google.com/spreadsheets/d/1kGrh75X1cNR1D7_FcY9zMnHP8iPO4M5RCRjy6nZY0TY/edit#gid=1248694442"",""Table 1: Study characteristics!K4:K175""), $A26=IMPORTRANGE(""https://docs.google.com/spreadsheets/d/1kGrh75X1cNR1D7_FcY9zMnHP"&amp;"8iPO4M5RCRjy6nZY0TY/edit#gid=1248694442"",""Table 1: Study characteristics!A4:A175""))"),2021.0)</f>
        <v>2021</v>
      </c>
      <c r="E26" s="4" t="str">
        <f>IFERROR(__xludf.DUMMYFUNCTION("FILTER(IMPORTRANGE(""https://docs.google.com/spreadsheets/d/1kGrh75X1cNR1D7_FcY9zMnHP8iPO4M5RCRjy6nZY0TY/edit#gid=1248694442"",""Table 1: Study characteristics!M4:M175""), $A26=IMPORTRANGE(""https://docs.google.com/spreadsheets/d/1kGrh75X1cNR1D7_FcY9zMnHP"&amp;"8iPO4M5RCRjy6nZY0TY/edit#gid=1248694442"",""Table 1: Study characteristics!A4:A175""))"),"High income")</f>
        <v>High income</v>
      </c>
      <c r="F26" s="4" t="str">
        <f>IFERROR(__xludf.DUMMYFUNCTION("FILTER(IMPORTRANGE(""https://docs.google.com/spreadsheets/d/1kGrh75X1cNR1D7_FcY9zMnHP8iPO4M5RCRjy6nZY0TY/edit#gid=1248694442"",""Table 1: Study characteristics!N4:N175""), $A26=IMPORTRANGE(""https://docs.google.com/spreadsheets/d/1kGrh75X1cNR1D7_FcY9zMnHP"&amp;"8iPO4M5RCRjy6nZY0TY/edit#gid=1248694442"",""Table 1: Study characteristics!A4:A175""))"),"Europe &amp; Central Asia")</f>
        <v>Europe &amp; Central Asia</v>
      </c>
      <c r="G26" s="4" t="str">
        <f>IFERROR(__xludf.DUMMYFUNCTION("FILTER(IMPORTRANGE(""https://docs.google.com/spreadsheets/d/1kGrh75X1cNR1D7_FcY9zMnHP8iPO4M5RCRjy6nZY0TY/edit#gid=1248694442"",""Table 1: Study characteristics!J4:J175""), $A26=IMPORTRANGE(""https://docs.google.com/spreadsheets/d/1kGrh75X1cNR1D7_FcY9zMnHP"&amp;"8iPO4M5RCRjy6nZY0TY/edit#gid=1248694442"",""Table 1: Study characteristics!A4:A175""))"),"France")</f>
        <v>France</v>
      </c>
      <c r="H26" s="4" t="str">
        <f>IFERROR(__xludf.DUMMYFUNCTION("FILTER(IMPORTRANGE(""https://docs.google.com/spreadsheets/d/1kGrh75X1cNR1D7_FcY9zMnHP8iPO4M5RCRjy6nZY0TY/edit#gid=1248694442"",""Table 1: Study characteristics!O4:O175""), $A26=IMPORTRANGE(""https://docs.google.com/spreadsheets/d/1kGrh75X1cNR1D7_FcY9zMnHP"&amp;"8iPO4M5RCRjy6nZY0TY/edit#gid=1248694442"",""Table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26" s="14" t="str">
        <f>IFERROR(__xludf.DUMMYFUNCTION("IFNA(FILTER(IMPORTRANGE(""https://docs.google.com/spreadsheets/d/1kGrh75X1cNR1D7_FcY9zMnHP8iPO4M5RCRjy6nZY0TY/edit#gid=1248694442"",""Table 3: 1st-line HC!C5:C111""), $A26=IMPORTRANGE(""https://docs.google.com/spreadsheets/d/1kGrh75X1cNR1D7_FcY9zMnHP8iPO4"&amp;"M5RCRjy6nZY0TY/edit#gid=1248694442"",""Table 3: 1st-line HC!A5:A111"")),"""")"),"Unselected")</f>
        <v>Unselected</v>
      </c>
      <c r="J26" s="4">
        <f>IFERROR(__xludf.DUMMYFUNCTION("FILTER(IMPORTRANGE(""https://docs.google.com/spreadsheets/d/1kGrh75X1cNR1D7_FcY9zMnHP8iPO4M5RCRjy6nZY0TY/edit#gid=1248694442"",""Table 1: Study characteristics!P4:P175""), $A26=IMPORTRANGE(""https://docs.google.com/spreadsheets/d/1kGrh75X1cNR1D7_FcY9zMnHP"&amp;"8iPO4M5RCRjy6nZY0TY/edit#gid=1248694442"",""Table 1: Study characteristics!A4:A175""))"),50.0)</f>
        <v>50</v>
      </c>
      <c r="K26" s="4">
        <f>IFERROR(__xludf.DUMMYFUNCTION("FILTER(IMPORTRANGE(""https://docs.google.com/spreadsheets/d/1kGrh75X1cNR1D7_FcY9zMnHP8iPO4M5RCRjy6nZY0TY/edit#gid=1248694442"",""Table 1: Study characteristics!U4:U175""), $A26=IMPORTRANGE(""https://docs.google.com/spreadsheets/d/1kGrh75X1cNR1D7_FcY9zMnHP"&amp;"8iPO4M5RCRjy6nZY0TY/edit#gid=1248694442"",""Table 1: Study characteristics!A4:A175""))"),19.0)</f>
        <v>19</v>
      </c>
      <c r="L26" s="4">
        <f>IFERROR(__xludf.DUMMYFUNCTION("FILTER(IMPORTRANGE(""https://docs.google.com/spreadsheets/d/1kGrh75X1cNR1D7_FcY9zMnHP8iPO4M5RCRjy6nZY0TY/edit#gid=1248694442"",""Table 1: Study characteristics!V4:V175""), $A26=IMPORTRANGE(""https://docs.google.com/spreadsheets/d/1kGrh75X1cNR1D7_FcY9zMnHP"&amp;"8iPO4M5RCRjy6nZY0TY/edit#gid=1248694442"",""Table 1: Study characteristics!A4:A175""))"),31.0)</f>
        <v>31</v>
      </c>
      <c r="M26" s="4" t="str">
        <f>IFERROR(__xludf.DUMMYFUNCTION("FILTER(IMPORTRANGE(""https://docs.google.com/spreadsheets/d/1kGrh75X1cNR1D7_FcY9zMnHP8iPO4M5RCRjy6nZY0TY/edit#gid=1248694442"",""Table 1: Study characteristics!Q4:Q175""), $A26=IMPORTRANGE(""https://docs.google.com/spreadsheets/d/1kGrh75X1cNR1D7_FcY9zMnHP"&amp;"8iPO4M5RCRjy6nZY0TY/edit#gid=1248694442"",""Table 1: Study characteristics!A4:A175""))"),"")</f>
        <v/>
      </c>
      <c r="N26" s="4" t="str">
        <f>IFERROR(__xludf.DUMMYFUNCTION("FILTER(IMPORTRANGE(""https://docs.google.com/spreadsheets/d/1kGrh75X1cNR1D7_FcY9zMnHP8iPO4M5RCRjy6nZY0TY/edit#gid=1248694442"",""Table 1: Study characteristics!R4:R175""), $A26=IMPORTRANGE(""https://docs.google.com/spreadsheets/d/1kGrh75X1cNR1D7_FcY9zMnHP"&amp;"8iPO4M5RCRjy6nZY0TY/edit#gid=1248694442"",""Table 1: Study characteristics!A4:A175""))"),"")</f>
        <v/>
      </c>
      <c r="O26" s="4" t="str">
        <f>IFERROR(__xludf.DUMMYFUNCTION("FILTER(IMPORTRANGE(""https://docs.google.com/spreadsheets/d/1kGrh75X1cNR1D7_FcY9zMnHP8iPO4M5RCRjy6nZY0TY/edit#gid=1248694442"",""Table 1: Study characteristics!S4:S175""), $A26=IMPORTRANGE(""https://docs.google.com/spreadsheets/d/1kGrh75X1cNR1D7_FcY9zMnHP"&amp;"8iPO4M5RCRjy6nZY0TY/edit#gid=1248694442"",""Table 1: Study characteristics!A4:A175""))"),"")</f>
        <v/>
      </c>
      <c r="P26" s="6" t="str">
        <f>IFERROR(__xludf.DUMMYFUNCTION("FILTER(IMPORTRANGE(""https://docs.google.com/spreadsheets/d/1kGrh75X1cNR1D7_FcY9zMnHP8iPO4M5RCRjy6nZY0TY/edit#gid=1248694442"",""Table 1: Study characteristics!T4:T175""), $A26=IMPORTRANGE(""https://docs.google.com/spreadsheets/d/1kGrh75X1cNR1D7_FcY9zMnHP"&amp;"8iPO4M5RCRjy6nZY0TY/edit#gid=1248694442"",""Table 1: Study characteristics!A4:A175""))"),"")</f>
        <v/>
      </c>
      <c r="Q26" s="6" t="str">
        <f>IFERROR(__xludf.DUMMYFUNCTION("FILTER(IMPORTRANGE(""https://docs.google.com/spreadsheets/d/1kGrh75X1cNR1D7_FcY9zMnHP8iPO4M5RCRjy6nZY0TY/edit#gid=1248694442"",""Table 1: Study characteristics!L4:L175""), $A26=IMPORTRANGE(""https://docs.google.com/spreadsheets/d/1kGrh75X1cNR1D7_FcY9zMnHP"&amp;"8iPO4M5RCRjy6nZY0TY/edit#gid=1248694442"",""Table 1: Study characteristics!A4:A175""))"),"2003-2020")</f>
        <v>2003-2020</v>
      </c>
      <c r="R26" s="4" t="str">
        <f>IFERROR(__xludf.DUMMYFUNCTION("FILTER(IMPORTRANGE(""https://docs.google.com/spreadsheets/d/1kGrh75X1cNR1D7_FcY9zMnHP8iPO4M5RCRjy6nZY0TY/edit#gid=1248694442"",""Table 1: Study characteristics!I4:I175""), $A26=IMPORTRANGE(""https://docs.google.com/spreadsheets/d/1kGrh75X1cNR1D7_FcY9zMnHP"&amp;"8iPO4M5RCRjy6nZY0TY/edit#gid=1248694442"",""Table 1: Study characteristics!A4:A175""))"),"English")</f>
        <v>English</v>
      </c>
    </row>
    <row r="27">
      <c r="A27" s="4" t="str">
        <f>IFERROR(__xludf.DUMMYFUNCTION("""COMPUTED_VALUE"""),"ID 44")</f>
        <v>ID 44</v>
      </c>
      <c r="B27" s="15" t="s">
        <v>175</v>
      </c>
      <c r="C27" s="4" t="str">
        <f>IFERROR(__xludf.DUMMYFUNCTION("LEFT(FILTER(IMPORTRANGE(""https://docs.google.com/spreadsheets/d/1kGrh75X1cNR1D7_FcY9zMnHP8iPO4M5RCRjy6nZY0TY/edit#gid=1248694442"",""Table 1: Study characteristics!C4:C175""), $A27=IMPORTRANGE(""https://docs.google.com/spreadsheets/d/1kGrh75X1cNR1D7_FcY9"&amp;"zMnHP8iPO4M5RCRjy6nZY0TY/edit#gid=1248694442"",""Table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$A27=IMPORTRANGE(""https://docs.google.com/spreadsheets/d/1kGrh75X1cNR1D7_FcY9zMnHP8iPO4M5RCRjy6nZY0TY/edit#gid=1248694442"",""Table 1: Study characteristics!A4:A175"")))-1)"),"Rosseau")</f>
        <v>Rosseau</v>
      </c>
      <c r="D27" s="4">
        <f>IFERROR(__xludf.DUMMYFUNCTION("FILTER(IMPORTRANGE(""https://docs.google.com/spreadsheets/d/1kGrh75X1cNR1D7_FcY9zMnHP8iPO4M5RCRjy6nZY0TY/edit#gid=1248694442"",""Table 1: Study characteristics!K4:K175""), $A27=IMPORTRANGE(""https://docs.google.com/spreadsheets/d/1kGrh75X1cNR1D7_FcY9zMnHP"&amp;"8iPO4M5RCRjy6nZY0TY/edit#gid=1248694442"",""Table 1: Study characteristics!A4:A175""))"),1992.0)</f>
        <v>1992</v>
      </c>
      <c r="E27" s="4" t="str">
        <f>IFERROR(__xludf.DUMMYFUNCTION("FILTER(IMPORTRANGE(""https://docs.google.com/spreadsheets/d/1kGrh75X1cNR1D7_FcY9zMnHP8iPO4M5RCRjy6nZY0TY/edit#gid=1248694442"",""Table 1: Study characteristics!M4:M175""), $A27=IMPORTRANGE(""https://docs.google.com/spreadsheets/d/1kGrh75X1cNR1D7_FcY9zMnHP"&amp;"8iPO4M5RCRjy6nZY0TY/edit#gid=1248694442"",""Table 1: Study characteristics!A4:A175""))"),"High income")</f>
        <v>High income</v>
      </c>
      <c r="F27" s="4" t="str">
        <f>IFERROR(__xludf.DUMMYFUNCTION("FILTER(IMPORTRANGE(""https://docs.google.com/spreadsheets/d/1kGrh75X1cNR1D7_FcY9zMnHP8iPO4M5RCRjy6nZY0TY/edit#gid=1248694442"",""Table 1: Study characteristics!N4:N175""), $A27=IMPORTRANGE(""https://docs.google.com/spreadsheets/d/1kGrh75X1cNR1D7_FcY9zMnHP"&amp;"8iPO4M5RCRjy6nZY0TY/edit#gid=1248694442"",""Table 1: Study characteristics!A4:A175""))"),"North America")</f>
        <v>North America</v>
      </c>
      <c r="G27" s="4" t="str">
        <f>IFERROR(__xludf.DUMMYFUNCTION("FILTER(IMPORTRANGE(""https://docs.google.com/spreadsheets/d/1kGrh75X1cNR1D7_FcY9zMnHP8iPO4M5RCRjy6nZY0TY/edit#gid=1248694442"",""Table 1: Study characteristics!J4:J175""), $A27=IMPORTRANGE(""https://docs.google.com/spreadsheets/d/1kGrh75X1cNR1D7_FcY9zMnHP"&amp;"8iPO4M5RCRjy6nZY0TY/edit#gid=1248694442"",""Table 1: Study characteristics!A4:A175""))"),"United States")</f>
        <v>United States</v>
      </c>
      <c r="H27" s="4" t="str">
        <f>IFERROR(__xludf.DUMMYFUNCTION("FILTER(IMPORTRANGE(""https://docs.google.com/spreadsheets/d/1kGrh75X1cNR1D7_FcY9zMnHP8iPO4M5RCRjy6nZY0TY/edit#gid=1248694442"",""Table 1: Study characteristics!O4:O175""), $A27=IMPORTRANGE(""https://docs.google.com/spreadsheets/d/1kGrh75X1cNR1D7_FcY9zMnHP"&amp;"8iPO4M5RCRjy6nZY0TY/edit#gid=1248694442"",""Table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27" s="14" t="str">
        <f>IFERROR(__xludf.DUMMYFUNCTION("IFNA(FILTER(IMPORTRANGE(""https://docs.google.com/spreadsheets/d/1kGrh75X1cNR1D7_FcY9zMnHP8iPO4M5RCRjy6nZY0TY/edit#gid=1248694442"",""Table 3: 1st-line HC!C5:C111""), $A27=IMPORTRANGE(""https://docs.google.com/spreadsheets/d/1kGrh75X1cNR1D7_FcY9zMnHP8iPO4"&amp;"M5RCRjy6nZY0TY/edit#gid=1248694442"",""Table 3: 1st-line HC!A5:A111"")),"""")"),"Unselected")</f>
        <v>Unselected</v>
      </c>
      <c r="J27" s="4">
        <f>IFERROR(__xludf.DUMMYFUNCTION("FILTER(IMPORTRANGE(""https://docs.google.com/spreadsheets/d/1kGrh75X1cNR1D7_FcY9zMnHP8iPO4M5RCRjy6nZY0TY/edit#gid=1248694442"",""Table 1: Study characteristics!P4:P175""), $A27=IMPORTRANGE(""https://docs.google.com/spreadsheets/d/1kGrh75X1cNR1D7_FcY9zMnHP"&amp;"8iPO4M5RCRjy6nZY0TY/edit#gid=1248694442"",""Table 1: Study characteristics!A4:A175""))"),9.0)</f>
        <v>9</v>
      </c>
      <c r="K27" s="4" t="str">
        <f>IFERROR(__xludf.DUMMYFUNCTION("FILTER(IMPORTRANGE(""https://docs.google.com/spreadsheets/d/1kGrh75X1cNR1D7_FcY9zMnHP8iPO4M5RCRjy6nZY0TY/edit#gid=1248694442"",""Table 1: Study characteristics!U4:U175""), $A27=IMPORTRANGE(""https://docs.google.com/spreadsheets/d/1kGrh75X1cNR1D7_FcY9zMnHP"&amp;"8iPO4M5RCRjy6nZY0TY/edit#gid=1248694442"",""Table 1: Study characteristics!A4:A175""))"),"")</f>
        <v/>
      </c>
      <c r="L27" s="4" t="str">
        <f>IFERROR(__xludf.DUMMYFUNCTION("FILTER(IMPORTRANGE(""https://docs.google.com/spreadsheets/d/1kGrh75X1cNR1D7_FcY9zMnHP8iPO4M5RCRjy6nZY0TY/edit#gid=1248694442"",""Table 1: Study characteristics!V4:V175""), $A27=IMPORTRANGE(""https://docs.google.com/spreadsheets/d/1kGrh75X1cNR1D7_FcY9zMnHP"&amp;"8iPO4M5RCRjy6nZY0TY/edit#gid=1248694442"",""Table 1: Study characteristics!A4:A175""))"),"")</f>
        <v/>
      </c>
      <c r="M27" s="4" t="str">
        <f>IFERROR(__xludf.DUMMYFUNCTION("FILTER(IMPORTRANGE(""https://docs.google.com/spreadsheets/d/1kGrh75X1cNR1D7_FcY9zMnHP8iPO4M5RCRjy6nZY0TY/edit#gid=1248694442"",""Table 1: Study characteristics!Q4:Q175""), $A27=IMPORTRANGE(""https://docs.google.com/spreadsheets/d/1kGrh75X1cNR1D7_FcY9zMnHP"&amp;"8iPO4M5RCRjy6nZY0TY/edit#gid=1248694442"",""Table 1: Study characteristics!A4:A175""))"),"")</f>
        <v/>
      </c>
      <c r="N27" s="4" t="str">
        <f>IFERROR(__xludf.DUMMYFUNCTION("FILTER(IMPORTRANGE(""https://docs.google.com/spreadsheets/d/1kGrh75X1cNR1D7_FcY9zMnHP8iPO4M5RCRjy6nZY0TY/edit#gid=1248694442"",""Table 1: Study characteristics!R4:R175""), $A27=IMPORTRANGE(""https://docs.google.com/spreadsheets/d/1kGrh75X1cNR1D7_FcY9zMnHP"&amp;"8iPO4M5RCRjy6nZY0TY/edit#gid=1248694442"",""Table 1: Study characteristics!A4:A175""))"),"")</f>
        <v/>
      </c>
      <c r="O27" s="4" t="str">
        <f>IFERROR(__xludf.DUMMYFUNCTION("FILTER(IMPORTRANGE(""https://docs.google.com/spreadsheets/d/1kGrh75X1cNR1D7_FcY9zMnHP8iPO4M5RCRjy6nZY0TY/edit#gid=1248694442"",""Table 1: Study characteristics!S4:S175""), $A27=IMPORTRANGE(""https://docs.google.com/spreadsheets/d/1kGrh75X1cNR1D7_FcY9zMnHP"&amp;"8iPO4M5RCRjy6nZY0TY/edit#gid=1248694442"",""Table 1: Study characteristics!A4:A175""))"),"")</f>
        <v/>
      </c>
      <c r="P27" s="6" t="str">
        <f>IFERROR(__xludf.DUMMYFUNCTION("FILTER(IMPORTRANGE(""https://docs.google.com/spreadsheets/d/1kGrh75X1cNR1D7_FcY9zMnHP8iPO4M5RCRjy6nZY0TY/edit#gid=1248694442"",""Table 1: Study characteristics!T4:T175""), $A27=IMPORTRANGE(""https://docs.google.com/spreadsheets/d/1kGrh75X1cNR1D7_FcY9zMnHP"&amp;"8iPO4M5RCRjy6nZY0TY/edit#gid=1248694442"",""Table 1: Study characteristics!A4:A175""))"),"")</f>
        <v/>
      </c>
      <c r="Q27" s="6" t="str">
        <f>IFERROR(__xludf.DUMMYFUNCTION("FILTER(IMPORTRANGE(""https://docs.google.com/spreadsheets/d/1kGrh75X1cNR1D7_FcY9zMnHP8iPO4M5RCRjy6nZY0TY/edit#gid=1248694442"",""Table 1: Study characteristics!L4:L175""), $A27=IMPORTRANGE(""https://docs.google.com/spreadsheets/d/1kGrh75X1cNR1D7_FcY9zMnHP"&amp;"8iPO4M5RCRjy6nZY0TY/edit#gid=1248694442"",""Table 1: Study characteristics!A4:A175""))"),"1976-1990")</f>
        <v>1976-1990</v>
      </c>
      <c r="R27" s="4" t="str">
        <f>IFERROR(__xludf.DUMMYFUNCTION("FILTER(IMPORTRANGE(""https://docs.google.com/spreadsheets/d/1kGrh75X1cNR1D7_FcY9zMnHP8iPO4M5RCRjy6nZY0TY/edit#gid=1248694442"",""Table 1: Study characteristics!I4:I175""), $A27=IMPORTRANGE(""https://docs.google.com/spreadsheets/d/1kGrh75X1cNR1D7_FcY9zMnHP"&amp;"8iPO4M5RCRjy6nZY0TY/edit#gid=1248694442"",""Table 1: Study characteristics!A4:A175""))"),"English")</f>
        <v>English</v>
      </c>
    </row>
    <row r="28">
      <c r="A28" s="4" t="str">
        <f>IFERROR(__xludf.DUMMYFUNCTION("""COMPUTED_VALUE"""),"ID 46")</f>
        <v>ID 46</v>
      </c>
      <c r="B28" s="13" t="s">
        <v>176</v>
      </c>
      <c r="C28" s="4" t="str">
        <f>IFERROR(__xludf.DUMMYFUNCTION("LEFT(FILTER(IMPORTRANGE(""https://docs.google.com/spreadsheets/d/1kGrh75X1cNR1D7_FcY9zMnHP8iPO4M5RCRjy6nZY0TY/edit#gid=1248694442"",""Table 1: Study characteristics!C4:C175""), $A28=IMPORTRANGE(""https://docs.google.com/spreadsheets/d/1kGrh75X1cNR1D7_FcY9"&amp;"zMnHP8iPO4M5RCRjy6nZY0TY/edit#gid=1248694442"",""Table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$A28=IMPORTRANGE(""https://docs.google.com/spreadsheets/d/1kGrh75X1cNR1D7_FcY9zMnHP8iPO4M5RCRjy6nZY0TY/edit#gid=1248694442"",""Table 1: Study characteristics!A4:A175"")))-1)"),"Flanders")</f>
        <v>Flanders</v>
      </c>
      <c r="D28" s="4">
        <f>IFERROR(__xludf.DUMMYFUNCTION("FILTER(IMPORTRANGE(""https://docs.google.com/spreadsheets/d/1kGrh75X1cNR1D7_FcY9zMnHP8iPO4M5RCRjy6nZY0TY/edit#gid=1248694442"",""Table 1: Study characteristics!K4:K175""), $A28=IMPORTRANGE(""https://docs.google.com/spreadsheets/d/1kGrh75X1cNR1D7_FcY9zMnHP"&amp;"8iPO4M5RCRjy6nZY0TY/edit#gid=1248694442"",""Table 1: Study characteristics!A4:A175""))"),2019.0)</f>
        <v>2019</v>
      </c>
      <c r="E28" s="4" t="str">
        <f>IFERROR(__xludf.DUMMYFUNCTION("FILTER(IMPORTRANGE(""https://docs.google.com/spreadsheets/d/1kGrh75X1cNR1D7_FcY9zMnHP8iPO4M5RCRjy6nZY0TY/edit#gid=1248694442"",""Table 1: Study characteristics!M4:M175""), $A28=IMPORTRANGE(""https://docs.google.com/spreadsheets/d/1kGrh75X1cNR1D7_FcY9zMnHP"&amp;"8iPO4M5RCRjy6nZY0TY/edit#gid=1248694442"",""Table 1: Study characteristics!A4:A175""))"),"High income")</f>
        <v>High income</v>
      </c>
      <c r="F28" s="4" t="str">
        <f>IFERROR(__xludf.DUMMYFUNCTION("FILTER(IMPORTRANGE(""https://docs.google.com/spreadsheets/d/1kGrh75X1cNR1D7_FcY9zMnHP8iPO4M5RCRjy6nZY0TY/edit#gid=1248694442"",""Table 1: Study characteristics!N4:N175""), $A28=IMPORTRANGE(""https://docs.google.com/spreadsheets/d/1kGrh75X1cNR1D7_FcY9zMnHP"&amp;"8iPO4M5RCRjy6nZY0TY/edit#gid=1248694442"",""Table 1: Study characteristics!A4:A175""))"),"North America")</f>
        <v>North America</v>
      </c>
      <c r="G28" s="4" t="str">
        <f>IFERROR(__xludf.DUMMYFUNCTION("FILTER(IMPORTRANGE(""https://docs.google.com/spreadsheets/d/1kGrh75X1cNR1D7_FcY9zMnHP8iPO4M5RCRjy6nZY0TY/edit#gid=1248694442"",""Table 1: Study characteristics!J4:J175""), $A28=IMPORTRANGE(""https://docs.google.com/spreadsheets/d/1kGrh75X1cNR1D7_FcY9zMnHP"&amp;"8iPO4M5RCRjy6nZY0TY/edit#gid=1248694442"",""Table 1: Study characteristics!A4:A175""))"),"United States")</f>
        <v>United States</v>
      </c>
      <c r="H28" s="4" t="str">
        <f>IFERROR(__xludf.DUMMYFUNCTION("FILTER(IMPORTRANGE(""https://docs.google.com/spreadsheets/d/1kGrh75X1cNR1D7_FcY9zMnHP8iPO4M5RCRjy6nZY0TY/edit#gid=1248694442"",""Table 1: Study characteristics!O4:O175""), $A28=IMPORTRANGE(""https://docs.google.com/spreadsheets/d/1kGrh75X1cNR1D7_FcY9zMnHP"&amp;"8iPO4M5RCRjy6nZY0TY/edit#gid=1248694442"",""Table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28" s="14" t="str">
        <f>IFERROR(__xludf.DUMMYFUNCTION("IFNA(FILTER(IMPORTRANGE(""https://docs.google.com/spreadsheets/d/1kGrh75X1cNR1D7_FcY9zMnHP8iPO4M5RCRjy6nZY0TY/edit#gid=1248694442"",""Table 3: 1st-line HC!C5:C111""), $A28=IMPORTRANGE(""https://docs.google.com/spreadsheets/d/1kGrh75X1cNR1D7_FcY9zMnHP8iPO4"&amp;"M5RCRjy6nZY0TY/edit#gid=1248694442"",""Table 3: 1st-line HC!A5:A111"")),"""")"),"Selected")</f>
        <v>Selected</v>
      </c>
      <c r="J28" s="4">
        <f>IFERROR(__xludf.DUMMYFUNCTION("FILTER(IMPORTRANGE(""https://docs.google.com/spreadsheets/d/1kGrh75X1cNR1D7_FcY9zMnHP8iPO4M5RCRjy6nZY0TY/edit#gid=1248694442"",""Table 1: Study characteristics!P4:P175""), $A28=IMPORTRANGE(""https://docs.google.com/spreadsheets/d/1kGrh75X1cNR1D7_FcY9zMnHP"&amp;"8iPO4M5RCRjy6nZY0TY/edit#gid=1248694442"",""Table 1: Study characteristics!A4:A175""))"),96.0)</f>
        <v>96</v>
      </c>
      <c r="K28" s="4" t="str">
        <f>IFERROR(__xludf.DUMMYFUNCTION("FILTER(IMPORTRANGE(""https://docs.google.com/spreadsheets/d/1kGrh75X1cNR1D7_FcY9zMnHP8iPO4M5RCRjy6nZY0TY/edit#gid=1248694442"",""Table 1: Study characteristics!U4:U175""), $A28=IMPORTRANGE(""https://docs.google.com/spreadsheets/d/1kGrh75X1cNR1D7_FcY9zMnHP"&amp;"8iPO4M5RCRjy6nZY0TY/edit#gid=1248694442"",""Table 1: Study characteristics!A4:A175""))"),"")</f>
        <v/>
      </c>
      <c r="L28" s="4" t="str">
        <f>IFERROR(__xludf.DUMMYFUNCTION("FILTER(IMPORTRANGE(""https://docs.google.com/spreadsheets/d/1kGrh75X1cNR1D7_FcY9zMnHP8iPO4M5RCRjy6nZY0TY/edit#gid=1248694442"",""Table 1: Study characteristics!V4:V175""), $A28=IMPORTRANGE(""https://docs.google.com/spreadsheets/d/1kGrh75X1cNR1D7_FcY9zMnHP"&amp;"8iPO4M5RCRjy6nZY0TY/edit#gid=1248694442"",""Table 1: Study characteristics!A4:A175""))"),"")</f>
        <v/>
      </c>
      <c r="M28" s="4">
        <f>IFERROR(__xludf.DUMMYFUNCTION("FILTER(IMPORTRANGE(""https://docs.google.com/spreadsheets/d/1kGrh75X1cNR1D7_FcY9zMnHP8iPO4M5RCRjy6nZY0TY/edit#gid=1248694442"",""Table 1: Study characteristics!Q4:Q175""), $A28=IMPORTRANGE(""https://docs.google.com/spreadsheets/d/1kGrh75X1cNR1D7_FcY9zMnHP"&amp;"8iPO4M5RCRjy6nZY0TY/edit#gid=1248694442"",""Table 1: Study characteristics!A4:A175""))"),300.0)</f>
        <v>300</v>
      </c>
      <c r="N28" s="4" t="str">
        <f>IFERROR(__xludf.DUMMYFUNCTION("FILTER(IMPORTRANGE(""https://docs.google.com/spreadsheets/d/1kGrh75X1cNR1D7_FcY9zMnHP8iPO4M5RCRjy6nZY0TY/edit#gid=1248694442"",""Table 1: Study characteristics!R4:R175""), $A28=IMPORTRANGE(""https://docs.google.com/spreadsheets/d/1kGrh75X1cNR1D7_FcY9zMnHP"&amp;"8iPO4M5RCRjy6nZY0TY/edit#gid=1248694442"",""Table 1: Study characteristics!A4:A175""))"),"")</f>
        <v/>
      </c>
      <c r="O28" s="4" t="str">
        <f>IFERROR(__xludf.DUMMYFUNCTION("FILTER(IMPORTRANGE(""https://docs.google.com/spreadsheets/d/1kGrh75X1cNR1D7_FcY9zMnHP8iPO4M5RCRjy6nZY0TY/edit#gid=1248694442"",""Table 1: Study characteristics!S4:S175""), $A28=IMPORTRANGE(""https://docs.google.com/spreadsheets/d/1kGrh75X1cNR1D7_FcY9zMnHP"&amp;"8iPO4M5RCRjy6nZY0TY/edit#gid=1248694442"",""Table 1: Study characteristics!A4:A175""))"),"")</f>
        <v/>
      </c>
      <c r="P28" s="6" t="str">
        <f>IFERROR(__xludf.DUMMYFUNCTION("FILTER(IMPORTRANGE(""https://docs.google.com/spreadsheets/d/1kGrh75X1cNR1D7_FcY9zMnHP8iPO4M5RCRjy6nZY0TY/edit#gid=1248694442"",""Table 1: Study characteristics!T4:T175""), $A28=IMPORTRANGE(""https://docs.google.com/spreadsheets/d/1kGrh75X1cNR1D7_FcY9zMnHP"&amp;"8iPO4M5RCRjy6nZY0TY/edit#gid=1248694442"",""Table 1: Study characteristics!A4:A175""))"),"")</f>
        <v/>
      </c>
      <c r="Q28" s="6" t="str">
        <f>IFERROR(__xludf.DUMMYFUNCTION("FILTER(IMPORTRANGE(""https://docs.google.com/spreadsheets/d/1kGrh75X1cNR1D7_FcY9zMnHP8iPO4M5RCRjy6nZY0TY/edit#gid=1248694442"",""Table 1: Study characteristics!L4:L175""), $A28=IMPORTRANGE(""https://docs.google.com/spreadsheets/d/1kGrh75X1cNR1D7_FcY9zMnHP"&amp;"8iPO4M5RCRjy6nZY0TY/edit#gid=1248694442"",""Table 1: Study characteristics!A4:A175""))"),"2011-2016")</f>
        <v>2011-2016</v>
      </c>
      <c r="R28" s="4" t="str">
        <f>IFERROR(__xludf.DUMMYFUNCTION("FILTER(IMPORTRANGE(""https://docs.google.com/spreadsheets/d/1kGrh75X1cNR1D7_FcY9zMnHP8iPO4M5RCRjy6nZY0TY/edit#gid=1248694442"",""Table 1: Study characteristics!I4:I175""), $A28=IMPORTRANGE(""https://docs.google.com/spreadsheets/d/1kGrh75X1cNR1D7_FcY9zMnHP"&amp;"8iPO4M5RCRjy6nZY0TY/edit#gid=1248694442"",""Table 1: Study characteristics!A4:A175""))"),"English")</f>
        <v>English</v>
      </c>
    </row>
    <row r="29">
      <c r="A29" s="4" t="str">
        <f>IFERROR(__xludf.DUMMYFUNCTION("""COMPUTED_VALUE"""),"ID 47")</f>
        <v>ID 47</v>
      </c>
      <c r="B29" s="13" t="s">
        <v>177</v>
      </c>
      <c r="C29" s="4" t="str">
        <f>IFERROR(__xludf.DUMMYFUNCTION("LEFT(FILTER(IMPORTRANGE(""https://docs.google.com/spreadsheets/d/1kGrh75X1cNR1D7_FcY9zMnHP8iPO4M5RCRjy6nZY0TY/edit#gid=1248694442"",""Table 1: Study characteristics!C4:C175""), $A29=IMPORTRANGE(""https://docs.google.com/spreadsheets/d/1kGrh75X1cNR1D7_FcY9"&amp;"zMnHP8iPO4M5RCRjy6nZY0TY/edit#gid=1248694442"",""Table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$A29=IMPORTRANGE(""https://docs.google.com/spreadsheets/d/1kGrh75X1cNR1D7_FcY9zMnHP8iPO4M5RCRjy6nZY0TY/edit#gid=1248694442"",""Table 1: Study characteristics!A4:A175"")))-1)"),"Eseoğlu")</f>
        <v>Eseoğlu</v>
      </c>
      <c r="D29" s="4">
        <f>IFERROR(__xludf.DUMMYFUNCTION("FILTER(IMPORTRANGE(""https://docs.google.com/spreadsheets/d/1kGrh75X1cNR1D7_FcY9zMnHP8iPO4M5RCRjy6nZY0TY/edit#gid=1248694442"",""Table 1: Study characteristics!K4:K175""), $A29=IMPORTRANGE(""https://docs.google.com/spreadsheets/d/1kGrh75X1cNR1D7_FcY9zMnHP"&amp;"8iPO4M5RCRjy6nZY0TY/edit#gid=1248694442"",""Table 1: Study characteristics!A4:A175""))"),2017.0)</f>
        <v>2017</v>
      </c>
      <c r="E29" s="4" t="str">
        <f>IFERROR(__xludf.DUMMYFUNCTION("FILTER(IMPORTRANGE(""https://docs.google.com/spreadsheets/d/1kGrh75X1cNR1D7_FcY9zMnHP8iPO4M5RCRjy6nZY0TY/edit#gid=1248694442"",""Table 1: Study characteristics!M4:M175""), $A29=IMPORTRANGE(""https://docs.google.com/spreadsheets/d/1kGrh75X1cNR1D7_FcY9zMnHP"&amp;"8iPO4M5RCRjy6nZY0TY/edit#gid=1248694442"",""Table 1: Study characteristics!A4:A175""))"),"Upper middle income")</f>
        <v>Upper middle income</v>
      </c>
      <c r="F29" s="4" t="str">
        <f>IFERROR(__xludf.DUMMYFUNCTION("FILTER(IMPORTRANGE(""https://docs.google.com/spreadsheets/d/1kGrh75X1cNR1D7_FcY9zMnHP8iPO4M5RCRjy6nZY0TY/edit#gid=1248694442"",""Table 1: Study characteristics!N4:N175""), $A29=IMPORTRANGE(""https://docs.google.com/spreadsheets/d/1kGrh75X1cNR1D7_FcY9zMnHP"&amp;"8iPO4M5RCRjy6nZY0TY/edit#gid=1248694442"",""Table 1: Study characteristics!A4:A175""))"),"Europe &amp; Central Asia")</f>
        <v>Europe &amp; Central Asia</v>
      </c>
      <c r="G29" s="4" t="str">
        <f>IFERROR(__xludf.DUMMYFUNCTION("FILTER(IMPORTRANGE(""https://docs.google.com/spreadsheets/d/1kGrh75X1cNR1D7_FcY9zMnHP8iPO4M5RCRjy6nZY0TY/edit#gid=1248694442"",""Table 1: Study characteristics!J4:J175""), $A29=IMPORTRANGE(""https://docs.google.com/spreadsheets/d/1kGrh75X1cNR1D7_FcY9zMnHP"&amp;"8iPO4M5RCRjy6nZY0TY/edit#gid=1248694442"",""Table 1: Study characteristics!A4:A175""))"),"Turkey")</f>
        <v>Turkey</v>
      </c>
      <c r="H29" s="4" t="str">
        <f>IFERROR(__xludf.DUMMYFUNCTION("FILTER(IMPORTRANGE(""https://docs.google.com/spreadsheets/d/1kGrh75X1cNR1D7_FcY9zMnHP8iPO4M5RCRjy6nZY0TY/edit#gid=1248694442"",""Table 1: Study characteristics!O4:O175""), $A29=IMPORTRANGE(""https://docs.google.com/spreadsheets/d/1kGrh75X1cNR1D7_FcY9zMnHP"&amp;"8iPO4M5RCRjy6nZY0TY/edit#gid=1248694442"",""Table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29" s="14" t="str">
        <f>IFERROR(__xludf.DUMMYFUNCTION("IFNA(FILTER(IMPORTRANGE(""https://docs.google.com/spreadsheets/d/1kGrh75X1cNR1D7_FcY9zMnHP8iPO4M5RCRjy6nZY0TY/edit#gid=1248694442"",""Table 3: 1st-line HC!C5:C111""), $A29=IMPORTRANGE(""https://docs.google.com/spreadsheets/d/1kGrh75X1cNR1D7_FcY9zMnHP8iPO4"&amp;"M5RCRjy6nZY0TY/edit#gid=1248694442"",""Table 3: 1st-line HC!A5:A111"")),"""")"),"Selected")</f>
        <v>Selected</v>
      </c>
      <c r="J29" s="4">
        <f>IFERROR(__xludf.DUMMYFUNCTION("FILTER(IMPORTRANGE(""https://docs.google.com/spreadsheets/d/1kGrh75X1cNR1D7_FcY9zMnHP8iPO4M5RCRjy6nZY0TY/edit#gid=1248694442"",""Table 1: Study characteristics!P4:P175""), $A29=IMPORTRANGE(""https://docs.google.com/spreadsheets/d/1kGrh75X1cNR1D7_FcY9zMnHP"&amp;"8iPO4M5RCRjy6nZY0TY/edit#gid=1248694442"",""Table 1: Study characteristics!A4:A175""))"),47.0)</f>
        <v>47</v>
      </c>
      <c r="K29" s="4">
        <f>IFERROR(__xludf.DUMMYFUNCTION("FILTER(IMPORTRANGE(""https://docs.google.com/spreadsheets/d/1kGrh75X1cNR1D7_FcY9zMnHP8iPO4M5RCRjy6nZY0TY/edit#gid=1248694442"",""Table 1: Study characteristics!U4:U175""), $A29=IMPORTRANGE(""https://docs.google.com/spreadsheets/d/1kGrh75X1cNR1D7_FcY9zMnHP"&amp;"8iPO4M5RCRjy6nZY0TY/edit#gid=1248694442"",""Table 1: Study characteristics!A4:A175""))"),25.0)</f>
        <v>25</v>
      </c>
      <c r="L29" s="4">
        <f>IFERROR(__xludf.DUMMYFUNCTION("FILTER(IMPORTRANGE(""https://docs.google.com/spreadsheets/d/1kGrh75X1cNR1D7_FcY9zMnHP8iPO4M5RCRjy6nZY0TY/edit#gid=1248694442"",""Table 1: Study characteristics!V4:V175""), $A29=IMPORTRANGE(""https://docs.google.com/spreadsheets/d/1kGrh75X1cNR1D7_FcY9zMnHP"&amp;"8iPO4M5RCRjy6nZY0TY/edit#gid=1248694442"",""Table 1: Study characteristics!A4:A175""))"),22.0)</f>
        <v>22</v>
      </c>
      <c r="M29" s="4" t="str">
        <f>IFERROR(__xludf.DUMMYFUNCTION("FILTER(IMPORTRANGE(""https://docs.google.com/spreadsheets/d/1kGrh75X1cNR1D7_FcY9zMnHP8iPO4M5RCRjy6nZY0TY/edit#gid=1248694442"",""Table 1: Study characteristics!Q4:Q175""), $A29=IMPORTRANGE(""https://docs.google.com/spreadsheets/d/1kGrh75X1cNR1D7_FcY9zMnHP"&amp;"8iPO4M5RCRjy6nZY0TY/edit#gid=1248694442"",""Table 1: Study characteristics!A4:A175""))"),"")</f>
        <v/>
      </c>
      <c r="N29" s="4" t="str">
        <f>IFERROR(__xludf.DUMMYFUNCTION("FILTER(IMPORTRANGE(""https://docs.google.com/spreadsheets/d/1kGrh75X1cNR1D7_FcY9zMnHP8iPO4M5RCRjy6nZY0TY/edit#gid=1248694442"",""Table 1: Study characteristics!R4:R175""), $A29=IMPORTRANGE(""https://docs.google.com/spreadsheets/d/1kGrh75X1cNR1D7_FcY9zMnHP"&amp;"8iPO4M5RCRjy6nZY0TY/edit#gid=1248694442"",""Table 1: Study characteristics!A4:A175""))"),"")</f>
        <v/>
      </c>
      <c r="O29" s="4" t="str">
        <f>IFERROR(__xludf.DUMMYFUNCTION("FILTER(IMPORTRANGE(""https://docs.google.com/spreadsheets/d/1kGrh75X1cNR1D7_FcY9zMnHP8iPO4M5RCRjy6nZY0TY/edit#gid=1248694442"",""Table 1: Study characteristics!S4:S175""), $A29=IMPORTRANGE(""https://docs.google.com/spreadsheets/d/1kGrh75X1cNR1D7_FcY9zMnHP"&amp;"8iPO4M5RCRjy6nZY0TY/edit#gid=1248694442"",""Table 1: Study characteristics!A4:A175""))"),"")</f>
        <v/>
      </c>
      <c r="P29" s="6" t="str">
        <f>IFERROR(__xludf.DUMMYFUNCTION("FILTER(IMPORTRANGE(""https://docs.google.com/spreadsheets/d/1kGrh75X1cNR1D7_FcY9zMnHP8iPO4M5RCRjy6nZY0TY/edit#gid=1248694442"",""Table 1: Study characteristics!T4:T175""), $A29=IMPORTRANGE(""https://docs.google.com/spreadsheets/d/1kGrh75X1cNR1D7_FcY9zMnHP"&amp;"8iPO4M5RCRjy6nZY0TY/edit#gid=1248694442"",""Table 1: Study characteristics!A4:A175""))"),"0-180")</f>
        <v>0-180</v>
      </c>
      <c r="Q29" s="6" t="str">
        <f>IFERROR(__xludf.DUMMYFUNCTION("FILTER(IMPORTRANGE(""https://docs.google.com/spreadsheets/d/1kGrh75X1cNR1D7_FcY9zMnHP8iPO4M5RCRjy6nZY0TY/edit#gid=1248694442"",""Table 1: Study characteristics!L4:L175""), $A29=IMPORTRANGE(""https://docs.google.com/spreadsheets/d/1kGrh75X1cNR1D7_FcY9zMnHP"&amp;"8iPO4M5RCRjy6nZY0TY/edit#gid=1248694442"",""Table 1: Study characteristics!A4:A175""))"),"")</f>
        <v/>
      </c>
      <c r="R29" s="4" t="str">
        <f>IFERROR(__xludf.DUMMYFUNCTION("FILTER(IMPORTRANGE(""https://docs.google.com/spreadsheets/d/1kGrh75X1cNR1D7_FcY9zMnHP8iPO4M5RCRjy6nZY0TY/edit#gid=1248694442"",""Table 1: Study characteristics!I4:I175""), $A29=IMPORTRANGE(""https://docs.google.com/spreadsheets/d/1kGrh75X1cNR1D7_FcY9zMnHP"&amp;"8iPO4M5RCRjy6nZY0TY/edit#gid=1248694442"",""Table 1: Study characteristics!A4:A175""))"),"English")</f>
        <v>English</v>
      </c>
    </row>
    <row r="30">
      <c r="A30" s="4" t="str">
        <f>IFERROR(__xludf.DUMMYFUNCTION("""COMPUTED_VALUE"""),"ID 51")</f>
        <v>ID 51</v>
      </c>
      <c r="B30" s="13" t="s">
        <v>178</v>
      </c>
      <c r="C30" s="4" t="str">
        <f>IFERROR(__xludf.DUMMYFUNCTION("LEFT(FILTER(IMPORTRANGE(""https://docs.google.com/spreadsheets/d/1kGrh75X1cNR1D7_FcY9zMnHP8iPO4M5RCRjy6nZY0TY/edit#gid=1248694442"",""Table 1: Study characteristics!C4:C175""), $A30=IMPORTRANGE(""https://docs.google.com/spreadsheets/d/1kGrh75X1cNR1D7_FcY9"&amp;"zMnHP8iPO4M5RCRjy6nZY0TY/edit#gid=1248694442"",""Table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$A30=IMPORTRANGE(""https://docs.google.com/spreadsheets/d/1kGrh75X1cNR1D7_FcY9zMnHP8iPO4M5RCRjy6nZY0TY/edit#gid=1248694442"",""Table 1: Study characteristics!A4:A175"")))-1)"),"Rendeli")</f>
        <v>Rendeli</v>
      </c>
      <c r="D30" s="4">
        <f>IFERROR(__xludf.DUMMYFUNCTION("FILTER(IMPORTRANGE(""https://docs.google.com/spreadsheets/d/1kGrh75X1cNR1D7_FcY9zMnHP8iPO4M5RCRjy6nZY0TY/edit#gid=1248694442"",""Table 1: Study characteristics!K4:K175""), $A30=IMPORTRANGE(""https://docs.google.com/spreadsheets/d/1kGrh75X1cNR1D7_FcY9zMnHP"&amp;"8iPO4M5RCRjy6nZY0TY/edit#gid=1248694442"",""Table 1: Study characteristics!A4:A175""))"),2002.0)</f>
        <v>2002</v>
      </c>
      <c r="E30" s="4" t="str">
        <f>IFERROR(__xludf.DUMMYFUNCTION("FILTER(IMPORTRANGE(""https://docs.google.com/spreadsheets/d/1kGrh75X1cNR1D7_FcY9zMnHP8iPO4M5RCRjy6nZY0TY/edit#gid=1248694442"",""Table 1: Study characteristics!M4:M175""), $A30=IMPORTRANGE(""https://docs.google.com/spreadsheets/d/1kGrh75X1cNR1D7_FcY9zMnHP"&amp;"8iPO4M5RCRjy6nZY0TY/edit#gid=1248694442"",""Table 1: Study characteristics!A4:A175""))"),"High income")</f>
        <v>High income</v>
      </c>
      <c r="F30" s="4" t="str">
        <f>IFERROR(__xludf.DUMMYFUNCTION("FILTER(IMPORTRANGE(""https://docs.google.com/spreadsheets/d/1kGrh75X1cNR1D7_FcY9zMnHP8iPO4M5RCRjy6nZY0TY/edit#gid=1248694442"",""Table 1: Study characteristics!N4:N175""), $A30=IMPORTRANGE(""https://docs.google.com/spreadsheets/d/1kGrh75X1cNR1D7_FcY9zMnHP"&amp;"8iPO4M5RCRjy6nZY0TY/edit#gid=1248694442"",""Table 1: Study characteristics!A4:A175""))"),"Europe &amp; Central Asia")</f>
        <v>Europe &amp; Central Asia</v>
      </c>
      <c r="G30" s="4" t="str">
        <f>IFERROR(__xludf.DUMMYFUNCTION("FILTER(IMPORTRANGE(""https://docs.google.com/spreadsheets/d/1kGrh75X1cNR1D7_FcY9zMnHP8iPO4M5RCRjy6nZY0TY/edit#gid=1248694442"",""Table 1: Study characteristics!J4:J175""), $A30=IMPORTRANGE(""https://docs.google.com/spreadsheets/d/1kGrh75X1cNR1D7_FcY9zMnHP"&amp;"8iPO4M5RCRjy6nZY0TY/edit#gid=1248694442"",""Table 1: Study characteristics!A4:A175""))"),"Italy")</f>
        <v>Italy</v>
      </c>
      <c r="H30" s="4" t="str">
        <f>IFERROR(__xludf.DUMMYFUNCTION("FILTER(IMPORTRANGE(""https://docs.google.com/spreadsheets/d/1kGrh75X1cNR1D7_FcY9zMnHP8iPO4M5RCRjy6nZY0TY/edit#gid=1248694442"",""Table 1: Study characteristics!O4:O175""), $A30=IMPORTRANGE(""https://docs.google.com/spreadsheets/d/1kGrh75X1cNR1D7_FcY9zMnHP"&amp;"8iPO4M5RCRjy6nZY0TY/edit#gid=1248694442"",""Table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30" s="14" t="str">
        <f>IFERROR(__xludf.DUMMYFUNCTION("IFNA(FILTER(IMPORTRANGE(""https://docs.google.com/spreadsheets/d/1kGrh75X1cNR1D7_FcY9zMnHP8iPO4M5RCRjy6nZY0TY/edit#gid=1248694442"",""Table 3: 1st-line HC!C5:C111""), $A30=IMPORTRANGE(""https://docs.google.com/spreadsheets/d/1kGrh75X1cNR1D7_FcY9zMnHP8iPO4"&amp;"M5RCRjy6nZY0TY/edit#gid=1248694442"",""Table 3: 1st-line HC!A5:A111"")),"""")"),"Selected")</f>
        <v>Selected</v>
      </c>
      <c r="J30" s="4">
        <f>IFERROR(__xludf.DUMMYFUNCTION("FILTER(IMPORTRANGE(""https://docs.google.com/spreadsheets/d/1kGrh75X1cNR1D7_FcY9zMnHP8iPO4M5RCRjy6nZY0TY/edit#gid=1248694442"",""Table 1: Study characteristics!P4:P175""), $A30=IMPORTRANGE(""https://docs.google.com/spreadsheets/d/1kGrh75X1cNR1D7_FcY9zMnHP"&amp;"8iPO4M5RCRjy6nZY0TY/edit#gid=1248694442"",""Table 1: Study characteristics!A4:A175""))"),29.0)</f>
        <v>29</v>
      </c>
      <c r="K30" s="4">
        <f>IFERROR(__xludf.DUMMYFUNCTION("FILTER(IMPORTRANGE(""https://docs.google.com/spreadsheets/d/1kGrh75X1cNR1D7_FcY9zMnHP8iPO4M5RCRjy6nZY0TY/edit#gid=1248694442"",""Table 1: Study characteristics!U4:U175""), $A30=IMPORTRANGE(""https://docs.google.com/spreadsheets/d/1kGrh75X1cNR1D7_FcY9zMnHP"&amp;"8iPO4M5RCRjy6nZY0TY/edit#gid=1248694442"",""Table 1: Study characteristics!A4:A175""))"),15.0)</f>
        <v>15</v>
      </c>
      <c r="L30" s="4">
        <f>IFERROR(__xludf.DUMMYFUNCTION("FILTER(IMPORTRANGE(""https://docs.google.com/spreadsheets/d/1kGrh75X1cNR1D7_FcY9zMnHP8iPO4M5RCRjy6nZY0TY/edit#gid=1248694442"",""Table 1: Study characteristics!V4:V175""), $A30=IMPORTRANGE(""https://docs.google.com/spreadsheets/d/1kGrh75X1cNR1D7_FcY9zMnHP"&amp;"8iPO4M5RCRjy6nZY0TY/edit#gid=1248694442"",""Table 1: Study characteristics!A4:A175""))"),14.0)</f>
        <v>14</v>
      </c>
      <c r="M30" s="4" t="str">
        <f>IFERROR(__xludf.DUMMYFUNCTION("FILTER(IMPORTRANGE(""https://docs.google.com/spreadsheets/d/1kGrh75X1cNR1D7_FcY9zMnHP8iPO4M5RCRjy6nZY0TY/edit#gid=1248694442"",""Table 1: Study characteristics!Q4:Q175""), $A30=IMPORTRANGE(""https://docs.google.com/spreadsheets/d/1kGrh75X1cNR1D7_FcY9zMnHP"&amp;"8iPO4M5RCRjy6nZY0TY/edit#gid=1248694442"",""Table 1: Study characteristics!A4:A175""))"),"")</f>
        <v/>
      </c>
      <c r="N30" s="4" t="str">
        <f>IFERROR(__xludf.DUMMYFUNCTION("FILTER(IMPORTRANGE(""https://docs.google.com/spreadsheets/d/1kGrh75X1cNR1D7_FcY9zMnHP8iPO4M5RCRjy6nZY0TY/edit#gid=1248694442"",""Table 1: Study characteristics!R4:R175""), $A30=IMPORTRANGE(""https://docs.google.com/spreadsheets/d/1kGrh75X1cNR1D7_FcY9zMnHP"&amp;"8iPO4M5RCRjy6nZY0TY/edit#gid=1248694442"",""Table 1: Study characteristics!A4:A175""))"),"")</f>
        <v/>
      </c>
      <c r="O30" s="4" t="str">
        <f>IFERROR(__xludf.DUMMYFUNCTION("FILTER(IMPORTRANGE(""https://docs.google.com/spreadsheets/d/1kGrh75X1cNR1D7_FcY9zMnHP8iPO4M5RCRjy6nZY0TY/edit#gid=1248694442"",""Table 1: Study characteristics!S4:S175""), $A30=IMPORTRANGE(""https://docs.google.com/spreadsheets/d/1kGrh75X1cNR1D7_FcY9zMnHP"&amp;"8iPO4M5RCRjy6nZY0TY/edit#gid=1248694442"",""Table 1: Study characteristics!A4:A175""))"),"")</f>
        <v/>
      </c>
      <c r="P30" s="6" t="str">
        <f>IFERROR(__xludf.DUMMYFUNCTION("FILTER(IMPORTRANGE(""https://docs.google.com/spreadsheets/d/1kGrh75X1cNR1D7_FcY9zMnHP8iPO4M5RCRjy6nZY0TY/edit#gid=1248694442"",""Table 1: Study characteristics!T4:T175""), $A30=IMPORTRANGE(""https://docs.google.com/spreadsheets/d/1kGrh75X1cNR1D7_FcY9zMnHP"&amp;"8iPO4M5RCRjy6nZY0TY/edit#gid=1248694442"",""Table 1: Study characteristics!A4:A175""))"),"")</f>
        <v/>
      </c>
      <c r="Q30" s="6" t="str">
        <f>IFERROR(__xludf.DUMMYFUNCTION("FILTER(IMPORTRANGE(""https://docs.google.com/spreadsheets/d/1kGrh75X1cNR1D7_FcY9zMnHP8iPO4M5RCRjy6nZY0TY/edit#gid=1248694442"",""Table 1: Study characteristics!L4:L175""), $A30=IMPORTRANGE(""https://docs.google.com/spreadsheets/d/1kGrh75X1cNR1D7_FcY9zMnHP"&amp;"8iPO4M5RCRjy6nZY0TY/edit#gid=1248694442"",""Table 1: Study characteristics!A4:A175""))"),"")</f>
        <v/>
      </c>
      <c r="R30" s="4" t="str">
        <f>IFERROR(__xludf.DUMMYFUNCTION("FILTER(IMPORTRANGE(""https://docs.google.com/spreadsheets/d/1kGrh75X1cNR1D7_FcY9zMnHP8iPO4M5RCRjy6nZY0TY/edit#gid=1248694442"",""Table 1: Study characteristics!I4:I175""), $A30=IMPORTRANGE(""https://docs.google.com/spreadsheets/d/1kGrh75X1cNR1D7_FcY9zMnHP"&amp;"8iPO4M5RCRjy6nZY0TY/edit#gid=1248694442"",""Table 1: Study characteristics!A4:A175""))"),"English")</f>
        <v>English</v>
      </c>
    </row>
    <row r="31">
      <c r="A31" s="4" t="str">
        <f>IFERROR(__xludf.DUMMYFUNCTION("""COMPUTED_VALUE"""),"ID 52")</f>
        <v>ID 52</v>
      </c>
      <c r="B31" s="13" t="s">
        <v>179</v>
      </c>
      <c r="C31" s="4" t="str">
        <f>IFERROR(__xludf.DUMMYFUNCTION("LEFT(FILTER(IMPORTRANGE(""https://docs.google.com/spreadsheets/d/1kGrh75X1cNR1D7_FcY9zMnHP8iPO4M5RCRjy6nZY0TY/edit#gid=1248694442"",""Table 1: Study characteristics!C4:C175""), $A31=IMPORTRANGE(""https://docs.google.com/spreadsheets/d/1kGrh75X1cNR1D7_FcY9"&amp;"zMnHP8iPO4M5RCRjy6nZY0TY/edit#gid=1248694442"",""Table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$A31=IMPORTRANGE(""https://docs.google.com/spreadsheets/d/1kGrh75X1cNR1D7_FcY9zMnHP8iPO4M5RCRjy6nZY0TY/edit#gid=1248694442"",""Table 1: Study characteristics!A4:A175"")))-1)"),"Kahilogullari")</f>
        <v>Kahilogullari</v>
      </c>
      <c r="D31" s="4">
        <f>IFERROR(__xludf.DUMMYFUNCTION("FILTER(IMPORTRANGE(""https://docs.google.com/spreadsheets/d/1kGrh75X1cNR1D7_FcY9zMnHP8iPO4M5RCRjy6nZY0TY/edit#gid=1248694442"",""Table 1: Study characteristics!K4:K175""), $A31=IMPORTRANGE(""https://docs.google.com/spreadsheets/d/1kGrh75X1cNR1D7_FcY9zMnHP"&amp;"8iPO4M5RCRjy6nZY0TY/edit#gid=1248694442"",""Table 1: Study characteristics!A4:A175""))"),2018.0)</f>
        <v>2018</v>
      </c>
      <c r="E31" s="4" t="str">
        <f>IFERROR(__xludf.DUMMYFUNCTION("FILTER(IMPORTRANGE(""https://docs.google.com/spreadsheets/d/1kGrh75X1cNR1D7_FcY9zMnHP8iPO4M5RCRjy6nZY0TY/edit#gid=1248694442"",""Table 1: Study characteristics!M4:M175""), $A31=IMPORTRANGE(""https://docs.google.com/spreadsheets/d/1kGrh75X1cNR1D7_FcY9zMnHP"&amp;"8iPO4M5RCRjy6nZY0TY/edit#gid=1248694442"",""Table 1: Study characteristics!A4:A175""))"),"Upper middle income")</f>
        <v>Upper middle income</v>
      </c>
      <c r="F31" s="4" t="str">
        <f>IFERROR(__xludf.DUMMYFUNCTION("FILTER(IMPORTRANGE(""https://docs.google.com/spreadsheets/d/1kGrh75X1cNR1D7_FcY9zMnHP8iPO4M5RCRjy6nZY0TY/edit#gid=1248694442"",""Table 1: Study characteristics!N4:N175""), $A31=IMPORTRANGE(""https://docs.google.com/spreadsheets/d/1kGrh75X1cNR1D7_FcY9zMnHP"&amp;"8iPO4M5RCRjy6nZY0TY/edit#gid=1248694442"",""Table 1: Study characteristics!A4:A175""))"),"Europe &amp; Central Asia")</f>
        <v>Europe &amp; Central Asia</v>
      </c>
      <c r="G31" s="4" t="str">
        <f>IFERROR(__xludf.DUMMYFUNCTION("FILTER(IMPORTRANGE(""https://docs.google.com/spreadsheets/d/1kGrh75X1cNR1D7_FcY9zMnHP8iPO4M5RCRjy6nZY0TY/edit#gid=1248694442"",""Table 1: Study characteristics!J4:J175""), $A31=IMPORTRANGE(""https://docs.google.com/spreadsheets/d/1kGrh75X1cNR1D7_FcY9zMnHP"&amp;"8iPO4M5RCRjy6nZY0TY/edit#gid=1248694442"",""Table 1: Study characteristics!A4:A175""))"),"Turkey")</f>
        <v>Turkey</v>
      </c>
      <c r="H31" s="4" t="str">
        <f>IFERROR(__xludf.DUMMYFUNCTION("FILTER(IMPORTRANGE(""https://docs.google.com/spreadsheets/d/1kGrh75X1cNR1D7_FcY9zMnHP8iPO4M5RCRjy6nZY0TY/edit#gid=1248694442"",""Table 1: Study characteristics!O4:O175""), $A31=IMPORTRANGE(""https://docs.google.com/spreadsheets/d/1kGrh75X1cNR1D7_FcY9zMnHP"&amp;"8iPO4M5RCRjy6nZY0TY/edit#gid=1248694442"",""Table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31" s="14" t="str">
        <f>IFERROR(__xludf.DUMMYFUNCTION("IFNA(FILTER(IMPORTRANGE(""https://docs.google.com/spreadsheets/d/1kGrh75X1cNR1D7_FcY9zMnHP8iPO4M5RCRjy6nZY0TY/edit#gid=1248694442"",""Table 3: 1st-line HC!C5:C111""), $A31=IMPORTRANGE(""https://docs.google.com/spreadsheets/d/1kGrh75X1cNR1D7_FcY9zMnHP8iPO4"&amp;"M5RCRjy6nZY0TY/edit#gid=1248694442"",""Table 3: 1st-line HC!A5:A111"")),"""")"),"Selected")</f>
        <v>Selected</v>
      </c>
      <c r="J31" s="4">
        <f>IFERROR(__xludf.DUMMYFUNCTION("FILTER(IMPORTRANGE(""https://docs.google.com/spreadsheets/d/1kGrh75X1cNR1D7_FcY9zMnHP8iPO4M5RCRjy6nZY0TY/edit#gid=1248694442"",""Table 1: Study characteristics!P4:P175""), $A31=IMPORTRANGE(""https://docs.google.com/spreadsheets/d/1kGrh75X1cNR1D7_FcY9zMnHP"&amp;"8iPO4M5RCRjy6nZY0TY/edit#gid=1248694442"",""Table 1: Study characteristics!A4:A175""))"),157.0)</f>
        <v>157</v>
      </c>
      <c r="K31" s="4" t="str">
        <f>IFERROR(__xludf.DUMMYFUNCTION("FILTER(IMPORTRANGE(""https://docs.google.com/spreadsheets/d/1kGrh75X1cNR1D7_FcY9zMnHP8iPO4M5RCRjy6nZY0TY/edit#gid=1248694442"",""Table 1: Study characteristics!U4:U175""), $A31=IMPORTRANGE(""https://docs.google.com/spreadsheets/d/1kGrh75X1cNR1D7_FcY9zMnHP"&amp;"8iPO4M5RCRjy6nZY0TY/edit#gid=1248694442"",""Table 1: Study characteristics!A4:A175""))"),"")</f>
        <v/>
      </c>
      <c r="L31" s="4" t="str">
        <f>IFERROR(__xludf.DUMMYFUNCTION("FILTER(IMPORTRANGE(""https://docs.google.com/spreadsheets/d/1kGrh75X1cNR1D7_FcY9zMnHP8iPO4M5RCRjy6nZY0TY/edit#gid=1248694442"",""Table 1: Study characteristics!V4:V175""), $A31=IMPORTRANGE(""https://docs.google.com/spreadsheets/d/1kGrh75X1cNR1D7_FcY9zMnHP"&amp;"8iPO4M5RCRjy6nZY0TY/edit#gid=1248694442"",""Table 1: Study characteristics!A4:A175""))"),"")</f>
        <v/>
      </c>
      <c r="M31" s="4" t="str">
        <f>IFERROR(__xludf.DUMMYFUNCTION("FILTER(IMPORTRANGE(""https://docs.google.com/spreadsheets/d/1kGrh75X1cNR1D7_FcY9zMnHP8iPO4M5RCRjy6nZY0TY/edit#gid=1248694442"",""Table 1: Study characteristics!Q4:Q175""), $A31=IMPORTRANGE(""https://docs.google.com/spreadsheets/d/1kGrh75X1cNR1D7_FcY9zMnHP"&amp;"8iPO4M5RCRjy6nZY0TY/edit#gid=1248694442"",""Table 1: Study characteristics!A4:A175""))"),"")</f>
        <v/>
      </c>
      <c r="N31" s="4" t="str">
        <f>IFERROR(__xludf.DUMMYFUNCTION("FILTER(IMPORTRANGE(""https://docs.google.com/spreadsheets/d/1kGrh75X1cNR1D7_FcY9zMnHP8iPO4M5RCRjy6nZY0TY/edit#gid=1248694442"",""Table 1: Study characteristics!R4:R175""), $A31=IMPORTRANGE(""https://docs.google.com/spreadsheets/d/1kGrh75X1cNR1D7_FcY9zMnHP"&amp;"8iPO4M5RCRjy6nZY0TY/edit#gid=1248694442"",""Table 1: Study characteristics!A4:A175""))"),"")</f>
        <v/>
      </c>
      <c r="O31" s="4" t="str">
        <f>IFERROR(__xludf.DUMMYFUNCTION("FILTER(IMPORTRANGE(""https://docs.google.com/spreadsheets/d/1kGrh75X1cNR1D7_FcY9zMnHP8iPO4M5RCRjy6nZY0TY/edit#gid=1248694442"",""Table 1: Study characteristics!S4:S175""), $A31=IMPORTRANGE(""https://docs.google.com/spreadsheets/d/1kGrh75X1cNR1D7_FcY9zMnHP"&amp;"8iPO4M5RCRjy6nZY0TY/edit#gid=1248694442"",""Table 1: Study characteristics!A4:A175""))"),"")</f>
        <v/>
      </c>
      <c r="P31" s="6" t="str">
        <f>IFERROR(__xludf.DUMMYFUNCTION("FILTER(IMPORTRANGE(""https://docs.google.com/spreadsheets/d/1kGrh75X1cNR1D7_FcY9zMnHP8iPO4M5RCRjy6nZY0TY/edit#gid=1248694442"",""Table 1: Study characteristics!T4:T175""), $A31=IMPORTRANGE(""https://docs.google.com/spreadsheets/d/1kGrh75X1cNR1D7_FcY9zMnHP"&amp;"8iPO4M5RCRjy6nZY0TY/edit#gid=1248694442"",""Table 1: Study characteristics!A4:A175""))"),"")</f>
        <v/>
      </c>
      <c r="Q31" s="6" t="str">
        <f>IFERROR(__xludf.DUMMYFUNCTION("FILTER(IMPORTRANGE(""https://docs.google.com/spreadsheets/d/1kGrh75X1cNR1D7_FcY9zMnHP8iPO4M5RCRjy6nZY0TY/edit#gid=1248694442"",""Table 1: Study characteristics!L4:L175""), $A31=IMPORTRANGE(""https://docs.google.com/spreadsheets/d/1kGrh75X1cNR1D7_FcY9zMnHP"&amp;"8iPO4M5RCRjy6nZY0TY/edit#gid=1248694442"",""Table 1: Study characteristics!A4:A175""))"),"2000-2014")</f>
        <v>2000-2014</v>
      </c>
      <c r="R31" s="4" t="str">
        <f>IFERROR(__xludf.DUMMYFUNCTION("FILTER(IMPORTRANGE(""https://docs.google.com/spreadsheets/d/1kGrh75X1cNR1D7_FcY9zMnHP8iPO4M5RCRjy6nZY0TY/edit#gid=1248694442"",""Table 1: Study characteristics!I4:I175""), $A31=IMPORTRANGE(""https://docs.google.com/spreadsheets/d/1kGrh75X1cNR1D7_FcY9zMnHP"&amp;"8iPO4M5RCRjy6nZY0TY/edit#gid=1248694442"",""Table 1: Study characteristics!A4:A175""))"),"English")</f>
        <v>English</v>
      </c>
    </row>
    <row r="32">
      <c r="A32" s="4" t="str">
        <f>IFERROR(__xludf.DUMMYFUNCTION("""COMPUTED_VALUE"""),"ID 53")</f>
        <v>ID 53</v>
      </c>
      <c r="B32" s="13" t="s">
        <v>180</v>
      </c>
      <c r="C32" s="4" t="str">
        <f>IFERROR(__xludf.DUMMYFUNCTION("LEFT(FILTER(IMPORTRANGE(""https://docs.google.com/spreadsheets/d/1kGrh75X1cNR1D7_FcY9zMnHP8iPO4M5RCRjy6nZY0TY/edit#gid=1248694442"",""Table 1: Study characteristics!C4:C175""), $A32=IMPORTRANGE(""https://docs.google.com/spreadsheets/d/1kGrh75X1cNR1D7_FcY9"&amp;"zMnHP8iPO4M5RCRjy6nZY0TY/edit#gid=1248694442"",""Table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$A32=IMPORTRANGE(""https://docs.google.com/spreadsheets/d/1kGrh75X1cNR1D7_FcY9zMnHP8iPO4M5RCRjy6nZY0TY/edit#gid=1248694442"",""Table 1: Study characteristics!A4:A175"")))-1)"),"Keshavarzi")</f>
        <v>Keshavarzi</v>
      </c>
      <c r="D32" s="4">
        <f>IFERROR(__xludf.DUMMYFUNCTION("FILTER(IMPORTRANGE(""https://docs.google.com/spreadsheets/d/1kGrh75X1cNR1D7_FcY9zMnHP8iPO4M5RCRjy6nZY0TY/edit#gid=1248694442"",""Table 1: Study characteristics!K4:K175""), $A32=IMPORTRANGE(""https://docs.google.com/spreadsheets/d/1kGrh75X1cNR1D7_FcY9zMnHP"&amp;"8iPO4M5RCRjy6nZY0TY/edit#gid=1248694442"",""Table 1: Study characteristics!A4:A175""))"),2007.0)</f>
        <v>2007</v>
      </c>
      <c r="E32" s="4" t="str">
        <f>IFERROR(__xludf.DUMMYFUNCTION("FILTER(IMPORTRANGE(""https://docs.google.com/spreadsheets/d/1kGrh75X1cNR1D7_FcY9zMnHP8iPO4M5RCRjy6nZY0TY/edit#gid=1248694442"",""Table 1: Study characteristics!M4:M175""), $A32=IMPORTRANGE(""https://docs.google.com/spreadsheets/d/1kGrh75X1cNR1D7_FcY9zMnHP"&amp;"8iPO4M5RCRjy6nZY0TY/edit#gid=1248694442"",""Table 1: Study characteristics!A4:A175""))"),"Lower middle income")</f>
        <v>Lower middle income</v>
      </c>
      <c r="F32" s="4" t="str">
        <f>IFERROR(__xludf.DUMMYFUNCTION("FILTER(IMPORTRANGE(""https://docs.google.com/spreadsheets/d/1kGrh75X1cNR1D7_FcY9zMnHP8iPO4M5RCRjy6nZY0TY/edit#gid=1248694442"",""Table 1: Study characteristics!N4:N175""), $A32=IMPORTRANGE(""https://docs.google.com/spreadsheets/d/1kGrh75X1cNR1D7_FcY9zMnHP"&amp;"8iPO4M5RCRjy6nZY0TY/edit#gid=1248694442"",""Table 1: Study characteristics!A4:A175""))"),"Middle East &amp; North Africa")</f>
        <v>Middle East &amp; North Africa</v>
      </c>
      <c r="G32" s="4" t="str">
        <f>IFERROR(__xludf.DUMMYFUNCTION("FILTER(IMPORTRANGE(""https://docs.google.com/spreadsheets/d/1kGrh75X1cNR1D7_FcY9zMnHP8iPO4M5RCRjy6nZY0TY/edit#gid=1248694442"",""Table 1: Study characteristics!J4:J175""), $A32=IMPORTRANGE(""https://docs.google.com/spreadsheets/d/1kGrh75X1cNR1D7_FcY9zMnHP"&amp;"8iPO4M5RCRjy6nZY0TY/edit#gid=1248694442"",""Table 1: Study characteristics!A4:A175""))"),"Iran, Islamic Rep.")</f>
        <v>Iran, Islamic Rep.</v>
      </c>
      <c r="H32" s="4" t="str">
        <f>IFERROR(__xludf.DUMMYFUNCTION("FILTER(IMPORTRANGE(""https://docs.google.com/spreadsheets/d/1kGrh75X1cNR1D7_FcY9zMnHP8iPO4M5RCRjy6nZY0TY/edit#gid=1248694442"",""Table 1: Study characteristics!O4:O175""), $A32=IMPORTRANGE(""https://docs.google.com/spreadsheets/d/1kGrh75X1cNR1D7_FcY9zMnHP"&amp;"8iPO4M5RCRjy6nZY0TY/edit#gid=1248694442"",""Table 1: Study characteristics!A4:A175""))"),"Multiple case report")</f>
        <v>Multiple case report</v>
      </c>
      <c r="I32" s="14" t="str">
        <f>IFERROR(__xludf.DUMMYFUNCTION("IFNA(FILTER(IMPORTRANGE(""https://docs.google.com/spreadsheets/d/1kGrh75X1cNR1D7_FcY9zMnHP8iPO4M5RCRjy6nZY0TY/edit#gid=1248694442"",""Table 3: 1st-line HC!C5:C111""), $A32=IMPORTRANGE(""https://docs.google.com/spreadsheets/d/1kGrh75X1cNR1D7_FcY9zMnHP8iPO4"&amp;"M5RCRjy6nZY0TY/edit#gid=1248694442"",""Table 3: 1st-line HC!A5:A111"")),"""")"),"Selected")</f>
        <v>Selected</v>
      </c>
      <c r="J32" s="4">
        <f>IFERROR(__xludf.DUMMYFUNCTION("FILTER(IMPORTRANGE(""https://docs.google.com/spreadsheets/d/1kGrh75X1cNR1D7_FcY9zMnHP8iPO4M5RCRjy6nZY0TY/edit#gid=1248694442"",""Table 1: Study characteristics!P4:P175""), $A32=IMPORTRANGE(""https://docs.google.com/spreadsheets/d/1kGrh75X1cNR1D7_FcY9zMnHP"&amp;"8iPO4M5RCRjy6nZY0TY/edit#gid=1248694442"",""Table 1: Study characteristics!A4:A175""))"),3.0)</f>
        <v>3</v>
      </c>
      <c r="K32" s="4">
        <f>IFERROR(__xludf.DUMMYFUNCTION("FILTER(IMPORTRANGE(""https://docs.google.com/spreadsheets/d/1kGrh75X1cNR1D7_FcY9zMnHP8iPO4M5RCRjy6nZY0TY/edit#gid=1248694442"",""Table 1: Study characteristics!U4:U175""), $A32=IMPORTRANGE(""https://docs.google.com/spreadsheets/d/1kGrh75X1cNR1D7_FcY9zMnHP"&amp;"8iPO4M5RCRjy6nZY0TY/edit#gid=1248694442"",""Table 1: Study characteristics!A4:A175""))"),3.0)</f>
        <v>3</v>
      </c>
      <c r="L32" s="4" t="str">
        <f>IFERROR(__xludf.DUMMYFUNCTION("FILTER(IMPORTRANGE(""https://docs.google.com/spreadsheets/d/1kGrh75X1cNR1D7_FcY9zMnHP8iPO4M5RCRjy6nZY0TY/edit#gid=1248694442"",""Table 1: Study characteristics!V4:V175""), $A32=IMPORTRANGE(""https://docs.google.com/spreadsheets/d/1kGrh75X1cNR1D7_FcY9zMnHP"&amp;"8iPO4M5RCRjy6nZY0TY/edit#gid=1248694442"",""Table 1: Study characteristics!A4:A175""))"),"")</f>
        <v/>
      </c>
      <c r="M32" s="4">
        <f>IFERROR(__xludf.DUMMYFUNCTION("FILTER(IMPORTRANGE(""https://docs.google.com/spreadsheets/d/1kGrh75X1cNR1D7_FcY9zMnHP8iPO4M5RCRjy6nZY0TY/edit#gid=1248694442"",""Table 1: Study characteristics!Q4:Q175""), $A32=IMPORTRANGE(""https://docs.google.com/spreadsheets/d/1kGrh75X1cNR1D7_FcY9zMnHP"&amp;"8iPO4M5RCRjy6nZY0TY/edit#gid=1248694442"",""Table 1: Study characteristics!A4:A175""))"),8.66)</f>
        <v>8.66</v>
      </c>
      <c r="N32" s="4" t="str">
        <f>IFERROR(__xludf.DUMMYFUNCTION("FILTER(IMPORTRANGE(""https://docs.google.com/spreadsheets/d/1kGrh75X1cNR1D7_FcY9zMnHP8iPO4M5RCRjy6nZY0TY/edit#gid=1248694442"",""Table 1: Study characteristics!R4:R175""), $A32=IMPORTRANGE(""https://docs.google.com/spreadsheets/d/1kGrh75X1cNR1D7_FcY9zMnHP"&amp;"8iPO4M5RCRjy6nZY0TY/edit#gid=1248694442"",""Table 1: Study characteristics!A4:A175""))"),"")</f>
        <v/>
      </c>
      <c r="O32" s="4" t="str">
        <f>IFERROR(__xludf.DUMMYFUNCTION("FILTER(IMPORTRANGE(""https://docs.google.com/spreadsheets/d/1kGrh75X1cNR1D7_FcY9zMnHP8iPO4M5RCRjy6nZY0TY/edit#gid=1248694442"",""Table 1: Study characteristics!S4:S175""), $A32=IMPORTRANGE(""https://docs.google.com/spreadsheets/d/1kGrh75X1cNR1D7_FcY9zMnHP"&amp;"8iPO4M5RCRjy6nZY0TY/edit#gid=1248694442"",""Table 1: Study characteristics!A4:A175""))"),"")</f>
        <v/>
      </c>
      <c r="P32" s="6" t="str">
        <f>IFERROR(__xludf.DUMMYFUNCTION("FILTER(IMPORTRANGE(""https://docs.google.com/spreadsheets/d/1kGrh75X1cNR1D7_FcY9zMnHP8iPO4M5RCRjy6nZY0TY/edit#gid=1248694442"",""Table 1: Study characteristics!T4:T175""), $A32=IMPORTRANGE(""https://docs.google.com/spreadsheets/d/1kGrh75X1cNR1D7_FcY9zMnHP"&amp;"8iPO4M5RCRjy6nZY0TY/edit#gid=1248694442"",""Table 1: Study characteristics!A4:A175""))"),"")</f>
        <v/>
      </c>
      <c r="Q32" s="6" t="str">
        <f>IFERROR(__xludf.DUMMYFUNCTION("FILTER(IMPORTRANGE(""https://docs.google.com/spreadsheets/d/1kGrh75X1cNR1D7_FcY9zMnHP8iPO4M5RCRjy6nZY0TY/edit#gid=1248694442"",""Table 1: Study characteristics!L4:L175""), $A32=IMPORTRANGE(""https://docs.google.com/spreadsheets/d/1kGrh75X1cNR1D7_FcY9zMnHP"&amp;"8iPO4M5RCRjy6nZY0TY/edit#gid=1248694442"",""Table 1: Study characteristics!A4:A175""))"),"")</f>
        <v/>
      </c>
      <c r="R32" s="4" t="str">
        <f>IFERROR(__xludf.DUMMYFUNCTION("FILTER(IMPORTRANGE(""https://docs.google.com/spreadsheets/d/1kGrh75X1cNR1D7_FcY9zMnHP8iPO4M5RCRjy6nZY0TY/edit#gid=1248694442"",""Table 1: Study characteristics!I4:I175""), $A32=IMPORTRANGE(""https://docs.google.com/spreadsheets/d/1kGrh75X1cNR1D7_FcY9zMnHP"&amp;"8iPO4M5RCRjy6nZY0TY/edit#gid=1248694442"",""Table 1: Study characteristics!A4:A175""))"),"English")</f>
        <v>English</v>
      </c>
    </row>
    <row r="33">
      <c r="A33" s="4" t="str">
        <f>IFERROR(__xludf.DUMMYFUNCTION("""COMPUTED_VALUE"""),"ID 58")</f>
        <v>ID 58</v>
      </c>
      <c r="B33" s="13" t="s">
        <v>181</v>
      </c>
      <c r="C33" s="4" t="str">
        <f>IFERROR(__xludf.DUMMYFUNCTION("LEFT(FILTER(IMPORTRANGE(""https://docs.google.com/spreadsheets/d/1kGrh75X1cNR1D7_FcY9zMnHP8iPO4M5RCRjy6nZY0TY/edit#gid=1248694442"",""Table 1: Study characteristics!C4:C175""), $A33=IMPORTRANGE(""https://docs.google.com/spreadsheets/d/1kGrh75X1cNR1D7_FcY9"&amp;"zMnHP8iPO4M5RCRjy6nZY0TY/edit#gid=1248694442"",""Table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$A33=IMPORTRANGE(""https://docs.google.com/spreadsheets/d/1kGrh75X1cNR1D7_FcY9zMnHP8iPO4M5RCRjy6nZY0TY/edit#gid=1248694442"",""Table 1: Study characteristics!A4:A175"")))-1)"),"Fani")</f>
        <v>Fani</v>
      </c>
      <c r="D33" s="4">
        <f>IFERROR(__xludf.DUMMYFUNCTION("FILTER(IMPORTRANGE(""https://docs.google.com/spreadsheets/d/1kGrh75X1cNR1D7_FcY9zMnHP8iPO4M5RCRjy6nZY0TY/edit#gid=1248694442"",""Table 1: Study characteristics!K4:K175""), $A33=IMPORTRANGE(""https://docs.google.com/spreadsheets/d/1kGrh75X1cNR1D7_FcY9zMnHP"&amp;"8iPO4M5RCRjy6nZY0TY/edit#gid=1248694442"",""Table 1: Study characteristics!A4:A175""))"),2013.0)</f>
        <v>2013</v>
      </c>
      <c r="E33" s="4" t="str">
        <f>IFERROR(__xludf.DUMMYFUNCTION("FILTER(IMPORTRANGE(""https://docs.google.com/spreadsheets/d/1kGrh75X1cNR1D7_FcY9zMnHP8iPO4M5RCRjy6nZY0TY/edit#gid=1248694442"",""Table 1: Study characteristics!M4:M175""), $A33=IMPORTRANGE(""https://docs.google.com/spreadsheets/d/1kGrh75X1cNR1D7_FcY9zMnHP"&amp;"8iPO4M5RCRjy6nZY0TY/edit#gid=1248694442"",""Table 1: Study characteristics!A4:A175""))"),"High income")</f>
        <v>High income</v>
      </c>
      <c r="F33" s="4" t="str">
        <f>IFERROR(__xludf.DUMMYFUNCTION("FILTER(IMPORTRANGE(""https://docs.google.com/spreadsheets/d/1kGrh75X1cNR1D7_FcY9zMnHP8iPO4M5RCRjy6nZY0TY/edit#gid=1248694442"",""Table 1: Study characteristics!N4:N175""), $A33=IMPORTRANGE(""https://docs.google.com/spreadsheets/d/1kGrh75X1cNR1D7_FcY9zMnHP"&amp;"8iPO4M5RCRjy6nZY0TY/edit#gid=1248694442"",""Table 1: Study characteristics!A4:A175""))"),"Europe &amp; Central Asia")</f>
        <v>Europe &amp; Central Asia</v>
      </c>
      <c r="G33" s="4" t="str">
        <f>IFERROR(__xludf.DUMMYFUNCTION("FILTER(IMPORTRANGE(""https://docs.google.com/spreadsheets/d/1kGrh75X1cNR1D7_FcY9zMnHP8iPO4M5RCRjy6nZY0TY/edit#gid=1248694442"",""Table 1: Study characteristics!J4:J175""), $A33=IMPORTRANGE(""https://docs.google.com/spreadsheets/d/1kGrh75X1cNR1D7_FcY9zMnHP"&amp;"8iPO4M5RCRjy6nZY0TY/edit#gid=1248694442"",""Table 1: Study characteristics!A4:A175""))"),"Netherlands")</f>
        <v>Netherlands</v>
      </c>
      <c r="H33" s="4" t="str">
        <f>IFERROR(__xludf.DUMMYFUNCTION("FILTER(IMPORTRANGE(""https://docs.google.com/spreadsheets/d/1kGrh75X1cNR1D7_FcY9zMnHP8iPO4M5RCRjy6nZY0TY/edit#gid=1248694442"",""Table 1: Study characteristics!O4:O175""), $A33=IMPORTRANGE(""https://docs.google.com/spreadsheets/d/1kGrh75X1cNR1D7_FcY9zMnHP"&amp;"8iPO4M5RCRjy6nZY0TY/edit#gid=1248694442"",""Table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33" s="14" t="str">
        <f>IFERROR(__xludf.DUMMYFUNCTION("IFNA(FILTER(IMPORTRANGE(""https://docs.google.com/spreadsheets/d/1kGrh75X1cNR1D7_FcY9zMnHP8iPO4M5RCRjy6nZY0TY/edit#gid=1248694442"",""Table 3: 1st-line HC!C5:C111""), $A33=IMPORTRANGE(""https://docs.google.com/spreadsheets/d/1kGrh75X1cNR1D7_FcY9zMnHP8iPO4"&amp;"M5RCRjy6nZY0TY/edit#gid=1248694442"",""Table 3: 1st-line HC!A5:A111"")),"""")"),"Selected")</f>
        <v>Selected</v>
      </c>
      <c r="J33" s="4">
        <f>IFERROR(__xludf.DUMMYFUNCTION("FILTER(IMPORTRANGE(""https://docs.google.com/spreadsheets/d/1kGrh75X1cNR1D7_FcY9zMnHP8iPO4M5RCRjy6nZY0TY/edit#gid=1248694442"",""Table 1: Study characteristics!P4:P175""), $A33=IMPORTRANGE(""https://docs.google.com/spreadsheets/d/1kGrh75X1cNR1D7_FcY9zMnHP"&amp;"8iPO4M5RCRjy6nZY0TY/edit#gid=1248694442"",""Table 1: Study characteristics!A4:A175""))"),8.0)</f>
        <v>8</v>
      </c>
      <c r="K33" s="4" t="str">
        <f>IFERROR(__xludf.DUMMYFUNCTION("FILTER(IMPORTRANGE(""https://docs.google.com/spreadsheets/d/1kGrh75X1cNR1D7_FcY9zMnHP8iPO4M5RCRjy6nZY0TY/edit#gid=1248694442"",""Table 1: Study characteristics!U4:U175""), $A33=IMPORTRANGE(""https://docs.google.com/spreadsheets/d/1kGrh75X1cNR1D7_FcY9zMnHP"&amp;"8iPO4M5RCRjy6nZY0TY/edit#gid=1248694442"",""Table 1: Study characteristics!A4:A175""))"),"")</f>
        <v/>
      </c>
      <c r="L33" s="4" t="str">
        <f>IFERROR(__xludf.DUMMYFUNCTION("FILTER(IMPORTRANGE(""https://docs.google.com/spreadsheets/d/1kGrh75X1cNR1D7_FcY9zMnHP8iPO4M5RCRjy6nZY0TY/edit#gid=1248694442"",""Table 1: Study characteristics!V4:V175""), $A33=IMPORTRANGE(""https://docs.google.com/spreadsheets/d/1kGrh75X1cNR1D7_FcY9zMnHP"&amp;"8iPO4M5RCRjy6nZY0TY/edit#gid=1248694442"",""Table 1: Study characteristics!A4:A175""))"),"")</f>
        <v/>
      </c>
      <c r="M33" s="4" t="str">
        <f>IFERROR(__xludf.DUMMYFUNCTION("FILTER(IMPORTRANGE(""https://docs.google.com/spreadsheets/d/1kGrh75X1cNR1D7_FcY9zMnHP8iPO4M5RCRjy6nZY0TY/edit#gid=1248694442"",""Table 1: Study characteristics!Q4:Q175""), $A33=IMPORTRANGE(""https://docs.google.com/spreadsheets/d/1kGrh75X1cNR1D7_FcY9zMnHP"&amp;"8iPO4M5RCRjy6nZY0TY/edit#gid=1248694442"",""Table 1: Study characteristics!A4:A175""))"),"")</f>
        <v/>
      </c>
      <c r="N33" s="4">
        <f>IFERROR(__xludf.DUMMYFUNCTION("FILTER(IMPORTRANGE(""https://docs.google.com/spreadsheets/d/1kGrh75X1cNR1D7_FcY9zMnHP8iPO4M5RCRjy6nZY0TY/edit#gid=1248694442"",""Table 1: Study characteristics!R4:R175""), $A33=IMPORTRANGE(""https://docs.google.com/spreadsheets/d/1kGrh75X1cNR1D7_FcY9zMnHP"&amp;"8iPO4M5RCRjy6nZY0TY/edit#gid=1248694442"",""Table 1: Study characteristics!A4:A175""))"),215.4)</f>
        <v>215.4</v>
      </c>
      <c r="O33" s="4">
        <f>IFERROR(__xludf.DUMMYFUNCTION("FILTER(IMPORTRANGE(""https://docs.google.com/spreadsheets/d/1kGrh75X1cNR1D7_FcY9zMnHP8iPO4M5RCRjy6nZY0TY/edit#gid=1248694442"",""Table 1: Study characteristics!S4:S175""), $A33=IMPORTRANGE(""https://docs.google.com/spreadsheets/d/1kGrh75X1cNR1D7_FcY9zMnHP"&amp;"8iPO4M5RCRjy6nZY0TY/edit#gid=1248694442"",""Table 1: Study characteristics!A4:A175""))"),189.8)</f>
        <v>189.8</v>
      </c>
      <c r="P33" s="6" t="str">
        <f>IFERROR(__xludf.DUMMYFUNCTION("FILTER(IMPORTRANGE(""https://docs.google.com/spreadsheets/d/1kGrh75X1cNR1D7_FcY9zMnHP8iPO4M5RCRjy6nZY0TY/edit#gid=1248694442"",""Table 1: Study characteristics!T4:T175""), $A33=IMPORTRANGE(""https://docs.google.com/spreadsheets/d/1kGrh75X1cNR1D7_FcY9zMnHP"&amp;"8iPO4M5RCRjy6nZY0TY/edit#gid=1248694442"",""Table 1: Study characteristics!A4:A175""))"),"")</f>
        <v/>
      </c>
      <c r="Q33" s="6" t="str">
        <f>IFERROR(__xludf.DUMMYFUNCTION("FILTER(IMPORTRANGE(""https://docs.google.com/spreadsheets/d/1kGrh75X1cNR1D7_FcY9zMnHP8iPO4M5RCRjy6nZY0TY/edit#gid=1248694442"",""Table 1: Study characteristics!L4:L175""), $A33=IMPORTRANGE(""https://docs.google.com/spreadsheets/d/1kGrh75X1cNR1D7_FcY9zMnHP"&amp;"8iPO4M5RCRjy6nZY0TY/edit#gid=1248694442"",""Table 1: Study characteristics!A4:A175""))"),"1999-2010")</f>
        <v>1999-2010</v>
      </c>
      <c r="R33" s="4" t="str">
        <f>IFERROR(__xludf.DUMMYFUNCTION("FILTER(IMPORTRANGE(""https://docs.google.com/spreadsheets/d/1kGrh75X1cNR1D7_FcY9zMnHP8iPO4M5RCRjy6nZY0TY/edit#gid=1248694442"",""Table 1: Study characteristics!I4:I175""), $A33=IMPORTRANGE(""https://docs.google.com/spreadsheets/d/1kGrh75X1cNR1D7_FcY9zMnHP"&amp;"8iPO4M5RCRjy6nZY0TY/edit#gid=1248694442"",""Table 1: Study characteristics!A4:A175""))"),"English")</f>
        <v>English</v>
      </c>
    </row>
    <row r="34">
      <c r="A34" s="4" t="str">
        <f>IFERROR(__xludf.DUMMYFUNCTION("""COMPUTED_VALUE"""),"ID 60")</f>
        <v>ID 60</v>
      </c>
      <c r="B34" s="13" t="s">
        <v>182</v>
      </c>
      <c r="C34" s="4" t="str">
        <f>IFERROR(__xludf.DUMMYFUNCTION("LEFT(FILTER(IMPORTRANGE(""https://docs.google.com/spreadsheets/d/1kGrh75X1cNR1D7_FcY9zMnHP8iPO4M5RCRjy6nZY0TY/edit#gid=1248694442"",""Table 1: Study characteristics!C4:C175""), $A34=IMPORTRANGE(""https://docs.google.com/spreadsheets/d/1kGrh75X1cNR1D7_FcY9"&amp;"zMnHP8iPO4M5RCRjy6nZY0TY/edit#gid=1248694442"",""Table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$A34=IMPORTRANGE(""https://docs.google.com/spreadsheets/d/1kGrh75X1cNR1D7_FcY9zMnHP8iPO4M5RCRjy6nZY0TY/edit#gid=1248694442"",""Table 1: Study characteristics!A4:A175"")))-1)"),"Weil")</f>
        <v>Weil</v>
      </c>
      <c r="D34" s="4">
        <f>IFERROR(__xludf.DUMMYFUNCTION("FILTER(IMPORTRANGE(""https://docs.google.com/spreadsheets/d/1kGrh75X1cNR1D7_FcY9zMnHP8iPO4M5RCRjy6nZY0TY/edit#gid=1248694442"",""Table 1: Study characteristics!K4:K175""), $A34=IMPORTRANGE(""https://docs.google.com/spreadsheets/d/1kGrh75X1cNR1D7_FcY9zMnHP"&amp;"8iPO4M5RCRjy6nZY0TY/edit#gid=1248694442"",""Table 1: Study characteristics!A4:A175""))"),2016.0)</f>
        <v>2016</v>
      </c>
      <c r="E34" s="4" t="str">
        <f>IFERROR(__xludf.DUMMYFUNCTION("FILTER(IMPORTRANGE(""https://docs.google.com/spreadsheets/d/1kGrh75X1cNR1D7_FcY9zMnHP8iPO4M5RCRjy6nZY0TY/edit#gid=1248694442"",""Table 1: Study characteristics!M4:M175""), $A34=IMPORTRANGE(""https://docs.google.com/spreadsheets/d/1kGrh75X1cNR1D7_FcY9zMnHP"&amp;"8iPO4M5RCRjy6nZY0TY/edit#gid=1248694442"",""Table 1: Study characteristics!A4:A175""))"),"High income")</f>
        <v>High income</v>
      </c>
      <c r="F34" s="4" t="str">
        <f>IFERROR(__xludf.DUMMYFUNCTION("FILTER(IMPORTRANGE(""https://docs.google.com/spreadsheets/d/1kGrh75X1cNR1D7_FcY9zMnHP8iPO4M5RCRjy6nZY0TY/edit#gid=1248694442"",""Table 1: Study characteristics!N4:N175""), $A34=IMPORTRANGE(""https://docs.google.com/spreadsheets/d/1kGrh75X1cNR1D7_FcY9zMnHP"&amp;"8iPO4M5RCRjy6nZY0TY/edit#gid=1248694442"",""Table 1: Study characteristics!A4:A175""))"),"North America")</f>
        <v>North America</v>
      </c>
      <c r="G34" s="4" t="str">
        <f>IFERROR(__xludf.DUMMYFUNCTION("FILTER(IMPORTRANGE(""https://docs.google.com/spreadsheets/d/1kGrh75X1cNR1D7_FcY9zMnHP8iPO4M5RCRjy6nZY0TY/edit#gid=1248694442"",""Table 1: Study characteristics!J4:J175""), $A34=IMPORTRANGE(""https://docs.google.com/spreadsheets/d/1kGrh75X1cNR1D7_FcY9zMnHP"&amp;"8iPO4M5RCRjy6nZY0TY/edit#gid=1248694442"",""Table 1: Study characteristics!A4:A175""))"),"United States")</f>
        <v>United States</v>
      </c>
      <c r="H34" s="4" t="str">
        <f>IFERROR(__xludf.DUMMYFUNCTION("FILTER(IMPORTRANGE(""https://docs.google.com/spreadsheets/d/1kGrh75X1cNR1D7_FcY9zMnHP8iPO4M5RCRjy6nZY0TY/edit#gid=1248694442"",""Table 1: Study characteristics!O4:O175""), $A34=IMPORTRANGE(""https://docs.google.com/spreadsheets/d/1kGrh75X1cNR1D7_FcY9zMnHP"&amp;"8iPO4M5RCRjy6nZY0TY/edit#gid=1248694442"",""Table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34" s="14" t="str">
        <f>IFERROR(__xludf.DUMMYFUNCTION("IFNA(FILTER(IMPORTRANGE(""https://docs.google.com/spreadsheets/d/1kGrh75X1cNR1D7_FcY9zMnHP8iPO4M5RCRjy6nZY0TY/edit#gid=1248694442"",""Table 3: 1st-line HC!C5:C111""), $A34=IMPORTRANGE(""https://docs.google.com/spreadsheets/d/1kGrh75X1cNR1D7_FcY9zMnHP8iPO4"&amp;"M5RCRjy6nZY0TY/edit#gid=1248694442"",""Table 3: 1st-line HC!A5:A111"")),"""")"),"Selected")</f>
        <v>Selected</v>
      </c>
      <c r="J34" s="4">
        <f>IFERROR(__xludf.DUMMYFUNCTION("FILTER(IMPORTRANGE(""https://docs.google.com/spreadsheets/d/1kGrh75X1cNR1D7_FcY9zMnHP8iPO4M5RCRjy6nZY0TY/edit#gid=1248694442"",""Table 1: Study characteristics!P4:P175""), $A34=IMPORTRANGE(""https://docs.google.com/spreadsheets/d/1kGrh75X1cNR1D7_FcY9zMnHP"&amp;"8iPO4M5RCRjy6nZY0TY/edit#gid=1248694442"",""Table 1: Study characteristics!A4:A175""))"),7.0)</f>
        <v>7</v>
      </c>
      <c r="K34" s="4" t="str">
        <f>IFERROR(__xludf.DUMMYFUNCTION("FILTER(IMPORTRANGE(""https://docs.google.com/spreadsheets/d/1kGrh75X1cNR1D7_FcY9zMnHP8iPO4M5RCRjy6nZY0TY/edit#gid=1248694442"",""Table 1: Study characteristics!U4:U175""), $A34=IMPORTRANGE(""https://docs.google.com/spreadsheets/d/1kGrh75X1cNR1D7_FcY9zMnHP"&amp;"8iPO4M5RCRjy6nZY0TY/edit#gid=1248694442"",""Table 1: Study characteristics!A4:A175""))"),"")</f>
        <v/>
      </c>
      <c r="L34" s="4" t="str">
        <f>IFERROR(__xludf.DUMMYFUNCTION("FILTER(IMPORTRANGE(""https://docs.google.com/spreadsheets/d/1kGrh75X1cNR1D7_FcY9zMnHP8iPO4M5RCRjy6nZY0TY/edit#gid=1248694442"",""Table 1: Study characteristics!V4:V175""), $A34=IMPORTRANGE(""https://docs.google.com/spreadsheets/d/1kGrh75X1cNR1D7_FcY9zMnHP"&amp;"8iPO4M5RCRjy6nZY0TY/edit#gid=1248694442"",""Table 1: Study characteristics!A4:A175""))"),"")</f>
        <v/>
      </c>
      <c r="M34" s="4">
        <f>IFERROR(__xludf.DUMMYFUNCTION("FILTER(IMPORTRANGE(""https://docs.google.com/spreadsheets/d/1kGrh75X1cNR1D7_FcY9zMnHP8iPO4M5RCRjy6nZY0TY/edit#gid=1248694442"",""Table 1: Study characteristics!Q4:Q175""), $A34=IMPORTRANGE(""https://docs.google.com/spreadsheets/d/1kGrh75X1cNR1D7_FcY9zMnHP"&amp;"8iPO4M5RCRjy6nZY0TY/edit#gid=1248694442"",""Table 1: Study characteristics!A4:A175""))"),100.0)</f>
        <v>100</v>
      </c>
      <c r="N34" s="4" t="str">
        <f>IFERROR(__xludf.DUMMYFUNCTION("FILTER(IMPORTRANGE(""https://docs.google.com/spreadsheets/d/1kGrh75X1cNR1D7_FcY9zMnHP8iPO4M5RCRjy6nZY0TY/edit#gid=1248694442"",""Table 1: Study characteristics!R4:R175""), $A34=IMPORTRANGE(""https://docs.google.com/spreadsheets/d/1kGrh75X1cNR1D7_FcY9zMnHP"&amp;"8iPO4M5RCRjy6nZY0TY/edit#gid=1248694442"",""Table 1: Study characteristics!A4:A175""))"),"")</f>
        <v/>
      </c>
      <c r="O34" s="4" t="str">
        <f>IFERROR(__xludf.DUMMYFUNCTION("FILTER(IMPORTRANGE(""https://docs.google.com/spreadsheets/d/1kGrh75X1cNR1D7_FcY9zMnHP8iPO4M5RCRjy6nZY0TY/edit#gid=1248694442"",""Table 1: Study characteristics!S4:S175""), $A34=IMPORTRANGE(""https://docs.google.com/spreadsheets/d/1kGrh75X1cNR1D7_FcY9zMnHP"&amp;"8iPO4M5RCRjy6nZY0TY/edit#gid=1248694442"",""Table 1: Study characteristics!A4:A175""))"),"")</f>
        <v/>
      </c>
      <c r="P34" s="6" t="str">
        <f>IFERROR(__xludf.DUMMYFUNCTION("FILTER(IMPORTRANGE(""https://docs.google.com/spreadsheets/d/1kGrh75X1cNR1D7_FcY9zMnHP8iPO4M5RCRjy6nZY0TY/edit#gid=1248694442"",""Table 1: Study characteristics!T4:T175""), $A34=IMPORTRANGE(""https://docs.google.com/spreadsheets/d/1kGrh75X1cNR1D7_FcY9zMnHP"&amp;"8iPO4M5RCRjy6nZY0TY/edit#gid=1248694442"",""Table 1: Study characteristics!A4:A175""))"),"1-605")</f>
        <v>1-605</v>
      </c>
      <c r="Q34" s="6" t="str">
        <f>IFERROR(__xludf.DUMMYFUNCTION("FILTER(IMPORTRANGE(""https://docs.google.com/spreadsheets/d/1kGrh75X1cNR1D7_FcY9zMnHP8iPO4M5RCRjy6nZY0TY/edit#gid=1248694442"",""Table 1: Study characteristics!L4:L175""), $A34=IMPORTRANGE(""https://docs.google.com/spreadsheets/d/1kGrh75X1cNR1D7_FcY9zMnHP"&amp;"8iPO4M5RCRjy6nZY0TY/edit#gid=1248694442"",""Table 1: Study characteristics!A4:A175""))"),"2007-2014")</f>
        <v>2007-2014</v>
      </c>
      <c r="R34" s="4" t="str">
        <f>IFERROR(__xludf.DUMMYFUNCTION("FILTER(IMPORTRANGE(""https://docs.google.com/spreadsheets/d/1kGrh75X1cNR1D7_FcY9zMnHP8iPO4M5RCRjy6nZY0TY/edit#gid=1248694442"",""Table 1: Study characteristics!I4:I175""), $A34=IMPORTRANGE(""https://docs.google.com/spreadsheets/d/1kGrh75X1cNR1D7_FcY9zMnHP"&amp;"8iPO4M5RCRjy6nZY0TY/edit#gid=1248694442"",""Table 1: Study characteristics!A4:A175""))"),"English")</f>
        <v>English</v>
      </c>
    </row>
    <row r="35">
      <c r="A35" s="4" t="str">
        <f>IFERROR(__xludf.DUMMYFUNCTION("""COMPUTED_VALUE"""),"ID 66")</f>
        <v>ID 66</v>
      </c>
      <c r="B35" s="13" t="s">
        <v>183</v>
      </c>
      <c r="C35" s="4" t="str">
        <f>IFERROR(__xludf.DUMMYFUNCTION("LEFT(FILTER(IMPORTRANGE(""https://docs.google.com/spreadsheets/d/1kGrh75X1cNR1D7_FcY9zMnHP8iPO4M5RCRjy6nZY0TY/edit#gid=1248694442"",""Table 1: Study characteristics!C4:C175""), $A35=IMPORTRANGE(""https://docs.google.com/spreadsheets/d/1kGrh75X1cNR1D7_FcY9"&amp;"zMnHP8iPO4M5RCRjy6nZY0TY/edit#gid=1248694442"",""Table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$A35=IMPORTRANGE(""https://docs.google.com/spreadsheets/d/1kGrh75X1cNR1D7_FcY9zMnHP8iPO4M5RCRjy6nZY0TY/edit#gid=1248694442"",""Table 1: Study characteristics!A4:A175"")))-1)"),"Fritsch")</f>
        <v>Fritsch</v>
      </c>
      <c r="D35" s="4">
        <f>IFERROR(__xludf.DUMMYFUNCTION("FILTER(IMPORTRANGE(""https://docs.google.com/spreadsheets/d/1kGrh75X1cNR1D7_FcY9zMnHP8iPO4M5RCRjy6nZY0TY/edit#gid=1248694442"",""Table 1: Study characteristics!K4:K175""), $A35=IMPORTRANGE(""https://docs.google.com/spreadsheets/d/1kGrh75X1cNR1D7_FcY9zMnHP"&amp;"8iPO4M5RCRjy6nZY0TY/edit#gid=1248694442"",""Table 1: Study characteristics!A4:A175""))"),2005.0)</f>
        <v>2005</v>
      </c>
      <c r="E35" s="4" t="str">
        <f>IFERROR(__xludf.DUMMYFUNCTION("FILTER(IMPORTRANGE(""https://docs.google.com/spreadsheets/d/1kGrh75X1cNR1D7_FcY9zMnHP8iPO4M5RCRjy6nZY0TY/edit#gid=1248694442"",""Table 1: Study characteristics!M4:M175""), $A35=IMPORTRANGE(""https://docs.google.com/spreadsheets/d/1kGrh75X1cNR1D7_FcY9zMnHP"&amp;"8iPO4M5RCRjy6nZY0TY/edit#gid=1248694442"",""Table 1: Study characteristics!A4:A175""))"),"High income")</f>
        <v>High income</v>
      </c>
      <c r="F35" s="4" t="str">
        <f>IFERROR(__xludf.DUMMYFUNCTION("FILTER(IMPORTRANGE(""https://docs.google.com/spreadsheets/d/1kGrh75X1cNR1D7_FcY9zMnHP8iPO4M5RCRjy6nZY0TY/edit#gid=1248694442"",""Table 1: Study characteristics!N4:N175""), $A35=IMPORTRANGE(""https://docs.google.com/spreadsheets/d/1kGrh75X1cNR1D7_FcY9zMnHP"&amp;"8iPO4M5RCRjy6nZY0TY/edit#gid=1248694442"",""Table 1: Study characteristics!A4:A175""))"),"Europe &amp; Central Asia")</f>
        <v>Europe &amp; Central Asia</v>
      </c>
      <c r="G35" s="4" t="str">
        <f>IFERROR(__xludf.DUMMYFUNCTION("FILTER(IMPORTRANGE(""https://docs.google.com/spreadsheets/d/1kGrh75X1cNR1D7_FcY9zMnHP8iPO4M5RCRjy6nZY0TY/edit#gid=1248694442"",""Table 1: Study characteristics!J4:J175""), $A35=IMPORTRANGE(""https://docs.google.com/spreadsheets/d/1kGrh75X1cNR1D7_FcY9zMnHP"&amp;"8iPO4M5RCRjy6nZY0TY/edit#gid=1248694442"",""Table 1: Study characteristics!A4:A175""))"),"Germany")</f>
        <v>Germany</v>
      </c>
      <c r="H35" s="4" t="str">
        <f>IFERROR(__xludf.DUMMYFUNCTION("FILTER(IMPORTRANGE(""https://docs.google.com/spreadsheets/d/1kGrh75X1cNR1D7_FcY9zMnHP8iPO4M5RCRjy6nZY0TY/edit#gid=1248694442"",""Table 1: Study characteristics!O4:O175""), $A35=IMPORTRANGE(""https://docs.google.com/spreadsheets/d/1kGrh75X1cNR1D7_FcY9zMnHP"&amp;"8iPO4M5RCRjy6nZY0TY/edit#gid=1248694442"",""Table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35" s="14" t="str">
        <f>IFERROR(__xludf.DUMMYFUNCTION("IFNA(FILTER(IMPORTRANGE(""https://docs.google.com/spreadsheets/d/1kGrh75X1cNR1D7_FcY9zMnHP8iPO4M5RCRjy6nZY0TY/edit#gid=1248694442"",""Table 3: 1st-line HC!C5:C111""), $A35=IMPORTRANGE(""https://docs.google.com/spreadsheets/d/1kGrh75X1cNR1D7_FcY9zMnHP8iPO4"&amp;"M5RCRjy6nZY0TY/edit#gid=1248694442"",""Table 3: 1st-line HC!A5:A111"")),"""")"),"Selected")</f>
        <v>Selected</v>
      </c>
      <c r="J35" s="4">
        <f>IFERROR(__xludf.DUMMYFUNCTION("FILTER(IMPORTRANGE(""https://docs.google.com/spreadsheets/d/1kGrh75X1cNR1D7_FcY9zMnHP8iPO4M5RCRjy6nZY0TY/edit#gid=1248694442"",""Table 1: Study characteristics!P4:P175""), $A35=IMPORTRANGE(""https://docs.google.com/spreadsheets/d/1kGrh75X1cNR1D7_FcY9zMnHP"&amp;"8iPO4M5RCRjy6nZY0TY/edit#gid=1248694442"",""Table 1: Study characteristics!A4:A175""))"),4.0)</f>
        <v>4</v>
      </c>
      <c r="K35" s="4">
        <f>IFERROR(__xludf.DUMMYFUNCTION("FILTER(IMPORTRANGE(""https://docs.google.com/spreadsheets/d/1kGrh75X1cNR1D7_FcY9zMnHP8iPO4M5RCRjy6nZY0TY/edit#gid=1248694442"",""Table 1: Study characteristics!U4:U175""), $A35=IMPORTRANGE(""https://docs.google.com/spreadsheets/d/1kGrh75X1cNR1D7_FcY9zMnHP"&amp;"8iPO4M5RCRjy6nZY0TY/edit#gid=1248694442"",""Table 1: Study characteristics!A4:A175""))"),2.0)</f>
        <v>2</v>
      </c>
      <c r="L35" s="4">
        <f>IFERROR(__xludf.DUMMYFUNCTION("FILTER(IMPORTRANGE(""https://docs.google.com/spreadsheets/d/1kGrh75X1cNR1D7_FcY9zMnHP8iPO4M5RCRjy6nZY0TY/edit#gid=1248694442"",""Table 1: Study characteristics!V4:V175""), $A35=IMPORTRANGE(""https://docs.google.com/spreadsheets/d/1kGrh75X1cNR1D7_FcY9zMnHP"&amp;"8iPO4M5RCRjy6nZY0TY/edit#gid=1248694442"",""Table 1: Study characteristics!A4:A175""))"),2.0)</f>
        <v>2</v>
      </c>
      <c r="M35" s="4">
        <f>IFERROR(__xludf.DUMMYFUNCTION("FILTER(IMPORTRANGE(""https://docs.google.com/spreadsheets/d/1kGrh75X1cNR1D7_FcY9zMnHP8iPO4M5RCRjy6nZY0TY/edit#gid=1248694442"",""Table 1: Study characteristics!Q4:Q175""), $A35=IMPORTRANGE(""https://docs.google.com/spreadsheets/d/1kGrh75X1cNR1D7_FcY9zMnHP"&amp;"8iPO4M5RCRjy6nZY0TY/edit#gid=1248694442"",""Table 1: Study characteristics!A4:A175""))"),148.0)</f>
        <v>148</v>
      </c>
      <c r="N35" s="4">
        <f>IFERROR(__xludf.DUMMYFUNCTION("FILTER(IMPORTRANGE(""https://docs.google.com/spreadsheets/d/1kGrh75X1cNR1D7_FcY9zMnHP8iPO4M5RCRjy6nZY0TY/edit#gid=1248694442"",""Table 1: Study characteristics!R4:R175""), $A35=IMPORTRANGE(""https://docs.google.com/spreadsheets/d/1kGrh75X1cNR1D7_FcY9zMnHP"&amp;"8iPO4M5RCRjy6nZY0TY/edit#gid=1248694442"",""Table 1: Study characteristics!A4:A175""))"),113.0)</f>
        <v>113</v>
      </c>
      <c r="O35" s="4" t="str">
        <f>IFERROR(__xludf.DUMMYFUNCTION("FILTER(IMPORTRANGE(""https://docs.google.com/spreadsheets/d/1kGrh75X1cNR1D7_FcY9zMnHP8iPO4M5RCRjy6nZY0TY/edit#gid=1248694442"",""Table 1: Study characteristics!S4:S175""), $A35=IMPORTRANGE(""https://docs.google.com/spreadsheets/d/1kGrh75X1cNR1D7_FcY9zMnHP"&amp;"8iPO4M5RCRjy6nZY0TY/edit#gid=1248694442"",""Table 1: Study characteristics!A4:A175""))"),"")</f>
        <v/>
      </c>
      <c r="P35" s="6" t="str">
        <f>IFERROR(__xludf.DUMMYFUNCTION("FILTER(IMPORTRANGE(""https://docs.google.com/spreadsheets/d/1kGrh75X1cNR1D7_FcY9zMnHP8iPO4M5RCRjy6nZY0TY/edit#gid=1248694442"",""Table 1: Study characteristics!T4:T175""), $A35=IMPORTRANGE(""https://docs.google.com/spreadsheets/d/1kGrh75X1cNR1D7_FcY9zMnHP"&amp;"8iPO4M5RCRjy6nZY0TY/edit#gid=1248694442"",""Table 1: Study characteristics!A4:A175""))"),"19-347")</f>
        <v>19-347</v>
      </c>
      <c r="Q35" s="6" t="str">
        <f>IFERROR(__xludf.DUMMYFUNCTION("FILTER(IMPORTRANGE(""https://docs.google.com/spreadsheets/d/1kGrh75X1cNR1D7_FcY9zMnHP8iPO4M5RCRjy6nZY0TY/edit#gid=1248694442"",""Table 1: Study characteristics!L4:L175""), $A35=IMPORTRANGE(""https://docs.google.com/spreadsheets/d/1kGrh75X1cNR1D7_FcY9zMnHP"&amp;"8iPO4M5RCRjy6nZY0TY/edit#gid=1248694442"",""Table 1: Study characteristics!A4:A175""))"),"1996-2002")</f>
        <v>1996-2002</v>
      </c>
      <c r="R35" s="4" t="str">
        <f>IFERROR(__xludf.DUMMYFUNCTION("FILTER(IMPORTRANGE(""https://docs.google.com/spreadsheets/d/1kGrh75X1cNR1D7_FcY9zMnHP8iPO4M5RCRjy6nZY0TY/edit#gid=1248694442"",""Table 1: Study characteristics!I4:I175""), $A35=IMPORTRANGE(""https://docs.google.com/spreadsheets/d/1kGrh75X1cNR1D7_FcY9zMnHP"&amp;"8iPO4M5RCRjy6nZY0TY/edit#gid=1248694442"",""Table 1: Study characteristics!A4:A175""))"),"English")</f>
        <v>English</v>
      </c>
    </row>
    <row r="36">
      <c r="A36" s="4" t="str">
        <f>IFERROR(__xludf.DUMMYFUNCTION("""COMPUTED_VALUE"""),"ID 67")</f>
        <v>ID 67</v>
      </c>
      <c r="B36" s="13" t="s">
        <v>184</v>
      </c>
      <c r="C36" s="4" t="str">
        <f>IFERROR(__xludf.DUMMYFUNCTION("LEFT(FILTER(IMPORTRANGE(""https://docs.google.com/spreadsheets/d/1kGrh75X1cNR1D7_FcY9zMnHP8iPO4M5RCRjy6nZY0TY/edit#gid=1248694442"",""Table 1: Study characteristics!C4:C175""), $A36=IMPORTRANGE(""https://docs.google.com/spreadsheets/d/1kGrh75X1cNR1D7_FcY9"&amp;"zMnHP8iPO4M5RCRjy6nZY0TY/edit#gid=1248694442"",""Table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$A36=IMPORTRANGE(""https://docs.google.com/spreadsheets/d/1kGrh75X1cNR1D7_FcY9zMnHP8iPO4M5RCRjy6nZY0TY/edit#gid=1248694442"",""Table 1: Study characteristics!A4:A175"")))-1)"),"Furtado")</f>
        <v>Furtado</v>
      </c>
      <c r="D36" s="4">
        <f>IFERROR(__xludf.DUMMYFUNCTION("FILTER(IMPORTRANGE(""https://docs.google.com/spreadsheets/d/1kGrh75X1cNR1D7_FcY9zMnHP8iPO4M5RCRjy6nZY0TY/edit#gid=1248694442"",""Table 1: Study characteristics!K4:K175""), $A36=IMPORTRANGE(""https://docs.google.com/spreadsheets/d/1kGrh75X1cNR1D7_FcY9zMnHP"&amp;"8iPO4M5RCRjy6nZY0TY/edit#gid=1248694442"",""Table 1: Study characteristics!A4:A175""))"),2020.0)</f>
        <v>2020</v>
      </c>
      <c r="E36" s="4" t="str">
        <f>IFERROR(__xludf.DUMMYFUNCTION("FILTER(IMPORTRANGE(""https://docs.google.com/spreadsheets/d/1kGrh75X1cNR1D7_FcY9zMnHP8iPO4M5RCRjy6nZY0TY/edit#gid=1248694442"",""Table 1: Study characteristics!M4:M175""), $A36=IMPORTRANGE(""https://docs.google.com/spreadsheets/d/1kGrh75X1cNR1D7_FcY9zMnHP"&amp;"8iPO4M5RCRjy6nZY0TY/edit#gid=1248694442"",""Table 1: Study characteristics!A4:A175""))"),"Upper middle income")</f>
        <v>Upper middle income</v>
      </c>
      <c r="F36" s="4" t="str">
        <f>IFERROR(__xludf.DUMMYFUNCTION("FILTER(IMPORTRANGE(""https://docs.google.com/spreadsheets/d/1kGrh75X1cNR1D7_FcY9zMnHP8iPO4M5RCRjy6nZY0TY/edit#gid=1248694442"",""Table 1: Study characteristics!N4:N175""), $A36=IMPORTRANGE(""https://docs.google.com/spreadsheets/d/1kGrh75X1cNR1D7_FcY9zMnHP"&amp;"8iPO4M5RCRjy6nZY0TY/edit#gid=1248694442"",""Table 1: Study characteristics!A4:A175""))"),"Latin America &amp; Caribbean")</f>
        <v>Latin America &amp; Caribbean</v>
      </c>
      <c r="G36" s="4" t="str">
        <f>IFERROR(__xludf.DUMMYFUNCTION("FILTER(IMPORTRANGE(""https://docs.google.com/spreadsheets/d/1kGrh75X1cNR1D7_FcY9zMnHP8iPO4M5RCRjy6nZY0TY/edit#gid=1248694442"",""Table 1: Study characteristics!J4:J175""), $A36=IMPORTRANGE(""https://docs.google.com/spreadsheets/d/1kGrh75X1cNR1D7_FcY9zMnHP"&amp;"8iPO4M5RCRjy6nZY0TY/edit#gid=1248694442"",""Table 1: Study characteristics!A4:A175""))"),"Brazil")</f>
        <v>Brazil</v>
      </c>
      <c r="H36" s="4" t="str">
        <f>IFERROR(__xludf.DUMMYFUNCTION("FILTER(IMPORTRANGE(""https://docs.google.com/spreadsheets/d/1kGrh75X1cNR1D7_FcY9zMnHP8iPO4M5RCRjy6nZY0TY/edit#gid=1248694442"",""Table 1: Study characteristics!O4:O175""), $A36=IMPORTRANGE(""https://docs.google.com/spreadsheets/d/1kGrh75X1cNR1D7_FcY9zMnHP"&amp;"8iPO4M5RCRjy6nZY0TY/edit#gid=1248694442"",""Table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36" s="14" t="str">
        <f>IFERROR(__xludf.DUMMYFUNCTION("IFNA(FILTER(IMPORTRANGE(""https://docs.google.com/spreadsheets/d/1kGrh75X1cNR1D7_FcY9zMnHP8iPO4M5RCRjy6nZY0TY/edit#gid=1248694442"",""Table 3: 1st-line HC!C5:C111""), $A36=IMPORTRANGE(""https://docs.google.com/spreadsheets/d/1kGrh75X1cNR1D7_FcY9zMnHP8iPO4"&amp;"M5RCRjy6nZY0TY/edit#gid=1248694442"",""Table 3: 1st-line HC!A5:A111"")),"""")"),"Selected")</f>
        <v>Selected</v>
      </c>
      <c r="J36" s="4">
        <f>IFERROR(__xludf.DUMMYFUNCTION("FILTER(IMPORTRANGE(""https://docs.google.com/spreadsheets/d/1kGrh75X1cNR1D7_FcY9zMnHP8iPO4M5RCRjy6nZY0TY/edit#gid=1248694442"",""Table 1: Study characteristics!P4:P175""), $A36=IMPORTRANGE(""https://docs.google.com/spreadsheets/d/1kGrh75X1cNR1D7_FcY9zMnHP"&amp;"8iPO4M5RCRjy6nZY0TY/edit#gid=1248694442"",""Table 1: Study characteristics!A4:A175""))"),22.0)</f>
        <v>22</v>
      </c>
      <c r="K36" s="4" t="str">
        <f>IFERROR(__xludf.DUMMYFUNCTION("FILTER(IMPORTRANGE(""https://docs.google.com/spreadsheets/d/1kGrh75X1cNR1D7_FcY9zMnHP8iPO4M5RCRjy6nZY0TY/edit#gid=1248694442"",""Table 1: Study characteristics!U4:U175""), $A36=IMPORTRANGE(""https://docs.google.com/spreadsheets/d/1kGrh75X1cNR1D7_FcY9zMnHP"&amp;"8iPO4M5RCRjy6nZY0TY/edit#gid=1248694442"",""Table 1: Study characteristics!A4:A175""))"),"")</f>
        <v/>
      </c>
      <c r="L36" s="4" t="str">
        <f>IFERROR(__xludf.DUMMYFUNCTION("FILTER(IMPORTRANGE(""https://docs.google.com/spreadsheets/d/1kGrh75X1cNR1D7_FcY9zMnHP8iPO4M5RCRjy6nZY0TY/edit#gid=1248694442"",""Table 1: Study characteristics!V4:V175""), $A36=IMPORTRANGE(""https://docs.google.com/spreadsheets/d/1kGrh75X1cNR1D7_FcY9zMnHP"&amp;"8iPO4M5RCRjy6nZY0TY/edit#gid=1248694442"",""Table 1: Study characteristics!A4:A175""))"),"")</f>
        <v/>
      </c>
      <c r="M36" s="4" t="str">
        <f>IFERROR(__xludf.DUMMYFUNCTION("FILTER(IMPORTRANGE(""https://docs.google.com/spreadsheets/d/1kGrh75X1cNR1D7_FcY9zMnHP8iPO4M5RCRjy6nZY0TY/edit#gid=1248694442"",""Table 1: Study characteristics!Q4:Q175""), $A36=IMPORTRANGE(""https://docs.google.com/spreadsheets/d/1kGrh75X1cNR1D7_FcY9zMnHP"&amp;"8iPO4M5RCRjy6nZY0TY/edit#gid=1248694442"",""Table 1: Study characteristics!A4:A175""))"),"")</f>
        <v/>
      </c>
      <c r="N36" s="4" t="str">
        <f>IFERROR(__xludf.DUMMYFUNCTION("FILTER(IMPORTRANGE(""https://docs.google.com/spreadsheets/d/1kGrh75X1cNR1D7_FcY9zMnHP8iPO4M5RCRjy6nZY0TY/edit#gid=1248694442"",""Table 1: Study characteristics!R4:R175""), $A36=IMPORTRANGE(""https://docs.google.com/spreadsheets/d/1kGrh75X1cNR1D7_FcY9zMnHP"&amp;"8iPO4M5RCRjy6nZY0TY/edit#gid=1248694442"",""Table 1: Study characteristics!A4:A175""))"),"")</f>
        <v/>
      </c>
      <c r="O36" s="4" t="str">
        <f>IFERROR(__xludf.DUMMYFUNCTION("FILTER(IMPORTRANGE(""https://docs.google.com/spreadsheets/d/1kGrh75X1cNR1D7_FcY9zMnHP8iPO4M5RCRjy6nZY0TY/edit#gid=1248694442"",""Table 1: Study characteristics!S4:S175""), $A36=IMPORTRANGE(""https://docs.google.com/spreadsheets/d/1kGrh75X1cNR1D7_FcY9zMnHP"&amp;"8iPO4M5RCRjy6nZY0TY/edit#gid=1248694442"",""Table 1: Study characteristics!A4:A175""))"),"")</f>
        <v/>
      </c>
      <c r="P36" s="6" t="str">
        <f>IFERROR(__xludf.DUMMYFUNCTION("FILTER(IMPORTRANGE(""https://docs.google.com/spreadsheets/d/1kGrh75X1cNR1D7_FcY9zMnHP8iPO4M5RCRjy6nZY0TY/edit#gid=1248694442"",""Table 1: Study characteristics!T4:T175""), $A36=IMPORTRANGE(""https://docs.google.com/spreadsheets/d/1kGrh75X1cNR1D7_FcY9zMnHP"&amp;"8iPO4M5RCRjy6nZY0TY/edit#gid=1248694442"",""Table 1: Study characteristics!A4:A175""))"),"28-364")</f>
        <v>28-364</v>
      </c>
      <c r="Q36" s="6" t="str">
        <f>IFERROR(__xludf.DUMMYFUNCTION("FILTER(IMPORTRANGE(""https://docs.google.com/spreadsheets/d/1kGrh75X1cNR1D7_FcY9zMnHP8iPO4M5RCRjy6nZY0TY/edit#gid=1248694442"",""Table 1: Study characteristics!L4:L175""), $A36=IMPORTRANGE(""https://docs.google.com/spreadsheets/d/1kGrh75X1cNR1D7_FcY9zMnHP"&amp;"8iPO4M5RCRjy6nZY0TY/edit#gid=1248694442"",""Table 1: Study characteristics!A4:A175""))"),"1996-2017")</f>
        <v>1996-2017</v>
      </c>
      <c r="R36" s="4" t="str">
        <f>IFERROR(__xludf.DUMMYFUNCTION("FILTER(IMPORTRANGE(""https://docs.google.com/spreadsheets/d/1kGrh75X1cNR1D7_FcY9zMnHP8iPO4M5RCRjy6nZY0TY/edit#gid=1248694442"",""Table 1: Study characteristics!I4:I175""), $A36=IMPORTRANGE(""https://docs.google.com/spreadsheets/d/1kGrh75X1cNR1D7_FcY9zMnHP"&amp;"8iPO4M5RCRjy6nZY0TY/edit#gid=1248694442"",""Table 1: Study characteristics!A4:A175""))"),"English")</f>
        <v>English</v>
      </c>
    </row>
    <row r="37">
      <c r="A37" s="4" t="str">
        <f>IFERROR(__xludf.DUMMYFUNCTION("""COMPUTED_VALUE"""),"ID 72")</f>
        <v>ID 72</v>
      </c>
      <c r="B37" s="13" t="s">
        <v>185</v>
      </c>
      <c r="C37" s="4" t="str">
        <f>IFERROR(__xludf.DUMMYFUNCTION("LEFT(FILTER(IMPORTRANGE(""https://docs.google.com/spreadsheets/d/1kGrh75X1cNR1D7_FcY9zMnHP8iPO4M5RCRjy6nZY0TY/edit#gid=1248694442"",""Table 1: Study characteristics!C4:C175""), $A37=IMPORTRANGE(""https://docs.google.com/spreadsheets/d/1kGrh75X1cNR1D7_FcY9"&amp;"zMnHP8iPO4M5RCRjy6nZY0TY/edit#gid=1248694442"",""Table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$A37=IMPORTRANGE(""https://docs.google.com/spreadsheets/d/1kGrh75X1cNR1D7_FcY9zMnHP8iPO4M5RCRjy6nZY0TY/edit#gid=1248694442"",""Table 1: Study characteristics!A4:A175"")))-1)"),"Venkataramana")</f>
        <v>Venkataramana</v>
      </c>
      <c r="D37" s="4">
        <f>IFERROR(__xludf.DUMMYFUNCTION("FILTER(IMPORTRANGE(""https://docs.google.com/spreadsheets/d/1kGrh75X1cNR1D7_FcY9zMnHP8iPO4M5RCRjy6nZY0TY/edit#gid=1248694442"",""Table 1: Study characteristics!K4:K175""), $A37=IMPORTRANGE(""https://docs.google.com/spreadsheets/d/1kGrh75X1cNR1D7_FcY9zMnHP"&amp;"8iPO4M5RCRjy6nZY0TY/edit#gid=1248694442"",""Table 1: Study characteristics!A4:A175""))"),2011.0)</f>
        <v>2011</v>
      </c>
      <c r="E37" s="4" t="str">
        <f>IFERROR(__xludf.DUMMYFUNCTION("FILTER(IMPORTRANGE(""https://docs.google.com/spreadsheets/d/1kGrh75X1cNR1D7_FcY9zMnHP8iPO4M5RCRjy6nZY0TY/edit#gid=1248694442"",""Table 1: Study characteristics!M4:M175""), $A37=IMPORTRANGE(""https://docs.google.com/spreadsheets/d/1kGrh75X1cNR1D7_FcY9zMnHP"&amp;"8iPO4M5RCRjy6nZY0TY/edit#gid=1248694442"",""Table 1: Study characteristics!A4:A175""))"),"Lower middle income")</f>
        <v>Lower middle income</v>
      </c>
      <c r="F37" s="4" t="str">
        <f>IFERROR(__xludf.DUMMYFUNCTION("FILTER(IMPORTRANGE(""https://docs.google.com/spreadsheets/d/1kGrh75X1cNR1D7_FcY9zMnHP8iPO4M5RCRjy6nZY0TY/edit#gid=1248694442"",""Table 1: Study characteristics!N4:N175""), $A37=IMPORTRANGE(""https://docs.google.com/spreadsheets/d/1kGrh75X1cNR1D7_FcY9zMnHP"&amp;"8iPO4M5RCRjy6nZY0TY/edit#gid=1248694442"",""Table 1: Study characteristics!A4:A175""))"),"South Asia")</f>
        <v>South Asia</v>
      </c>
      <c r="G37" s="4" t="str">
        <f>IFERROR(__xludf.DUMMYFUNCTION("FILTER(IMPORTRANGE(""https://docs.google.com/spreadsheets/d/1kGrh75X1cNR1D7_FcY9zMnHP8iPO4M5RCRjy6nZY0TY/edit#gid=1248694442"",""Table 1: Study characteristics!J4:J175""), $A37=IMPORTRANGE(""https://docs.google.com/spreadsheets/d/1kGrh75X1cNR1D7_FcY9zMnHP"&amp;"8iPO4M5RCRjy6nZY0TY/edit#gid=1248694442"",""Table 1: Study characteristics!A4:A175""))"),"India")</f>
        <v>India</v>
      </c>
      <c r="H37" s="4" t="str">
        <f>IFERROR(__xludf.DUMMYFUNCTION("FILTER(IMPORTRANGE(""https://docs.google.com/spreadsheets/d/1kGrh75X1cNR1D7_FcY9zMnHP8iPO4M5RCRjy6nZY0TY/edit#gid=1248694442"",""Table 1: Study characteristics!O4:O175""), $A37=IMPORTRANGE(""https://docs.google.com/spreadsheets/d/1kGrh75X1cNR1D7_FcY9zMnHP"&amp;"8iPO4M5RCRjy6nZY0TY/edit#gid=1248694442"",""Table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37" s="14" t="str">
        <f>IFERROR(__xludf.DUMMYFUNCTION("IFNA(FILTER(IMPORTRANGE(""https://docs.google.com/spreadsheets/d/1kGrh75X1cNR1D7_FcY9zMnHP8iPO4M5RCRjy6nZY0TY/edit#gid=1248694442"",""Table 3: 1st-line HC!C5:C111""), $A37=IMPORTRANGE(""https://docs.google.com/spreadsheets/d/1kGrh75X1cNR1D7_FcY9zMnHP8iPO4"&amp;"M5RCRjy6nZY0TY/edit#gid=1248694442"",""Table 3: 1st-line HC!A5:A111"")),"""")"),"Selected")</f>
        <v>Selected</v>
      </c>
      <c r="J37" s="4">
        <f>IFERROR(__xludf.DUMMYFUNCTION("FILTER(IMPORTRANGE(""https://docs.google.com/spreadsheets/d/1kGrh75X1cNR1D7_FcY9zMnHP8iPO4M5RCRjy6nZY0TY/edit#gid=1248694442"",""Table 1: Study characteristics!P4:P175""), $A37=IMPORTRANGE(""https://docs.google.com/spreadsheets/d/1kGrh75X1cNR1D7_FcY9zMnHP"&amp;"8iPO4M5RCRjy6nZY0TY/edit#gid=1248694442"",""Table 1: Study characteristics!A4:A175""))"),15.0)</f>
        <v>15</v>
      </c>
      <c r="K37" s="4">
        <f>IFERROR(__xludf.DUMMYFUNCTION("FILTER(IMPORTRANGE(""https://docs.google.com/spreadsheets/d/1kGrh75X1cNR1D7_FcY9zMnHP8iPO4M5RCRjy6nZY0TY/edit#gid=1248694442"",""Table 1: Study characteristics!U4:U175""), $A37=IMPORTRANGE(""https://docs.google.com/spreadsheets/d/1kGrh75X1cNR1D7_FcY9zMnHP"&amp;"8iPO4M5RCRjy6nZY0TY/edit#gid=1248694442"",""Table 1: Study characteristics!A4:A175""))"),9.0)</f>
        <v>9</v>
      </c>
      <c r="L37" s="4">
        <f>IFERROR(__xludf.DUMMYFUNCTION("FILTER(IMPORTRANGE(""https://docs.google.com/spreadsheets/d/1kGrh75X1cNR1D7_FcY9zMnHP8iPO4M5RCRjy6nZY0TY/edit#gid=1248694442"",""Table 1: Study characteristics!V4:V175""), $A37=IMPORTRANGE(""https://docs.google.com/spreadsheets/d/1kGrh75X1cNR1D7_FcY9zMnHP"&amp;"8iPO4M5RCRjy6nZY0TY/edit#gid=1248694442"",""Table 1: Study characteristics!A4:A175""))"),6.0)</f>
        <v>6</v>
      </c>
      <c r="M37" s="4">
        <f>IFERROR(__xludf.DUMMYFUNCTION("FILTER(IMPORTRANGE(""https://docs.google.com/spreadsheets/d/1kGrh75X1cNR1D7_FcY9zMnHP8iPO4M5RCRjy6nZY0TY/edit#gid=1248694442"",""Table 1: Study characteristics!Q4:Q175""), $A37=IMPORTRANGE(""https://docs.google.com/spreadsheets/d/1kGrh75X1cNR1D7_FcY9zMnHP"&amp;"8iPO4M5RCRjy6nZY0TY/edit#gid=1248694442"",""Table 1: Study characteristics!A4:A175""))"),144.0)</f>
        <v>144</v>
      </c>
      <c r="N37" s="4" t="str">
        <f>IFERROR(__xludf.DUMMYFUNCTION("FILTER(IMPORTRANGE(""https://docs.google.com/spreadsheets/d/1kGrh75X1cNR1D7_FcY9zMnHP8iPO4M5RCRjy6nZY0TY/edit#gid=1248694442"",""Table 1: Study characteristics!R4:R175""), $A37=IMPORTRANGE(""https://docs.google.com/spreadsheets/d/1kGrh75X1cNR1D7_FcY9zMnHP"&amp;"8iPO4M5RCRjy6nZY0TY/edit#gid=1248694442"",""Table 1: Study characteristics!A4:A175""))"),"")</f>
        <v/>
      </c>
      <c r="O37" s="4">
        <f>IFERROR(__xludf.DUMMYFUNCTION("FILTER(IMPORTRANGE(""https://docs.google.com/spreadsheets/d/1kGrh75X1cNR1D7_FcY9zMnHP8iPO4M5RCRjy6nZY0TY/edit#gid=1248694442"",""Table 1: Study characteristics!S4:S175""), $A37=IMPORTRANGE(""https://docs.google.com/spreadsheets/d/1kGrh75X1cNR1D7_FcY9zMnHP"&amp;"8iPO4M5RCRjy6nZY0TY/edit#gid=1248694442"",""Table 1: Study characteristics!A4:A175""))"),105.6)</f>
        <v>105.6</v>
      </c>
      <c r="P37" s="6" t="str">
        <f>IFERROR(__xludf.DUMMYFUNCTION("FILTER(IMPORTRANGE(""https://docs.google.com/spreadsheets/d/1kGrh75X1cNR1D7_FcY9zMnHP8iPO4M5RCRjy6nZY0TY/edit#gid=1248694442"",""Table 1: Study characteristics!T4:T175""), $A37=IMPORTRANGE(""https://docs.google.com/spreadsheets/d/1kGrh75X1cNR1D7_FcY9zMnHP"&amp;"8iPO4M5RCRjy6nZY0TY/edit#gid=1248694442"",""Table 1: Study characteristics!A4:A175""))"),"")</f>
        <v/>
      </c>
      <c r="Q37" s="6" t="str">
        <f>IFERROR(__xludf.DUMMYFUNCTION("FILTER(IMPORTRANGE(""https://docs.google.com/spreadsheets/d/1kGrh75X1cNR1D7_FcY9zMnHP8iPO4M5RCRjy6nZY0TY/edit#gid=1248694442"",""Table 1: Study characteristics!L4:L175""), $A37=IMPORTRANGE(""https://docs.google.com/spreadsheets/d/1kGrh75X1cNR1D7_FcY9zMnHP"&amp;"8iPO4M5RCRjy6nZY0TY/edit#gid=1248694442"",""Table 1: Study characteristics!A4:A175""))"),"")</f>
        <v/>
      </c>
      <c r="R37" s="4" t="str">
        <f>IFERROR(__xludf.DUMMYFUNCTION("FILTER(IMPORTRANGE(""https://docs.google.com/spreadsheets/d/1kGrh75X1cNR1D7_FcY9zMnHP8iPO4M5RCRjy6nZY0TY/edit#gid=1248694442"",""Table 1: Study characteristics!I4:I175""), $A37=IMPORTRANGE(""https://docs.google.com/spreadsheets/d/1kGrh75X1cNR1D7_FcY9zMnHP"&amp;"8iPO4M5RCRjy6nZY0TY/edit#gid=1248694442"",""Table 1: Study characteristics!A4:A175""))"),"English")</f>
        <v>English</v>
      </c>
    </row>
    <row r="38">
      <c r="A38" s="4" t="str">
        <f>IFERROR(__xludf.DUMMYFUNCTION("""COMPUTED_VALUE"""),"ID 73")</f>
        <v>ID 73</v>
      </c>
      <c r="B38" s="13" t="s">
        <v>186</v>
      </c>
      <c r="C38" s="4" t="str">
        <f>IFERROR(__xludf.DUMMYFUNCTION("LEFT(FILTER(IMPORTRANGE(""https://docs.google.com/spreadsheets/d/1kGrh75X1cNR1D7_FcY9zMnHP8iPO4M5RCRjy6nZY0TY/edit#gid=1248694442"",""Table 1: Study characteristics!C4:C175""), $A38=IMPORTRANGE(""https://docs.google.com/spreadsheets/d/1kGrh75X1cNR1D7_FcY9"&amp;"zMnHP8iPO4M5RCRjy6nZY0TY/edit#gid=1248694442"",""Table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$A38=IMPORTRANGE(""https://docs.google.com/spreadsheets/d/1kGrh75X1cNR1D7_FcY9zMnHP8iPO4M5RCRjy6nZY0TY/edit#gid=1248694442"",""Table 1: Study characteristics!A4:A175"")))-1)"),"Al-Hakim")</f>
        <v>Al-Hakim</v>
      </c>
      <c r="D38" s="4">
        <f>IFERROR(__xludf.DUMMYFUNCTION("FILTER(IMPORTRANGE(""https://docs.google.com/spreadsheets/d/1kGrh75X1cNR1D7_FcY9zMnHP8iPO4M5RCRjy6nZY0TY/edit#gid=1248694442"",""Table 1: Study characteristics!K4:K175""), $A38=IMPORTRANGE(""https://docs.google.com/spreadsheets/d/1kGrh75X1cNR1D7_FcY9zMnHP"&amp;"8iPO4M5RCRjy6nZY0TY/edit#gid=1248694442"",""Table 1: Study characteristics!A4:A175""))"),2018.0)</f>
        <v>2018</v>
      </c>
      <c r="E38" s="4" t="str">
        <f>IFERROR(__xludf.DUMMYFUNCTION("FILTER(IMPORTRANGE(""https://docs.google.com/spreadsheets/d/1kGrh75X1cNR1D7_FcY9zMnHP8iPO4M5RCRjy6nZY0TY/edit#gid=1248694442"",""Table 1: Study characteristics!M4:M175""), $A38=IMPORTRANGE(""https://docs.google.com/spreadsheets/d/1kGrh75X1cNR1D7_FcY9zMnHP"&amp;"8iPO4M5RCRjy6nZY0TY/edit#gid=1248694442"",""Table 1: Study characteristics!A4:A175""))"),"High income")</f>
        <v>High income</v>
      </c>
      <c r="F38" s="4" t="str">
        <f>IFERROR(__xludf.DUMMYFUNCTION("FILTER(IMPORTRANGE(""https://docs.google.com/spreadsheets/d/1kGrh75X1cNR1D7_FcY9zMnHP8iPO4M5RCRjy6nZY0TY/edit#gid=1248694442"",""Table 1: Study characteristics!N4:N175""), $A38=IMPORTRANGE(""https://docs.google.com/spreadsheets/d/1kGrh75X1cNR1D7_FcY9zMnHP"&amp;"8iPO4M5RCRjy6nZY0TY/edit#gid=1248694442"",""Table 1: Study characteristics!A4:A175""))"),"Europe &amp; Central Asia")</f>
        <v>Europe &amp; Central Asia</v>
      </c>
      <c r="G38" s="4" t="str">
        <f>IFERROR(__xludf.DUMMYFUNCTION("FILTER(IMPORTRANGE(""https://docs.google.com/spreadsheets/d/1kGrh75X1cNR1D7_FcY9zMnHP8iPO4M5RCRjy6nZY0TY/edit#gid=1248694442"",""Table 1: Study characteristics!J4:J175""), $A38=IMPORTRANGE(""https://docs.google.com/spreadsheets/d/1kGrh75X1cNR1D7_FcY9zMnHP"&amp;"8iPO4M5RCRjy6nZY0TY/edit#gid=1248694442"",""Table 1: Study characteristics!A4:A175""))"),"Germany")</f>
        <v>Germany</v>
      </c>
      <c r="H38" s="4" t="str">
        <f>IFERROR(__xludf.DUMMYFUNCTION("FILTER(IMPORTRANGE(""https://docs.google.com/spreadsheets/d/1kGrh75X1cNR1D7_FcY9zMnHP8iPO4M5RCRjy6nZY0TY/edit#gid=1248694442"",""Table 1: Study characteristics!O4:O175""), $A38=IMPORTRANGE(""https://docs.google.com/spreadsheets/d/1kGrh75X1cNR1D7_FcY9zMnHP"&amp;"8iPO4M5RCRjy6nZY0TY/edit#gid=1248694442"",""Table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38" s="14" t="str">
        <f>IFERROR(__xludf.DUMMYFUNCTION("IFNA(FILTER(IMPORTRANGE(""https://docs.google.com/spreadsheets/d/1kGrh75X1cNR1D7_FcY9zMnHP8iPO4M5RCRjy6nZY0TY/edit#gid=1248694442"",""Table 3: 1st-line HC!C5:C111""), $A38=IMPORTRANGE(""https://docs.google.com/spreadsheets/d/1kGrh75X1cNR1D7_FcY9zMnHP8iPO4"&amp;"M5RCRjy6nZY0TY/edit#gid=1248694442"",""Table 3: 1st-line HC!A5:A111"")),"""")"),"Selected")</f>
        <v>Selected</v>
      </c>
      <c r="J38" s="4">
        <f>IFERROR(__xludf.DUMMYFUNCTION("FILTER(IMPORTRANGE(""https://docs.google.com/spreadsheets/d/1kGrh75X1cNR1D7_FcY9zMnHP8iPO4M5RCRjy6nZY0TY/edit#gid=1248694442"",""Table 1: Study characteristics!P4:P175""), $A38=IMPORTRANGE(""https://docs.google.com/spreadsheets/d/1kGrh75X1cNR1D7_FcY9zMnHP"&amp;"8iPO4M5RCRjy6nZY0TY/edit#gid=1248694442"",""Table 1: Study characteristics!A4:A175""))"),44.0)</f>
        <v>44</v>
      </c>
      <c r="K38" s="4">
        <f>IFERROR(__xludf.DUMMYFUNCTION("FILTER(IMPORTRANGE(""https://docs.google.com/spreadsheets/d/1kGrh75X1cNR1D7_FcY9zMnHP8iPO4M5RCRjy6nZY0TY/edit#gid=1248694442"",""Table 1: Study characteristics!U4:U175""), $A38=IMPORTRANGE(""https://docs.google.com/spreadsheets/d/1kGrh75X1cNR1D7_FcY9zMnHP"&amp;"8iPO4M5RCRjy6nZY0TY/edit#gid=1248694442"",""Table 1: Study characteristics!A4:A175""))"),21.0)</f>
        <v>21</v>
      </c>
      <c r="L38" s="4">
        <f>IFERROR(__xludf.DUMMYFUNCTION("FILTER(IMPORTRANGE(""https://docs.google.com/spreadsheets/d/1kGrh75X1cNR1D7_FcY9zMnHP8iPO4M5RCRjy6nZY0TY/edit#gid=1248694442"",""Table 1: Study characteristics!V4:V175""), $A38=IMPORTRANGE(""https://docs.google.com/spreadsheets/d/1kGrh75X1cNR1D7_FcY9zMnHP"&amp;"8iPO4M5RCRjy6nZY0TY/edit#gid=1248694442"",""Table 1: Study characteristics!A4:A175""))"),23.0)</f>
        <v>23</v>
      </c>
      <c r="M38" s="4" t="str">
        <f>IFERROR(__xludf.DUMMYFUNCTION("FILTER(IMPORTRANGE(""https://docs.google.com/spreadsheets/d/1kGrh75X1cNR1D7_FcY9zMnHP8iPO4M5RCRjy6nZY0TY/edit#gid=1248694442"",""Table 1: Study characteristics!Q4:Q175""), $A38=IMPORTRANGE(""https://docs.google.com/spreadsheets/d/1kGrh75X1cNR1D7_FcY9zMnHP"&amp;"8iPO4M5RCRjy6nZY0TY/edit#gid=1248694442"",""Table 1: Study characteristics!A4:A175""))"),"")</f>
        <v/>
      </c>
      <c r="N38" s="4" t="str">
        <f>IFERROR(__xludf.DUMMYFUNCTION("FILTER(IMPORTRANGE(""https://docs.google.com/spreadsheets/d/1kGrh75X1cNR1D7_FcY9zMnHP8iPO4M5RCRjy6nZY0TY/edit#gid=1248694442"",""Table 1: Study characteristics!R4:R175""), $A38=IMPORTRANGE(""https://docs.google.com/spreadsheets/d/1kGrh75X1cNR1D7_FcY9zMnHP"&amp;"8iPO4M5RCRjy6nZY0TY/edit#gid=1248694442"",""Table 1: Study characteristics!A4:A175""))"),"")</f>
        <v/>
      </c>
      <c r="O38" s="4" t="str">
        <f>IFERROR(__xludf.DUMMYFUNCTION("FILTER(IMPORTRANGE(""https://docs.google.com/spreadsheets/d/1kGrh75X1cNR1D7_FcY9zMnHP8iPO4M5RCRjy6nZY0TY/edit#gid=1248694442"",""Table 1: Study characteristics!S4:S175""), $A38=IMPORTRANGE(""https://docs.google.com/spreadsheets/d/1kGrh75X1cNR1D7_FcY9zMnHP"&amp;"8iPO4M5RCRjy6nZY0TY/edit#gid=1248694442"",""Table 1: Study characteristics!A4:A175""))"),"")</f>
        <v/>
      </c>
      <c r="P38" s="6" t="str">
        <f>IFERROR(__xludf.DUMMYFUNCTION("FILTER(IMPORTRANGE(""https://docs.google.com/spreadsheets/d/1kGrh75X1cNR1D7_FcY9zMnHP8iPO4M5RCRjy6nZY0TY/edit#gid=1248694442"",""Table 1: Study characteristics!T4:T175""), $A38=IMPORTRANGE(""https://docs.google.com/spreadsheets/d/1kGrh75X1cNR1D7_FcY9zMnHP"&amp;"8iPO4M5RCRjy6nZY0TY/edit#gid=1248694442"",""Table 1: Study characteristics!A4:A175""))"),"")</f>
        <v/>
      </c>
      <c r="Q38" s="6" t="str">
        <f>IFERROR(__xludf.DUMMYFUNCTION("FILTER(IMPORTRANGE(""https://docs.google.com/spreadsheets/d/1kGrh75X1cNR1D7_FcY9zMnHP8iPO4M5RCRjy6nZY0TY/edit#gid=1248694442"",""Table 1: Study characteristics!L4:L175""), $A38=IMPORTRANGE(""https://docs.google.com/spreadsheets/d/1kGrh75X1cNR1D7_FcY9zMnHP"&amp;"8iPO4M5RCRjy6nZY0TY/edit#gid=1248694442"",""Table 1: Study characteristics!A4:A175""))"),"2007-2015")</f>
        <v>2007-2015</v>
      </c>
      <c r="R38" s="4" t="str">
        <f>IFERROR(__xludf.DUMMYFUNCTION("FILTER(IMPORTRANGE(""https://docs.google.com/spreadsheets/d/1kGrh75X1cNR1D7_FcY9zMnHP8iPO4M5RCRjy6nZY0TY/edit#gid=1248694442"",""Table 1: Study characteristics!I4:I175""), $A38=IMPORTRANGE(""https://docs.google.com/spreadsheets/d/1kGrh75X1cNR1D7_FcY9zMnHP"&amp;"8iPO4M5RCRjy6nZY0TY/edit#gid=1248694442"",""Table 1: Study characteristics!A4:A175""))"),"English")</f>
        <v>English</v>
      </c>
    </row>
    <row r="39">
      <c r="A39" s="4" t="str">
        <f>IFERROR(__xludf.DUMMYFUNCTION("""COMPUTED_VALUE"""),"ID 76")</f>
        <v>ID 76</v>
      </c>
      <c r="B39" s="13" t="s">
        <v>187</v>
      </c>
      <c r="C39" s="4" t="str">
        <f>IFERROR(__xludf.DUMMYFUNCTION("LEFT(FILTER(IMPORTRANGE(""https://docs.google.com/spreadsheets/d/1kGrh75X1cNR1D7_FcY9zMnHP8iPO4M5RCRjy6nZY0TY/edit#gid=1248694442"",""Table 1: Study characteristics!C4:C175""), $A39=IMPORTRANGE(""https://docs.google.com/spreadsheets/d/1kGrh75X1cNR1D7_FcY9"&amp;"zMnHP8iPO4M5RCRjy6nZY0TY/edit#gid=1248694442"",""Table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$A39=IMPORTRANGE(""https://docs.google.com/spreadsheets/d/1kGrh75X1cNR1D7_FcY9zMnHP8iPO4M5RCRjy6nZY0TY/edit#gid=1248694442"",""Table 1: Study characteristics!A4:A175"")))-1)"),"Demir")</f>
        <v>Demir</v>
      </c>
      <c r="D39" s="4">
        <f>IFERROR(__xludf.DUMMYFUNCTION("FILTER(IMPORTRANGE(""https://docs.google.com/spreadsheets/d/1kGrh75X1cNR1D7_FcY9zMnHP8iPO4M5RCRjy6nZY0TY/edit#gid=1248694442"",""Table 1: Study characteristics!K4:K175""), $A39=IMPORTRANGE(""https://docs.google.com/spreadsheets/d/1kGrh75X1cNR1D7_FcY9zMnHP"&amp;"8iPO4M5RCRjy6nZY0TY/edit#gid=1248694442"",""Table 1: Study characteristics!A4:A175""))"),2015.0)</f>
        <v>2015</v>
      </c>
      <c r="E39" s="4" t="str">
        <f>IFERROR(__xludf.DUMMYFUNCTION("FILTER(IMPORTRANGE(""https://docs.google.com/spreadsheets/d/1kGrh75X1cNR1D7_FcY9zMnHP8iPO4M5RCRjy6nZY0TY/edit#gid=1248694442"",""Table 1: Study characteristics!M4:M175""), $A39=IMPORTRANGE(""https://docs.google.com/spreadsheets/d/1kGrh75X1cNR1D7_FcY9zMnHP"&amp;"8iPO4M5RCRjy6nZY0TY/edit#gid=1248694442"",""Table 1: Study characteristics!A4:A175""))"),"Upper middle income")</f>
        <v>Upper middle income</v>
      </c>
      <c r="F39" s="4" t="str">
        <f>IFERROR(__xludf.DUMMYFUNCTION("FILTER(IMPORTRANGE(""https://docs.google.com/spreadsheets/d/1kGrh75X1cNR1D7_FcY9zMnHP8iPO4M5RCRjy6nZY0TY/edit#gid=1248694442"",""Table 1: Study characteristics!N4:N175""), $A39=IMPORTRANGE(""https://docs.google.com/spreadsheets/d/1kGrh75X1cNR1D7_FcY9zMnHP"&amp;"8iPO4M5RCRjy6nZY0TY/edit#gid=1248694442"",""Table 1: Study characteristics!A4:A175""))"),"Europe &amp; Central Asia")</f>
        <v>Europe &amp; Central Asia</v>
      </c>
      <c r="G39" s="4" t="str">
        <f>IFERROR(__xludf.DUMMYFUNCTION("FILTER(IMPORTRANGE(""https://docs.google.com/spreadsheets/d/1kGrh75X1cNR1D7_FcY9zMnHP8iPO4M5RCRjy6nZY0TY/edit#gid=1248694442"",""Table 1: Study characteristics!J4:J175""), $A39=IMPORTRANGE(""https://docs.google.com/spreadsheets/d/1kGrh75X1cNR1D7_FcY9zMnHP"&amp;"8iPO4M5RCRjy6nZY0TY/edit#gid=1248694442"",""Table 1: Study characteristics!A4:A175""))"),"Turkey")</f>
        <v>Turkey</v>
      </c>
      <c r="H39" s="4" t="str">
        <f>IFERROR(__xludf.DUMMYFUNCTION("FILTER(IMPORTRANGE(""https://docs.google.com/spreadsheets/d/1kGrh75X1cNR1D7_FcY9zMnHP8iPO4M5RCRjy6nZY0TY/edit#gid=1248694442"",""Table 1: Study characteristics!O4:O175""), $A39=IMPORTRANGE(""https://docs.google.com/spreadsheets/d/1kGrh75X1cNR1D7_FcY9zMnHP"&amp;"8iPO4M5RCRjy6nZY0TY/edit#gid=1248694442"",""Table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39" s="14" t="str">
        <f>IFERROR(__xludf.DUMMYFUNCTION("IFNA(FILTER(IMPORTRANGE(""https://docs.google.com/spreadsheets/d/1kGrh75X1cNR1D7_FcY9zMnHP8iPO4M5RCRjy6nZY0TY/edit#gid=1248694442"",""Table 3: 1st-line HC!C5:C111""), $A39=IMPORTRANGE(""https://docs.google.com/spreadsheets/d/1kGrh75X1cNR1D7_FcY9zMnHP8iPO4"&amp;"M5RCRjy6nZY0TY/edit#gid=1248694442"",""Table 3: 1st-line HC!A5:A111"")),"""")"),"Selected")</f>
        <v>Selected</v>
      </c>
      <c r="J39" s="4">
        <f>IFERROR(__xludf.DUMMYFUNCTION("FILTER(IMPORTRANGE(""https://docs.google.com/spreadsheets/d/1kGrh75X1cNR1D7_FcY9zMnHP8iPO4M5RCRjy6nZY0TY/edit#gid=1248694442"",""Table 1: Study characteristics!P4:P175""), $A39=IMPORTRANGE(""https://docs.google.com/spreadsheets/d/1kGrh75X1cNR1D7_FcY9zMnHP"&amp;"8iPO4M5RCRjy6nZY0TY/edit#gid=1248694442"",""Table 1: Study characteristics!A4:A175""))"),77.0)</f>
        <v>77</v>
      </c>
      <c r="K39" s="4">
        <f>IFERROR(__xludf.DUMMYFUNCTION("FILTER(IMPORTRANGE(""https://docs.google.com/spreadsheets/d/1kGrh75X1cNR1D7_FcY9zMnHP8iPO4M5RCRjy6nZY0TY/edit#gid=1248694442"",""Table 1: Study characteristics!U4:U175""), $A39=IMPORTRANGE(""https://docs.google.com/spreadsheets/d/1kGrh75X1cNR1D7_FcY9zMnHP"&amp;"8iPO4M5RCRjy6nZY0TY/edit#gid=1248694442"",""Table 1: Study characteristics!A4:A175""))"),46.0)</f>
        <v>46</v>
      </c>
      <c r="L39" s="4">
        <f>IFERROR(__xludf.DUMMYFUNCTION("FILTER(IMPORTRANGE(""https://docs.google.com/spreadsheets/d/1kGrh75X1cNR1D7_FcY9zMnHP8iPO4M5RCRjy6nZY0TY/edit#gid=1248694442"",""Table 1: Study characteristics!V4:V175""), $A39=IMPORTRANGE(""https://docs.google.com/spreadsheets/d/1kGrh75X1cNR1D7_FcY9zMnHP"&amp;"8iPO4M5RCRjy6nZY0TY/edit#gid=1248694442"",""Table 1: Study characteristics!A4:A175""))"),31.0)</f>
        <v>31</v>
      </c>
      <c r="M39" s="4" t="str">
        <f>IFERROR(__xludf.DUMMYFUNCTION("FILTER(IMPORTRANGE(""https://docs.google.com/spreadsheets/d/1kGrh75X1cNR1D7_FcY9zMnHP8iPO4M5RCRjy6nZY0TY/edit#gid=1248694442"",""Table 1: Study characteristics!Q4:Q175""), $A39=IMPORTRANGE(""https://docs.google.com/spreadsheets/d/1kGrh75X1cNR1D7_FcY9zMnHP"&amp;"8iPO4M5RCRjy6nZY0TY/edit#gid=1248694442"",""Table 1: Study characteristics!A4:A175""))"),"")</f>
        <v/>
      </c>
      <c r="N39" s="4" t="str">
        <f>IFERROR(__xludf.DUMMYFUNCTION("FILTER(IMPORTRANGE(""https://docs.google.com/spreadsheets/d/1kGrh75X1cNR1D7_FcY9zMnHP8iPO4M5RCRjy6nZY0TY/edit#gid=1248694442"",""Table 1: Study characteristics!R4:R175""), $A39=IMPORTRANGE(""https://docs.google.com/spreadsheets/d/1kGrh75X1cNR1D7_FcY9zMnHP"&amp;"8iPO4M5RCRjy6nZY0TY/edit#gid=1248694442"",""Table 1: Study characteristics!A4:A175""))"),"")</f>
        <v/>
      </c>
      <c r="O39" s="4" t="str">
        <f>IFERROR(__xludf.DUMMYFUNCTION("FILTER(IMPORTRANGE(""https://docs.google.com/spreadsheets/d/1kGrh75X1cNR1D7_FcY9zMnHP8iPO4M5RCRjy6nZY0TY/edit#gid=1248694442"",""Table 1: Study characteristics!S4:S175""), $A39=IMPORTRANGE(""https://docs.google.com/spreadsheets/d/1kGrh75X1cNR1D7_FcY9zMnHP"&amp;"8iPO4M5RCRjy6nZY0TY/edit#gid=1248694442"",""Table 1: Study characteristics!A4:A175""))"),"")</f>
        <v/>
      </c>
      <c r="P39" s="6" t="str">
        <f>IFERROR(__xludf.DUMMYFUNCTION("FILTER(IMPORTRANGE(""https://docs.google.com/spreadsheets/d/1kGrh75X1cNR1D7_FcY9zMnHP8iPO4M5RCRjy6nZY0TY/edit#gid=1248694442"",""Table 1: Study characteristics!T4:T175""), $A39=IMPORTRANGE(""https://docs.google.com/spreadsheets/d/1kGrh75X1cNR1D7_FcY9zMnHP"&amp;"8iPO4M5RCRjy6nZY0TY/edit#gid=1248694442"",""Table 1: Study characteristics!A4:A175""))"),"")</f>
        <v/>
      </c>
      <c r="Q39" s="6" t="str">
        <f>IFERROR(__xludf.DUMMYFUNCTION("FILTER(IMPORTRANGE(""https://docs.google.com/spreadsheets/d/1kGrh75X1cNR1D7_FcY9zMnHP8iPO4M5RCRjy6nZY0TY/edit#gid=1248694442"",""Table 1: Study characteristics!L4:L175""), $A39=IMPORTRANGE(""https://docs.google.com/spreadsheets/d/1kGrh75X1cNR1D7_FcY9zMnHP"&amp;"8iPO4M5RCRjy6nZY0TY/edit#gid=1248694442"",""Table 1: Study characteristics!A4:A175""))"),"2012-2014")</f>
        <v>2012-2014</v>
      </c>
      <c r="R39" s="4" t="str">
        <f>IFERROR(__xludf.DUMMYFUNCTION("FILTER(IMPORTRANGE(""https://docs.google.com/spreadsheets/d/1kGrh75X1cNR1D7_FcY9zMnHP8iPO4M5RCRjy6nZY0TY/edit#gid=1248694442"",""Table 1: Study characteristics!I4:I175""), $A39=IMPORTRANGE(""https://docs.google.com/spreadsheets/d/1kGrh75X1cNR1D7_FcY9zMnHP"&amp;"8iPO4M5RCRjy6nZY0TY/edit#gid=1248694442"",""Table 1: Study characteristics!A4:A175""))"),"English")</f>
        <v>English</v>
      </c>
    </row>
    <row r="40">
      <c r="A40" s="4" t="str">
        <f>IFERROR(__xludf.DUMMYFUNCTION("""COMPUTED_VALUE"""),"ID 77")</f>
        <v>ID 77</v>
      </c>
      <c r="B40" s="15" t="s">
        <v>188</v>
      </c>
      <c r="C40" s="4" t="str">
        <f>IFERROR(__xludf.DUMMYFUNCTION("LEFT(FILTER(IMPORTRANGE(""https://docs.google.com/spreadsheets/d/1kGrh75X1cNR1D7_FcY9zMnHP8iPO4M5RCRjy6nZY0TY/edit#gid=1248694442"",""Table 1: Study characteristics!C4:C175""), $A40=IMPORTRANGE(""https://docs.google.com/spreadsheets/d/1kGrh75X1cNR1D7_FcY9"&amp;"zMnHP8iPO4M5RCRjy6nZY0TY/edit#gid=1248694442"",""Table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$A40=IMPORTRANGE(""https://docs.google.com/spreadsheets/d/1kGrh75X1cNR1D7_FcY9zMnHP8iPO4M5RCRjy6nZY0TY/edit#gid=1248694442"",""Table 1: Study characteristics!A4:A175"")))-1)"),"Faggin")</f>
        <v>Faggin</v>
      </c>
      <c r="D40" s="4">
        <f>IFERROR(__xludf.DUMMYFUNCTION("FILTER(IMPORTRANGE(""https://docs.google.com/spreadsheets/d/1kGrh75X1cNR1D7_FcY9zMnHP8iPO4M5RCRjy6nZY0TY/edit#gid=1248694442"",""Table 1: Study characteristics!K4:K175""), $A40=IMPORTRANGE(""https://docs.google.com/spreadsheets/d/1kGrh75X1cNR1D7_FcY9zMnHP"&amp;"8iPO4M5RCRjy6nZY0TY/edit#gid=1248694442"",""Table 1: Study characteristics!A4:A175""))"),2009.0)</f>
        <v>2009</v>
      </c>
      <c r="E40" s="4" t="str">
        <f>IFERROR(__xludf.DUMMYFUNCTION("FILTER(IMPORTRANGE(""https://docs.google.com/spreadsheets/d/1kGrh75X1cNR1D7_FcY9zMnHP8iPO4M5RCRjy6nZY0TY/edit#gid=1248694442"",""Table 1: Study characteristics!M4:M175""), $A40=IMPORTRANGE(""https://docs.google.com/spreadsheets/d/1kGrh75X1cNR1D7_FcY9zMnHP"&amp;"8iPO4M5RCRjy6nZY0TY/edit#gid=1248694442"",""Table 1: Study characteristics!A4:A175""))"),"High income")</f>
        <v>High income</v>
      </c>
      <c r="F40" s="4" t="str">
        <f>IFERROR(__xludf.DUMMYFUNCTION("FILTER(IMPORTRANGE(""https://docs.google.com/spreadsheets/d/1kGrh75X1cNR1D7_FcY9zMnHP8iPO4M5RCRjy6nZY0TY/edit#gid=1248694442"",""Table 1: Study characteristics!N4:N175""), $A40=IMPORTRANGE(""https://docs.google.com/spreadsheets/d/1kGrh75X1cNR1D7_FcY9zMnHP"&amp;"8iPO4M5RCRjy6nZY0TY/edit#gid=1248694442"",""Table 1: Study characteristics!A4:A175""))"),"Europe &amp; Central Asia")</f>
        <v>Europe &amp; Central Asia</v>
      </c>
      <c r="G40" s="4" t="str">
        <f>IFERROR(__xludf.DUMMYFUNCTION("FILTER(IMPORTRANGE(""https://docs.google.com/spreadsheets/d/1kGrh75X1cNR1D7_FcY9zMnHP8iPO4M5RCRjy6nZY0TY/edit#gid=1248694442"",""Table 1: Study characteristics!J4:J175""), $A40=IMPORTRANGE(""https://docs.google.com/spreadsheets/d/1kGrh75X1cNR1D7_FcY9zMnHP"&amp;"8iPO4M5RCRjy6nZY0TY/edit#gid=1248694442"",""Table 1: Study characteristics!A4:A175""))"),"Italy")</f>
        <v>Italy</v>
      </c>
      <c r="H40" s="4" t="str">
        <f>IFERROR(__xludf.DUMMYFUNCTION("FILTER(IMPORTRANGE(""https://docs.google.com/spreadsheets/d/1kGrh75X1cNR1D7_FcY9zMnHP8iPO4M5RCRjy6nZY0TY/edit#gid=1248694442"",""Table 1: Study characteristics!O4:O175""), $A40=IMPORTRANGE(""https://docs.google.com/spreadsheets/d/1kGrh75X1cNR1D7_FcY9zMnHP"&amp;"8iPO4M5RCRjy6nZY0TY/edit#gid=1248694442"",""Table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40" s="14" t="str">
        <f>IFERROR(__xludf.DUMMYFUNCTION("IFNA(FILTER(IMPORTRANGE(""https://docs.google.com/spreadsheets/d/1kGrh75X1cNR1D7_FcY9zMnHP8iPO4M5RCRjy6nZY0TY/edit#gid=1248694442"",""Table 3: 1st-line HC!C5:C111""), $A40=IMPORTRANGE(""https://docs.google.com/spreadsheets/d/1kGrh75X1cNR1D7_FcY9zMnHP8iPO4"&amp;"M5RCRjy6nZY0TY/edit#gid=1248694442"",""Table 3: 1st-line HC!A5:A111"")),"""")"),"Selected")</f>
        <v>Selected</v>
      </c>
      <c r="J40" s="4">
        <f>IFERROR(__xludf.DUMMYFUNCTION("FILTER(IMPORTRANGE(""https://docs.google.com/spreadsheets/d/1kGrh75X1cNR1D7_FcY9zMnHP8iPO4M5RCRjy6nZY0TY/edit#gid=1248694442"",""Table 1: Study characteristics!P4:P175""), $A40=IMPORTRANGE(""https://docs.google.com/spreadsheets/d/1kGrh75X1cNR1D7_FcY9zMnHP"&amp;"8iPO4M5RCRjy6nZY0TY/edit#gid=1248694442"",""Table 1: Study characteristics!A4:A175""))"),5.0)</f>
        <v>5</v>
      </c>
      <c r="K40" s="4" t="str">
        <f>IFERROR(__xludf.DUMMYFUNCTION("FILTER(IMPORTRANGE(""https://docs.google.com/spreadsheets/d/1kGrh75X1cNR1D7_FcY9zMnHP8iPO4M5RCRjy6nZY0TY/edit#gid=1248694442"",""Table 1: Study characteristics!U4:U175""), $A40=IMPORTRANGE(""https://docs.google.com/spreadsheets/d/1kGrh75X1cNR1D7_FcY9zMnHP"&amp;"8iPO4M5RCRjy6nZY0TY/edit#gid=1248694442"",""Table 1: Study characteristics!A4:A175""))"),"")</f>
        <v/>
      </c>
      <c r="L40" s="4" t="str">
        <f>IFERROR(__xludf.DUMMYFUNCTION("FILTER(IMPORTRANGE(""https://docs.google.com/spreadsheets/d/1kGrh75X1cNR1D7_FcY9zMnHP8iPO4M5RCRjy6nZY0TY/edit#gid=1248694442"",""Table 1: Study characteristics!V4:V175""), $A40=IMPORTRANGE(""https://docs.google.com/spreadsheets/d/1kGrh75X1cNR1D7_FcY9zMnHP"&amp;"8iPO4M5RCRjy6nZY0TY/edit#gid=1248694442"",""Table 1: Study characteristics!A4:A175""))"),"")</f>
        <v/>
      </c>
      <c r="M40" s="4" t="str">
        <f>IFERROR(__xludf.DUMMYFUNCTION("FILTER(IMPORTRANGE(""https://docs.google.com/spreadsheets/d/1kGrh75X1cNR1D7_FcY9zMnHP8iPO4M5RCRjy6nZY0TY/edit#gid=1248694442"",""Table 1: Study characteristics!Q4:Q175""), $A40=IMPORTRANGE(""https://docs.google.com/spreadsheets/d/1kGrh75X1cNR1D7_FcY9zMnHP"&amp;"8iPO4M5RCRjy6nZY0TY/edit#gid=1248694442"",""Table 1: Study characteristics!A4:A175""))"),"")</f>
        <v/>
      </c>
      <c r="N40" s="4" t="str">
        <f>IFERROR(__xludf.DUMMYFUNCTION("FILTER(IMPORTRANGE(""https://docs.google.com/spreadsheets/d/1kGrh75X1cNR1D7_FcY9zMnHP8iPO4M5RCRjy6nZY0TY/edit#gid=1248694442"",""Table 1: Study characteristics!R4:R175""), $A40=IMPORTRANGE(""https://docs.google.com/spreadsheets/d/1kGrh75X1cNR1D7_FcY9zMnHP"&amp;"8iPO4M5RCRjy6nZY0TY/edit#gid=1248694442"",""Table 1: Study characteristics!A4:A175""))"),"")</f>
        <v/>
      </c>
      <c r="O40" s="4" t="str">
        <f>IFERROR(__xludf.DUMMYFUNCTION("FILTER(IMPORTRANGE(""https://docs.google.com/spreadsheets/d/1kGrh75X1cNR1D7_FcY9zMnHP8iPO4M5RCRjy6nZY0TY/edit#gid=1248694442"",""Table 1: Study characteristics!S4:S175""), $A40=IMPORTRANGE(""https://docs.google.com/spreadsheets/d/1kGrh75X1cNR1D7_FcY9zMnHP"&amp;"8iPO4M5RCRjy6nZY0TY/edit#gid=1248694442"",""Table 1: Study characteristics!A4:A175""))"),"")</f>
        <v/>
      </c>
      <c r="P40" s="6" t="str">
        <f>IFERROR(__xludf.DUMMYFUNCTION("FILTER(IMPORTRANGE(""https://docs.google.com/spreadsheets/d/1kGrh75X1cNR1D7_FcY9zMnHP8iPO4M5RCRjy6nZY0TY/edit#gid=1248694442"",""Table 1: Study characteristics!T4:T175""), $A40=IMPORTRANGE(""https://docs.google.com/spreadsheets/d/1kGrh75X1cNR1D7_FcY9zMnHP"&amp;"8iPO4M5RCRjy6nZY0TY/edit#gid=1248694442"",""Table 1: Study characteristics!A4:A175""))"),"0-180")</f>
        <v>0-180</v>
      </c>
      <c r="Q40" s="6" t="str">
        <f>IFERROR(__xludf.DUMMYFUNCTION("FILTER(IMPORTRANGE(""https://docs.google.com/spreadsheets/d/1kGrh75X1cNR1D7_FcY9zMnHP8iPO4M5RCRjy6nZY0TY/edit#gid=1248694442"",""Table 1: Study characteristics!L4:L175""), $A40=IMPORTRANGE(""https://docs.google.com/spreadsheets/d/1kGrh75X1cNR1D7_FcY9zMnHP"&amp;"8iPO4M5RCRjy6nZY0TY/edit#gid=1248694442"",""Table 1: Study characteristics!A4:A175""))"),"2000-2002")</f>
        <v>2000-2002</v>
      </c>
      <c r="R40" s="4" t="str">
        <f>IFERROR(__xludf.DUMMYFUNCTION("FILTER(IMPORTRANGE(""https://docs.google.com/spreadsheets/d/1kGrh75X1cNR1D7_FcY9zMnHP8iPO4M5RCRjy6nZY0TY/edit#gid=1248694442"",""Table 1: Study characteristics!I4:I175""), $A40=IMPORTRANGE(""https://docs.google.com/spreadsheets/d/1kGrh75X1cNR1D7_FcY9zMnHP"&amp;"8iPO4M5RCRjy6nZY0TY/edit#gid=1248694442"",""Table 1: Study characteristics!A4:A175""))"),"English")</f>
        <v>English</v>
      </c>
    </row>
    <row r="41">
      <c r="A41" s="4" t="str">
        <f>IFERROR(__xludf.DUMMYFUNCTION("""COMPUTED_VALUE"""),"ID 83")</f>
        <v>ID 83</v>
      </c>
      <c r="B41" s="13" t="s">
        <v>189</v>
      </c>
      <c r="C41" s="4" t="str">
        <f>IFERROR(__xludf.DUMMYFUNCTION("LEFT(FILTER(IMPORTRANGE(""https://docs.google.com/spreadsheets/d/1kGrh75X1cNR1D7_FcY9zMnHP8iPO4M5RCRjy6nZY0TY/edit#gid=1248694442"",""Table 1: Study characteristics!C4:C175""), $A41=IMPORTRANGE(""https://docs.google.com/spreadsheets/d/1kGrh75X1cNR1D7_FcY9"&amp;"zMnHP8iPO4M5RCRjy6nZY0TY/edit#gid=1248694442"",""Table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$A41=IMPORTRANGE(""https://docs.google.com/spreadsheets/d/1kGrh75X1cNR1D7_FcY9zMnHP8iPO4M5RCRjy6nZY0TY/edit#gid=1248694442"",""Table 1: Study characteristics!A4:A175"")))-1)"),"Steinbok")</f>
        <v>Steinbok</v>
      </c>
      <c r="D41" s="4">
        <f>IFERROR(__xludf.DUMMYFUNCTION("FILTER(IMPORTRANGE(""https://docs.google.com/spreadsheets/d/1kGrh75X1cNR1D7_FcY9zMnHP8iPO4M5RCRjy6nZY0TY/edit#gid=1248694442"",""Table 1: Study characteristics!K4:K175""), $A41=IMPORTRANGE(""https://docs.google.com/spreadsheets/d/1kGrh75X1cNR1D7_FcY9zMnHP"&amp;"8iPO4M5RCRjy6nZY0TY/edit#gid=1248694442"",""Table 1: Study characteristics!A4:A175""))"),1992.0)</f>
        <v>1992</v>
      </c>
      <c r="E41" s="4" t="str">
        <f>IFERROR(__xludf.DUMMYFUNCTION("FILTER(IMPORTRANGE(""https://docs.google.com/spreadsheets/d/1kGrh75X1cNR1D7_FcY9zMnHP8iPO4M5RCRjy6nZY0TY/edit#gid=1248694442"",""Table 1: Study characteristics!M4:M175""), $A41=IMPORTRANGE(""https://docs.google.com/spreadsheets/d/1kGrh75X1cNR1D7_FcY9zMnHP"&amp;"8iPO4M5RCRjy6nZY0TY/edit#gid=1248694442"",""Table 1: Study characteristics!A4:A175""))"),"High income")</f>
        <v>High income</v>
      </c>
      <c r="F41" s="4" t="str">
        <f>IFERROR(__xludf.DUMMYFUNCTION("FILTER(IMPORTRANGE(""https://docs.google.com/spreadsheets/d/1kGrh75X1cNR1D7_FcY9zMnHP8iPO4M5RCRjy6nZY0TY/edit#gid=1248694442"",""Table 1: Study characteristics!N4:N175""), $A41=IMPORTRANGE(""https://docs.google.com/spreadsheets/d/1kGrh75X1cNR1D7_FcY9zMnHP"&amp;"8iPO4M5RCRjy6nZY0TY/edit#gid=1248694442"",""Table 1: Study characteristics!A4:A175""))"),"North America")</f>
        <v>North America</v>
      </c>
      <c r="G41" s="4" t="str">
        <f>IFERROR(__xludf.DUMMYFUNCTION("FILTER(IMPORTRANGE(""https://docs.google.com/spreadsheets/d/1kGrh75X1cNR1D7_FcY9zMnHP8iPO4M5RCRjy6nZY0TY/edit#gid=1248694442"",""Table 1: Study characteristics!J4:J175""), $A41=IMPORTRANGE(""https://docs.google.com/spreadsheets/d/1kGrh75X1cNR1D7_FcY9zMnHP"&amp;"8iPO4M5RCRjy6nZY0TY/edit#gid=1248694442"",""Table 1: Study characteristics!A4:A175""))"),"Canada")</f>
        <v>Canada</v>
      </c>
      <c r="H41" s="4" t="str">
        <f>IFERROR(__xludf.DUMMYFUNCTION("FILTER(IMPORTRANGE(""https://docs.google.com/spreadsheets/d/1kGrh75X1cNR1D7_FcY9zMnHP8iPO4M5RCRjy6nZY0TY/edit#gid=1248694442"",""Table 1: Study characteristics!O4:O175""), $A41=IMPORTRANGE(""https://docs.google.com/spreadsheets/d/1kGrh75X1cNR1D7_FcY9zMnHP"&amp;"8iPO4M5RCRjy6nZY0TY/edit#gid=1248694442"",""Table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41" s="14" t="str">
        <f>IFERROR(__xludf.DUMMYFUNCTION("IFNA(FILTER(IMPORTRANGE(""https://docs.google.com/spreadsheets/d/1kGrh75X1cNR1D7_FcY9zMnHP8iPO4M5RCRjy6nZY0TY/edit#gid=1248694442"",""Table 3: 1st-line HC!C5:C111""), $A41=IMPORTRANGE(""https://docs.google.com/spreadsheets/d/1kGrh75X1cNR1D7_FcY9zMnHP8iPO4"&amp;"M5RCRjy6nZY0TY/edit#gid=1248694442"",""Table 3: 1st-line HC!A5:A111"")),"""")"),"Unselected")</f>
        <v>Unselected</v>
      </c>
      <c r="J41" s="4">
        <f>IFERROR(__xludf.DUMMYFUNCTION("FILTER(IMPORTRANGE(""https://docs.google.com/spreadsheets/d/1kGrh75X1cNR1D7_FcY9zMnHP8iPO4M5RCRjy6nZY0TY/edit#gid=1248694442"",""Table 1: Study characteristics!P4:P175""), $A41=IMPORTRANGE(""https://docs.google.com/spreadsheets/d/1kGrh75X1cNR1D7_FcY9zMnHP"&amp;"8iPO4M5RCRjy6nZY0TY/edit#gid=1248694442"",""Table 1: Study characteristics!A4:A175""))"),93.0)</f>
        <v>93</v>
      </c>
      <c r="K41" s="4" t="str">
        <f>IFERROR(__xludf.DUMMYFUNCTION("FILTER(IMPORTRANGE(""https://docs.google.com/spreadsheets/d/1kGrh75X1cNR1D7_FcY9zMnHP8iPO4M5RCRjy6nZY0TY/edit#gid=1248694442"",""Table 1: Study characteristics!U4:U175""), $A41=IMPORTRANGE(""https://docs.google.com/spreadsheets/d/1kGrh75X1cNR1D7_FcY9zMnHP"&amp;"8iPO4M5RCRjy6nZY0TY/edit#gid=1248694442"",""Table 1: Study characteristics!A4:A175""))"),"")</f>
        <v/>
      </c>
      <c r="L41" s="4" t="str">
        <f>IFERROR(__xludf.DUMMYFUNCTION("FILTER(IMPORTRANGE(""https://docs.google.com/spreadsheets/d/1kGrh75X1cNR1D7_FcY9zMnHP8iPO4M5RCRjy6nZY0TY/edit#gid=1248694442"",""Table 1: Study characteristics!V4:V175""), $A41=IMPORTRANGE(""https://docs.google.com/spreadsheets/d/1kGrh75X1cNR1D7_FcY9zMnHP"&amp;"8iPO4M5RCRjy6nZY0TY/edit#gid=1248694442"",""Table 1: Study characteristics!A4:A175""))"),"")</f>
        <v/>
      </c>
      <c r="M41" s="4" t="str">
        <f>IFERROR(__xludf.DUMMYFUNCTION("FILTER(IMPORTRANGE(""https://docs.google.com/spreadsheets/d/1kGrh75X1cNR1D7_FcY9zMnHP8iPO4M5RCRjy6nZY0TY/edit#gid=1248694442"",""Table 1: Study characteristics!Q4:Q175""), $A41=IMPORTRANGE(""https://docs.google.com/spreadsheets/d/1kGrh75X1cNR1D7_FcY9zMnHP"&amp;"8iPO4M5RCRjy6nZY0TY/edit#gid=1248694442"",""Table 1: Study characteristics!A4:A175""))"),"")</f>
        <v/>
      </c>
      <c r="N41" s="4" t="str">
        <f>IFERROR(__xludf.DUMMYFUNCTION("FILTER(IMPORTRANGE(""https://docs.google.com/spreadsheets/d/1kGrh75X1cNR1D7_FcY9zMnHP8iPO4M5RCRjy6nZY0TY/edit#gid=1248694442"",""Table 1: Study characteristics!R4:R175""), $A41=IMPORTRANGE(""https://docs.google.com/spreadsheets/d/1kGrh75X1cNR1D7_FcY9zMnHP"&amp;"8iPO4M5RCRjy6nZY0TY/edit#gid=1248694442"",""Table 1: Study characteristics!A4:A175""))"),"")</f>
        <v/>
      </c>
      <c r="O41" s="4" t="str">
        <f>IFERROR(__xludf.DUMMYFUNCTION("FILTER(IMPORTRANGE(""https://docs.google.com/spreadsheets/d/1kGrh75X1cNR1D7_FcY9zMnHP8iPO4M5RCRjy6nZY0TY/edit#gid=1248694442"",""Table 1: Study characteristics!S4:S175""), $A41=IMPORTRANGE(""https://docs.google.com/spreadsheets/d/1kGrh75X1cNR1D7_FcY9zMnHP"&amp;"8iPO4M5RCRjy6nZY0TY/edit#gid=1248694442"",""Table 1: Study characteristics!A4:A175""))"),"")</f>
        <v/>
      </c>
      <c r="P41" s="6" t="str">
        <f>IFERROR(__xludf.DUMMYFUNCTION("FILTER(IMPORTRANGE(""https://docs.google.com/spreadsheets/d/1kGrh75X1cNR1D7_FcY9zMnHP8iPO4M5RCRjy6nZY0TY/edit#gid=1248694442"",""Table 1: Study characteristics!T4:T175""), $A41=IMPORTRANGE(""https://docs.google.com/spreadsheets/d/1kGrh75X1cNR1D7_FcY9zMnHP"&amp;"8iPO4M5RCRjy6nZY0TY/edit#gid=1248694442"",""Table 1: Study characteristics!A4:A175""))"),"")</f>
        <v/>
      </c>
      <c r="Q41" s="6" t="str">
        <f>IFERROR(__xludf.DUMMYFUNCTION("FILTER(IMPORTRANGE(""https://docs.google.com/spreadsheets/d/1kGrh75X1cNR1D7_FcY9zMnHP8iPO4M5RCRjy6nZY0TY/edit#gid=1248694442"",""Table 1: Study characteristics!L4:L175""), $A41=IMPORTRANGE(""https://docs.google.com/spreadsheets/d/1kGrh75X1cNR1D7_FcY9zMnHP"&amp;"8iPO4M5RCRjy6nZY0TY/edit#gid=1248694442"",""Table 1: Study characteristics!A4:A175""))"),"")</f>
        <v/>
      </c>
      <c r="R41" s="4" t="str">
        <f>IFERROR(__xludf.DUMMYFUNCTION("FILTER(IMPORTRANGE(""https://docs.google.com/spreadsheets/d/1kGrh75X1cNR1D7_FcY9zMnHP8iPO4M5RCRjy6nZY0TY/edit#gid=1248694442"",""Table 1: Study characteristics!I4:I175""), $A41=IMPORTRANGE(""https://docs.google.com/spreadsheets/d/1kGrh75X1cNR1D7_FcY9zMnHP"&amp;"8iPO4M5RCRjy6nZY0TY/edit#gid=1248694442"",""Table 1: Study characteristics!A4:A175""))"),"English")</f>
        <v>English</v>
      </c>
    </row>
    <row r="42">
      <c r="A42" s="4" t="str">
        <f>IFERROR(__xludf.DUMMYFUNCTION("""COMPUTED_VALUE"""),"ID 84")</f>
        <v>ID 84</v>
      </c>
      <c r="B42" s="13" t="s">
        <v>190</v>
      </c>
      <c r="C42" s="4" t="str">
        <f>IFERROR(__xludf.DUMMYFUNCTION("LEFT(FILTER(IMPORTRANGE(""https://docs.google.com/spreadsheets/d/1kGrh75X1cNR1D7_FcY9zMnHP8iPO4M5RCRjy6nZY0TY/edit#gid=1248694442"",""Table 1: Study characteristics!C4:C175""), $A42=IMPORTRANGE(""https://docs.google.com/spreadsheets/d/1kGrh75X1cNR1D7_FcY9"&amp;"zMnHP8iPO4M5RCRjy6nZY0TY/edit#gid=1248694442"",""Table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$A42=IMPORTRANGE(""https://docs.google.com/spreadsheets/d/1kGrh75X1cNR1D7_FcY9zMnHP8iPO4M5RCRjy6nZY0TY/edit#gid=1248694442"",""Table 1: Study characteristics!A4:A175"")))-1)"),"Tuli")</f>
        <v>Tuli</v>
      </c>
      <c r="D42" s="4">
        <f>IFERROR(__xludf.DUMMYFUNCTION("FILTER(IMPORTRANGE(""https://docs.google.com/spreadsheets/d/1kGrh75X1cNR1D7_FcY9zMnHP8iPO4M5RCRjy6nZY0TY/edit#gid=1248694442"",""Table 1: Study characteristics!K4:K175""), $A42=IMPORTRANGE(""https://docs.google.com/spreadsheets/d/1kGrh75X1cNR1D7_FcY9zMnHP"&amp;"8iPO4M5RCRjy6nZY0TY/edit#gid=1248694442"",""Table 1: Study characteristics!A4:A175""))"),2003.0)</f>
        <v>2003</v>
      </c>
      <c r="E42" s="4" t="str">
        <f>IFERROR(__xludf.DUMMYFUNCTION("FILTER(IMPORTRANGE(""https://docs.google.com/spreadsheets/d/1kGrh75X1cNR1D7_FcY9zMnHP8iPO4M5RCRjy6nZY0TY/edit#gid=1248694442"",""Table 1: Study characteristics!M4:M175""), $A42=IMPORTRANGE(""https://docs.google.com/spreadsheets/d/1kGrh75X1cNR1D7_FcY9zMnHP"&amp;"8iPO4M5RCRjy6nZY0TY/edit#gid=1248694442"",""Table 1: Study characteristics!A4:A175""))"),"High income")</f>
        <v>High income</v>
      </c>
      <c r="F42" s="4" t="str">
        <f>IFERROR(__xludf.DUMMYFUNCTION("FILTER(IMPORTRANGE(""https://docs.google.com/spreadsheets/d/1kGrh75X1cNR1D7_FcY9zMnHP8iPO4M5RCRjy6nZY0TY/edit#gid=1248694442"",""Table 1: Study characteristics!N4:N175""), $A42=IMPORTRANGE(""https://docs.google.com/spreadsheets/d/1kGrh75X1cNR1D7_FcY9zMnHP"&amp;"8iPO4M5RCRjy6nZY0TY/edit#gid=1248694442"",""Table 1: Study characteristics!A4:A175""))"),"North America")</f>
        <v>North America</v>
      </c>
      <c r="G42" s="4" t="str">
        <f>IFERROR(__xludf.DUMMYFUNCTION("FILTER(IMPORTRANGE(""https://docs.google.com/spreadsheets/d/1kGrh75X1cNR1D7_FcY9zMnHP8iPO4M5RCRjy6nZY0TY/edit#gid=1248694442"",""Table 1: Study characteristics!J4:J175""), $A42=IMPORTRANGE(""https://docs.google.com/spreadsheets/d/1kGrh75X1cNR1D7_FcY9zMnHP"&amp;"8iPO4M5RCRjy6nZY0TY/edit#gid=1248694442"",""Table 1: Study characteristics!A4:A175""))"),"United States")</f>
        <v>United States</v>
      </c>
      <c r="H42" s="4" t="str">
        <f>IFERROR(__xludf.DUMMYFUNCTION("FILTER(IMPORTRANGE(""https://docs.google.com/spreadsheets/d/1kGrh75X1cNR1D7_FcY9zMnHP8iPO4M5RCRjy6nZY0TY/edit#gid=1248694442"",""Table 1: Study characteristics!O4:O175""), $A42=IMPORTRANGE(""https://docs.google.com/spreadsheets/d/1kGrh75X1cNR1D7_FcY9zMnHP"&amp;"8iPO4M5RCRjy6nZY0TY/edit#gid=1248694442"",""Table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42" s="14" t="str">
        <f>IFERROR(__xludf.DUMMYFUNCTION("IFNA(FILTER(IMPORTRANGE(""https://docs.google.com/spreadsheets/d/1kGrh75X1cNR1D7_FcY9zMnHP8iPO4M5RCRjy6nZY0TY/edit#gid=1248694442"",""Table 3: 1st-line HC!C5:C111""), $A42=IMPORTRANGE(""https://docs.google.com/spreadsheets/d/1kGrh75X1cNR1D7_FcY9zMnHP8iPO4"&amp;"M5RCRjy6nZY0TY/edit#gid=1248694442"",""Table 3: 1st-line HC!A5:A111"")),"""")"),"Selected")</f>
        <v>Selected</v>
      </c>
      <c r="J42" s="4">
        <f>IFERROR(__xludf.DUMMYFUNCTION("FILTER(IMPORTRANGE(""https://docs.google.com/spreadsheets/d/1kGrh75X1cNR1D7_FcY9zMnHP8iPO4M5RCRjy6nZY0TY/edit#gid=1248694442"",""Table 1: Study characteristics!P4:P175""), $A42=IMPORTRANGE(""https://docs.google.com/spreadsheets/d/1kGrh75X1cNR1D7_FcY9zMnHP"&amp;"8iPO4M5RCRjy6nZY0TY/edit#gid=1248694442"",""Table 1: Study characteristics!A4:A175""))"),189.0)</f>
        <v>189</v>
      </c>
      <c r="K42" s="4" t="str">
        <f>IFERROR(__xludf.DUMMYFUNCTION("FILTER(IMPORTRANGE(""https://docs.google.com/spreadsheets/d/1kGrh75X1cNR1D7_FcY9zMnHP8iPO4M5RCRjy6nZY0TY/edit#gid=1248694442"",""Table 1: Study characteristics!U4:U175""), $A42=IMPORTRANGE(""https://docs.google.com/spreadsheets/d/1kGrh75X1cNR1D7_FcY9zMnHP"&amp;"8iPO4M5RCRjy6nZY0TY/edit#gid=1248694442"",""Table 1: Study characteristics!A4:A175""))"),"")</f>
        <v/>
      </c>
      <c r="L42" s="4" t="str">
        <f>IFERROR(__xludf.DUMMYFUNCTION("FILTER(IMPORTRANGE(""https://docs.google.com/spreadsheets/d/1kGrh75X1cNR1D7_FcY9zMnHP8iPO4M5RCRjy6nZY0TY/edit#gid=1248694442"",""Table 1: Study characteristics!V4:V175""), $A42=IMPORTRANGE(""https://docs.google.com/spreadsheets/d/1kGrh75X1cNR1D7_FcY9zMnHP"&amp;"8iPO4M5RCRjy6nZY0TY/edit#gid=1248694442"",""Table 1: Study characteristics!A4:A175""))"),"")</f>
        <v/>
      </c>
      <c r="M42" s="4" t="str">
        <f>IFERROR(__xludf.DUMMYFUNCTION("FILTER(IMPORTRANGE(""https://docs.google.com/spreadsheets/d/1kGrh75X1cNR1D7_FcY9zMnHP8iPO4M5RCRjy6nZY0TY/edit#gid=1248694442"",""Table 1: Study characteristics!Q4:Q175""), $A42=IMPORTRANGE(""https://docs.google.com/spreadsheets/d/1kGrh75X1cNR1D7_FcY9zMnHP"&amp;"8iPO4M5RCRjy6nZY0TY/edit#gid=1248694442"",""Table 1: Study characteristics!A4:A175""))"),"")</f>
        <v/>
      </c>
      <c r="N42" s="4" t="str">
        <f>IFERROR(__xludf.DUMMYFUNCTION("FILTER(IMPORTRANGE(""https://docs.google.com/spreadsheets/d/1kGrh75X1cNR1D7_FcY9zMnHP8iPO4M5RCRjy6nZY0TY/edit#gid=1248694442"",""Table 1: Study characteristics!R4:R175""), $A42=IMPORTRANGE(""https://docs.google.com/spreadsheets/d/1kGrh75X1cNR1D7_FcY9zMnHP"&amp;"8iPO4M5RCRjy6nZY0TY/edit#gid=1248694442"",""Table 1: Study characteristics!A4:A175""))"),"")</f>
        <v/>
      </c>
      <c r="O42" s="4" t="str">
        <f>IFERROR(__xludf.DUMMYFUNCTION("FILTER(IMPORTRANGE(""https://docs.google.com/spreadsheets/d/1kGrh75X1cNR1D7_FcY9zMnHP8iPO4M5RCRjy6nZY0TY/edit#gid=1248694442"",""Table 1: Study characteristics!S4:S175""), $A42=IMPORTRANGE(""https://docs.google.com/spreadsheets/d/1kGrh75X1cNR1D7_FcY9zMnHP"&amp;"8iPO4M5RCRjy6nZY0TY/edit#gid=1248694442"",""Table 1: Study characteristics!A4:A175""))"),"")</f>
        <v/>
      </c>
      <c r="P42" s="6" t="str">
        <f>IFERROR(__xludf.DUMMYFUNCTION("FILTER(IMPORTRANGE(""https://docs.google.com/spreadsheets/d/1kGrh75X1cNR1D7_FcY9zMnHP8iPO4M5RCRjy6nZY0TY/edit#gid=1248694442"",""Table 1: Study characteristics!T4:T175""), $A42=IMPORTRANGE(""https://docs.google.com/spreadsheets/d/1kGrh75X1cNR1D7_FcY9zMnHP"&amp;"8iPO4M5RCRjy6nZY0TY/edit#gid=1248694442"",""Table 1: Study characteristics!A4:A175""))"),"")</f>
        <v/>
      </c>
      <c r="Q42" s="6" t="str">
        <f>IFERROR(__xludf.DUMMYFUNCTION("FILTER(IMPORTRANGE(""https://docs.google.com/spreadsheets/d/1kGrh75X1cNR1D7_FcY9zMnHP8iPO4M5RCRjy6nZY0TY/edit#gid=1248694442"",""Table 1: Study characteristics!L4:L175""), $A42=IMPORTRANGE(""https://docs.google.com/spreadsheets/d/1kGrh75X1cNR1D7_FcY9zMnHP"&amp;"8iPO4M5RCRjy6nZY0TY/edit#gid=1248694442"",""Table 1: Study characteristics!A4:A175""))"),"1987-1996")</f>
        <v>1987-1996</v>
      </c>
      <c r="R42" s="4" t="str">
        <f>IFERROR(__xludf.DUMMYFUNCTION("FILTER(IMPORTRANGE(""https://docs.google.com/spreadsheets/d/1kGrh75X1cNR1D7_FcY9zMnHP8iPO4M5RCRjy6nZY0TY/edit#gid=1248694442"",""Table 1: Study characteristics!I4:I175""), $A42=IMPORTRANGE(""https://docs.google.com/spreadsheets/d/1kGrh75X1cNR1D7_FcY9zMnHP"&amp;"8iPO4M5RCRjy6nZY0TY/edit#gid=1248694442"",""Table 1: Study characteristics!A4:A175""))"),"English")</f>
        <v>English</v>
      </c>
    </row>
    <row r="43">
      <c r="A43" s="4" t="str">
        <f>IFERROR(__xludf.DUMMYFUNCTION("""COMPUTED_VALUE"""),"ID 86")</f>
        <v>ID 86</v>
      </c>
      <c r="B43" s="13" t="s">
        <v>191</v>
      </c>
      <c r="C43" s="4" t="str">
        <f>IFERROR(__xludf.DUMMYFUNCTION("LEFT(FILTER(IMPORTRANGE(""https://docs.google.com/spreadsheets/d/1kGrh75X1cNR1D7_FcY9zMnHP8iPO4M5RCRjy6nZY0TY/edit#gid=1248694442"",""Table 1: Study characteristics!C4:C175""), $A43=IMPORTRANGE(""https://docs.google.com/spreadsheets/d/1kGrh75X1cNR1D7_FcY9"&amp;"zMnHP8iPO4M5RCRjy6nZY0TY/edit#gid=1248694442"",""Table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$A43=IMPORTRANGE(""https://docs.google.com/spreadsheets/d/1kGrh75X1cNR1D7_FcY9zMnHP8iPO4M5RCRjy6nZY0TY/edit#gid=1248694442"",""Table 1: Study characteristics!A4:A175"")))-1)"),"Hashim")</f>
        <v>Hashim</v>
      </c>
      <c r="D43" s="4">
        <f>IFERROR(__xludf.DUMMYFUNCTION("FILTER(IMPORTRANGE(""https://docs.google.com/spreadsheets/d/1kGrh75X1cNR1D7_FcY9zMnHP8iPO4M5RCRjy6nZY0TY/edit#gid=1248694442"",""Table 1: Study characteristics!K4:K175""), $A43=IMPORTRANGE(""https://docs.google.com/spreadsheets/d/1kGrh75X1cNR1D7_FcY9zMnHP"&amp;"8iPO4M5RCRjy6nZY0TY/edit#gid=1248694442"",""Table 1: Study characteristics!A4:A175""))"),2008.0)</f>
        <v>2008</v>
      </c>
      <c r="E43" s="4" t="str">
        <f>IFERROR(__xludf.DUMMYFUNCTION("FILTER(IMPORTRANGE(""https://docs.google.com/spreadsheets/d/1kGrh75X1cNR1D7_FcY9zMnHP8iPO4M5RCRjy6nZY0TY/edit#gid=1248694442"",""Table 1: Study characteristics!M4:M175""), $A43=IMPORTRANGE(""https://docs.google.com/spreadsheets/d/1kGrh75X1cNR1D7_FcY9zMnHP"&amp;"8iPO4M5RCRjy6nZY0TY/edit#gid=1248694442"",""Table 1: Study characteristics!A4:A175""))"),"Lower middle income")</f>
        <v>Lower middle income</v>
      </c>
      <c r="F43" s="4" t="str">
        <f>IFERROR(__xludf.DUMMYFUNCTION("FILTER(IMPORTRANGE(""https://docs.google.com/spreadsheets/d/1kGrh75X1cNR1D7_FcY9zMnHP8iPO4M5RCRjy6nZY0TY/edit#gid=1248694442"",""Table 1: Study characteristics!N4:N175""), $A43=IMPORTRANGE(""https://docs.google.com/spreadsheets/d/1kGrh75X1cNR1D7_FcY9zMnHP"&amp;"8iPO4M5RCRjy6nZY0TY/edit#gid=1248694442"",""Table 1: Study characteristics!A4:A175""))"),"South Asia")</f>
        <v>South Asia</v>
      </c>
      <c r="G43" s="4" t="str">
        <f>IFERROR(__xludf.DUMMYFUNCTION("FILTER(IMPORTRANGE(""https://docs.google.com/spreadsheets/d/1kGrh75X1cNR1D7_FcY9zMnHP8iPO4M5RCRjy6nZY0TY/edit#gid=1248694442"",""Table 1: Study characteristics!J4:J175""), $A43=IMPORTRANGE(""https://docs.google.com/spreadsheets/d/1kGrh75X1cNR1D7_FcY9zMnHP"&amp;"8iPO4M5RCRjy6nZY0TY/edit#gid=1248694442"",""Table 1: Study characteristics!A4:A175""))"),"Pakistan")</f>
        <v>Pakistan</v>
      </c>
      <c r="H43" s="4" t="str">
        <f>IFERROR(__xludf.DUMMYFUNCTION("FILTER(IMPORTRANGE(""https://docs.google.com/spreadsheets/d/1kGrh75X1cNR1D7_FcY9zMnHP8iPO4M5RCRjy6nZY0TY/edit#gid=1248694442"",""Table 1: Study characteristics!O4:O175""), $A43=IMPORTRANGE(""https://docs.google.com/spreadsheets/d/1kGrh75X1cNR1D7_FcY9zMnHP"&amp;"8iPO4M5RCRjy6nZY0TY/edit#gid=1248694442"",""Table 1: Study characteristics!A4:A175""))"),"Cross sectional study")</f>
        <v>Cross sectional study</v>
      </c>
      <c r="I43" s="14" t="str">
        <f>IFERROR(__xludf.DUMMYFUNCTION("IFNA(FILTER(IMPORTRANGE(""https://docs.google.com/spreadsheets/d/1kGrh75X1cNR1D7_FcY9zMnHP8iPO4M5RCRjy6nZY0TY/edit#gid=1248694442"",""Table 3: 1st-line HC!C5:C111""), $A43=IMPORTRANGE(""https://docs.google.com/spreadsheets/d/1kGrh75X1cNR1D7_FcY9zMnHP8iPO4"&amp;"M5RCRjy6nZY0TY/edit#gid=1248694442"",""Table 3: 1st-line HC!A5:A111"")),"""")"),"Selected")</f>
        <v>Selected</v>
      </c>
      <c r="J43" s="4">
        <f>IFERROR(__xludf.DUMMYFUNCTION("FILTER(IMPORTRANGE(""https://docs.google.com/spreadsheets/d/1kGrh75X1cNR1D7_FcY9zMnHP8iPO4M5RCRjy6nZY0TY/edit#gid=1248694442"",""Table 1: Study characteristics!P4:P175""), $A43=IMPORTRANGE(""https://docs.google.com/spreadsheets/d/1kGrh75X1cNR1D7_FcY9zMnHP"&amp;"8iPO4M5RCRjy6nZY0TY/edit#gid=1248694442"",""Table 1: Study characteristics!A4:A175""))"),365.0)</f>
        <v>365</v>
      </c>
      <c r="K43" s="4" t="str">
        <f>IFERROR(__xludf.DUMMYFUNCTION("FILTER(IMPORTRANGE(""https://docs.google.com/spreadsheets/d/1kGrh75X1cNR1D7_FcY9zMnHP8iPO4M5RCRjy6nZY0TY/edit#gid=1248694442"",""Table 1: Study characteristics!U4:U175""), $A43=IMPORTRANGE(""https://docs.google.com/spreadsheets/d/1kGrh75X1cNR1D7_FcY9zMnHP"&amp;"8iPO4M5RCRjy6nZY0TY/edit#gid=1248694442"",""Table 1: Study characteristics!A4:A175""))"),"")</f>
        <v/>
      </c>
      <c r="L43" s="4" t="str">
        <f>IFERROR(__xludf.DUMMYFUNCTION("FILTER(IMPORTRANGE(""https://docs.google.com/spreadsheets/d/1kGrh75X1cNR1D7_FcY9zMnHP8iPO4M5RCRjy6nZY0TY/edit#gid=1248694442"",""Table 1: Study characteristics!V4:V175""), $A43=IMPORTRANGE(""https://docs.google.com/spreadsheets/d/1kGrh75X1cNR1D7_FcY9zMnHP"&amp;"8iPO4M5RCRjy6nZY0TY/edit#gid=1248694442"",""Table 1: Study characteristics!A4:A175""))"),"")</f>
        <v/>
      </c>
      <c r="M43" s="4" t="str">
        <f>IFERROR(__xludf.DUMMYFUNCTION("FILTER(IMPORTRANGE(""https://docs.google.com/spreadsheets/d/1kGrh75X1cNR1D7_FcY9zMnHP8iPO4M5RCRjy6nZY0TY/edit#gid=1248694442"",""Table 1: Study characteristics!Q4:Q175""), $A43=IMPORTRANGE(""https://docs.google.com/spreadsheets/d/1kGrh75X1cNR1D7_FcY9zMnHP"&amp;"8iPO4M5RCRjy6nZY0TY/edit#gid=1248694442"",""Table 1: Study characteristics!A4:A175""))"),"")</f>
        <v/>
      </c>
      <c r="N43" s="4" t="str">
        <f>IFERROR(__xludf.DUMMYFUNCTION("FILTER(IMPORTRANGE(""https://docs.google.com/spreadsheets/d/1kGrh75X1cNR1D7_FcY9zMnHP8iPO4M5RCRjy6nZY0TY/edit#gid=1248694442"",""Table 1: Study characteristics!R4:R175""), $A43=IMPORTRANGE(""https://docs.google.com/spreadsheets/d/1kGrh75X1cNR1D7_FcY9zMnHP"&amp;"8iPO4M5RCRjy6nZY0TY/edit#gid=1248694442"",""Table 1: Study characteristics!A4:A175""))"),"")</f>
        <v/>
      </c>
      <c r="O43" s="4" t="str">
        <f>IFERROR(__xludf.DUMMYFUNCTION("FILTER(IMPORTRANGE(""https://docs.google.com/spreadsheets/d/1kGrh75X1cNR1D7_FcY9zMnHP8iPO4M5RCRjy6nZY0TY/edit#gid=1248694442"",""Table 1: Study characteristics!S4:S175""), $A43=IMPORTRANGE(""https://docs.google.com/spreadsheets/d/1kGrh75X1cNR1D7_FcY9zMnHP"&amp;"8iPO4M5RCRjy6nZY0TY/edit#gid=1248694442"",""Table 1: Study characteristics!A4:A175""))"),"")</f>
        <v/>
      </c>
      <c r="P43" s="6" t="str">
        <f>IFERROR(__xludf.DUMMYFUNCTION("FILTER(IMPORTRANGE(""https://docs.google.com/spreadsheets/d/1kGrh75X1cNR1D7_FcY9zMnHP8iPO4M5RCRjy6nZY0TY/edit#gid=1248694442"",""Table 1: Study characteristics!T4:T175""), $A43=IMPORTRANGE(""https://docs.google.com/spreadsheets/d/1kGrh75X1cNR1D7_FcY9zMnHP"&amp;"8iPO4M5RCRjy6nZY0TY/edit#gid=1248694442"",""Table 1: Study characteristics!A4:A175""))"),"")</f>
        <v/>
      </c>
      <c r="Q43" s="6" t="str">
        <f>IFERROR(__xludf.DUMMYFUNCTION("FILTER(IMPORTRANGE(""https://docs.google.com/spreadsheets/d/1kGrh75X1cNR1D7_FcY9zMnHP8iPO4M5RCRjy6nZY0TY/edit#gid=1248694442"",""Table 1: Study characteristics!L4:L175""), $A43=IMPORTRANGE(""https://docs.google.com/spreadsheets/d/1kGrh75X1cNR1D7_FcY9zMnHP"&amp;"8iPO4M5RCRjy6nZY0TY/edit#gid=1248694442"",""Table 1: Study characteristics!A4:A175""))"),"2001-2006")</f>
        <v>2001-2006</v>
      </c>
      <c r="R43" s="4" t="str">
        <f>IFERROR(__xludf.DUMMYFUNCTION("FILTER(IMPORTRANGE(""https://docs.google.com/spreadsheets/d/1kGrh75X1cNR1D7_FcY9zMnHP8iPO4M5RCRjy6nZY0TY/edit#gid=1248694442"",""Table 1: Study characteristics!I4:I175""), $A43=IMPORTRANGE(""https://docs.google.com/spreadsheets/d/1kGrh75X1cNR1D7_FcY9zMnHP"&amp;"8iPO4M5RCRjy6nZY0TY/edit#gid=1248694442"",""Table 1: Study characteristics!A4:A175""))"),"English")</f>
        <v>English</v>
      </c>
    </row>
    <row r="44">
      <c r="A44" s="4" t="str">
        <f>IFERROR(__xludf.DUMMYFUNCTION("""COMPUTED_VALUE"""),"ID 88")</f>
        <v>ID 88</v>
      </c>
      <c r="B44" s="13" t="s">
        <v>192</v>
      </c>
      <c r="C44" s="4" t="str">
        <f>IFERROR(__xludf.DUMMYFUNCTION("LEFT(FILTER(IMPORTRANGE(""https://docs.google.com/spreadsheets/d/1kGrh75X1cNR1D7_FcY9zMnHP8iPO4M5RCRjy6nZY0TY/edit#gid=1248694442"",""Table 1: Study characteristics!C4:C175""), $A44=IMPORTRANGE(""https://docs.google.com/spreadsheets/d/1kGrh75X1cNR1D7_FcY9"&amp;"zMnHP8iPO4M5RCRjy6nZY0TY/edit#gid=1248694442"",""Table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$A44=IMPORTRANGE(""https://docs.google.com/spreadsheets/d/1kGrh75X1cNR1D7_FcY9zMnHP8iPO4M5RCRjy6nZY0TY/edit#gid=1248694442"",""Table 1: Study characteristics!A4:A175"")))-1)"),"Ulsenheimer")</f>
        <v>Ulsenheimer</v>
      </c>
      <c r="D44" s="4">
        <f>IFERROR(__xludf.DUMMYFUNCTION("FILTER(IMPORTRANGE(""https://docs.google.com/spreadsheets/d/1kGrh75X1cNR1D7_FcY9zMnHP8iPO4M5RCRjy6nZY0TY/edit#gid=1248694442"",""Table 1: Study characteristics!K4:K175""), $A44=IMPORTRANGE(""https://docs.google.com/spreadsheets/d/1kGrh75X1cNR1D7_FcY9zMnHP"&amp;"8iPO4M5RCRjy6nZY0TY/edit#gid=1248694442"",""Table 1: Study characteristics!A4:A175""))"),2004.0)</f>
        <v>2004</v>
      </c>
      <c r="E44" s="4" t="str">
        <f>IFERROR(__xludf.DUMMYFUNCTION("FILTER(IMPORTRANGE(""https://docs.google.com/spreadsheets/d/1kGrh75X1cNR1D7_FcY9zMnHP8iPO4M5RCRjy6nZY0TY/edit#gid=1248694442"",""Table 1: Study characteristics!M4:M175""), $A44=IMPORTRANGE(""https://docs.google.com/spreadsheets/d/1kGrh75X1cNR1D7_FcY9zMnHP"&amp;"8iPO4M5RCRjy6nZY0TY/edit#gid=1248694442"",""Table 1: Study characteristics!A4:A175""))"),"Upper middle income")</f>
        <v>Upper middle income</v>
      </c>
      <c r="F44" s="4" t="str">
        <f>IFERROR(__xludf.DUMMYFUNCTION("FILTER(IMPORTRANGE(""https://docs.google.com/spreadsheets/d/1kGrh75X1cNR1D7_FcY9zMnHP8iPO4M5RCRjy6nZY0TY/edit#gid=1248694442"",""Table 1: Study characteristics!N4:N175""), $A44=IMPORTRANGE(""https://docs.google.com/spreadsheets/d/1kGrh75X1cNR1D7_FcY9zMnHP"&amp;"8iPO4M5RCRjy6nZY0TY/edit#gid=1248694442"",""Table 1: Study characteristics!A4:A175""))"),"Latin America &amp; Caribbean")</f>
        <v>Latin America &amp; Caribbean</v>
      </c>
      <c r="G44" s="4" t="str">
        <f>IFERROR(__xludf.DUMMYFUNCTION("FILTER(IMPORTRANGE(""https://docs.google.com/spreadsheets/d/1kGrh75X1cNR1D7_FcY9zMnHP8iPO4M5RCRjy6nZY0TY/edit#gid=1248694442"",""Table 1: Study characteristics!J4:J175""), $A44=IMPORTRANGE(""https://docs.google.com/spreadsheets/d/1kGrh75X1cNR1D7_FcY9zMnHP"&amp;"8iPO4M5RCRjy6nZY0TY/edit#gid=1248694442"",""Table 1: Study characteristics!A4:A175""))"),"Brazil")</f>
        <v>Brazil</v>
      </c>
      <c r="H44" s="4" t="str">
        <f>IFERROR(__xludf.DUMMYFUNCTION("FILTER(IMPORTRANGE(""https://docs.google.com/spreadsheets/d/1kGrh75X1cNR1D7_FcY9zMnHP8iPO4M5RCRjy6nZY0TY/edit#gid=1248694442"",""Table 1: Study characteristics!O4:O175""), $A44=IMPORTRANGE(""https://docs.google.com/spreadsheets/d/1kGrh75X1cNR1D7_FcY9zMnHP"&amp;"8iPO4M5RCRjy6nZY0TY/edit#gid=1248694442"",""Table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44" s="14" t="str">
        <f>IFERROR(__xludf.DUMMYFUNCTION("IFNA(FILTER(IMPORTRANGE(""https://docs.google.com/spreadsheets/d/1kGrh75X1cNR1D7_FcY9zMnHP8iPO4M5RCRjy6nZY0TY/edit#gid=1248694442"",""Table 3: 1st-line HC!C5:C111""), $A44=IMPORTRANGE(""https://docs.google.com/spreadsheets/d/1kGrh75X1cNR1D7_FcY9zMnHP8iPO4"&amp;"M5RCRjy6nZY0TY/edit#gid=1248694442"",""Table 3: 1st-line HC!A5:A111"")),"""")"),"Selected")</f>
        <v>Selected</v>
      </c>
      <c r="J44" s="4">
        <f>IFERROR(__xludf.DUMMYFUNCTION("FILTER(IMPORTRANGE(""https://docs.google.com/spreadsheets/d/1kGrh75X1cNR1D7_FcY9zMnHP8iPO4M5RCRjy6nZY0TY/edit#gid=1248694442"",""Table 1: Study characteristics!P4:P175""), $A44=IMPORTRANGE(""https://docs.google.com/spreadsheets/d/1kGrh75X1cNR1D7_FcY9zMnHP"&amp;"8iPO4M5RCRjy6nZY0TY/edit#gid=1248694442"",""Table 1: Study characteristics!A4:A175""))"),30.0)</f>
        <v>30</v>
      </c>
      <c r="K44" s="4" t="str">
        <f>IFERROR(__xludf.DUMMYFUNCTION("FILTER(IMPORTRANGE(""https://docs.google.com/spreadsheets/d/1kGrh75X1cNR1D7_FcY9zMnHP8iPO4M5RCRjy6nZY0TY/edit#gid=1248694442"",""Table 1: Study characteristics!U4:U175""), $A44=IMPORTRANGE(""https://docs.google.com/spreadsheets/d/1kGrh75X1cNR1D7_FcY9zMnHP"&amp;"8iPO4M5RCRjy6nZY0TY/edit#gid=1248694442"",""Table 1: Study characteristics!A4:A175""))"),"")</f>
        <v/>
      </c>
      <c r="L44" s="4" t="str">
        <f>IFERROR(__xludf.DUMMYFUNCTION("FILTER(IMPORTRANGE(""https://docs.google.com/spreadsheets/d/1kGrh75X1cNR1D7_FcY9zMnHP8iPO4M5RCRjy6nZY0TY/edit#gid=1248694442"",""Table 1: Study characteristics!V4:V175""), $A44=IMPORTRANGE(""https://docs.google.com/spreadsheets/d/1kGrh75X1cNR1D7_FcY9zMnHP"&amp;"8iPO4M5RCRjy6nZY0TY/edit#gid=1248694442"",""Table 1: Study characteristics!A4:A175""))"),"")</f>
        <v/>
      </c>
      <c r="M44" s="4" t="str">
        <f>IFERROR(__xludf.DUMMYFUNCTION("FILTER(IMPORTRANGE(""https://docs.google.com/spreadsheets/d/1kGrh75X1cNR1D7_FcY9zMnHP8iPO4M5RCRjy6nZY0TY/edit#gid=1248694442"",""Table 1: Study characteristics!Q4:Q175""), $A44=IMPORTRANGE(""https://docs.google.com/spreadsheets/d/1kGrh75X1cNR1D7_FcY9zMnHP"&amp;"8iPO4M5RCRjy6nZY0TY/edit#gid=1248694442"",""Table 1: Study characteristics!A4:A175""))"),"")</f>
        <v/>
      </c>
      <c r="N44" s="4" t="str">
        <f>IFERROR(__xludf.DUMMYFUNCTION("FILTER(IMPORTRANGE(""https://docs.google.com/spreadsheets/d/1kGrh75X1cNR1D7_FcY9zMnHP8iPO4M5RCRjy6nZY0TY/edit#gid=1248694442"",""Table 1: Study characteristics!R4:R175""), $A44=IMPORTRANGE(""https://docs.google.com/spreadsheets/d/1kGrh75X1cNR1D7_FcY9zMnHP"&amp;"8iPO4M5RCRjy6nZY0TY/edit#gid=1248694442"",""Table 1: Study characteristics!A4:A175""))"),"")</f>
        <v/>
      </c>
      <c r="O44" s="4" t="str">
        <f>IFERROR(__xludf.DUMMYFUNCTION("FILTER(IMPORTRANGE(""https://docs.google.com/spreadsheets/d/1kGrh75X1cNR1D7_FcY9zMnHP8iPO4M5RCRjy6nZY0TY/edit#gid=1248694442"",""Table 1: Study characteristics!S4:S175""), $A44=IMPORTRANGE(""https://docs.google.com/spreadsheets/d/1kGrh75X1cNR1D7_FcY9zMnHP"&amp;"8iPO4M5RCRjy6nZY0TY/edit#gid=1248694442"",""Table 1: Study characteristics!A4:A175""))"),"")</f>
        <v/>
      </c>
      <c r="P44" s="6" t="str">
        <f>IFERROR(__xludf.DUMMYFUNCTION("FILTER(IMPORTRANGE(""https://docs.google.com/spreadsheets/d/1kGrh75X1cNR1D7_FcY9zMnHP8iPO4M5RCRjy6nZY0TY/edit#gid=1248694442"",""Table 1: Study characteristics!T4:T175""), $A44=IMPORTRANGE(""https://docs.google.com/spreadsheets/d/1kGrh75X1cNR1D7_FcY9zMnHP"&amp;"8iPO4M5RCRjy6nZY0TY/edit#gid=1248694442"",""Table 1: Study characteristics!A4:A175""))"),"")</f>
        <v/>
      </c>
      <c r="Q44" s="6" t="str">
        <f>IFERROR(__xludf.DUMMYFUNCTION("FILTER(IMPORTRANGE(""https://docs.google.com/spreadsheets/d/1kGrh75X1cNR1D7_FcY9zMnHP8iPO4M5RCRjy6nZY0TY/edit#gid=1248694442"",""Table 1: Study characteristics!L4:L175""), $A44=IMPORTRANGE(""https://docs.google.com/spreadsheets/d/1kGrh75X1cNR1D7_FcY9zMnHP"&amp;"8iPO4M5RCRjy6nZY0TY/edit#gid=1248694442"",""Table 1: Study characteristics!A4:A175""))"),"1990-2000")</f>
        <v>1990-2000</v>
      </c>
      <c r="R44" s="4" t="str">
        <f>IFERROR(__xludf.DUMMYFUNCTION("FILTER(IMPORTRANGE(""https://docs.google.com/spreadsheets/d/1kGrh75X1cNR1D7_FcY9zMnHP8iPO4M5RCRjy6nZY0TY/edit#gid=1248694442"",""Table 1: Study characteristics!I4:I175""), $A44=IMPORTRANGE(""https://docs.google.com/spreadsheets/d/1kGrh75X1cNR1D7_FcY9zMnHP"&amp;"8iPO4M5RCRjy6nZY0TY/edit#gid=1248694442"",""Table 1: Study characteristics!A4:A175""))"),"English")</f>
        <v>English</v>
      </c>
    </row>
    <row r="45">
      <c r="A45" s="4" t="str">
        <f>IFERROR(__xludf.DUMMYFUNCTION("""COMPUTED_VALUE"""),"ID 89")</f>
        <v>ID 89</v>
      </c>
      <c r="B45" s="13" t="s">
        <v>193</v>
      </c>
      <c r="C45" s="4" t="str">
        <f>IFERROR(__xludf.DUMMYFUNCTION("LEFT(FILTER(IMPORTRANGE(""https://docs.google.com/spreadsheets/d/1kGrh75X1cNR1D7_FcY9zMnHP8iPO4M5RCRjy6nZY0TY/edit#gid=1248694442"",""Table 1: Study characteristics!C4:C175""), $A45=IMPORTRANGE(""https://docs.google.com/spreadsheets/d/1kGrh75X1cNR1D7_FcY9"&amp;"zMnHP8iPO4M5RCRjy6nZY0TY/edit#gid=1248694442"",""Table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$A45=IMPORTRANGE(""https://docs.google.com/spreadsheets/d/1kGrh75X1cNR1D7_FcY9zMnHP8iPO4M5RCRjy6nZY0TY/edit#gid=1248694442"",""Table 1: Study characteristics!A4:A175"")))-1)"),"Xu")</f>
        <v>Xu</v>
      </c>
      <c r="D45" s="4">
        <f>IFERROR(__xludf.DUMMYFUNCTION("FILTER(IMPORTRANGE(""https://docs.google.com/spreadsheets/d/1kGrh75X1cNR1D7_FcY9zMnHP8iPO4M5RCRjy6nZY0TY/edit#gid=1248694442"",""Table 1: Study characteristics!K4:K175""), $A45=IMPORTRANGE(""https://docs.google.com/spreadsheets/d/1kGrh75X1cNR1D7_FcY9zMnHP"&amp;"8iPO4M5RCRjy6nZY0TY/edit#gid=1248694442"",""Table 1: Study characteristics!A4:A175""))"),2018.0)</f>
        <v>2018</v>
      </c>
      <c r="E45" s="4" t="str">
        <f>IFERROR(__xludf.DUMMYFUNCTION("FILTER(IMPORTRANGE(""https://docs.google.com/spreadsheets/d/1kGrh75X1cNR1D7_FcY9zMnHP8iPO4M5RCRjy6nZY0TY/edit#gid=1248694442"",""Table 1: Study characteristics!M4:M175""), $A45=IMPORTRANGE(""https://docs.google.com/spreadsheets/d/1kGrh75X1cNR1D7_FcY9zMnHP"&amp;"8iPO4M5RCRjy6nZY0TY/edit#gid=1248694442"",""Table 1: Study characteristics!A4:A175""))"),"Low income")</f>
        <v>Low income</v>
      </c>
      <c r="F45" s="4" t="str">
        <f>IFERROR(__xludf.DUMMYFUNCTION("FILTER(IMPORTRANGE(""https://docs.google.com/spreadsheets/d/1kGrh75X1cNR1D7_FcY9zMnHP8iPO4M5RCRjy6nZY0TY/edit#gid=1248694442"",""Table 1: Study characteristics!N4:N175""), $A45=IMPORTRANGE(""https://docs.google.com/spreadsheets/d/1kGrh75X1cNR1D7_FcY9zMnHP"&amp;"8iPO4M5RCRjy6nZY0TY/edit#gid=1248694442"",""Table 1: Study characteristics!A4:A175""))"),"Sub-Saharan Africa")</f>
        <v>Sub-Saharan Africa</v>
      </c>
      <c r="G45" s="4" t="str">
        <f>IFERROR(__xludf.DUMMYFUNCTION("FILTER(IMPORTRANGE(""https://docs.google.com/spreadsheets/d/1kGrh75X1cNR1D7_FcY9zMnHP8iPO4M5RCRjy6nZY0TY/edit#gid=1248694442"",""Table 1: Study characteristics!J4:J175""), $A45=IMPORTRANGE(""https://docs.google.com/spreadsheets/d/1kGrh75X1cNR1D7_FcY9zMnHP"&amp;"8iPO4M5RCRjy6nZY0TY/edit#gid=1248694442"",""Table 1: Study characteristics!A4:A175""))"),"Uganda")</f>
        <v>Uganda</v>
      </c>
      <c r="H45" s="4" t="str">
        <f>IFERROR(__xludf.DUMMYFUNCTION("FILTER(IMPORTRANGE(""https://docs.google.com/spreadsheets/d/1kGrh75X1cNR1D7_FcY9zMnHP8iPO4M5RCRjy6nZY0TY/edit#gid=1248694442"",""Table 1: Study characteristics!O4:O175""), $A45=IMPORTRANGE(""https://docs.google.com/spreadsheets/d/1kGrh75X1cNR1D7_FcY9zMnHP"&amp;"8iPO4M5RCRjy6nZY0TY/edit#gid=1248694442"",""Table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45" s="14" t="str">
        <f>IFERROR(__xludf.DUMMYFUNCTION("IFNA(FILTER(IMPORTRANGE(""https://docs.google.com/spreadsheets/d/1kGrh75X1cNR1D7_FcY9zMnHP8iPO4M5RCRjy6nZY0TY/edit#gid=1248694442"",""Table 3: 1st-line HC!C5:C111""), $A45=IMPORTRANGE(""https://docs.google.com/spreadsheets/d/1kGrh75X1cNR1D7_FcY9zMnHP8iPO4"&amp;"M5RCRjy6nZY0TY/edit#gid=1248694442"",""Table 3: 1st-line HC!A5:A111"")),"""")"),"Selected")</f>
        <v>Selected</v>
      </c>
      <c r="J45" s="4">
        <f>IFERROR(__xludf.DUMMYFUNCTION("FILTER(IMPORTRANGE(""https://docs.google.com/spreadsheets/d/1kGrh75X1cNR1D7_FcY9zMnHP8iPO4M5RCRjy6nZY0TY/edit#gid=1248694442"",""Table 1: Study characteristics!P4:P175""), $A45=IMPORTRANGE(""https://docs.google.com/spreadsheets/d/1kGrh75X1cNR1D7_FcY9zMnHP"&amp;"8iPO4M5RCRjy6nZY0TY/edit#gid=1248694442"",""Table 1: Study characteristics!A4:A175""))"),87.0)</f>
        <v>87</v>
      </c>
      <c r="K45" s="4" t="str">
        <f>IFERROR(__xludf.DUMMYFUNCTION("FILTER(IMPORTRANGE(""https://docs.google.com/spreadsheets/d/1kGrh75X1cNR1D7_FcY9zMnHP8iPO4M5RCRjy6nZY0TY/edit#gid=1248694442"",""Table 1: Study characteristics!U4:U175""), $A45=IMPORTRANGE(""https://docs.google.com/spreadsheets/d/1kGrh75X1cNR1D7_FcY9zMnHP"&amp;"8iPO4M5RCRjy6nZY0TY/edit#gid=1248694442"",""Table 1: Study characteristics!A4:A175""))"),"")</f>
        <v/>
      </c>
      <c r="L45" s="4" t="str">
        <f>IFERROR(__xludf.DUMMYFUNCTION("FILTER(IMPORTRANGE(""https://docs.google.com/spreadsheets/d/1kGrh75X1cNR1D7_FcY9zMnHP8iPO4M5RCRjy6nZY0TY/edit#gid=1248694442"",""Table 1: Study characteristics!V4:V175""), $A45=IMPORTRANGE(""https://docs.google.com/spreadsheets/d/1kGrh75X1cNR1D7_FcY9zMnHP"&amp;"8iPO4M5RCRjy6nZY0TY/edit#gid=1248694442"",""Table 1: Study characteristics!A4:A175""))"),"")</f>
        <v/>
      </c>
      <c r="M45" s="4" t="str">
        <f>IFERROR(__xludf.DUMMYFUNCTION("FILTER(IMPORTRANGE(""https://docs.google.com/spreadsheets/d/1kGrh75X1cNR1D7_FcY9zMnHP8iPO4M5RCRjy6nZY0TY/edit#gid=1248694442"",""Table 1: Study characteristics!Q4:Q175""), $A45=IMPORTRANGE(""https://docs.google.com/spreadsheets/d/1kGrh75X1cNR1D7_FcY9zMnHP"&amp;"8iPO4M5RCRjy6nZY0TY/edit#gid=1248694442"",""Table 1: Study characteristics!A4:A175""))"),"")</f>
        <v/>
      </c>
      <c r="N45" s="4" t="str">
        <f>IFERROR(__xludf.DUMMYFUNCTION("FILTER(IMPORTRANGE(""https://docs.google.com/spreadsheets/d/1kGrh75X1cNR1D7_FcY9zMnHP8iPO4M5RCRjy6nZY0TY/edit#gid=1248694442"",""Table 1: Study characteristics!R4:R175""), $A45=IMPORTRANGE(""https://docs.google.com/spreadsheets/d/1kGrh75X1cNR1D7_FcY9zMnHP"&amp;"8iPO4M5RCRjy6nZY0TY/edit#gid=1248694442"",""Table 1: Study characteristics!A4:A175""))"),"")</f>
        <v/>
      </c>
      <c r="O45" s="4" t="str">
        <f>IFERROR(__xludf.DUMMYFUNCTION("FILTER(IMPORTRANGE(""https://docs.google.com/spreadsheets/d/1kGrh75X1cNR1D7_FcY9zMnHP8iPO4M5RCRjy6nZY0TY/edit#gid=1248694442"",""Table 1: Study characteristics!S4:S175""), $A45=IMPORTRANGE(""https://docs.google.com/spreadsheets/d/1kGrh75X1cNR1D7_FcY9zMnHP"&amp;"8iPO4M5RCRjy6nZY0TY/edit#gid=1248694442"",""Table 1: Study characteristics!A4:A175""))"),"")</f>
        <v/>
      </c>
      <c r="P45" s="6" t="str">
        <f>IFERROR(__xludf.DUMMYFUNCTION("FILTER(IMPORTRANGE(""https://docs.google.com/spreadsheets/d/1kGrh75X1cNR1D7_FcY9zMnHP8iPO4M5RCRjy6nZY0TY/edit#gid=1248694442"",""Table 1: Study characteristics!T4:T175""), $A45=IMPORTRANGE(""https://docs.google.com/spreadsheets/d/1kGrh75X1cNR1D7_FcY9zMnHP"&amp;"8iPO4M5RCRjy6nZY0TY/edit#gid=1248694442"",""Table 1: Study characteristics!A4:A175""))"),"")</f>
        <v/>
      </c>
      <c r="Q45" s="6" t="str">
        <f>IFERROR(__xludf.DUMMYFUNCTION("FILTER(IMPORTRANGE(""https://docs.google.com/spreadsheets/d/1kGrh75X1cNR1D7_FcY9zMnHP8iPO4M5RCRjy6nZY0TY/edit#gid=1248694442"",""Table 1: Study characteristics!L4:L175""), $A45=IMPORTRANGE(""https://docs.google.com/spreadsheets/d/1kGrh75X1cNR1D7_FcY9zMnHP"&amp;"8iPO4M5RCRjy6nZY0TY/edit#gid=1248694442"",""Table 1: Study characteristics!A4:A175""))"),"2014-2015")</f>
        <v>2014-2015</v>
      </c>
      <c r="R45" s="4" t="str">
        <f>IFERROR(__xludf.DUMMYFUNCTION("FILTER(IMPORTRANGE(""https://docs.google.com/spreadsheets/d/1kGrh75X1cNR1D7_FcY9zMnHP8iPO4M5RCRjy6nZY0TY/edit#gid=1248694442"",""Table 1: Study characteristics!I4:I175""), $A45=IMPORTRANGE(""https://docs.google.com/spreadsheets/d/1kGrh75X1cNR1D7_FcY9zMnHP"&amp;"8iPO4M5RCRjy6nZY0TY/edit#gid=1248694442"",""Table 1: Study characteristics!A4:A175""))"),"English")</f>
        <v>English</v>
      </c>
    </row>
    <row r="46">
      <c r="A46" s="4" t="str">
        <f>IFERROR(__xludf.DUMMYFUNCTION("""COMPUTED_VALUE"""),"ID 92")</f>
        <v>ID 92</v>
      </c>
      <c r="B46" s="13" t="s">
        <v>194</v>
      </c>
      <c r="C46" s="4" t="str">
        <f>IFERROR(__xludf.DUMMYFUNCTION("LEFT(FILTER(IMPORTRANGE(""https://docs.google.com/spreadsheets/d/1kGrh75X1cNR1D7_FcY9zMnHP8iPO4M5RCRjy6nZY0TY/edit#gid=1248694442"",""Table 1: Study characteristics!C4:C175""), $A46=IMPORTRANGE(""https://docs.google.com/spreadsheets/d/1kGrh75X1cNR1D7_FcY9"&amp;"zMnHP8iPO4M5RCRjy6nZY0TY/edit#gid=1248694442"",""Table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$A46=IMPORTRANGE(""https://docs.google.com/spreadsheets/d/1kGrh75X1cNR1D7_FcY9zMnHP8iPO4M5RCRjy6nZY0TY/edit#gid=1248694442"",""Table 1: Study characteristics!A4:A175"")))-1)"),"Cairo")</f>
        <v>Cairo</v>
      </c>
      <c r="D46" s="4">
        <f>IFERROR(__xludf.DUMMYFUNCTION("FILTER(IMPORTRANGE(""https://docs.google.com/spreadsheets/d/1kGrh75X1cNR1D7_FcY9zMnHP8iPO4M5RCRjy6nZY0TY/edit#gid=1248694442"",""Table 1: Study characteristics!K4:K175""), $A46=IMPORTRANGE(""https://docs.google.com/spreadsheets/d/1kGrh75X1cNR1D7_FcY9zMnHP"&amp;"8iPO4M5RCRjy6nZY0TY/edit#gid=1248694442"",""Table 1: Study characteristics!A4:A175""))"),2018.0)</f>
        <v>2018</v>
      </c>
      <c r="E46" s="4" t="str">
        <f>IFERROR(__xludf.DUMMYFUNCTION("FILTER(IMPORTRANGE(""https://docs.google.com/spreadsheets/d/1kGrh75X1cNR1D7_FcY9zMnHP8iPO4M5RCRjy6nZY0TY/edit#gid=1248694442"",""Table 1: Study characteristics!M4:M175""), $A46=IMPORTRANGE(""https://docs.google.com/spreadsheets/d/1kGrh75X1cNR1D7_FcY9zMnHP"&amp;"8iPO4M5RCRjy6nZY0TY/edit#gid=1248694442"",""Table 1: Study characteristics!A4:A175""))"),"Low income")</f>
        <v>Low income</v>
      </c>
      <c r="F46" s="4" t="str">
        <f>IFERROR(__xludf.DUMMYFUNCTION("FILTER(IMPORTRANGE(""https://docs.google.com/spreadsheets/d/1kGrh75X1cNR1D7_FcY9zMnHP8iPO4M5RCRjy6nZY0TY/edit#gid=1248694442"",""Table 1: Study characteristics!N4:N175""), $A46=IMPORTRANGE(""https://docs.google.com/spreadsheets/d/1kGrh75X1cNR1D7_FcY9zMnHP"&amp;"8iPO4M5RCRjy6nZY0TY/edit#gid=1248694442"",""Table 1: Study characteristics!A4:A175""))"),"Sub-Saharan Africa")</f>
        <v>Sub-Saharan Africa</v>
      </c>
      <c r="G46" s="4" t="str">
        <f>IFERROR(__xludf.DUMMYFUNCTION("FILTER(IMPORTRANGE(""https://docs.google.com/spreadsheets/d/1kGrh75X1cNR1D7_FcY9zMnHP8iPO4M5RCRjy6nZY0TY/edit#gid=1248694442"",""Table 1: Study characteristics!J4:J175""), $A46=IMPORTRANGE(""https://docs.google.com/spreadsheets/d/1kGrh75X1cNR1D7_FcY9zMnHP"&amp;"8iPO4M5RCRjy6nZY0TY/edit#gid=1248694442"",""Table 1: Study characteristics!A4:A175""))"),"Congo, Dem. Rep.")</f>
        <v>Congo, Dem. Rep.</v>
      </c>
      <c r="H46" s="4" t="str">
        <f>IFERROR(__xludf.DUMMYFUNCTION("FILTER(IMPORTRANGE(""https://docs.google.com/spreadsheets/d/1kGrh75X1cNR1D7_FcY9zMnHP8iPO4M5RCRjy6nZY0TY/edit#gid=1248694442"",""Table 1: Study characteristics!O4:O175""), $A46=IMPORTRANGE(""https://docs.google.com/spreadsheets/d/1kGrh75X1cNR1D7_FcY9zMnHP"&amp;"8iPO4M5RCRjy6nZY0TY/edit#gid=1248694442"",""Table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46" s="14" t="str">
        <f>IFERROR(__xludf.DUMMYFUNCTION("IFNA(FILTER(IMPORTRANGE(""https://docs.google.com/spreadsheets/d/1kGrh75X1cNR1D7_FcY9zMnHP8iPO4M5RCRjy6nZY0TY/edit#gid=1248694442"",""Table 3: 1st-line HC!C5:C111""), $A46=IMPORTRANGE(""https://docs.google.com/spreadsheets/d/1kGrh75X1cNR1D7_FcY9zMnHP8iPO4"&amp;"M5RCRjy6nZY0TY/edit#gid=1248694442"",""Table 3: 1st-line HC!A5:A111"")),"""")"),"Selected")</f>
        <v>Selected</v>
      </c>
      <c r="J46" s="4">
        <f>IFERROR(__xludf.DUMMYFUNCTION("FILTER(IMPORTRANGE(""https://docs.google.com/spreadsheets/d/1kGrh75X1cNR1D7_FcY9zMnHP8iPO4M5RCRjy6nZY0TY/edit#gid=1248694442"",""Table 1: Study characteristics!P4:P175""), $A46=IMPORTRANGE(""https://docs.google.com/spreadsheets/d/1kGrh75X1cNR1D7_FcY9zMnHP"&amp;"8iPO4M5RCRjy6nZY0TY/edit#gid=1248694442"",""Table 1: Study characteristics!A4:A175""))"),10.0)</f>
        <v>10</v>
      </c>
      <c r="K46" s="4">
        <f>IFERROR(__xludf.DUMMYFUNCTION("FILTER(IMPORTRANGE(""https://docs.google.com/spreadsheets/d/1kGrh75X1cNR1D7_FcY9zMnHP8iPO4M5RCRjy6nZY0TY/edit#gid=1248694442"",""Table 1: Study characteristics!U4:U175""), $A46=IMPORTRANGE(""https://docs.google.com/spreadsheets/d/1kGrh75X1cNR1D7_FcY9zMnHP"&amp;"8iPO4M5RCRjy6nZY0TY/edit#gid=1248694442"",""Table 1: Study characteristics!A4:A175""))"),5.0)</f>
        <v>5</v>
      </c>
      <c r="L46" s="4">
        <f>IFERROR(__xludf.DUMMYFUNCTION("FILTER(IMPORTRANGE(""https://docs.google.com/spreadsheets/d/1kGrh75X1cNR1D7_FcY9zMnHP8iPO4M5RCRjy6nZY0TY/edit#gid=1248694442"",""Table 1: Study characteristics!V4:V175""), $A46=IMPORTRANGE(""https://docs.google.com/spreadsheets/d/1kGrh75X1cNR1D7_FcY9zMnHP"&amp;"8iPO4M5RCRjy6nZY0TY/edit#gid=1248694442"",""Table 1: Study characteristics!A4:A175""))"),5.0)</f>
        <v>5</v>
      </c>
      <c r="M46" s="4">
        <f>IFERROR(__xludf.DUMMYFUNCTION("FILTER(IMPORTRANGE(""https://docs.google.com/spreadsheets/d/1kGrh75X1cNR1D7_FcY9zMnHP8iPO4M5RCRjy6nZY0TY/edit#gid=1248694442"",""Table 1: Study characteristics!Q4:Q175""), $A46=IMPORTRANGE(""https://docs.google.com/spreadsheets/d/1kGrh75X1cNR1D7_FcY9zMnHP"&amp;"8iPO4M5RCRjy6nZY0TY/edit#gid=1248694442"",""Table 1: Study characteristics!A4:A175""))"),413.6671)</f>
        <v>413.6671</v>
      </c>
      <c r="N46" s="4" t="str">
        <f>IFERROR(__xludf.DUMMYFUNCTION("FILTER(IMPORTRANGE(""https://docs.google.com/spreadsheets/d/1kGrh75X1cNR1D7_FcY9zMnHP8iPO4M5RCRjy6nZY0TY/edit#gid=1248694442"",""Table 1: Study characteristics!R4:R175""), $A46=IMPORTRANGE(""https://docs.google.com/spreadsheets/d/1kGrh75X1cNR1D7_FcY9zMnHP"&amp;"8iPO4M5RCRjy6nZY0TY/edit#gid=1248694442"",""Table 1: Study characteristics!A4:A175""))"),"")</f>
        <v/>
      </c>
      <c r="O46" s="4">
        <f>IFERROR(__xludf.DUMMYFUNCTION("FILTER(IMPORTRANGE(""https://docs.google.com/spreadsheets/d/1kGrh75X1cNR1D7_FcY9zMnHP8iPO4M5RCRjy6nZY0TY/edit#gid=1248694442"",""Table 1: Study characteristics!S4:S175""), $A46=IMPORTRANGE(""https://docs.google.com/spreadsheets/d/1kGrh75X1cNR1D7_FcY9zMnHP"&amp;"8iPO4M5RCRjy6nZY0TY/edit#gid=1248694442"",""Table 1: Study characteristics!A4:A175""))"),690.4591)</f>
        <v>690.4591</v>
      </c>
      <c r="P46" s="6" t="str">
        <f>IFERROR(__xludf.DUMMYFUNCTION("FILTER(IMPORTRANGE(""https://docs.google.com/spreadsheets/d/1kGrh75X1cNR1D7_FcY9zMnHP8iPO4M5RCRjy6nZY0TY/edit#gid=1248694442"",""Table 1: Study characteristics!T4:T175""), $A46=IMPORTRANGE(""https://docs.google.com/spreadsheets/d/1kGrh75X1cNR1D7_FcY9zMnHP"&amp;"8iPO4M5RCRjy6nZY0TY/edit#gid=1248694442"",""Table 1: Study characteristics!A4:A175""))"),"")</f>
        <v/>
      </c>
      <c r="Q46" s="6" t="str">
        <f>IFERROR(__xludf.DUMMYFUNCTION("FILTER(IMPORTRANGE(""https://docs.google.com/spreadsheets/d/1kGrh75X1cNR1D7_FcY9zMnHP8iPO4M5RCRjy6nZY0TY/edit#gid=1248694442"",""Table 1: Study characteristics!L4:L175""), $A46=IMPORTRANGE(""https://docs.google.com/spreadsheets/d/1kGrh75X1cNR1D7_FcY9zMnHP"&amp;"8iPO4M5RCRjy6nZY0TY/edit#gid=1248694442"",""Table 1: Study characteristics!A4:A175""))"),"2003-2016")</f>
        <v>2003-2016</v>
      </c>
      <c r="R46" s="4" t="str">
        <f>IFERROR(__xludf.DUMMYFUNCTION("FILTER(IMPORTRANGE(""https://docs.google.com/spreadsheets/d/1kGrh75X1cNR1D7_FcY9zMnHP8iPO4M5RCRjy6nZY0TY/edit#gid=1248694442"",""Table 1: Study characteristics!I4:I175""), $A46=IMPORTRANGE(""https://docs.google.com/spreadsheets/d/1kGrh75X1cNR1D7_FcY9zMnHP"&amp;"8iPO4M5RCRjy6nZY0TY/edit#gid=1248694442"",""Table 1: Study characteristics!A4:A175""))"),"English")</f>
        <v>English</v>
      </c>
    </row>
    <row r="47">
      <c r="A47" s="4" t="str">
        <f>IFERROR(__xludf.DUMMYFUNCTION("""COMPUTED_VALUE"""),"ID 93")</f>
        <v>ID 93</v>
      </c>
      <c r="B47" s="13" t="s">
        <v>195</v>
      </c>
      <c r="C47" s="4" t="str">
        <f>IFERROR(__xludf.DUMMYFUNCTION("LEFT(FILTER(IMPORTRANGE(""https://docs.google.com/spreadsheets/d/1kGrh75X1cNR1D7_FcY9zMnHP8iPO4M5RCRjy6nZY0TY/edit#gid=1248694442"",""Table 1: Study characteristics!C4:C175""), $A47=IMPORTRANGE(""https://docs.google.com/spreadsheets/d/1kGrh75X1cNR1D7_FcY9"&amp;"zMnHP8iPO4M5RCRjy6nZY0TY/edit#gid=1248694442"",""Table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$A47=IMPORTRANGE(""https://docs.google.com/spreadsheets/d/1kGrh75X1cNR1D7_FcY9zMnHP8iPO4M5RCRjy6nZY0TY/edit#gid=1248694442"",""Table 1: Study characteristics!A4:A175"")))-1)"),"Harcourt")</f>
        <v>Harcourt</v>
      </c>
      <c r="D47" s="4">
        <f>IFERROR(__xludf.DUMMYFUNCTION("FILTER(IMPORTRANGE(""https://docs.google.com/spreadsheets/d/1kGrh75X1cNR1D7_FcY9zMnHP8iPO4M5RCRjy6nZY0TY/edit#gid=1248694442"",""Table 1: Study characteristics!K4:K175""), $A47=IMPORTRANGE(""https://docs.google.com/spreadsheets/d/1kGrh75X1cNR1D7_FcY9zMnHP"&amp;"8iPO4M5RCRjy6nZY0TY/edit#gid=1248694442"",""Table 1: Study characteristics!A4:A175""))"),1968.0)</f>
        <v>1968</v>
      </c>
      <c r="E47" s="4" t="str">
        <f>IFERROR(__xludf.DUMMYFUNCTION("FILTER(IMPORTRANGE(""https://docs.google.com/spreadsheets/d/1kGrh75X1cNR1D7_FcY9zMnHP8iPO4M5RCRjy6nZY0TY/edit#gid=1248694442"",""Table 1: Study characteristics!M4:M175""), $A47=IMPORTRANGE(""https://docs.google.com/spreadsheets/d/1kGrh75X1cNR1D7_FcY9zMnHP"&amp;"8iPO4M5RCRjy6nZY0TY/edit#gid=1248694442"",""Table 1: Study characteristics!A4:A175""))"),"High income")</f>
        <v>High income</v>
      </c>
      <c r="F47" s="4" t="str">
        <f>IFERROR(__xludf.DUMMYFUNCTION("FILTER(IMPORTRANGE(""https://docs.google.com/spreadsheets/d/1kGrh75X1cNR1D7_FcY9zMnHP8iPO4M5RCRjy6nZY0TY/edit#gid=1248694442"",""Table 1: Study characteristics!N4:N175""), $A47=IMPORTRANGE(""https://docs.google.com/spreadsheets/d/1kGrh75X1cNR1D7_FcY9zMnHP"&amp;"8iPO4M5RCRjy6nZY0TY/edit#gid=1248694442"",""Table 1: Study characteristics!A4:A175""))"),"Europe &amp; Central Asia")</f>
        <v>Europe &amp; Central Asia</v>
      </c>
      <c r="G47" s="4" t="str">
        <f>IFERROR(__xludf.DUMMYFUNCTION("FILTER(IMPORTRANGE(""https://docs.google.com/spreadsheets/d/1kGrh75X1cNR1D7_FcY9zMnHP8iPO4M5RCRjy6nZY0TY/edit#gid=1248694442"",""Table 1: Study characteristics!J4:J175""), $A47=IMPORTRANGE(""https://docs.google.com/spreadsheets/d/1kGrh75X1cNR1D7_FcY9zMnHP"&amp;"8iPO4M5RCRjy6nZY0TY/edit#gid=1248694442"",""Table 1: Study characteristics!A4:A175""))"),"United Kingdom")</f>
        <v>United Kingdom</v>
      </c>
      <c r="H47" s="4" t="str">
        <f>IFERROR(__xludf.DUMMYFUNCTION("FILTER(IMPORTRANGE(""https://docs.google.com/spreadsheets/d/1kGrh75X1cNR1D7_FcY9zMnHP8iPO4M5RCRjy6nZY0TY/edit#gid=1248694442"",""Table 1: Study characteristics!O4:O175""), $A47=IMPORTRANGE(""https://docs.google.com/spreadsheets/d/1kGrh75X1cNR1D7_FcY9zMnHP"&amp;"8iPO4M5RCRjy6nZY0TY/edit#gid=1248694442"",""Table 1: Study characteristics!A4:A175""))"),"Case series")</f>
        <v>Case series</v>
      </c>
      <c r="I47" s="14" t="str">
        <f>IFERROR(__xludf.DUMMYFUNCTION("IFNA(FILTER(IMPORTRANGE(""https://docs.google.com/spreadsheets/d/1kGrh75X1cNR1D7_FcY9zMnHP8iPO4M5RCRjy6nZY0TY/edit#gid=1248694442"",""Table 3: 1st-line HC!C5:C111""), $A47=IMPORTRANGE(""https://docs.google.com/spreadsheets/d/1kGrh75X1cNR1D7_FcY9zMnHP8iPO4"&amp;"M5RCRjy6nZY0TY/edit#gid=1248694442"",""Table 3: 1st-line HC!A5:A111"")),"""")"),"Selected")</f>
        <v>Selected</v>
      </c>
      <c r="J47" s="4">
        <f>IFERROR(__xludf.DUMMYFUNCTION("FILTER(IMPORTRANGE(""https://docs.google.com/spreadsheets/d/1kGrh75X1cNR1D7_FcY9zMnHP8iPO4M5RCRjy6nZY0TY/edit#gid=1248694442"",""Table 1: Study characteristics!P4:P175""), $A47=IMPORTRANGE(""https://docs.google.com/spreadsheets/d/1kGrh75X1cNR1D7_FcY9zMnHP"&amp;"8iPO4M5RCRjy6nZY0TY/edit#gid=1248694442"",""Table 1: Study characteristics!A4:A175""))"),4.0)</f>
        <v>4</v>
      </c>
      <c r="K47" s="4">
        <f>IFERROR(__xludf.DUMMYFUNCTION("FILTER(IMPORTRANGE(""https://docs.google.com/spreadsheets/d/1kGrh75X1cNR1D7_FcY9zMnHP8iPO4M5RCRjy6nZY0TY/edit#gid=1248694442"",""Table 1: Study characteristics!U4:U175""), $A47=IMPORTRANGE(""https://docs.google.com/spreadsheets/d/1kGrh75X1cNR1D7_FcY9zMnHP"&amp;"8iPO4M5RCRjy6nZY0TY/edit#gid=1248694442"",""Table 1: Study characteristics!A4:A175""))"),1.0)</f>
        <v>1</v>
      </c>
      <c r="L47" s="4">
        <f>IFERROR(__xludf.DUMMYFUNCTION("FILTER(IMPORTRANGE(""https://docs.google.com/spreadsheets/d/1kGrh75X1cNR1D7_FcY9zMnHP8iPO4M5RCRjy6nZY0TY/edit#gid=1248694442"",""Table 1: Study characteristics!V4:V175""), $A47=IMPORTRANGE(""https://docs.google.com/spreadsheets/d/1kGrh75X1cNR1D7_FcY9zMnHP"&amp;"8iPO4M5RCRjy6nZY0TY/edit#gid=1248694442"",""Table 1: Study characteristics!A4:A175""))"),3.0)</f>
        <v>3</v>
      </c>
      <c r="M47" s="4" t="str">
        <f>IFERROR(__xludf.DUMMYFUNCTION("FILTER(IMPORTRANGE(""https://docs.google.com/spreadsheets/d/1kGrh75X1cNR1D7_FcY9zMnHP8iPO4M5RCRjy6nZY0TY/edit#gid=1248694442"",""Table 1: Study characteristics!Q4:Q175""), $A47=IMPORTRANGE(""https://docs.google.com/spreadsheets/d/1kGrh75X1cNR1D7_FcY9zMnHP"&amp;"8iPO4M5RCRjy6nZY0TY/edit#gid=1248694442"",""Table 1: Study characteristics!A4:A175""))"),"")</f>
        <v/>
      </c>
      <c r="N47" s="4" t="str">
        <f>IFERROR(__xludf.DUMMYFUNCTION("FILTER(IMPORTRANGE(""https://docs.google.com/spreadsheets/d/1kGrh75X1cNR1D7_FcY9zMnHP8iPO4M5RCRjy6nZY0TY/edit#gid=1248694442"",""Table 1: Study characteristics!R4:R175""), $A47=IMPORTRANGE(""https://docs.google.com/spreadsheets/d/1kGrh75X1cNR1D7_FcY9zMnHP"&amp;"8iPO4M5RCRjy6nZY0TY/edit#gid=1248694442"",""Table 1: Study characteristics!A4:A175""))"),"")</f>
        <v/>
      </c>
      <c r="O47" s="4" t="str">
        <f>IFERROR(__xludf.DUMMYFUNCTION("FILTER(IMPORTRANGE(""https://docs.google.com/spreadsheets/d/1kGrh75X1cNR1D7_FcY9zMnHP8iPO4M5RCRjy6nZY0TY/edit#gid=1248694442"",""Table 1: Study characteristics!S4:S175""), $A47=IMPORTRANGE(""https://docs.google.com/spreadsheets/d/1kGrh75X1cNR1D7_FcY9zMnHP"&amp;"8iPO4M5RCRjy6nZY0TY/edit#gid=1248694442"",""Table 1: Study characteristics!A4:A175""))"),"")</f>
        <v/>
      </c>
      <c r="P47" s="6" t="str">
        <f>IFERROR(__xludf.DUMMYFUNCTION("FILTER(IMPORTRANGE(""https://docs.google.com/spreadsheets/d/1kGrh75X1cNR1D7_FcY9zMnHP8iPO4M5RCRjy6nZY0TY/edit#gid=1248694442"",""Table 1: Study characteristics!T4:T175""), $A47=IMPORTRANGE(""https://docs.google.com/spreadsheets/d/1kGrh75X1cNR1D7_FcY9zMnHP"&amp;"8iPO4M5RCRjy6nZY0TY/edit#gid=1248694442"",""Table 1: Study characteristics!A4:A175""))"),"")</f>
        <v/>
      </c>
      <c r="Q47" s="6" t="str">
        <f>IFERROR(__xludf.DUMMYFUNCTION("FILTER(IMPORTRANGE(""https://docs.google.com/spreadsheets/d/1kGrh75X1cNR1D7_FcY9zMnHP8iPO4M5RCRjy6nZY0TY/edit#gid=1248694442"",""Table 1: Study characteristics!L4:L175""), $A47=IMPORTRANGE(""https://docs.google.com/spreadsheets/d/1kGrh75X1cNR1D7_FcY9zMnHP"&amp;"8iPO4M5RCRjy6nZY0TY/edit#gid=1248694442"",""Table 1: Study characteristics!A4:A175""))"),"")</f>
        <v/>
      </c>
      <c r="R47" s="4" t="str">
        <f>IFERROR(__xludf.DUMMYFUNCTION("FILTER(IMPORTRANGE(""https://docs.google.com/spreadsheets/d/1kGrh75X1cNR1D7_FcY9zMnHP8iPO4M5RCRjy6nZY0TY/edit#gid=1248694442"",""Table 1: Study characteristics!I4:I175""), $A47=IMPORTRANGE(""https://docs.google.com/spreadsheets/d/1kGrh75X1cNR1D7_FcY9zMnHP"&amp;"8iPO4M5RCRjy6nZY0TY/edit#gid=1248694442"",""Table 1: Study characteristics!A4:A175""))"),"English")</f>
        <v>English</v>
      </c>
    </row>
    <row r="48">
      <c r="A48" s="4" t="str">
        <f>IFERROR(__xludf.DUMMYFUNCTION("""COMPUTED_VALUE"""),"ID 94")</f>
        <v>ID 94</v>
      </c>
      <c r="B48" s="13" t="s">
        <v>196</v>
      </c>
      <c r="C48" s="4" t="str">
        <f>IFERROR(__xludf.DUMMYFUNCTION("LEFT(FILTER(IMPORTRANGE(""https://docs.google.com/spreadsheets/d/1kGrh75X1cNR1D7_FcY9zMnHP8iPO4M5RCRjy6nZY0TY/edit#gid=1248694442"",""Table 1: Study characteristics!C4:C175""), $A48=IMPORTRANGE(""https://docs.google.com/spreadsheets/d/1kGrh75X1cNR1D7_FcY9"&amp;"zMnHP8iPO4M5RCRjy6nZY0TY/edit#gid=1248694442"",""Table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$A48=IMPORTRANGE(""https://docs.google.com/spreadsheets/d/1kGrh75X1cNR1D7_FcY9zMnHP8iPO4M5RCRjy6nZY0TY/edit#gid=1248694442"",""Table 1: Study characteristics!A4:A175"")))-1)"),"Idowu")</f>
        <v>Idowu</v>
      </c>
      <c r="D48" s="4">
        <f>IFERROR(__xludf.DUMMYFUNCTION("FILTER(IMPORTRANGE(""https://docs.google.com/spreadsheets/d/1kGrh75X1cNR1D7_FcY9zMnHP8iPO4M5RCRjy6nZY0TY/edit#gid=1248694442"",""Table 1: Study characteristics!K4:K175""), $A48=IMPORTRANGE(""https://docs.google.com/spreadsheets/d/1kGrh75X1cNR1D7_FcY9zMnHP"&amp;"8iPO4M5RCRjy6nZY0TY/edit#gid=1248694442"",""Table 1: Study characteristics!A4:A175""))"),2008.0)</f>
        <v>2008</v>
      </c>
      <c r="E48" s="4" t="str">
        <f>IFERROR(__xludf.DUMMYFUNCTION("FILTER(IMPORTRANGE(""https://docs.google.com/spreadsheets/d/1kGrh75X1cNR1D7_FcY9zMnHP8iPO4M5RCRjy6nZY0TY/edit#gid=1248694442"",""Table 1: Study characteristics!M4:M175""), $A48=IMPORTRANGE(""https://docs.google.com/spreadsheets/d/1kGrh75X1cNR1D7_FcY9zMnHP"&amp;"8iPO4M5RCRjy6nZY0TY/edit#gid=1248694442"",""Table 1: Study characteristics!A4:A175""))"),"Lower middle income")</f>
        <v>Lower middle income</v>
      </c>
      <c r="F48" s="4" t="str">
        <f>IFERROR(__xludf.DUMMYFUNCTION("FILTER(IMPORTRANGE(""https://docs.google.com/spreadsheets/d/1kGrh75X1cNR1D7_FcY9zMnHP8iPO4M5RCRjy6nZY0TY/edit#gid=1248694442"",""Table 1: Study characteristics!N4:N175""), $A48=IMPORTRANGE(""https://docs.google.com/spreadsheets/d/1kGrh75X1cNR1D7_FcY9zMnHP"&amp;"8iPO4M5RCRjy6nZY0TY/edit#gid=1248694442"",""Table 1: Study characteristics!A4:A175""))"),"Sub-Saharan Africa")</f>
        <v>Sub-Saharan Africa</v>
      </c>
      <c r="G48" s="4" t="str">
        <f>IFERROR(__xludf.DUMMYFUNCTION("FILTER(IMPORTRANGE(""https://docs.google.com/spreadsheets/d/1kGrh75X1cNR1D7_FcY9zMnHP8iPO4M5RCRjy6nZY0TY/edit#gid=1248694442"",""Table 1: Study characteristics!J4:J175""), $A48=IMPORTRANGE(""https://docs.google.com/spreadsheets/d/1kGrh75X1cNR1D7_FcY9zMnHP"&amp;"8iPO4M5RCRjy6nZY0TY/edit#gid=1248694442"",""Table 1: Study characteristics!A4:A175""))"),"Nigeria")</f>
        <v>Nigeria</v>
      </c>
      <c r="H48" s="4" t="str">
        <f>IFERROR(__xludf.DUMMYFUNCTION("FILTER(IMPORTRANGE(""https://docs.google.com/spreadsheets/d/1kGrh75X1cNR1D7_FcY9zMnHP8iPO4M5RCRjy6nZY0TY/edit#gid=1248694442"",""Table 1: Study characteristics!O4:O175""), $A48=IMPORTRANGE(""https://docs.google.com/spreadsheets/d/1kGrh75X1cNR1D7_FcY9zMnHP"&amp;"8iPO4M5RCRjy6nZY0TY/edit#gid=1248694442"",""Table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48" s="14" t="str">
        <f>IFERROR(__xludf.DUMMYFUNCTION("IFNA(FILTER(IMPORTRANGE(""https://docs.google.com/spreadsheets/d/1kGrh75X1cNR1D7_FcY9zMnHP8iPO4M5RCRjy6nZY0TY/edit#gid=1248694442"",""Table 3: 1st-line HC!C5:C111""), $A48=IMPORTRANGE(""https://docs.google.com/spreadsheets/d/1kGrh75X1cNR1D7_FcY9zMnHP8iPO4"&amp;"M5RCRjy6nZY0TY/edit#gid=1248694442"",""Table 3: 1st-line HC!A5:A111"")),"""")"),"Unselected")</f>
        <v>Unselected</v>
      </c>
      <c r="J48" s="4">
        <f>IFERROR(__xludf.DUMMYFUNCTION("FILTER(IMPORTRANGE(""https://docs.google.com/spreadsheets/d/1kGrh75X1cNR1D7_FcY9zMnHP8iPO4M5RCRjy6nZY0TY/edit#gid=1248694442"",""Table 1: Study characteristics!P4:P175""), $A48=IMPORTRANGE(""https://docs.google.com/spreadsheets/d/1kGrh75X1cNR1D7_FcY9zMnHP"&amp;"8iPO4M5RCRjy6nZY0TY/edit#gid=1248694442"",""Table 1: Study characteristics!A4:A175""))"),18.0)</f>
        <v>18</v>
      </c>
      <c r="K48" s="4" t="str">
        <f>IFERROR(__xludf.DUMMYFUNCTION("FILTER(IMPORTRANGE(""https://docs.google.com/spreadsheets/d/1kGrh75X1cNR1D7_FcY9zMnHP8iPO4M5RCRjy6nZY0TY/edit#gid=1248694442"",""Table 1: Study characteristics!U4:U175""), $A48=IMPORTRANGE(""https://docs.google.com/spreadsheets/d/1kGrh75X1cNR1D7_FcY9zMnHP"&amp;"8iPO4M5RCRjy6nZY0TY/edit#gid=1248694442"",""Table 1: Study characteristics!A4:A175""))"),"")</f>
        <v/>
      </c>
      <c r="L48" s="4" t="str">
        <f>IFERROR(__xludf.DUMMYFUNCTION("FILTER(IMPORTRANGE(""https://docs.google.com/spreadsheets/d/1kGrh75X1cNR1D7_FcY9zMnHP8iPO4M5RCRjy6nZY0TY/edit#gid=1248694442"",""Table 1: Study characteristics!V4:V175""), $A48=IMPORTRANGE(""https://docs.google.com/spreadsheets/d/1kGrh75X1cNR1D7_FcY9zMnHP"&amp;"8iPO4M5RCRjy6nZY0TY/edit#gid=1248694442"",""Table 1: Study characteristics!A4:A175""))"),"")</f>
        <v/>
      </c>
      <c r="M48" s="4" t="str">
        <f>IFERROR(__xludf.DUMMYFUNCTION("FILTER(IMPORTRANGE(""https://docs.google.com/spreadsheets/d/1kGrh75X1cNR1D7_FcY9zMnHP8iPO4M5RCRjy6nZY0TY/edit#gid=1248694442"",""Table 1: Study characteristics!Q4:Q175""), $A48=IMPORTRANGE(""https://docs.google.com/spreadsheets/d/1kGrh75X1cNR1D7_FcY9zMnHP"&amp;"8iPO4M5RCRjy6nZY0TY/edit#gid=1248694442"",""Table 1: Study characteristics!A4:A175""))"),"")</f>
        <v/>
      </c>
      <c r="N48" s="4" t="str">
        <f>IFERROR(__xludf.DUMMYFUNCTION("FILTER(IMPORTRANGE(""https://docs.google.com/spreadsheets/d/1kGrh75X1cNR1D7_FcY9zMnHP8iPO4M5RCRjy6nZY0TY/edit#gid=1248694442"",""Table 1: Study characteristics!R4:R175""), $A48=IMPORTRANGE(""https://docs.google.com/spreadsheets/d/1kGrh75X1cNR1D7_FcY9zMnHP"&amp;"8iPO4M5RCRjy6nZY0TY/edit#gid=1248694442"",""Table 1: Study characteristics!A4:A175""))"),"")</f>
        <v/>
      </c>
      <c r="O48" s="4" t="str">
        <f>IFERROR(__xludf.DUMMYFUNCTION("FILTER(IMPORTRANGE(""https://docs.google.com/spreadsheets/d/1kGrh75X1cNR1D7_FcY9zMnHP8iPO4M5RCRjy6nZY0TY/edit#gid=1248694442"",""Table 1: Study characteristics!S4:S175""), $A48=IMPORTRANGE(""https://docs.google.com/spreadsheets/d/1kGrh75X1cNR1D7_FcY9zMnHP"&amp;"8iPO4M5RCRjy6nZY0TY/edit#gid=1248694442"",""Table 1: Study characteristics!A4:A175""))"),"")</f>
        <v/>
      </c>
      <c r="P48" s="6" t="str">
        <f>IFERROR(__xludf.DUMMYFUNCTION("FILTER(IMPORTRANGE(""https://docs.google.com/spreadsheets/d/1kGrh75X1cNR1D7_FcY9zMnHP8iPO4M5RCRjy6nZY0TY/edit#gid=1248694442"",""Table 1: Study characteristics!T4:T175""), $A48=IMPORTRANGE(""https://docs.google.com/spreadsheets/d/1kGrh75X1cNR1D7_FcY9zMnHP"&amp;"8iPO4M5RCRjy6nZY0TY/edit#gid=1248694442"",""Table 1: Study characteristics!A4:A175""))"),"2-730")</f>
        <v>2-730</v>
      </c>
      <c r="Q48" s="6" t="str">
        <f>IFERROR(__xludf.DUMMYFUNCTION("FILTER(IMPORTRANGE(""https://docs.google.com/spreadsheets/d/1kGrh75X1cNR1D7_FcY9zMnHP8iPO4M5RCRjy6nZY0TY/edit#gid=1248694442"",""Table 1: Study characteristics!L4:L175""), $A48=IMPORTRANGE(""https://docs.google.com/spreadsheets/d/1kGrh75X1cNR1D7_FcY9zMnHP"&amp;"8iPO4M5RCRjy6nZY0TY/edit#gid=1248694442"",""Table 1: Study characteristics!A4:A175""))"),"2006-2007")</f>
        <v>2006-2007</v>
      </c>
      <c r="R48" s="4" t="str">
        <f>IFERROR(__xludf.DUMMYFUNCTION("FILTER(IMPORTRANGE(""https://docs.google.com/spreadsheets/d/1kGrh75X1cNR1D7_FcY9zMnHP8iPO4M5RCRjy6nZY0TY/edit#gid=1248694442"",""Table 1: Study characteristics!I4:I175""), $A48=IMPORTRANGE(""https://docs.google.com/spreadsheets/d/1kGrh75X1cNR1D7_FcY9zMnHP"&amp;"8iPO4M5RCRjy6nZY0TY/edit#gid=1248694442"",""Table 1: Study characteristics!A4:A175""))"),"English")</f>
        <v>English</v>
      </c>
    </row>
    <row r="49">
      <c r="A49" s="4" t="str">
        <f>IFERROR(__xludf.DUMMYFUNCTION("""COMPUTED_VALUE"""),"ID 97")</f>
        <v>ID 97</v>
      </c>
      <c r="B49" s="13" t="s">
        <v>197</v>
      </c>
      <c r="C49" s="4" t="str">
        <f>IFERROR(__xludf.DUMMYFUNCTION("LEFT(FILTER(IMPORTRANGE(""https://docs.google.com/spreadsheets/d/1kGrh75X1cNR1D7_FcY9zMnHP8iPO4M5RCRjy6nZY0TY/edit#gid=1248694442"",""Table 1: Study characteristics!C4:C175""), $A49=IMPORTRANGE(""https://docs.google.com/spreadsheets/d/1kGrh75X1cNR1D7_FcY9"&amp;"zMnHP8iPO4M5RCRjy6nZY0TY/edit#gid=1248694442"",""Table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$A49=IMPORTRANGE(""https://docs.google.com/spreadsheets/d/1kGrh75X1cNR1D7_FcY9zMnHP8iPO4M5RCRjy6nZY0TY/edit#gid=1248694442"",""Table 1: Study characteristics!A4:A175"")))-1)"),"Hagemann")</f>
        <v>Hagemann</v>
      </c>
      <c r="D49" s="4">
        <f>IFERROR(__xludf.DUMMYFUNCTION("FILTER(IMPORTRANGE(""https://docs.google.com/spreadsheets/d/1kGrh75X1cNR1D7_FcY9zMnHP8iPO4M5RCRjy6nZY0TY/edit#gid=1248694442"",""Table 1: Study characteristics!K4:K175""), $A49=IMPORTRANGE(""https://docs.google.com/spreadsheets/d/1kGrh75X1cNR1D7_FcY9zMnHP"&amp;"8iPO4M5RCRjy6nZY0TY/edit#gid=1248694442"",""Table 1: Study characteristics!A4:A175""))"),2021.0)</f>
        <v>2021</v>
      </c>
      <c r="E49" s="4" t="str">
        <f>IFERROR(__xludf.DUMMYFUNCTION("FILTER(IMPORTRANGE(""https://docs.google.com/spreadsheets/d/1kGrh75X1cNR1D7_FcY9zMnHP8iPO4M5RCRjy6nZY0TY/edit#gid=1248694442"",""Table 1: Study characteristics!M4:M175""), $A49=IMPORTRANGE(""https://docs.google.com/spreadsheets/d/1kGrh75X1cNR1D7_FcY9zMnHP"&amp;"8iPO4M5RCRjy6nZY0TY/edit#gid=1248694442"",""Table 1: Study characteristics!A4:A175""))"),"High income")</f>
        <v>High income</v>
      </c>
      <c r="F49" s="4" t="str">
        <f>IFERROR(__xludf.DUMMYFUNCTION("FILTER(IMPORTRANGE(""https://docs.google.com/spreadsheets/d/1kGrh75X1cNR1D7_FcY9zMnHP8iPO4M5RCRjy6nZY0TY/edit#gid=1248694442"",""Table 1: Study characteristics!N4:N175""), $A49=IMPORTRANGE(""https://docs.google.com/spreadsheets/d/1kGrh75X1cNR1D7_FcY9zMnHP"&amp;"8iPO4M5RCRjy6nZY0TY/edit#gid=1248694442"",""Table 1: Study characteristics!A4:A175""))"),"Europe &amp; Central Asia")</f>
        <v>Europe &amp; Central Asia</v>
      </c>
      <c r="G49" s="4" t="str">
        <f>IFERROR(__xludf.DUMMYFUNCTION("FILTER(IMPORTRANGE(""https://docs.google.com/spreadsheets/d/1kGrh75X1cNR1D7_FcY9zMnHP8iPO4M5RCRjy6nZY0TY/edit#gid=1248694442"",""Table 1: Study characteristics!J4:J175""), $A49=IMPORTRANGE(""https://docs.google.com/spreadsheets/d/1kGrh75X1cNR1D7_FcY9zMnHP"&amp;"8iPO4M5RCRjy6nZY0TY/edit#gid=1248694442"",""Table 1: Study characteristics!A4:A175""))"),"Germany")</f>
        <v>Germany</v>
      </c>
      <c r="H49" s="4" t="str">
        <f>IFERROR(__xludf.DUMMYFUNCTION("FILTER(IMPORTRANGE(""https://docs.google.com/spreadsheets/d/1kGrh75X1cNR1D7_FcY9zMnHP8iPO4M5RCRjy6nZY0TY/edit#gid=1248694442"",""Table 1: Study characteristics!O4:O175""), $A49=IMPORTRANGE(""https://docs.google.com/spreadsheets/d/1kGrh75X1cNR1D7_FcY9zMnHP"&amp;"8iPO4M5RCRjy6nZY0TY/edit#gid=1248694442"",""Table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49" s="14" t="str">
        <f>IFERROR(__xludf.DUMMYFUNCTION("IFNA(FILTER(IMPORTRANGE(""https://docs.google.com/spreadsheets/d/1kGrh75X1cNR1D7_FcY9zMnHP8iPO4M5RCRjy6nZY0TY/edit#gid=1248694442"",""Table 3: 1st-line HC!C5:C111""), $A49=IMPORTRANGE(""https://docs.google.com/spreadsheets/d/1kGrh75X1cNR1D7_FcY9zMnHP8iPO4"&amp;"M5RCRjy6nZY0TY/edit#gid=1248694442"",""Table 3: 1st-line HC!A5:A111"")),"""")"),"")</f>
        <v/>
      </c>
      <c r="J49" s="4">
        <f>IFERROR(__xludf.DUMMYFUNCTION("FILTER(IMPORTRANGE(""https://docs.google.com/spreadsheets/d/1kGrh75X1cNR1D7_FcY9zMnHP8iPO4M5RCRjy6nZY0TY/edit#gid=1248694442"",""Table 1: Study characteristics!P4:P175""), $A49=IMPORTRANGE(""https://docs.google.com/spreadsheets/d/1kGrh75X1cNR1D7_FcY9zMnHP"&amp;"8iPO4M5RCRjy6nZY0TY/edit#gid=1248694442"",""Table 1: Study characteristics!A4:A175""))"),18.0)</f>
        <v>18</v>
      </c>
      <c r="K49" s="4" t="str">
        <f>IFERROR(__xludf.DUMMYFUNCTION("FILTER(IMPORTRANGE(""https://docs.google.com/spreadsheets/d/1kGrh75X1cNR1D7_FcY9zMnHP8iPO4M5RCRjy6nZY0TY/edit#gid=1248694442"",""Table 1: Study characteristics!U4:U175""), $A49=IMPORTRANGE(""https://docs.google.com/spreadsheets/d/1kGrh75X1cNR1D7_FcY9zMnHP"&amp;"8iPO4M5RCRjy6nZY0TY/edit#gid=1248694442"",""Table 1: Study characteristics!A4:A175""))"),"")</f>
        <v/>
      </c>
      <c r="L49" s="4" t="str">
        <f>IFERROR(__xludf.DUMMYFUNCTION("FILTER(IMPORTRANGE(""https://docs.google.com/spreadsheets/d/1kGrh75X1cNR1D7_FcY9zMnHP8iPO4M5RCRjy6nZY0TY/edit#gid=1248694442"",""Table 1: Study characteristics!V4:V175""), $A49=IMPORTRANGE(""https://docs.google.com/spreadsheets/d/1kGrh75X1cNR1D7_FcY9zMnHP"&amp;"8iPO4M5RCRjy6nZY0TY/edit#gid=1248694442"",""Table 1: Study characteristics!A4:A175""))"),"")</f>
        <v/>
      </c>
      <c r="M49" s="4" t="str">
        <f>IFERROR(__xludf.DUMMYFUNCTION("FILTER(IMPORTRANGE(""https://docs.google.com/spreadsheets/d/1kGrh75X1cNR1D7_FcY9zMnHP8iPO4M5RCRjy6nZY0TY/edit#gid=1248694442"",""Table 1: Study characteristics!Q4:Q175""), $A49=IMPORTRANGE(""https://docs.google.com/spreadsheets/d/1kGrh75X1cNR1D7_FcY9zMnHP"&amp;"8iPO4M5RCRjy6nZY0TY/edit#gid=1248694442"",""Table 1: Study characteristics!A4:A175""))"),"")</f>
        <v/>
      </c>
      <c r="N49" s="4" t="str">
        <f>IFERROR(__xludf.DUMMYFUNCTION("FILTER(IMPORTRANGE(""https://docs.google.com/spreadsheets/d/1kGrh75X1cNR1D7_FcY9zMnHP8iPO4M5RCRjy6nZY0TY/edit#gid=1248694442"",""Table 1: Study characteristics!R4:R175""), $A49=IMPORTRANGE(""https://docs.google.com/spreadsheets/d/1kGrh75X1cNR1D7_FcY9zMnHP"&amp;"8iPO4M5RCRjy6nZY0TY/edit#gid=1248694442"",""Table 1: Study characteristics!A4:A175""))"),"")</f>
        <v/>
      </c>
      <c r="O49" s="4" t="str">
        <f>IFERROR(__xludf.DUMMYFUNCTION("FILTER(IMPORTRANGE(""https://docs.google.com/spreadsheets/d/1kGrh75X1cNR1D7_FcY9zMnHP8iPO4M5RCRjy6nZY0TY/edit#gid=1248694442"",""Table 1: Study characteristics!S4:S175""), $A49=IMPORTRANGE(""https://docs.google.com/spreadsheets/d/1kGrh75X1cNR1D7_FcY9zMnHP"&amp;"8iPO4M5RCRjy6nZY0TY/edit#gid=1248694442"",""Table 1: Study characteristics!A4:A175""))"),"")</f>
        <v/>
      </c>
      <c r="P49" s="6" t="str">
        <f>IFERROR(__xludf.DUMMYFUNCTION("FILTER(IMPORTRANGE(""https://docs.google.com/spreadsheets/d/1kGrh75X1cNR1D7_FcY9zMnHP8iPO4M5RCRjy6nZY0TY/edit#gid=1248694442"",""Table 1: Study characteristics!T4:T175""), $A49=IMPORTRANGE(""https://docs.google.com/spreadsheets/d/1kGrh75X1cNR1D7_FcY9zMnHP"&amp;"8iPO4M5RCRjy6nZY0TY/edit#gid=1248694442"",""Table 1: Study characteristics!A4:A175""))"),"")</f>
        <v/>
      </c>
      <c r="Q49" s="6" t="str">
        <f>IFERROR(__xludf.DUMMYFUNCTION("FILTER(IMPORTRANGE(""https://docs.google.com/spreadsheets/d/1kGrh75X1cNR1D7_FcY9zMnHP8iPO4M5RCRjy6nZY0TY/edit#gid=1248694442"",""Table 1: Study characteristics!L4:L175""), $A49=IMPORTRANGE(""https://docs.google.com/spreadsheets/d/1kGrh75X1cNR1D7_FcY9zMnHP"&amp;"8iPO4M5RCRjy6nZY0TY/edit#gid=1248694442"",""Table 1: Study characteristics!A4:A175""))"),"2007-2018")</f>
        <v>2007-2018</v>
      </c>
      <c r="R49" s="4" t="str">
        <f>IFERROR(__xludf.DUMMYFUNCTION("FILTER(IMPORTRANGE(""https://docs.google.com/spreadsheets/d/1kGrh75X1cNR1D7_FcY9zMnHP8iPO4M5RCRjy6nZY0TY/edit#gid=1248694442"",""Table 1: Study characteristics!I4:I175""), $A49=IMPORTRANGE(""https://docs.google.com/spreadsheets/d/1kGrh75X1cNR1D7_FcY9zMnHP"&amp;"8iPO4M5RCRjy6nZY0TY/edit#gid=1248694442"",""Table 1: Study characteristics!A4:A175""))"),"English")</f>
        <v>English</v>
      </c>
    </row>
    <row r="50">
      <c r="A50" s="4" t="str">
        <f>IFERROR(__xludf.DUMMYFUNCTION("""COMPUTED_VALUE"""),"ID 98")</f>
        <v>ID 98</v>
      </c>
      <c r="B50" s="13" t="s">
        <v>198</v>
      </c>
      <c r="C50" s="4" t="str">
        <f>IFERROR(__xludf.DUMMYFUNCTION("LEFT(FILTER(IMPORTRANGE(""https://docs.google.com/spreadsheets/d/1kGrh75X1cNR1D7_FcY9zMnHP8iPO4M5RCRjy6nZY0TY/edit#gid=1248694442"",""Table 1: Study characteristics!C4:C175""), $A50=IMPORTRANGE(""https://docs.google.com/spreadsheets/d/1kGrh75X1cNR1D7_FcY9"&amp;"zMnHP8iPO4M5RCRjy6nZY0TY/edit#gid=1248694442"",""Table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$A50=IMPORTRANGE(""https://docs.google.com/spreadsheets/d/1kGrh75X1cNR1D7_FcY9zMnHP8iPO4M5RCRjy6nZY0TY/edit#gid=1248694442"",""Table 1: Study characteristics!A4:A175"")))-1)"),"Phillips")</f>
        <v>Phillips</v>
      </c>
      <c r="D50" s="4">
        <f>IFERROR(__xludf.DUMMYFUNCTION("FILTER(IMPORTRANGE(""https://docs.google.com/spreadsheets/d/1kGrh75X1cNR1D7_FcY9zMnHP8iPO4M5RCRjy6nZY0TY/edit#gid=1248694442"",""Table 1: Study characteristics!K4:K175""), $A50=IMPORTRANGE(""https://docs.google.com/spreadsheets/d/1kGrh75X1cNR1D7_FcY9zMnHP"&amp;"8iPO4M5RCRjy6nZY0TY/edit#gid=1248694442"",""Table 1: Study characteristics!A4:A175""))"),2014.0)</f>
        <v>2014</v>
      </c>
      <c r="E50" s="4" t="str">
        <f>IFERROR(__xludf.DUMMYFUNCTION("FILTER(IMPORTRANGE(""https://docs.google.com/spreadsheets/d/1kGrh75X1cNR1D7_FcY9zMnHP8iPO4M5RCRjy6nZY0TY/edit#gid=1248694442"",""Table 1: Study characteristics!M4:M175""), $A50=IMPORTRANGE(""https://docs.google.com/spreadsheets/d/1kGrh75X1cNR1D7_FcY9zMnHP"&amp;"8iPO4M5RCRjy6nZY0TY/edit#gid=1248694442"",""Table 1: Study characteristics!A4:A175""))"),"High income")</f>
        <v>High income</v>
      </c>
      <c r="F50" s="4" t="str">
        <f>IFERROR(__xludf.DUMMYFUNCTION("FILTER(IMPORTRANGE(""https://docs.google.com/spreadsheets/d/1kGrh75X1cNR1D7_FcY9zMnHP8iPO4M5RCRjy6nZY0TY/edit#gid=1248694442"",""Table 1: Study characteristics!N4:N175""), $A50=IMPORTRANGE(""https://docs.google.com/spreadsheets/d/1kGrh75X1cNR1D7_FcY9zMnHP"&amp;"8iPO4M5RCRjy6nZY0TY/edit#gid=1248694442"",""Table 1: Study characteristics!A4:A175""))"),"North America")</f>
        <v>North America</v>
      </c>
      <c r="G50" s="4" t="str">
        <f>IFERROR(__xludf.DUMMYFUNCTION("FILTER(IMPORTRANGE(""https://docs.google.com/spreadsheets/d/1kGrh75X1cNR1D7_FcY9zMnHP8iPO4M5RCRjy6nZY0TY/edit#gid=1248694442"",""Table 1: Study characteristics!J4:J175""), $A50=IMPORTRANGE(""https://docs.google.com/spreadsheets/d/1kGrh75X1cNR1D7_FcY9zMnHP"&amp;"8iPO4M5RCRjy6nZY0TY/edit#gid=1248694442"",""Table 1: Study characteristics!A4:A175""))"),"United States")</f>
        <v>United States</v>
      </c>
      <c r="H50" s="4" t="str">
        <f>IFERROR(__xludf.DUMMYFUNCTION("FILTER(IMPORTRANGE(""https://docs.google.com/spreadsheets/d/1kGrh75X1cNR1D7_FcY9zMnHP8iPO4M5RCRjy6nZY0TY/edit#gid=1248694442"",""Table 1: Study characteristics!O4:O175""), $A50=IMPORTRANGE(""https://docs.google.com/spreadsheets/d/1kGrh75X1cNR1D7_FcY9zMnHP"&amp;"8iPO4M5RCRjy6nZY0TY/edit#gid=1248694442"",""Table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50" s="14" t="str">
        <f>IFERROR(__xludf.DUMMYFUNCTION("IFNA(FILTER(IMPORTRANGE(""https://docs.google.com/spreadsheets/d/1kGrh75X1cNR1D7_FcY9zMnHP8iPO4M5RCRjy6nZY0TY/edit#gid=1248694442"",""Table 3: 1st-line HC!C5:C111""), $A50=IMPORTRANGE(""https://docs.google.com/spreadsheets/d/1kGrh75X1cNR1D7_FcY9zMnHP8iPO4"&amp;"M5RCRjy6nZY0TY/edit#gid=1248694442"",""Table 3: 1st-line HC!A5:A111"")),"""")"),"")</f>
        <v/>
      </c>
      <c r="J50" s="4">
        <f>IFERROR(__xludf.DUMMYFUNCTION("FILTER(IMPORTRANGE(""https://docs.google.com/spreadsheets/d/1kGrh75X1cNR1D7_FcY9zMnHP8iPO4M5RCRjy6nZY0TY/edit#gid=1248694442"",""Table 1: Study characteristics!P4:P175""), $A50=IMPORTRANGE(""https://docs.google.com/spreadsheets/d/1kGrh75X1cNR1D7_FcY9zMnHP"&amp;"8iPO4M5RCRjy6nZY0TY/edit#gid=1248694442"",""Table 1: Study characteristics!A4:A175""))"),54.0)</f>
        <v>54</v>
      </c>
      <c r="K50" s="4">
        <f>IFERROR(__xludf.DUMMYFUNCTION("FILTER(IMPORTRANGE(""https://docs.google.com/spreadsheets/d/1kGrh75X1cNR1D7_FcY9zMnHP8iPO4M5RCRjy6nZY0TY/edit#gid=1248694442"",""Table 1: Study characteristics!U4:U175""), $A50=IMPORTRANGE(""https://docs.google.com/spreadsheets/d/1kGrh75X1cNR1D7_FcY9zMnHP"&amp;"8iPO4M5RCRjy6nZY0TY/edit#gid=1248694442"",""Table 1: Study characteristics!A4:A175""))"),25.0)</f>
        <v>25</v>
      </c>
      <c r="L50" s="4">
        <f>IFERROR(__xludf.DUMMYFUNCTION("FILTER(IMPORTRANGE(""https://docs.google.com/spreadsheets/d/1kGrh75X1cNR1D7_FcY9zMnHP8iPO4M5RCRjy6nZY0TY/edit#gid=1248694442"",""Table 1: Study characteristics!V4:V175""), $A50=IMPORTRANGE(""https://docs.google.com/spreadsheets/d/1kGrh75X1cNR1D7_FcY9zMnHP"&amp;"8iPO4M5RCRjy6nZY0TY/edit#gid=1248694442"",""Table 1: Study characteristics!A4:A175""))"),29.0)</f>
        <v>29</v>
      </c>
      <c r="M50" s="4" t="str">
        <f>IFERROR(__xludf.DUMMYFUNCTION("FILTER(IMPORTRANGE(""https://docs.google.com/spreadsheets/d/1kGrh75X1cNR1D7_FcY9zMnHP8iPO4M5RCRjy6nZY0TY/edit#gid=1248694442"",""Table 1: Study characteristics!Q4:Q175""), $A50=IMPORTRANGE(""https://docs.google.com/spreadsheets/d/1kGrh75X1cNR1D7_FcY9zMnHP"&amp;"8iPO4M5RCRjy6nZY0TY/edit#gid=1248694442"",""Table 1: Study characteristics!A4:A175""))"),"")</f>
        <v/>
      </c>
      <c r="N50" s="4" t="str">
        <f>IFERROR(__xludf.DUMMYFUNCTION("FILTER(IMPORTRANGE(""https://docs.google.com/spreadsheets/d/1kGrh75X1cNR1D7_FcY9zMnHP8iPO4M5RCRjy6nZY0TY/edit#gid=1248694442"",""Table 1: Study characteristics!R4:R175""), $A50=IMPORTRANGE(""https://docs.google.com/spreadsheets/d/1kGrh75X1cNR1D7_FcY9zMnHP"&amp;"8iPO4M5RCRjy6nZY0TY/edit#gid=1248694442"",""Table 1: Study characteristics!A4:A175""))"),"")</f>
        <v/>
      </c>
      <c r="O50" s="4" t="str">
        <f>IFERROR(__xludf.DUMMYFUNCTION("FILTER(IMPORTRANGE(""https://docs.google.com/spreadsheets/d/1kGrh75X1cNR1D7_FcY9zMnHP8iPO4M5RCRjy6nZY0TY/edit#gid=1248694442"",""Table 1: Study characteristics!S4:S175""), $A50=IMPORTRANGE(""https://docs.google.com/spreadsheets/d/1kGrh75X1cNR1D7_FcY9zMnHP"&amp;"8iPO4M5RCRjy6nZY0TY/edit#gid=1248694442"",""Table 1: Study characteristics!A4:A175""))"),"")</f>
        <v/>
      </c>
      <c r="P50" s="6" t="str">
        <f>IFERROR(__xludf.DUMMYFUNCTION("FILTER(IMPORTRANGE(""https://docs.google.com/spreadsheets/d/1kGrh75X1cNR1D7_FcY9zMnHP8iPO4M5RCRjy6nZY0TY/edit#gid=1248694442"",""Table 1: Study characteristics!T4:T175""), $A50=IMPORTRANGE(""https://docs.google.com/spreadsheets/d/1kGrh75X1cNR1D7_FcY9zMnHP"&amp;"8iPO4M5RCRjy6nZY0TY/edit#gid=1248694442"",""Table 1: Study characteristics!A4:A175""))"),"")</f>
        <v/>
      </c>
      <c r="Q50" s="6" t="str">
        <f>IFERROR(__xludf.DUMMYFUNCTION("FILTER(IMPORTRANGE(""https://docs.google.com/spreadsheets/d/1kGrh75X1cNR1D7_FcY9zMnHP8iPO4M5RCRjy6nZY0TY/edit#gid=1248694442"",""Table 1: Study characteristics!L4:L175""), $A50=IMPORTRANGE(""https://docs.google.com/spreadsheets/d/1kGrh75X1cNR1D7_FcY9zMnHP"&amp;"8iPO4M5RCRjy6nZY0TY/edit#gid=1248694442"",""Table 1: Study characteristics!A4:A175""))"),"2005-2011")</f>
        <v>2005-2011</v>
      </c>
      <c r="R50" s="4" t="str">
        <f>IFERROR(__xludf.DUMMYFUNCTION("FILTER(IMPORTRANGE(""https://docs.google.com/spreadsheets/d/1kGrh75X1cNR1D7_FcY9zMnHP8iPO4M5RCRjy6nZY0TY/edit#gid=1248694442"",""Table 1: Study characteristics!I4:I175""), $A50=IMPORTRANGE(""https://docs.google.com/spreadsheets/d/1kGrh75X1cNR1D7_FcY9zMnHP"&amp;"8iPO4M5RCRjy6nZY0TY/edit#gid=1248694442"",""Table 1: Study characteristics!A4:A175""))"),"English")</f>
        <v>English</v>
      </c>
    </row>
    <row r="51">
      <c r="A51" s="4" t="str">
        <f>IFERROR(__xludf.DUMMYFUNCTION("""COMPUTED_VALUE"""),"ID 101")</f>
        <v>ID 101</v>
      </c>
      <c r="B51" s="13" t="s">
        <v>199</v>
      </c>
      <c r="C51" s="4" t="str">
        <f>IFERROR(__xludf.DUMMYFUNCTION("LEFT(FILTER(IMPORTRANGE(""https://docs.google.com/spreadsheets/d/1kGrh75X1cNR1D7_FcY9zMnHP8iPO4M5RCRjy6nZY0TY/edit#gid=1248694442"",""Table 1: Study characteristics!C4:C175""), $A51=IMPORTRANGE(""https://docs.google.com/spreadsheets/d/1kGrh75X1cNR1D7_FcY9"&amp;"zMnHP8iPO4M5RCRjy6nZY0TY/edit#gid=1248694442"",""Table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$A51=IMPORTRANGE(""https://docs.google.com/spreadsheets/d/1kGrh75X1cNR1D7_FcY9zMnHP8iPO4M5RCRjy6nZY0TY/edit#gid=1248694442"",""Table 1: Study characteristics!A4:A175"")))-1)"),"Stark")</f>
        <v>Stark</v>
      </c>
      <c r="D51" s="4">
        <f>IFERROR(__xludf.DUMMYFUNCTION("FILTER(IMPORTRANGE(""https://docs.google.com/spreadsheets/d/1kGrh75X1cNR1D7_FcY9zMnHP8iPO4M5RCRjy6nZY0TY/edit#gid=1248694442"",""Table 1: Study characteristics!K4:K175""), $A51=IMPORTRANGE(""https://docs.google.com/spreadsheets/d/1kGrh75X1cNR1D7_FcY9zMnHP"&amp;"8iPO4M5RCRjy6nZY0TY/edit#gid=1248694442"",""Table 1: Study characteristics!A4:A175""))"),1974.0)</f>
        <v>1974</v>
      </c>
      <c r="E51" s="4" t="str">
        <f>IFERROR(__xludf.DUMMYFUNCTION("FILTER(IMPORTRANGE(""https://docs.google.com/spreadsheets/d/1kGrh75X1cNR1D7_FcY9zMnHP8iPO4M5RCRjy6nZY0TY/edit#gid=1248694442"",""Table 1: Study characteristics!M4:M175""), $A51=IMPORTRANGE(""https://docs.google.com/spreadsheets/d/1kGrh75X1cNR1D7_FcY9zMnHP"&amp;"8iPO4M5RCRjy6nZY0TY/edit#gid=1248694442"",""Table 1: Study characteristics!A4:A175""))"),"High income")</f>
        <v>High income</v>
      </c>
      <c r="F51" s="4" t="str">
        <f>IFERROR(__xludf.DUMMYFUNCTION("FILTER(IMPORTRANGE(""https://docs.google.com/spreadsheets/d/1kGrh75X1cNR1D7_FcY9zMnHP8iPO4M5RCRjy6nZY0TY/edit#gid=1248694442"",""Table 1: Study characteristics!N4:N175""), $A51=IMPORTRANGE(""https://docs.google.com/spreadsheets/d/1kGrh75X1cNR1D7_FcY9zMnHP"&amp;"8iPO4M5RCRjy6nZY0TY/edit#gid=1248694442"",""Table 1: Study characteristics!A4:A175""))"),"Europe &amp; Central Asia")</f>
        <v>Europe &amp; Central Asia</v>
      </c>
      <c r="G51" s="4" t="str">
        <f>IFERROR(__xludf.DUMMYFUNCTION("FILTER(IMPORTRANGE(""https://docs.google.com/spreadsheets/d/1kGrh75X1cNR1D7_FcY9zMnHP8iPO4M5RCRjy6nZY0TY/edit#gid=1248694442"",""Table 1: Study characteristics!J4:J175""), $A51=IMPORTRANGE(""https://docs.google.com/spreadsheets/d/1kGrh75X1cNR1D7_FcY9zMnHP"&amp;"8iPO4M5RCRjy6nZY0TY/edit#gid=1248694442"",""Table 1: Study characteristics!A4:A175""))"),"United Kingdom")</f>
        <v>United Kingdom</v>
      </c>
      <c r="H51" s="4" t="str">
        <f>IFERROR(__xludf.DUMMYFUNCTION("FILTER(IMPORTRANGE(""https://docs.google.com/spreadsheets/d/1kGrh75X1cNR1D7_FcY9zMnHP8iPO4M5RCRjy6nZY0TY/edit#gid=1248694442"",""Table 1: Study characteristics!O4:O175""), $A51=IMPORTRANGE(""https://docs.google.com/spreadsheets/d/1kGrh75X1cNR1D7_FcY9zMnHP"&amp;"8iPO4M5RCRjy6nZY0TY/edit#gid=1248694442"",""Table 1: Study characteristics!A4:A175""))"),"Other (Add as comment)")</f>
        <v>Other (Add as comment)</v>
      </c>
      <c r="I51" s="14" t="str">
        <f>IFERROR(__xludf.DUMMYFUNCTION("IFNA(FILTER(IMPORTRANGE(""https://docs.google.com/spreadsheets/d/1kGrh75X1cNR1D7_FcY9zMnHP8iPO4M5RCRjy6nZY0TY/edit#gid=1248694442"",""Table 3: 1st-line HC!C5:C111""), $A51=IMPORTRANGE(""https://docs.google.com/spreadsheets/d/1kGrh75X1cNR1D7_FcY9zMnHP8iPO4"&amp;"M5RCRjy6nZY0TY/edit#gid=1248694442"",""Table 3: 1st-line HC!A5:A111"")),"""")"),"Selected")</f>
        <v>Selected</v>
      </c>
      <c r="J51" s="4">
        <f>IFERROR(__xludf.DUMMYFUNCTION("FILTER(IMPORTRANGE(""https://docs.google.com/spreadsheets/d/1kGrh75X1cNR1D7_FcY9zMnHP8iPO4M5RCRjy6nZY0TY/edit#gid=1248694442"",""Table 1: Study characteristics!P4:P175""), $A51=IMPORTRANGE(""https://docs.google.com/spreadsheets/d/1kGrh75X1cNR1D7_FcY9zMnHP"&amp;"8iPO4M5RCRjy6nZY0TY/edit#gid=1248694442"",""Table 1: Study characteristics!A4:A175""))"),50.0)</f>
        <v>50</v>
      </c>
      <c r="K51" s="4">
        <f>IFERROR(__xludf.DUMMYFUNCTION("FILTER(IMPORTRANGE(""https://docs.google.com/spreadsheets/d/1kGrh75X1cNR1D7_FcY9zMnHP8iPO4M5RCRjy6nZY0TY/edit#gid=1248694442"",""Table 1: Study characteristics!U4:U175""), $A51=IMPORTRANGE(""https://docs.google.com/spreadsheets/d/1kGrh75X1cNR1D7_FcY9zMnHP"&amp;"8iPO4M5RCRjy6nZY0TY/edit#gid=1248694442"",""Table 1: Study characteristics!A4:A175""))"),28.0)</f>
        <v>28</v>
      </c>
      <c r="L51" s="4">
        <f>IFERROR(__xludf.DUMMYFUNCTION("FILTER(IMPORTRANGE(""https://docs.google.com/spreadsheets/d/1kGrh75X1cNR1D7_FcY9zMnHP8iPO4M5RCRjy6nZY0TY/edit#gid=1248694442"",""Table 1: Study characteristics!V4:V175""), $A51=IMPORTRANGE(""https://docs.google.com/spreadsheets/d/1kGrh75X1cNR1D7_FcY9zMnHP"&amp;"8iPO4M5RCRjy6nZY0TY/edit#gid=1248694442"",""Table 1: Study characteristics!A4:A175""))"),22.0)</f>
        <v>22</v>
      </c>
      <c r="M51" s="4" t="str">
        <f>IFERROR(__xludf.DUMMYFUNCTION("FILTER(IMPORTRANGE(""https://docs.google.com/spreadsheets/d/1kGrh75X1cNR1D7_FcY9zMnHP8iPO4M5RCRjy6nZY0TY/edit#gid=1248694442"",""Table 1: Study characteristics!Q4:Q175""), $A51=IMPORTRANGE(""https://docs.google.com/spreadsheets/d/1kGrh75X1cNR1D7_FcY9zMnHP"&amp;"8iPO4M5RCRjy6nZY0TY/edit#gid=1248694442"",""Table 1: Study characteristics!A4:A175""))"),"")</f>
        <v/>
      </c>
      <c r="N51" s="4" t="str">
        <f>IFERROR(__xludf.DUMMYFUNCTION("FILTER(IMPORTRANGE(""https://docs.google.com/spreadsheets/d/1kGrh75X1cNR1D7_FcY9zMnHP8iPO4M5RCRjy6nZY0TY/edit#gid=1248694442"",""Table 1: Study characteristics!R4:R175""), $A51=IMPORTRANGE(""https://docs.google.com/spreadsheets/d/1kGrh75X1cNR1D7_FcY9zMnHP"&amp;"8iPO4M5RCRjy6nZY0TY/edit#gid=1248694442"",""Table 1: Study characteristics!A4:A175""))"),"")</f>
        <v/>
      </c>
      <c r="O51" s="4" t="str">
        <f>IFERROR(__xludf.DUMMYFUNCTION("FILTER(IMPORTRANGE(""https://docs.google.com/spreadsheets/d/1kGrh75X1cNR1D7_FcY9zMnHP8iPO4M5RCRjy6nZY0TY/edit#gid=1248694442"",""Table 1: Study characteristics!S4:S175""), $A51=IMPORTRANGE(""https://docs.google.com/spreadsheets/d/1kGrh75X1cNR1D7_FcY9zMnHP"&amp;"8iPO4M5RCRjy6nZY0TY/edit#gid=1248694442"",""Table 1: Study characteristics!A4:A175""))"),"")</f>
        <v/>
      </c>
      <c r="P51" s="6" t="str">
        <f>IFERROR(__xludf.DUMMYFUNCTION("FILTER(IMPORTRANGE(""https://docs.google.com/spreadsheets/d/1kGrh75X1cNR1D7_FcY9zMnHP8iPO4M5RCRjy6nZY0TY/edit#gid=1248694442"",""Table 1: Study characteristics!T4:T175""), $A51=IMPORTRANGE(""https://docs.google.com/spreadsheets/d/1kGrh75X1cNR1D7_FcY9zMnHP"&amp;"8iPO4M5RCRjy6nZY0TY/edit#gid=1248694442"",""Table 1: Study characteristics!A4:A175""))"),"")</f>
        <v/>
      </c>
      <c r="Q51" s="6" t="str">
        <f>IFERROR(__xludf.DUMMYFUNCTION("FILTER(IMPORTRANGE(""https://docs.google.com/spreadsheets/d/1kGrh75X1cNR1D7_FcY9zMnHP8iPO4M5RCRjy6nZY0TY/edit#gid=1248694442"",""Table 1: Study characteristics!L4:L175""), $A51=IMPORTRANGE(""https://docs.google.com/spreadsheets/d/1kGrh75X1cNR1D7_FcY9zMnHP"&amp;"8iPO4M5RCRjy6nZY0TY/edit#gid=1248694442"",""Table 1: Study characteristics!A4:A175""))"),"1965-1969")</f>
        <v>1965-1969</v>
      </c>
      <c r="R51" s="4" t="str">
        <f>IFERROR(__xludf.DUMMYFUNCTION("FILTER(IMPORTRANGE(""https://docs.google.com/spreadsheets/d/1kGrh75X1cNR1D7_FcY9zMnHP8iPO4M5RCRjy6nZY0TY/edit#gid=1248694442"",""Table 1: Study characteristics!I4:I175""), $A51=IMPORTRANGE(""https://docs.google.com/spreadsheets/d/1kGrh75X1cNR1D7_FcY9zMnHP"&amp;"8iPO4M5RCRjy6nZY0TY/edit#gid=1248694442"",""Table 1: Study characteristics!A4:A175""))"),"English")</f>
        <v>English</v>
      </c>
    </row>
    <row r="52">
      <c r="A52" s="4" t="str">
        <f>IFERROR(__xludf.DUMMYFUNCTION("""COMPUTED_VALUE"""),"ID 102")</f>
        <v>ID 102</v>
      </c>
      <c r="B52" s="15" t="s">
        <v>200</v>
      </c>
      <c r="C52" s="4" t="str">
        <f>IFERROR(__xludf.DUMMYFUNCTION("LEFT(FILTER(IMPORTRANGE(""https://docs.google.com/spreadsheets/d/1kGrh75X1cNR1D7_FcY9zMnHP8iPO4M5RCRjy6nZY0TY/edit#gid=1248694442"",""Table 1: Study characteristics!C4:C175""), $A52=IMPORTRANGE(""https://docs.google.com/spreadsheets/d/1kGrh75X1cNR1D7_FcY9"&amp;"zMnHP8iPO4M5RCRjy6nZY0TY/edit#gid=1248694442"",""Table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$A52=IMPORTRANGE(""https://docs.google.com/spreadsheets/d/1kGrh75X1cNR1D7_FcY9zMnHP8iPO4M5RCRjy6nZY0TY/edit#gid=1248694442"",""Table 1: Study characteristics!A4:A175"")))-1)"),"Noetzel")</f>
        <v>Noetzel</v>
      </c>
      <c r="D52" s="4">
        <f>IFERROR(__xludf.DUMMYFUNCTION("FILTER(IMPORTRANGE(""https://docs.google.com/spreadsheets/d/1kGrh75X1cNR1D7_FcY9zMnHP8iPO4M5RCRjy6nZY0TY/edit#gid=1248694442"",""Table 1: Study characteristics!K4:K175""), $A52=IMPORTRANGE(""https://docs.google.com/spreadsheets/d/1kGrh75X1cNR1D7_FcY9zMnHP"&amp;"8iPO4M5RCRjy6nZY0TY/edit#gid=1248694442"",""Table 1: Study characteristics!A4:A175""))"),1991.0)</f>
        <v>1991</v>
      </c>
      <c r="E52" s="4" t="str">
        <f>IFERROR(__xludf.DUMMYFUNCTION("FILTER(IMPORTRANGE(""https://docs.google.com/spreadsheets/d/1kGrh75X1cNR1D7_FcY9zMnHP8iPO4M5RCRjy6nZY0TY/edit#gid=1248694442"",""Table 1: Study characteristics!M4:M175""), $A52=IMPORTRANGE(""https://docs.google.com/spreadsheets/d/1kGrh75X1cNR1D7_FcY9zMnHP"&amp;"8iPO4M5RCRjy6nZY0TY/edit#gid=1248694442"",""Table 1: Study characteristics!A4:A175""))"),"High income")</f>
        <v>High income</v>
      </c>
      <c r="F52" s="4" t="str">
        <f>IFERROR(__xludf.DUMMYFUNCTION("FILTER(IMPORTRANGE(""https://docs.google.com/spreadsheets/d/1kGrh75X1cNR1D7_FcY9zMnHP8iPO4M5RCRjy6nZY0TY/edit#gid=1248694442"",""Table 1: Study characteristics!N4:N175""), $A52=IMPORTRANGE(""https://docs.google.com/spreadsheets/d/1kGrh75X1cNR1D7_FcY9zMnHP"&amp;"8iPO4M5RCRjy6nZY0TY/edit#gid=1248694442"",""Table 1: Study characteristics!A4:A175""))"),"North America")</f>
        <v>North America</v>
      </c>
      <c r="G52" s="4" t="str">
        <f>IFERROR(__xludf.DUMMYFUNCTION("FILTER(IMPORTRANGE(""https://docs.google.com/spreadsheets/d/1kGrh75X1cNR1D7_FcY9zMnHP8iPO4M5RCRjy6nZY0TY/edit#gid=1248694442"",""Table 1: Study characteristics!J4:J175""), $A52=IMPORTRANGE(""https://docs.google.com/spreadsheets/d/1kGrh75X1cNR1D7_FcY9zMnHP"&amp;"8iPO4M5RCRjy6nZY0TY/edit#gid=1248694442"",""Table 1: Study characteristics!A4:A175""))"),"United States")</f>
        <v>United States</v>
      </c>
      <c r="H52" s="4" t="str">
        <f>IFERROR(__xludf.DUMMYFUNCTION("FILTER(IMPORTRANGE(""https://docs.google.com/spreadsheets/d/1kGrh75X1cNR1D7_FcY9zMnHP8iPO4M5RCRjy6nZY0TY/edit#gid=1248694442"",""Table 1: Study characteristics!O4:O175""), $A52=IMPORTRANGE(""https://docs.google.com/spreadsheets/d/1kGrh75X1cNR1D7_FcY9zMnHP"&amp;"8iPO4M5RCRjy6nZY0TY/edit#gid=1248694442"",""Table 1: Study characteristics!A4:A175""))"),"Other (Add as comment)")</f>
        <v>Other (Add as comment)</v>
      </c>
      <c r="I52" s="14" t="str">
        <f>IFERROR(__xludf.DUMMYFUNCTION("IFNA(FILTER(IMPORTRANGE(""https://docs.google.com/spreadsheets/d/1kGrh75X1cNR1D7_FcY9zMnHP8iPO4M5RCRjy6nZY0TY/edit#gid=1248694442"",""Table 3: 1st-line HC!C5:C111""), $A52=IMPORTRANGE(""https://docs.google.com/spreadsheets/d/1kGrh75X1cNR1D7_FcY9zMnHP8iPO4"&amp;"M5RCRjy6nZY0TY/edit#gid=1248694442"",""Table 3: 1st-line HC!A5:A111"")),"""")"),"Selected")</f>
        <v>Selected</v>
      </c>
      <c r="J52" s="4">
        <f>IFERROR(__xludf.DUMMYFUNCTION("FILTER(IMPORTRANGE(""https://docs.google.com/spreadsheets/d/1kGrh75X1cNR1D7_FcY9zMnHP8iPO4M5RCRjy6nZY0TY/edit#gid=1248694442"",""Table 1: Study characteristics!P4:P175""), $A52=IMPORTRANGE(""https://docs.google.com/spreadsheets/d/1kGrh75X1cNR1D7_FcY9zMnHP"&amp;"8iPO4M5RCRjy6nZY0TY/edit#gid=1248694442"",""Table 1: Study characteristics!A4:A175""))"),109.0)</f>
        <v>109</v>
      </c>
      <c r="K52" s="4">
        <f>IFERROR(__xludf.DUMMYFUNCTION("FILTER(IMPORTRANGE(""https://docs.google.com/spreadsheets/d/1kGrh75X1cNR1D7_FcY9zMnHP8iPO4M5RCRjy6nZY0TY/edit#gid=1248694442"",""Table 1: Study characteristics!U4:U175""), $A52=IMPORTRANGE(""https://docs.google.com/spreadsheets/d/1kGrh75X1cNR1D7_FcY9zMnHP"&amp;"8iPO4M5RCRjy6nZY0TY/edit#gid=1248694442"",""Table 1: Study characteristics!A4:A175""))"),59.0)</f>
        <v>59</v>
      </c>
      <c r="L52" s="4">
        <f>IFERROR(__xludf.DUMMYFUNCTION("FILTER(IMPORTRANGE(""https://docs.google.com/spreadsheets/d/1kGrh75X1cNR1D7_FcY9zMnHP8iPO4M5RCRjy6nZY0TY/edit#gid=1248694442"",""Table 1: Study characteristics!V4:V175""), $A52=IMPORTRANGE(""https://docs.google.com/spreadsheets/d/1kGrh75X1cNR1D7_FcY9zMnHP"&amp;"8iPO4M5RCRjy6nZY0TY/edit#gid=1248694442"",""Table 1: Study characteristics!A4:A175""))"),50.0)</f>
        <v>50</v>
      </c>
      <c r="M52" s="4" t="str">
        <f>IFERROR(__xludf.DUMMYFUNCTION("FILTER(IMPORTRANGE(""https://docs.google.com/spreadsheets/d/1kGrh75X1cNR1D7_FcY9zMnHP8iPO4M5RCRjy6nZY0TY/edit#gid=1248694442"",""Table 1: Study characteristics!Q4:Q175""), $A52=IMPORTRANGE(""https://docs.google.com/spreadsheets/d/1kGrh75X1cNR1D7_FcY9zMnHP"&amp;"8iPO4M5RCRjy6nZY0TY/edit#gid=1248694442"",""Table 1: Study characteristics!A4:A175""))"),"")</f>
        <v/>
      </c>
      <c r="N52" s="4" t="str">
        <f>IFERROR(__xludf.DUMMYFUNCTION("FILTER(IMPORTRANGE(""https://docs.google.com/spreadsheets/d/1kGrh75X1cNR1D7_FcY9zMnHP8iPO4M5RCRjy6nZY0TY/edit#gid=1248694442"",""Table 1: Study characteristics!R4:R175""), $A52=IMPORTRANGE(""https://docs.google.com/spreadsheets/d/1kGrh75X1cNR1D7_FcY9zMnHP"&amp;"8iPO4M5RCRjy6nZY0TY/edit#gid=1248694442"",""Table 1: Study characteristics!A4:A175""))"),"")</f>
        <v/>
      </c>
      <c r="O52" s="4" t="str">
        <f>IFERROR(__xludf.DUMMYFUNCTION("FILTER(IMPORTRANGE(""https://docs.google.com/spreadsheets/d/1kGrh75X1cNR1D7_FcY9zMnHP8iPO4M5RCRjy6nZY0TY/edit#gid=1248694442"",""Table 1: Study characteristics!S4:S175""), $A52=IMPORTRANGE(""https://docs.google.com/spreadsheets/d/1kGrh75X1cNR1D7_FcY9zMnHP"&amp;"8iPO4M5RCRjy6nZY0TY/edit#gid=1248694442"",""Table 1: Study characteristics!A4:A175""))"),"")</f>
        <v/>
      </c>
      <c r="P52" s="6" t="str">
        <f>IFERROR(__xludf.DUMMYFUNCTION("FILTER(IMPORTRANGE(""https://docs.google.com/spreadsheets/d/1kGrh75X1cNR1D7_FcY9zMnHP8iPO4M5RCRjy6nZY0TY/edit#gid=1248694442"",""Table 1: Study characteristics!T4:T175""), $A52=IMPORTRANGE(""https://docs.google.com/spreadsheets/d/1kGrh75X1cNR1D7_FcY9zMnHP"&amp;"8iPO4M5RCRjy6nZY0TY/edit#gid=1248694442"",""Table 1: Study characteristics!A4:A175""))"),"")</f>
        <v/>
      </c>
      <c r="Q52" s="6" t="str">
        <f>IFERROR(__xludf.DUMMYFUNCTION("FILTER(IMPORTRANGE(""https://docs.google.com/spreadsheets/d/1kGrh75X1cNR1D7_FcY9zMnHP8iPO4M5RCRjy6nZY0TY/edit#gid=1248694442"",""Table 1: Study characteristics!L4:L175""), $A52=IMPORTRANGE(""https://docs.google.com/spreadsheets/d/1kGrh75X1cNR1D7_FcY9zMnHP"&amp;"8iPO4M5RCRjy6nZY0TY/edit#gid=1248694442"",""Table 1: Study characteristics!A4:A175""))"),"1962-1989")</f>
        <v>1962-1989</v>
      </c>
      <c r="R52" s="4" t="str">
        <f>IFERROR(__xludf.DUMMYFUNCTION("FILTER(IMPORTRANGE(""https://docs.google.com/spreadsheets/d/1kGrh75X1cNR1D7_FcY9zMnHP8iPO4M5RCRjy6nZY0TY/edit#gid=1248694442"",""Table 1: Study characteristics!I4:I175""), $A52=IMPORTRANGE(""https://docs.google.com/spreadsheets/d/1kGrh75X1cNR1D7_FcY9zMnHP"&amp;"8iPO4M5RCRjy6nZY0TY/edit#gid=1248694442"",""Table 1: Study characteristics!A4:A175""))"),"English")</f>
        <v>English</v>
      </c>
    </row>
    <row r="53">
      <c r="A53" s="4" t="str">
        <f>IFERROR(__xludf.DUMMYFUNCTION("""COMPUTED_VALUE"""),"ID 104")</f>
        <v>ID 104</v>
      </c>
      <c r="B53" s="13" t="s">
        <v>201</v>
      </c>
      <c r="C53" s="4" t="str">
        <f>IFERROR(__xludf.DUMMYFUNCTION("LEFT(FILTER(IMPORTRANGE(""https://docs.google.com/spreadsheets/d/1kGrh75X1cNR1D7_FcY9zMnHP8iPO4M5RCRjy6nZY0TY/edit#gid=1248694442"",""Table 1: Study characteristics!C4:C175""), $A53=IMPORTRANGE(""https://docs.google.com/spreadsheets/d/1kGrh75X1cNR1D7_FcY9"&amp;"zMnHP8iPO4M5RCRjy6nZY0TY/edit#gid=1248694442"",""Table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$A53=IMPORTRANGE(""https://docs.google.com/spreadsheets/d/1kGrh75X1cNR1D7_FcY9zMnHP8iPO4M5RCRjy6nZY0TY/edit#gid=1248694442"",""Table 1: Study characteristics!A4:A175"")))-1)"),"Lu")</f>
        <v>Lu</v>
      </c>
      <c r="D53" s="4">
        <f>IFERROR(__xludf.DUMMYFUNCTION("FILTER(IMPORTRANGE(""https://docs.google.com/spreadsheets/d/1kGrh75X1cNR1D7_FcY9zMnHP8iPO4M5RCRjy6nZY0TY/edit#gid=1248694442"",""Table 1: Study characteristics!K4:K175""), $A53=IMPORTRANGE(""https://docs.google.com/spreadsheets/d/1kGrh75X1cNR1D7_FcY9zMnHP"&amp;"8iPO4M5RCRjy6nZY0TY/edit#gid=1248694442"",""Table 1: Study characteristics!A4:A175""))"),2019.0)</f>
        <v>2019</v>
      </c>
      <c r="E53" s="4" t="str">
        <f>IFERROR(__xludf.DUMMYFUNCTION("FILTER(IMPORTRANGE(""https://docs.google.com/spreadsheets/d/1kGrh75X1cNR1D7_FcY9zMnHP8iPO4M5RCRjy6nZY0TY/edit#gid=1248694442"",""Table 1: Study characteristics!M4:M175""), $A53=IMPORTRANGE(""https://docs.google.com/spreadsheets/d/1kGrh75X1cNR1D7_FcY9zMnHP"&amp;"8iPO4M5RCRjy6nZY0TY/edit#gid=1248694442"",""Table 1: Study characteristics!A4:A175""))"),"High income")</f>
        <v>High income</v>
      </c>
      <c r="F53" s="4" t="str">
        <f>IFERROR(__xludf.DUMMYFUNCTION("FILTER(IMPORTRANGE(""https://docs.google.com/spreadsheets/d/1kGrh75X1cNR1D7_FcY9zMnHP8iPO4M5RCRjy6nZY0TY/edit#gid=1248694442"",""Table 1: Study characteristics!N4:N175""), $A53=IMPORTRANGE(""https://docs.google.com/spreadsheets/d/1kGrh75X1cNR1D7_FcY9zMnHP"&amp;"8iPO4M5RCRjy6nZY0TY/edit#gid=1248694442"",""Table 1: Study characteristics!A4:A175""))"),"North America")</f>
        <v>North America</v>
      </c>
      <c r="G53" s="4" t="str">
        <f>IFERROR(__xludf.DUMMYFUNCTION("FILTER(IMPORTRANGE(""https://docs.google.com/spreadsheets/d/1kGrh75X1cNR1D7_FcY9zMnHP8iPO4M5RCRjy6nZY0TY/edit#gid=1248694442"",""Table 1: Study characteristics!J4:J175""), $A53=IMPORTRANGE(""https://docs.google.com/spreadsheets/d/1kGrh75X1cNR1D7_FcY9zMnHP"&amp;"8iPO4M5RCRjy6nZY0TY/edit#gid=1248694442"",""Table 1: Study characteristics!A4:A175""))"),"United States")</f>
        <v>United States</v>
      </c>
      <c r="H53" s="4" t="str">
        <f>IFERROR(__xludf.DUMMYFUNCTION("FILTER(IMPORTRANGE(""https://docs.google.com/spreadsheets/d/1kGrh75X1cNR1D7_FcY9zMnHP8iPO4M5RCRjy6nZY0TY/edit#gid=1248694442"",""Table 1: Study characteristics!O4:O175""), $A53=IMPORTRANGE(""https://docs.google.com/spreadsheets/d/1kGrh75X1cNR1D7_FcY9zMnHP"&amp;"8iPO4M5RCRjy6nZY0TY/edit#gid=1248694442"",""Table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53" s="14" t="str">
        <f>IFERROR(__xludf.DUMMYFUNCTION("IFNA(FILTER(IMPORTRANGE(""https://docs.google.com/spreadsheets/d/1kGrh75X1cNR1D7_FcY9zMnHP8iPO4M5RCRjy6nZY0TY/edit#gid=1248694442"",""Table 3: 1st-line HC!C5:C111""), $A53=IMPORTRANGE(""https://docs.google.com/spreadsheets/d/1kGrh75X1cNR1D7_FcY9zMnHP8iPO4"&amp;"M5RCRjy6nZY0TY/edit#gid=1248694442"",""Table 3: 1st-line HC!A5:A111"")),"""")"),"Selected")</f>
        <v>Selected</v>
      </c>
      <c r="J53" s="4">
        <f>IFERROR(__xludf.DUMMYFUNCTION("FILTER(IMPORTRANGE(""https://docs.google.com/spreadsheets/d/1kGrh75X1cNR1D7_FcY9zMnHP8iPO4M5RCRjy6nZY0TY/edit#gid=1248694442"",""Table 1: Study characteristics!P4:P175""), $A53=IMPORTRANGE(""https://docs.google.com/spreadsheets/d/1kGrh75X1cNR1D7_FcY9zMnHP"&amp;"8iPO4M5RCRjy6nZY0TY/edit#gid=1248694442"",""Table 1: Study characteristics!A4:A175""))"),6.0)</f>
        <v>6</v>
      </c>
      <c r="K53" s="4">
        <f>IFERROR(__xludf.DUMMYFUNCTION("FILTER(IMPORTRANGE(""https://docs.google.com/spreadsheets/d/1kGrh75X1cNR1D7_FcY9zMnHP8iPO4M5RCRjy6nZY0TY/edit#gid=1248694442"",""Table 1: Study characteristics!U4:U175""), $A53=IMPORTRANGE(""https://docs.google.com/spreadsheets/d/1kGrh75X1cNR1D7_FcY9zMnHP"&amp;"8iPO4M5RCRjy6nZY0TY/edit#gid=1248694442"",""Table 1: Study characteristics!A4:A175""))"),6.0)</f>
        <v>6</v>
      </c>
      <c r="L53" s="4" t="str">
        <f>IFERROR(__xludf.DUMMYFUNCTION("FILTER(IMPORTRANGE(""https://docs.google.com/spreadsheets/d/1kGrh75X1cNR1D7_FcY9zMnHP8iPO4M5RCRjy6nZY0TY/edit#gid=1248694442"",""Table 1: Study characteristics!V4:V175""), $A53=IMPORTRANGE(""https://docs.google.com/spreadsheets/d/1kGrh75X1cNR1D7_FcY9zMnHP"&amp;"8iPO4M5RCRjy6nZY0TY/edit#gid=1248694442"",""Table 1: Study characteristics!A4:A175""))"),"")</f>
        <v/>
      </c>
      <c r="M53" s="4">
        <f>IFERROR(__xludf.DUMMYFUNCTION("FILTER(IMPORTRANGE(""https://docs.google.com/spreadsheets/d/1kGrh75X1cNR1D7_FcY9zMnHP8iPO4M5RCRjy6nZY0TY/edit#gid=1248694442"",""Table 1: Study characteristics!Q4:Q175""), $A53=IMPORTRANGE(""https://docs.google.com/spreadsheets/d/1kGrh75X1cNR1D7_FcY9zMnHP"&amp;"8iPO4M5RCRjy6nZY0TY/edit#gid=1248694442"",""Table 1: Study characteristics!A4:A175""))"),130.0)</f>
        <v>130</v>
      </c>
      <c r="N53" s="4">
        <f>IFERROR(__xludf.DUMMYFUNCTION("FILTER(IMPORTRANGE(""https://docs.google.com/spreadsheets/d/1kGrh75X1cNR1D7_FcY9zMnHP8iPO4M5RCRjy6nZY0TY/edit#gid=1248694442"",""Table 1: Study characteristics!R4:R175""), $A53=IMPORTRANGE(""https://docs.google.com/spreadsheets/d/1kGrh75X1cNR1D7_FcY9zMnHP"&amp;"8iPO4M5RCRjy6nZY0TY/edit#gid=1248694442"",""Table 1: Study characteristics!A4:A175""))"),150.0)</f>
        <v>150</v>
      </c>
      <c r="O53" s="4" t="str">
        <f>IFERROR(__xludf.DUMMYFUNCTION("FILTER(IMPORTRANGE(""https://docs.google.com/spreadsheets/d/1kGrh75X1cNR1D7_FcY9zMnHP8iPO4M5RCRjy6nZY0TY/edit#gid=1248694442"",""Table 1: Study characteristics!S4:S175""), $A53=IMPORTRANGE(""https://docs.google.com/spreadsheets/d/1kGrh75X1cNR1D7_FcY9zMnHP"&amp;"8iPO4M5RCRjy6nZY0TY/edit#gid=1248694442"",""Table 1: Study characteristics!A4:A175""))"),"")</f>
        <v/>
      </c>
      <c r="P53" s="6" t="str">
        <f>IFERROR(__xludf.DUMMYFUNCTION("FILTER(IMPORTRANGE(""https://docs.google.com/spreadsheets/d/1kGrh75X1cNR1D7_FcY9zMnHP8iPO4M5RCRjy6nZY0TY/edit#gid=1248694442"",""Table 1: Study characteristics!T4:T175""), $A53=IMPORTRANGE(""https://docs.google.com/spreadsheets/d/1kGrh75X1cNR1D7_FcY9zMnHP"&amp;"8iPO4M5RCRjy6nZY0TY/edit#gid=1248694442"",""Table 1: Study characteristics!A4:A175""))"),"30-210")</f>
        <v>30-210</v>
      </c>
      <c r="Q53" s="6" t="str">
        <f>IFERROR(__xludf.DUMMYFUNCTION("FILTER(IMPORTRANGE(""https://docs.google.com/spreadsheets/d/1kGrh75X1cNR1D7_FcY9zMnHP8iPO4M5RCRjy6nZY0TY/edit#gid=1248694442"",""Table 1: Study characteristics!L4:L175""), $A53=IMPORTRANGE(""https://docs.google.com/spreadsheets/d/1kGrh75X1cNR1D7_FcY9zMnHP"&amp;"8iPO4M5RCRjy6nZY0TY/edit#gid=1248694442"",""Table 1: Study characteristics!A4:A175""))"),"2012-2017")</f>
        <v>2012-2017</v>
      </c>
      <c r="R53" s="4" t="str">
        <f>IFERROR(__xludf.DUMMYFUNCTION("FILTER(IMPORTRANGE(""https://docs.google.com/spreadsheets/d/1kGrh75X1cNR1D7_FcY9zMnHP8iPO4M5RCRjy6nZY0TY/edit#gid=1248694442"",""Table 1: Study characteristics!I4:I175""), $A53=IMPORTRANGE(""https://docs.google.com/spreadsheets/d/1kGrh75X1cNR1D7_FcY9zMnHP"&amp;"8iPO4M5RCRjy6nZY0TY/edit#gid=1248694442"",""Table 1: Study characteristics!A4:A175""))"),"English")</f>
        <v>English</v>
      </c>
    </row>
    <row r="54">
      <c r="A54" s="4" t="str">
        <f>IFERROR(__xludf.DUMMYFUNCTION("""COMPUTED_VALUE"""),"ID 107")</f>
        <v>ID 107</v>
      </c>
      <c r="B54" s="13" t="s">
        <v>202</v>
      </c>
      <c r="C54" s="4" t="str">
        <f>IFERROR(__xludf.DUMMYFUNCTION("LEFT(FILTER(IMPORTRANGE(""https://docs.google.com/spreadsheets/d/1kGrh75X1cNR1D7_FcY9zMnHP8iPO4M5RCRjy6nZY0TY/edit#gid=1248694442"",""Table 1: Study characteristics!C4:C175""), $A54=IMPORTRANGE(""https://docs.google.com/spreadsheets/d/1kGrh75X1cNR1D7_FcY9"&amp;"zMnHP8iPO4M5RCRjy6nZY0TY/edit#gid=1248694442"",""Table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$A54=IMPORTRANGE(""https://docs.google.com/spreadsheets/d/1kGrh75X1cNR1D7_FcY9zMnHP8iPO4M5RCRjy6nZY0TY/edit#gid=1248694442"",""Table 1: Study characteristics!A4:A175"")))-1)"),"Arslan")</f>
        <v>Arslan</v>
      </c>
      <c r="D54" s="4">
        <f>IFERROR(__xludf.DUMMYFUNCTION("FILTER(IMPORTRANGE(""https://docs.google.com/spreadsheets/d/1kGrh75X1cNR1D7_FcY9zMnHP8iPO4M5RCRjy6nZY0TY/edit#gid=1248694442"",""Table 1: Study characteristics!K4:K175""), $A54=IMPORTRANGE(""https://docs.google.com/spreadsheets/d/1kGrh75X1cNR1D7_FcY9zMnHP"&amp;"8iPO4M5RCRjy6nZY0TY/edit#gid=1248694442"",""Table 1: Study characteristics!A4:A175""))"),2018.0)</f>
        <v>2018</v>
      </c>
      <c r="E54" s="4" t="str">
        <f>IFERROR(__xludf.DUMMYFUNCTION("FILTER(IMPORTRANGE(""https://docs.google.com/spreadsheets/d/1kGrh75X1cNR1D7_FcY9zMnHP8iPO4M5RCRjy6nZY0TY/edit#gid=1248694442"",""Table 1: Study characteristics!M4:M175""), $A54=IMPORTRANGE(""https://docs.google.com/spreadsheets/d/1kGrh75X1cNR1D7_FcY9zMnHP"&amp;"8iPO4M5RCRjy6nZY0TY/edit#gid=1248694442"",""Table 1: Study characteristics!A4:A175""))"),"Upper middle income")</f>
        <v>Upper middle income</v>
      </c>
      <c r="F54" s="4" t="str">
        <f>IFERROR(__xludf.DUMMYFUNCTION("FILTER(IMPORTRANGE(""https://docs.google.com/spreadsheets/d/1kGrh75X1cNR1D7_FcY9zMnHP8iPO4M5RCRjy6nZY0TY/edit#gid=1248694442"",""Table 1: Study characteristics!N4:N175""), $A54=IMPORTRANGE(""https://docs.google.com/spreadsheets/d/1kGrh75X1cNR1D7_FcY9zMnHP"&amp;"8iPO4M5RCRjy6nZY0TY/edit#gid=1248694442"",""Table 1: Study characteristics!A4:A175""))"),"Europe &amp; Central Asia")</f>
        <v>Europe &amp; Central Asia</v>
      </c>
      <c r="G54" s="4" t="str">
        <f>IFERROR(__xludf.DUMMYFUNCTION("FILTER(IMPORTRANGE(""https://docs.google.com/spreadsheets/d/1kGrh75X1cNR1D7_FcY9zMnHP8iPO4M5RCRjy6nZY0TY/edit#gid=1248694442"",""Table 1: Study characteristics!J4:J175""), $A54=IMPORTRANGE(""https://docs.google.com/spreadsheets/d/1kGrh75X1cNR1D7_FcY9zMnHP"&amp;"8iPO4M5RCRjy6nZY0TY/edit#gid=1248694442"",""Table 1: Study characteristics!A4:A175""))"),"Turkey")</f>
        <v>Turkey</v>
      </c>
      <c r="H54" s="4" t="str">
        <f>IFERROR(__xludf.DUMMYFUNCTION("FILTER(IMPORTRANGE(""https://docs.google.com/spreadsheets/d/1kGrh75X1cNR1D7_FcY9zMnHP8iPO4M5RCRjy6nZY0TY/edit#gid=1248694442"",""Table 1: Study characteristics!O4:O175""), $A54=IMPORTRANGE(""https://docs.google.com/spreadsheets/d/1kGrh75X1cNR1D7_FcY9zMnHP"&amp;"8iPO4M5RCRjy6nZY0TY/edit#gid=1248694442"",""Table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54" s="14" t="str">
        <f>IFERROR(__xludf.DUMMYFUNCTION("IFNA(FILTER(IMPORTRANGE(""https://docs.google.com/spreadsheets/d/1kGrh75X1cNR1D7_FcY9zMnHP8iPO4M5RCRjy6nZY0TY/edit#gid=1248694442"",""Table 3: 1st-line HC!C5:C111""), $A54=IMPORTRANGE(""https://docs.google.com/spreadsheets/d/1kGrh75X1cNR1D7_FcY9zMnHP8iPO4"&amp;"M5RCRjy6nZY0TY/edit#gid=1248694442"",""Table 3: 1st-line HC!A5:A111"")),"""")"),"Selected")</f>
        <v>Selected</v>
      </c>
      <c r="J54" s="4">
        <f>IFERROR(__xludf.DUMMYFUNCTION("FILTER(IMPORTRANGE(""https://docs.google.com/spreadsheets/d/1kGrh75X1cNR1D7_FcY9zMnHP8iPO4M5RCRjy6nZY0TY/edit#gid=1248694442"",""Table 1: Study characteristics!P4:P175""), $A54=IMPORTRANGE(""https://docs.google.com/spreadsheets/d/1kGrh75X1cNR1D7_FcY9zMnHP"&amp;"8iPO4M5RCRjy6nZY0TY/edit#gid=1248694442"",""Table 1: Study characteristics!A4:A175""))"),794.0)</f>
        <v>794</v>
      </c>
      <c r="K54" s="4" t="str">
        <f>IFERROR(__xludf.DUMMYFUNCTION("FILTER(IMPORTRANGE(""https://docs.google.com/spreadsheets/d/1kGrh75X1cNR1D7_FcY9zMnHP8iPO4M5RCRjy6nZY0TY/edit#gid=1248694442"",""Table 1: Study characteristics!U4:U175""), $A54=IMPORTRANGE(""https://docs.google.com/spreadsheets/d/1kGrh75X1cNR1D7_FcY9zMnHP"&amp;"8iPO4M5RCRjy6nZY0TY/edit#gid=1248694442"",""Table 1: Study characteristics!A4:A175""))"),"")</f>
        <v/>
      </c>
      <c r="L54" s="4" t="str">
        <f>IFERROR(__xludf.DUMMYFUNCTION("FILTER(IMPORTRANGE(""https://docs.google.com/spreadsheets/d/1kGrh75X1cNR1D7_FcY9zMnHP8iPO4M5RCRjy6nZY0TY/edit#gid=1248694442"",""Table 1: Study characteristics!V4:V175""), $A54=IMPORTRANGE(""https://docs.google.com/spreadsheets/d/1kGrh75X1cNR1D7_FcY9zMnHP"&amp;"8iPO4M5RCRjy6nZY0TY/edit#gid=1248694442"",""Table 1: Study characteristics!A4:A175""))"),"")</f>
        <v/>
      </c>
      <c r="M54" s="4" t="str">
        <f>IFERROR(__xludf.DUMMYFUNCTION("FILTER(IMPORTRANGE(""https://docs.google.com/spreadsheets/d/1kGrh75X1cNR1D7_FcY9zMnHP8iPO4M5RCRjy6nZY0TY/edit#gid=1248694442"",""Table 1: Study characteristics!Q4:Q175""), $A54=IMPORTRANGE(""https://docs.google.com/spreadsheets/d/1kGrh75X1cNR1D7_FcY9zMnHP"&amp;"8iPO4M5RCRjy6nZY0TY/edit#gid=1248694442"",""Table 1: Study characteristics!A4:A175""))"),"")</f>
        <v/>
      </c>
      <c r="N54" s="4" t="str">
        <f>IFERROR(__xludf.DUMMYFUNCTION("FILTER(IMPORTRANGE(""https://docs.google.com/spreadsheets/d/1kGrh75X1cNR1D7_FcY9zMnHP8iPO4M5RCRjy6nZY0TY/edit#gid=1248694442"",""Table 1: Study characteristics!R4:R175""), $A54=IMPORTRANGE(""https://docs.google.com/spreadsheets/d/1kGrh75X1cNR1D7_FcY9zMnHP"&amp;"8iPO4M5RCRjy6nZY0TY/edit#gid=1248694442"",""Table 1: Study characteristics!A4:A175""))"),"")</f>
        <v/>
      </c>
      <c r="O54" s="4" t="str">
        <f>IFERROR(__xludf.DUMMYFUNCTION("FILTER(IMPORTRANGE(""https://docs.google.com/spreadsheets/d/1kGrh75X1cNR1D7_FcY9zMnHP8iPO4M5RCRjy6nZY0TY/edit#gid=1248694442"",""Table 1: Study characteristics!S4:S175""), $A54=IMPORTRANGE(""https://docs.google.com/spreadsheets/d/1kGrh75X1cNR1D7_FcY9zMnHP"&amp;"8iPO4M5RCRjy6nZY0TY/edit#gid=1248694442"",""Table 1: Study characteristics!A4:A175""))"),"")</f>
        <v/>
      </c>
      <c r="P54" s="6" t="str">
        <f>IFERROR(__xludf.DUMMYFUNCTION("FILTER(IMPORTRANGE(""https://docs.google.com/spreadsheets/d/1kGrh75X1cNR1D7_FcY9zMnHP8iPO4M5RCRjy6nZY0TY/edit#gid=1248694442"",""Table 1: Study characteristics!T4:T175""), $A54=IMPORTRANGE(""https://docs.google.com/spreadsheets/d/1kGrh75X1cNR1D7_FcY9zMnHP"&amp;"8iPO4M5RCRjy6nZY0TY/edit#gid=1248694442"",""Table 1: Study characteristics!A4:A175""))"),"2-365")</f>
        <v>2-365</v>
      </c>
      <c r="Q54" s="6" t="str">
        <f>IFERROR(__xludf.DUMMYFUNCTION("FILTER(IMPORTRANGE(""https://docs.google.com/spreadsheets/d/1kGrh75X1cNR1D7_FcY9zMnHP8iPO4M5RCRjy6nZY0TY/edit#gid=1248694442"",""Table 1: Study characteristics!L4:L175""), $A54=IMPORTRANGE(""https://docs.google.com/spreadsheets/d/1kGrh75X1cNR1D7_FcY9zMnHP"&amp;"8iPO4M5RCRjy6nZY0TY/edit#gid=1248694442"",""Table 1: Study characteristics!A4:A175""))"),"2002-2017")</f>
        <v>2002-2017</v>
      </c>
      <c r="R54" s="4" t="str">
        <f>IFERROR(__xludf.DUMMYFUNCTION("FILTER(IMPORTRANGE(""https://docs.google.com/spreadsheets/d/1kGrh75X1cNR1D7_FcY9zMnHP8iPO4M5RCRjy6nZY0TY/edit#gid=1248694442"",""Table 1: Study characteristics!I4:I175""), $A54=IMPORTRANGE(""https://docs.google.com/spreadsheets/d/1kGrh75X1cNR1D7_FcY9zMnHP"&amp;"8iPO4M5RCRjy6nZY0TY/edit#gid=1248694442"",""Table 1: Study characteristics!A4:A175""))"),"English")</f>
        <v>English</v>
      </c>
    </row>
    <row r="55">
      <c r="A55" s="4" t="str">
        <f>IFERROR(__xludf.DUMMYFUNCTION("""COMPUTED_VALUE"""),"ID 111")</f>
        <v>ID 111</v>
      </c>
      <c r="B55" s="13" t="s">
        <v>203</v>
      </c>
      <c r="C55" s="4" t="str">
        <f>IFERROR(__xludf.DUMMYFUNCTION("LEFT(FILTER(IMPORTRANGE(""https://docs.google.com/spreadsheets/d/1kGrh75X1cNR1D7_FcY9zMnHP8iPO4M5RCRjy6nZY0TY/edit#gid=1248694442"",""Table 1: Study characteristics!C4:C175""), $A55=IMPORTRANGE(""https://docs.google.com/spreadsheets/d/1kGrh75X1cNR1D7_FcY9"&amp;"zMnHP8iPO4M5RCRjy6nZY0TY/edit#gid=1248694442"",""Table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$A55=IMPORTRANGE(""https://docs.google.com/spreadsheets/d/1kGrh75X1cNR1D7_FcY9zMnHP8iPO4M5RCRjy6nZY0TY/edit#gid=1248694442"",""Table 1: Study characteristics!A4:A175"")))-1)"),"Lorber")</f>
        <v>Lorber</v>
      </c>
      <c r="D55" s="4">
        <f>IFERROR(__xludf.DUMMYFUNCTION("FILTER(IMPORTRANGE(""https://docs.google.com/spreadsheets/d/1kGrh75X1cNR1D7_FcY9zMnHP8iPO4M5RCRjy6nZY0TY/edit#gid=1248694442"",""Table 1: Study characteristics!K4:K175""), $A55=IMPORTRANGE(""https://docs.google.com/spreadsheets/d/1kGrh75X1cNR1D7_FcY9zMnHP"&amp;"8iPO4M5RCRjy6nZY0TY/edit#gid=1248694442"",""Table 1: Study characteristics!A4:A175""))"),1981.0)</f>
        <v>1981</v>
      </c>
      <c r="E55" s="4" t="str">
        <f>IFERROR(__xludf.DUMMYFUNCTION("FILTER(IMPORTRANGE(""https://docs.google.com/spreadsheets/d/1kGrh75X1cNR1D7_FcY9zMnHP8iPO4M5RCRjy6nZY0TY/edit#gid=1248694442"",""Table 1: Study characteristics!M4:M175""), $A55=IMPORTRANGE(""https://docs.google.com/spreadsheets/d/1kGrh75X1cNR1D7_FcY9zMnHP"&amp;"8iPO4M5RCRjy6nZY0TY/edit#gid=1248694442"",""Table 1: Study characteristics!A4:A175""))"),"High income")</f>
        <v>High income</v>
      </c>
      <c r="F55" s="4" t="str">
        <f>IFERROR(__xludf.DUMMYFUNCTION("FILTER(IMPORTRANGE(""https://docs.google.com/spreadsheets/d/1kGrh75X1cNR1D7_FcY9zMnHP8iPO4M5RCRjy6nZY0TY/edit#gid=1248694442"",""Table 1: Study characteristics!N4:N175""), $A55=IMPORTRANGE(""https://docs.google.com/spreadsheets/d/1kGrh75X1cNR1D7_FcY9zMnHP"&amp;"8iPO4M5RCRjy6nZY0TY/edit#gid=1248694442"",""Table 1: Study characteristics!A4:A175""))"),"Europe &amp; Central Asia")</f>
        <v>Europe &amp; Central Asia</v>
      </c>
      <c r="G55" s="4" t="str">
        <f>IFERROR(__xludf.DUMMYFUNCTION("FILTER(IMPORTRANGE(""https://docs.google.com/spreadsheets/d/1kGrh75X1cNR1D7_FcY9zMnHP8iPO4M5RCRjy6nZY0TY/edit#gid=1248694442"",""Table 1: Study characteristics!J4:J175""), $A55=IMPORTRANGE(""https://docs.google.com/spreadsheets/d/1kGrh75X1cNR1D7_FcY9zMnHP"&amp;"8iPO4M5RCRjy6nZY0TY/edit#gid=1248694442"",""Table 1: Study characteristics!A4:A175""))"),"United Kingdom")</f>
        <v>United Kingdom</v>
      </c>
      <c r="H55" s="4" t="str">
        <f>IFERROR(__xludf.DUMMYFUNCTION("FILTER(IMPORTRANGE(""https://docs.google.com/spreadsheets/d/1kGrh75X1cNR1D7_FcY9zMnHP8iPO4M5RCRjy6nZY0TY/edit#gid=1248694442"",""Table 1: Study characteristics!O4:O175""), $A55=IMPORTRANGE(""https://docs.google.com/spreadsheets/d/1kGrh75X1cNR1D7_FcY9zMnHP"&amp;"8iPO4M5RCRjy6nZY0TY/edit#gid=1248694442"",""Table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55" s="14" t="str">
        <f>IFERROR(__xludf.DUMMYFUNCTION("IFNA(FILTER(IMPORTRANGE(""https://docs.google.com/spreadsheets/d/1kGrh75X1cNR1D7_FcY9zMnHP8iPO4M5RCRjy6nZY0TY/edit#gid=1248694442"",""Table 3: 1st-line HC!C5:C111""), $A55=IMPORTRANGE(""https://docs.google.com/spreadsheets/d/1kGrh75X1cNR1D7_FcY9zMnHP8iPO4"&amp;"M5RCRjy6nZY0TY/edit#gid=1248694442"",""Table 3: 1st-line HC!A5:A111"")),"""")"),"Unselected")</f>
        <v>Unselected</v>
      </c>
      <c r="J55" s="4">
        <f>IFERROR(__xludf.DUMMYFUNCTION("FILTER(IMPORTRANGE(""https://docs.google.com/spreadsheets/d/1kGrh75X1cNR1D7_FcY9zMnHP8iPO4M5RCRjy6nZY0TY/edit#gid=1248694442"",""Table 1: Study characteristics!P4:P175""), $A55=IMPORTRANGE(""https://docs.google.com/spreadsheets/d/1kGrh75X1cNR1D7_FcY9zMnHP"&amp;"8iPO4M5RCRjy6nZY0TY/edit#gid=1248694442"",""Table 1: Study characteristics!A4:A175""))"),113.0)</f>
        <v>113</v>
      </c>
      <c r="K55" s="4" t="str">
        <f>IFERROR(__xludf.DUMMYFUNCTION("FILTER(IMPORTRANGE(""https://docs.google.com/spreadsheets/d/1kGrh75X1cNR1D7_FcY9zMnHP8iPO4M5RCRjy6nZY0TY/edit#gid=1248694442"",""Table 1: Study characteristics!U4:U175""), $A55=IMPORTRANGE(""https://docs.google.com/spreadsheets/d/1kGrh75X1cNR1D7_FcY9zMnHP"&amp;"8iPO4M5RCRjy6nZY0TY/edit#gid=1248694442"",""Table 1: Study characteristics!A4:A175""))"),"")</f>
        <v/>
      </c>
      <c r="L55" s="4" t="str">
        <f>IFERROR(__xludf.DUMMYFUNCTION("FILTER(IMPORTRANGE(""https://docs.google.com/spreadsheets/d/1kGrh75X1cNR1D7_FcY9zMnHP8iPO4M5RCRjy6nZY0TY/edit#gid=1248694442"",""Table 1: Study characteristics!V4:V175""), $A55=IMPORTRANGE(""https://docs.google.com/spreadsheets/d/1kGrh75X1cNR1D7_FcY9zMnHP"&amp;"8iPO4M5RCRjy6nZY0TY/edit#gid=1248694442"",""Table 1: Study characteristics!A4:A175""))"),"")</f>
        <v/>
      </c>
      <c r="M55" s="4" t="str">
        <f>IFERROR(__xludf.DUMMYFUNCTION("FILTER(IMPORTRANGE(""https://docs.google.com/spreadsheets/d/1kGrh75X1cNR1D7_FcY9zMnHP8iPO4M5RCRjy6nZY0TY/edit#gid=1248694442"",""Table 1: Study characteristics!Q4:Q175""), $A55=IMPORTRANGE(""https://docs.google.com/spreadsheets/d/1kGrh75X1cNR1D7_FcY9zMnHP"&amp;"8iPO4M5RCRjy6nZY0TY/edit#gid=1248694442"",""Table 1: Study characteristics!A4:A175""))"),"")</f>
        <v/>
      </c>
      <c r="N55" s="4" t="str">
        <f>IFERROR(__xludf.DUMMYFUNCTION("FILTER(IMPORTRANGE(""https://docs.google.com/spreadsheets/d/1kGrh75X1cNR1D7_FcY9zMnHP8iPO4M5RCRjy6nZY0TY/edit#gid=1248694442"",""Table 1: Study characteristics!R4:R175""), $A55=IMPORTRANGE(""https://docs.google.com/spreadsheets/d/1kGrh75X1cNR1D7_FcY9zMnHP"&amp;"8iPO4M5RCRjy6nZY0TY/edit#gid=1248694442"",""Table 1: Study characteristics!A4:A175""))"),"")</f>
        <v/>
      </c>
      <c r="O55" s="4" t="str">
        <f>IFERROR(__xludf.DUMMYFUNCTION("FILTER(IMPORTRANGE(""https://docs.google.com/spreadsheets/d/1kGrh75X1cNR1D7_FcY9zMnHP8iPO4M5RCRjy6nZY0TY/edit#gid=1248694442"",""Table 1: Study characteristics!S4:S175""), $A55=IMPORTRANGE(""https://docs.google.com/spreadsheets/d/1kGrh75X1cNR1D7_FcY9zMnHP"&amp;"8iPO4M5RCRjy6nZY0TY/edit#gid=1248694442"",""Table 1: Study characteristics!A4:A175""))"),"")</f>
        <v/>
      </c>
      <c r="P55" s="6" t="str">
        <f>IFERROR(__xludf.DUMMYFUNCTION("FILTER(IMPORTRANGE(""https://docs.google.com/spreadsheets/d/1kGrh75X1cNR1D7_FcY9zMnHP8iPO4M5RCRjy6nZY0TY/edit#gid=1248694442"",""Table 1: Study characteristics!T4:T175""), $A55=IMPORTRANGE(""https://docs.google.com/spreadsheets/d/1kGrh75X1cNR1D7_FcY9zMnHP"&amp;"8iPO4M5RCRjy6nZY0TY/edit#gid=1248694442"",""Table 1: Study characteristics!A4:A175""))"),"")</f>
        <v/>
      </c>
      <c r="Q55" s="6" t="str">
        <f>IFERROR(__xludf.DUMMYFUNCTION("FILTER(IMPORTRANGE(""https://docs.google.com/spreadsheets/d/1kGrh75X1cNR1D7_FcY9zMnHP8iPO4M5RCRjy6nZY0TY/edit#gid=1248694442"",""Table 1: Study characteristics!L4:L175""), $A55=IMPORTRANGE(""https://docs.google.com/spreadsheets/d/1kGrh75X1cNR1D7_FcY9zMnHP"&amp;"8iPO4M5RCRjy6nZY0TY/edit#gid=1248694442"",""Table 1: Study characteristics!A4:A175""))"),"1971-1976")</f>
        <v>1971-1976</v>
      </c>
      <c r="R55" s="4" t="str">
        <f>IFERROR(__xludf.DUMMYFUNCTION("FILTER(IMPORTRANGE(""https://docs.google.com/spreadsheets/d/1kGrh75X1cNR1D7_FcY9zMnHP8iPO4M5RCRjy6nZY0TY/edit#gid=1248694442"",""Table 1: Study characteristics!I4:I175""), $A55=IMPORTRANGE(""https://docs.google.com/spreadsheets/d/1kGrh75X1cNR1D7_FcY9zMnHP"&amp;"8iPO4M5RCRjy6nZY0TY/edit#gid=1248694442"",""Table 1: Study characteristics!A4:A175""))"),"English")</f>
        <v>English</v>
      </c>
    </row>
    <row r="56">
      <c r="A56" s="4" t="str">
        <f>IFERROR(__xludf.DUMMYFUNCTION("""COMPUTED_VALUE"""),"ID 112")</f>
        <v>ID 112</v>
      </c>
      <c r="B56" s="13" t="s">
        <v>204</v>
      </c>
      <c r="C56" s="4" t="str">
        <f>IFERROR(__xludf.DUMMYFUNCTION("LEFT(FILTER(IMPORTRANGE(""https://docs.google.com/spreadsheets/d/1kGrh75X1cNR1D7_FcY9zMnHP8iPO4M5RCRjy6nZY0TY/edit#gid=1248694442"",""Table 1: Study characteristics!C4:C175""), $A56=IMPORTRANGE(""https://docs.google.com/spreadsheets/d/1kGrh75X1cNR1D7_FcY9"&amp;"zMnHP8iPO4M5RCRjy6nZY0TY/edit#gid=1248694442"",""Table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$A56=IMPORTRANGE(""https://docs.google.com/spreadsheets/d/1kGrh75X1cNR1D7_FcY9zMnHP8iPO4M5RCRjy6nZY0TY/edit#gid=1248694442"",""Table 1: Study characteristics!A4:A175"")))-1)"),"Lee")</f>
        <v>Lee</v>
      </c>
      <c r="D56" s="4">
        <f>IFERROR(__xludf.DUMMYFUNCTION("FILTER(IMPORTRANGE(""https://docs.google.com/spreadsheets/d/1kGrh75X1cNR1D7_FcY9zMnHP8iPO4M5RCRjy6nZY0TY/edit#gid=1248694442"",""Table 1: Study characteristics!K4:K175""), $A56=IMPORTRANGE(""https://docs.google.com/spreadsheets/d/1kGrh75X1cNR1D7_FcY9zMnHP"&amp;"8iPO4M5RCRjy6nZY0TY/edit#gid=1248694442"",""Table 1: Study characteristics!A4:A175""))"),1992.0)</f>
        <v>1992</v>
      </c>
      <c r="E56" s="4" t="str">
        <f>IFERROR(__xludf.DUMMYFUNCTION("FILTER(IMPORTRANGE(""https://docs.google.com/spreadsheets/d/1kGrh75X1cNR1D7_FcY9zMnHP8iPO4M5RCRjy6nZY0TY/edit#gid=1248694442"",""Table 1: Study characteristics!M4:M175""), $A56=IMPORTRANGE(""https://docs.google.com/spreadsheets/d/1kGrh75X1cNR1D7_FcY9zMnHP"&amp;"8iPO4M5RCRjy6nZY0TY/edit#gid=1248694442"",""Table 1: Study characteristics!A4:A175""))"),"High income")</f>
        <v>High income</v>
      </c>
      <c r="F56" s="4" t="str">
        <f>IFERROR(__xludf.DUMMYFUNCTION("FILTER(IMPORTRANGE(""https://docs.google.com/spreadsheets/d/1kGrh75X1cNR1D7_FcY9zMnHP8iPO4M5RCRjy6nZY0TY/edit#gid=1248694442"",""Table 1: Study characteristics!N4:N175""), $A56=IMPORTRANGE(""https://docs.google.com/spreadsheets/d/1kGrh75X1cNR1D7_FcY9zMnHP"&amp;"8iPO4M5RCRjy6nZY0TY/edit#gid=1248694442"",""Table 1: Study characteristics!A4:A175""))"),"East Asia &amp; Pacific")</f>
        <v>East Asia &amp; Pacific</v>
      </c>
      <c r="G56" s="4" t="str">
        <f>IFERROR(__xludf.DUMMYFUNCTION("FILTER(IMPORTRANGE(""https://docs.google.com/spreadsheets/d/1kGrh75X1cNR1D7_FcY9zMnHP8iPO4M5RCRjy6nZY0TY/edit#gid=1248694442"",""Table 1: Study characteristics!J4:J175""), $A56=IMPORTRANGE(""https://docs.google.com/spreadsheets/d/1kGrh75X1cNR1D7_FcY9zMnHP"&amp;"8iPO4M5RCRjy6nZY0TY/edit#gid=1248694442"",""Table 1: Study characteristics!A4:A175""))"),"Korea, Rep.")</f>
        <v>Korea, Rep.</v>
      </c>
      <c r="H56" s="4" t="str">
        <f>IFERROR(__xludf.DUMMYFUNCTION("FILTER(IMPORTRANGE(""https://docs.google.com/spreadsheets/d/1kGrh75X1cNR1D7_FcY9zMnHP8iPO4M5RCRjy6nZY0TY/edit#gid=1248694442"",""Table 1: Study characteristics!O4:O175""), $A56=IMPORTRANGE(""https://docs.google.com/spreadsheets/d/1kGrh75X1cNR1D7_FcY9zMnHP"&amp;"8iPO4M5RCRjy6nZY0TY/edit#gid=1248694442"",""Table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56" s="14" t="str">
        <f>IFERROR(__xludf.DUMMYFUNCTION("IFNA(FILTER(IMPORTRANGE(""https://docs.google.com/spreadsheets/d/1kGrh75X1cNR1D7_FcY9zMnHP8iPO4M5RCRjy6nZY0TY/edit#gid=1248694442"",""Table 3: 1st-line HC!C5:C111""), $A56=IMPORTRANGE(""https://docs.google.com/spreadsheets/d/1kGrh75X1cNR1D7_FcY9zMnHP8iPO4"&amp;"M5RCRjy6nZY0TY/edit#gid=1248694442"",""Table 3: 1st-line HC!A5:A111"")),"""")"),"Selected")</f>
        <v>Selected</v>
      </c>
      <c r="J56" s="4">
        <f>IFERROR(__xludf.DUMMYFUNCTION("FILTER(IMPORTRANGE(""https://docs.google.com/spreadsheets/d/1kGrh75X1cNR1D7_FcY9zMnHP8iPO4M5RCRjy6nZY0TY/edit#gid=1248694442"",""Table 1: Study characteristics!P4:P175""), $A56=IMPORTRANGE(""https://docs.google.com/spreadsheets/d/1kGrh75X1cNR1D7_FcY9zMnHP"&amp;"8iPO4M5RCRjy6nZY0TY/edit#gid=1248694442"",""Table 1: Study characteristics!A4:A175""))"),7.0)</f>
        <v>7</v>
      </c>
      <c r="K56" s="4">
        <f>IFERROR(__xludf.DUMMYFUNCTION("FILTER(IMPORTRANGE(""https://docs.google.com/spreadsheets/d/1kGrh75X1cNR1D7_FcY9zMnHP8iPO4M5RCRjy6nZY0TY/edit#gid=1248694442"",""Table 1: Study characteristics!U4:U175""), $A56=IMPORTRANGE(""https://docs.google.com/spreadsheets/d/1kGrh75X1cNR1D7_FcY9zMnHP"&amp;"8iPO4M5RCRjy6nZY0TY/edit#gid=1248694442"",""Table 1: Study characteristics!A4:A175""))"),5.0)</f>
        <v>5</v>
      </c>
      <c r="L56" s="4">
        <f>IFERROR(__xludf.DUMMYFUNCTION("FILTER(IMPORTRANGE(""https://docs.google.com/spreadsheets/d/1kGrh75X1cNR1D7_FcY9zMnHP8iPO4M5RCRjy6nZY0TY/edit#gid=1248694442"",""Table 1: Study characteristics!V4:V175""), $A56=IMPORTRANGE(""https://docs.google.com/spreadsheets/d/1kGrh75X1cNR1D7_FcY9zMnHP"&amp;"8iPO4M5RCRjy6nZY0TY/edit#gid=1248694442"",""Table 1: Study characteristics!A4:A175""))"),2.0)</f>
        <v>2</v>
      </c>
      <c r="M56" s="4">
        <f>IFERROR(__xludf.DUMMYFUNCTION("FILTER(IMPORTRANGE(""https://docs.google.com/spreadsheets/d/1kGrh75X1cNR1D7_FcY9zMnHP8iPO4M5RCRjy6nZY0TY/edit#gid=1248694442"",""Table 1: Study characteristics!Q4:Q175""), $A56=IMPORTRANGE(""https://docs.google.com/spreadsheets/d/1kGrh75X1cNR1D7_FcY9zMnHP"&amp;"8iPO4M5RCRjy6nZY0TY/edit#gid=1248694442"",""Table 1: Study characteristics!A4:A175""))"),27.1)</f>
        <v>27.1</v>
      </c>
      <c r="N56" s="4">
        <f>IFERROR(__xludf.DUMMYFUNCTION("FILTER(IMPORTRANGE(""https://docs.google.com/spreadsheets/d/1kGrh75X1cNR1D7_FcY9zMnHP8iPO4M5RCRjy6nZY0TY/edit#gid=1248694442"",""Table 1: Study characteristics!R4:R175""), $A56=IMPORTRANGE(""https://docs.google.com/spreadsheets/d/1kGrh75X1cNR1D7_FcY9zMnHP"&amp;"8iPO4M5RCRjy6nZY0TY/edit#gid=1248694442"",""Table 1: Study characteristics!A4:A175""))"),7.0)</f>
        <v>7</v>
      </c>
      <c r="O56" s="4" t="str">
        <f>IFERROR(__xludf.DUMMYFUNCTION("FILTER(IMPORTRANGE(""https://docs.google.com/spreadsheets/d/1kGrh75X1cNR1D7_FcY9zMnHP8iPO4M5RCRjy6nZY0TY/edit#gid=1248694442"",""Table 1: Study characteristics!S4:S175""), $A56=IMPORTRANGE(""https://docs.google.com/spreadsheets/d/1kGrh75X1cNR1D7_FcY9zMnHP"&amp;"8iPO4M5RCRjy6nZY0TY/edit#gid=1248694442"",""Table 1: Study characteristics!A4:A175""))"),"")</f>
        <v/>
      </c>
      <c r="P56" s="6" t="str">
        <f>IFERROR(__xludf.DUMMYFUNCTION("FILTER(IMPORTRANGE(""https://docs.google.com/spreadsheets/d/1kGrh75X1cNR1D7_FcY9zMnHP8iPO4M5RCRjy6nZY0TY/edit#gid=1248694442"",""Table 1: Study characteristics!T4:T175""), $A56=IMPORTRANGE(""https://docs.google.com/spreadsheets/d/1kGrh75X1cNR1D7_FcY9zMnHP"&amp;"8iPO4M5RCRjy6nZY0TY/edit#gid=1248694442"",""Table 1: Study characteristics!A4:A175""))"),"2-64")</f>
        <v>2-64</v>
      </c>
      <c r="Q56" s="6" t="str">
        <f>IFERROR(__xludf.DUMMYFUNCTION("FILTER(IMPORTRANGE(""https://docs.google.com/spreadsheets/d/1kGrh75X1cNR1D7_FcY9zMnHP8iPO4M5RCRjy6nZY0TY/edit#gid=1248694442"",""Table 1: Study characteristics!L4:L175""), $A56=IMPORTRANGE(""https://docs.google.com/spreadsheets/d/1kGrh75X1cNR1D7_FcY9zMnHP"&amp;"8iPO4M5RCRjy6nZY0TY/edit#gid=1248694442"",""Table 1: Study characteristics!A4:A175""))"),"1975-1990")</f>
        <v>1975-1990</v>
      </c>
      <c r="R56" s="4" t="str">
        <f>IFERROR(__xludf.DUMMYFUNCTION("FILTER(IMPORTRANGE(""https://docs.google.com/spreadsheets/d/1kGrh75X1cNR1D7_FcY9zMnHP8iPO4M5RCRjy6nZY0TY/edit#gid=1248694442"",""Table 1: Study characteristics!I4:I175""), $A56=IMPORTRANGE(""https://docs.google.com/spreadsheets/d/1kGrh75X1cNR1D7_FcY9zMnHP"&amp;"8iPO4M5RCRjy6nZY0TY/edit#gid=1248694442"",""Table 1: Study characteristics!A4:A175""))"),"Korean")</f>
        <v>Korean</v>
      </c>
    </row>
    <row r="57">
      <c r="A57" s="4" t="str">
        <f>IFERROR(__xludf.DUMMYFUNCTION("""COMPUTED_VALUE"""),"ID 117")</f>
        <v>ID 117</v>
      </c>
      <c r="B57" s="13" t="s">
        <v>205</v>
      </c>
      <c r="C57" s="4" t="str">
        <f>IFERROR(__xludf.DUMMYFUNCTION("LEFT(FILTER(IMPORTRANGE(""https://docs.google.com/spreadsheets/d/1kGrh75X1cNR1D7_FcY9zMnHP8iPO4M5RCRjy6nZY0TY/edit#gid=1248694442"",""Table 1: Study characteristics!C4:C175""), $A57=IMPORTRANGE(""https://docs.google.com/spreadsheets/d/1kGrh75X1cNR1D7_FcY9"&amp;"zMnHP8iPO4M5RCRjy6nZY0TY/edit#gid=1248694442"",""Table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$A57=IMPORTRANGE(""https://docs.google.com/spreadsheets/d/1kGrh75X1cNR1D7_FcY9zMnHP8iPO4M5RCRjy6nZY0TY/edit#gid=1248694442"",""Table 1: Study characteristics!A4:A175"")))-1)"),"Protzenko")</f>
        <v>Protzenko</v>
      </c>
      <c r="D57" s="4">
        <f>IFERROR(__xludf.DUMMYFUNCTION("FILTER(IMPORTRANGE(""https://docs.google.com/spreadsheets/d/1kGrh75X1cNR1D7_FcY9zMnHP8iPO4M5RCRjy6nZY0TY/edit#gid=1248694442"",""Table 1: Study characteristics!K4:K175""), $A57=IMPORTRANGE(""https://docs.google.com/spreadsheets/d/1kGrh75X1cNR1D7_FcY9zMnHP"&amp;"8iPO4M5RCRjy6nZY0TY/edit#gid=1248694442"",""Table 1: Study characteristics!A4:A175""))"),2019.0)</f>
        <v>2019</v>
      </c>
      <c r="E57" s="4" t="str">
        <f>IFERROR(__xludf.DUMMYFUNCTION("FILTER(IMPORTRANGE(""https://docs.google.com/spreadsheets/d/1kGrh75X1cNR1D7_FcY9zMnHP8iPO4M5RCRjy6nZY0TY/edit#gid=1248694442"",""Table 1: Study characteristics!M4:M175""), $A57=IMPORTRANGE(""https://docs.google.com/spreadsheets/d/1kGrh75X1cNR1D7_FcY9zMnHP"&amp;"8iPO4M5RCRjy6nZY0TY/edit#gid=1248694442"",""Table 1: Study characteristics!A4:A175""))"),"Upper middle income")</f>
        <v>Upper middle income</v>
      </c>
      <c r="F57" s="4" t="str">
        <f>IFERROR(__xludf.DUMMYFUNCTION("FILTER(IMPORTRANGE(""https://docs.google.com/spreadsheets/d/1kGrh75X1cNR1D7_FcY9zMnHP8iPO4M5RCRjy6nZY0TY/edit#gid=1248694442"",""Table 1: Study characteristics!N4:N175""), $A57=IMPORTRANGE(""https://docs.google.com/spreadsheets/d/1kGrh75X1cNR1D7_FcY9zMnHP"&amp;"8iPO4M5RCRjy6nZY0TY/edit#gid=1248694442"",""Table 1: Study characteristics!A4:A175""))"),"Latin America &amp; Caribbean")</f>
        <v>Latin America &amp; Caribbean</v>
      </c>
      <c r="G57" s="4" t="str">
        <f>IFERROR(__xludf.DUMMYFUNCTION("FILTER(IMPORTRANGE(""https://docs.google.com/spreadsheets/d/1kGrh75X1cNR1D7_FcY9zMnHP8iPO4M5RCRjy6nZY0TY/edit#gid=1248694442"",""Table 1: Study characteristics!J4:J175""), $A57=IMPORTRANGE(""https://docs.google.com/spreadsheets/d/1kGrh75X1cNR1D7_FcY9zMnHP"&amp;"8iPO4M5RCRjy6nZY0TY/edit#gid=1248694442"",""Table 1: Study characteristics!A4:A175""))"),"Brazil")</f>
        <v>Brazil</v>
      </c>
      <c r="H57" s="4" t="str">
        <f>IFERROR(__xludf.DUMMYFUNCTION("FILTER(IMPORTRANGE(""https://docs.google.com/spreadsheets/d/1kGrh75X1cNR1D7_FcY9zMnHP8iPO4M5RCRjy6nZY0TY/edit#gid=1248694442"",""Table 1: Study characteristics!O4:O175""), $A57=IMPORTRANGE(""https://docs.google.com/spreadsheets/d/1kGrh75X1cNR1D7_FcY9zMnHP"&amp;"8iPO4M5RCRjy6nZY0TY/edit#gid=1248694442"",""Table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57" s="14" t="str">
        <f>IFERROR(__xludf.DUMMYFUNCTION("IFNA(FILTER(IMPORTRANGE(""https://docs.google.com/spreadsheets/d/1kGrh75X1cNR1D7_FcY9zMnHP8iPO4M5RCRjy6nZY0TY/edit#gid=1248694442"",""Table 3: 1st-line HC!C5:C111""), $A57=IMPORTRANGE(""https://docs.google.com/spreadsheets/d/1kGrh75X1cNR1D7_FcY9zMnHP8iPO4"&amp;"M5RCRjy6nZY0TY/edit#gid=1248694442"",""Table 3: 1st-line HC!A5:A111"")),"""")"),"Selected")</f>
        <v>Selected</v>
      </c>
      <c r="J57" s="4">
        <f>IFERROR(__xludf.DUMMYFUNCTION("FILTER(IMPORTRANGE(""https://docs.google.com/spreadsheets/d/1kGrh75X1cNR1D7_FcY9zMnHP8iPO4M5RCRjy6nZY0TY/edit#gid=1248694442"",""Table 1: Study characteristics!P4:P175""), $A57=IMPORTRANGE(""https://docs.google.com/spreadsheets/d/1kGrh75X1cNR1D7_FcY9zMnHP"&amp;"8iPO4M5RCRjy6nZY0TY/edit#gid=1248694442"",""Table 1: Study characteristics!A4:A175""))"),193.0)</f>
        <v>193</v>
      </c>
      <c r="K57" s="4">
        <f>IFERROR(__xludf.DUMMYFUNCTION("FILTER(IMPORTRANGE(""https://docs.google.com/spreadsheets/d/1kGrh75X1cNR1D7_FcY9zMnHP8iPO4M5RCRjy6nZY0TY/edit#gid=1248694442"",""Table 1: Study characteristics!U4:U175""), $A57=IMPORTRANGE(""https://docs.google.com/spreadsheets/d/1kGrh75X1cNR1D7_FcY9zMnHP"&amp;"8iPO4M5RCRjy6nZY0TY/edit#gid=1248694442"",""Table 1: Study characteristics!A4:A175""))"),127.0)</f>
        <v>127</v>
      </c>
      <c r="L57" s="4">
        <f>IFERROR(__xludf.DUMMYFUNCTION("FILTER(IMPORTRANGE(""https://docs.google.com/spreadsheets/d/1kGrh75X1cNR1D7_FcY9zMnHP8iPO4M5RCRjy6nZY0TY/edit#gid=1248694442"",""Table 1: Study characteristics!V4:V175""), $A57=IMPORTRANGE(""https://docs.google.com/spreadsheets/d/1kGrh75X1cNR1D7_FcY9zMnHP"&amp;"8iPO4M5RCRjy6nZY0TY/edit#gid=1248694442"",""Table 1: Study characteristics!A4:A175""))"),104.0)</f>
        <v>104</v>
      </c>
      <c r="M57" s="4">
        <f>IFERROR(__xludf.DUMMYFUNCTION("FILTER(IMPORTRANGE(""https://docs.google.com/spreadsheets/d/1kGrh75X1cNR1D7_FcY9zMnHP8iPO4M5RCRjy6nZY0TY/edit#gid=1248694442"",""Table 1: Study characteristics!Q4:Q175""), $A57=IMPORTRANGE(""https://docs.google.com/spreadsheets/d/1kGrh75X1cNR1D7_FcY9zMnHP"&amp;"8iPO4M5RCRjy6nZY0TY/edit#gid=1248694442"",""Table 1: Study characteristics!A4:A175""))"),265.9)</f>
        <v>265.9</v>
      </c>
      <c r="N57" s="4" t="str">
        <f>IFERROR(__xludf.DUMMYFUNCTION("FILTER(IMPORTRANGE(""https://docs.google.com/spreadsheets/d/1kGrh75X1cNR1D7_FcY9zMnHP8iPO4M5RCRjy6nZY0TY/edit#gid=1248694442"",""Table 1: Study characteristics!R4:R175""), $A57=IMPORTRANGE(""https://docs.google.com/spreadsheets/d/1kGrh75X1cNR1D7_FcY9zMnHP"&amp;"8iPO4M5RCRjy6nZY0TY/edit#gid=1248694442"",""Table 1: Study characteristics!A4:A175""))"),"")</f>
        <v/>
      </c>
      <c r="O57" s="4">
        <f>IFERROR(__xludf.DUMMYFUNCTION("FILTER(IMPORTRANGE(""https://docs.google.com/spreadsheets/d/1kGrh75X1cNR1D7_FcY9zMnHP8iPO4M5RCRjy6nZY0TY/edit#gid=1248694442"",""Table 1: Study characteristics!S4:S175""), $A57=IMPORTRANGE(""https://docs.google.com/spreadsheets/d/1kGrh75X1cNR1D7_FcY9zMnHP"&amp;"8iPO4M5RCRjy6nZY0TY/edit#gid=1248694442"",""Table 1: Study characteristics!A4:A175""))"),11.2)</f>
        <v>11.2</v>
      </c>
      <c r="P57" s="6" t="str">
        <f>IFERROR(__xludf.DUMMYFUNCTION("FILTER(IMPORTRANGE(""https://docs.google.com/spreadsheets/d/1kGrh75X1cNR1D7_FcY9zMnHP8iPO4M5RCRjy6nZY0TY/edit#gid=1248694442"",""Table 1: Study characteristics!T4:T175""), $A57=IMPORTRANGE(""https://docs.google.com/spreadsheets/d/1kGrh75X1cNR1D7_FcY9zMnHP"&amp;"8iPO4M5RCRjy6nZY0TY/edit#gid=1248694442"",""Table 1: Study characteristics!A4:A175""))"),"")</f>
        <v/>
      </c>
      <c r="Q57" s="6" t="str">
        <f>IFERROR(__xludf.DUMMYFUNCTION("FILTER(IMPORTRANGE(""https://docs.google.com/spreadsheets/d/1kGrh75X1cNR1D7_FcY9zMnHP8iPO4M5RCRjy6nZY0TY/edit#gid=1248694442"",""Table 1: Study characteristics!L4:L175""), $A57=IMPORTRANGE(""https://docs.google.com/spreadsheets/d/1kGrh75X1cNR1D7_FcY9zMnHP"&amp;"8iPO4M5RCRjy6nZY0TY/edit#gid=1248694442"",""Table 1: Study characteristics!A4:A175""))"),"1995-2005")</f>
        <v>1995-2005</v>
      </c>
      <c r="R57" s="4" t="str">
        <f>IFERROR(__xludf.DUMMYFUNCTION("FILTER(IMPORTRANGE(""https://docs.google.com/spreadsheets/d/1kGrh75X1cNR1D7_FcY9zMnHP8iPO4M5RCRjy6nZY0TY/edit#gid=1248694442"",""Table 1: Study characteristics!I4:I175""), $A57=IMPORTRANGE(""https://docs.google.com/spreadsheets/d/1kGrh75X1cNR1D7_FcY9zMnHP"&amp;"8iPO4M5RCRjy6nZY0TY/edit#gid=1248694442"",""Table 1: Study characteristics!A4:A175""))"),"English")</f>
        <v>English</v>
      </c>
    </row>
    <row r="58">
      <c r="A58" s="4" t="str">
        <f>IFERROR(__xludf.DUMMYFUNCTION("""COMPUTED_VALUE"""),"ID 120")</f>
        <v>ID 120</v>
      </c>
      <c r="B58" s="13" t="s">
        <v>206</v>
      </c>
      <c r="C58" s="4" t="str">
        <f>IFERROR(__xludf.DUMMYFUNCTION("LEFT(FILTER(IMPORTRANGE(""https://docs.google.com/spreadsheets/d/1kGrh75X1cNR1D7_FcY9zMnHP8iPO4M5RCRjy6nZY0TY/edit#gid=1248694442"",""Table 1: Study characteristics!C4:C175""), $A58=IMPORTRANGE(""https://docs.google.com/spreadsheets/d/1kGrh75X1cNR1D7_FcY9"&amp;"zMnHP8iPO4M5RCRjy6nZY0TY/edit#gid=1248694442"",""Table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$A58=IMPORTRANGE(""https://docs.google.com/spreadsheets/d/1kGrh75X1cNR1D7_FcY9zMnHP8iPO4M5RCRjy6nZY0TY/edit#gid=1248694442"",""Table 1: Study characteristics!A4:A175"")))-1)"),"Beuriat")</f>
        <v>Beuriat</v>
      </c>
      <c r="D58" s="4">
        <f>IFERROR(__xludf.DUMMYFUNCTION("FILTER(IMPORTRANGE(""https://docs.google.com/spreadsheets/d/1kGrh75X1cNR1D7_FcY9zMnHP8iPO4M5RCRjy6nZY0TY/edit#gid=1248694442"",""Table 1: Study characteristics!K4:K175""), $A58=IMPORTRANGE(""https://docs.google.com/spreadsheets/d/1kGrh75X1cNR1D7_FcY9zMnHP"&amp;"8iPO4M5RCRjy6nZY0TY/edit#gid=1248694442"",""Table 1: Study characteristics!A4:A175""))"),2016.0)</f>
        <v>2016</v>
      </c>
      <c r="E58" s="4" t="str">
        <f>IFERROR(__xludf.DUMMYFUNCTION("FILTER(IMPORTRANGE(""https://docs.google.com/spreadsheets/d/1kGrh75X1cNR1D7_FcY9zMnHP8iPO4M5RCRjy6nZY0TY/edit#gid=1248694442"",""Table 1: Study characteristics!M4:M175""), $A58=IMPORTRANGE(""https://docs.google.com/spreadsheets/d/1kGrh75X1cNR1D7_FcY9zMnHP"&amp;"8iPO4M5RCRjy6nZY0TY/edit#gid=1248694442"",""Table 1: Study characteristics!A4:A175""))"),"High income")</f>
        <v>High income</v>
      </c>
      <c r="F58" s="4" t="str">
        <f>IFERROR(__xludf.DUMMYFUNCTION("FILTER(IMPORTRANGE(""https://docs.google.com/spreadsheets/d/1kGrh75X1cNR1D7_FcY9zMnHP8iPO4M5RCRjy6nZY0TY/edit#gid=1248694442"",""Table 1: Study characteristics!N4:N175""), $A58=IMPORTRANGE(""https://docs.google.com/spreadsheets/d/1kGrh75X1cNR1D7_FcY9zMnHP"&amp;"8iPO4M5RCRjy6nZY0TY/edit#gid=1248694442"",""Table 1: Study characteristics!A4:A175""))"),"Europe &amp; Central Asia")</f>
        <v>Europe &amp; Central Asia</v>
      </c>
      <c r="G58" s="4" t="str">
        <f>IFERROR(__xludf.DUMMYFUNCTION("FILTER(IMPORTRANGE(""https://docs.google.com/spreadsheets/d/1kGrh75X1cNR1D7_FcY9zMnHP8iPO4M5RCRjy6nZY0TY/edit#gid=1248694442"",""Table 1: Study characteristics!J4:J175""), $A58=IMPORTRANGE(""https://docs.google.com/spreadsheets/d/1kGrh75X1cNR1D7_FcY9zMnHP"&amp;"8iPO4M5RCRjy6nZY0TY/edit#gid=1248694442"",""Table 1: Study characteristics!A4:A175""))"),"France")</f>
        <v>France</v>
      </c>
      <c r="H58" s="4" t="str">
        <f>IFERROR(__xludf.DUMMYFUNCTION("FILTER(IMPORTRANGE(""https://docs.google.com/spreadsheets/d/1kGrh75X1cNR1D7_FcY9zMnHP8iPO4M5RCRjy6nZY0TY/edit#gid=1248694442"",""Table 1: Study characteristics!O4:O175""), $A58=IMPORTRANGE(""https://docs.google.com/spreadsheets/d/1kGrh75X1cNR1D7_FcY9zMnHP"&amp;"8iPO4M5RCRjy6nZY0TY/edit#gid=1248694442"",""Table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58" s="14" t="str">
        <f>IFERROR(__xludf.DUMMYFUNCTION("IFNA(FILTER(IMPORTRANGE(""https://docs.google.com/spreadsheets/d/1kGrh75X1cNR1D7_FcY9zMnHP8iPO4M5RCRjy6nZY0TY/edit#gid=1248694442"",""Table 3: 1st-line HC!C5:C111""), $A58=IMPORTRANGE(""https://docs.google.com/spreadsheets/d/1kGrh75X1cNR1D7_FcY9zMnHP8iPO4"&amp;"M5RCRjy6nZY0TY/edit#gid=1248694442"",""Table 3: 1st-line HC!A5:A111"")),"""")"),"Unselected")</f>
        <v>Unselected</v>
      </c>
      <c r="J58" s="4">
        <f>IFERROR(__xludf.DUMMYFUNCTION("FILTER(IMPORTRANGE(""https://docs.google.com/spreadsheets/d/1kGrh75X1cNR1D7_FcY9zMnHP8iPO4M5RCRjy6nZY0TY/edit#gid=1248694442"",""Table 1: Study characteristics!P4:P175""), $A58=IMPORTRANGE(""https://docs.google.com/spreadsheets/d/1kGrh75X1cNR1D7_FcY9zMnHP"&amp;"8iPO4M5RCRjy6nZY0TY/edit#gid=1248694442"",""Table 1: Study characteristics!A4:A175""))"),97.0)</f>
        <v>97</v>
      </c>
      <c r="K58" s="4" t="str">
        <f>IFERROR(__xludf.DUMMYFUNCTION("FILTER(IMPORTRANGE(""https://docs.google.com/spreadsheets/d/1kGrh75X1cNR1D7_FcY9zMnHP8iPO4M5RCRjy6nZY0TY/edit#gid=1248694442"",""Table 1: Study characteristics!U4:U175""), $A58=IMPORTRANGE(""https://docs.google.com/spreadsheets/d/1kGrh75X1cNR1D7_FcY9zMnHP"&amp;"8iPO4M5RCRjy6nZY0TY/edit#gid=1248694442"",""Table 1: Study characteristics!A4:A175""))"),"")</f>
        <v/>
      </c>
      <c r="L58" s="4" t="str">
        <f>IFERROR(__xludf.DUMMYFUNCTION("FILTER(IMPORTRANGE(""https://docs.google.com/spreadsheets/d/1kGrh75X1cNR1D7_FcY9zMnHP8iPO4M5RCRjy6nZY0TY/edit#gid=1248694442"",""Table 1: Study characteristics!V4:V175""), $A58=IMPORTRANGE(""https://docs.google.com/spreadsheets/d/1kGrh75X1cNR1D7_FcY9zMnHP"&amp;"8iPO4M5RCRjy6nZY0TY/edit#gid=1248694442"",""Table 1: Study characteristics!A4:A175""))"),"")</f>
        <v/>
      </c>
      <c r="M58" s="4" t="str">
        <f>IFERROR(__xludf.DUMMYFUNCTION("FILTER(IMPORTRANGE(""https://docs.google.com/spreadsheets/d/1kGrh75X1cNR1D7_FcY9zMnHP8iPO4M5RCRjy6nZY0TY/edit#gid=1248694442"",""Table 1: Study characteristics!Q4:Q175""), $A58=IMPORTRANGE(""https://docs.google.com/spreadsheets/d/1kGrh75X1cNR1D7_FcY9zMnHP"&amp;"8iPO4M5RCRjy6nZY0TY/edit#gid=1248694442"",""Table 1: Study characteristics!A4:A175""))"),"")</f>
        <v/>
      </c>
      <c r="N58" s="4" t="str">
        <f>IFERROR(__xludf.DUMMYFUNCTION("FILTER(IMPORTRANGE(""https://docs.google.com/spreadsheets/d/1kGrh75X1cNR1D7_FcY9zMnHP8iPO4M5RCRjy6nZY0TY/edit#gid=1248694442"",""Table 1: Study characteristics!R4:R175""), $A58=IMPORTRANGE(""https://docs.google.com/spreadsheets/d/1kGrh75X1cNR1D7_FcY9zMnHP"&amp;"8iPO4M5RCRjy6nZY0TY/edit#gid=1248694442"",""Table 1: Study characteristics!A4:A175""))"),"")</f>
        <v/>
      </c>
      <c r="O58" s="4" t="str">
        <f>IFERROR(__xludf.DUMMYFUNCTION("FILTER(IMPORTRANGE(""https://docs.google.com/spreadsheets/d/1kGrh75X1cNR1D7_FcY9zMnHP8iPO4M5RCRjy6nZY0TY/edit#gid=1248694442"",""Table 1: Study characteristics!S4:S175""), $A58=IMPORTRANGE(""https://docs.google.com/spreadsheets/d/1kGrh75X1cNR1D7_FcY9zMnHP"&amp;"8iPO4M5RCRjy6nZY0TY/edit#gid=1248694442"",""Table 1: Study characteristics!A4:A175""))"),"")</f>
        <v/>
      </c>
      <c r="P58" s="6" t="str">
        <f>IFERROR(__xludf.DUMMYFUNCTION("FILTER(IMPORTRANGE(""https://docs.google.com/spreadsheets/d/1kGrh75X1cNR1D7_FcY9zMnHP8iPO4M5RCRjy6nZY0TY/edit#gid=1248694442"",""Table 1: Study characteristics!T4:T175""), $A58=IMPORTRANGE(""https://docs.google.com/spreadsheets/d/1kGrh75X1cNR1D7_FcY9zMnHP"&amp;"8iPO4M5RCRjy6nZY0TY/edit#gid=1248694442"",""Table 1: Study characteristics!A4:A175""))"),"")</f>
        <v/>
      </c>
      <c r="Q58" s="6" t="str">
        <f>IFERROR(__xludf.DUMMYFUNCTION("FILTER(IMPORTRANGE(""https://docs.google.com/spreadsheets/d/1kGrh75X1cNR1D7_FcY9zMnHP8iPO4M5RCRjy6nZY0TY/edit#gid=1248694442"",""Table 1: Study characteristics!L4:L175""), $A58=IMPORTRANGE(""https://docs.google.com/spreadsheets/d/1kGrh75X1cNR1D7_FcY9zMnHP"&amp;"8iPO4M5RCRjy6nZY0TY/edit#gid=1248694442"",""Table 1: Study characteristics!A4:A175""))"),"1994-2012")</f>
        <v>1994-2012</v>
      </c>
      <c r="R58" s="4" t="str">
        <f>IFERROR(__xludf.DUMMYFUNCTION("FILTER(IMPORTRANGE(""https://docs.google.com/spreadsheets/d/1kGrh75X1cNR1D7_FcY9zMnHP8iPO4M5RCRjy6nZY0TY/edit#gid=1248694442"",""Table 1: Study characteristics!I4:I175""), $A58=IMPORTRANGE(""https://docs.google.com/spreadsheets/d/1kGrh75X1cNR1D7_FcY9zMnHP"&amp;"8iPO4M5RCRjy6nZY0TY/edit#gid=1248694442"",""Table 1: Study characteristics!A4:A175""))"),"English")</f>
        <v>English</v>
      </c>
    </row>
    <row r="59">
      <c r="A59" s="4" t="str">
        <f>IFERROR(__xludf.DUMMYFUNCTION("""COMPUTED_VALUE"""),"ID 123")</f>
        <v>ID 123</v>
      </c>
      <c r="B59" s="13" t="s">
        <v>207</v>
      </c>
      <c r="C59" s="4" t="str">
        <f>IFERROR(__xludf.DUMMYFUNCTION("LEFT(FILTER(IMPORTRANGE(""https://docs.google.com/spreadsheets/d/1kGrh75X1cNR1D7_FcY9zMnHP8iPO4M5RCRjy6nZY0TY/edit#gid=1248694442"",""Table 1: Study characteristics!C4:C175""), $A59=IMPORTRANGE(""https://docs.google.com/spreadsheets/d/1kGrh75X1cNR1D7_FcY9"&amp;"zMnHP8iPO4M5RCRjy6nZY0TY/edit#gid=1248694442"",""Table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$A59=IMPORTRANGE(""https://docs.google.com/spreadsheets/d/1kGrh75X1cNR1D7_FcY9zMnHP8iPO4M5RCRjy6nZY0TY/edit#gid=1248694442"",""Table 1: Study characteristics!A4:A175"")))-1)"),"Rodrigues")</f>
        <v>Rodrigues</v>
      </c>
      <c r="D59" s="4">
        <f>IFERROR(__xludf.DUMMYFUNCTION("FILTER(IMPORTRANGE(""https://docs.google.com/spreadsheets/d/1kGrh75X1cNR1D7_FcY9zMnHP8iPO4M5RCRjy6nZY0TY/edit#gid=1248694442"",""Table 1: Study characteristics!K4:K175""), $A59=IMPORTRANGE(""https://docs.google.com/spreadsheets/d/1kGrh75X1cNR1D7_FcY9zMnHP"&amp;"8iPO4M5RCRjy6nZY0TY/edit#gid=1248694442"",""Table 1: Study characteristics!A4:A175""))"),2016.0)</f>
        <v>2016</v>
      </c>
      <c r="E59" s="4" t="str">
        <f>IFERROR(__xludf.DUMMYFUNCTION("FILTER(IMPORTRANGE(""https://docs.google.com/spreadsheets/d/1kGrh75X1cNR1D7_FcY9zMnHP8iPO4M5RCRjy6nZY0TY/edit#gid=1248694442"",""Table 1: Study characteristics!M4:M175""), $A59=IMPORTRANGE(""https://docs.google.com/spreadsheets/d/1kGrh75X1cNR1D7_FcY9zMnHP"&amp;"8iPO4M5RCRjy6nZY0TY/edit#gid=1248694442"",""Table 1: Study characteristics!A4:A175""))"),"Upper middle income")</f>
        <v>Upper middle income</v>
      </c>
      <c r="F59" s="4" t="str">
        <f>IFERROR(__xludf.DUMMYFUNCTION("FILTER(IMPORTRANGE(""https://docs.google.com/spreadsheets/d/1kGrh75X1cNR1D7_FcY9zMnHP8iPO4M5RCRjy6nZY0TY/edit#gid=1248694442"",""Table 1: Study characteristics!N4:N175""), $A59=IMPORTRANGE(""https://docs.google.com/spreadsheets/d/1kGrh75X1cNR1D7_FcY9zMnHP"&amp;"8iPO4M5RCRjy6nZY0TY/edit#gid=1248694442"",""Table 1: Study characteristics!A4:A175""))"),"Latin America &amp; Caribbean")</f>
        <v>Latin America &amp; Caribbean</v>
      </c>
      <c r="G59" s="4" t="str">
        <f>IFERROR(__xludf.DUMMYFUNCTION("FILTER(IMPORTRANGE(""https://docs.google.com/spreadsheets/d/1kGrh75X1cNR1D7_FcY9zMnHP8iPO4M5RCRjy6nZY0TY/edit#gid=1248694442"",""Table 1: Study characteristics!J4:J175""), $A59=IMPORTRANGE(""https://docs.google.com/spreadsheets/d/1kGrh75X1cNR1D7_FcY9zMnHP"&amp;"8iPO4M5RCRjy6nZY0TY/edit#gid=1248694442"",""Table 1: Study characteristics!A4:A175""))"),"Brazil")</f>
        <v>Brazil</v>
      </c>
      <c r="H59" s="4" t="str">
        <f>IFERROR(__xludf.DUMMYFUNCTION("FILTER(IMPORTRANGE(""https://docs.google.com/spreadsheets/d/1kGrh75X1cNR1D7_FcY9zMnHP8iPO4M5RCRjy6nZY0TY/edit#gid=1248694442"",""Table 1: Study characteristics!O4:O175""), $A59=IMPORTRANGE(""https://docs.google.com/spreadsheets/d/1kGrh75X1cNR1D7_FcY9zMnHP"&amp;"8iPO4M5RCRjy6nZY0TY/edit#gid=1248694442"",""Table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59" s="14" t="str">
        <f>IFERROR(__xludf.DUMMYFUNCTION("IFNA(FILTER(IMPORTRANGE(""https://docs.google.com/spreadsheets/d/1kGrh75X1cNR1D7_FcY9zMnHP8iPO4M5RCRjy6nZY0TY/edit#gid=1248694442"",""Table 3: 1st-line HC!C5:C111""), $A59=IMPORTRANGE(""https://docs.google.com/spreadsheets/d/1kGrh75X1cNR1D7_FcY9zMnHP8iPO4"&amp;"M5RCRjy6nZY0TY/edit#gid=1248694442"",""Table 3: 1st-line HC!A5:A111"")),"""")"),"Selected")</f>
        <v>Selected</v>
      </c>
      <c r="J59" s="4">
        <f>IFERROR(__xludf.DUMMYFUNCTION("FILTER(IMPORTRANGE(""https://docs.google.com/spreadsheets/d/1kGrh75X1cNR1D7_FcY9zMnHP8iPO4M5RCRjy6nZY0TY/edit#gid=1248694442"",""Table 1: Study characteristics!P4:P175""), $A59=IMPORTRANGE(""https://docs.google.com/spreadsheets/d/1kGrh75X1cNR1D7_FcY9zMnHP"&amp;"8iPO4M5RCRjy6nZY0TY/edit#gid=1248694442"",""Table 1: Study characteristics!A4:A175""))"),32.0)</f>
        <v>32</v>
      </c>
      <c r="K59" s="4" t="str">
        <f>IFERROR(__xludf.DUMMYFUNCTION("FILTER(IMPORTRANGE(""https://docs.google.com/spreadsheets/d/1kGrh75X1cNR1D7_FcY9zMnHP8iPO4M5RCRjy6nZY0TY/edit#gid=1248694442"",""Table 1: Study characteristics!U4:U175""), $A59=IMPORTRANGE(""https://docs.google.com/spreadsheets/d/1kGrh75X1cNR1D7_FcY9zMnHP"&amp;"8iPO4M5RCRjy6nZY0TY/edit#gid=1248694442"",""Table 1: Study characteristics!A4:A175""))"),"")</f>
        <v/>
      </c>
      <c r="L59" s="4" t="str">
        <f>IFERROR(__xludf.DUMMYFUNCTION("FILTER(IMPORTRANGE(""https://docs.google.com/spreadsheets/d/1kGrh75X1cNR1D7_FcY9zMnHP8iPO4M5RCRjy6nZY0TY/edit#gid=1248694442"",""Table 1: Study characteristics!V4:V175""), $A59=IMPORTRANGE(""https://docs.google.com/spreadsheets/d/1kGrh75X1cNR1D7_FcY9zMnHP"&amp;"8iPO4M5RCRjy6nZY0TY/edit#gid=1248694442"",""Table 1: Study characteristics!A4:A175""))"),"")</f>
        <v/>
      </c>
      <c r="M59" s="4" t="str">
        <f>IFERROR(__xludf.DUMMYFUNCTION("FILTER(IMPORTRANGE(""https://docs.google.com/spreadsheets/d/1kGrh75X1cNR1D7_FcY9zMnHP8iPO4M5RCRjy6nZY0TY/edit#gid=1248694442"",""Table 1: Study characteristics!Q4:Q175""), $A59=IMPORTRANGE(""https://docs.google.com/spreadsheets/d/1kGrh75X1cNR1D7_FcY9zMnHP"&amp;"8iPO4M5RCRjy6nZY0TY/edit#gid=1248694442"",""Table 1: Study characteristics!A4:A175""))"),"")</f>
        <v/>
      </c>
      <c r="N59" s="4" t="str">
        <f>IFERROR(__xludf.DUMMYFUNCTION("FILTER(IMPORTRANGE(""https://docs.google.com/spreadsheets/d/1kGrh75X1cNR1D7_FcY9zMnHP8iPO4M5RCRjy6nZY0TY/edit#gid=1248694442"",""Table 1: Study characteristics!R4:R175""), $A59=IMPORTRANGE(""https://docs.google.com/spreadsheets/d/1kGrh75X1cNR1D7_FcY9zMnHP"&amp;"8iPO4M5RCRjy6nZY0TY/edit#gid=1248694442"",""Table 1: Study characteristics!A4:A175""))"),"")</f>
        <v/>
      </c>
      <c r="O59" s="4" t="str">
        <f>IFERROR(__xludf.DUMMYFUNCTION("FILTER(IMPORTRANGE(""https://docs.google.com/spreadsheets/d/1kGrh75X1cNR1D7_FcY9zMnHP8iPO4M5RCRjy6nZY0TY/edit#gid=1248694442"",""Table 1: Study characteristics!S4:S175""), $A59=IMPORTRANGE(""https://docs.google.com/spreadsheets/d/1kGrh75X1cNR1D7_FcY9zMnHP"&amp;"8iPO4M5RCRjy6nZY0TY/edit#gid=1248694442"",""Table 1: Study characteristics!A4:A175""))"),"")</f>
        <v/>
      </c>
      <c r="P59" s="6" t="str">
        <f>IFERROR(__xludf.DUMMYFUNCTION("FILTER(IMPORTRANGE(""https://docs.google.com/spreadsheets/d/1kGrh75X1cNR1D7_FcY9zMnHP8iPO4M5RCRjy6nZY0TY/edit#gid=1248694442"",""Table 1: Study characteristics!T4:T175""), $A59=IMPORTRANGE(""https://docs.google.com/spreadsheets/d/1kGrh75X1cNR1D7_FcY9zMnHP"&amp;"8iPO4M5RCRjy6nZY0TY/edit#gid=1248694442"",""Table 1: Study characteristics!A4:A175""))"),"")</f>
        <v/>
      </c>
      <c r="Q59" s="6" t="str">
        <f>IFERROR(__xludf.DUMMYFUNCTION("FILTER(IMPORTRANGE(""https://docs.google.com/spreadsheets/d/1kGrh75X1cNR1D7_FcY9zMnHP8iPO4M5RCRjy6nZY0TY/edit#gid=1248694442"",""Table 1: Study characteristics!L4:L175""), $A59=IMPORTRANGE(""https://docs.google.com/spreadsheets/d/1kGrh75X1cNR1D7_FcY9zMnHP"&amp;"8iPO4M5RCRjy6nZY0TY/edit#gid=1248694442"",""Table 1: Study characteristics!A4:A175""))"),"")</f>
        <v/>
      </c>
      <c r="R59" s="4" t="str">
        <f>IFERROR(__xludf.DUMMYFUNCTION("FILTER(IMPORTRANGE(""https://docs.google.com/spreadsheets/d/1kGrh75X1cNR1D7_FcY9zMnHP8iPO4M5RCRjy6nZY0TY/edit#gid=1248694442"",""Table 1: Study characteristics!I4:I175""), $A59=IMPORTRANGE(""https://docs.google.com/spreadsheets/d/1kGrh75X1cNR1D7_FcY9zMnHP"&amp;"8iPO4M5RCRjy6nZY0TY/edit#gid=1248694442"",""Table 1: Study characteristics!A4:A175""))"),"English")</f>
        <v>English</v>
      </c>
    </row>
    <row r="60">
      <c r="A60" s="4" t="str">
        <f>IFERROR(__xludf.DUMMYFUNCTION("""COMPUTED_VALUE"""),"ID 126")</f>
        <v>ID 126</v>
      </c>
      <c r="B60" s="13" t="s">
        <v>208</v>
      </c>
      <c r="C60" s="4" t="str">
        <f>IFERROR(__xludf.DUMMYFUNCTION("LEFT(FILTER(IMPORTRANGE(""https://docs.google.com/spreadsheets/d/1kGrh75X1cNR1D7_FcY9zMnHP8iPO4M5RCRjy6nZY0TY/edit#gid=1248694442"",""Table 1: Study characteristics!C4:C175""), $A60=IMPORTRANGE(""https://docs.google.com/spreadsheets/d/1kGrh75X1cNR1D7_FcY9"&amp;"zMnHP8iPO4M5RCRjy6nZY0TY/edit#gid=1248694442"",""Table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$A60=IMPORTRANGE(""https://docs.google.com/spreadsheets/d/1kGrh75X1cNR1D7_FcY9zMnHP8iPO4M5RCRjy6nZY0TY/edit#gid=1248694442"",""Table 1: Study characteristics!A4:A175"")))-1)"),"Caldarelli")</f>
        <v>Caldarelli</v>
      </c>
      <c r="D60" s="4">
        <f>IFERROR(__xludf.DUMMYFUNCTION("FILTER(IMPORTRANGE(""https://docs.google.com/spreadsheets/d/1kGrh75X1cNR1D7_FcY9zMnHP8iPO4M5RCRjy6nZY0TY/edit#gid=1248694442"",""Table 1: Study characteristics!K4:K175""), $A60=IMPORTRANGE(""https://docs.google.com/spreadsheets/d/1kGrh75X1cNR1D7_FcY9zMnHP"&amp;"8iPO4M5RCRjy6nZY0TY/edit#gid=1248694442"",""Table 1: Study characteristics!A4:A175""))"),1996.0)</f>
        <v>1996</v>
      </c>
      <c r="E60" s="4" t="str">
        <f>IFERROR(__xludf.DUMMYFUNCTION("FILTER(IMPORTRANGE(""https://docs.google.com/spreadsheets/d/1kGrh75X1cNR1D7_FcY9zMnHP8iPO4M5RCRjy6nZY0TY/edit#gid=1248694442"",""Table 1: Study characteristics!M4:M175""), $A60=IMPORTRANGE(""https://docs.google.com/spreadsheets/d/1kGrh75X1cNR1D7_FcY9zMnHP"&amp;"8iPO4M5RCRjy6nZY0TY/edit#gid=1248694442"",""Table 1: Study characteristics!A4:A175""))"),"High income")</f>
        <v>High income</v>
      </c>
      <c r="F60" s="4" t="str">
        <f>IFERROR(__xludf.DUMMYFUNCTION("FILTER(IMPORTRANGE(""https://docs.google.com/spreadsheets/d/1kGrh75X1cNR1D7_FcY9zMnHP8iPO4M5RCRjy6nZY0TY/edit#gid=1248694442"",""Table 1: Study characteristics!N4:N175""), $A60=IMPORTRANGE(""https://docs.google.com/spreadsheets/d/1kGrh75X1cNR1D7_FcY9zMnHP"&amp;"8iPO4M5RCRjy6nZY0TY/edit#gid=1248694442"",""Table 1: Study characteristics!A4:A175""))"),"Europe &amp; Central Asia")</f>
        <v>Europe &amp; Central Asia</v>
      </c>
      <c r="G60" s="4" t="str">
        <f>IFERROR(__xludf.DUMMYFUNCTION("FILTER(IMPORTRANGE(""https://docs.google.com/spreadsheets/d/1kGrh75X1cNR1D7_FcY9zMnHP8iPO4M5RCRjy6nZY0TY/edit#gid=1248694442"",""Table 1: Study characteristics!J4:J175""), $A60=IMPORTRANGE(""https://docs.google.com/spreadsheets/d/1kGrh75X1cNR1D7_FcY9zMnHP"&amp;"8iPO4M5RCRjy6nZY0TY/edit#gid=1248694442"",""Table 1: Study characteristics!A4:A175""))"),"Italy")</f>
        <v>Italy</v>
      </c>
      <c r="H60" s="4" t="str">
        <f>IFERROR(__xludf.DUMMYFUNCTION("FILTER(IMPORTRANGE(""https://docs.google.com/spreadsheets/d/1kGrh75X1cNR1D7_FcY9zMnHP8iPO4M5RCRjy6nZY0TY/edit#gid=1248694442"",""Table 1: Study characteristics!O4:O175""), $A60=IMPORTRANGE(""https://docs.google.com/spreadsheets/d/1kGrh75X1cNR1D7_FcY9zMnHP"&amp;"8iPO4M5RCRjy6nZY0TY/edit#gid=1248694442"",""Table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60" s="14" t="str">
        <f>IFERROR(__xludf.DUMMYFUNCTION("IFNA(FILTER(IMPORTRANGE(""https://docs.google.com/spreadsheets/d/1kGrh75X1cNR1D7_FcY9zMnHP8iPO4M5RCRjy6nZY0TY/edit#gid=1248694442"",""Table 3: 1st-line HC!C5:C111""), $A60=IMPORTRANGE(""https://docs.google.com/spreadsheets/d/1kGrh75X1cNR1D7_FcY9zMnHP8iPO4"&amp;"M5RCRjy6nZY0TY/edit#gid=1248694442"",""Table 3: 1st-line HC!A5:A111"")),"""")"),"Selected")</f>
        <v>Selected</v>
      </c>
      <c r="J60" s="4">
        <f>IFERROR(__xludf.DUMMYFUNCTION("FILTER(IMPORTRANGE(""https://docs.google.com/spreadsheets/d/1kGrh75X1cNR1D7_FcY9zMnHP8iPO4M5RCRjy6nZY0TY/edit#gid=1248694442"",""Table 1: Study characteristics!P4:P175""), $A60=IMPORTRANGE(""https://docs.google.com/spreadsheets/d/1kGrh75X1cNR1D7_FcY9zMnHP"&amp;"8iPO4M5RCRjy6nZY0TY/edit#gid=1248694442"",""Table 1: Study characteristics!A4:A175""))"),170.0)</f>
        <v>170</v>
      </c>
      <c r="K60" s="4" t="str">
        <f>IFERROR(__xludf.DUMMYFUNCTION("FILTER(IMPORTRANGE(""https://docs.google.com/spreadsheets/d/1kGrh75X1cNR1D7_FcY9zMnHP8iPO4M5RCRjy6nZY0TY/edit#gid=1248694442"",""Table 1: Study characteristics!U4:U175""), $A60=IMPORTRANGE(""https://docs.google.com/spreadsheets/d/1kGrh75X1cNR1D7_FcY9zMnHP"&amp;"8iPO4M5RCRjy6nZY0TY/edit#gid=1248694442"",""Table 1: Study characteristics!A4:A175""))"),"")</f>
        <v/>
      </c>
      <c r="L60" s="4" t="str">
        <f>IFERROR(__xludf.DUMMYFUNCTION("FILTER(IMPORTRANGE(""https://docs.google.com/spreadsheets/d/1kGrh75X1cNR1D7_FcY9zMnHP8iPO4M5RCRjy6nZY0TY/edit#gid=1248694442"",""Table 1: Study characteristics!V4:V175""), $A60=IMPORTRANGE(""https://docs.google.com/spreadsheets/d/1kGrh75X1cNR1D7_FcY9zMnHP"&amp;"8iPO4M5RCRjy6nZY0TY/edit#gid=1248694442"",""Table 1: Study characteristics!A4:A175""))"),"")</f>
        <v/>
      </c>
      <c r="M60" s="4" t="str">
        <f>IFERROR(__xludf.DUMMYFUNCTION("FILTER(IMPORTRANGE(""https://docs.google.com/spreadsheets/d/1kGrh75X1cNR1D7_FcY9zMnHP8iPO4M5RCRjy6nZY0TY/edit#gid=1248694442"",""Table 1: Study characteristics!Q4:Q175""), $A60=IMPORTRANGE(""https://docs.google.com/spreadsheets/d/1kGrh75X1cNR1D7_FcY9zMnHP"&amp;"8iPO4M5RCRjy6nZY0TY/edit#gid=1248694442"",""Table 1: Study characteristics!A4:A175""))"),"")</f>
        <v/>
      </c>
      <c r="N60" s="4" t="str">
        <f>IFERROR(__xludf.DUMMYFUNCTION("FILTER(IMPORTRANGE(""https://docs.google.com/spreadsheets/d/1kGrh75X1cNR1D7_FcY9zMnHP8iPO4M5RCRjy6nZY0TY/edit#gid=1248694442"",""Table 1: Study characteristics!R4:R175""), $A60=IMPORTRANGE(""https://docs.google.com/spreadsheets/d/1kGrh75X1cNR1D7_FcY9zMnHP"&amp;"8iPO4M5RCRjy6nZY0TY/edit#gid=1248694442"",""Table 1: Study characteristics!A4:A175""))"),"")</f>
        <v/>
      </c>
      <c r="O60" s="4" t="str">
        <f>IFERROR(__xludf.DUMMYFUNCTION("FILTER(IMPORTRANGE(""https://docs.google.com/spreadsheets/d/1kGrh75X1cNR1D7_FcY9zMnHP8iPO4M5RCRjy6nZY0TY/edit#gid=1248694442"",""Table 1: Study characteristics!S4:S175""), $A60=IMPORTRANGE(""https://docs.google.com/spreadsheets/d/1kGrh75X1cNR1D7_FcY9zMnHP"&amp;"8iPO4M5RCRjy6nZY0TY/edit#gid=1248694442"",""Table 1: Study characteristics!A4:A175""))"),"")</f>
        <v/>
      </c>
      <c r="P60" s="6" t="str">
        <f>IFERROR(__xludf.DUMMYFUNCTION("FILTER(IMPORTRANGE(""https://docs.google.com/spreadsheets/d/1kGrh75X1cNR1D7_FcY9zMnHP8iPO4M5RCRjy6nZY0TY/edit#gid=1248694442"",""Table 1: Study characteristics!T4:T175""), $A60=IMPORTRANGE(""https://docs.google.com/spreadsheets/d/1kGrh75X1cNR1D7_FcY9zMnHP"&amp;"8iPO4M5RCRjy6nZY0TY/edit#gid=1248694442"",""Table 1: Study characteristics!A4:A175""))"),"")</f>
        <v/>
      </c>
      <c r="Q60" s="6" t="str">
        <f>IFERROR(__xludf.DUMMYFUNCTION("FILTER(IMPORTRANGE(""https://docs.google.com/spreadsheets/d/1kGrh75X1cNR1D7_FcY9zMnHP8iPO4M5RCRjy6nZY0TY/edit#gid=1248694442"",""Table 1: Study characteristics!L4:L175""), $A60=IMPORTRANGE(""https://docs.google.com/spreadsheets/d/1kGrh75X1cNR1D7_FcY9zMnHP"&amp;"8iPO4M5RCRjy6nZY0TY/edit#gid=1248694442"",""Table 1: Study characteristics!A4:A175""))"),"1980-1994")</f>
        <v>1980-1994</v>
      </c>
      <c r="R60" s="4" t="str">
        <f>IFERROR(__xludf.DUMMYFUNCTION("FILTER(IMPORTRANGE(""https://docs.google.com/spreadsheets/d/1kGrh75X1cNR1D7_FcY9zMnHP8iPO4M5RCRjy6nZY0TY/edit#gid=1248694442"",""Table 1: Study characteristics!I4:I175""), $A60=IMPORTRANGE(""https://docs.google.com/spreadsheets/d/1kGrh75X1cNR1D7_FcY9zMnHP"&amp;"8iPO4M5RCRjy6nZY0TY/edit#gid=1248694442"",""Table 1: Study characteristics!A4:A175""))"),"English")</f>
        <v>English</v>
      </c>
    </row>
    <row r="61">
      <c r="A61" s="4" t="str">
        <f>IFERROR(__xludf.DUMMYFUNCTION("""COMPUTED_VALUE"""),"ID 129")</f>
        <v>ID 129</v>
      </c>
      <c r="B61" s="13" t="s">
        <v>209</v>
      </c>
      <c r="C61" s="4" t="str">
        <f>IFERROR(__xludf.DUMMYFUNCTION("LEFT(FILTER(IMPORTRANGE(""https://docs.google.com/spreadsheets/d/1kGrh75X1cNR1D7_FcY9zMnHP8iPO4M5RCRjy6nZY0TY/edit#gid=1248694442"",""Table 1: Study characteristics!C4:C175""), $A61=IMPORTRANGE(""https://docs.google.com/spreadsheets/d/1kGrh75X1cNR1D7_FcY9"&amp;"zMnHP8iPO4M5RCRjy6nZY0TY/edit#gid=1248694442"",""Table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$A61=IMPORTRANGE(""https://docs.google.com/spreadsheets/d/1kGrh75X1cNR1D7_FcY9zMnHP8iPO4M5RCRjy6nZY0TY/edit#gid=1248694442"",""Table 1: Study characteristics!A4:A175"")))-1)"),"Epstein")</f>
        <v>Epstein</v>
      </c>
      <c r="D61" s="4">
        <f>IFERROR(__xludf.DUMMYFUNCTION("FILTER(IMPORTRANGE(""https://docs.google.com/spreadsheets/d/1kGrh75X1cNR1D7_FcY9zMnHP8iPO4M5RCRjy6nZY0TY/edit#gid=1248694442"",""Table 1: Study characteristics!K4:K175""), $A61=IMPORTRANGE(""https://docs.google.com/spreadsheets/d/1kGrh75X1cNR1D7_FcY9zMnHP"&amp;"8iPO4M5RCRjy6nZY0TY/edit#gid=1248694442"",""Table 1: Study characteristics!A4:A175""))"),1985.0)</f>
        <v>1985</v>
      </c>
      <c r="E61" s="4" t="str">
        <f>IFERROR(__xludf.DUMMYFUNCTION("FILTER(IMPORTRANGE(""https://docs.google.com/spreadsheets/d/1kGrh75X1cNR1D7_FcY9zMnHP8iPO4M5RCRjy6nZY0TY/edit#gid=1248694442"",""Table 1: Study characteristics!M4:M175""), $A61=IMPORTRANGE(""https://docs.google.com/spreadsheets/d/1kGrh75X1cNR1D7_FcY9zMnHP"&amp;"8iPO4M5RCRjy6nZY0TY/edit#gid=1248694442"",""Table 1: Study characteristics!A4:A175""))"),"High income")</f>
        <v>High income</v>
      </c>
      <c r="F61" s="4" t="str">
        <f>IFERROR(__xludf.DUMMYFUNCTION("FILTER(IMPORTRANGE(""https://docs.google.com/spreadsheets/d/1kGrh75X1cNR1D7_FcY9zMnHP8iPO4M5RCRjy6nZY0TY/edit#gid=1248694442"",""Table 1: Study characteristics!N4:N175""), $A61=IMPORTRANGE(""https://docs.google.com/spreadsheets/d/1kGrh75X1cNR1D7_FcY9zMnHP"&amp;"8iPO4M5RCRjy6nZY0TY/edit#gid=1248694442"",""Table 1: Study characteristics!A4:A175""))"),"North America")</f>
        <v>North America</v>
      </c>
      <c r="G61" s="4" t="str">
        <f>IFERROR(__xludf.DUMMYFUNCTION("FILTER(IMPORTRANGE(""https://docs.google.com/spreadsheets/d/1kGrh75X1cNR1D7_FcY9zMnHP8iPO4M5RCRjy6nZY0TY/edit#gid=1248694442"",""Table 1: Study characteristics!J4:J175""), $A61=IMPORTRANGE(""https://docs.google.com/spreadsheets/d/1kGrh75X1cNR1D7_FcY9zMnHP"&amp;"8iPO4M5RCRjy6nZY0TY/edit#gid=1248694442"",""Table 1: Study characteristics!A4:A175""))"),"United States")</f>
        <v>United States</v>
      </c>
      <c r="H61" s="4" t="str">
        <f>IFERROR(__xludf.DUMMYFUNCTION("FILTER(IMPORTRANGE(""https://docs.google.com/spreadsheets/d/1kGrh75X1cNR1D7_FcY9zMnHP8iPO4M5RCRjy6nZY0TY/edit#gid=1248694442"",""Table 1: Study characteristics!O4:O175""), $A61=IMPORTRANGE(""https://docs.google.com/spreadsheets/d/1kGrh75X1cNR1D7_FcY9zMnHP"&amp;"8iPO4M5RCRjy6nZY0TY/edit#gid=1248694442"",""Table 1: Study characteristics!A4:A175""))"),"Multiple case report")</f>
        <v>Multiple case report</v>
      </c>
      <c r="I61" s="14" t="str">
        <f>IFERROR(__xludf.DUMMYFUNCTION("IFNA(FILTER(IMPORTRANGE(""https://docs.google.com/spreadsheets/d/1kGrh75X1cNR1D7_FcY9zMnHP8iPO4M5RCRjy6nZY0TY/edit#gid=1248694442"",""Table 3: 1st-line HC!C5:C111""), $A61=IMPORTRANGE(""https://docs.google.com/spreadsheets/d/1kGrh75X1cNR1D7_FcY9zMnHP8iPO4"&amp;"M5RCRjy6nZY0TY/edit#gid=1248694442"",""Table 3: 1st-line HC!A5:A111"")),"""")"),"Selected")</f>
        <v>Selected</v>
      </c>
      <c r="J61" s="4">
        <f>IFERROR(__xludf.DUMMYFUNCTION("FILTER(IMPORTRANGE(""https://docs.google.com/spreadsheets/d/1kGrh75X1cNR1D7_FcY9zMnHP8iPO4M5RCRjy6nZY0TY/edit#gid=1248694442"",""Table 1: Study characteristics!P4:P175""), $A61=IMPORTRANGE(""https://docs.google.com/spreadsheets/d/1kGrh75X1cNR1D7_FcY9zMnHP"&amp;"8iPO4M5RCRjy6nZY0TY/edit#gid=1248694442"",""Table 1: Study characteristics!A4:A175""))"),12.0)</f>
        <v>12</v>
      </c>
      <c r="K61" s="4">
        <f>IFERROR(__xludf.DUMMYFUNCTION("FILTER(IMPORTRANGE(""https://docs.google.com/spreadsheets/d/1kGrh75X1cNR1D7_FcY9zMnHP8iPO4M5RCRjy6nZY0TY/edit#gid=1248694442"",""Table 1: Study characteristics!U4:U175""), $A61=IMPORTRANGE(""https://docs.google.com/spreadsheets/d/1kGrh75X1cNR1D7_FcY9zMnHP"&amp;"8iPO4M5RCRjy6nZY0TY/edit#gid=1248694442"",""Table 1: Study characteristics!A4:A175""))"),4.0)</f>
        <v>4</v>
      </c>
      <c r="L61" s="4">
        <f>IFERROR(__xludf.DUMMYFUNCTION("FILTER(IMPORTRANGE(""https://docs.google.com/spreadsheets/d/1kGrh75X1cNR1D7_FcY9zMnHP8iPO4M5RCRjy6nZY0TY/edit#gid=1248694442"",""Table 1: Study characteristics!V4:V175""), $A61=IMPORTRANGE(""https://docs.google.com/spreadsheets/d/1kGrh75X1cNR1D7_FcY9zMnHP"&amp;"8iPO4M5RCRjy6nZY0TY/edit#gid=1248694442"",""Table 1: Study characteristics!A4:A175""))"),8.0)</f>
        <v>8</v>
      </c>
      <c r="M61" s="4" t="str">
        <f>IFERROR(__xludf.DUMMYFUNCTION("FILTER(IMPORTRANGE(""https://docs.google.com/spreadsheets/d/1kGrh75X1cNR1D7_FcY9zMnHP8iPO4M5RCRjy6nZY0TY/edit#gid=1248694442"",""Table 1: Study characteristics!Q4:Q175""), $A61=IMPORTRANGE(""https://docs.google.com/spreadsheets/d/1kGrh75X1cNR1D7_FcY9zMnHP"&amp;"8iPO4M5RCRjy6nZY0TY/edit#gid=1248694442"",""Table 1: Study characteristics!A4:A175""))"),"")</f>
        <v/>
      </c>
      <c r="N61" s="4" t="str">
        <f>IFERROR(__xludf.DUMMYFUNCTION("FILTER(IMPORTRANGE(""https://docs.google.com/spreadsheets/d/1kGrh75X1cNR1D7_FcY9zMnHP8iPO4M5RCRjy6nZY0TY/edit#gid=1248694442"",""Table 1: Study characteristics!R4:R175""), $A61=IMPORTRANGE(""https://docs.google.com/spreadsheets/d/1kGrh75X1cNR1D7_FcY9zMnHP"&amp;"8iPO4M5RCRjy6nZY0TY/edit#gid=1248694442"",""Table 1: Study characteristics!A4:A175""))"),"")</f>
        <v/>
      </c>
      <c r="O61" s="4" t="str">
        <f>IFERROR(__xludf.DUMMYFUNCTION("FILTER(IMPORTRANGE(""https://docs.google.com/spreadsheets/d/1kGrh75X1cNR1D7_FcY9zMnHP8iPO4M5RCRjy6nZY0TY/edit#gid=1248694442"",""Table 1: Study characteristics!S4:S175""), $A61=IMPORTRANGE(""https://docs.google.com/spreadsheets/d/1kGrh75X1cNR1D7_FcY9zMnHP"&amp;"8iPO4M5RCRjy6nZY0TY/edit#gid=1248694442"",""Table 1: Study characteristics!A4:A175""))"),"")</f>
        <v/>
      </c>
      <c r="P61" s="6" t="str">
        <f>IFERROR(__xludf.DUMMYFUNCTION("FILTER(IMPORTRANGE(""https://docs.google.com/spreadsheets/d/1kGrh75X1cNR1D7_FcY9zMnHP8iPO4M5RCRjy6nZY0TY/edit#gid=1248694442"",""Table 1: Study characteristics!T4:T175""), $A61=IMPORTRANGE(""https://docs.google.com/spreadsheets/d/1kGrh75X1cNR1D7_FcY9zMnHP"&amp;"8iPO4M5RCRjy6nZY0TY/edit#gid=1248694442"",""Table 1: Study characteristics!A4:A175""))"),"")</f>
        <v/>
      </c>
      <c r="Q61" s="6" t="str">
        <f>IFERROR(__xludf.DUMMYFUNCTION("FILTER(IMPORTRANGE(""https://docs.google.com/spreadsheets/d/1kGrh75X1cNR1D7_FcY9zMnHP8iPO4M5RCRjy6nZY0TY/edit#gid=1248694442"",""Table 1: Study characteristics!L4:L175""), $A61=IMPORTRANGE(""https://docs.google.com/spreadsheets/d/1kGrh75X1cNR1D7_FcY9zMnHP"&amp;"8iPO4M5RCRjy6nZY0TY/edit#gid=1248694442"",""Table 1: Study characteristics!A4:A175""))"),"")</f>
        <v/>
      </c>
      <c r="R61" s="4" t="str">
        <f>IFERROR(__xludf.DUMMYFUNCTION("FILTER(IMPORTRANGE(""https://docs.google.com/spreadsheets/d/1kGrh75X1cNR1D7_FcY9zMnHP8iPO4M5RCRjy6nZY0TY/edit#gid=1248694442"",""Table 1: Study characteristics!I4:I175""), $A61=IMPORTRANGE(""https://docs.google.com/spreadsheets/d/1kGrh75X1cNR1D7_FcY9zMnHP"&amp;"8iPO4M5RCRjy6nZY0TY/edit#gid=1248694442"",""Table 1: Study characteristics!A4:A175""))"),"English")</f>
        <v>English</v>
      </c>
    </row>
    <row r="62">
      <c r="A62" s="4" t="str">
        <f>IFERROR(__xludf.DUMMYFUNCTION("""COMPUTED_VALUE"""),"ID 130")</f>
        <v>ID 130</v>
      </c>
      <c r="B62" s="13" t="s">
        <v>210</v>
      </c>
      <c r="C62" s="4" t="str">
        <f>IFERROR(__xludf.DUMMYFUNCTION("LEFT(FILTER(IMPORTRANGE(""https://docs.google.com/spreadsheets/d/1kGrh75X1cNR1D7_FcY9zMnHP8iPO4M5RCRjy6nZY0TY/edit#gid=1248694442"",""Table 1: Study characteristics!C4:C175""), $A62=IMPORTRANGE(""https://docs.google.com/spreadsheets/d/1kGrh75X1cNR1D7_FcY9"&amp;"zMnHP8iPO4M5RCRjy6nZY0TY/edit#gid=1248694442"",""Table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$A62=IMPORTRANGE(""https://docs.google.com/spreadsheets/d/1kGrh75X1cNR1D7_FcY9zMnHP8iPO4M5RCRjy6nZY0TY/edit#gid=1248694442"",""Table 1: Study characteristics!A4:A175"")))-1)"),"Alatas")</f>
        <v>Alatas</v>
      </c>
      <c r="D62" s="4">
        <f>IFERROR(__xludf.DUMMYFUNCTION("FILTER(IMPORTRANGE(""https://docs.google.com/spreadsheets/d/1kGrh75X1cNR1D7_FcY9zMnHP8iPO4M5RCRjy6nZY0TY/edit#gid=1248694442"",""Table 1: Study characteristics!K4:K175""), $A62=IMPORTRANGE(""https://docs.google.com/spreadsheets/d/1kGrh75X1cNR1D7_FcY9zMnHP"&amp;"8iPO4M5RCRjy6nZY0TY/edit#gid=1248694442"",""Table 1: Study characteristics!A4:A175""))"),2018.0)</f>
        <v>2018</v>
      </c>
      <c r="E62" s="4" t="str">
        <f>IFERROR(__xludf.DUMMYFUNCTION("FILTER(IMPORTRANGE(""https://docs.google.com/spreadsheets/d/1kGrh75X1cNR1D7_FcY9zMnHP8iPO4M5RCRjy6nZY0TY/edit#gid=1248694442"",""Table 1: Study characteristics!M4:M175""), $A62=IMPORTRANGE(""https://docs.google.com/spreadsheets/d/1kGrh75X1cNR1D7_FcY9zMnHP"&amp;"8iPO4M5RCRjy6nZY0TY/edit#gid=1248694442"",""Table 1: Study characteristics!A4:A175""))"),"Upper middle income")</f>
        <v>Upper middle income</v>
      </c>
      <c r="F62" s="4" t="str">
        <f>IFERROR(__xludf.DUMMYFUNCTION("FILTER(IMPORTRANGE(""https://docs.google.com/spreadsheets/d/1kGrh75X1cNR1D7_FcY9zMnHP8iPO4M5RCRjy6nZY0TY/edit#gid=1248694442"",""Table 1: Study characteristics!N4:N175""), $A62=IMPORTRANGE(""https://docs.google.com/spreadsheets/d/1kGrh75X1cNR1D7_FcY9zMnHP"&amp;"8iPO4M5RCRjy6nZY0TY/edit#gid=1248694442"",""Table 1: Study characteristics!A4:A175""))"),"Europe &amp; Central Asia")</f>
        <v>Europe &amp; Central Asia</v>
      </c>
      <c r="G62" s="4" t="str">
        <f>IFERROR(__xludf.DUMMYFUNCTION("FILTER(IMPORTRANGE(""https://docs.google.com/spreadsheets/d/1kGrh75X1cNR1D7_FcY9zMnHP8iPO4M5RCRjy6nZY0TY/edit#gid=1248694442"",""Table 1: Study characteristics!J4:J175""), $A62=IMPORTRANGE(""https://docs.google.com/spreadsheets/d/1kGrh75X1cNR1D7_FcY9zMnHP"&amp;"8iPO4M5RCRjy6nZY0TY/edit#gid=1248694442"",""Table 1: Study characteristics!A4:A175""))"),"Turkey")</f>
        <v>Turkey</v>
      </c>
      <c r="H62" s="4" t="str">
        <f>IFERROR(__xludf.DUMMYFUNCTION("FILTER(IMPORTRANGE(""https://docs.google.com/spreadsheets/d/1kGrh75X1cNR1D7_FcY9zMnHP8iPO4M5RCRjy6nZY0TY/edit#gid=1248694442"",""Table 1: Study characteristics!O4:O175""), $A62=IMPORTRANGE(""https://docs.google.com/spreadsheets/d/1kGrh75X1cNR1D7_FcY9zMnHP"&amp;"8iPO4M5RCRjy6nZY0TY/edit#gid=1248694442"",""Table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62" s="14" t="str">
        <f>IFERROR(__xludf.DUMMYFUNCTION("IFNA(FILTER(IMPORTRANGE(""https://docs.google.com/spreadsheets/d/1kGrh75X1cNR1D7_FcY9zMnHP8iPO4M5RCRjy6nZY0TY/edit#gid=1248694442"",""Table 3: 1st-line HC!C5:C111""), $A62=IMPORTRANGE(""https://docs.google.com/spreadsheets/d/1kGrh75X1cNR1D7_FcY9zMnHP8iPO4"&amp;"M5RCRjy6nZY0TY/edit#gid=1248694442"",""Table 3: 1st-line HC!A5:A111"")),"""")"),"")</f>
        <v/>
      </c>
      <c r="J62" s="4">
        <f>IFERROR(__xludf.DUMMYFUNCTION("FILTER(IMPORTRANGE(""https://docs.google.com/spreadsheets/d/1kGrh75X1cNR1D7_FcY9zMnHP8iPO4M5RCRjy6nZY0TY/edit#gid=1248694442"",""Table 1: Study characteristics!P4:P175""), $A62=IMPORTRANGE(""https://docs.google.com/spreadsheets/d/1kGrh75X1cNR1D7_FcY9zMnHP"&amp;"8iPO4M5RCRjy6nZY0TY/edit#gid=1248694442"",""Table 1: Study characteristics!A4:A175""))"),31.0)</f>
        <v>31</v>
      </c>
      <c r="K62" s="4" t="str">
        <f>IFERROR(__xludf.DUMMYFUNCTION("FILTER(IMPORTRANGE(""https://docs.google.com/spreadsheets/d/1kGrh75X1cNR1D7_FcY9zMnHP8iPO4M5RCRjy6nZY0TY/edit#gid=1248694442"",""Table 1: Study characteristics!U4:U175""), $A62=IMPORTRANGE(""https://docs.google.com/spreadsheets/d/1kGrh75X1cNR1D7_FcY9zMnHP"&amp;"8iPO4M5RCRjy6nZY0TY/edit#gid=1248694442"",""Table 1: Study characteristics!A4:A175""))"),"")</f>
        <v/>
      </c>
      <c r="L62" s="4" t="str">
        <f>IFERROR(__xludf.DUMMYFUNCTION("FILTER(IMPORTRANGE(""https://docs.google.com/spreadsheets/d/1kGrh75X1cNR1D7_FcY9zMnHP8iPO4M5RCRjy6nZY0TY/edit#gid=1248694442"",""Table 1: Study characteristics!V4:V175""), $A62=IMPORTRANGE(""https://docs.google.com/spreadsheets/d/1kGrh75X1cNR1D7_FcY9zMnHP"&amp;"8iPO4M5RCRjy6nZY0TY/edit#gid=1248694442"",""Table 1: Study characteristics!A4:A175""))"),"")</f>
        <v/>
      </c>
      <c r="M62" s="4" t="str">
        <f>IFERROR(__xludf.DUMMYFUNCTION("FILTER(IMPORTRANGE(""https://docs.google.com/spreadsheets/d/1kGrh75X1cNR1D7_FcY9zMnHP8iPO4M5RCRjy6nZY0TY/edit#gid=1248694442"",""Table 1: Study characteristics!Q4:Q175""), $A62=IMPORTRANGE(""https://docs.google.com/spreadsheets/d/1kGrh75X1cNR1D7_FcY9zMnHP"&amp;"8iPO4M5RCRjy6nZY0TY/edit#gid=1248694442"",""Table 1: Study characteristics!A4:A175""))"),"")</f>
        <v/>
      </c>
      <c r="N62" s="4" t="str">
        <f>IFERROR(__xludf.DUMMYFUNCTION("FILTER(IMPORTRANGE(""https://docs.google.com/spreadsheets/d/1kGrh75X1cNR1D7_FcY9zMnHP8iPO4M5RCRjy6nZY0TY/edit#gid=1248694442"",""Table 1: Study characteristics!R4:R175""), $A62=IMPORTRANGE(""https://docs.google.com/spreadsheets/d/1kGrh75X1cNR1D7_FcY9zMnHP"&amp;"8iPO4M5RCRjy6nZY0TY/edit#gid=1248694442"",""Table 1: Study characteristics!A4:A175""))"),"")</f>
        <v/>
      </c>
      <c r="O62" s="4" t="str">
        <f>IFERROR(__xludf.DUMMYFUNCTION("FILTER(IMPORTRANGE(""https://docs.google.com/spreadsheets/d/1kGrh75X1cNR1D7_FcY9zMnHP8iPO4M5RCRjy6nZY0TY/edit#gid=1248694442"",""Table 1: Study characteristics!S4:S175""), $A62=IMPORTRANGE(""https://docs.google.com/spreadsheets/d/1kGrh75X1cNR1D7_FcY9zMnHP"&amp;"8iPO4M5RCRjy6nZY0TY/edit#gid=1248694442"",""Table 1: Study characteristics!A4:A175""))"),"")</f>
        <v/>
      </c>
      <c r="P62" s="6" t="str">
        <f>IFERROR(__xludf.DUMMYFUNCTION("FILTER(IMPORTRANGE(""https://docs.google.com/spreadsheets/d/1kGrh75X1cNR1D7_FcY9zMnHP8iPO4M5RCRjy6nZY0TY/edit#gid=1248694442"",""Table 1: Study characteristics!T4:T175""), $A62=IMPORTRANGE(""https://docs.google.com/spreadsheets/d/1kGrh75X1cNR1D7_FcY9zMnHP"&amp;"8iPO4M5RCRjy6nZY0TY/edit#gid=1248694442"",""Table 1: Study characteristics!A4:A175""))"),"")</f>
        <v/>
      </c>
      <c r="Q62" s="6" t="str">
        <f>IFERROR(__xludf.DUMMYFUNCTION("FILTER(IMPORTRANGE(""https://docs.google.com/spreadsheets/d/1kGrh75X1cNR1D7_FcY9zMnHP8iPO4M5RCRjy6nZY0TY/edit#gid=1248694442"",""Table 1: Study characteristics!L4:L175""), $A62=IMPORTRANGE(""https://docs.google.com/spreadsheets/d/1kGrh75X1cNR1D7_FcY9zMnHP"&amp;"8iPO4M5RCRjy6nZY0TY/edit#gid=1248694442"",""Table 1: Study characteristics!A4:A175""))"),"2014-2015")</f>
        <v>2014-2015</v>
      </c>
      <c r="R62" s="4" t="str">
        <f>IFERROR(__xludf.DUMMYFUNCTION("FILTER(IMPORTRANGE(""https://docs.google.com/spreadsheets/d/1kGrh75X1cNR1D7_FcY9zMnHP8iPO4M5RCRjy6nZY0TY/edit#gid=1248694442"",""Table 1: Study characteristics!I4:I175""), $A62=IMPORTRANGE(""https://docs.google.com/spreadsheets/d/1kGrh75X1cNR1D7_FcY9zMnHP"&amp;"8iPO4M5RCRjy6nZY0TY/edit#gid=1248694442"",""Table 1: Study characteristics!A4:A175""))"),"English")</f>
        <v>English</v>
      </c>
    </row>
    <row r="63">
      <c r="A63" s="4" t="str">
        <f>IFERROR(__xludf.DUMMYFUNCTION("""COMPUTED_VALUE"""),"ID 131")</f>
        <v>ID 131</v>
      </c>
      <c r="B63" s="13" t="s">
        <v>211</v>
      </c>
      <c r="C63" s="4" t="str">
        <f>IFERROR(__xludf.DUMMYFUNCTION("LEFT(FILTER(IMPORTRANGE(""https://docs.google.com/spreadsheets/d/1kGrh75X1cNR1D7_FcY9zMnHP8iPO4M5RCRjy6nZY0TY/edit#gid=1248694442"",""Table 1: Study characteristics!C4:C175""), $A63=IMPORTRANGE(""https://docs.google.com/spreadsheets/d/1kGrh75X1cNR1D7_FcY9"&amp;"zMnHP8iPO4M5RCRjy6nZY0TY/edit#gid=1248694442"",""Table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$A63=IMPORTRANGE(""https://docs.google.com/spreadsheets/d/1kGrh75X1cNR1D7_FcY9zMnHP8iPO4M5RCRjy6nZY0TY/edit#gid=1248694442"",""Table 1: Study characteristics!A4:A175"")))-1)"),"İştemen,")</f>
        <v>İştemen,</v>
      </c>
      <c r="D63" s="4">
        <f>IFERROR(__xludf.DUMMYFUNCTION("FILTER(IMPORTRANGE(""https://docs.google.com/spreadsheets/d/1kGrh75X1cNR1D7_FcY9zMnHP8iPO4M5RCRjy6nZY0TY/edit#gid=1248694442"",""Table 1: Study characteristics!K4:K175""), $A63=IMPORTRANGE(""https://docs.google.com/spreadsheets/d/1kGrh75X1cNR1D7_FcY9zMnHP"&amp;"8iPO4M5RCRjy6nZY0TY/edit#gid=1248694442"",""Table 1: Study characteristics!A4:A175""))"),2021.0)</f>
        <v>2021</v>
      </c>
      <c r="E63" s="4" t="str">
        <f>IFERROR(__xludf.DUMMYFUNCTION("FILTER(IMPORTRANGE(""https://docs.google.com/spreadsheets/d/1kGrh75X1cNR1D7_FcY9zMnHP8iPO4M5RCRjy6nZY0TY/edit#gid=1248694442"",""Table 1: Study characteristics!M4:M175""), $A63=IMPORTRANGE(""https://docs.google.com/spreadsheets/d/1kGrh75X1cNR1D7_FcY9zMnHP"&amp;"8iPO4M5RCRjy6nZY0TY/edit#gid=1248694442"",""Table 1: Study characteristics!A4:A175""))"),"Upper middle income")</f>
        <v>Upper middle income</v>
      </c>
      <c r="F63" s="4" t="str">
        <f>IFERROR(__xludf.DUMMYFUNCTION("FILTER(IMPORTRANGE(""https://docs.google.com/spreadsheets/d/1kGrh75X1cNR1D7_FcY9zMnHP8iPO4M5RCRjy6nZY0TY/edit#gid=1248694442"",""Table 1: Study characteristics!N4:N175""), $A63=IMPORTRANGE(""https://docs.google.com/spreadsheets/d/1kGrh75X1cNR1D7_FcY9zMnHP"&amp;"8iPO4M5RCRjy6nZY0TY/edit#gid=1248694442"",""Table 1: Study characteristics!A4:A175""))"),"Europe &amp; Central Asia")</f>
        <v>Europe &amp; Central Asia</v>
      </c>
      <c r="G63" s="4" t="str">
        <f>IFERROR(__xludf.DUMMYFUNCTION("FILTER(IMPORTRANGE(""https://docs.google.com/spreadsheets/d/1kGrh75X1cNR1D7_FcY9zMnHP8iPO4M5RCRjy6nZY0TY/edit#gid=1248694442"",""Table 1: Study characteristics!J4:J175""), $A63=IMPORTRANGE(""https://docs.google.com/spreadsheets/d/1kGrh75X1cNR1D7_FcY9zMnHP"&amp;"8iPO4M5RCRjy6nZY0TY/edit#gid=1248694442"",""Table 1: Study characteristics!A4:A175""))"),"Turkey")</f>
        <v>Turkey</v>
      </c>
      <c r="H63" s="4" t="str">
        <f>IFERROR(__xludf.DUMMYFUNCTION("FILTER(IMPORTRANGE(""https://docs.google.com/spreadsheets/d/1kGrh75X1cNR1D7_FcY9zMnHP8iPO4M5RCRjy6nZY0TY/edit#gid=1248694442"",""Table 1: Study characteristics!O4:O175""), $A63=IMPORTRANGE(""https://docs.google.com/spreadsheets/d/1kGrh75X1cNR1D7_FcY9zMnHP"&amp;"8iPO4M5RCRjy6nZY0TY/edit#gid=1248694442"",""Table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63" s="14" t="str">
        <f>IFERROR(__xludf.DUMMYFUNCTION("IFNA(FILTER(IMPORTRANGE(""https://docs.google.com/spreadsheets/d/1kGrh75X1cNR1D7_FcY9zMnHP8iPO4M5RCRjy6nZY0TY/edit#gid=1248694442"",""Table 3: 1st-line HC!C5:C111""), $A63=IMPORTRANGE(""https://docs.google.com/spreadsheets/d/1kGrh75X1cNR1D7_FcY9zMnHP8iPO4"&amp;"M5RCRjy6nZY0TY/edit#gid=1248694442"",""Table 3: 1st-line HC!A5:A111"")),"""")"),"")</f>
        <v/>
      </c>
      <c r="J63" s="4">
        <f>IFERROR(__xludf.DUMMYFUNCTION("FILTER(IMPORTRANGE(""https://docs.google.com/spreadsheets/d/1kGrh75X1cNR1D7_FcY9zMnHP8iPO4M5RCRjy6nZY0TY/edit#gid=1248694442"",""Table 1: Study characteristics!P4:P175""), $A63=IMPORTRANGE(""https://docs.google.com/spreadsheets/d/1kGrh75X1cNR1D7_FcY9zMnHP"&amp;"8iPO4M5RCRjy6nZY0TY/edit#gid=1248694442"",""Table 1: Study characteristics!A4:A175""))"),68.0)</f>
        <v>68</v>
      </c>
      <c r="K63" s="4" t="str">
        <f>IFERROR(__xludf.DUMMYFUNCTION("FILTER(IMPORTRANGE(""https://docs.google.com/spreadsheets/d/1kGrh75X1cNR1D7_FcY9zMnHP8iPO4M5RCRjy6nZY0TY/edit#gid=1248694442"",""Table 1: Study characteristics!U4:U175""), $A63=IMPORTRANGE(""https://docs.google.com/spreadsheets/d/1kGrh75X1cNR1D7_FcY9zMnHP"&amp;"8iPO4M5RCRjy6nZY0TY/edit#gid=1248694442"",""Table 1: Study characteristics!A4:A175""))"),"")</f>
        <v/>
      </c>
      <c r="L63" s="4" t="str">
        <f>IFERROR(__xludf.DUMMYFUNCTION("FILTER(IMPORTRANGE(""https://docs.google.com/spreadsheets/d/1kGrh75X1cNR1D7_FcY9zMnHP8iPO4M5RCRjy6nZY0TY/edit#gid=1248694442"",""Table 1: Study characteristics!V4:V175""), $A63=IMPORTRANGE(""https://docs.google.com/spreadsheets/d/1kGrh75X1cNR1D7_FcY9zMnHP"&amp;"8iPO4M5RCRjy6nZY0TY/edit#gid=1248694442"",""Table 1: Study characteristics!A4:A175""))"),"")</f>
        <v/>
      </c>
      <c r="M63" s="4" t="str">
        <f>IFERROR(__xludf.DUMMYFUNCTION("FILTER(IMPORTRANGE(""https://docs.google.com/spreadsheets/d/1kGrh75X1cNR1D7_FcY9zMnHP8iPO4M5RCRjy6nZY0TY/edit#gid=1248694442"",""Table 1: Study characteristics!Q4:Q175""), $A63=IMPORTRANGE(""https://docs.google.com/spreadsheets/d/1kGrh75X1cNR1D7_FcY9zMnHP"&amp;"8iPO4M5RCRjy6nZY0TY/edit#gid=1248694442"",""Table 1: Study characteristics!A4:A175""))"),"")</f>
        <v/>
      </c>
      <c r="N63" s="4" t="str">
        <f>IFERROR(__xludf.DUMMYFUNCTION("FILTER(IMPORTRANGE(""https://docs.google.com/spreadsheets/d/1kGrh75X1cNR1D7_FcY9zMnHP8iPO4M5RCRjy6nZY0TY/edit#gid=1248694442"",""Table 1: Study characteristics!R4:R175""), $A63=IMPORTRANGE(""https://docs.google.com/spreadsheets/d/1kGrh75X1cNR1D7_FcY9zMnHP"&amp;"8iPO4M5RCRjy6nZY0TY/edit#gid=1248694442"",""Table 1: Study characteristics!A4:A175""))"),"")</f>
        <v/>
      </c>
      <c r="O63" s="4" t="str">
        <f>IFERROR(__xludf.DUMMYFUNCTION("FILTER(IMPORTRANGE(""https://docs.google.com/spreadsheets/d/1kGrh75X1cNR1D7_FcY9zMnHP8iPO4M5RCRjy6nZY0TY/edit#gid=1248694442"",""Table 1: Study characteristics!S4:S175""), $A63=IMPORTRANGE(""https://docs.google.com/spreadsheets/d/1kGrh75X1cNR1D7_FcY9zMnHP"&amp;"8iPO4M5RCRjy6nZY0TY/edit#gid=1248694442"",""Table 1: Study characteristics!A4:A175""))"),"")</f>
        <v/>
      </c>
      <c r="P63" s="6" t="str">
        <f>IFERROR(__xludf.DUMMYFUNCTION("FILTER(IMPORTRANGE(""https://docs.google.com/spreadsheets/d/1kGrh75X1cNR1D7_FcY9zMnHP8iPO4M5RCRjy6nZY0TY/edit#gid=1248694442"",""Table 1: Study characteristics!T4:T175""), $A63=IMPORTRANGE(""https://docs.google.com/spreadsheets/d/1kGrh75X1cNR1D7_FcY9zMnHP"&amp;"8iPO4M5RCRjy6nZY0TY/edit#gid=1248694442"",""Table 1: Study characteristics!A4:A175""))"),"")</f>
        <v/>
      </c>
      <c r="Q63" s="6" t="str">
        <f>IFERROR(__xludf.DUMMYFUNCTION("FILTER(IMPORTRANGE(""https://docs.google.com/spreadsheets/d/1kGrh75X1cNR1D7_FcY9zMnHP8iPO4M5RCRjy6nZY0TY/edit#gid=1248694442"",""Table 1: Study characteristics!L4:L175""), $A63=IMPORTRANGE(""https://docs.google.com/spreadsheets/d/1kGrh75X1cNR1D7_FcY9zMnHP"&amp;"8iPO4M5RCRjy6nZY0TY/edit#gid=1248694442"",""Table 1: Study characteristics!A4:A175""))"),"")</f>
        <v/>
      </c>
      <c r="R63" s="4" t="str">
        <f>IFERROR(__xludf.DUMMYFUNCTION("FILTER(IMPORTRANGE(""https://docs.google.com/spreadsheets/d/1kGrh75X1cNR1D7_FcY9zMnHP8iPO4M5RCRjy6nZY0TY/edit#gid=1248694442"",""Table 1: Study characteristics!I4:I175""), $A63=IMPORTRANGE(""https://docs.google.com/spreadsheets/d/1kGrh75X1cNR1D7_FcY9zMnHP"&amp;"8iPO4M5RCRjy6nZY0TY/edit#gid=1248694442"",""Table 1: Study characteristics!A4:A175""))"),"English")</f>
        <v>English</v>
      </c>
    </row>
    <row r="64">
      <c r="A64" s="4" t="str">
        <f>IFERROR(__xludf.DUMMYFUNCTION("""COMPUTED_VALUE"""),"ID 132")</f>
        <v>ID 132</v>
      </c>
      <c r="B64" s="13" t="s">
        <v>212</v>
      </c>
      <c r="C64" s="4" t="str">
        <f>IFERROR(__xludf.DUMMYFUNCTION("LEFT(FILTER(IMPORTRANGE(""https://docs.google.com/spreadsheets/d/1kGrh75X1cNR1D7_FcY9zMnHP8iPO4M5RCRjy6nZY0TY/edit#gid=1248694442"",""Table 1: Study characteristics!C4:C175""), $A64=IMPORTRANGE(""https://docs.google.com/spreadsheets/d/1kGrh75X1cNR1D7_FcY9"&amp;"zMnHP8iPO4M5RCRjy6nZY0TY/edit#gid=1248694442"",""Table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$A64=IMPORTRANGE(""https://docs.google.com/spreadsheets/d/1kGrh75X1cNR1D7_FcY9zMnHP8iPO4M5RCRjy6nZY0TY/edit#gid=1248694442"",""Table 1: Study characteristics!A4:A175"")))-1)"),"Machado")</f>
        <v>Machado</v>
      </c>
      <c r="D64" s="4">
        <f>IFERROR(__xludf.DUMMYFUNCTION("FILTER(IMPORTRANGE(""https://docs.google.com/spreadsheets/d/1kGrh75X1cNR1D7_FcY9zMnHP8iPO4M5RCRjy6nZY0TY/edit#gid=1248694442"",""Table 1: Study characteristics!K4:K175""), $A64=IMPORTRANGE(""https://docs.google.com/spreadsheets/d/1kGrh75X1cNR1D7_FcY9zMnHP"&amp;"8iPO4M5RCRjy6nZY0TY/edit#gid=1248694442"",""Table 1: Study characteristics!A4:A175""))"),2004.0)</f>
        <v>2004</v>
      </c>
      <c r="E64" s="4" t="str">
        <f>IFERROR(__xludf.DUMMYFUNCTION("FILTER(IMPORTRANGE(""https://docs.google.com/spreadsheets/d/1kGrh75X1cNR1D7_FcY9zMnHP8iPO4M5RCRjy6nZY0TY/edit#gid=1248694442"",""Table 1: Study characteristics!M4:M175""), $A64=IMPORTRANGE(""https://docs.google.com/spreadsheets/d/1kGrh75X1cNR1D7_FcY9zMnHP"&amp;"8iPO4M5RCRjy6nZY0TY/edit#gid=1248694442"",""Table 1: Study characteristics!A4:A175""))"),"Upper middle income")</f>
        <v>Upper middle income</v>
      </c>
      <c r="F64" s="4" t="str">
        <f>IFERROR(__xludf.DUMMYFUNCTION("FILTER(IMPORTRANGE(""https://docs.google.com/spreadsheets/d/1kGrh75X1cNR1D7_FcY9zMnHP8iPO4M5RCRjy6nZY0TY/edit#gid=1248694442"",""Table 1: Study characteristics!N4:N175""), $A64=IMPORTRANGE(""https://docs.google.com/spreadsheets/d/1kGrh75X1cNR1D7_FcY9zMnHP"&amp;"8iPO4M5RCRjy6nZY0TY/edit#gid=1248694442"",""Table 1: Study characteristics!A4:A175""))"),"Latin America &amp; Caribbean")</f>
        <v>Latin America &amp; Caribbean</v>
      </c>
      <c r="G64" s="4" t="str">
        <f>IFERROR(__xludf.DUMMYFUNCTION("FILTER(IMPORTRANGE(""https://docs.google.com/spreadsheets/d/1kGrh75X1cNR1D7_FcY9zMnHP8iPO4M5RCRjy6nZY0TY/edit#gid=1248694442"",""Table 1: Study characteristics!J4:J175""), $A64=IMPORTRANGE(""https://docs.google.com/spreadsheets/d/1kGrh75X1cNR1D7_FcY9zMnHP"&amp;"8iPO4M5RCRjy6nZY0TY/edit#gid=1248694442"",""Table 1: Study characteristics!A4:A175""))"),"Brazil")</f>
        <v>Brazil</v>
      </c>
      <c r="H64" s="4" t="str">
        <f>IFERROR(__xludf.DUMMYFUNCTION("FILTER(IMPORTRANGE(""https://docs.google.com/spreadsheets/d/1kGrh75X1cNR1D7_FcY9zMnHP8iPO4M5RCRjy6nZY0TY/edit#gid=1248694442"",""Table 1: Study characteristics!O4:O175""), $A64=IMPORTRANGE(""https://docs.google.com/spreadsheets/d/1kGrh75X1cNR1D7_FcY9zMnHP"&amp;"8iPO4M5RCRjy6nZY0TY/edit#gid=1248694442"",""Table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64" s="14" t="str">
        <f>IFERROR(__xludf.DUMMYFUNCTION("IFNA(FILTER(IMPORTRANGE(""https://docs.google.com/spreadsheets/d/1kGrh75X1cNR1D7_FcY9zMnHP8iPO4M5RCRjy6nZY0TY/edit#gid=1248694442"",""Table 3: 1st-line HC!C5:C111""), $A64=IMPORTRANGE(""https://docs.google.com/spreadsheets/d/1kGrh75X1cNR1D7_FcY9zMnHP8iPO4"&amp;"M5RCRjy6nZY0TY/edit#gid=1248694442"",""Table 3: 1st-line HC!A5:A111"")),"""")"),"Selected")</f>
        <v>Selected</v>
      </c>
      <c r="J64" s="4">
        <f>IFERROR(__xludf.DUMMYFUNCTION("FILTER(IMPORTRANGE(""https://docs.google.com/spreadsheets/d/1kGrh75X1cNR1D7_FcY9zMnHP8iPO4M5RCRjy6nZY0TY/edit#gid=1248694442"",""Table 1: Study characteristics!P4:P175""), $A64=IMPORTRANGE(""https://docs.google.com/spreadsheets/d/1kGrh75X1cNR1D7_FcY9zMnHP"&amp;"8iPO4M5RCRjy6nZY0TY/edit#gid=1248694442"",""Table 1: Study characteristics!A4:A175""))"),28.0)</f>
        <v>28</v>
      </c>
      <c r="K64" s="4">
        <f>IFERROR(__xludf.DUMMYFUNCTION("FILTER(IMPORTRANGE(""https://docs.google.com/spreadsheets/d/1kGrh75X1cNR1D7_FcY9zMnHP8iPO4M5RCRjy6nZY0TY/edit#gid=1248694442"",""Table 1: Study characteristics!U4:U175""), $A64=IMPORTRANGE(""https://docs.google.com/spreadsheets/d/1kGrh75X1cNR1D7_FcY9zMnHP"&amp;"8iPO4M5RCRjy6nZY0TY/edit#gid=1248694442"",""Table 1: Study characteristics!A4:A175""))"),6.0)</f>
        <v>6</v>
      </c>
      <c r="L64" s="4">
        <f>IFERROR(__xludf.DUMMYFUNCTION("FILTER(IMPORTRANGE(""https://docs.google.com/spreadsheets/d/1kGrh75X1cNR1D7_FcY9zMnHP8iPO4M5RCRjy6nZY0TY/edit#gid=1248694442"",""Table 1: Study characteristics!V4:V175""), $A64=IMPORTRANGE(""https://docs.google.com/spreadsheets/d/1kGrh75X1cNR1D7_FcY9zMnHP"&amp;"8iPO4M5RCRjy6nZY0TY/edit#gid=1248694442"",""Table 1: Study characteristics!A4:A175""))"),4.0)</f>
        <v>4</v>
      </c>
      <c r="M64" s="4" t="str">
        <f>IFERROR(__xludf.DUMMYFUNCTION("FILTER(IMPORTRANGE(""https://docs.google.com/spreadsheets/d/1kGrh75X1cNR1D7_FcY9zMnHP8iPO4M5RCRjy6nZY0TY/edit#gid=1248694442"",""Table 1: Study characteristics!Q4:Q175""), $A64=IMPORTRANGE(""https://docs.google.com/spreadsheets/d/1kGrh75X1cNR1D7_FcY9zMnHP"&amp;"8iPO4M5RCRjy6nZY0TY/edit#gid=1248694442"",""Table 1: Study characteristics!A4:A175""))"),"")</f>
        <v/>
      </c>
      <c r="N64" s="4" t="str">
        <f>IFERROR(__xludf.DUMMYFUNCTION("FILTER(IMPORTRANGE(""https://docs.google.com/spreadsheets/d/1kGrh75X1cNR1D7_FcY9zMnHP8iPO4M5RCRjy6nZY0TY/edit#gid=1248694442"",""Table 1: Study characteristics!R4:R175""), $A64=IMPORTRANGE(""https://docs.google.com/spreadsheets/d/1kGrh75X1cNR1D7_FcY9zMnHP"&amp;"8iPO4M5RCRjy6nZY0TY/edit#gid=1248694442"",""Table 1: Study characteristics!A4:A175""))"),"")</f>
        <v/>
      </c>
      <c r="O64" s="4" t="str">
        <f>IFERROR(__xludf.DUMMYFUNCTION("FILTER(IMPORTRANGE(""https://docs.google.com/spreadsheets/d/1kGrh75X1cNR1D7_FcY9zMnHP8iPO4M5RCRjy6nZY0TY/edit#gid=1248694442"",""Table 1: Study characteristics!S4:S175""), $A64=IMPORTRANGE(""https://docs.google.com/spreadsheets/d/1kGrh75X1cNR1D7_FcY9zMnHP"&amp;"8iPO4M5RCRjy6nZY0TY/edit#gid=1248694442"",""Table 1: Study characteristics!A4:A175""))"),"")</f>
        <v/>
      </c>
      <c r="P64" s="6" t="str">
        <f>IFERROR(__xludf.DUMMYFUNCTION("FILTER(IMPORTRANGE(""https://docs.google.com/spreadsheets/d/1kGrh75X1cNR1D7_FcY9zMnHP8iPO4M5RCRjy6nZY0TY/edit#gid=1248694442"",""Table 1: Study characteristics!T4:T175""), $A64=IMPORTRANGE(""https://docs.google.com/spreadsheets/d/1kGrh75X1cNR1D7_FcY9zMnHP"&amp;"8iPO4M5RCRjy6nZY0TY/edit#gid=1248694442"",""Table 1: Study characteristics!A4:A175""))"),"")</f>
        <v/>
      </c>
      <c r="Q64" s="6" t="str">
        <f>IFERROR(__xludf.DUMMYFUNCTION("FILTER(IMPORTRANGE(""https://docs.google.com/spreadsheets/d/1kGrh75X1cNR1D7_FcY9zMnHP8iPO4M5RCRjy6nZY0TY/edit#gid=1248694442"",""Table 1: Study characteristics!L4:L175""), $A64=IMPORTRANGE(""https://docs.google.com/spreadsheets/d/1kGrh75X1cNR1D7_FcY9zMnHP"&amp;"8iPO4M5RCRjy6nZY0TY/edit#gid=1248694442"",""Table 1: Study characteristics!A4:A175""))"),"1998-2002")</f>
        <v>1998-2002</v>
      </c>
      <c r="R64" s="4" t="str">
        <f>IFERROR(__xludf.DUMMYFUNCTION("FILTER(IMPORTRANGE(""https://docs.google.com/spreadsheets/d/1kGrh75X1cNR1D7_FcY9zMnHP8iPO4M5RCRjy6nZY0TY/edit#gid=1248694442"",""Table 1: Study characteristics!I4:I175""), $A64=IMPORTRANGE(""https://docs.google.com/spreadsheets/d/1kGrh75X1cNR1D7_FcY9zMnHP"&amp;"8iPO4M5RCRjy6nZY0TY/edit#gid=1248694442"",""Table 1: Study characteristics!A4:A175""))"),"English")</f>
        <v>English</v>
      </c>
    </row>
    <row r="65">
      <c r="A65" s="4" t="str">
        <f>IFERROR(__xludf.DUMMYFUNCTION("""COMPUTED_VALUE"""),"ID 135")</f>
        <v>ID 135</v>
      </c>
      <c r="B65" s="13" t="s">
        <v>213</v>
      </c>
      <c r="C65" s="4" t="str">
        <f>IFERROR(__xludf.DUMMYFUNCTION("LEFT(FILTER(IMPORTRANGE(""https://docs.google.com/spreadsheets/d/1kGrh75X1cNR1D7_FcY9zMnHP8iPO4M5RCRjy6nZY0TY/edit#gid=1248694442"",""Table 1: Study characteristics!C4:C175""), $A65=IMPORTRANGE(""https://docs.google.com/spreadsheets/d/1kGrh75X1cNR1D7_FcY9"&amp;"zMnHP8iPO4M5RCRjy6nZY0TY/edit#gid=1248694442"",""Table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$A65=IMPORTRANGE(""https://docs.google.com/spreadsheets/d/1kGrh75X1cNR1D7_FcY9zMnHP8iPO4M5RCRjy6nZY0TY/edit#gid=1248694442"",""Table 1: Study characteristics!A4:A175"")))-1)"),"Rakeei")</f>
        <v>Rakeei</v>
      </c>
      <c r="D65" s="4">
        <f>IFERROR(__xludf.DUMMYFUNCTION("FILTER(IMPORTRANGE(""https://docs.google.com/spreadsheets/d/1kGrh75X1cNR1D7_FcY9zMnHP8iPO4M5RCRjy6nZY0TY/edit#gid=1248694442"",""Table 1: Study characteristics!K4:K175""), $A65=IMPORTRANGE(""https://docs.google.com/spreadsheets/d/1kGrh75X1cNR1D7_FcY9zMnHP"&amp;"8iPO4M5RCRjy6nZY0TY/edit#gid=1248694442"",""Table 1: Study characteristics!A4:A175""))"),2007.0)</f>
        <v>2007</v>
      </c>
      <c r="E65" s="4" t="str">
        <f>IFERROR(__xludf.DUMMYFUNCTION("FILTER(IMPORTRANGE(""https://docs.google.com/spreadsheets/d/1kGrh75X1cNR1D7_FcY9zMnHP8iPO4M5RCRjy6nZY0TY/edit#gid=1248694442"",""Table 1: Study characteristics!M4:M175""), $A65=IMPORTRANGE(""https://docs.google.com/spreadsheets/d/1kGrh75X1cNR1D7_FcY9zMnHP"&amp;"8iPO4M5RCRjy6nZY0TY/edit#gid=1248694442"",""Table 1: Study characteristics!A4:A175""))"),"Lower middle income")</f>
        <v>Lower middle income</v>
      </c>
      <c r="F65" s="4" t="str">
        <f>IFERROR(__xludf.DUMMYFUNCTION("FILTER(IMPORTRANGE(""https://docs.google.com/spreadsheets/d/1kGrh75X1cNR1D7_FcY9zMnHP8iPO4M5RCRjy6nZY0TY/edit#gid=1248694442"",""Table 1: Study characteristics!N4:N175""), $A65=IMPORTRANGE(""https://docs.google.com/spreadsheets/d/1kGrh75X1cNR1D7_FcY9zMnHP"&amp;"8iPO4M5RCRjy6nZY0TY/edit#gid=1248694442"",""Table 1: Study characteristics!A4:A175""))"),"Middle East &amp; North Africa")</f>
        <v>Middle East &amp; North Africa</v>
      </c>
      <c r="G65" s="4" t="str">
        <f>IFERROR(__xludf.DUMMYFUNCTION("FILTER(IMPORTRANGE(""https://docs.google.com/spreadsheets/d/1kGrh75X1cNR1D7_FcY9zMnHP8iPO4M5RCRjy6nZY0TY/edit#gid=1248694442"",""Table 1: Study characteristics!J4:J175""), $A65=IMPORTRANGE(""https://docs.google.com/spreadsheets/d/1kGrh75X1cNR1D7_FcY9zMnHP"&amp;"8iPO4M5RCRjy6nZY0TY/edit#gid=1248694442"",""Table 1: Study characteristics!A4:A175""))"),"Iran, Islamic Rep.")</f>
        <v>Iran, Islamic Rep.</v>
      </c>
      <c r="H65" s="4" t="str">
        <f>IFERROR(__xludf.DUMMYFUNCTION("FILTER(IMPORTRANGE(""https://docs.google.com/spreadsheets/d/1kGrh75X1cNR1D7_FcY9zMnHP8iPO4M5RCRjy6nZY0TY/edit#gid=1248694442"",""Table 1: Study characteristics!O4:O175""), $A65=IMPORTRANGE(""https://docs.google.com/spreadsheets/d/1kGrh75X1cNR1D7_FcY9zMnHP"&amp;"8iPO4M5RCRjy6nZY0TY/edit#gid=1248694442"",""Table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65" s="14" t="str">
        <f>IFERROR(__xludf.DUMMYFUNCTION("IFNA(FILTER(IMPORTRANGE(""https://docs.google.com/spreadsheets/d/1kGrh75X1cNR1D7_FcY9zMnHP8iPO4M5RCRjy6nZY0TY/edit#gid=1248694442"",""Table 3: 1st-line HC!C5:C111""), $A65=IMPORTRANGE(""https://docs.google.com/spreadsheets/d/1kGrh75X1cNR1D7_FcY9zMnHP8iPO4"&amp;"M5RCRjy6nZY0TY/edit#gid=1248694442"",""Table 3: 1st-line HC!A5:A111"")),"""")"),"Selected")</f>
        <v>Selected</v>
      </c>
      <c r="J65" s="4">
        <f>IFERROR(__xludf.DUMMYFUNCTION("FILTER(IMPORTRANGE(""https://docs.google.com/spreadsheets/d/1kGrh75X1cNR1D7_FcY9zMnHP8iPO4M5RCRjy6nZY0TY/edit#gid=1248694442"",""Table 1: Study characteristics!P4:P175""), $A65=IMPORTRANGE(""https://docs.google.com/spreadsheets/d/1kGrh75X1cNR1D7_FcY9zMnHP"&amp;"8iPO4M5RCRjy6nZY0TY/edit#gid=1248694442"",""Table 1: Study characteristics!A4:A175""))"),23.0)</f>
        <v>23</v>
      </c>
      <c r="K65" s="4" t="str">
        <f>IFERROR(__xludf.DUMMYFUNCTION("FILTER(IMPORTRANGE(""https://docs.google.com/spreadsheets/d/1kGrh75X1cNR1D7_FcY9zMnHP8iPO4M5RCRjy6nZY0TY/edit#gid=1248694442"",""Table 1: Study characteristics!U4:U175""), $A65=IMPORTRANGE(""https://docs.google.com/spreadsheets/d/1kGrh75X1cNR1D7_FcY9zMnHP"&amp;"8iPO4M5RCRjy6nZY0TY/edit#gid=1248694442"",""Table 1: Study characteristics!A4:A175""))"),"")</f>
        <v/>
      </c>
      <c r="L65" s="4" t="str">
        <f>IFERROR(__xludf.DUMMYFUNCTION("FILTER(IMPORTRANGE(""https://docs.google.com/spreadsheets/d/1kGrh75X1cNR1D7_FcY9zMnHP8iPO4M5RCRjy6nZY0TY/edit#gid=1248694442"",""Table 1: Study characteristics!V4:V175""), $A65=IMPORTRANGE(""https://docs.google.com/spreadsheets/d/1kGrh75X1cNR1D7_FcY9zMnHP"&amp;"8iPO4M5RCRjy6nZY0TY/edit#gid=1248694442"",""Table 1: Study characteristics!A4:A175""))"),"")</f>
        <v/>
      </c>
      <c r="M65" s="4" t="str">
        <f>IFERROR(__xludf.DUMMYFUNCTION("FILTER(IMPORTRANGE(""https://docs.google.com/spreadsheets/d/1kGrh75X1cNR1D7_FcY9zMnHP8iPO4M5RCRjy6nZY0TY/edit#gid=1248694442"",""Table 1: Study characteristics!Q4:Q175""), $A65=IMPORTRANGE(""https://docs.google.com/spreadsheets/d/1kGrh75X1cNR1D7_FcY9zMnHP"&amp;"8iPO4M5RCRjy6nZY0TY/edit#gid=1248694442"",""Table 1: Study characteristics!A4:A175""))"),"")</f>
        <v/>
      </c>
      <c r="N65" s="4" t="str">
        <f>IFERROR(__xludf.DUMMYFUNCTION("FILTER(IMPORTRANGE(""https://docs.google.com/spreadsheets/d/1kGrh75X1cNR1D7_FcY9zMnHP8iPO4M5RCRjy6nZY0TY/edit#gid=1248694442"",""Table 1: Study characteristics!R4:R175""), $A65=IMPORTRANGE(""https://docs.google.com/spreadsheets/d/1kGrh75X1cNR1D7_FcY9zMnHP"&amp;"8iPO4M5RCRjy6nZY0TY/edit#gid=1248694442"",""Table 1: Study characteristics!A4:A175""))"),"")</f>
        <v/>
      </c>
      <c r="O65" s="4" t="str">
        <f>IFERROR(__xludf.DUMMYFUNCTION("FILTER(IMPORTRANGE(""https://docs.google.com/spreadsheets/d/1kGrh75X1cNR1D7_FcY9zMnHP8iPO4M5RCRjy6nZY0TY/edit#gid=1248694442"",""Table 1: Study characteristics!S4:S175""), $A65=IMPORTRANGE(""https://docs.google.com/spreadsheets/d/1kGrh75X1cNR1D7_FcY9zMnHP"&amp;"8iPO4M5RCRjy6nZY0TY/edit#gid=1248694442"",""Table 1: Study characteristics!A4:A175""))"),"")</f>
        <v/>
      </c>
      <c r="P65" s="6" t="str">
        <f>IFERROR(__xludf.DUMMYFUNCTION("FILTER(IMPORTRANGE(""https://docs.google.com/spreadsheets/d/1kGrh75X1cNR1D7_FcY9zMnHP8iPO4M5RCRjy6nZY0TY/edit#gid=1248694442"",""Table 1: Study characteristics!T4:T175""), $A65=IMPORTRANGE(""https://docs.google.com/spreadsheets/d/1kGrh75X1cNR1D7_FcY9zMnHP"&amp;"8iPO4M5RCRjy6nZY0TY/edit#gid=1248694442"",""Table 1: Study characteristics!A4:A175""))"),"")</f>
        <v/>
      </c>
      <c r="Q65" s="6" t="str">
        <f>IFERROR(__xludf.DUMMYFUNCTION("FILTER(IMPORTRANGE(""https://docs.google.com/spreadsheets/d/1kGrh75X1cNR1D7_FcY9zMnHP8iPO4M5RCRjy6nZY0TY/edit#gid=1248694442"",""Table 1: Study characteristics!L4:L175""), $A65=IMPORTRANGE(""https://docs.google.com/spreadsheets/d/1kGrh75X1cNR1D7_FcY9zMnHP"&amp;"8iPO4M5RCRjy6nZY0TY/edit#gid=1248694442"",""Table 1: Study characteristics!A4:A175""))"),"1981-2005")</f>
        <v>1981-2005</v>
      </c>
      <c r="R65" s="4" t="str">
        <f>IFERROR(__xludf.DUMMYFUNCTION("FILTER(IMPORTRANGE(""https://docs.google.com/spreadsheets/d/1kGrh75X1cNR1D7_FcY9zMnHP8iPO4M5RCRjy6nZY0TY/edit#gid=1248694442"",""Table 1: Study characteristics!I4:I175""), $A65=IMPORTRANGE(""https://docs.google.com/spreadsheets/d/1kGrh75X1cNR1D7_FcY9zMnHP"&amp;"8iPO4M5RCRjy6nZY0TY/edit#gid=1248694442"",""Table 1: Study characteristics!A4:A175""))"),"English")</f>
        <v>English</v>
      </c>
    </row>
    <row r="66">
      <c r="A66" s="4" t="str">
        <f>IFERROR(__xludf.DUMMYFUNCTION("""COMPUTED_VALUE"""),"ID 146")</f>
        <v>ID 146</v>
      </c>
      <c r="B66" s="13" t="s">
        <v>214</v>
      </c>
      <c r="C66" s="4" t="str">
        <f>IFERROR(__xludf.DUMMYFUNCTION("LEFT(FILTER(IMPORTRANGE(""https://docs.google.com/spreadsheets/d/1kGrh75X1cNR1D7_FcY9zMnHP8iPO4M5RCRjy6nZY0TY/edit#gid=1248694442"",""Table 1: Study characteristics!C4:C175""), $A66=IMPORTRANGE(""https://docs.google.com/spreadsheets/d/1kGrh75X1cNR1D7_FcY9"&amp;"zMnHP8iPO4M5RCRjy6nZY0TY/edit#gid=1248694442"",""Table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$A66=IMPORTRANGE(""https://docs.google.com/spreadsheets/d/1kGrh75X1cNR1D7_FcY9zMnHP8iPO4M5RCRjy6nZY0TY/edit#gid=1248694442"",""Table 1: Study characteristics!A4:A175"")))-1)"),"Oliveira")</f>
        <v>Oliveira</v>
      </c>
      <c r="D66" s="4">
        <f>IFERROR(__xludf.DUMMYFUNCTION("FILTER(IMPORTRANGE(""https://docs.google.com/spreadsheets/d/1kGrh75X1cNR1D7_FcY9zMnHP8iPO4M5RCRjy6nZY0TY/edit#gid=1248694442"",""Table 1: Study characteristics!K4:K175""), $A66=IMPORTRANGE(""https://docs.google.com/spreadsheets/d/1kGrh75X1cNR1D7_FcY9zMnHP"&amp;"8iPO4M5RCRjy6nZY0TY/edit#gid=1248694442"",""Table 1: Study characteristics!A4:A175""))"),2015.0)</f>
        <v>2015</v>
      </c>
      <c r="E66" s="4" t="str">
        <f>IFERROR(__xludf.DUMMYFUNCTION("FILTER(IMPORTRANGE(""https://docs.google.com/spreadsheets/d/1kGrh75X1cNR1D7_FcY9zMnHP8iPO4M5RCRjy6nZY0TY/edit#gid=1248694442"",""Table 1: Study characteristics!M4:M175""), $A66=IMPORTRANGE(""https://docs.google.com/spreadsheets/d/1kGrh75X1cNR1D7_FcY9zMnHP"&amp;"8iPO4M5RCRjy6nZY0TY/edit#gid=1248694442"",""Table 1: Study characteristics!A4:A175""))"),"Upper middle income")</f>
        <v>Upper middle income</v>
      </c>
      <c r="F66" s="4" t="str">
        <f>IFERROR(__xludf.DUMMYFUNCTION("FILTER(IMPORTRANGE(""https://docs.google.com/spreadsheets/d/1kGrh75X1cNR1D7_FcY9zMnHP8iPO4M5RCRjy6nZY0TY/edit#gid=1248694442"",""Table 1: Study characteristics!N4:N175""), $A66=IMPORTRANGE(""https://docs.google.com/spreadsheets/d/1kGrh75X1cNR1D7_FcY9zMnHP"&amp;"8iPO4M5RCRjy6nZY0TY/edit#gid=1248694442"",""Table 1: Study characteristics!A4:A175""))"),"Latin America &amp; Caribbean")</f>
        <v>Latin America &amp; Caribbean</v>
      </c>
      <c r="G66" s="4" t="str">
        <f>IFERROR(__xludf.DUMMYFUNCTION("FILTER(IMPORTRANGE(""https://docs.google.com/spreadsheets/d/1kGrh75X1cNR1D7_FcY9zMnHP8iPO4M5RCRjy6nZY0TY/edit#gid=1248694442"",""Table 1: Study characteristics!J4:J175""), $A66=IMPORTRANGE(""https://docs.google.com/spreadsheets/d/1kGrh75X1cNR1D7_FcY9zMnHP"&amp;"8iPO4M5RCRjy6nZY0TY/edit#gid=1248694442"",""Table 1: Study characteristics!A4:A175""))"),"Brazil")</f>
        <v>Brazil</v>
      </c>
      <c r="H66" s="4" t="str">
        <f>IFERROR(__xludf.DUMMYFUNCTION("FILTER(IMPORTRANGE(""https://docs.google.com/spreadsheets/d/1kGrh75X1cNR1D7_FcY9zMnHP8iPO4M5RCRjy6nZY0TY/edit#gid=1248694442"",""Table 1: Study characteristics!O4:O175""), $A66=IMPORTRANGE(""https://docs.google.com/spreadsheets/d/1kGrh75X1cNR1D7_FcY9zMnHP"&amp;"8iPO4M5RCRjy6nZY0TY/edit#gid=1248694442"",""Table 1: Study characteristics!A4:A175""))"),"RCT")</f>
        <v>RCT</v>
      </c>
      <c r="I66" s="14" t="str">
        <f>IFERROR(__xludf.DUMMYFUNCTION("IFNA(FILTER(IMPORTRANGE(""https://docs.google.com/spreadsheets/d/1kGrh75X1cNR1D7_FcY9zMnHP8iPO4M5RCRjy6nZY0TY/edit#gid=1248694442"",""Table 3: 1st-line HC!C5:C111""), $A66=IMPORTRANGE(""https://docs.google.com/spreadsheets/d/1kGrh75X1cNR1D7_FcY9zMnHP8iPO4"&amp;"M5RCRjy6nZY0TY/edit#gid=1248694442"",""Table 3: 1st-line HC!A5:A111"")),"""")"),"Selected")</f>
        <v>Selected</v>
      </c>
      <c r="J66" s="4">
        <f>IFERROR(__xludf.DUMMYFUNCTION("FILTER(IMPORTRANGE(""https://docs.google.com/spreadsheets/d/1kGrh75X1cNR1D7_FcY9zMnHP8iPO4M5RCRjy6nZY0TY/edit#gid=1248694442"",""Table 1: Study characteristics!P4:P175""), $A66=IMPORTRANGE(""https://docs.google.com/spreadsheets/d/1kGrh75X1cNR1D7_FcY9zMnHP"&amp;"8iPO4M5RCRjy6nZY0TY/edit#gid=1248694442"",""Table 1: Study characteristics!A4:A175""))"),9.0)</f>
        <v>9</v>
      </c>
      <c r="K66" s="4">
        <f>IFERROR(__xludf.DUMMYFUNCTION("FILTER(IMPORTRANGE(""https://docs.google.com/spreadsheets/d/1kGrh75X1cNR1D7_FcY9zMnHP8iPO4M5RCRjy6nZY0TY/edit#gid=1248694442"",""Table 1: Study characteristics!U4:U175""), $A66=IMPORTRANGE(""https://docs.google.com/spreadsheets/d/1kGrh75X1cNR1D7_FcY9zMnHP"&amp;"8iPO4M5RCRjy6nZY0TY/edit#gid=1248694442"",""Table 1: Study characteristics!A4:A175""))"),2.0)</f>
        <v>2</v>
      </c>
      <c r="L66" s="4">
        <f>IFERROR(__xludf.DUMMYFUNCTION("FILTER(IMPORTRANGE(""https://docs.google.com/spreadsheets/d/1kGrh75X1cNR1D7_FcY9zMnHP8iPO4M5RCRjy6nZY0TY/edit#gid=1248694442"",""Table 1: Study characteristics!V4:V175""), $A66=IMPORTRANGE(""https://docs.google.com/spreadsheets/d/1kGrh75X1cNR1D7_FcY9zMnHP"&amp;"8iPO4M5RCRjy6nZY0TY/edit#gid=1248694442"",""Table 1: Study characteristics!A4:A175""))"),7.0)</f>
        <v>7</v>
      </c>
      <c r="M66" s="4">
        <f>IFERROR(__xludf.DUMMYFUNCTION("FILTER(IMPORTRANGE(""https://docs.google.com/spreadsheets/d/1kGrh75X1cNR1D7_FcY9zMnHP8iPO4M5RCRjy6nZY0TY/edit#gid=1248694442"",""Table 1: Study characteristics!Q4:Q175""), $A66=IMPORTRANGE(""https://docs.google.com/spreadsheets/d/1kGrh75X1cNR1D7_FcY9zMnHP"&amp;"8iPO4M5RCRjy6nZY0TY/edit#gid=1248694442"",""Table 1: Study characteristics!A4:A175""))"),123.0)</f>
        <v>123</v>
      </c>
      <c r="N66" s="4">
        <f>IFERROR(__xludf.DUMMYFUNCTION("FILTER(IMPORTRANGE(""https://docs.google.com/spreadsheets/d/1kGrh75X1cNR1D7_FcY9zMnHP8iPO4M5RCRjy6nZY0TY/edit#gid=1248694442"",""Table 1: Study characteristics!R4:R175""), $A66=IMPORTRANGE(""https://docs.google.com/spreadsheets/d/1kGrh75X1cNR1D7_FcY9zMnHP"&amp;"8iPO4M5RCRjy6nZY0TY/edit#gid=1248694442"",""Table 1: Study characteristics!A4:A175""))"),121.0)</f>
        <v>121</v>
      </c>
      <c r="O66" s="4" t="str">
        <f>IFERROR(__xludf.DUMMYFUNCTION("FILTER(IMPORTRANGE(""https://docs.google.com/spreadsheets/d/1kGrh75X1cNR1D7_FcY9zMnHP8iPO4M5RCRjy6nZY0TY/edit#gid=1248694442"",""Table 1: Study characteristics!S4:S175""), $A66=IMPORTRANGE(""https://docs.google.com/spreadsheets/d/1kGrh75X1cNR1D7_FcY9zMnHP"&amp;"8iPO4M5RCRjy6nZY0TY/edit#gid=1248694442"",""Table 1: Study characteristics!A4:A175""))"),"")</f>
        <v/>
      </c>
      <c r="P66" s="6" t="str">
        <f>IFERROR(__xludf.DUMMYFUNCTION("FILTER(IMPORTRANGE(""https://docs.google.com/spreadsheets/d/1kGrh75X1cNR1D7_FcY9zMnHP8iPO4M5RCRjy6nZY0TY/edit#gid=1248694442"",""Table 1: Study characteristics!T4:T175""), $A66=IMPORTRANGE(""https://docs.google.com/spreadsheets/d/1kGrh75X1cNR1D7_FcY9zMnHP"&amp;"8iPO4M5RCRjy6nZY0TY/edit#gid=1248694442"",""Table 1: Study characteristics!A4:A175""))"),"30-182.5")</f>
        <v>30-182.5</v>
      </c>
      <c r="Q66" s="6" t="str">
        <f>IFERROR(__xludf.DUMMYFUNCTION("FILTER(IMPORTRANGE(""https://docs.google.com/spreadsheets/d/1kGrh75X1cNR1D7_FcY9zMnHP8iPO4M5RCRjy6nZY0TY/edit#gid=1248694442"",""Table 1: Study characteristics!L4:L175""), $A66=IMPORTRANGE(""https://docs.google.com/spreadsheets/d/1kGrh75X1cNR1D7_FcY9zMnHP"&amp;"8iPO4M5RCRjy6nZY0TY/edit#gid=1248694442"",""Table 1: Study characteristics!A4:A175""))"),"2010-2012")</f>
        <v>2010-2012</v>
      </c>
      <c r="R66" s="4" t="str">
        <f>IFERROR(__xludf.DUMMYFUNCTION("FILTER(IMPORTRANGE(""https://docs.google.com/spreadsheets/d/1kGrh75X1cNR1D7_FcY9zMnHP8iPO4M5RCRjy6nZY0TY/edit#gid=1248694442"",""Table 1: Study characteristics!I4:I175""), $A66=IMPORTRANGE(""https://docs.google.com/spreadsheets/d/1kGrh75X1cNR1D7_FcY9zMnHP"&amp;"8iPO4M5RCRjy6nZY0TY/edit#gid=1248694442"",""Table 1: Study characteristics!A4:A175""))"),"English")</f>
        <v>English</v>
      </c>
    </row>
    <row r="67">
      <c r="A67" s="4" t="str">
        <f>IFERROR(__xludf.DUMMYFUNCTION("""COMPUTED_VALUE"""),"ID 149")</f>
        <v>ID 149</v>
      </c>
      <c r="B67" s="13" t="s">
        <v>215</v>
      </c>
      <c r="C67" s="4" t="str">
        <f>IFERROR(__xludf.DUMMYFUNCTION("LEFT(FILTER(IMPORTRANGE(""https://docs.google.com/spreadsheets/d/1kGrh75X1cNR1D7_FcY9zMnHP8iPO4M5RCRjy6nZY0TY/edit#gid=1248694442"",""Table 1: Study characteristics!C4:C175""), $A67=IMPORTRANGE(""https://docs.google.com/spreadsheets/d/1kGrh75X1cNR1D7_FcY9"&amp;"zMnHP8iPO4M5RCRjy6nZY0TY/edit#gid=1248694442"",""Table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$A67=IMPORTRANGE(""https://docs.google.com/spreadsheets/d/1kGrh75X1cNR1D7_FcY9zMnHP8iPO4M5RCRjy6nZY0TY/edit#gid=1248694442"",""Table 1: Study characteristics!A4:A175"")))-1)"),"Pinto")</f>
        <v>Pinto</v>
      </c>
      <c r="D67" s="4">
        <f>IFERROR(__xludf.DUMMYFUNCTION("FILTER(IMPORTRANGE(""https://docs.google.com/spreadsheets/d/1kGrh75X1cNR1D7_FcY9zMnHP8iPO4M5RCRjy6nZY0TY/edit#gid=1248694442"",""Table 1: Study characteristics!K4:K175""), $A67=IMPORTRANGE(""https://docs.google.com/spreadsheets/d/1kGrh75X1cNR1D7_FcY9zMnHP"&amp;"8iPO4M5RCRjy6nZY0TY/edit#gid=1248694442"",""Table 1: Study characteristics!A4:A175""))"),2009.0)</f>
        <v>2009</v>
      </c>
      <c r="E67" s="4" t="str">
        <f>IFERROR(__xludf.DUMMYFUNCTION("FILTER(IMPORTRANGE(""https://docs.google.com/spreadsheets/d/1kGrh75X1cNR1D7_FcY9zMnHP8iPO4M5RCRjy6nZY0TY/edit#gid=1248694442"",""Table 1: Study characteristics!M4:M175""), $A67=IMPORTRANGE(""https://docs.google.com/spreadsheets/d/1kGrh75X1cNR1D7_FcY9zMnHP"&amp;"8iPO4M5RCRjy6nZY0TY/edit#gid=1248694442"",""Table 1: Study characteristics!A4:A175""))"),"Upper middle income")</f>
        <v>Upper middle income</v>
      </c>
      <c r="F67" s="4" t="str">
        <f>IFERROR(__xludf.DUMMYFUNCTION("FILTER(IMPORTRANGE(""https://docs.google.com/spreadsheets/d/1kGrh75X1cNR1D7_FcY9zMnHP8iPO4M5RCRjy6nZY0TY/edit#gid=1248694442"",""Table 1: Study characteristics!N4:N175""), $A67=IMPORTRANGE(""https://docs.google.com/spreadsheets/d/1kGrh75X1cNR1D7_FcY9zMnHP"&amp;"8iPO4M5RCRjy6nZY0TY/edit#gid=1248694442"",""Table 1: Study characteristics!A4:A175""))"),"Latin America &amp; Caribbean")</f>
        <v>Latin America &amp; Caribbean</v>
      </c>
      <c r="G67" s="4" t="str">
        <f>IFERROR(__xludf.DUMMYFUNCTION("FILTER(IMPORTRANGE(""https://docs.google.com/spreadsheets/d/1kGrh75X1cNR1D7_FcY9zMnHP8iPO4M5RCRjy6nZY0TY/edit#gid=1248694442"",""Table 1: Study characteristics!J4:J175""), $A67=IMPORTRANGE(""https://docs.google.com/spreadsheets/d/1kGrh75X1cNR1D7_FcY9zMnHP"&amp;"8iPO4M5RCRjy6nZY0TY/edit#gid=1248694442"",""Table 1: Study characteristics!A4:A175""))"),"Brazil")</f>
        <v>Brazil</v>
      </c>
      <c r="H67" s="4" t="str">
        <f>IFERROR(__xludf.DUMMYFUNCTION("FILTER(IMPORTRANGE(""https://docs.google.com/spreadsheets/d/1kGrh75X1cNR1D7_FcY9zMnHP8iPO4M5RCRjy6nZY0TY/edit#gid=1248694442"",""Table 1: Study characteristics!O4:O175""), $A67=IMPORTRANGE(""https://docs.google.com/spreadsheets/d/1kGrh75X1cNR1D7_FcY9zMnHP"&amp;"8iPO4M5RCRjy6nZY0TY/edit#gid=1248694442"",""Table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67" s="14" t="str">
        <f>IFERROR(__xludf.DUMMYFUNCTION("IFNA(FILTER(IMPORTRANGE(""https://docs.google.com/spreadsheets/d/1kGrh75X1cNR1D7_FcY9zMnHP8iPO4M5RCRjy6nZY0TY/edit#gid=1248694442"",""Table 3: 1st-line HC!C5:C111""), $A67=IMPORTRANGE(""https://docs.google.com/spreadsheets/d/1kGrh75X1cNR1D7_FcY9zMnHP8iPO4"&amp;"M5RCRjy6nZY0TY/edit#gid=1248694442"",""Table 3: 1st-line HC!A5:A111"")),"""")"),"Selected")</f>
        <v>Selected</v>
      </c>
      <c r="J67" s="4">
        <f>IFERROR(__xludf.DUMMYFUNCTION("FILTER(IMPORTRANGE(""https://docs.google.com/spreadsheets/d/1kGrh75X1cNR1D7_FcY9zMnHP8iPO4M5RCRjy6nZY0TY/edit#gid=1248694442"",""Table 1: Study characteristics!P4:P175""), $A67=IMPORTRANGE(""https://docs.google.com/spreadsheets/d/1kGrh75X1cNR1D7_FcY9zMnHP"&amp;"8iPO4M5RCRjy6nZY0TY/edit#gid=1248694442"",""Table 1: Study characteristics!A4:A175""))"),37.0)</f>
        <v>37</v>
      </c>
      <c r="K67" s="4" t="str">
        <f>IFERROR(__xludf.DUMMYFUNCTION("FILTER(IMPORTRANGE(""https://docs.google.com/spreadsheets/d/1kGrh75X1cNR1D7_FcY9zMnHP8iPO4M5RCRjy6nZY0TY/edit#gid=1248694442"",""Table 1: Study characteristics!U4:U175""), $A67=IMPORTRANGE(""https://docs.google.com/spreadsheets/d/1kGrh75X1cNR1D7_FcY9zMnHP"&amp;"8iPO4M5RCRjy6nZY0TY/edit#gid=1248694442"",""Table 1: Study characteristics!A4:A175""))"),"")</f>
        <v/>
      </c>
      <c r="L67" s="4" t="str">
        <f>IFERROR(__xludf.DUMMYFUNCTION("FILTER(IMPORTRANGE(""https://docs.google.com/spreadsheets/d/1kGrh75X1cNR1D7_FcY9zMnHP8iPO4M5RCRjy6nZY0TY/edit#gid=1248694442"",""Table 1: Study characteristics!V4:V175""), $A67=IMPORTRANGE(""https://docs.google.com/spreadsheets/d/1kGrh75X1cNR1D7_FcY9zMnHP"&amp;"8iPO4M5RCRjy6nZY0TY/edit#gid=1248694442"",""Table 1: Study characteristics!A4:A175""))"),"")</f>
        <v/>
      </c>
      <c r="M67" s="4" t="str">
        <f>IFERROR(__xludf.DUMMYFUNCTION("FILTER(IMPORTRANGE(""https://docs.google.com/spreadsheets/d/1kGrh75X1cNR1D7_FcY9zMnHP8iPO4M5RCRjy6nZY0TY/edit#gid=1248694442"",""Table 1: Study characteristics!Q4:Q175""), $A67=IMPORTRANGE(""https://docs.google.com/spreadsheets/d/1kGrh75X1cNR1D7_FcY9zMnHP"&amp;"8iPO4M5RCRjy6nZY0TY/edit#gid=1248694442"",""Table 1: Study characteristics!A4:A175""))"),"")</f>
        <v/>
      </c>
      <c r="N67" s="4" t="str">
        <f>IFERROR(__xludf.DUMMYFUNCTION("FILTER(IMPORTRANGE(""https://docs.google.com/spreadsheets/d/1kGrh75X1cNR1D7_FcY9zMnHP8iPO4M5RCRjy6nZY0TY/edit#gid=1248694442"",""Table 1: Study characteristics!R4:R175""), $A67=IMPORTRANGE(""https://docs.google.com/spreadsheets/d/1kGrh75X1cNR1D7_FcY9zMnHP"&amp;"8iPO4M5RCRjy6nZY0TY/edit#gid=1248694442"",""Table 1: Study characteristics!A4:A175""))"),"")</f>
        <v/>
      </c>
      <c r="O67" s="4" t="str">
        <f>IFERROR(__xludf.DUMMYFUNCTION("FILTER(IMPORTRANGE(""https://docs.google.com/spreadsheets/d/1kGrh75X1cNR1D7_FcY9zMnHP8iPO4M5RCRjy6nZY0TY/edit#gid=1248694442"",""Table 1: Study characteristics!S4:S175""), $A67=IMPORTRANGE(""https://docs.google.com/spreadsheets/d/1kGrh75X1cNR1D7_FcY9zMnHP"&amp;"8iPO4M5RCRjy6nZY0TY/edit#gid=1248694442"",""Table 1: Study characteristics!A4:A175""))"),"")</f>
        <v/>
      </c>
      <c r="P67" s="6" t="str">
        <f>IFERROR(__xludf.DUMMYFUNCTION("FILTER(IMPORTRANGE(""https://docs.google.com/spreadsheets/d/1kGrh75X1cNR1D7_FcY9zMnHP8iPO4M5RCRjy6nZY0TY/edit#gid=1248694442"",""Table 1: Study characteristics!T4:T175""), $A67=IMPORTRANGE(""https://docs.google.com/spreadsheets/d/1kGrh75X1cNR1D7_FcY9zMnHP"&amp;"8iPO4M5RCRjy6nZY0TY/edit#gid=1248694442"",""Table 1: Study characteristics!A4:A175""))"),"")</f>
        <v/>
      </c>
      <c r="Q67" s="6" t="str">
        <f>IFERROR(__xludf.DUMMYFUNCTION("FILTER(IMPORTRANGE(""https://docs.google.com/spreadsheets/d/1kGrh75X1cNR1D7_FcY9zMnHP8iPO4M5RCRjy6nZY0TY/edit#gid=1248694442"",""Table 1: Study characteristics!L4:L175""), $A67=IMPORTRANGE(""https://docs.google.com/spreadsheets/d/1kGrh75X1cNR1D7_FcY9zMnHP"&amp;"8iPO4M5RCRjy6nZY0TY/edit#gid=1248694442"",""Table 1: Study characteristics!A4:A175""))"),"1999-2006")</f>
        <v>1999-2006</v>
      </c>
      <c r="R67" s="4" t="str">
        <f>IFERROR(__xludf.DUMMYFUNCTION("FILTER(IMPORTRANGE(""https://docs.google.com/spreadsheets/d/1kGrh75X1cNR1D7_FcY9zMnHP8iPO4M5RCRjy6nZY0TY/edit#gid=1248694442"",""Table 1: Study characteristics!I4:I175""), $A67=IMPORTRANGE(""https://docs.google.com/spreadsheets/d/1kGrh75X1cNR1D7_FcY9zMnHP"&amp;"8iPO4M5RCRjy6nZY0TY/edit#gid=1248694442"",""Table 1: Study characteristics!A4:A175""))"),"English")</f>
        <v>English</v>
      </c>
    </row>
    <row r="68">
      <c r="A68" s="4" t="str">
        <f>IFERROR(__xludf.DUMMYFUNCTION("""COMPUTED_VALUE"""),"ID 151")</f>
        <v>ID 151</v>
      </c>
      <c r="B68" s="13" t="s">
        <v>216</v>
      </c>
      <c r="C68" s="4" t="str">
        <f>IFERROR(__xludf.DUMMYFUNCTION("LEFT(FILTER(IMPORTRANGE(""https://docs.google.com/spreadsheets/d/1kGrh75X1cNR1D7_FcY9zMnHP8iPO4M5RCRjy6nZY0TY/edit#gid=1248694442"",""Table 1: Study characteristics!C4:C175""), $A68=IMPORTRANGE(""https://docs.google.com/spreadsheets/d/1kGrh75X1cNR1D7_FcY9"&amp;"zMnHP8iPO4M5RCRjy6nZY0TY/edit#gid=1248694442"",""Table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$A68=IMPORTRANGE(""https://docs.google.com/spreadsheets/d/1kGrh75X1cNR1D7_FcY9zMnHP8iPO4M5RCRjy6nZY0TY/edit#gid=1248694442"",""Table 1: Study characteristics!A4:A175"")))-1)"),"Gurbuz")</f>
        <v>Gurbuz</v>
      </c>
      <c r="D68" s="4">
        <f>IFERROR(__xludf.DUMMYFUNCTION("FILTER(IMPORTRANGE(""https://docs.google.com/spreadsheets/d/1kGrh75X1cNR1D7_FcY9zMnHP8iPO4M5RCRjy6nZY0TY/edit#gid=1248694442"",""Table 1: Study characteristics!K4:K175""), $A68=IMPORTRANGE(""https://docs.google.com/spreadsheets/d/1kGrh75X1cNR1D7_FcY9zMnHP"&amp;"8iPO4M5RCRjy6nZY0TY/edit#gid=1248694442"",""Table 1: Study characteristics!A4:A175""))"),2020.0)</f>
        <v>2020</v>
      </c>
      <c r="E68" s="4" t="str">
        <f>IFERROR(__xludf.DUMMYFUNCTION("FILTER(IMPORTRANGE(""https://docs.google.com/spreadsheets/d/1kGrh75X1cNR1D7_FcY9zMnHP8iPO4M5RCRjy6nZY0TY/edit#gid=1248694442"",""Table 1: Study characteristics!M4:M175""), $A68=IMPORTRANGE(""https://docs.google.com/spreadsheets/d/1kGrh75X1cNR1D7_FcY9zMnHP"&amp;"8iPO4M5RCRjy6nZY0TY/edit#gid=1248694442"",""Table 1: Study characteristics!A4:A175""))"),"Upper middle income")</f>
        <v>Upper middle income</v>
      </c>
      <c r="F68" s="4" t="str">
        <f>IFERROR(__xludf.DUMMYFUNCTION("FILTER(IMPORTRANGE(""https://docs.google.com/spreadsheets/d/1kGrh75X1cNR1D7_FcY9zMnHP8iPO4M5RCRjy6nZY0TY/edit#gid=1248694442"",""Table 1: Study characteristics!N4:N175""), $A68=IMPORTRANGE(""https://docs.google.com/spreadsheets/d/1kGrh75X1cNR1D7_FcY9zMnHP"&amp;"8iPO4M5RCRjy6nZY0TY/edit#gid=1248694442"",""Table 1: Study characteristics!A4:A175""))"),"Europe &amp; Central Asia")</f>
        <v>Europe &amp; Central Asia</v>
      </c>
      <c r="G68" s="4" t="str">
        <f>IFERROR(__xludf.DUMMYFUNCTION("FILTER(IMPORTRANGE(""https://docs.google.com/spreadsheets/d/1kGrh75X1cNR1D7_FcY9zMnHP8iPO4M5RCRjy6nZY0TY/edit#gid=1248694442"",""Table 1: Study characteristics!J4:J175""), $A68=IMPORTRANGE(""https://docs.google.com/spreadsheets/d/1kGrh75X1cNR1D7_FcY9zMnHP"&amp;"8iPO4M5RCRjy6nZY0TY/edit#gid=1248694442"",""Table 1: Study characteristics!A4:A175""))"),"Turkey")</f>
        <v>Turkey</v>
      </c>
      <c r="H68" s="4" t="str">
        <f>IFERROR(__xludf.DUMMYFUNCTION("FILTER(IMPORTRANGE(""https://docs.google.com/spreadsheets/d/1kGrh75X1cNR1D7_FcY9zMnHP8iPO4M5RCRjy6nZY0TY/edit#gid=1248694442"",""Table 1: Study characteristics!O4:O175""), $A68=IMPORTRANGE(""https://docs.google.com/spreadsheets/d/1kGrh75X1cNR1D7_FcY9zMnHP"&amp;"8iPO4M5RCRjy6nZY0TY/edit#gid=1248694442"",""Table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68" s="14" t="str">
        <f>IFERROR(__xludf.DUMMYFUNCTION("IFNA(FILTER(IMPORTRANGE(""https://docs.google.com/spreadsheets/d/1kGrh75X1cNR1D7_FcY9zMnHP8iPO4M5RCRjy6nZY0TY/edit#gid=1248694442"",""Table 3: 1st-line HC!C5:C111""), $A68=IMPORTRANGE(""https://docs.google.com/spreadsheets/d/1kGrh75X1cNR1D7_FcY9zMnHP8iPO4"&amp;"M5RCRjy6nZY0TY/edit#gid=1248694442"",""Table 3: 1st-line HC!A5:A111"")),"""")"),"Selected")</f>
        <v>Selected</v>
      </c>
      <c r="J68" s="4">
        <f>IFERROR(__xludf.DUMMYFUNCTION("FILTER(IMPORTRANGE(""https://docs.google.com/spreadsheets/d/1kGrh75X1cNR1D7_FcY9zMnHP8iPO4M5RCRjy6nZY0TY/edit#gid=1248694442"",""Table 1: Study characteristics!P4:P175""), $A68=IMPORTRANGE(""https://docs.google.com/spreadsheets/d/1kGrh75X1cNR1D7_FcY9zMnHP"&amp;"8iPO4M5RCRjy6nZY0TY/edit#gid=1248694442"",""Table 1: Study characteristics!A4:A175""))"),67.0)</f>
        <v>67</v>
      </c>
      <c r="K68" s="4">
        <f>IFERROR(__xludf.DUMMYFUNCTION("FILTER(IMPORTRANGE(""https://docs.google.com/spreadsheets/d/1kGrh75X1cNR1D7_FcY9zMnHP8iPO4M5RCRjy6nZY0TY/edit#gid=1248694442"",""Table 1: Study characteristics!U4:U175""), $A68=IMPORTRANGE(""https://docs.google.com/spreadsheets/d/1kGrh75X1cNR1D7_FcY9zMnHP"&amp;"8iPO4M5RCRjy6nZY0TY/edit#gid=1248694442"",""Table 1: Study characteristics!A4:A175""))"),31.0)</f>
        <v>31</v>
      </c>
      <c r="L68" s="4">
        <f>IFERROR(__xludf.DUMMYFUNCTION("FILTER(IMPORTRANGE(""https://docs.google.com/spreadsheets/d/1kGrh75X1cNR1D7_FcY9zMnHP8iPO4M5RCRjy6nZY0TY/edit#gid=1248694442"",""Table 1: Study characteristics!V4:V175""), $A68=IMPORTRANGE(""https://docs.google.com/spreadsheets/d/1kGrh75X1cNR1D7_FcY9zMnHP"&amp;"8iPO4M5RCRjy6nZY0TY/edit#gid=1248694442"",""Table 1: Study characteristics!A4:A175""))"),36.0)</f>
        <v>36</v>
      </c>
      <c r="M68" s="4" t="str">
        <f>IFERROR(__xludf.DUMMYFUNCTION("FILTER(IMPORTRANGE(""https://docs.google.com/spreadsheets/d/1kGrh75X1cNR1D7_FcY9zMnHP8iPO4M5RCRjy6nZY0TY/edit#gid=1248694442"",""Table 1: Study characteristics!Q4:Q175""), $A68=IMPORTRANGE(""https://docs.google.com/spreadsheets/d/1kGrh75X1cNR1D7_FcY9zMnHP"&amp;"8iPO4M5RCRjy6nZY0TY/edit#gid=1248694442"",""Table 1: Study characteristics!A4:A175""))"),"")</f>
        <v/>
      </c>
      <c r="N68" s="4" t="str">
        <f>IFERROR(__xludf.DUMMYFUNCTION("FILTER(IMPORTRANGE(""https://docs.google.com/spreadsheets/d/1kGrh75X1cNR1D7_FcY9zMnHP8iPO4M5RCRjy6nZY0TY/edit#gid=1248694442"",""Table 1: Study characteristics!R4:R175""), $A68=IMPORTRANGE(""https://docs.google.com/spreadsheets/d/1kGrh75X1cNR1D7_FcY9zMnHP"&amp;"8iPO4M5RCRjy6nZY0TY/edit#gid=1248694442"",""Table 1: Study characteristics!A4:A175""))"),"")</f>
        <v/>
      </c>
      <c r="O68" s="4" t="str">
        <f>IFERROR(__xludf.DUMMYFUNCTION("FILTER(IMPORTRANGE(""https://docs.google.com/spreadsheets/d/1kGrh75X1cNR1D7_FcY9zMnHP8iPO4M5RCRjy6nZY0TY/edit#gid=1248694442"",""Table 1: Study characteristics!S4:S175""), $A68=IMPORTRANGE(""https://docs.google.com/spreadsheets/d/1kGrh75X1cNR1D7_FcY9zMnHP"&amp;"8iPO4M5RCRjy6nZY0TY/edit#gid=1248694442"",""Table 1: Study characteristics!A4:A175""))"),"")</f>
        <v/>
      </c>
      <c r="P68" s="6" t="str">
        <f>IFERROR(__xludf.DUMMYFUNCTION("FILTER(IMPORTRANGE(""https://docs.google.com/spreadsheets/d/1kGrh75X1cNR1D7_FcY9zMnHP8iPO4M5RCRjy6nZY0TY/edit#gid=1248694442"",""Table 1: Study characteristics!T4:T175""), $A68=IMPORTRANGE(""https://docs.google.com/spreadsheets/d/1kGrh75X1cNR1D7_FcY9zMnHP"&amp;"8iPO4M5RCRjy6nZY0TY/edit#gid=1248694442"",""Table 1: Study characteristics!A4:A175""))"),"0-14")</f>
        <v>0-14</v>
      </c>
      <c r="Q68" s="6" t="str">
        <f>IFERROR(__xludf.DUMMYFUNCTION("FILTER(IMPORTRANGE(""https://docs.google.com/spreadsheets/d/1kGrh75X1cNR1D7_FcY9zMnHP8iPO4M5RCRjy6nZY0TY/edit#gid=1248694442"",""Table 1: Study characteristics!L4:L175""), $A68=IMPORTRANGE(""https://docs.google.com/spreadsheets/d/1kGrh75X1cNR1D7_FcY9zMnHP"&amp;"8iPO4M5RCRjy6nZY0TY/edit#gid=1248694442"",""Table 1: Study characteristics!A4:A175""))"),"2010-2017")</f>
        <v>2010-2017</v>
      </c>
      <c r="R68" s="4" t="str">
        <f>IFERROR(__xludf.DUMMYFUNCTION("FILTER(IMPORTRANGE(""https://docs.google.com/spreadsheets/d/1kGrh75X1cNR1D7_FcY9zMnHP8iPO4M5RCRjy6nZY0TY/edit#gid=1248694442"",""Table 1: Study characteristics!I4:I175""), $A68=IMPORTRANGE(""https://docs.google.com/spreadsheets/d/1kGrh75X1cNR1D7_FcY9zMnHP"&amp;"8iPO4M5RCRjy6nZY0TY/edit#gid=1248694442"",""Table 1: Study characteristics!A4:A175""))"),"English")</f>
        <v>English</v>
      </c>
    </row>
    <row r="69">
      <c r="A69" s="4" t="str">
        <f>IFERROR(__xludf.DUMMYFUNCTION("""COMPUTED_VALUE"""),"ID 152")</f>
        <v>ID 152</v>
      </c>
      <c r="B69" s="13" t="s">
        <v>217</v>
      </c>
      <c r="C69" s="4" t="str">
        <f>IFERROR(__xludf.DUMMYFUNCTION("LEFT(FILTER(IMPORTRANGE(""https://docs.google.com/spreadsheets/d/1kGrh75X1cNR1D7_FcY9zMnHP8iPO4M5RCRjy6nZY0TY/edit#gid=1248694442"",""Table 1: Study characteristics!C4:C175""), $A69=IMPORTRANGE(""https://docs.google.com/spreadsheets/d/1kGrh75X1cNR1D7_FcY9"&amp;"zMnHP8iPO4M5RCRjy6nZY0TY/edit#gid=1248694442"",""Table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$A69=IMPORTRANGE(""https://docs.google.com/spreadsheets/d/1kGrh75X1cNR1D7_FcY9zMnHP8iPO4M5RCRjy6nZY0TY/edit#gid=1248694442"",""Table 1: Study characteristics!A4:A175"")))-1)"),"Jernigan")</f>
        <v>Jernigan</v>
      </c>
      <c r="D69" s="4">
        <f>IFERROR(__xludf.DUMMYFUNCTION("FILTER(IMPORTRANGE(""https://docs.google.com/spreadsheets/d/1kGrh75X1cNR1D7_FcY9zMnHP8iPO4M5RCRjy6nZY0TY/edit#gid=1248694442"",""Table 1: Study characteristics!K4:K175""), $A69=IMPORTRANGE(""https://docs.google.com/spreadsheets/d/1kGrh75X1cNR1D7_FcY9zMnHP"&amp;"8iPO4M5RCRjy6nZY0TY/edit#gid=1248694442"",""Table 1: Study characteristics!A4:A175""))"),2014.0)</f>
        <v>2014</v>
      </c>
      <c r="E69" s="4" t="str">
        <f>IFERROR(__xludf.DUMMYFUNCTION("FILTER(IMPORTRANGE(""https://docs.google.com/spreadsheets/d/1kGrh75X1cNR1D7_FcY9zMnHP8iPO4M5RCRjy6nZY0TY/edit#gid=1248694442"",""Table 1: Study characteristics!M4:M175""), $A69=IMPORTRANGE(""https://docs.google.com/spreadsheets/d/1kGrh75X1cNR1D7_FcY9zMnHP"&amp;"8iPO4M5RCRjy6nZY0TY/edit#gid=1248694442"",""Table 1: Study characteristics!A4:A175""))"),"High income")</f>
        <v>High income</v>
      </c>
      <c r="F69" s="4" t="str">
        <f>IFERROR(__xludf.DUMMYFUNCTION("FILTER(IMPORTRANGE(""https://docs.google.com/spreadsheets/d/1kGrh75X1cNR1D7_FcY9zMnHP8iPO4M5RCRjy6nZY0TY/edit#gid=1248694442"",""Table 1: Study characteristics!N4:N175""), $A69=IMPORTRANGE(""https://docs.google.com/spreadsheets/d/1kGrh75X1cNR1D7_FcY9zMnHP"&amp;"8iPO4M5RCRjy6nZY0TY/edit#gid=1248694442"",""Table 1: Study characteristics!A4:A175""))"),"North America")</f>
        <v>North America</v>
      </c>
      <c r="G69" s="4" t="str">
        <f>IFERROR(__xludf.DUMMYFUNCTION("FILTER(IMPORTRANGE(""https://docs.google.com/spreadsheets/d/1kGrh75X1cNR1D7_FcY9zMnHP8iPO4M5RCRjy6nZY0TY/edit#gid=1248694442"",""Table 1: Study characteristics!J4:J175""), $A69=IMPORTRANGE(""https://docs.google.com/spreadsheets/d/1kGrh75X1cNR1D7_FcY9zMnHP"&amp;"8iPO4M5RCRjy6nZY0TY/edit#gid=1248694442"",""Table 1: Study characteristics!A4:A175""))"),"United States")</f>
        <v>United States</v>
      </c>
      <c r="H69" s="4" t="str">
        <f>IFERROR(__xludf.DUMMYFUNCTION("FILTER(IMPORTRANGE(""https://docs.google.com/spreadsheets/d/1kGrh75X1cNR1D7_FcY9zMnHP8iPO4M5RCRjy6nZY0TY/edit#gid=1248694442"",""Table 1: Study characteristics!O4:O175""), $A69=IMPORTRANGE(""https://docs.google.com/spreadsheets/d/1kGrh75X1cNR1D7_FcY9zMnHP"&amp;"8iPO4M5RCRjy6nZY0TY/edit#gid=1248694442"",""Table 1: Study characteristics!A4:A175""))"),"Cohort study")</f>
        <v>Cohort study</v>
      </c>
      <c r="I69" s="14" t="str">
        <f>IFERROR(__xludf.DUMMYFUNCTION("IFNA(FILTER(IMPORTRANGE(""https://docs.google.com/spreadsheets/d/1kGrh75X1cNR1D7_FcY9zMnHP8iPO4M5RCRjy6nZY0TY/edit#gid=1248694442"",""Table 3: 1st-line HC!C5:C111""), $A69=IMPORTRANGE(""https://docs.google.com/spreadsheets/d/1kGrh75X1cNR1D7_FcY9zMnHP8iPO4"&amp;"M5RCRjy6nZY0TY/edit#gid=1248694442"",""Table 3: 1st-line HC!A5:A111"")),"""")"),"Selected")</f>
        <v>Selected</v>
      </c>
      <c r="J69" s="4">
        <f>IFERROR(__xludf.DUMMYFUNCTION("FILTER(IMPORTRANGE(""https://docs.google.com/spreadsheets/d/1kGrh75X1cNR1D7_FcY9zMnHP8iPO4M5RCRjy6nZY0TY/edit#gid=1248694442"",""Table 1: Study characteristics!P4:P175""), $A69=IMPORTRANGE(""https://docs.google.com/spreadsheets/d/1kGrh75X1cNR1D7_FcY9zMnHP"&amp;"8iPO4M5RCRjy6nZY0TY/edit#gid=1248694442"",""Table 1: Study characteristics!A4:A175""))"),1274.0)</f>
        <v>1274</v>
      </c>
      <c r="K69" s="4" t="str">
        <f>IFERROR(__xludf.DUMMYFUNCTION("FILTER(IMPORTRANGE(""https://docs.google.com/spreadsheets/d/1kGrh75X1cNR1D7_FcY9zMnHP8iPO4M5RCRjy6nZY0TY/edit#gid=1248694442"",""Table 1: Study characteristics!U4:U175""), $A69=IMPORTRANGE(""https://docs.google.com/spreadsheets/d/1kGrh75X1cNR1D7_FcY9zMnHP"&amp;"8iPO4M5RCRjy6nZY0TY/edit#gid=1248694442"",""Table 1: Study characteristics!A4:A175""))"),"")</f>
        <v/>
      </c>
      <c r="L69" s="4" t="str">
        <f>IFERROR(__xludf.DUMMYFUNCTION("FILTER(IMPORTRANGE(""https://docs.google.com/spreadsheets/d/1kGrh75X1cNR1D7_FcY9zMnHP8iPO4M5RCRjy6nZY0TY/edit#gid=1248694442"",""Table 1: Study characteristics!V4:V175""), $A69=IMPORTRANGE(""https://docs.google.com/spreadsheets/d/1kGrh75X1cNR1D7_FcY9zMnHP"&amp;"8iPO4M5RCRjy6nZY0TY/edit#gid=1248694442"",""Table 1: Study characteristics!A4:A175""))"),"")</f>
        <v/>
      </c>
      <c r="M69" s="4" t="str">
        <f>IFERROR(__xludf.DUMMYFUNCTION("FILTER(IMPORTRANGE(""https://docs.google.com/spreadsheets/d/1kGrh75X1cNR1D7_FcY9zMnHP8iPO4M5RCRjy6nZY0TY/edit#gid=1248694442"",""Table 1: Study characteristics!Q4:Q175""), $A69=IMPORTRANGE(""https://docs.google.com/spreadsheets/d/1kGrh75X1cNR1D7_FcY9zMnHP"&amp;"8iPO4M5RCRjy6nZY0TY/edit#gid=1248694442"",""Table 1: Study characteristics!A4:A175""))"),"")</f>
        <v/>
      </c>
      <c r="N69" s="4" t="str">
        <f>IFERROR(__xludf.DUMMYFUNCTION("FILTER(IMPORTRANGE(""https://docs.google.com/spreadsheets/d/1kGrh75X1cNR1D7_FcY9zMnHP8iPO4M5RCRjy6nZY0TY/edit#gid=1248694442"",""Table 1: Study characteristics!R4:R175""), $A69=IMPORTRANGE(""https://docs.google.com/spreadsheets/d/1kGrh75X1cNR1D7_FcY9zMnHP"&amp;"8iPO4M5RCRjy6nZY0TY/edit#gid=1248694442"",""Table 1: Study characteristics!A4:A175""))"),"")</f>
        <v/>
      </c>
      <c r="O69" s="4" t="str">
        <f>IFERROR(__xludf.DUMMYFUNCTION("FILTER(IMPORTRANGE(""https://docs.google.com/spreadsheets/d/1kGrh75X1cNR1D7_FcY9zMnHP8iPO4M5RCRjy6nZY0TY/edit#gid=1248694442"",""Table 1: Study characteristics!S4:S175""), $A69=IMPORTRANGE(""https://docs.google.com/spreadsheets/d/1kGrh75X1cNR1D7_FcY9zMnHP"&amp;"8iPO4M5RCRjy6nZY0TY/edit#gid=1248694442"",""Table 1: Study characteristics!A4:A175""))"),"")</f>
        <v/>
      </c>
      <c r="P69" s="6" t="str">
        <f>IFERROR(__xludf.DUMMYFUNCTION("FILTER(IMPORTRANGE(""https://docs.google.com/spreadsheets/d/1kGrh75X1cNR1D7_FcY9zMnHP8iPO4M5RCRjy6nZY0TY/edit#gid=1248694442"",""Table 1: Study characteristics!T4:T175""), $A69=IMPORTRANGE(""https://docs.google.com/spreadsheets/d/1kGrh75X1cNR1D7_FcY9zMnHP"&amp;"8iPO4M5RCRjy6nZY0TY/edit#gid=1248694442"",""Table 1: Study characteristics!A4:A175""))"),"1-365")</f>
        <v>1-365</v>
      </c>
      <c r="Q69" s="6" t="str">
        <f>IFERROR(__xludf.DUMMYFUNCTION("FILTER(IMPORTRANGE(""https://docs.google.com/spreadsheets/d/1kGrh75X1cNR1D7_FcY9zMnHP8iPO4M5RCRjy6nZY0TY/edit#gid=1248694442"",""Table 1: Study characteristics!L4:L175""), $A69=IMPORTRANGE(""https://docs.google.com/spreadsheets/d/1kGrh75X1cNR1D7_FcY9zMnHP"&amp;"8iPO4M5RCRjy6nZY0TY/edit#gid=1248694442"",""Table 1: Study characteristics!A4:A175""))"),"2004-2009")</f>
        <v>2004-2009</v>
      </c>
      <c r="R69" s="4" t="str">
        <f>IFERROR(__xludf.DUMMYFUNCTION("FILTER(IMPORTRANGE(""https://docs.google.com/spreadsheets/d/1kGrh75X1cNR1D7_FcY9zMnHP8iPO4M5RCRjy6nZY0TY/edit#gid=1248694442"",""Table 1: Study characteristics!I4:I175""), $A69=IMPORTRANGE(""https://docs.google.com/spreadsheets/d/1kGrh75X1cNR1D7_FcY9zMnHP"&amp;"8iPO4M5RCRjy6nZY0TY/edit#gid=1248694442"",""Table 1: Study characteristics!A4:A175""))"),"English")</f>
        <v>English</v>
      </c>
    </row>
    <row r="70">
      <c r="A70" s="4" t="str">
        <f>IFERROR(__xludf.DUMMYFUNCTION("""COMPUTED_VALUE"""),"ID 153")</f>
        <v>ID 153</v>
      </c>
      <c r="B70" s="13" t="s">
        <v>218</v>
      </c>
      <c r="C70" s="4" t="str">
        <f>IFERROR(__xludf.DUMMYFUNCTION("LEFT(FILTER(IMPORTRANGE(""https://docs.google.com/spreadsheets/d/1kGrh75X1cNR1D7_FcY9zMnHP8iPO4M5RCRjy6nZY0TY/edit#gid=1248694442"",""Table 1: Study characteristics!C4:C175""), $A70=IMPORTRANGE(""https://docs.google.com/spreadsheets/d/1kGrh75X1cNR1D7_FcY9"&amp;"zMnHP8iPO4M5RCRjy6nZY0TY/edit#gid=1248694442"",""Table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$A70=IMPORTRANGE(""https://docs.google.com/spreadsheets/d/1kGrh75X1cNR1D7_FcY9zMnHP8iPO4M5RCRjy6nZY0TY/edit#gid=1248694442"",""Table 1: Study characteristics!A4:A175"")))-1)"),"Cetinkal")</f>
        <v>Cetinkal</v>
      </c>
      <c r="D70" s="4">
        <f>IFERROR(__xludf.DUMMYFUNCTION("FILTER(IMPORTRANGE(""https://docs.google.com/spreadsheets/d/1kGrh75X1cNR1D7_FcY9zMnHP8iPO4M5RCRjy6nZY0TY/edit#gid=1248694442"",""Table 1: Study characteristics!K4:K175""), $A70=IMPORTRANGE(""https://docs.google.com/spreadsheets/d/1kGrh75X1cNR1D7_FcY9zMnHP"&amp;"8iPO4M5RCRjy6nZY0TY/edit#gid=1248694442"",""Table 1: Study characteristics!A4:A175""))"),2021.0)</f>
        <v>2021</v>
      </c>
      <c r="E70" s="4" t="str">
        <f>IFERROR(__xludf.DUMMYFUNCTION("FILTER(IMPORTRANGE(""https://docs.google.com/spreadsheets/d/1kGrh75X1cNR1D7_FcY9zMnHP8iPO4M5RCRjy6nZY0TY/edit#gid=1248694442"",""Table 1: Study characteristics!M4:M175""), $A70=IMPORTRANGE(""https://docs.google.com/spreadsheets/d/1kGrh75X1cNR1D7_FcY9zMnHP"&amp;"8iPO4M5RCRjy6nZY0TY/edit#gid=1248694442"",""Table 1: Study characteristics!A4:A175""))"),"Upper middle income")</f>
        <v>Upper middle income</v>
      </c>
      <c r="F70" s="4" t="str">
        <f>IFERROR(__xludf.DUMMYFUNCTION("FILTER(IMPORTRANGE(""https://docs.google.com/spreadsheets/d/1kGrh75X1cNR1D7_FcY9zMnHP8iPO4M5RCRjy6nZY0TY/edit#gid=1248694442"",""Table 1: Study characteristics!N4:N175""), $A70=IMPORTRANGE(""https://docs.google.com/spreadsheets/d/1kGrh75X1cNR1D7_FcY9zMnHP"&amp;"8iPO4M5RCRjy6nZY0TY/edit#gid=1248694442"",""Table 1: Study characteristics!A4:A175""))"),"Europe &amp; Central Asia")</f>
        <v>Europe &amp; Central Asia</v>
      </c>
      <c r="G70" s="4" t="str">
        <f>IFERROR(__xludf.DUMMYFUNCTION("FILTER(IMPORTRANGE(""https://docs.google.com/spreadsheets/d/1kGrh75X1cNR1D7_FcY9zMnHP8iPO4M5RCRjy6nZY0TY/edit#gid=1248694442"",""Table 1: Study characteristics!J4:J175""), $A70=IMPORTRANGE(""https://docs.google.com/spreadsheets/d/1kGrh75X1cNR1D7_FcY9zMnHP"&amp;"8iPO4M5RCRjy6nZY0TY/edit#gid=1248694442"",""Table 1: Study characteristics!A4:A175""))"),"Turkey")</f>
        <v>Turkey</v>
      </c>
      <c r="H70" s="4" t="str">
        <f>IFERROR(__xludf.DUMMYFUNCTION("FILTER(IMPORTRANGE(""https://docs.google.com/spreadsheets/d/1kGrh75X1cNR1D7_FcY9zMnHP8iPO4M5RCRjy6nZY0TY/edit#gid=1248694442"",""Table 1: Study characteristics!O4:O175""), $A70=IMPORTRANGE(""https://docs.google.com/spreadsheets/d/1kGrh75X1cNR1D7_FcY9zMnHP"&amp;"8iPO4M5RCRjy6nZY0TY/edit#gid=1248694442"",""Table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70" s="14" t="str">
        <f>IFERROR(__xludf.DUMMYFUNCTION("IFNA(FILTER(IMPORTRANGE(""https://docs.google.com/spreadsheets/d/1kGrh75X1cNR1D7_FcY9zMnHP8iPO4M5RCRjy6nZY0TY/edit#gid=1248694442"",""Table 3: 1st-line HC!C5:C111""), $A70=IMPORTRANGE(""https://docs.google.com/spreadsheets/d/1kGrh75X1cNR1D7_FcY9zMnHP8iPO4"&amp;"M5RCRjy6nZY0TY/edit#gid=1248694442"",""Table 3: 1st-line HC!A5:A111"")),"""")"),"Selected")</f>
        <v>Selected</v>
      </c>
      <c r="J70" s="4">
        <f>IFERROR(__xludf.DUMMYFUNCTION("FILTER(IMPORTRANGE(""https://docs.google.com/spreadsheets/d/1kGrh75X1cNR1D7_FcY9zMnHP8iPO4M5RCRjy6nZY0TY/edit#gid=1248694442"",""Table 1: Study characteristics!P4:P175""), $A70=IMPORTRANGE(""https://docs.google.com/spreadsheets/d/1kGrh75X1cNR1D7_FcY9zMnHP"&amp;"8iPO4M5RCRjy6nZY0TY/edit#gid=1248694442"",""Table 1: Study characteristics!A4:A175""))"),34.0)</f>
        <v>34</v>
      </c>
      <c r="K70" s="4" t="str">
        <f>IFERROR(__xludf.DUMMYFUNCTION("FILTER(IMPORTRANGE(""https://docs.google.com/spreadsheets/d/1kGrh75X1cNR1D7_FcY9zMnHP8iPO4M5RCRjy6nZY0TY/edit#gid=1248694442"",""Table 1: Study characteristics!U4:U175""), $A70=IMPORTRANGE(""https://docs.google.com/spreadsheets/d/1kGrh75X1cNR1D7_FcY9zMnHP"&amp;"8iPO4M5RCRjy6nZY0TY/edit#gid=1248694442"",""Table 1: Study characteristics!A4:A175""))"),"")</f>
        <v/>
      </c>
      <c r="L70" s="4" t="str">
        <f>IFERROR(__xludf.DUMMYFUNCTION("FILTER(IMPORTRANGE(""https://docs.google.com/spreadsheets/d/1kGrh75X1cNR1D7_FcY9zMnHP8iPO4M5RCRjy6nZY0TY/edit#gid=1248694442"",""Table 1: Study characteristics!V4:V175""), $A70=IMPORTRANGE(""https://docs.google.com/spreadsheets/d/1kGrh75X1cNR1D7_FcY9zMnHP"&amp;"8iPO4M5RCRjy6nZY0TY/edit#gid=1248694442"",""Table 1: Study characteristics!A4:A175""))"),"")</f>
        <v/>
      </c>
      <c r="M70" s="4" t="str">
        <f>IFERROR(__xludf.DUMMYFUNCTION("FILTER(IMPORTRANGE(""https://docs.google.com/spreadsheets/d/1kGrh75X1cNR1D7_FcY9zMnHP8iPO4M5RCRjy6nZY0TY/edit#gid=1248694442"",""Table 1: Study characteristics!Q4:Q175""), $A70=IMPORTRANGE(""https://docs.google.com/spreadsheets/d/1kGrh75X1cNR1D7_FcY9zMnHP"&amp;"8iPO4M5RCRjy6nZY0TY/edit#gid=1248694442"",""Table 1: Study characteristics!A4:A175""))"),"")</f>
        <v/>
      </c>
      <c r="N70" s="4" t="str">
        <f>IFERROR(__xludf.DUMMYFUNCTION("FILTER(IMPORTRANGE(""https://docs.google.com/spreadsheets/d/1kGrh75X1cNR1D7_FcY9zMnHP8iPO4M5RCRjy6nZY0TY/edit#gid=1248694442"",""Table 1: Study characteristics!R4:R175""), $A70=IMPORTRANGE(""https://docs.google.com/spreadsheets/d/1kGrh75X1cNR1D7_FcY9zMnHP"&amp;"8iPO4M5RCRjy6nZY0TY/edit#gid=1248694442"",""Table 1: Study characteristics!A4:A175""))"),"")</f>
        <v/>
      </c>
      <c r="O70" s="4" t="str">
        <f>IFERROR(__xludf.DUMMYFUNCTION("FILTER(IMPORTRANGE(""https://docs.google.com/spreadsheets/d/1kGrh75X1cNR1D7_FcY9zMnHP8iPO4M5RCRjy6nZY0TY/edit#gid=1248694442"",""Table 1: Study characteristics!S4:S175""), $A70=IMPORTRANGE(""https://docs.google.com/spreadsheets/d/1kGrh75X1cNR1D7_FcY9zMnHP"&amp;"8iPO4M5RCRjy6nZY0TY/edit#gid=1248694442"",""Table 1: Study characteristics!A4:A175""))"),"")</f>
        <v/>
      </c>
      <c r="P70" s="6" t="str">
        <f>IFERROR(__xludf.DUMMYFUNCTION("FILTER(IMPORTRANGE(""https://docs.google.com/spreadsheets/d/1kGrh75X1cNR1D7_FcY9zMnHP8iPO4M5RCRjy6nZY0TY/edit#gid=1248694442"",""Table 1: Study characteristics!T4:T175""), $A70=IMPORTRANGE(""https://docs.google.com/spreadsheets/d/1kGrh75X1cNR1D7_FcY9zMnHP"&amp;"8iPO4M5RCRjy6nZY0TY/edit#gid=1248694442"",""Table 1: Study characteristics!A4:A175""))"),"")</f>
        <v/>
      </c>
      <c r="Q70" s="6" t="str">
        <f>IFERROR(__xludf.DUMMYFUNCTION("FILTER(IMPORTRANGE(""https://docs.google.com/spreadsheets/d/1kGrh75X1cNR1D7_FcY9zMnHP8iPO4M5RCRjy6nZY0TY/edit#gid=1248694442"",""Table 1: Study characteristics!L4:L175""), $A70=IMPORTRANGE(""https://docs.google.com/spreadsheets/d/1kGrh75X1cNR1D7_FcY9zMnHP"&amp;"8iPO4M5RCRjy6nZY0TY/edit#gid=1248694442"",""Table 1: Study characteristics!A4:A175""))"),"2016-2019")</f>
        <v>2016-2019</v>
      </c>
      <c r="R70" s="4" t="str">
        <f>IFERROR(__xludf.DUMMYFUNCTION("FILTER(IMPORTRANGE(""https://docs.google.com/spreadsheets/d/1kGrh75X1cNR1D7_FcY9zMnHP8iPO4M5RCRjy6nZY0TY/edit#gid=1248694442"",""Table 1: Study characteristics!I4:I175""), $A70=IMPORTRANGE(""https://docs.google.com/spreadsheets/d/1kGrh75X1cNR1D7_FcY9zMnHP"&amp;"8iPO4M5RCRjy6nZY0TY/edit#gid=1248694442"",""Table 1: Study characteristics!A4:A175""))"),"English")</f>
        <v>English</v>
      </c>
    </row>
    <row r="71">
      <c r="A71" s="4" t="str">
        <f>IFERROR(__xludf.DUMMYFUNCTION("""COMPUTED_VALUE"""),"ID 154")</f>
        <v>ID 154</v>
      </c>
      <c r="B71" s="13" t="s">
        <v>219</v>
      </c>
      <c r="C71" s="4" t="str">
        <f>IFERROR(__xludf.DUMMYFUNCTION("LEFT(FILTER(IMPORTRANGE(""https://docs.google.com/spreadsheets/d/1kGrh75X1cNR1D7_FcY9zMnHP8iPO4M5RCRjy6nZY0TY/edit#gid=1248694442"",""Table 1: Study characteristics!C4:C175""), $A71=IMPORTRANGE(""https://docs.google.com/spreadsheets/d/1kGrh75X1cNR1D7_FcY9"&amp;"zMnHP8iPO4M5RCRjy6nZY0TY/edit#gid=1248694442"",""Table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$A71=IMPORTRANGE(""https://docs.google.com/spreadsheets/d/1kGrh75X1cNR1D7_FcY9zMnHP8iPO4M5RCRjy6nZY0TY/edit#gid=1248694442"",""Table 1: Study characteristics!A4:A175"")))-1)"),"Ertuğrul")</f>
        <v>Ertuğrul</v>
      </c>
      <c r="D71" s="4">
        <f>IFERROR(__xludf.DUMMYFUNCTION("FILTER(IMPORTRANGE(""https://docs.google.com/spreadsheets/d/1kGrh75X1cNR1D7_FcY9zMnHP8iPO4M5RCRjy6nZY0TY/edit#gid=1248694442"",""Table 1: Study characteristics!K4:K175""), $A71=IMPORTRANGE(""https://docs.google.com/spreadsheets/d/1kGrh75X1cNR1D7_FcY9zMnHP"&amp;"8iPO4M5RCRjy6nZY0TY/edit#gid=1248694442"",""Table 1: Study characteristics!A4:A175""))"),2021.0)</f>
        <v>2021</v>
      </c>
      <c r="E71" s="4" t="str">
        <f>IFERROR(__xludf.DUMMYFUNCTION("FILTER(IMPORTRANGE(""https://docs.google.com/spreadsheets/d/1kGrh75X1cNR1D7_FcY9zMnHP8iPO4M5RCRjy6nZY0TY/edit#gid=1248694442"",""Table 1: Study characteristics!M4:M175""), $A71=IMPORTRANGE(""https://docs.google.com/spreadsheets/d/1kGrh75X1cNR1D7_FcY9zMnHP"&amp;"8iPO4M5RCRjy6nZY0TY/edit#gid=1248694442"",""Table 1: Study characteristics!A4:A175""))"),"Upper middle income")</f>
        <v>Upper middle income</v>
      </c>
      <c r="F71" s="4" t="str">
        <f>IFERROR(__xludf.DUMMYFUNCTION("FILTER(IMPORTRANGE(""https://docs.google.com/spreadsheets/d/1kGrh75X1cNR1D7_FcY9zMnHP8iPO4M5RCRjy6nZY0TY/edit#gid=1248694442"",""Table 1: Study characteristics!N4:N175""), $A71=IMPORTRANGE(""https://docs.google.com/spreadsheets/d/1kGrh75X1cNR1D7_FcY9zMnHP"&amp;"8iPO4M5RCRjy6nZY0TY/edit#gid=1248694442"",""Table 1: Study characteristics!A4:A175""))"),"Europe &amp; Central Asia")</f>
        <v>Europe &amp; Central Asia</v>
      </c>
      <c r="G71" s="4" t="str">
        <f>IFERROR(__xludf.DUMMYFUNCTION("FILTER(IMPORTRANGE(""https://docs.google.com/spreadsheets/d/1kGrh75X1cNR1D7_FcY9zMnHP8iPO4M5RCRjy6nZY0TY/edit#gid=1248694442"",""Table 1: Study characteristics!J4:J175""), $A71=IMPORTRANGE(""https://docs.google.com/spreadsheets/d/1kGrh75X1cNR1D7_FcY9zMnHP"&amp;"8iPO4M5RCRjy6nZY0TY/edit#gid=1248694442"",""Table 1: Study characteristics!A4:A175""))"),"Turkey")</f>
        <v>Turkey</v>
      </c>
      <c r="H71" s="4" t="str">
        <f>IFERROR(__xludf.DUMMYFUNCTION("FILTER(IMPORTRANGE(""https://docs.google.com/spreadsheets/d/1kGrh75X1cNR1D7_FcY9zMnHP8iPO4M5RCRjy6nZY0TY/edit#gid=1248694442"",""Table 1: Study characteristics!O4:O175""), $A71=IMPORTRANGE(""https://docs.google.com/spreadsheets/d/1kGrh75X1cNR1D7_FcY9zMnHP"&amp;"8iPO4M5RCRjy6nZY0TY/edit#gid=1248694442"",""Table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71" s="14" t="str">
        <f>IFERROR(__xludf.DUMMYFUNCTION("IFNA(FILTER(IMPORTRANGE(""https://docs.google.com/spreadsheets/d/1kGrh75X1cNR1D7_FcY9zMnHP8iPO4M5RCRjy6nZY0TY/edit#gid=1248694442"",""Table 3: 1st-line HC!C5:C111""), $A71=IMPORTRANGE(""https://docs.google.com/spreadsheets/d/1kGrh75X1cNR1D7_FcY9zMnHP8iPO4"&amp;"M5RCRjy6nZY0TY/edit#gid=1248694442"",""Table 3: 1st-line HC!A5:A111"")),"""")"),"Selected")</f>
        <v>Selected</v>
      </c>
      <c r="J71" s="4">
        <f>IFERROR(__xludf.DUMMYFUNCTION("FILTER(IMPORTRANGE(""https://docs.google.com/spreadsheets/d/1kGrh75X1cNR1D7_FcY9zMnHP8iPO4M5RCRjy6nZY0TY/edit#gid=1248694442"",""Table 1: Study characteristics!P4:P175""), $A71=IMPORTRANGE(""https://docs.google.com/spreadsheets/d/1kGrh75X1cNR1D7_FcY9zMnHP"&amp;"8iPO4M5RCRjy6nZY0TY/edit#gid=1248694442"",""Table 1: Study characteristics!A4:A175""))"),116.0)</f>
        <v>116</v>
      </c>
      <c r="K71" s="4">
        <f>IFERROR(__xludf.DUMMYFUNCTION("FILTER(IMPORTRANGE(""https://docs.google.com/spreadsheets/d/1kGrh75X1cNR1D7_FcY9zMnHP8iPO4M5RCRjy6nZY0TY/edit#gid=1248694442"",""Table 1: Study characteristics!U4:U175""), $A71=IMPORTRANGE(""https://docs.google.com/spreadsheets/d/1kGrh75X1cNR1D7_FcY9zMnHP"&amp;"8iPO4M5RCRjy6nZY0TY/edit#gid=1248694442"",""Table 1: Study characteristics!A4:A175""))"),72.0)</f>
        <v>72</v>
      </c>
      <c r="L71" s="4">
        <f>IFERROR(__xludf.DUMMYFUNCTION("FILTER(IMPORTRANGE(""https://docs.google.com/spreadsheets/d/1kGrh75X1cNR1D7_FcY9zMnHP8iPO4M5RCRjy6nZY0TY/edit#gid=1248694442"",""Table 1: Study characteristics!V4:V175""), $A71=IMPORTRANGE(""https://docs.google.com/spreadsheets/d/1kGrh75X1cNR1D7_FcY9zMnHP"&amp;"8iPO4M5RCRjy6nZY0TY/edit#gid=1248694442"",""Table 1: Study characteristics!A4:A175""))"),44.0)</f>
        <v>44</v>
      </c>
      <c r="M71" s="4" t="str">
        <f>IFERROR(__xludf.DUMMYFUNCTION("FILTER(IMPORTRANGE(""https://docs.google.com/spreadsheets/d/1kGrh75X1cNR1D7_FcY9zMnHP8iPO4M5RCRjy6nZY0TY/edit#gid=1248694442"",""Table 1: Study characteristics!Q4:Q175""), $A71=IMPORTRANGE(""https://docs.google.com/spreadsheets/d/1kGrh75X1cNR1D7_FcY9zMnHP"&amp;"8iPO4M5RCRjy6nZY0TY/edit#gid=1248694442"",""Table 1: Study characteristics!A4:A175""))"),"")</f>
        <v/>
      </c>
      <c r="N71" s="4" t="str">
        <f>IFERROR(__xludf.DUMMYFUNCTION("FILTER(IMPORTRANGE(""https://docs.google.com/spreadsheets/d/1kGrh75X1cNR1D7_FcY9zMnHP8iPO4M5RCRjy6nZY0TY/edit#gid=1248694442"",""Table 1: Study characteristics!R4:R175""), $A71=IMPORTRANGE(""https://docs.google.com/spreadsheets/d/1kGrh75X1cNR1D7_FcY9zMnHP"&amp;"8iPO4M5RCRjy6nZY0TY/edit#gid=1248694442"",""Table 1: Study characteristics!A4:A175""))"),"")</f>
        <v/>
      </c>
      <c r="O71" s="4" t="str">
        <f>IFERROR(__xludf.DUMMYFUNCTION("FILTER(IMPORTRANGE(""https://docs.google.com/spreadsheets/d/1kGrh75X1cNR1D7_FcY9zMnHP8iPO4M5RCRjy6nZY0TY/edit#gid=1248694442"",""Table 1: Study characteristics!S4:S175""), $A71=IMPORTRANGE(""https://docs.google.com/spreadsheets/d/1kGrh75X1cNR1D7_FcY9zMnHP"&amp;"8iPO4M5RCRjy6nZY0TY/edit#gid=1248694442"",""Table 1: Study characteristics!A4:A175""))"),"")</f>
        <v/>
      </c>
      <c r="P71" s="6" t="str">
        <f>IFERROR(__xludf.DUMMYFUNCTION("FILTER(IMPORTRANGE(""https://docs.google.com/spreadsheets/d/1kGrh75X1cNR1D7_FcY9zMnHP8iPO4M5RCRjy6nZY0TY/edit#gid=1248694442"",""Table 1: Study characteristics!T4:T175""), $A71=IMPORTRANGE(""https://docs.google.com/spreadsheets/d/1kGrh75X1cNR1D7_FcY9zMnHP"&amp;"8iPO4M5RCRjy6nZY0TY/edit#gid=1248694442"",""Table 1: Study characteristics!A4:A175""))"),"")</f>
        <v/>
      </c>
      <c r="Q71" s="6" t="str">
        <f>IFERROR(__xludf.DUMMYFUNCTION("FILTER(IMPORTRANGE(""https://docs.google.com/spreadsheets/d/1kGrh75X1cNR1D7_FcY9zMnHP8iPO4M5RCRjy6nZY0TY/edit#gid=1248694442"",""Table 1: Study characteristics!L4:L175""), $A71=IMPORTRANGE(""https://docs.google.com/spreadsheets/d/1kGrh75X1cNR1D7_FcY9zMnHP"&amp;"8iPO4M5RCRjy6nZY0TY/edit#gid=1248694442"",""Table 1: Study characteristics!A4:A175""))"),"2010-2018")</f>
        <v>2010-2018</v>
      </c>
      <c r="R71" s="4" t="str">
        <f>IFERROR(__xludf.DUMMYFUNCTION("FILTER(IMPORTRANGE(""https://docs.google.com/spreadsheets/d/1kGrh75X1cNR1D7_FcY9zMnHP8iPO4M5RCRjy6nZY0TY/edit#gid=1248694442"",""Table 1: Study characteristics!I4:I175""), $A71=IMPORTRANGE(""https://docs.google.com/spreadsheets/d/1kGrh75X1cNR1D7_FcY9zMnHP"&amp;"8iPO4M5RCRjy6nZY0TY/edit#gid=1248694442"",""Table 1: Study characteristics!A4:A175""))"),"English")</f>
        <v>English</v>
      </c>
    </row>
    <row r="72">
      <c r="A72" s="4" t="str">
        <f>IFERROR(__xludf.DUMMYFUNCTION("""COMPUTED_VALUE"""),"ID 157")</f>
        <v>ID 157</v>
      </c>
      <c r="B72" s="13" t="s">
        <v>220</v>
      </c>
      <c r="C72" s="4" t="str">
        <f>IFERROR(__xludf.DUMMYFUNCTION("LEFT(FILTER(IMPORTRANGE(""https://docs.google.com/spreadsheets/d/1kGrh75X1cNR1D7_FcY9zMnHP8iPO4M5RCRjy6nZY0TY/edit#gid=1248694442"",""Table 1: Study characteristics!C4:C175""), $A72=IMPORTRANGE(""https://docs.google.com/spreadsheets/d/1kGrh75X1cNR1D7_FcY9"&amp;"zMnHP8iPO4M5RCRjy6nZY0TY/edit#gid=1248694442"",""Table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$A72=IMPORTRANGE(""https://docs.google.com/spreadsheets/d/1kGrh75X1cNR1D7_FcY9zMnHP8iPO4M5RCRjy6nZY0TY/edit#gid=1248694442"",""Table 1: Study characteristics!A4:A175"")))-1)"),"Bell")</f>
        <v>Bell</v>
      </c>
      <c r="D72" s="4">
        <f>IFERROR(__xludf.DUMMYFUNCTION("FILTER(IMPORTRANGE(""https://docs.google.com/spreadsheets/d/1kGrh75X1cNR1D7_FcY9zMnHP8iPO4M5RCRjy6nZY0TY/edit#gid=1248694442"",""Table 1: Study characteristics!K4:K175""), $A72=IMPORTRANGE(""https://docs.google.com/spreadsheets/d/1kGrh75X1cNR1D7_FcY9zMnHP"&amp;"8iPO4M5RCRjy6nZY0TY/edit#gid=1248694442"",""Table 1: Study characteristics!A4:A175""))"),1987.0)</f>
        <v>1987</v>
      </c>
      <c r="E72" s="4" t="str">
        <f>IFERROR(__xludf.DUMMYFUNCTION("FILTER(IMPORTRANGE(""https://docs.google.com/spreadsheets/d/1kGrh75X1cNR1D7_FcY9zMnHP8iPO4M5RCRjy6nZY0TY/edit#gid=1248694442"",""Table 1: Study characteristics!M4:M175""), $A72=IMPORTRANGE(""https://docs.google.com/spreadsheets/d/1kGrh75X1cNR1D7_FcY9zMnHP"&amp;"8iPO4M5RCRjy6nZY0TY/edit#gid=1248694442"",""Table 1: Study characteristics!A4:A175""))"),"High income")</f>
        <v>High income</v>
      </c>
      <c r="F72" s="4" t="str">
        <f>IFERROR(__xludf.DUMMYFUNCTION("FILTER(IMPORTRANGE(""https://docs.google.com/spreadsheets/d/1kGrh75X1cNR1D7_FcY9zMnHP8iPO4M5RCRjy6nZY0TY/edit#gid=1248694442"",""Table 1: Study characteristics!N4:N175""), $A72=IMPORTRANGE(""https://docs.google.com/spreadsheets/d/1kGrh75X1cNR1D7_FcY9zMnHP"&amp;"8iPO4M5RCRjy6nZY0TY/edit#gid=1248694442"",""Table 1: Study characteristics!A4:A175""))"),"North America")</f>
        <v>North America</v>
      </c>
      <c r="G72" s="4" t="str">
        <f>IFERROR(__xludf.DUMMYFUNCTION("FILTER(IMPORTRANGE(""https://docs.google.com/spreadsheets/d/1kGrh75X1cNR1D7_FcY9zMnHP8iPO4M5RCRjy6nZY0TY/edit#gid=1248694442"",""Table 1: Study characteristics!J4:J175""), $A72=IMPORTRANGE(""https://docs.google.com/spreadsheets/d/1kGrh75X1cNR1D7_FcY9zMnHP"&amp;"8iPO4M5RCRjy6nZY0TY/edit#gid=1248694442"",""Table 1: Study characteristics!A4:A175""))"),"United States")</f>
        <v>United States</v>
      </c>
      <c r="H72" s="4" t="str">
        <f>IFERROR(__xludf.DUMMYFUNCTION("FILTER(IMPORTRANGE(""https://docs.google.com/spreadsheets/d/1kGrh75X1cNR1D7_FcY9zMnHP8iPO4M5RCRjy6nZY0TY/edit#gid=1248694442"",""Table 1: Study characteristics!O4:O175""), $A72=IMPORTRANGE(""https://docs.google.com/spreadsheets/d/1kGrh75X1cNR1D7_FcY9zMnHP"&amp;"8iPO4M5RCRjy6nZY0TY/edit#gid=1248694442"",""Table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72" s="14" t="str">
        <f>IFERROR(__xludf.DUMMYFUNCTION("IFNA(FILTER(IMPORTRANGE(""https://docs.google.com/spreadsheets/d/1kGrh75X1cNR1D7_FcY9zMnHP8iPO4M5RCRjy6nZY0TY/edit#gid=1248694442"",""Table 3: 1st-line HC!C5:C111""), $A72=IMPORTRANGE(""https://docs.google.com/spreadsheets/d/1kGrh75X1cNR1D7_FcY9zMnHP8iPO4"&amp;"M5RCRjy6nZY0TY/edit#gid=1248694442"",""Table 3: 1st-line HC!A5:A111"")),"""")"),"Unselected")</f>
        <v>Unselected</v>
      </c>
      <c r="J72" s="4">
        <f>IFERROR(__xludf.DUMMYFUNCTION("FILTER(IMPORTRANGE(""https://docs.google.com/spreadsheets/d/1kGrh75X1cNR1D7_FcY9zMnHP8iPO4M5RCRjy6nZY0TY/edit#gid=1248694442"",""Table 1: Study characteristics!P4:P175""), $A72=IMPORTRANGE(""https://docs.google.com/spreadsheets/d/1kGrh75X1cNR1D7_FcY9zMnHP"&amp;"8iPO4M5RCRjy6nZY0TY/edit#gid=1248694442"",""Table 1: Study characteristics!A4:A175""))"),25.0)</f>
        <v>25</v>
      </c>
      <c r="K72" s="4" t="str">
        <f>IFERROR(__xludf.DUMMYFUNCTION("FILTER(IMPORTRANGE(""https://docs.google.com/spreadsheets/d/1kGrh75X1cNR1D7_FcY9zMnHP8iPO4M5RCRjy6nZY0TY/edit#gid=1248694442"",""Table 1: Study characteristics!U4:U175""), $A72=IMPORTRANGE(""https://docs.google.com/spreadsheets/d/1kGrh75X1cNR1D7_FcY9zMnHP"&amp;"8iPO4M5RCRjy6nZY0TY/edit#gid=1248694442"",""Table 1: Study characteristics!A4:A175""))"),"")</f>
        <v/>
      </c>
      <c r="L72" s="4" t="str">
        <f>IFERROR(__xludf.DUMMYFUNCTION("FILTER(IMPORTRANGE(""https://docs.google.com/spreadsheets/d/1kGrh75X1cNR1D7_FcY9zMnHP8iPO4M5RCRjy6nZY0TY/edit#gid=1248694442"",""Table 1: Study characteristics!V4:V175""), $A72=IMPORTRANGE(""https://docs.google.com/spreadsheets/d/1kGrh75X1cNR1D7_FcY9zMnHP"&amp;"8iPO4M5RCRjy6nZY0TY/edit#gid=1248694442"",""Table 1: Study characteristics!A4:A175""))"),"")</f>
        <v/>
      </c>
      <c r="M72" s="4" t="str">
        <f>IFERROR(__xludf.DUMMYFUNCTION("FILTER(IMPORTRANGE(""https://docs.google.com/spreadsheets/d/1kGrh75X1cNR1D7_FcY9zMnHP8iPO4M5RCRjy6nZY0TY/edit#gid=1248694442"",""Table 1: Study characteristics!Q4:Q175""), $A72=IMPORTRANGE(""https://docs.google.com/spreadsheets/d/1kGrh75X1cNR1D7_FcY9zMnHP"&amp;"8iPO4M5RCRjy6nZY0TY/edit#gid=1248694442"",""Table 1: Study characteristics!A4:A175""))"),"")</f>
        <v/>
      </c>
      <c r="N72" s="4" t="str">
        <f>IFERROR(__xludf.DUMMYFUNCTION("FILTER(IMPORTRANGE(""https://docs.google.com/spreadsheets/d/1kGrh75X1cNR1D7_FcY9zMnHP8iPO4M5RCRjy6nZY0TY/edit#gid=1248694442"",""Table 1: Study characteristics!R4:R175""), $A72=IMPORTRANGE(""https://docs.google.com/spreadsheets/d/1kGrh75X1cNR1D7_FcY9zMnHP"&amp;"8iPO4M5RCRjy6nZY0TY/edit#gid=1248694442"",""Table 1: Study characteristics!A4:A175""))"),"")</f>
        <v/>
      </c>
      <c r="O72" s="4" t="str">
        <f>IFERROR(__xludf.DUMMYFUNCTION("FILTER(IMPORTRANGE(""https://docs.google.com/spreadsheets/d/1kGrh75X1cNR1D7_FcY9zMnHP8iPO4M5RCRjy6nZY0TY/edit#gid=1248694442"",""Table 1: Study characteristics!S4:S175""), $A72=IMPORTRANGE(""https://docs.google.com/spreadsheets/d/1kGrh75X1cNR1D7_FcY9zMnHP"&amp;"8iPO4M5RCRjy6nZY0TY/edit#gid=1248694442"",""Table 1: Study characteristics!A4:A175""))"),"")</f>
        <v/>
      </c>
      <c r="P72" s="6" t="str">
        <f>IFERROR(__xludf.DUMMYFUNCTION("FILTER(IMPORTRANGE(""https://docs.google.com/spreadsheets/d/1kGrh75X1cNR1D7_FcY9zMnHP8iPO4M5RCRjy6nZY0TY/edit#gid=1248694442"",""Table 1: Study characteristics!T4:T175""), $A72=IMPORTRANGE(""https://docs.google.com/spreadsheets/d/1kGrh75X1cNR1D7_FcY9zMnHP"&amp;"8iPO4M5RCRjy6nZY0TY/edit#gid=1248694442"",""Table 1: Study characteristics!A4:A175""))"),"")</f>
        <v/>
      </c>
      <c r="Q72" s="6" t="str">
        <f>IFERROR(__xludf.DUMMYFUNCTION("FILTER(IMPORTRANGE(""https://docs.google.com/spreadsheets/d/1kGrh75X1cNR1D7_FcY9zMnHP8iPO4M5RCRjy6nZY0TY/edit#gid=1248694442"",""Table 1: Study characteristics!L4:L175""), $A72=IMPORTRANGE(""https://docs.google.com/spreadsheets/d/1kGrh75X1cNR1D7_FcY9zMnHP"&amp;"8iPO4M5RCRjy6nZY0TY/edit#gid=1248694442"",""Table 1: Study characteristics!A4:A175""))"),"1982-1986")</f>
        <v>1982-1986</v>
      </c>
      <c r="R72" s="4" t="str">
        <f>IFERROR(__xludf.DUMMYFUNCTION("FILTER(IMPORTRANGE(""https://docs.google.com/spreadsheets/d/1kGrh75X1cNR1D7_FcY9zMnHP8iPO4M5RCRjy6nZY0TY/edit#gid=1248694442"",""Table 1: Study characteristics!I4:I175""), $A72=IMPORTRANGE(""https://docs.google.com/spreadsheets/d/1kGrh75X1cNR1D7_FcY9zMnHP"&amp;"8iPO4M5RCRjy6nZY0TY/edit#gid=1248694442"",""Table 1: Study characteristics!A4:A175""))"),"English")</f>
        <v>English</v>
      </c>
    </row>
    <row r="73">
      <c r="A73" s="4" t="str">
        <f>IFERROR(__xludf.DUMMYFUNCTION("""COMPUTED_VALUE"""),"ID 159")</f>
        <v>ID 159</v>
      </c>
      <c r="B73" s="13" t="s">
        <v>221</v>
      </c>
      <c r="C73" s="4" t="str">
        <f>IFERROR(__xludf.DUMMYFUNCTION("LEFT(FILTER(IMPORTRANGE(""https://docs.google.com/spreadsheets/d/1kGrh75X1cNR1D7_FcY9zMnHP8iPO4M5RCRjy6nZY0TY/edit#gid=1248694442"",""Table 1: Study characteristics!C4:C175""), $A73=IMPORTRANGE(""https://docs.google.com/spreadsheets/d/1kGrh75X1cNR1D7_FcY9"&amp;"zMnHP8iPO4M5RCRjy6nZY0TY/edit#gid=1248694442"",""Table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$A73=IMPORTRANGE(""https://docs.google.com/spreadsheets/d/1kGrh75X1cNR1D7_FcY9zMnHP8iPO4M5RCRjy6nZY0TY/edit#gid=1248694442"",""Table 1: Study characteristics!A4:A175"")))-1)"),"McDowell")</f>
        <v>McDowell</v>
      </c>
      <c r="D73" s="4">
        <f>IFERROR(__xludf.DUMMYFUNCTION("FILTER(IMPORTRANGE(""https://docs.google.com/spreadsheets/d/1kGrh75X1cNR1D7_FcY9zMnHP8iPO4M5RCRjy6nZY0TY/edit#gid=1248694442"",""Table 1: Study characteristics!K4:K175""), $A73=IMPORTRANGE(""https://docs.google.com/spreadsheets/d/1kGrh75X1cNR1D7_FcY9zMnHP"&amp;"8iPO4M5RCRjy6nZY0TY/edit#gid=1248694442"",""Table 1: Study characteristics!A4:A175""))"),2018.0)</f>
        <v>2018</v>
      </c>
      <c r="E73" s="4" t="str">
        <f>IFERROR(__xludf.DUMMYFUNCTION("FILTER(IMPORTRANGE(""https://docs.google.com/spreadsheets/d/1kGrh75X1cNR1D7_FcY9zMnHP8iPO4M5RCRjy6nZY0TY/edit#gid=1248694442"",""Table 1: Study characteristics!M4:M175""), $A73=IMPORTRANGE(""https://docs.google.com/spreadsheets/d/1kGrh75X1cNR1D7_FcY9zMnHP"&amp;"8iPO4M5RCRjy6nZY0TY/edit#gid=1248694442"",""Table 1: Study characteristics!A4:A175""))"),"High income")</f>
        <v>High income</v>
      </c>
      <c r="F73" s="4" t="str">
        <f>IFERROR(__xludf.DUMMYFUNCTION("FILTER(IMPORTRANGE(""https://docs.google.com/spreadsheets/d/1kGrh75X1cNR1D7_FcY9zMnHP8iPO4M5RCRjy6nZY0TY/edit#gid=1248694442"",""Table 1: Study characteristics!N4:N175""), $A73=IMPORTRANGE(""https://docs.google.com/spreadsheets/d/1kGrh75X1cNR1D7_FcY9zMnHP"&amp;"8iPO4M5RCRjy6nZY0TY/edit#gid=1248694442"",""Table 1: Study characteristics!A4:A175""))"),"North America")</f>
        <v>North America</v>
      </c>
      <c r="G73" s="4" t="str">
        <f>IFERROR(__xludf.DUMMYFUNCTION("FILTER(IMPORTRANGE(""https://docs.google.com/spreadsheets/d/1kGrh75X1cNR1D7_FcY9zMnHP8iPO4M5RCRjy6nZY0TY/edit#gid=1248694442"",""Table 1: Study characteristics!J4:J175""), $A73=IMPORTRANGE(""https://docs.google.com/spreadsheets/d/1kGrh75X1cNR1D7_FcY9zMnHP"&amp;"8iPO4M5RCRjy6nZY0TY/edit#gid=1248694442"",""Table 1: Study characteristics!A4:A175""))"),"United States")</f>
        <v>United States</v>
      </c>
      <c r="H73" s="4" t="str">
        <f>IFERROR(__xludf.DUMMYFUNCTION("FILTER(IMPORTRANGE(""https://docs.google.com/spreadsheets/d/1kGrh75X1cNR1D7_FcY9zMnHP8iPO4M5RCRjy6nZY0TY/edit#gid=1248694442"",""Table 1: Study characteristics!O4:O175""), $A73=IMPORTRANGE(""https://docs.google.com/spreadsheets/d/1kGrh75X1cNR1D7_FcY9zMnHP"&amp;"8iPO4M5RCRjy6nZY0TY/edit#gid=1248694442"",""Table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73" s="14" t="str">
        <f>IFERROR(__xludf.DUMMYFUNCTION("IFNA(FILTER(IMPORTRANGE(""https://docs.google.com/spreadsheets/d/1kGrh75X1cNR1D7_FcY9zMnHP8iPO4M5RCRjy6nZY0TY/edit#gid=1248694442"",""Table 3: 1st-line HC!C5:C111""), $A73=IMPORTRANGE(""https://docs.google.com/spreadsheets/d/1kGrh75X1cNR1D7_FcY9zMnHP8iPO4"&amp;"M5RCRjy6nZY0TY/edit#gid=1248694442"",""Table 3: 1st-line HC!A5:A111"")),"""")"),"Selected")</f>
        <v>Selected</v>
      </c>
      <c r="J73" s="4">
        <f>IFERROR(__xludf.DUMMYFUNCTION("FILTER(IMPORTRANGE(""https://docs.google.com/spreadsheets/d/1kGrh75X1cNR1D7_FcY9zMnHP8iPO4M5RCRjy6nZY0TY/edit#gid=1248694442"",""Table 1: Study characteristics!P4:P175""), $A73=IMPORTRANGE(""https://docs.google.com/spreadsheets/d/1kGrh75X1cNR1D7_FcY9zMnHP"&amp;"8iPO4M5RCRjy6nZY0TY/edit#gid=1248694442"",""Table 1: Study characteristics!A4:A175""))"),71.0)</f>
        <v>71</v>
      </c>
      <c r="K73" s="4">
        <f>IFERROR(__xludf.DUMMYFUNCTION("FILTER(IMPORTRANGE(""https://docs.google.com/spreadsheets/d/1kGrh75X1cNR1D7_FcY9zMnHP8iPO4M5RCRjy6nZY0TY/edit#gid=1248694442"",""Table 1: Study characteristics!U4:U175""), $A73=IMPORTRANGE(""https://docs.google.com/spreadsheets/d/1kGrh75X1cNR1D7_FcY9zMnHP"&amp;"8iPO4M5RCRjy6nZY0TY/edit#gid=1248694442"",""Table 1: Study characteristics!A4:A175""))"),48.0)</f>
        <v>48</v>
      </c>
      <c r="L73" s="4">
        <f>IFERROR(__xludf.DUMMYFUNCTION("FILTER(IMPORTRANGE(""https://docs.google.com/spreadsheets/d/1kGrh75X1cNR1D7_FcY9zMnHP8iPO4M5RCRjy6nZY0TY/edit#gid=1248694442"",""Table 1: Study characteristics!V4:V175""), $A73=IMPORTRANGE(""https://docs.google.com/spreadsheets/d/1kGrh75X1cNR1D7_FcY9zMnHP"&amp;"8iPO4M5RCRjy6nZY0TY/edit#gid=1248694442"",""Table 1: Study characteristics!A4:A175""))"),40.0)</f>
        <v>40</v>
      </c>
      <c r="M73" s="4" t="str">
        <f>IFERROR(__xludf.DUMMYFUNCTION("FILTER(IMPORTRANGE(""https://docs.google.com/spreadsheets/d/1kGrh75X1cNR1D7_FcY9zMnHP8iPO4M5RCRjy6nZY0TY/edit#gid=1248694442"",""Table 1: Study characteristics!Q4:Q175""), $A73=IMPORTRANGE(""https://docs.google.com/spreadsheets/d/1kGrh75X1cNR1D7_FcY9zMnHP"&amp;"8iPO4M5RCRjy6nZY0TY/edit#gid=1248694442"",""Table 1: Study characteristics!A4:A175""))"),"")</f>
        <v/>
      </c>
      <c r="N73" s="4" t="str">
        <f>IFERROR(__xludf.DUMMYFUNCTION("FILTER(IMPORTRANGE(""https://docs.google.com/spreadsheets/d/1kGrh75X1cNR1D7_FcY9zMnHP8iPO4M5RCRjy6nZY0TY/edit#gid=1248694442"",""Table 1: Study characteristics!R4:R175""), $A73=IMPORTRANGE(""https://docs.google.com/spreadsheets/d/1kGrh75X1cNR1D7_FcY9zMnHP"&amp;"8iPO4M5RCRjy6nZY0TY/edit#gid=1248694442"",""Table 1: Study characteristics!A4:A175""))"),"")</f>
        <v/>
      </c>
      <c r="O73" s="4" t="str">
        <f>IFERROR(__xludf.DUMMYFUNCTION("FILTER(IMPORTRANGE(""https://docs.google.com/spreadsheets/d/1kGrh75X1cNR1D7_FcY9zMnHP8iPO4M5RCRjy6nZY0TY/edit#gid=1248694442"",""Table 1: Study characteristics!S4:S175""), $A73=IMPORTRANGE(""https://docs.google.com/spreadsheets/d/1kGrh75X1cNR1D7_FcY9zMnHP"&amp;"8iPO4M5RCRjy6nZY0TY/edit#gid=1248694442"",""Table 1: Study characteristics!A4:A175""))"),"")</f>
        <v/>
      </c>
      <c r="P73" s="6" t="str">
        <f>IFERROR(__xludf.DUMMYFUNCTION("FILTER(IMPORTRANGE(""https://docs.google.com/spreadsheets/d/1kGrh75X1cNR1D7_FcY9zMnHP8iPO4M5RCRjy6nZY0TY/edit#gid=1248694442"",""Table 1: Study characteristics!T4:T175""), $A73=IMPORTRANGE(""https://docs.google.com/spreadsheets/d/1kGrh75X1cNR1D7_FcY9zMnHP"&amp;"8iPO4M5RCRjy6nZY0TY/edit#gid=1248694442"",""Table 1: Study characteristics!A4:A175""))"),"")</f>
        <v/>
      </c>
      <c r="Q73" s="6" t="str">
        <f>IFERROR(__xludf.DUMMYFUNCTION("FILTER(IMPORTRANGE(""https://docs.google.com/spreadsheets/d/1kGrh75X1cNR1D7_FcY9zMnHP8iPO4M5RCRjy6nZY0TY/edit#gid=1248694442"",""Table 1: Study characteristics!L4:L175""), $A73=IMPORTRANGE(""https://docs.google.com/spreadsheets/d/1kGrh75X1cNR1D7_FcY9zMnHP"&amp;"8iPO4M5RCRjy6nZY0TY/edit#gid=1248694442"",""Table 1: Study characteristics!A4:A175""))"),"2005-2016")</f>
        <v>2005-2016</v>
      </c>
      <c r="R73" s="4" t="str">
        <f>IFERROR(__xludf.DUMMYFUNCTION("FILTER(IMPORTRANGE(""https://docs.google.com/spreadsheets/d/1kGrh75X1cNR1D7_FcY9zMnHP8iPO4M5RCRjy6nZY0TY/edit#gid=1248694442"",""Table 1: Study characteristics!I4:I175""), $A73=IMPORTRANGE(""https://docs.google.com/spreadsheets/d/1kGrh75X1cNR1D7_FcY9zMnHP"&amp;"8iPO4M5RCRjy6nZY0TY/edit#gid=1248694442"",""Table 1: Study characteristics!A4:A175""))"),"English")</f>
        <v>English</v>
      </c>
    </row>
    <row r="74">
      <c r="A74" s="4" t="str">
        <f>IFERROR(__xludf.DUMMYFUNCTION("""COMPUTED_VALUE"""),"ID 160")</f>
        <v>ID 160</v>
      </c>
      <c r="B74" s="13" t="s">
        <v>222</v>
      </c>
      <c r="C74" s="4" t="str">
        <f>IFERROR(__xludf.DUMMYFUNCTION("LEFT(FILTER(IMPORTRANGE(""https://docs.google.com/spreadsheets/d/1kGrh75X1cNR1D7_FcY9zMnHP8iPO4M5RCRjy6nZY0TY/edit#gid=1248694442"",""Table 1: Study characteristics!C4:C175""), $A74=IMPORTRANGE(""https://docs.google.com/spreadsheets/d/1kGrh75X1cNR1D7_FcY9"&amp;"zMnHP8iPO4M5RCRjy6nZY0TY/edit#gid=1248694442"",""Table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$A74=IMPORTRANGE(""https://docs.google.com/spreadsheets/d/1kGrh75X1cNR1D7_FcY9zMnHP8iPO4M5RCRjy6nZY0TY/edit#gid=1248694442"",""Table 1: Study characteristics!A4:A175"")))-1)"),"Bafeltowska")</f>
        <v>Bafeltowska</v>
      </c>
      <c r="D74" s="4">
        <f>IFERROR(__xludf.DUMMYFUNCTION("FILTER(IMPORTRANGE(""https://docs.google.com/spreadsheets/d/1kGrh75X1cNR1D7_FcY9zMnHP8iPO4M5RCRjy6nZY0TY/edit#gid=1248694442"",""Table 1: Study characteristics!K4:K175""), $A74=IMPORTRANGE(""https://docs.google.com/spreadsheets/d/1kGrh75X1cNR1D7_FcY9zMnHP"&amp;"8iPO4M5RCRjy6nZY0TY/edit#gid=1248694442"",""Table 1: Study characteristics!A4:A175""))"),2004.0)</f>
        <v>2004</v>
      </c>
      <c r="E74" s="4" t="str">
        <f>IFERROR(__xludf.DUMMYFUNCTION("FILTER(IMPORTRANGE(""https://docs.google.com/spreadsheets/d/1kGrh75X1cNR1D7_FcY9zMnHP8iPO4M5RCRjy6nZY0TY/edit#gid=1248694442"",""Table 1: Study characteristics!M4:M175""), $A74=IMPORTRANGE(""https://docs.google.com/spreadsheets/d/1kGrh75X1cNR1D7_FcY9zMnHP"&amp;"8iPO4M5RCRjy6nZY0TY/edit#gid=1248694442"",""Table 1: Study characteristics!A4:A175""))"),"High income")</f>
        <v>High income</v>
      </c>
      <c r="F74" s="4" t="str">
        <f>IFERROR(__xludf.DUMMYFUNCTION("FILTER(IMPORTRANGE(""https://docs.google.com/spreadsheets/d/1kGrh75X1cNR1D7_FcY9zMnHP8iPO4M5RCRjy6nZY0TY/edit#gid=1248694442"",""Table 1: Study characteristics!N4:N175""), $A74=IMPORTRANGE(""https://docs.google.com/spreadsheets/d/1kGrh75X1cNR1D7_FcY9zMnHP"&amp;"8iPO4M5RCRjy6nZY0TY/edit#gid=1248694442"",""Table 1: Study characteristics!A4:A175""))"),"Europe &amp; Central Asia")</f>
        <v>Europe &amp; Central Asia</v>
      </c>
      <c r="G74" s="4" t="str">
        <f>IFERROR(__xludf.DUMMYFUNCTION("FILTER(IMPORTRANGE(""https://docs.google.com/spreadsheets/d/1kGrh75X1cNR1D7_FcY9zMnHP8iPO4M5RCRjy6nZY0TY/edit#gid=1248694442"",""Table 1: Study characteristics!J4:J175""), $A74=IMPORTRANGE(""https://docs.google.com/spreadsheets/d/1kGrh75X1cNR1D7_FcY9zMnHP"&amp;"8iPO4M5RCRjy6nZY0TY/edit#gid=1248694442"",""Table 1: Study characteristics!A4:A175""))"),"Poland")</f>
        <v>Poland</v>
      </c>
      <c r="H74" s="4" t="str">
        <f>IFERROR(__xludf.DUMMYFUNCTION("FILTER(IMPORTRANGE(""https://docs.google.com/spreadsheets/d/1kGrh75X1cNR1D7_FcY9zMnHP8iPO4M5RCRjy6nZY0TY/edit#gid=1248694442"",""Table 1: Study characteristics!O4:O175""), $A74=IMPORTRANGE(""https://docs.google.com/spreadsheets/d/1kGrh75X1cNR1D7_FcY9zMnHP"&amp;"8iPO4M5RCRjy6nZY0TY/edit#gid=1248694442"",""Table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74" s="14" t="str">
        <f>IFERROR(__xludf.DUMMYFUNCTION("IFNA(FILTER(IMPORTRANGE(""https://docs.google.com/spreadsheets/d/1kGrh75X1cNR1D7_FcY9zMnHP8iPO4M5RCRjy6nZY0TY/edit#gid=1248694442"",""Table 3: 1st-line HC!C5:C111""), $A74=IMPORTRANGE(""https://docs.google.com/spreadsheets/d/1kGrh75X1cNR1D7_FcY9zMnHP8iPO4"&amp;"M5RCRjy6nZY0TY/edit#gid=1248694442"",""Table 3: 1st-line HC!A5:A111"")),"""")"),"Selected")</f>
        <v>Selected</v>
      </c>
      <c r="J74" s="4">
        <f>IFERROR(__xludf.DUMMYFUNCTION("FILTER(IMPORTRANGE(""https://docs.google.com/spreadsheets/d/1kGrh75X1cNR1D7_FcY9zMnHP8iPO4M5RCRjy6nZY0TY/edit#gid=1248694442"",""Table 1: Study characteristics!P4:P175""), $A74=IMPORTRANGE(""https://docs.google.com/spreadsheets/d/1kGrh75X1cNR1D7_FcY9zMnHP"&amp;"8iPO4M5RCRjy6nZY0TY/edit#gid=1248694442"",""Table 1: Study characteristics!A4:A175""))"),6.0)</f>
        <v>6</v>
      </c>
      <c r="K74" s="4">
        <f>IFERROR(__xludf.DUMMYFUNCTION("FILTER(IMPORTRANGE(""https://docs.google.com/spreadsheets/d/1kGrh75X1cNR1D7_FcY9zMnHP8iPO4M5RCRjy6nZY0TY/edit#gid=1248694442"",""Table 1: Study characteristics!U4:U175""), $A74=IMPORTRANGE(""https://docs.google.com/spreadsheets/d/1kGrh75X1cNR1D7_FcY9zMnHP"&amp;"8iPO4M5RCRjy6nZY0TY/edit#gid=1248694442"",""Table 1: Study characteristics!A4:A175""))"),4.0)</f>
        <v>4</v>
      </c>
      <c r="L74" s="4">
        <f>IFERROR(__xludf.DUMMYFUNCTION("FILTER(IMPORTRANGE(""https://docs.google.com/spreadsheets/d/1kGrh75X1cNR1D7_FcY9zMnHP8iPO4M5RCRjy6nZY0TY/edit#gid=1248694442"",""Table 1: Study characteristics!V4:V175""), $A74=IMPORTRANGE(""https://docs.google.com/spreadsheets/d/1kGrh75X1cNR1D7_FcY9zMnHP"&amp;"8iPO4M5RCRjy6nZY0TY/edit#gid=1248694442"",""Table 1: Study characteristics!A4:A175""))"),2.0)</f>
        <v>2</v>
      </c>
      <c r="M74" s="4" t="str">
        <f>IFERROR(__xludf.DUMMYFUNCTION("FILTER(IMPORTRANGE(""https://docs.google.com/spreadsheets/d/1kGrh75X1cNR1D7_FcY9zMnHP8iPO4M5RCRjy6nZY0TY/edit#gid=1248694442"",""Table 1: Study characteristics!Q4:Q175""), $A74=IMPORTRANGE(""https://docs.google.com/spreadsheets/d/1kGrh75X1cNR1D7_FcY9zMnHP"&amp;"8iPO4M5RCRjy6nZY0TY/edit#gid=1248694442"",""Table 1: Study characteristics!A4:A175""))"),"")</f>
        <v/>
      </c>
      <c r="N74" s="4" t="str">
        <f>IFERROR(__xludf.DUMMYFUNCTION("FILTER(IMPORTRANGE(""https://docs.google.com/spreadsheets/d/1kGrh75X1cNR1D7_FcY9zMnHP8iPO4M5RCRjy6nZY0TY/edit#gid=1248694442"",""Table 1: Study characteristics!R4:R175""), $A74=IMPORTRANGE(""https://docs.google.com/spreadsheets/d/1kGrh75X1cNR1D7_FcY9zMnHP"&amp;"8iPO4M5RCRjy6nZY0TY/edit#gid=1248694442"",""Table 1: Study characteristics!A4:A175""))"),"")</f>
        <v/>
      </c>
      <c r="O74" s="4" t="str">
        <f>IFERROR(__xludf.DUMMYFUNCTION("FILTER(IMPORTRANGE(""https://docs.google.com/spreadsheets/d/1kGrh75X1cNR1D7_FcY9zMnHP8iPO4M5RCRjy6nZY0TY/edit#gid=1248694442"",""Table 1: Study characteristics!S4:S175""), $A74=IMPORTRANGE(""https://docs.google.com/spreadsheets/d/1kGrh75X1cNR1D7_FcY9zMnHP"&amp;"8iPO4M5RCRjy6nZY0TY/edit#gid=1248694442"",""Table 1: Study characteristics!A4:A175""))"),"")</f>
        <v/>
      </c>
      <c r="P74" s="6" t="str">
        <f>IFERROR(__xludf.DUMMYFUNCTION("FILTER(IMPORTRANGE(""https://docs.google.com/spreadsheets/d/1kGrh75X1cNR1D7_FcY9zMnHP8iPO4M5RCRjy6nZY0TY/edit#gid=1248694442"",""Table 1: Study characteristics!T4:T175""), $A74=IMPORTRANGE(""https://docs.google.com/spreadsheets/d/1kGrh75X1cNR1D7_FcY9zMnHP"&amp;"8iPO4M5RCRjy6nZY0TY/edit#gid=1248694442"",""Table 1: Study characteristics!A4:A175""))"),"11-151")</f>
        <v>11-151</v>
      </c>
      <c r="Q74" s="6" t="str">
        <f>IFERROR(__xludf.DUMMYFUNCTION("FILTER(IMPORTRANGE(""https://docs.google.com/spreadsheets/d/1kGrh75X1cNR1D7_FcY9zMnHP8iPO4M5RCRjy6nZY0TY/edit#gid=1248694442"",""Table 1: Study characteristics!L4:L175""), $A74=IMPORTRANGE(""https://docs.google.com/spreadsheets/d/1kGrh75X1cNR1D7_FcY9zMnHP"&amp;"8iPO4M5RCRjy6nZY0TY/edit#gid=1248694442"",""Table 1: Study characteristics!A4:A175""))"),"")</f>
        <v/>
      </c>
      <c r="R74" s="4" t="str">
        <f>IFERROR(__xludf.DUMMYFUNCTION("FILTER(IMPORTRANGE(""https://docs.google.com/spreadsheets/d/1kGrh75X1cNR1D7_FcY9zMnHP8iPO4M5RCRjy6nZY0TY/edit#gid=1248694442"",""Table 1: Study characteristics!I4:I175""), $A74=IMPORTRANGE(""https://docs.google.com/spreadsheets/d/1kGrh75X1cNR1D7_FcY9zMnHP"&amp;"8iPO4M5RCRjy6nZY0TY/edit#gid=1248694442"",""Table 1: Study characteristics!A4:A175""))"),"English")</f>
        <v>English</v>
      </c>
    </row>
    <row r="75">
      <c r="A75" s="4" t="str">
        <f>IFERROR(__xludf.DUMMYFUNCTION("""COMPUTED_VALUE"""),"ID 161")</f>
        <v>ID 161</v>
      </c>
      <c r="B75" s="13" t="s">
        <v>223</v>
      </c>
      <c r="C75" s="4" t="str">
        <f>IFERROR(__xludf.DUMMYFUNCTION("LEFT(FILTER(IMPORTRANGE(""https://docs.google.com/spreadsheets/d/1kGrh75X1cNR1D7_FcY9zMnHP8iPO4M5RCRjy6nZY0TY/edit#gid=1248694442"",""Table 1: Study characteristics!C4:C175""), $A75=IMPORTRANGE(""https://docs.google.com/spreadsheets/d/1kGrh75X1cNR1D7_FcY9"&amp;"zMnHP8iPO4M5RCRjy6nZY0TY/edit#gid=1248694442"",""Table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$A75=IMPORTRANGE(""https://docs.google.com/spreadsheets/d/1kGrh75X1cNR1D7_FcY9zMnHP8iPO4M5RCRjy6nZY0TY/edit#gid=1248694442"",""Table 1: Study characteristics!A4:A175"")))-1)"),"Cools")</f>
        <v>Cools</v>
      </c>
      <c r="D75" s="4">
        <f>IFERROR(__xludf.DUMMYFUNCTION("FILTER(IMPORTRANGE(""https://docs.google.com/spreadsheets/d/1kGrh75X1cNR1D7_FcY9zMnHP8iPO4M5RCRjy6nZY0TY/edit#gid=1248694442"",""Table 1: Study characteristics!K4:K175""), $A75=IMPORTRANGE(""https://docs.google.com/spreadsheets/d/1kGrh75X1cNR1D7_FcY9zMnHP"&amp;"8iPO4M5RCRjy6nZY0TY/edit#gid=1248694442"",""Table 1: Study characteristics!A4:A175""))"),2019.0)</f>
        <v>2019</v>
      </c>
      <c r="E75" s="4" t="str">
        <f>IFERROR(__xludf.DUMMYFUNCTION("FILTER(IMPORTRANGE(""https://docs.google.com/spreadsheets/d/1kGrh75X1cNR1D7_FcY9zMnHP8iPO4M5RCRjy6nZY0TY/edit#gid=1248694442"",""Table 1: Study characteristics!M4:M175""), $A75=IMPORTRANGE(""https://docs.google.com/spreadsheets/d/1kGrh75X1cNR1D7_FcY9zMnHP"&amp;"8iPO4M5RCRjy6nZY0TY/edit#gid=1248694442"",""Table 1: Study characteristics!A4:A175""))"),"High income")</f>
        <v>High income</v>
      </c>
      <c r="F75" s="4" t="str">
        <f>IFERROR(__xludf.DUMMYFUNCTION("FILTER(IMPORTRANGE(""https://docs.google.com/spreadsheets/d/1kGrh75X1cNR1D7_FcY9zMnHP8iPO4M5RCRjy6nZY0TY/edit#gid=1248694442"",""Table 1: Study characteristics!N4:N175""), $A75=IMPORTRANGE(""https://docs.google.com/spreadsheets/d/1kGrh75X1cNR1D7_FcY9zMnHP"&amp;"8iPO4M5RCRjy6nZY0TY/edit#gid=1248694442"",""Table 1: Study characteristics!A4:A175""))"),"North America")</f>
        <v>North America</v>
      </c>
      <c r="G75" s="4" t="str">
        <f>IFERROR(__xludf.DUMMYFUNCTION("FILTER(IMPORTRANGE(""https://docs.google.com/spreadsheets/d/1kGrh75X1cNR1D7_FcY9zMnHP8iPO4M5RCRjy6nZY0TY/edit#gid=1248694442"",""Table 1: Study characteristics!J4:J175""), $A75=IMPORTRANGE(""https://docs.google.com/spreadsheets/d/1kGrh75X1cNR1D7_FcY9zMnHP"&amp;"8iPO4M5RCRjy6nZY0TY/edit#gid=1248694442"",""Table 1: Study characteristics!A4:A175""))"),"United States")</f>
        <v>United States</v>
      </c>
      <c r="H75" s="4" t="str">
        <f>IFERROR(__xludf.DUMMYFUNCTION("FILTER(IMPORTRANGE(""https://docs.google.com/spreadsheets/d/1kGrh75X1cNR1D7_FcY9zMnHP8iPO4M5RCRjy6nZY0TY/edit#gid=1248694442"",""Table 1: Study characteristics!O4:O175""), $A75=IMPORTRANGE(""https://docs.google.com/spreadsheets/d/1kGrh75X1cNR1D7_FcY9zMnHP"&amp;"8iPO4M5RCRjy6nZY0TY/edit#gid=1248694442"",""Table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75" s="14" t="str">
        <f>IFERROR(__xludf.DUMMYFUNCTION("IFNA(FILTER(IMPORTRANGE(""https://docs.google.com/spreadsheets/d/1kGrh75X1cNR1D7_FcY9zMnHP8iPO4M5RCRjy6nZY0TY/edit#gid=1248694442"",""Table 3: 1st-line HC!C5:C111""), $A75=IMPORTRANGE(""https://docs.google.com/spreadsheets/d/1kGrh75X1cNR1D7_FcY9zMnHP8iPO4"&amp;"M5RCRjy6nZY0TY/edit#gid=1248694442"",""Table 3: 1st-line HC!A5:A111"")),"""")"),"Selected")</f>
        <v>Selected</v>
      </c>
      <c r="J75" s="4">
        <f>IFERROR(__xludf.DUMMYFUNCTION("FILTER(IMPORTRANGE(""https://docs.google.com/spreadsheets/d/1kGrh75X1cNR1D7_FcY9zMnHP8iPO4M5RCRjy6nZY0TY/edit#gid=1248694442"",""Table 1: Study characteristics!P4:P175""), $A75=IMPORTRANGE(""https://docs.google.com/spreadsheets/d/1kGrh75X1cNR1D7_FcY9zMnHP"&amp;"8iPO4M5RCRjy6nZY0TY/edit#gid=1248694442"",""Table 1: Study characteristics!A4:A175""))"),27.0)</f>
        <v>27</v>
      </c>
      <c r="K75" s="4">
        <f>IFERROR(__xludf.DUMMYFUNCTION("FILTER(IMPORTRANGE(""https://docs.google.com/spreadsheets/d/1kGrh75X1cNR1D7_FcY9zMnHP8iPO4M5RCRjy6nZY0TY/edit#gid=1248694442"",""Table 1: Study characteristics!U4:U175""), $A75=IMPORTRANGE(""https://docs.google.com/spreadsheets/d/1kGrh75X1cNR1D7_FcY9zMnHP"&amp;"8iPO4M5RCRjy6nZY0TY/edit#gid=1248694442"",""Table 1: Study characteristics!A4:A175""))"),31.0)</f>
        <v>31</v>
      </c>
      <c r="L75" s="4">
        <f>IFERROR(__xludf.DUMMYFUNCTION("FILTER(IMPORTRANGE(""https://docs.google.com/spreadsheets/d/1kGrh75X1cNR1D7_FcY9zMnHP8iPO4M5RCRjy6nZY0TY/edit#gid=1248694442"",""Table 1: Study characteristics!V4:V175""), $A75=IMPORTRANGE(""https://docs.google.com/spreadsheets/d/1kGrh75X1cNR1D7_FcY9zMnHP"&amp;"8iPO4M5RCRjy6nZY0TY/edit#gid=1248694442"",""Table 1: Study characteristics!A4:A175""))"),27.0)</f>
        <v>27</v>
      </c>
      <c r="M75" s="4">
        <f>IFERROR(__xludf.DUMMYFUNCTION("FILTER(IMPORTRANGE(""https://docs.google.com/spreadsheets/d/1kGrh75X1cNR1D7_FcY9zMnHP8iPO4M5RCRjy6nZY0TY/edit#gid=1248694442"",""Table 1: Study characteristics!Q4:Q175""), $A75=IMPORTRANGE(""https://docs.google.com/spreadsheets/d/1kGrh75X1cNR1D7_FcY9zMnHP"&amp;"8iPO4M5RCRjy6nZY0TY/edit#gid=1248694442"",""Table 1: Study characteristics!A4:A175""))"),263.2)</f>
        <v>263.2</v>
      </c>
      <c r="N75" s="4" t="str">
        <f>IFERROR(__xludf.DUMMYFUNCTION("FILTER(IMPORTRANGE(""https://docs.google.com/spreadsheets/d/1kGrh75X1cNR1D7_FcY9zMnHP8iPO4M5RCRjy6nZY0TY/edit#gid=1248694442"",""Table 1: Study characteristics!R4:R175""), $A75=IMPORTRANGE(""https://docs.google.com/spreadsheets/d/1kGrh75X1cNR1D7_FcY9zMnHP"&amp;"8iPO4M5RCRjy6nZY0TY/edit#gid=1248694442"",""Table 1: Study characteristics!A4:A175""))"),"")</f>
        <v/>
      </c>
      <c r="O75" s="4">
        <f>IFERROR(__xludf.DUMMYFUNCTION("FILTER(IMPORTRANGE(""https://docs.google.com/spreadsheets/d/1kGrh75X1cNR1D7_FcY9zMnHP8iPO4M5RCRjy6nZY0TY/edit#gid=1248694442"",""Table 1: Study characteristics!S4:S175""), $A75=IMPORTRANGE(""https://docs.google.com/spreadsheets/d/1kGrh75X1cNR1D7_FcY9zMnHP"&amp;"8iPO4M5RCRjy6nZY0TY/edit#gid=1248694442"",""Table 1: Study characteristics!A4:A175""))"),277.2)</f>
        <v>277.2</v>
      </c>
      <c r="P75" s="6" t="str">
        <f>IFERROR(__xludf.DUMMYFUNCTION("FILTER(IMPORTRANGE(""https://docs.google.com/spreadsheets/d/1kGrh75X1cNR1D7_FcY9zMnHP8iPO4M5RCRjy6nZY0TY/edit#gid=1248694442"",""Table 1: Study characteristics!T4:T175""), $A75=IMPORTRANGE(""https://docs.google.com/spreadsheets/d/1kGrh75X1cNR1D7_FcY9zMnHP"&amp;"8iPO4M5RCRjy6nZY0TY/edit#gid=1248694442"",""Table 1: Study characteristics!A4:A175""))"),"")</f>
        <v/>
      </c>
      <c r="Q75" s="6" t="str">
        <f>IFERROR(__xludf.DUMMYFUNCTION("FILTER(IMPORTRANGE(""https://docs.google.com/spreadsheets/d/1kGrh75X1cNR1D7_FcY9zMnHP8iPO4M5RCRjy6nZY0TY/edit#gid=1248694442"",""Table 1: Study characteristics!L4:L175""), $A75=IMPORTRANGE(""https://docs.google.com/spreadsheets/d/1kGrh75X1cNR1D7_FcY9zMnHP"&amp;"8iPO4M5RCRjy6nZY0TY/edit#gid=1248694442"",""Table 1: Study characteristics!A4:A175""))"),"2011-2017")</f>
        <v>2011-2017</v>
      </c>
      <c r="R75" s="4" t="str">
        <f>IFERROR(__xludf.DUMMYFUNCTION("FILTER(IMPORTRANGE(""https://docs.google.com/spreadsheets/d/1kGrh75X1cNR1D7_FcY9zMnHP8iPO4M5RCRjy6nZY0TY/edit#gid=1248694442"",""Table 1: Study characteristics!I4:I175""), $A75=IMPORTRANGE(""https://docs.google.com/spreadsheets/d/1kGrh75X1cNR1D7_FcY9zMnHP"&amp;"8iPO4M5RCRjy6nZY0TY/edit#gid=1248694442"",""Table 1: Study characteristics!A4:A175""))"),"English")</f>
        <v>English</v>
      </c>
    </row>
    <row r="76">
      <c r="A76" s="4" t="str">
        <f>IFERROR(__xludf.DUMMYFUNCTION("""COMPUTED_VALUE"""),"ID 162")</f>
        <v>ID 162</v>
      </c>
      <c r="B76" s="13" t="s">
        <v>224</v>
      </c>
      <c r="C76" s="4" t="str">
        <f>IFERROR(__xludf.DUMMYFUNCTION("LEFT(FILTER(IMPORTRANGE(""https://docs.google.com/spreadsheets/d/1kGrh75X1cNR1D7_FcY9zMnHP8iPO4M5RCRjy6nZY0TY/edit#gid=1248694442"",""Table 1: Study characteristics!C4:C175""), $A76=IMPORTRANGE(""https://docs.google.com/spreadsheets/d/1kGrh75X1cNR1D7_FcY9"&amp;"zMnHP8iPO4M5RCRjy6nZY0TY/edit#gid=1248694442"",""Table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$A76=IMPORTRANGE(""https://docs.google.com/spreadsheets/d/1kGrh75X1cNR1D7_FcY9zMnHP8iPO4M5RCRjy6nZY0TY/edit#gid=1248694442"",""Table 1: Study characteristics!A4:A175"")))-1)"),"Ozgural")</f>
        <v>Ozgural</v>
      </c>
      <c r="D76" s="4">
        <f>IFERROR(__xludf.DUMMYFUNCTION("FILTER(IMPORTRANGE(""https://docs.google.com/spreadsheets/d/1kGrh75X1cNR1D7_FcY9zMnHP8iPO4M5RCRjy6nZY0TY/edit#gid=1248694442"",""Table 1: Study characteristics!K4:K175""), $A76=IMPORTRANGE(""https://docs.google.com/spreadsheets/d/1kGrh75X1cNR1D7_FcY9zMnHP"&amp;"8iPO4M5RCRjy6nZY0TY/edit#gid=1248694442"",""Table 1: Study characteristics!A4:A175""))"),2020.0)</f>
        <v>2020</v>
      </c>
      <c r="E76" s="4" t="str">
        <f>IFERROR(__xludf.DUMMYFUNCTION("FILTER(IMPORTRANGE(""https://docs.google.com/spreadsheets/d/1kGrh75X1cNR1D7_FcY9zMnHP8iPO4M5RCRjy6nZY0TY/edit#gid=1248694442"",""Table 1: Study characteristics!M4:M175""), $A76=IMPORTRANGE(""https://docs.google.com/spreadsheets/d/1kGrh75X1cNR1D7_FcY9zMnHP"&amp;"8iPO4M5RCRjy6nZY0TY/edit#gid=1248694442"",""Table 1: Study characteristics!A4:A175""))"),"Upper middle income")</f>
        <v>Upper middle income</v>
      </c>
      <c r="F76" s="4" t="str">
        <f>IFERROR(__xludf.DUMMYFUNCTION("FILTER(IMPORTRANGE(""https://docs.google.com/spreadsheets/d/1kGrh75X1cNR1D7_FcY9zMnHP8iPO4M5RCRjy6nZY0TY/edit#gid=1248694442"",""Table 1: Study characteristics!N4:N175""), $A76=IMPORTRANGE(""https://docs.google.com/spreadsheets/d/1kGrh75X1cNR1D7_FcY9zMnHP"&amp;"8iPO4M5RCRjy6nZY0TY/edit#gid=1248694442"",""Table 1: Study characteristics!A4:A175""))"),"Europe &amp; Central Asia")</f>
        <v>Europe &amp; Central Asia</v>
      </c>
      <c r="G76" s="4" t="str">
        <f>IFERROR(__xludf.DUMMYFUNCTION("FILTER(IMPORTRANGE(""https://docs.google.com/spreadsheets/d/1kGrh75X1cNR1D7_FcY9zMnHP8iPO4M5RCRjy6nZY0TY/edit#gid=1248694442"",""Table 1: Study characteristics!J4:J175""), $A76=IMPORTRANGE(""https://docs.google.com/spreadsheets/d/1kGrh75X1cNR1D7_FcY9zMnHP"&amp;"8iPO4M5RCRjy6nZY0TY/edit#gid=1248694442"",""Table 1: Study characteristics!A4:A175""))"),"Turkey")</f>
        <v>Turkey</v>
      </c>
      <c r="H76" s="4" t="str">
        <f>IFERROR(__xludf.DUMMYFUNCTION("FILTER(IMPORTRANGE(""https://docs.google.com/spreadsheets/d/1kGrh75X1cNR1D7_FcY9zMnHP8iPO4M5RCRjy6nZY0TY/edit#gid=1248694442"",""Table 1: Study characteristics!O4:O175""), $A76=IMPORTRANGE(""https://docs.google.com/spreadsheets/d/1kGrh75X1cNR1D7_FcY9zMnHP"&amp;"8iPO4M5RCRjy6nZY0TY/edit#gid=1248694442"",""Table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76" s="14" t="str">
        <f>IFERROR(__xludf.DUMMYFUNCTION("IFNA(FILTER(IMPORTRANGE(""https://docs.google.com/spreadsheets/d/1kGrh75X1cNR1D7_FcY9zMnHP8iPO4M5RCRjy6nZY0TY/edit#gid=1248694442"",""Table 3: 1st-line HC!C5:C111""), $A76=IMPORTRANGE(""https://docs.google.com/spreadsheets/d/1kGrh75X1cNR1D7_FcY9zMnHP8iPO4"&amp;"M5RCRjy6nZY0TY/edit#gid=1248694442"",""Table 3: 1st-line HC!A5:A111"")),"""")"),"Selected")</f>
        <v>Selected</v>
      </c>
      <c r="J76" s="4">
        <f>IFERROR(__xludf.DUMMYFUNCTION("FILTER(IMPORTRANGE(""https://docs.google.com/spreadsheets/d/1kGrh75X1cNR1D7_FcY9zMnHP8iPO4M5RCRjy6nZY0TY/edit#gid=1248694442"",""Table 1: Study characteristics!P4:P175""), $A76=IMPORTRANGE(""https://docs.google.com/spreadsheets/d/1kGrh75X1cNR1D7_FcY9zMnHP"&amp;"8iPO4M5RCRjy6nZY0TY/edit#gid=1248694442"",""Table 1: Study characteristics!A4:A175""))"),57.0)</f>
        <v>57</v>
      </c>
      <c r="K76" s="4">
        <f>IFERROR(__xludf.DUMMYFUNCTION("FILTER(IMPORTRANGE(""https://docs.google.com/spreadsheets/d/1kGrh75X1cNR1D7_FcY9zMnHP8iPO4M5RCRjy6nZY0TY/edit#gid=1248694442"",""Table 1: Study characteristics!U4:U175""), $A76=IMPORTRANGE(""https://docs.google.com/spreadsheets/d/1kGrh75X1cNR1D7_FcY9zMnHP"&amp;"8iPO4M5RCRjy6nZY0TY/edit#gid=1248694442"",""Table 1: Study characteristics!A4:A175""))"),37.0)</f>
        <v>37</v>
      </c>
      <c r="L76" s="4">
        <f>IFERROR(__xludf.DUMMYFUNCTION("FILTER(IMPORTRANGE(""https://docs.google.com/spreadsheets/d/1kGrh75X1cNR1D7_FcY9zMnHP8iPO4M5RCRjy6nZY0TY/edit#gid=1248694442"",""Table 1: Study characteristics!V4:V175""), $A76=IMPORTRANGE(""https://docs.google.com/spreadsheets/d/1kGrh75X1cNR1D7_FcY9zMnHP"&amp;"8iPO4M5RCRjy6nZY0TY/edit#gid=1248694442"",""Table 1: Study characteristics!A4:A175""))"),34.0)</f>
        <v>34</v>
      </c>
      <c r="M76" s="4">
        <f>IFERROR(__xludf.DUMMYFUNCTION("FILTER(IMPORTRANGE(""https://docs.google.com/spreadsheets/d/1kGrh75X1cNR1D7_FcY9zMnHP8iPO4M5RCRjy6nZY0TY/edit#gid=1248694442"",""Table 1: Study characteristics!Q4:Q175""), $A76=IMPORTRANGE(""https://docs.google.com/spreadsheets/d/1kGrh75X1cNR1D7_FcY9zMnHP"&amp;"8iPO4M5RCRjy6nZY0TY/edit#gid=1248694442"",""Table 1: Study characteristics!A4:A175""))"),6.51)</f>
        <v>6.51</v>
      </c>
      <c r="N76" s="4" t="str">
        <f>IFERROR(__xludf.DUMMYFUNCTION("FILTER(IMPORTRANGE(""https://docs.google.com/spreadsheets/d/1kGrh75X1cNR1D7_FcY9zMnHP8iPO4M5RCRjy6nZY0TY/edit#gid=1248694442"",""Table 1: Study characteristics!R4:R175""), $A76=IMPORTRANGE(""https://docs.google.com/spreadsheets/d/1kGrh75X1cNR1D7_FcY9zMnHP"&amp;"8iPO4M5RCRjy6nZY0TY/edit#gid=1248694442"",""Table 1: Study characteristics!A4:A175""))"),"")</f>
        <v/>
      </c>
      <c r="O76" s="4" t="str">
        <f>IFERROR(__xludf.DUMMYFUNCTION("FILTER(IMPORTRANGE(""https://docs.google.com/spreadsheets/d/1kGrh75X1cNR1D7_FcY9zMnHP8iPO4M5RCRjy6nZY0TY/edit#gid=1248694442"",""Table 1: Study characteristics!S4:S175""), $A76=IMPORTRANGE(""https://docs.google.com/spreadsheets/d/1kGrh75X1cNR1D7_FcY9zMnHP"&amp;"8iPO4M5RCRjy6nZY0TY/edit#gid=1248694442"",""Table 1: Study characteristics!A4:A175""))"),"")</f>
        <v/>
      </c>
      <c r="P76" s="6" t="str">
        <f>IFERROR(__xludf.DUMMYFUNCTION("FILTER(IMPORTRANGE(""https://docs.google.com/spreadsheets/d/1kGrh75X1cNR1D7_FcY9zMnHP8iPO4M5RCRjy6nZY0TY/edit#gid=1248694442"",""Table 1: Study characteristics!T4:T175""), $A76=IMPORTRANGE(""https://docs.google.com/spreadsheets/d/1kGrh75X1cNR1D7_FcY9zMnHP"&amp;"8iPO4M5RCRjy6nZY0TY/edit#gid=1248694442"",""Table 1: Study characteristics!A4:A175""))"),"")</f>
        <v/>
      </c>
      <c r="Q76" s="6" t="str">
        <f>IFERROR(__xludf.DUMMYFUNCTION("FILTER(IMPORTRANGE(""https://docs.google.com/spreadsheets/d/1kGrh75X1cNR1D7_FcY9zMnHP8iPO4M5RCRjy6nZY0TY/edit#gid=1248694442"",""Table 1: Study characteristics!L4:L175""), $A76=IMPORTRANGE(""https://docs.google.com/spreadsheets/d/1kGrh75X1cNR1D7_FcY9zMnHP"&amp;"8iPO4M5RCRjy6nZY0TY/edit#gid=1248694442"",""Table 1: Study characteristics!A4:A175""))"),"2012-2018")</f>
        <v>2012-2018</v>
      </c>
      <c r="R76" s="4" t="str">
        <f>IFERROR(__xludf.DUMMYFUNCTION("FILTER(IMPORTRANGE(""https://docs.google.com/spreadsheets/d/1kGrh75X1cNR1D7_FcY9zMnHP8iPO4M5RCRjy6nZY0TY/edit#gid=1248694442"",""Table 1: Study characteristics!I4:I175""), $A76=IMPORTRANGE(""https://docs.google.com/spreadsheets/d/1kGrh75X1cNR1D7_FcY9zMnHP"&amp;"8iPO4M5RCRjy6nZY0TY/edit#gid=1248694442"",""Table 1: Study characteristics!A4:A175""))"),"English")</f>
        <v>English</v>
      </c>
    </row>
    <row r="77">
      <c r="A77" s="4" t="str">
        <f>IFERROR(__xludf.DUMMYFUNCTION("""COMPUTED_VALUE"""),"ID 163")</f>
        <v>ID 163</v>
      </c>
      <c r="B77" s="13" t="s">
        <v>225</v>
      </c>
      <c r="C77" s="4" t="str">
        <f>IFERROR(__xludf.DUMMYFUNCTION("LEFT(FILTER(IMPORTRANGE(""https://docs.google.com/spreadsheets/d/1kGrh75X1cNR1D7_FcY9zMnHP8iPO4M5RCRjy6nZY0TY/edit#gid=1248694442"",""Table 1: Study characteristics!C4:C175""), $A77=IMPORTRANGE(""https://docs.google.com/spreadsheets/d/1kGrh75X1cNR1D7_FcY9"&amp;"zMnHP8iPO4M5RCRjy6nZY0TY/edit#gid=1248694442"",""Table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$A77=IMPORTRANGE(""https://docs.google.com/spreadsheets/d/1kGrh75X1cNR1D7_FcY9zMnHP8iPO4M5RCRjy6nZY0TY/edit#gid=1248694442"",""Table 1: Study characteristics!A4:A175"")))-1)"),"Margaron")</f>
        <v>Margaron</v>
      </c>
      <c r="D77" s="4">
        <f>IFERROR(__xludf.DUMMYFUNCTION("FILTER(IMPORTRANGE(""https://docs.google.com/spreadsheets/d/1kGrh75X1cNR1D7_FcY9zMnHP8iPO4M5RCRjy6nZY0TY/edit#gid=1248694442"",""Table 1: Study characteristics!K4:K175""), $A77=IMPORTRANGE(""https://docs.google.com/spreadsheets/d/1kGrh75X1cNR1D7_FcY9zMnHP"&amp;"8iPO4M5RCRjy6nZY0TY/edit#gid=1248694442"",""Table 1: Study characteristics!A4:A175""))"),2010.0)</f>
        <v>2010</v>
      </c>
      <c r="E77" s="4" t="str">
        <f>IFERROR(__xludf.DUMMYFUNCTION("FILTER(IMPORTRANGE(""https://docs.google.com/spreadsheets/d/1kGrh75X1cNR1D7_FcY9zMnHP8iPO4M5RCRjy6nZY0TY/edit#gid=1248694442"",""Table 1: Study characteristics!M4:M175""), $A77=IMPORTRANGE(""https://docs.google.com/spreadsheets/d/1kGrh75X1cNR1D7_FcY9zMnHP"&amp;"8iPO4M5RCRjy6nZY0TY/edit#gid=1248694442"",""Table 1: Study characteristics!A4:A175""))"),"Lower middle income")</f>
        <v>Lower middle income</v>
      </c>
      <c r="F77" s="4" t="str">
        <f>IFERROR(__xludf.DUMMYFUNCTION("FILTER(IMPORTRANGE(""https://docs.google.com/spreadsheets/d/1kGrh75X1cNR1D7_FcY9zMnHP8iPO4M5RCRjy6nZY0TY/edit#gid=1248694442"",""Table 1: Study characteristics!N4:N175""), $A77=IMPORTRANGE(""https://docs.google.com/spreadsheets/d/1kGrh75X1cNR1D7_FcY9zMnHP"&amp;"8iPO4M5RCRjy6nZY0TY/edit#gid=1248694442"",""Table 1: Study characteristics!A4:A175""))"),"Sub-Saharan Africa")</f>
        <v>Sub-Saharan Africa</v>
      </c>
      <c r="G77" s="4" t="str">
        <f>IFERROR(__xludf.DUMMYFUNCTION("FILTER(IMPORTRANGE(""https://docs.google.com/spreadsheets/d/1kGrh75X1cNR1D7_FcY9zMnHP8iPO4M5RCRjy6nZY0TY/edit#gid=1248694442"",""Table 1: Study characteristics!J4:J175""), $A77=IMPORTRANGE(""https://docs.google.com/spreadsheets/d/1kGrh75X1cNR1D7_FcY9zMnHP"&amp;"8iPO4M5RCRjy6nZY0TY/edit#gid=1248694442"",""Table 1: Study characteristics!A4:A175""))"),"Kenya")</f>
        <v>Kenya</v>
      </c>
      <c r="H77" s="4" t="str">
        <f>IFERROR(__xludf.DUMMYFUNCTION("FILTER(IMPORTRANGE(""https://docs.google.com/spreadsheets/d/1kGrh75X1cNR1D7_FcY9zMnHP8iPO4M5RCRjy6nZY0TY/edit#gid=1248694442"",""Table 1: Study characteristics!O4:O175""), $A77=IMPORTRANGE(""https://docs.google.com/spreadsheets/d/1kGrh75X1cNR1D7_FcY9zMnHP"&amp;"8iPO4M5RCRjy6nZY0TY/edit#gid=1248694442"",""Table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77" s="14" t="str">
        <f>IFERROR(__xludf.DUMMYFUNCTION("IFNA(FILTER(IMPORTRANGE(""https://docs.google.com/spreadsheets/d/1kGrh75X1cNR1D7_FcY9zMnHP8iPO4M5RCRjy6nZY0TY/edit#gid=1248694442"",""Table 3: 1st-line HC!C5:C111""), $A77=IMPORTRANGE(""https://docs.google.com/spreadsheets/d/1kGrh75X1cNR1D7_FcY9zMnHP8iPO4"&amp;"M5RCRjy6nZY0TY/edit#gid=1248694442"",""Table 3: 1st-line HC!A5:A111"")),"""")"),"Selected")</f>
        <v>Selected</v>
      </c>
      <c r="J77" s="4">
        <f>IFERROR(__xludf.DUMMYFUNCTION("FILTER(IMPORTRANGE(""https://docs.google.com/spreadsheets/d/1kGrh75X1cNR1D7_FcY9zMnHP8iPO4M5RCRjy6nZY0TY/edit#gid=1248694442"",""Table 1: Study characteristics!P4:P175""), $A77=IMPORTRANGE(""https://docs.google.com/spreadsheets/d/1kGrh75X1cNR1D7_FcY9zMnHP"&amp;"8iPO4M5RCRjy6nZY0TY/edit#gid=1248694442"",""Table 1: Study characteristics!A4:A175""))"),276.0)</f>
        <v>276</v>
      </c>
      <c r="K77" s="4">
        <f>IFERROR(__xludf.DUMMYFUNCTION("FILTER(IMPORTRANGE(""https://docs.google.com/spreadsheets/d/1kGrh75X1cNR1D7_FcY9zMnHP8iPO4M5RCRjy6nZY0TY/edit#gid=1248694442"",""Table 1: Study characteristics!U4:U175""), $A77=IMPORTRANGE(""https://docs.google.com/spreadsheets/d/1kGrh75X1cNR1D7_FcY9zMnHP"&amp;"8iPO4M5RCRjy6nZY0TY/edit#gid=1248694442"",""Table 1: Study characteristics!A4:A175""))"),123.0)</f>
        <v>123</v>
      </c>
      <c r="L77" s="4">
        <f>IFERROR(__xludf.DUMMYFUNCTION("FILTER(IMPORTRANGE(""https://docs.google.com/spreadsheets/d/1kGrh75X1cNR1D7_FcY9zMnHP8iPO4M5RCRjy6nZY0TY/edit#gid=1248694442"",""Table 1: Study characteristics!V4:V175""), $A77=IMPORTRANGE(""https://docs.google.com/spreadsheets/d/1kGrh75X1cNR1D7_FcY9zMnHP"&amp;"8iPO4M5RCRjy6nZY0TY/edit#gid=1248694442"",""Table 1: Study characteristics!A4:A175""))"),153.0)</f>
        <v>153</v>
      </c>
      <c r="M77" s="4">
        <f>IFERROR(__xludf.DUMMYFUNCTION("FILTER(IMPORTRANGE(""https://docs.google.com/spreadsheets/d/1kGrh75X1cNR1D7_FcY9zMnHP8iPO4M5RCRjy6nZY0TY/edit#gid=1248694442"",""Table 1: Study characteristics!Q4:Q175""), $A77=IMPORTRANGE(""https://docs.google.com/spreadsheets/d/1kGrh75X1cNR1D7_FcY9zMnHP"&amp;"8iPO4M5RCRjy6nZY0TY/edit#gid=1248694442"",""Table 1: Study characteristics!A4:A175""))"),258.5)</f>
        <v>258.5</v>
      </c>
      <c r="N77" s="4">
        <f>IFERROR(__xludf.DUMMYFUNCTION("FILTER(IMPORTRANGE(""https://docs.google.com/spreadsheets/d/1kGrh75X1cNR1D7_FcY9zMnHP8iPO4M5RCRjy6nZY0TY/edit#gid=1248694442"",""Table 1: Study characteristics!R4:R175""), $A77=IMPORTRANGE(""https://docs.google.com/spreadsheets/d/1kGrh75X1cNR1D7_FcY9zMnHP"&amp;"8iPO4M5RCRjy6nZY0TY/edit#gid=1248694442"",""Table 1: Study characteristics!A4:A175""))"),30.4)</f>
        <v>30.4</v>
      </c>
      <c r="O77" s="4">
        <f>IFERROR(__xludf.DUMMYFUNCTION("FILTER(IMPORTRANGE(""https://docs.google.com/spreadsheets/d/1kGrh75X1cNR1D7_FcY9zMnHP8iPO4M5RCRjy6nZY0TY/edit#gid=1248694442"",""Table 1: Study characteristics!S4:S175""), $A77=IMPORTRANGE(""https://docs.google.com/spreadsheets/d/1kGrh75X1cNR1D7_FcY9zMnHP"&amp;"8iPO4M5RCRjy6nZY0TY/edit#gid=1248694442"",""Table 1: Study characteristics!A4:A175""))"),238.0)</f>
        <v>238</v>
      </c>
      <c r="P77" s="6" t="str">
        <f>IFERROR(__xludf.DUMMYFUNCTION("FILTER(IMPORTRANGE(""https://docs.google.com/spreadsheets/d/1kGrh75X1cNR1D7_FcY9zMnHP8iPO4M5RCRjy6nZY0TY/edit#gid=1248694442"",""Table 1: Study characteristics!T4:T175""), $A77=IMPORTRANGE(""https://docs.google.com/spreadsheets/d/1kGrh75X1cNR1D7_FcY9zMnHP"&amp;"8iPO4M5RCRjy6nZY0TY/edit#gid=1248694442"",""Table 1: Study characteristics!A4:A175""))"),"")</f>
        <v/>
      </c>
      <c r="Q77" s="6" t="str">
        <f>IFERROR(__xludf.DUMMYFUNCTION("FILTER(IMPORTRANGE(""https://docs.google.com/spreadsheets/d/1kGrh75X1cNR1D7_FcY9zMnHP8iPO4M5RCRjy6nZY0TY/edit#gid=1248694442"",""Table 1: Study characteristics!L4:L175""), $A77=IMPORTRANGE(""https://docs.google.com/spreadsheets/d/1kGrh75X1cNR1D7_FcY9zMnHP"&amp;"8iPO4M5RCRjy6nZY0TY/edit#gid=1248694442"",""Table 1: Study characteristics!A4:A175""))"),"1997-2007")</f>
        <v>1997-2007</v>
      </c>
      <c r="R77" s="4" t="str">
        <f>IFERROR(__xludf.DUMMYFUNCTION("FILTER(IMPORTRANGE(""https://docs.google.com/spreadsheets/d/1kGrh75X1cNR1D7_FcY9zMnHP8iPO4M5RCRjy6nZY0TY/edit#gid=1248694442"",""Table 1: Study characteristics!I4:I175""), $A77=IMPORTRANGE(""https://docs.google.com/spreadsheets/d/1kGrh75X1cNR1D7_FcY9zMnHP"&amp;"8iPO4M5RCRjy6nZY0TY/edit#gid=1248694442"",""Table 1: Study characteristics!A4:A175""))"),"English")</f>
        <v>English</v>
      </c>
    </row>
    <row r="78">
      <c r="A78" s="4" t="str">
        <f>IFERROR(__xludf.DUMMYFUNCTION("""COMPUTED_VALUE"""),"ID 164")</f>
        <v>ID 164</v>
      </c>
      <c r="B78" s="13" t="s">
        <v>226</v>
      </c>
      <c r="C78" s="4" t="str">
        <f>IFERROR(__xludf.DUMMYFUNCTION("LEFT(FILTER(IMPORTRANGE(""https://docs.google.com/spreadsheets/d/1kGrh75X1cNR1D7_FcY9zMnHP8iPO4M5RCRjy6nZY0TY/edit#gid=1248694442"",""Table 1: Study characteristics!C4:C175""), $A78=IMPORTRANGE(""https://docs.google.com/spreadsheets/d/1kGrh75X1cNR1D7_FcY9"&amp;"zMnHP8iPO4M5RCRjy6nZY0TY/edit#gid=1248694442"",""Table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$A78=IMPORTRANGE(""https://docs.google.com/spreadsheets/d/1kGrh75X1cNR1D7_FcY9zMnHP8iPO4M5RCRjy6nZY0TY/edit#gid=1248694442"",""Table 1: Study characteristics!A4:A175"")))-1)"),"de Oliveira")</f>
        <v>de Oliveira</v>
      </c>
      <c r="D78" s="4">
        <f>IFERROR(__xludf.DUMMYFUNCTION("FILTER(IMPORTRANGE(""https://docs.google.com/spreadsheets/d/1kGrh75X1cNR1D7_FcY9zMnHP8iPO4M5RCRjy6nZY0TY/edit#gid=1248694442"",""Table 1: Study characteristics!K4:K175""), $A78=IMPORTRANGE(""https://docs.google.com/spreadsheets/d/1kGrh75X1cNR1D7_FcY9zMnHP"&amp;"8iPO4M5RCRjy6nZY0TY/edit#gid=1248694442"",""Table 1: Study characteristics!A4:A175""))"),2016.0)</f>
        <v>2016</v>
      </c>
      <c r="E78" s="4" t="str">
        <f>IFERROR(__xludf.DUMMYFUNCTION("FILTER(IMPORTRANGE(""https://docs.google.com/spreadsheets/d/1kGrh75X1cNR1D7_FcY9zMnHP8iPO4M5RCRjy6nZY0TY/edit#gid=1248694442"",""Table 1: Study characteristics!M4:M175""), $A78=IMPORTRANGE(""https://docs.google.com/spreadsheets/d/1kGrh75X1cNR1D7_FcY9zMnHP"&amp;"8iPO4M5RCRjy6nZY0TY/edit#gid=1248694442"",""Table 1: Study characteristics!A4:A175""))"),"Upper middle income")</f>
        <v>Upper middle income</v>
      </c>
      <c r="F78" s="4" t="str">
        <f>IFERROR(__xludf.DUMMYFUNCTION("FILTER(IMPORTRANGE(""https://docs.google.com/spreadsheets/d/1kGrh75X1cNR1D7_FcY9zMnHP8iPO4M5RCRjy6nZY0TY/edit#gid=1248694442"",""Table 1: Study characteristics!N4:N175""), $A78=IMPORTRANGE(""https://docs.google.com/spreadsheets/d/1kGrh75X1cNR1D7_FcY9zMnHP"&amp;"8iPO4M5RCRjy6nZY0TY/edit#gid=1248694442"",""Table 1: Study characteristics!A4:A175""))"),"Latin America &amp; Caribbean")</f>
        <v>Latin America &amp; Caribbean</v>
      </c>
      <c r="G78" s="4" t="str">
        <f>IFERROR(__xludf.DUMMYFUNCTION("FILTER(IMPORTRANGE(""https://docs.google.com/spreadsheets/d/1kGrh75X1cNR1D7_FcY9zMnHP8iPO4M5RCRjy6nZY0TY/edit#gid=1248694442"",""Table 1: Study characteristics!J4:J175""), $A78=IMPORTRANGE(""https://docs.google.com/spreadsheets/d/1kGrh75X1cNR1D7_FcY9zMnHP"&amp;"8iPO4M5RCRjy6nZY0TY/edit#gid=1248694442"",""Table 1: Study characteristics!A4:A175""))"),"Brazil")</f>
        <v>Brazil</v>
      </c>
      <c r="H78" s="4" t="str">
        <f>IFERROR(__xludf.DUMMYFUNCTION("FILTER(IMPORTRANGE(""https://docs.google.com/spreadsheets/d/1kGrh75X1cNR1D7_FcY9zMnHP8iPO4M5RCRjy6nZY0TY/edit#gid=1248694442"",""Table 1: Study characteristics!O4:O175""), $A78=IMPORTRANGE(""https://docs.google.com/spreadsheets/d/1kGrh75X1cNR1D7_FcY9zMnHP"&amp;"8iPO4M5RCRjy6nZY0TY/edit#gid=1248694442"",""Table 1: Study characteristics!A4:A175""))"),"Multiple case report")</f>
        <v>Multiple case report</v>
      </c>
      <c r="I78" s="14" t="str">
        <f>IFERROR(__xludf.DUMMYFUNCTION("IFNA(FILTER(IMPORTRANGE(""https://docs.google.com/spreadsheets/d/1kGrh75X1cNR1D7_FcY9zMnHP8iPO4M5RCRjy6nZY0TY/edit#gid=1248694442"",""Table 3: 1st-line HC!C5:C111""), $A78=IMPORTRANGE(""https://docs.google.com/spreadsheets/d/1kGrh75X1cNR1D7_FcY9zMnHP8iPO4"&amp;"M5RCRjy6nZY0TY/edit#gid=1248694442"",""Table 3: 1st-line HC!A5:A111"")),"""")"),"Selected")</f>
        <v>Selected</v>
      </c>
      <c r="J78" s="4">
        <f>IFERROR(__xludf.DUMMYFUNCTION("FILTER(IMPORTRANGE(""https://docs.google.com/spreadsheets/d/1kGrh75X1cNR1D7_FcY9zMnHP8iPO4M5RCRjy6nZY0TY/edit#gid=1248694442"",""Table 1: Study characteristics!P4:P175""), $A78=IMPORTRANGE(""https://docs.google.com/spreadsheets/d/1kGrh75X1cNR1D7_FcY9zMnHP"&amp;"8iPO4M5RCRjy6nZY0TY/edit#gid=1248694442"",""Table 1: Study characteristics!A4:A175""))"),5.0)</f>
        <v>5</v>
      </c>
      <c r="K78" s="4">
        <f>IFERROR(__xludf.DUMMYFUNCTION("FILTER(IMPORTRANGE(""https://docs.google.com/spreadsheets/d/1kGrh75X1cNR1D7_FcY9zMnHP8iPO4M5RCRjy6nZY0TY/edit#gid=1248694442"",""Table 1: Study characteristics!U4:U175""), $A78=IMPORTRANGE(""https://docs.google.com/spreadsheets/d/1kGrh75X1cNR1D7_FcY9zMnHP"&amp;"8iPO4M5RCRjy6nZY0TY/edit#gid=1248694442"",""Table 1: Study characteristics!A4:A175""))"),1.0)</f>
        <v>1</v>
      </c>
      <c r="L78" s="4">
        <f>IFERROR(__xludf.DUMMYFUNCTION("FILTER(IMPORTRANGE(""https://docs.google.com/spreadsheets/d/1kGrh75X1cNR1D7_FcY9zMnHP8iPO4M5RCRjy6nZY0TY/edit#gid=1248694442"",""Table 1: Study characteristics!V4:V175""), $A78=IMPORTRANGE(""https://docs.google.com/spreadsheets/d/1kGrh75X1cNR1D7_FcY9zMnHP"&amp;"8iPO4M5RCRjy6nZY0TY/edit#gid=1248694442"",""Table 1: Study characteristics!A4:A175""))"),4.0)</f>
        <v>4</v>
      </c>
      <c r="M78" s="4">
        <f>IFERROR(__xludf.DUMMYFUNCTION("FILTER(IMPORTRANGE(""https://docs.google.com/spreadsheets/d/1kGrh75X1cNR1D7_FcY9zMnHP8iPO4M5RCRjy6nZY0TY/edit#gid=1248694442"",""Table 1: Study characteristics!Q4:Q175""), $A78=IMPORTRANGE(""https://docs.google.com/spreadsheets/d/1kGrh75X1cNR1D7_FcY9zMnHP"&amp;"8iPO4M5RCRjy6nZY0TY/edit#gid=1248694442"",""Table 1: Study characteristics!A4:A175""))"),140.0)</f>
        <v>140</v>
      </c>
      <c r="N78" s="4">
        <f>IFERROR(__xludf.DUMMYFUNCTION("FILTER(IMPORTRANGE(""https://docs.google.com/spreadsheets/d/1kGrh75X1cNR1D7_FcY9zMnHP8iPO4M5RCRjy6nZY0TY/edit#gid=1248694442"",""Table 1: Study characteristics!R4:R175""), $A78=IMPORTRANGE(""https://docs.google.com/spreadsheets/d/1kGrh75X1cNR1D7_FcY9zMnHP"&amp;"8iPO4M5RCRjy6nZY0TY/edit#gid=1248694442"",""Table 1: Study characteristics!A4:A175""))"),168.0)</f>
        <v>168</v>
      </c>
      <c r="O78" s="4" t="str">
        <f>IFERROR(__xludf.DUMMYFUNCTION("FILTER(IMPORTRANGE(""https://docs.google.com/spreadsheets/d/1kGrh75X1cNR1D7_FcY9zMnHP8iPO4M5RCRjy6nZY0TY/edit#gid=1248694442"",""Table 1: Study characteristics!S4:S175""), $A78=IMPORTRANGE(""https://docs.google.com/spreadsheets/d/1kGrh75X1cNR1D7_FcY9zMnHP"&amp;"8iPO4M5RCRjy6nZY0TY/edit#gid=1248694442"",""Table 1: Study characteristics!A4:A175""))"),"")</f>
        <v/>
      </c>
      <c r="P78" s="6" t="str">
        <f>IFERROR(__xludf.DUMMYFUNCTION("FILTER(IMPORTRANGE(""https://docs.google.com/spreadsheets/d/1kGrh75X1cNR1D7_FcY9zMnHP8iPO4M5RCRjy6nZY0TY/edit#gid=1248694442"",""Table 1: Study characteristics!T4:T175""), $A78=IMPORTRANGE(""https://docs.google.com/spreadsheets/d/1kGrh75X1cNR1D7_FcY9zMnHP"&amp;"8iPO4M5RCRjy6nZY0TY/edit#gid=1248694442"",""Table 1: Study characteristics!A4:A175""))"),"")</f>
        <v/>
      </c>
      <c r="Q78" s="6" t="str">
        <f>IFERROR(__xludf.DUMMYFUNCTION("FILTER(IMPORTRANGE(""https://docs.google.com/spreadsheets/d/1kGrh75X1cNR1D7_FcY9zMnHP8iPO4M5RCRjy6nZY0TY/edit#gid=1248694442"",""Table 1: Study characteristics!L4:L175""), $A78=IMPORTRANGE(""https://docs.google.com/spreadsheets/d/1kGrh75X1cNR1D7_FcY9zMnHP"&amp;"8iPO4M5RCRjy6nZY0TY/edit#gid=1248694442"",""Table 1: Study characteristics!A4:A175""))"),"2010-2012")</f>
        <v>2010-2012</v>
      </c>
      <c r="R78" s="4" t="str">
        <f>IFERROR(__xludf.DUMMYFUNCTION("FILTER(IMPORTRANGE(""https://docs.google.com/spreadsheets/d/1kGrh75X1cNR1D7_FcY9zMnHP8iPO4M5RCRjy6nZY0TY/edit#gid=1248694442"",""Table 1: Study characteristics!I4:I175""), $A78=IMPORTRANGE(""https://docs.google.com/spreadsheets/d/1kGrh75X1cNR1D7_FcY9zMnHP"&amp;"8iPO4M5RCRjy6nZY0TY/edit#gid=1248694442"",""Table 1: Study characteristics!A4:A175""))"),"English")</f>
        <v>English</v>
      </c>
    </row>
    <row r="79">
      <c r="A79" s="4" t="str">
        <f>IFERROR(__xludf.DUMMYFUNCTION("""COMPUTED_VALUE"""),"ID 165")</f>
        <v>ID 165</v>
      </c>
      <c r="B79" s="13" t="s">
        <v>227</v>
      </c>
      <c r="C79" s="4" t="str">
        <f>IFERROR(__xludf.DUMMYFUNCTION("LEFT(FILTER(IMPORTRANGE(""https://docs.google.com/spreadsheets/d/1kGrh75X1cNR1D7_FcY9zMnHP8iPO4M5RCRjy6nZY0TY/edit#gid=1248694442"",""Table 1: Study characteristics!C4:C175""), $A79=IMPORTRANGE(""https://docs.google.com/spreadsheets/d/1kGrh75X1cNR1D7_FcY9"&amp;"zMnHP8iPO4M5RCRjy6nZY0TY/edit#gid=1248694442"",""Table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$A79=IMPORTRANGE(""https://docs.google.com/spreadsheets/d/1kGrh75X1cNR1D7_FcY9zMnHP8iPO4M5RCRjy6nZY0TY/edit#gid=1248694442"",""Table 1: Study characteristics!A4:A175"")))-1)"),"Rysiakiewicz")</f>
        <v>Rysiakiewicz</v>
      </c>
      <c r="D79" s="4">
        <f>IFERROR(__xludf.DUMMYFUNCTION("FILTER(IMPORTRANGE(""https://docs.google.com/spreadsheets/d/1kGrh75X1cNR1D7_FcY9zMnHP8iPO4M5RCRjy6nZY0TY/edit#gid=1248694442"",""Table 1: Study characteristics!K4:K175""), $A79=IMPORTRANGE(""https://docs.google.com/spreadsheets/d/1kGrh75X1cNR1D7_FcY9zMnHP"&amp;"8iPO4M5RCRjy6nZY0TY/edit#gid=1248694442"",""Table 1: Study characteristics!A4:A175""))"),2011.0)</f>
        <v>2011</v>
      </c>
      <c r="E79" s="4" t="str">
        <f>IFERROR(__xludf.DUMMYFUNCTION("FILTER(IMPORTRANGE(""https://docs.google.com/spreadsheets/d/1kGrh75X1cNR1D7_FcY9zMnHP8iPO4M5RCRjy6nZY0TY/edit#gid=1248694442"",""Table 1: Study characteristics!M4:M175""), $A79=IMPORTRANGE(""https://docs.google.com/spreadsheets/d/1kGrh75X1cNR1D7_FcY9zMnHP"&amp;"8iPO4M5RCRjy6nZY0TY/edit#gid=1248694442"",""Table 1: Study characteristics!A4:A175""))"),"High income")</f>
        <v>High income</v>
      </c>
      <c r="F79" s="4" t="str">
        <f>IFERROR(__xludf.DUMMYFUNCTION("FILTER(IMPORTRANGE(""https://docs.google.com/spreadsheets/d/1kGrh75X1cNR1D7_FcY9zMnHP8iPO4M5RCRjy6nZY0TY/edit#gid=1248694442"",""Table 1: Study characteristics!N4:N175""), $A79=IMPORTRANGE(""https://docs.google.com/spreadsheets/d/1kGrh75X1cNR1D7_FcY9zMnHP"&amp;"8iPO4M5RCRjy6nZY0TY/edit#gid=1248694442"",""Table 1: Study characteristics!A4:A175""))"),"Europe &amp; Central Asia")</f>
        <v>Europe &amp; Central Asia</v>
      </c>
      <c r="G79" s="4" t="str">
        <f>IFERROR(__xludf.DUMMYFUNCTION("FILTER(IMPORTRANGE(""https://docs.google.com/spreadsheets/d/1kGrh75X1cNR1D7_FcY9zMnHP8iPO4M5RCRjy6nZY0TY/edit#gid=1248694442"",""Table 1: Study characteristics!J4:J175""), $A79=IMPORTRANGE(""https://docs.google.com/spreadsheets/d/1kGrh75X1cNR1D7_FcY9zMnHP"&amp;"8iPO4M5RCRjy6nZY0TY/edit#gid=1248694442"",""Table 1: Study characteristics!A4:A175""))"),"Poland")</f>
        <v>Poland</v>
      </c>
      <c r="H79" s="4" t="str">
        <f>IFERROR(__xludf.DUMMYFUNCTION("FILTER(IMPORTRANGE(""https://docs.google.com/spreadsheets/d/1kGrh75X1cNR1D7_FcY9zMnHP8iPO4M5RCRjy6nZY0TY/edit#gid=1248694442"",""Table 1: Study characteristics!O4:O175""), $A79=IMPORTRANGE(""https://docs.google.com/spreadsheets/d/1kGrh75X1cNR1D7_FcY9zMnHP"&amp;"8iPO4M5RCRjy6nZY0TY/edit#gid=1248694442"",""Table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79" s="14" t="str">
        <f>IFERROR(__xludf.DUMMYFUNCTION("IFNA(FILTER(IMPORTRANGE(""https://docs.google.com/spreadsheets/d/1kGrh75X1cNR1D7_FcY9zMnHP8iPO4M5RCRjy6nZY0TY/edit#gid=1248694442"",""Table 3: 1st-line HC!C5:C111""), $A79=IMPORTRANGE(""https://docs.google.com/spreadsheets/d/1kGrh75X1cNR1D7_FcY9zMnHP8iPO4"&amp;"M5RCRjy6nZY0TY/edit#gid=1248694442"",""Table 3: 1st-line HC!A5:A111"")),"""")"),"Selected")</f>
        <v>Selected</v>
      </c>
      <c r="J79" s="4">
        <f>IFERROR(__xludf.DUMMYFUNCTION("FILTER(IMPORTRANGE(""https://docs.google.com/spreadsheets/d/1kGrh75X1cNR1D7_FcY9zMnHP8iPO4M5RCRjy6nZY0TY/edit#gid=1248694442"",""Table 1: Study characteristics!P4:P175""), $A79=IMPORTRANGE(""https://docs.google.com/spreadsheets/d/1kGrh75X1cNR1D7_FcY9zMnHP"&amp;"8iPO4M5RCRjy6nZY0TY/edit#gid=1248694442"",""Table 1: Study characteristics!A4:A175""))"),86.0)</f>
        <v>86</v>
      </c>
      <c r="K79" s="4" t="str">
        <f>IFERROR(__xludf.DUMMYFUNCTION("FILTER(IMPORTRANGE(""https://docs.google.com/spreadsheets/d/1kGrh75X1cNR1D7_FcY9zMnHP8iPO4M5RCRjy6nZY0TY/edit#gid=1248694442"",""Table 1: Study characteristics!U4:U175""), $A79=IMPORTRANGE(""https://docs.google.com/spreadsheets/d/1kGrh75X1cNR1D7_FcY9zMnHP"&amp;"8iPO4M5RCRjy6nZY0TY/edit#gid=1248694442"",""Table 1: Study characteristics!A4:A175""))"),"")</f>
        <v/>
      </c>
      <c r="L79" s="4" t="str">
        <f>IFERROR(__xludf.DUMMYFUNCTION("FILTER(IMPORTRANGE(""https://docs.google.com/spreadsheets/d/1kGrh75X1cNR1D7_FcY9zMnHP8iPO4M5RCRjy6nZY0TY/edit#gid=1248694442"",""Table 1: Study characteristics!V4:V175""), $A79=IMPORTRANGE(""https://docs.google.com/spreadsheets/d/1kGrh75X1cNR1D7_FcY9zMnHP"&amp;"8iPO4M5RCRjy6nZY0TY/edit#gid=1248694442"",""Table 1: Study characteristics!A4:A175""))"),"")</f>
        <v/>
      </c>
      <c r="M79" s="4" t="str">
        <f>IFERROR(__xludf.DUMMYFUNCTION("FILTER(IMPORTRANGE(""https://docs.google.com/spreadsheets/d/1kGrh75X1cNR1D7_FcY9zMnHP8iPO4M5RCRjy6nZY0TY/edit#gid=1248694442"",""Table 1: Study characteristics!Q4:Q175""), $A79=IMPORTRANGE(""https://docs.google.com/spreadsheets/d/1kGrh75X1cNR1D7_FcY9zMnHP"&amp;"8iPO4M5RCRjy6nZY0TY/edit#gid=1248694442"",""Table 1: Study characteristics!A4:A175""))"),"")</f>
        <v/>
      </c>
      <c r="N79" s="4" t="str">
        <f>IFERROR(__xludf.DUMMYFUNCTION("FILTER(IMPORTRANGE(""https://docs.google.com/spreadsheets/d/1kGrh75X1cNR1D7_FcY9zMnHP8iPO4M5RCRjy6nZY0TY/edit#gid=1248694442"",""Table 1: Study characteristics!R4:R175""), $A79=IMPORTRANGE(""https://docs.google.com/spreadsheets/d/1kGrh75X1cNR1D7_FcY9zMnHP"&amp;"8iPO4M5RCRjy6nZY0TY/edit#gid=1248694442"",""Table 1: Study characteristics!A4:A175""))"),"")</f>
        <v/>
      </c>
      <c r="O79" s="4" t="str">
        <f>IFERROR(__xludf.DUMMYFUNCTION("FILTER(IMPORTRANGE(""https://docs.google.com/spreadsheets/d/1kGrh75X1cNR1D7_FcY9zMnHP8iPO4M5RCRjy6nZY0TY/edit#gid=1248694442"",""Table 1: Study characteristics!S4:S175""), $A79=IMPORTRANGE(""https://docs.google.com/spreadsheets/d/1kGrh75X1cNR1D7_FcY9zMnHP"&amp;"8iPO4M5RCRjy6nZY0TY/edit#gid=1248694442"",""Table 1: Study characteristics!A4:A175""))"),"")</f>
        <v/>
      </c>
      <c r="P79" s="6" t="str">
        <f>IFERROR(__xludf.DUMMYFUNCTION("FILTER(IMPORTRANGE(""https://docs.google.com/spreadsheets/d/1kGrh75X1cNR1D7_FcY9zMnHP8iPO4M5RCRjy6nZY0TY/edit#gid=1248694442"",""Table 1: Study characteristics!T4:T175""), $A79=IMPORTRANGE(""https://docs.google.com/spreadsheets/d/1kGrh75X1cNR1D7_FcY9zMnHP"&amp;"8iPO4M5RCRjy6nZY0TY/edit#gid=1248694442"",""Table 1: Study characteristics!A4:A175""))"),"")</f>
        <v/>
      </c>
      <c r="Q79" s="6" t="str">
        <f>IFERROR(__xludf.DUMMYFUNCTION("FILTER(IMPORTRANGE(""https://docs.google.com/spreadsheets/d/1kGrh75X1cNR1D7_FcY9zMnHP8iPO4M5RCRjy6nZY0TY/edit#gid=1248694442"",""Table 1: Study characteristics!L4:L175""), $A79=IMPORTRANGE(""https://docs.google.com/spreadsheets/d/1kGrh75X1cNR1D7_FcY9zMnHP"&amp;"8iPO4M5RCRjy6nZY0TY/edit#gid=1248694442"",""Table 1: Study characteristics!A4:A175""))"),"1997-2006")</f>
        <v>1997-2006</v>
      </c>
      <c r="R79" s="4" t="str">
        <f>IFERROR(__xludf.DUMMYFUNCTION("FILTER(IMPORTRANGE(""https://docs.google.com/spreadsheets/d/1kGrh75X1cNR1D7_FcY9zMnHP8iPO4M5RCRjy6nZY0TY/edit#gid=1248694442"",""Table 1: Study characteristics!I4:I175""), $A79=IMPORTRANGE(""https://docs.google.com/spreadsheets/d/1kGrh75X1cNR1D7_FcY9zMnHP"&amp;"8iPO4M5RCRjy6nZY0TY/edit#gid=1248694442"",""Table 1: Study characteristics!A4:A175""))"),"English")</f>
        <v>English</v>
      </c>
    </row>
    <row r="80">
      <c r="A80" s="4" t="str">
        <f>IFERROR(__xludf.DUMMYFUNCTION("""COMPUTED_VALUE"""),"ID 166")</f>
        <v>ID 166</v>
      </c>
      <c r="B80" s="13" t="s">
        <v>228</v>
      </c>
      <c r="C80" s="4" t="str">
        <f>IFERROR(__xludf.DUMMYFUNCTION("LEFT(FILTER(IMPORTRANGE(""https://docs.google.com/spreadsheets/d/1kGrh75X1cNR1D7_FcY9zMnHP8iPO4M5RCRjy6nZY0TY/edit#gid=1248694442"",""Table 1: Study characteristics!C4:C175""), $A80=IMPORTRANGE(""https://docs.google.com/spreadsheets/d/1kGrh75X1cNR1D7_FcY9"&amp;"zMnHP8iPO4M5RCRjy6nZY0TY/edit#gid=1248694442"",""Table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$A80=IMPORTRANGE(""https://docs.google.com/spreadsheets/d/1kGrh75X1cNR1D7_FcY9zMnHP8iPO4M5RCRjy6nZY0TY/edit#gid=1248694442"",""Table 1: Study characteristics!A4:A175"")))-1)"),"Alcocer Maldonado")</f>
        <v>Alcocer Maldonado</v>
      </c>
      <c r="D80" s="4">
        <f>IFERROR(__xludf.DUMMYFUNCTION("FILTER(IMPORTRANGE(""https://docs.google.com/spreadsheets/d/1kGrh75X1cNR1D7_FcY9zMnHP8iPO4M5RCRjy6nZY0TY/edit#gid=1248694442"",""Table 1: Study characteristics!K4:K175""), $A80=IMPORTRANGE(""https://docs.google.com/spreadsheets/d/1kGrh75X1cNR1D7_FcY9zMnHP"&amp;"8iPO4M5RCRjy6nZY0TY/edit#gid=1248694442"",""Table 1: Study characteristics!A4:A175""))"),2017.0)</f>
        <v>2017</v>
      </c>
      <c r="E80" s="4" t="str">
        <f>IFERROR(__xludf.DUMMYFUNCTION("FILTER(IMPORTRANGE(""https://docs.google.com/spreadsheets/d/1kGrh75X1cNR1D7_FcY9zMnHP8iPO4M5RCRjy6nZY0TY/edit#gid=1248694442"",""Table 1: Study characteristics!M4:M175""), $A80=IMPORTRANGE(""https://docs.google.com/spreadsheets/d/1kGrh75X1cNR1D7_FcY9zMnHP"&amp;"8iPO4M5RCRjy6nZY0TY/edit#gid=1248694442"",""Table 1: Study characteristics!A4:A175""))"),"Upper middle income")</f>
        <v>Upper middle income</v>
      </c>
      <c r="F80" s="4" t="str">
        <f>IFERROR(__xludf.DUMMYFUNCTION("FILTER(IMPORTRANGE(""https://docs.google.com/spreadsheets/d/1kGrh75X1cNR1D7_FcY9zMnHP8iPO4M5RCRjy6nZY0TY/edit#gid=1248694442"",""Table 1: Study characteristics!N4:N175""), $A80=IMPORTRANGE(""https://docs.google.com/spreadsheets/d/1kGrh75X1cNR1D7_FcY9zMnHP"&amp;"8iPO4M5RCRjy6nZY0TY/edit#gid=1248694442"",""Table 1: Study characteristics!A4:A175""))"),"Latin America &amp; Caribbean")</f>
        <v>Latin America &amp; Caribbean</v>
      </c>
      <c r="G80" s="4" t="str">
        <f>IFERROR(__xludf.DUMMYFUNCTION("FILTER(IMPORTRANGE(""https://docs.google.com/spreadsheets/d/1kGrh75X1cNR1D7_FcY9zMnHP8iPO4M5RCRjy6nZY0TY/edit#gid=1248694442"",""Table 1: Study characteristics!J4:J175""), $A80=IMPORTRANGE(""https://docs.google.com/spreadsheets/d/1kGrh75X1cNR1D7_FcY9zMnHP"&amp;"8iPO4M5RCRjy6nZY0TY/edit#gid=1248694442"",""Table 1: Study characteristics!A4:A175""))"),"Mexico")</f>
        <v>Mexico</v>
      </c>
      <c r="H80" s="4" t="str">
        <f>IFERROR(__xludf.DUMMYFUNCTION("FILTER(IMPORTRANGE(""https://docs.google.com/spreadsheets/d/1kGrh75X1cNR1D7_FcY9zMnHP8iPO4M5RCRjy6nZY0TY/edit#gid=1248694442"",""Table 1: Study characteristics!O4:O175""), $A80=IMPORTRANGE(""https://docs.google.com/spreadsheets/d/1kGrh75X1cNR1D7_FcY9zMnHP"&amp;"8iPO4M5RCRjy6nZY0TY/edit#gid=1248694442"",""Table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80" s="14" t="str">
        <f>IFERROR(__xludf.DUMMYFUNCTION("IFNA(FILTER(IMPORTRANGE(""https://docs.google.com/spreadsheets/d/1kGrh75X1cNR1D7_FcY9zMnHP8iPO4M5RCRjy6nZY0TY/edit#gid=1248694442"",""Table 3: 1st-line HC!C5:C111""), $A80=IMPORTRANGE(""https://docs.google.com/spreadsheets/d/1kGrh75X1cNR1D7_FcY9zMnHP8iPO4"&amp;"M5RCRjy6nZY0TY/edit#gid=1248694442"",""Table 3: 1st-line HC!A5:A111"")),"""")"),"Selected")</f>
        <v>Selected</v>
      </c>
      <c r="J80" s="4">
        <f>IFERROR(__xludf.DUMMYFUNCTION("FILTER(IMPORTRANGE(""https://docs.google.com/spreadsheets/d/1kGrh75X1cNR1D7_FcY9zMnHP8iPO4M5RCRjy6nZY0TY/edit#gid=1248694442"",""Table 1: Study characteristics!P4:P175""), $A80=IMPORTRANGE(""https://docs.google.com/spreadsheets/d/1kGrh75X1cNR1D7_FcY9zMnHP"&amp;"8iPO4M5RCRjy6nZY0TY/edit#gid=1248694442"",""Table 1: Study characteristics!A4:A175""))"),47.0)</f>
        <v>47</v>
      </c>
      <c r="K80" s="4">
        <f>IFERROR(__xludf.DUMMYFUNCTION("FILTER(IMPORTRANGE(""https://docs.google.com/spreadsheets/d/1kGrh75X1cNR1D7_FcY9zMnHP8iPO4M5RCRjy6nZY0TY/edit#gid=1248694442"",""Table 1: Study characteristics!U4:U175""), $A80=IMPORTRANGE(""https://docs.google.com/spreadsheets/d/1kGrh75X1cNR1D7_FcY9zMnHP"&amp;"8iPO4M5RCRjy6nZY0TY/edit#gid=1248694442"",""Table 1: Study characteristics!A4:A175""))"),26.0)</f>
        <v>26</v>
      </c>
      <c r="L80" s="4">
        <f>IFERROR(__xludf.DUMMYFUNCTION("FILTER(IMPORTRANGE(""https://docs.google.com/spreadsheets/d/1kGrh75X1cNR1D7_FcY9zMnHP8iPO4M5RCRjy6nZY0TY/edit#gid=1248694442"",""Table 1: Study characteristics!V4:V175""), $A80=IMPORTRANGE(""https://docs.google.com/spreadsheets/d/1kGrh75X1cNR1D7_FcY9zMnHP"&amp;"8iPO4M5RCRjy6nZY0TY/edit#gid=1248694442"",""Table 1: Study characteristics!A4:A175""))"),21.0)</f>
        <v>21</v>
      </c>
      <c r="M80" s="4">
        <f>IFERROR(__xludf.DUMMYFUNCTION("FILTER(IMPORTRANGE(""https://docs.google.com/spreadsheets/d/1kGrh75X1cNR1D7_FcY9zMnHP8iPO4M5RCRjy6nZY0TY/edit#gid=1248694442"",""Table 1: Study characteristics!Q4:Q175""), $A80=IMPORTRANGE(""https://docs.google.com/spreadsheets/d/1kGrh75X1cNR1D7_FcY9zMnHP"&amp;"8iPO4M5RCRjy6nZY0TY/edit#gid=1248694442"",""Table 1: Study characteristics!A4:A175""))"),5.0)</f>
        <v>5</v>
      </c>
      <c r="N80" s="4" t="str">
        <f>IFERROR(__xludf.DUMMYFUNCTION("FILTER(IMPORTRANGE(""https://docs.google.com/spreadsheets/d/1kGrh75X1cNR1D7_FcY9zMnHP8iPO4M5RCRjy6nZY0TY/edit#gid=1248694442"",""Table 1: Study characteristics!R4:R175""), $A80=IMPORTRANGE(""https://docs.google.com/spreadsheets/d/1kGrh75X1cNR1D7_FcY9zMnHP"&amp;"8iPO4M5RCRjy6nZY0TY/edit#gid=1248694442"",""Table 1: Study characteristics!A4:A175""))"),"")</f>
        <v/>
      </c>
      <c r="O80" s="4">
        <f>IFERROR(__xludf.DUMMYFUNCTION("FILTER(IMPORTRANGE(""https://docs.google.com/spreadsheets/d/1kGrh75X1cNR1D7_FcY9zMnHP8iPO4M5RCRjy6nZY0TY/edit#gid=1248694442"",""Table 1: Study characteristics!S4:S175""), $A80=IMPORTRANGE(""https://docs.google.com/spreadsheets/d/1kGrh75X1cNR1D7_FcY9zMnHP"&amp;"8iPO4M5RCRjy6nZY0TY/edit#gid=1248694442"",""Table 1: Study characteristics!A4:A175""))"),6.0)</f>
        <v>6</v>
      </c>
      <c r="P80" s="6" t="str">
        <f>IFERROR(__xludf.DUMMYFUNCTION("FILTER(IMPORTRANGE(""https://docs.google.com/spreadsheets/d/1kGrh75X1cNR1D7_FcY9zMnHP8iPO4M5RCRjy6nZY0TY/edit#gid=1248694442"",""Table 1: Study characteristics!T4:T175""), $A80=IMPORTRANGE(""https://docs.google.com/spreadsheets/d/1kGrh75X1cNR1D7_FcY9zMnHP"&amp;"8iPO4M5RCRjy6nZY0TY/edit#gid=1248694442"",""Table 1: Study characteristics!A4:A175""))"),"")</f>
        <v/>
      </c>
      <c r="Q80" s="6" t="str">
        <f>IFERROR(__xludf.DUMMYFUNCTION("FILTER(IMPORTRANGE(""https://docs.google.com/spreadsheets/d/1kGrh75X1cNR1D7_FcY9zMnHP8iPO4M5RCRjy6nZY0TY/edit#gid=1248694442"",""Table 1: Study characteristics!L4:L175""), $A80=IMPORTRANGE(""https://docs.google.com/spreadsheets/d/1kGrh75X1cNR1D7_FcY9zMnHP"&amp;"8iPO4M5RCRjy6nZY0TY/edit#gid=1248694442"",""Table 1: Study characteristics!A4:A175""))"),"2011-2014")</f>
        <v>2011-2014</v>
      </c>
      <c r="R80" s="4" t="str">
        <f>IFERROR(__xludf.DUMMYFUNCTION("FILTER(IMPORTRANGE(""https://docs.google.com/spreadsheets/d/1kGrh75X1cNR1D7_FcY9zMnHP8iPO4M5RCRjy6nZY0TY/edit#gid=1248694442"",""Table 1: Study characteristics!I4:I175""), $A80=IMPORTRANGE(""https://docs.google.com/spreadsheets/d/1kGrh75X1cNR1D7_FcY9zMnHP"&amp;"8iPO4M5RCRjy6nZY0TY/edit#gid=1248694442"",""Table 1: Study characteristics!A4:A175""))"),"Spanish")</f>
        <v>Spanish</v>
      </c>
    </row>
    <row r="81">
      <c r="A81" s="4" t="str">
        <f>IFERROR(__xludf.DUMMYFUNCTION("""COMPUTED_VALUE"""),"ID 167")</f>
        <v>ID 167</v>
      </c>
      <c r="B81" s="13" t="s">
        <v>229</v>
      </c>
      <c r="C81" s="4" t="str">
        <f>IFERROR(__xludf.DUMMYFUNCTION("LEFT(FILTER(IMPORTRANGE(""https://docs.google.com/spreadsheets/d/1kGrh75X1cNR1D7_FcY9zMnHP8iPO4M5RCRjy6nZY0TY/edit#gid=1248694442"",""Table 1: Study characteristics!C4:C175""), $A81=IMPORTRANGE(""https://docs.google.com/spreadsheets/d/1kGrh75X1cNR1D7_FcY9"&amp;"zMnHP8iPO4M5RCRjy6nZY0TY/edit#gid=1248694442"",""Table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$A81=IMPORTRANGE(""https://docs.google.com/spreadsheets/d/1kGrh75X1cNR1D7_FcY9zMnHP8iPO4M5RCRjy6nZY0TY/edit#gid=1248694442"",""Table 1: Study characteristics!A4:A175"")))-1)"),"Sil")</f>
        <v>Sil</v>
      </c>
      <c r="D81" s="4">
        <f>IFERROR(__xludf.DUMMYFUNCTION("FILTER(IMPORTRANGE(""https://docs.google.com/spreadsheets/d/1kGrh75X1cNR1D7_FcY9zMnHP8iPO4M5RCRjy6nZY0TY/edit#gid=1248694442"",""Table 1: Study characteristics!K4:K175""), $A81=IMPORTRANGE(""https://docs.google.com/spreadsheets/d/1kGrh75X1cNR1D7_FcY9zMnHP"&amp;"8iPO4M5RCRjy6nZY0TY/edit#gid=1248694442"",""Table 1: Study characteristics!A4:A175""))"),2021.0)</f>
        <v>2021</v>
      </c>
      <c r="E81" s="4" t="str">
        <f>IFERROR(__xludf.DUMMYFUNCTION("FILTER(IMPORTRANGE(""https://docs.google.com/spreadsheets/d/1kGrh75X1cNR1D7_FcY9zMnHP8iPO4M5RCRjy6nZY0TY/edit#gid=1248694442"",""Table 1: Study characteristics!M4:M175""), $A81=IMPORTRANGE(""https://docs.google.com/spreadsheets/d/1kGrh75X1cNR1D7_FcY9zMnHP"&amp;"8iPO4M5RCRjy6nZY0TY/edit#gid=1248694442"",""Table 1: Study characteristics!A4:A175""))"),"Lower middle income")</f>
        <v>Lower middle income</v>
      </c>
      <c r="F81" s="4" t="str">
        <f>IFERROR(__xludf.DUMMYFUNCTION("FILTER(IMPORTRANGE(""https://docs.google.com/spreadsheets/d/1kGrh75X1cNR1D7_FcY9zMnHP8iPO4M5RCRjy6nZY0TY/edit#gid=1248694442"",""Table 1: Study characteristics!N4:N175""), $A81=IMPORTRANGE(""https://docs.google.com/spreadsheets/d/1kGrh75X1cNR1D7_FcY9zMnHP"&amp;"8iPO4M5RCRjy6nZY0TY/edit#gid=1248694442"",""Table 1: Study characteristics!A4:A175""))"),"South Asia")</f>
        <v>South Asia</v>
      </c>
      <c r="G81" s="4" t="str">
        <f>IFERROR(__xludf.DUMMYFUNCTION("FILTER(IMPORTRANGE(""https://docs.google.com/spreadsheets/d/1kGrh75X1cNR1D7_FcY9zMnHP8iPO4M5RCRjy6nZY0TY/edit#gid=1248694442"",""Table 1: Study characteristics!J4:J175""), $A81=IMPORTRANGE(""https://docs.google.com/spreadsheets/d/1kGrh75X1cNR1D7_FcY9zMnHP"&amp;"8iPO4M5RCRjy6nZY0TY/edit#gid=1248694442"",""Table 1: Study characteristics!A4:A175""))"),"India")</f>
        <v>India</v>
      </c>
      <c r="H81" s="4" t="str">
        <f>IFERROR(__xludf.DUMMYFUNCTION("FILTER(IMPORTRANGE(""https://docs.google.com/spreadsheets/d/1kGrh75X1cNR1D7_FcY9zMnHP8iPO4M5RCRjy6nZY0TY/edit#gid=1248694442"",""Table 1: Study characteristics!O4:O175""), $A81=IMPORTRANGE(""https://docs.google.com/spreadsheets/d/1kGrh75X1cNR1D7_FcY9zMnHP"&amp;"8iPO4M5RCRjy6nZY0TY/edit#gid=1248694442"",""Table 1: Study characteristics!A4:A175""))"),"Case series")</f>
        <v>Case series</v>
      </c>
      <c r="I81" s="14" t="str">
        <f>IFERROR(__xludf.DUMMYFUNCTION("IFNA(FILTER(IMPORTRANGE(""https://docs.google.com/spreadsheets/d/1kGrh75X1cNR1D7_FcY9zMnHP8iPO4M5RCRjy6nZY0TY/edit#gid=1248694442"",""Table 3: 1st-line HC!C5:C111""), $A81=IMPORTRANGE(""https://docs.google.com/spreadsheets/d/1kGrh75X1cNR1D7_FcY9zMnHP8iPO4"&amp;"M5RCRjy6nZY0TY/edit#gid=1248694442"",""Table 3: 1st-line HC!A5:A111"")),"""")"),"Selected")</f>
        <v>Selected</v>
      </c>
      <c r="J81" s="4">
        <f>IFERROR(__xludf.DUMMYFUNCTION("FILTER(IMPORTRANGE(""https://docs.google.com/spreadsheets/d/1kGrh75X1cNR1D7_FcY9zMnHP8iPO4M5RCRjy6nZY0TY/edit#gid=1248694442"",""Table 1: Study characteristics!P4:P175""), $A81=IMPORTRANGE(""https://docs.google.com/spreadsheets/d/1kGrh75X1cNR1D7_FcY9zMnHP"&amp;"8iPO4M5RCRjy6nZY0TY/edit#gid=1248694442"",""Table 1: Study characteristics!A4:A175""))"),39.0)</f>
        <v>39</v>
      </c>
      <c r="K81" s="4" t="str">
        <f>IFERROR(__xludf.DUMMYFUNCTION("FILTER(IMPORTRANGE(""https://docs.google.com/spreadsheets/d/1kGrh75X1cNR1D7_FcY9zMnHP8iPO4M5RCRjy6nZY0TY/edit#gid=1248694442"",""Table 1: Study characteristics!U4:U175""), $A81=IMPORTRANGE(""https://docs.google.com/spreadsheets/d/1kGrh75X1cNR1D7_FcY9zMnHP"&amp;"8iPO4M5RCRjy6nZY0TY/edit#gid=1248694442"",""Table 1: Study characteristics!A4:A175""))"),"")</f>
        <v/>
      </c>
      <c r="L81" s="4" t="str">
        <f>IFERROR(__xludf.DUMMYFUNCTION("FILTER(IMPORTRANGE(""https://docs.google.com/spreadsheets/d/1kGrh75X1cNR1D7_FcY9zMnHP8iPO4M5RCRjy6nZY0TY/edit#gid=1248694442"",""Table 1: Study characteristics!V4:V175""), $A81=IMPORTRANGE(""https://docs.google.com/spreadsheets/d/1kGrh75X1cNR1D7_FcY9zMnHP"&amp;"8iPO4M5RCRjy6nZY0TY/edit#gid=1248694442"",""Table 1: Study characteristics!A4:A175""))"),"")</f>
        <v/>
      </c>
      <c r="M81" s="4">
        <f>IFERROR(__xludf.DUMMYFUNCTION("FILTER(IMPORTRANGE(""https://docs.google.com/spreadsheets/d/1kGrh75X1cNR1D7_FcY9zMnHP8iPO4M5RCRjy6nZY0TY/edit#gid=1248694442"",""Table 1: Study characteristics!Q4:Q175""), $A81=IMPORTRANGE(""https://docs.google.com/spreadsheets/d/1kGrh75X1cNR1D7_FcY9zMnHP"&amp;"8iPO4M5RCRjy6nZY0TY/edit#gid=1248694442"",""Table 1: Study characteristics!A4:A175""))"),255.5)</f>
        <v>255.5</v>
      </c>
      <c r="N81" s="4" t="str">
        <f>IFERROR(__xludf.DUMMYFUNCTION("FILTER(IMPORTRANGE(""https://docs.google.com/spreadsheets/d/1kGrh75X1cNR1D7_FcY9zMnHP8iPO4M5RCRjy6nZY0TY/edit#gid=1248694442"",""Table 1: Study characteristics!R4:R175""), $A81=IMPORTRANGE(""https://docs.google.com/spreadsheets/d/1kGrh75X1cNR1D7_FcY9zMnHP"&amp;"8iPO4M5RCRjy6nZY0TY/edit#gid=1248694442"",""Table 1: Study characteristics!A4:A175""))"),"")</f>
        <v/>
      </c>
      <c r="O81" s="4" t="str">
        <f>IFERROR(__xludf.DUMMYFUNCTION("FILTER(IMPORTRANGE(""https://docs.google.com/spreadsheets/d/1kGrh75X1cNR1D7_FcY9zMnHP8iPO4M5RCRjy6nZY0TY/edit#gid=1248694442"",""Table 1: Study characteristics!S4:S175""), $A81=IMPORTRANGE(""https://docs.google.com/spreadsheets/d/1kGrh75X1cNR1D7_FcY9zMnHP"&amp;"8iPO4M5RCRjy6nZY0TY/edit#gid=1248694442"",""Table 1: Study characteristics!A4:A175""))"),"")</f>
        <v/>
      </c>
      <c r="P81" s="6" t="str">
        <f>IFERROR(__xludf.DUMMYFUNCTION("FILTER(IMPORTRANGE(""https://docs.google.com/spreadsheets/d/1kGrh75X1cNR1D7_FcY9zMnHP8iPO4M5RCRjy6nZY0TY/edit#gid=1248694442"",""Table 1: Study characteristics!T4:T175""), $A81=IMPORTRANGE(""https://docs.google.com/spreadsheets/d/1kGrh75X1cNR1D7_FcY9zMnHP"&amp;"8iPO4M5RCRjy6nZY0TY/edit#gid=1248694442"",""Table 1: Study characteristics!A4:A175""))"),"")</f>
        <v/>
      </c>
      <c r="Q81" s="6" t="str">
        <f>IFERROR(__xludf.DUMMYFUNCTION("FILTER(IMPORTRANGE(""https://docs.google.com/spreadsheets/d/1kGrh75X1cNR1D7_FcY9zMnHP8iPO4M5RCRjy6nZY0TY/edit#gid=1248694442"",""Table 1: Study characteristics!L4:L175""), $A81=IMPORTRANGE(""https://docs.google.com/spreadsheets/d/1kGrh75X1cNR1D7_FcY9zMnHP"&amp;"8iPO4M5RCRjy6nZY0TY/edit#gid=1248694442"",""Table 1: Study characteristics!A4:A175""))"),"2009-2018")</f>
        <v>2009-2018</v>
      </c>
      <c r="R81" s="4" t="str">
        <f>IFERROR(__xludf.DUMMYFUNCTION("FILTER(IMPORTRANGE(""https://docs.google.com/spreadsheets/d/1kGrh75X1cNR1D7_FcY9zMnHP8iPO4M5RCRjy6nZY0TY/edit#gid=1248694442"",""Table 1: Study characteristics!I4:I175""), $A81=IMPORTRANGE(""https://docs.google.com/spreadsheets/d/1kGrh75X1cNR1D7_FcY9zMnHP"&amp;"8iPO4M5RCRjy6nZY0TY/edit#gid=1248694442"",""Table 1: Study characteristics!A4:A175""))"),"English")</f>
        <v>English</v>
      </c>
    </row>
    <row r="82">
      <c r="A82" s="4" t="str">
        <f>IFERROR(__xludf.DUMMYFUNCTION("""COMPUTED_VALUE"""),"ID 168")</f>
        <v>ID 168</v>
      </c>
      <c r="B82" s="13" t="s">
        <v>230</v>
      </c>
      <c r="C82" s="4" t="str">
        <f>IFERROR(__xludf.DUMMYFUNCTION("LEFT(FILTER(IMPORTRANGE(""https://docs.google.com/spreadsheets/d/1kGrh75X1cNR1D7_FcY9zMnHP8iPO4M5RCRjy6nZY0TY/edit#gid=1248694442"",""Table 1: Study characteristics!C4:C175""), $A82=IMPORTRANGE(""https://docs.google.com/spreadsheets/d/1kGrh75X1cNR1D7_FcY9"&amp;"zMnHP8iPO4M5RCRjy6nZY0TY/edit#gid=1248694442"",""Table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$A82=IMPORTRANGE(""https://docs.google.com/spreadsheets/d/1kGrh75X1cNR1D7_FcY9zMnHP8iPO4M5RCRjy6nZY0TY/edit#gid=1248694442"",""Table 1: Study characteristics!A4:A175"")))-1)"),"Petraglia")</f>
        <v>Petraglia</v>
      </c>
      <c r="D82" s="4">
        <f>IFERROR(__xludf.DUMMYFUNCTION("FILTER(IMPORTRANGE(""https://docs.google.com/spreadsheets/d/1kGrh75X1cNR1D7_FcY9zMnHP8iPO4M5RCRjy6nZY0TY/edit#gid=1248694442"",""Table 1: Study characteristics!K4:K175""), $A82=IMPORTRANGE(""https://docs.google.com/spreadsheets/d/1kGrh75X1cNR1D7_FcY9zMnHP"&amp;"8iPO4M5RCRjy6nZY0TY/edit#gid=1248694442"",""Table 1: Study characteristics!A4:A175""))"),2011.0)</f>
        <v>2011</v>
      </c>
      <c r="E82" s="4" t="str">
        <f>IFERROR(__xludf.DUMMYFUNCTION("FILTER(IMPORTRANGE(""https://docs.google.com/spreadsheets/d/1kGrh75X1cNR1D7_FcY9zMnHP8iPO4M5RCRjy6nZY0TY/edit#gid=1248694442"",""Table 1: Study characteristics!M4:M175""), $A82=IMPORTRANGE(""https://docs.google.com/spreadsheets/d/1kGrh75X1cNR1D7_FcY9zMnHP"&amp;"8iPO4M5RCRjy6nZY0TY/edit#gid=1248694442"",""Table 1: Study characteristics!A4:A175""))"),"High income")</f>
        <v>High income</v>
      </c>
      <c r="F82" s="4" t="str">
        <f>IFERROR(__xludf.DUMMYFUNCTION("FILTER(IMPORTRANGE(""https://docs.google.com/spreadsheets/d/1kGrh75X1cNR1D7_FcY9zMnHP8iPO4M5RCRjy6nZY0TY/edit#gid=1248694442"",""Table 1: Study characteristics!N4:N175""), $A82=IMPORTRANGE(""https://docs.google.com/spreadsheets/d/1kGrh75X1cNR1D7_FcY9zMnHP"&amp;"8iPO4M5RCRjy6nZY0TY/edit#gid=1248694442"",""Table 1: Study characteristics!A4:A175""))"),"North America")</f>
        <v>North America</v>
      </c>
      <c r="G82" s="4" t="str">
        <f>IFERROR(__xludf.DUMMYFUNCTION("FILTER(IMPORTRANGE(""https://docs.google.com/spreadsheets/d/1kGrh75X1cNR1D7_FcY9zMnHP8iPO4M5RCRjy6nZY0TY/edit#gid=1248694442"",""Table 1: Study characteristics!J4:J175""), $A82=IMPORTRANGE(""https://docs.google.com/spreadsheets/d/1kGrh75X1cNR1D7_FcY9zMnHP"&amp;"8iPO4M5RCRjy6nZY0TY/edit#gid=1248694442"",""Table 1: Study characteristics!A4:A175""))"),"United States")</f>
        <v>United States</v>
      </c>
      <c r="H82" s="4" t="str">
        <f>IFERROR(__xludf.DUMMYFUNCTION("FILTER(IMPORTRANGE(""https://docs.google.com/spreadsheets/d/1kGrh75X1cNR1D7_FcY9zMnHP8iPO4M5RCRjy6nZY0TY/edit#gid=1248694442"",""Table 1: Study characteristics!O4:O175""), $A82=IMPORTRANGE(""https://docs.google.com/spreadsheets/d/1kGrh75X1cNR1D7_FcY9zMnHP"&amp;"8iPO4M5RCRjy6nZY0TY/edit#gid=1248694442"",""Table 1: Study characteristics!A4:A175""))"),"Case series")</f>
        <v>Case series</v>
      </c>
      <c r="I82" s="14" t="str">
        <f>IFERROR(__xludf.DUMMYFUNCTION("IFNA(FILTER(IMPORTRANGE(""https://docs.google.com/spreadsheets/d/1kGrh75X1cNR1D7_FcY9zMnHP8iPO4M5RCRjy6nZY0TY/edit#gid=1248694442"",""Table 3: 1st-line HC!C5:C111""), $A82=IMPORTRANGE(""https://docs.google.com/spreadsheets/d/1kGrh75X1cNR1D7_FcY9zMnHP8iPO4"&amp;"M5RCRjy6nZY0TY/edit#gid=1248694442"",""Table 3: 1st-line HC!A5:A111"")),"""")"),"Selected")</f>
        <v>Selected</v>
      </c>
      <c r="J82" s="4">
        <f>IFERROR(__xludf.DUMMYFUNCTION("FILTER(IMPORTRANGE(""https://docs.google.com/spreadsheets/d/1kGrh75X1cNR1D7_FcY9zMnHP8iPO4M5RCRjy6nZY0TY/edit#gid=1248694442"",""Table 1: Study characteristics!P4:P175""), $A82=IMPORTRANGE(""https://docs.google.com/spreadsheets/d/1kGrh75X1cNR1D7_FcY9zMnHP"&amp;"8iPO4M5RCRjy6nZY0TY/edit#gid=1248694442"",""Table 1: Study characteristics!A4:A175""))"),9.0)</f>
        <v>9</v>
      </c>
      <c r="K82" s="4">
        <f>IFERROR(__xludf.DUMMYFUNCTION("FILTER(IMPORTRANGE(""https://docs.google.com/spreadsheets/d/1kGrh75X1cNR1D7_FcY9zMnHP8iPO4M5RCRjy6nZY0TY/edit#gid=1248694442"",""Table 1: Study characteristics!U4:U175""), $A82=IMPORTRANGE(""https://docs.google.com/spreadsheets/d/1kGrh75X1cNR1D7_FcY9zMnHP"&amp;"8iPO4M5RCRjy6nZY0TY/edit#gid=1248694442"",""Table 1: Study characteristics!A4:A175""))"),5.0)</f>
        <v>5</v>
      </c>
      <c r="L82" s="4">
        <f>IFERROR(__xludf.DUMMYFUNCTION("FILTER(IMPORTRANGE(""https://docs.google.com/spreadsheets/d/1kGrh75X1cNR1D7_FcY9zMnHP8iPO4M5RCRjy6nZY0TY/edit#gid=1248694442"",""Table 1: Study characteristics!V4:V175""), $A82=IMPORTRANGE(""https://docs.google.com/spreadsheets/d/1kGrh75X1cNR1D7_FcY9zMnHP"&amp;"8iPO4M5RCRjy6nZY0TY/edit#gid=1248694442"",""Table 1: Study characteristics!A4:A175""))"),4.0)</f>
        <v>4</v>
      </c>
      <c r="M82" s="4">
        <f>IFERROR(__xludf.DUMMYFUNCTION("FILTER(IMPORTRANGE(""https://docs.google.com/spreadsheets/d/1kGrh75X1cNR1D7_FcY9zMnHP8iPO4M5RCRjy6nZY0TY/edit#gid=1248694442"",""Table 1: Study characteristics!Q4:Q175""), $A82=IMPORTRANGE(""https://docs.google.com/spreadsheets/d/1kGrh75X1cNR1D7_FcY9zMnHP"&amp;"8iPO4M5RCRjy6nZY0TY/edit#gid=1248694442"",""Table 1: Study characteristics!A4:A175""))"),9.94)</f>
        <v>9.94</v>
      </c>
      <c r="N82" s="4" t="str">
        <f>IFERROR(__xludf.DUMMYFUNCTION("FILTER(IMPORTRANGE(""https://docs.google.com/spreadsheets/d/1kGrh75X1cNR1D7_FcY9zMnHP8iPO4M5RCRjy6nZY0TY/edit#gid=1248694442"",""Table 1: Study characteristics!R4:R175""), $A82=IMPORTRANGE(""https://docs.google.com/spreadsheets/d/1kGrh75X1cNR1D7_FcY9zMnHP"&amp;"8iPO4M5RCRjy6nZY0TY/edit#gid=1248694442"",""Table 1: Study characteristics!A4:A175""))"),"")</f>
        <v/>
      </c>
      <c r="O82" s="4" t="str">
        <f>IFERROR(__xludf.DUMMYFUNCTION("FILTER(IMPORTRANGE(""https://docs.google.com/spreadsheets/d/1kGrh75X1cNR1D7_FcY9zMnHP8iPO4M5RCRjy6nZY0TY/edit#gid=1248694442"",""Table 1: Study characteristics!S4:S175""), $A82=IMPORTRANGE(""https://docs.google.com/spreadsheets/d/1kGrh75X1cNR1D7_FcY9zMnHP"&amp;"8iPO4M5RCRjy6nZY0TY/edit#gid=1248694442"",""Table 1: Study characteristics!A4:A175""))"),"")</f>
        <v/>
      </c>
      <c r="P82" s="6" t="str">
        <f>IFERROR(__xludf.DUMMYFUNCTION("FILTER(IMPORTRANGE(""https://docs.google.com/spreadsheets/d/1kGrh75X1cNR1D7_FcY9zMnHP8iPO4M5RCRjy6nZY0TY/edit#gid=1248694442"",""Table 1: Study characteristics!T4:T175""), $A82=IMPORTRANGE(""https://docs.google.com/spreadsheets/d/1kGrh75X1cNR1D7_FcY9zMnHP"&amp;"8iPO4M5RCRjy6nZY0TY/edit#gid=1248694442"",""Table 1: Study characteristics!A4:A175""))"),"")</f>
        <v/>
      </c>
      <c r="Q82" s="6" t="str">
        <f>IFERROR(__xludf.DUMMYFUNCTION("FILTER(IMPORTRANGE(""https://docs.google.com/spreadsheets/d/1kGrh75X1cNR1D7_FcY9zMnHP8iPO4M5RCRjy6nZY0TY/edit#gid=1248694442"",""Table 1: Study characteristics!L4:L175""), $A82=IMPORTRANGE(""https://docs.google.com/spreadsheets/d/1kGrh75X1cNR1D7_FcY9zMnHP"&amp;"8iPO4M5RCRjy6nZY0TY/edit#gid=1248694442"",""Table 1: Study characteristics!A4:A175""))"),"2002-2009")</f>
        <v>2002-2009</v>
      </c>
      <c r="R82" s="4" t="str">
        <f>IFERROR(__xludf.DUMMYFUNCTION("FILTER(IMPORTRANGE(""https://docs.google.com/spreadsheets/d/1kGrh75X1cNR1D7_FcY9zMnHP8iPO4M5RCRjy6nZY0TY/edit#gid=1248694442"",""Table 1: Study characteristics!I4:I175""), $A82=IMPORTRANGE(""https://docs.google.com/spreadsheets/d/1kGrh75X1cNR1D7_FcY9zMnHP"&amp;"8iPO4M5RCRjy6nZY0TY/edit#gid=1248694442"",""Table 1: Study characteristics!A4:A175""))"),"English")</f>
        <v>English</v>
      </c>
    </row>
    <row r="83">
      <c r="A83" s="4" t="str">
        <f>IFERROR(__xludf.DUMMYFUNCTION("""COMPUTED_VALUE"""),"ID 169")</f>
        <v>ID 169</v>
      </c>
      <c r="B83" s="15" t="s">
        <v>231</v>
      </c>
      <c r="C83" s="4" t="str">
        <f>IFERROR(__xludf.DUMMYFUNCTION("LEFT(FILTER(IMPORTRANGE(""https://docs.google.com/spreadsheets/d/1kGrh75X1cNR1D7_FcY9zMnHP8iPO4M5RCRjy6nZY0TY/edit#gid=1248694442"",""Table 1: Study characteristics!C4:C175""), $A83=IMPORTRANGE(""https://docs.google.com/spreadsheets/d/1kGrh75X1cNR1D7_FcY9"&amp;"zMnHP8iPO4M5RCRjy6nZY0TY/edit#gid=1248694442"",""Table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$A83=IMPORTRANGE(""https://docs.google.com/spreadsheets/d/1kGrh75X1cNR1D7_FcY9zMnHP8iPO4M5RCRjy6nZY0TY/edit#gid=1248694442"",""Table 1: Study characteristics!A4:A175"")))-1)"),"Kirsch")</f>
        <v>Kirsch</v>
      </c>
      <c r="D83" s="4">
        <f>IFERROR(__xludf.DUMMYFUNCTION("FILTER(IMPORTRANGE(""https://docs.google.com/spreadsheets/d/1kGrh75X1cNR1D7_FcY9zMnHP8iPO4M5RCRjy6nZY0TY/edit#gid=1248694442"",""Table 1: Study characteristics!K4:K175""), $A83=IMPORTRANGE(""https://docs.google.com/spreadsheets/d/1kGrh75X1cNR1D7_FcY9zMnHP"&amp;"8iPO4M5RCRjy6nZY0TY/edit#gid=1248694442"",""Table 1: Study characteristics!A4:A175""))"),1968.0)</f>
        <v>1968</v>
      </c>
      <c r="E83" s="4" t="str">
        <f>IFERROR(__xludf.DUMMYFUNCTION("FILTER(IMPORTRANGE(""https://docs.google.com/spreadsheets/d/1kGrh75X1cNR1D7_FcY9zMnHP8iPO4M5RCRjy6nZY0TY/edit#gid=1248694442"",""Table 1: Study characteristics!M4:M175""), $A83=IMPORTRANGE(""https://docs.google.com/spreadsheets/d/1kGrh75X1cNR1D7_FcY9zMnHP"&amp;"8iPO4M5RCRjy6nZY0TY/edit#gid=1248694442"",""Table 1: Study characteristics!A4:A175""))"),"High income")</f>
        <v>High income</v>
      </c>
      <c r="F83" s="4" t="str">
        <f>IFERROR(__xludf.DUMMYFUNCTION("FILTER(IMPORTRANGE(""https://docs.google.com/spreadsheets/d/1kGrh75X1cNR1D7_FcY9zMnHP8iPO4M5RCRjy6nZY0TY/edit#gid=1248694442"",""Table 1: Study characteristics!N4:N175""), $A83=IMPORTRANGE(""https://docs.google.com/spreadsheets/d/1kGrh75X1cNR1D7_FcY9zMnHP"&amp;"8iPO4M5RCRjy6nZY0TY/edit#gid=1248694442"",""Table 1: Study characteristics!A4:A175""))"),"North America")</f>
        <v>North America</v>
      </c>
      <c r="G83" s="4" t="str">
        <f>IFERROR(__xludf.DUMMYFUNCTION("FILTER(IMPORTRANGE(""https://docs.google.com/spreadsheets/d/1kGrh75X1cNR1D7_FcY9zMnHP8iPO4M5RCRjy6nZY0TY/edit#gid=1248694442"",""Table 1: Study characteristics!J4:J175""), $A83=IMPORTRANGE(""https://docs.google.com/spreadsheets/d/1kGrh75X1cNR1D7_FcY9zMnHP"&amp;"8iPO4M5RCRjy6nZY0TY/edit#gid=1248694442"",""Table 1: Study characteristics!A4:A175""))"),"United States")</f>
        <v>United States</v>
      </c>
      <c r="H83" s="4" t="str">
        <f>IFERROR(__xludf.DUMMYFUNCTION("FILTER(IMPORTRANGE(""https://docs.google.com/spreadsheets/d/1kGrh75X1cNR1D7_FcY9zMnHP8iPO4M5RCRjy6nZY0TY/edit#gid=1248694442"",""Table 1: Study characteristics!O4:O175""), $A83=IMPORTRANGE(""https://docs.google.com/spreadsheets/d/1kGrh75X1cNR1D7_FcY9zMnHP"&amp;"8iPO4M5RCRjy6nZY0TY/edit#gid=1248694442"",""Table 1: Study characteristics!A4:A175""))"),"Case series")</f>
        <v>Case series</v>
      </c>
      <c r="I83" s="14" t="str">
        <f>IFERROR(__xludf.DUMMYFUNCTION("IFNA(FILTER(IMPORTRANGE(""https://docs.google.com/spreadsheets/d/1kGrh75X1cNR1D7_FcY9zMnHP8iPO4M5RCRjy6nZY0TY/edit#gid=1248694442"",""Table 3: 1st-line HC!C5:C111""), $A83=IMPORTRANGE(""https://docs.google.com/spreadsheets/d/1kGrh75X1cNR1D7_FcY9zMnHP8iPO4"&amp;"M5RCRjy6nZY0TY/edit#gid=1248694442"",""Table 3: 1st-line HC!A5:A111"")),"""")"),"Selected")</f>
        <v>Selected</v>
      </c>
      <c r="J83" s="4">
        <f>IFERROR(__xludf.DUMMYFUNCTION("FILTER(IMPORTRANGE(""https://docs.google.com/spreadsheets/d/1kGrh75X1cNR1D7_FcY9zMnHP8iPO4M5RCRjy6nZY0TY/edit#gid=1248694442"",""Table 1: Study characteristics!P4:P175""), $A83=IMPORTRANGE(""https://docs.google.com/spreadsheets/d/1kGrh75X1cNR1D7_FcY9zMnHP"&amp;"8iPO4M5RCRjy6nZY0TY/edit#gid=1248694442"",""Table 1: Study characteristics!A4:A175""))"),2.0)</f>
        <v>2</v>
      </c>
      <c r="K83" s="4" t="str">
        <f>IFERROR(__xludf.DUMMYFUNCTION("FILTER(IMPORTRANGE(""https://docs.google.com/spreadsheets/d/1kGrh75X1cNR1D7_FcY9zMnHP8iPO4M5RCRjy6nZY0TY/edit#gid=1248694442"",""Table 1: Study characteristics!U4:U175""), $A83=IMPORTRANGE(""https://docs.google.com/spreadsheets/d/1kGrh75X1cNR1D7_FcY9zMnHP"&amp;"8iPO4M5RCRjy6nZY0TY/edit#gid=1248694442"",""Table 1: Study characteristics!A4:A175""))"),"")</f>
        <v/>
      </c>
      <c r="L83" s="4">
        <f>IFERROR(__xludf.DUMMYFUNCTION("FILTER(IMPORTRANGE(""https://docs.google.com/spreadsheets/d/1kGrh75X1cNR1D7_FcY9zMnHP8iPO4M5RCRjy6nZY0TY/edit#gid=1248694442"",""Table 1: Study characteristics!V4:V175""), $A83=IMPORTRANGE(""https://docs.google.com/spreadsheets/d/1kGrh75X1cNR1D7_FcY9zMnHP"&amp;"8iPO4M5RCRjy6nZY0TY/edit#gid=1248694442"",""Table 1: Study characteristics!A4:A175""))"),2.0)</f>
        <v>2</v>
      </c>
      <c r="M83" s="4">
        <f>IFERROR(__xludf.DUMMYFUNCTION("FILTER(IMPORTRANGE(""https://docs.google.com/spreadsheets/d/1kGrh75X1cNR1D7_FcY9zMnHP8iPO4M5RCRjy6nZY0TY/edit#gid=1248694442"",""Table 1: Study characteristics!Q4:Q175""), $A83=IMPORTRANGE(""https://docs.google.com/spreadsheets/d/1kGrh75X1cNR1D7_FcY9zMnHP"&amp;"8iPO4M5RCRjy6nZY0TY/edit#gid=1248694442"",""Table 1: Study characteristics!A4:A175""))"),2.0)</f>
        <v>2</v>
      </c>
      <c r="N83" s="4">
        <f>IFERROR(__xludf.DUMMYFUNCTION("FILTER(IMPORTRANGE(""https://docs.google.com/spreadsheets/d/1kGrh75X1cNR1D7_FcY9zMnHP8iPO4M5RCRjy6nZY0TY/edit#gid=1248694442"",""Table 1: Study characteristics!R4:R175""), $A83=IMPORTRANGE(""https://docs.google.com/spreadsheets/d/1kGrh75X1cNR1D7_FcY9zMnHP"&amp;"8iPO4M5RCRjy6nZY0TY/edit#gid=1248694442"",""Table 1: Study characteristics!A4:A175""))"),2.0)</f>
        <v>2</v>
      </c>
      <c r="O83" s="4" t="str">
        <f>IFERROR(__xludf.DUMMYFUNCTION("FILTER(IMPORTRANGE(""https://docs.google.com/spreadsheets/d/1kGrh75X1cNR1D7_FcY9zMnHP8iPO4M5RCRjy6nZY0TY/edit#gid=1248694442"",""Table 1: Study characteristics!S4:S175""), $A83=IMPORTRANGE(""https://docs.google.com/spreadsheets/d/1kGrh75X1cNR1D7_FcY9zMnHP"&amp;"8iPO4M5RCRjy6nZY0TY/edit#gid=1248694442"",""Table 1: Study characteristics!A4:A175""))"),"")</f>
        <v/>
      </c>
      <c r="P83" s="16">
        <f>IFERROR(__xludf.DUMMYFUNCTION("FILTER(IMPORTRANGE(""https://docs.google.com/spreadsheets/d/1kGrh75X1cNR1D7_FcY9zMnHP8iPO4M5RCRjy6nZY0TY/edit#gid=1248694442"",""Table 1: Study characteristics!T4:T175""), $A83=IMPORTRANGE(""https://docs.google.com/spreadsheets/d/1kGrh75X1cNR1D7_FcY9zMnHP"&amp;"8iPO4M5RCRjy6nZY0TY/edit#gid=1248694442"",""Table 1: Study characteristics!A4:A175""))"),44959.0)</f>
        <v>44959</v>
      </c>
      <c r="Q83" s="6" t="str">
        <f>IFERROR(__xludf.DUMMYFUNCTION("FILTER(IMPORTRANGE(""https://docs.google.com/spreadsheets/d/1kGrh75X1cNR1D7_FcY9zMnHP8iPO4M5RCRjy6nZY0TY/edit#gid=1248694442"",""Table 1: Study characteristics!L4:L175""), $A83=IMPORTRANGE(""https://docs.google.com/spreadsheets/d/1kGrh75X1cNR1D7_FcY9zMnHP"&amp;"8iPO4M5RCRjy6nZY0TY/edit#gid=1248694442"",""Table 1: Study characteristics!A4:A175""))"),"")</f>
        <v/>
      </c>
      <c r="R83" s="4" t="str">
        <f>IFERROR(__xludf.DUMMYFUNCTION("FILTER(IMPORTRANGE(""https://docs.google.com/spreadsheets/d/1kGrh75X1cNR1D7_FcY9zMnHP8iPO4M5RCRjy6nZY0TY/edit#gid=1248694442"",""Table 1: Study characteristics!I4:I175""), $A83=IMPORTRANGE(""https://docs.google.com/spreadsheets/d/1kGrh75X1cNR1D7_FcY9zMnHP"&amp;"8iPO4M5RCRjy6nZY0TY/edit#gid=1248694442"",""Table 1: Study characteristics!A4:A175""))"),"English")</f>
        <v>English</v>
      </c>
    </row>
    <row r="84">
      <c r="A84" s="4" t="str">
        <f>IFERROR(__xludf.DUMMYFUNCTION("""COMPUTED_VALUE"""),"ID 170")</f>
        <v>ID 170</v>
      </c>
      <c r="B84" s="15" t="s">
        <v>232</v>
      </c>
      <c r="C84" s="4" t="str">
        <f>IFERROR(__xludf.DUMMYFUNCTION("LEFT(FILTER(IMPORTRANGE(""https://docs.google.com/spreadsheets/d/1kGrh75X1cNR1D7_FcY9zMnHP8iPO4M5RCRjy6nZY0TY/edit#gid=1248694442"",""Table 1: Study characteristics!C4:C175""), $A84=IMPORTRANGE(""https://docs.google.com/spreadsheets/d/1kGrh75X1cNR1D7_FcY9"&amp;"zMnHP8iPO4M5RCRjy6nZY0TY/edit#gid=1248694442"",""Table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$A84=IMPORTRANGE(""https://docs.google.com/spreadsheets/d/1kGrh75X1cNR1D7_FcY9zMnHP8iPO4M5RCRjy6nZY0TY/edit#gid=1248694442"",""Table 1: Study characteristics!A4:A175"")))-1)"),"Bell")</f>
        <v>Bell</v>
      </c>
      <c r="D84" s="4">
        <f>IFERROR(__xludf.DUMMYFUNCTION("FILTER(IMPORTRANGE(""https://docs.google.com/spreadsheets/d/1kGrh75X1cNR1D7_FcY9zMnHP8iPO4M5RCRjy6nZY0TY/edit#gid=1248694442"",""Table 1: Study characteristics!K4:K175""), $A84=IMPORTRANGE(""https://docs.google.com/spreadsheets/d/1kGrh75X1cNR1D7_FcY9zMnHP"&amp;"8iPO4M5RCRjy6nZY0TY/edit#gid=1248694442"",""Table 1: Study characteristics!A4:A175""))"),1987.0)</f>
        <v>1987</v>
      </c>
      <c r="E84" s="4" t="str">
        <f>IFERROR(__xludf.DUMMYFUNCTION("FILTER(IMPORTRANGE(""https://docs.google.com/spreadsheets/d/1kGrh75X1cNR1D7_FcY9zMnHP8iPO4M5RCRjy6nZY0TY/edit#gid=1248694442"",""Table 1: Study characteristics!M4:M175""), $A84=IMPORTRANGE(""https://docs.google.com/spreadsheets/d/1kGrh75X1cNR1D7_FcY9zMnHP"&amp;"8iPO4M5RCRjy6nZY0TY/edit#gid=1248694442"",""Table 1: Study characteristics!A4:A175""))"),"High income")</f>
        <v>High income</v>
      </c>
      <c r="F84" s="4" t="str">
        <f>IFERROR(__xludf.DUMMYFUNCTION("FILTER(IMPORTRANGE(""https://docs.google.com/spreadsheets/d/1kGrh75X1cNR1D7_FcY9zMnHP8iPO4M5RCRjy6nZY0TY/edit#gid=1248694442"",""Table 1: Study characteristics!N4:N175""), $A84=IMPORTRANGE(""https://docs.google.com/spreadsheets/d/1kGrh75X1cNR1D7_FcY9zMnHP"&amp;"8iPO4M5RCRjy6nZY0TY/edit#gid=1248694442"",""Table 1: Study characteristics!A4:A175""))"),"North America")</f>
        <v>North America</v>
      </c>
      <c r="G84" s="4" t="str">
        <f>IFERROR(__xludf.DUMMYFUNCTION("FILTER(IMPORTRANGE(""https://docs.google.com/spreadsheets/d/1kGrh75X1cNR1D7_FcY9zMnHP8iPO4M5RCRjy6nZY0TY/edit#gid=1248694442"",""Table 1: Study characteristics!J4:J175""), $A84=IMPORTRANGE(""https://docs.google.com/spreadsheets/d/1kGrh75X1cNR1D7_FcY9zMnHP"&amp;"8iPO4M5RCRjy6nZY0TY/edit#gid=1248694442"",""Table 1: Study characteristics!A4:A175""))"),"United States")</f>
        <v>United States</v>
      </c>
      <c r="H84" s="4" t="str">
        <f>IFERROR(__xludf.DUMMYFUNCTION("FILTER(IMPORTRANGE(""https://docs.google.com/spreadsheets/d/1kGrh75X1cNR1D7_FcY9zMnHP8iPO4M5RCRjy6nZY0TY/edit#gid=1248694442"",""Table 1: Study characteristics!O4:O175""), $A84=IMPORTRANGE(""https://docs.google.com/spreadsheets/d/1kGrh75X1cNR1D7_FcY9zMnHP"&amp;"8iPO4M5RCRjy6nZY0TY/edit#gid=1248694442"",""Table 1: Study characteristics!A4:A175""))"),"Retrospective study (unspecified)")</f>
        <v>Retrospective study (unspecified)</v>
      </c>
      <c r="I84" s="14" t="str">
        <f>IFERROR(__xludf.DUMMYFUNCTION("IFNA(FILTER(IMPORTRANGE(""https://docs.google.com/spreadsheets/d/1kGrh75X1cNR1D7_FcY9zMnHP8iPO4M5RCRjy6nZY0TY/edit#gid=1248694442"",""Table 3: 1st-line HC!C5:C111""), $A84=IMPORTRANGE(""https://docs.google.com/spreadsheets/d/1kGrh75X1cNR1D7_FcY9zMnHP8iPO4"&amp;"M5RCRjy6nZY0TY/edit#gid=1248694442"",""Table 3: 1st-line HC!A5:A111"")),"""")"),"Selected")</f>
        <v>Selected</v>
      </c>
      <c r="J84" s="4">
        <f>IFERROR(__xludf.DUMMYFUNCTION("FILTER(IMPORTRANGE(""https://docs.google.com/spreadsheets/d/1kGrh75X1cNR1D7_FcY9zMnHP8iPO4M5RCRjy6nZY0TY/edit#gid=1248694442"",""Table 1: Study characteristics!P4:P175""), $A84=IMPORTRANGE(""https://docs.google.com/spreadsheets/d/1kGrh75X1cNR1D7_FcY9zMnHP"&amp;"8iPO4M5RCRjy6nZY0TY/edit#gid=1248694442"",""Table 1: Study characteristics!A4:A175""))"),37.0)</f>
        <v>37</v>
      </c>
      <c r="K84" s="4" t="str">
        <f>IFERROR(__xludf.DUMMYFUNCTION("FILTER(IMPORTRANGE(""https://docs.google.com/spreadsheets/d/1kGrh75X1cNR1D7_FcY9zMnHP8iPO4M5RCRjy6nZY0TY/edit#gid=1248694442"",""Table 1: Study characteristics!U4:U175""), $A84=IMPORTRANGE(""https://docs.google.com/spreadsheets/d/1kGrh75X1cNR1D7_FcY9zMnHP"&amp;"8iPO4M5RCRjy6nZY0TY/edit#gid=1248694442"",""Table 1: Study characteristics!A4:A175""))"),"")</f>
        <v/>
      </c>
      <c r="L84" s="4" t="str">
        <f>IFERROR(__xludf.DUMMYFUNCTION("FILTER(IMPORTRANGE(""https://docs.google.com/spreadsheets/d/1kGrh75X1cNR1D7_FcY9zMnHP8iPO4M5RCRjy6nZY0TY/edit#gid=1248694442"",""Table 1: Study characteristics!V4:V175""), $A84=IMPORTRANGE(""https://docs.google.com/spreadsheets/d/1kGrh75X1cNR1D7_FcY9zMnHP"&amp;"8iPO4M5RCRjy6nZY0TY/edit#gid=1248694442"",""Table 1: Study characteristics!A4:A175""))"),"")</f>
        <v/>
      </c>
      <c r="M84" s="4" t="str">
        <f>IFERROR(__xludf.DUMMYFUNCTION("FILTER(IMPORTRANGE(""https://docs.google.com/spreadsheets/d/1kGrh75X1cNR1D7_FcY9zMnHP8iPO4M5RCRjy6nZY0TY/edit#gid=1248694442"",""Table 1: Study characteristics!Q4:Q175""), $A84=IMPORTRANGE(""https://docs.google.com/spreadsheets/d/1kGrh75X1cNR1D7_FcY9zMnHP"&amp;"8iPO4M5RCRjy6nZY0TY/edit#gid=1248694442"",""Table 1: Study characteristics!A4:A175""))"),"")</f>
        <v/>
      </c>
      <c r="N84" s="4" t="str">
        <f>IFERROR(__xludf.DUMMYFUNCTION("FILTER(IMPORTRANGE(""https://docs.google.com/spreadsheets/d/1kGrh75X1cNR1D7_FcY9zMnHP8iPO4M5RCRjy6nZY0TY/edit#gid=1248694442"",""Table 1: Study characteristics!R4:R175""), $A84=IMPORTRANGE(""https://docs.google.com/spreadsheets/d/1kGrh75X1cNR1D7_FcY9zMnHP"&amp;"8iPO4M5RCRjy6nZY0TY/edit#gid=1248694442"",""Table 1: Study characteristics!A4:A175""))"),"")</f>
        <v/>
      </c>
      <c r="O84" s="4" t="str">
        <f>IFERROR(__xludf.DUMMYFUNCTION("FILTER(IMPORTRANGE(""https://docs.google.com/spreadsheets/d/1kGrh75X1cNR1D7_FcY9zMnHP8iPO4M5RCRjy6nZY0TY/edit#gid=1248694442"",""Table 1: Study characteristics!S4:S175""), $A84=IMPORTRANGE(""https://docs.google.com/spreadsheets/d/1kGrh75X1cNR1D7_FcY9zMnHP"&amp;"8iPO4M5RCRjy6nZY0TY/edit#gid=1248694442"",""Table 1: Study characteristics!A4:A175""))"),"")</f>
        <v/>
      </c>
      <c r="P84" s="6" t="str">
        <f>IFERROR(__xludf.DUMMYFUNCTION("FILTER(IMPORTRANGE(""https://docs.google.com/spreadsheets/d/1kGrh75X1cNR1D7_FcY9zMnHP8iPO4M5RCRjy6nZY0TY/edit#gid=1248694442"",""Table 1: Study characteristics!T4:T175""), $A84=IMPORTRANGE(""https://docs.google.com/spreadsheets/d/1kGrh75X1cNR1D7_FcY9zMnHP"&amp;"8iPO4M5RCRjy6nZY0TY/edit#gid=1248694442"",""Table 1: Study characteristics!A4:A175""))"),"")</f>
        <v/>
      </c>
      <c r="Q84" s="6" t="str">
        <f>IFERROR(__xludf.DUMMYFUNCTION("FILTER(IMPORTRANGE(""https://docs.google.com/spreadsheets/d/1kGrh75X1cNR1D7_FcY9zMnHP8iPO4M5RCRjy6nZY0TY/edit#gid=1248694442"",""Table 1: Study characteristics!L4:L175""), $A84=IMPORTRANGE(""https://docs.google.com/spreadsheets/d/1kGrh75X1cNR1D7_FcY9zMnHP"&amp;"8iPO4M5RCRjy6nZY0TY/edit#gid=1248694442"",""Table 1: Study characteristics!A4:A175""))"),"1979-1984")</f>
        <v>1979-1984</v>
      </c>
      <c r="R84" s="4" t="str">
        <f>IFERROR(__xludf.DUMMYFUNCTION("FILTER(IMPORTRANGE(""https://docs.google.com/spreadsheets/d/1kGrh75X1cNR1D7_FcY9zMnHP8iPO4M5RCRjy6nZY0TY/edit#gid=1248694442"",""Table 1: Study characteristics!I4:I175""), $A84=IMPORTRANGE(""https://docs.google.com/spreadsheets/d/1kGrh75X1cNR1D7_FcY9zMnHP"&amp;"8iPO4M5RCRjy6nZY0TY/edit#gid=1248694442"",""Table 1: Study characteristics!A4:A175""))"),"English")</f>
        <v>English</v>
      </c>
    </row>
    <row r="85">
      <c r="A85" s="4" t="str">
        <f>IFERROR(__xludf.DUMMYFUNCTION("""COMPUTED_VALUE"""),"ID 172")</f>
        <v>ID 172</v>
      </c>
      <c r="B85" s="13" t="s">
        <v>233</v>
      </c>
      <c r="C85" s="4" t="str">
        <f>IFERROR(__xludf.DUMMYFUNCTION("LEFT(FILTER(IMPORTRANGE(""https://docs.google.com/spreadsheets/d/1kGrh75X1cNR1D7_FcY9zMnHP8iPO4M5RCRjy6nZY0TY/edit#gid=1248694442"",""Table 1: Study characteristics!C4:C175""), $A85=IMPORTRANGE(""https://docs.google.com/spreadsheets/d/1kGrh75X1cNR1D7_FcY9"&amp;"zMnHP8iPO4M5RCRjy6nZY0TY/edit#gid=1248694442"",""Table 1: Study characteristics!A4:A175"")),SEARCH("","",FILTER(IMPORTRANGE(""https://docs.google.com/spreadsheets/d/1kGrh75X1cNR1D7_FcY9zMnHP8iPO4M5RCRjy6nZY0TY/edit#gid=1248694442"",""Table 1: Study charac"&amp;"teristics!C4:C175""), $A85=IMPORTRANGE(""https://docs.google.com/spreadsheets/d/1kGrh75X1cNR1D7_FcY9zMnHP8iPO4M5RCRjy6nZY0TY/edit#gid=1248694442"",""Table 1: Study characteristics!A4:A175"")))-1)"),"Ojo")</f>
        <v>Ojo</v>
      </c>
      <c r="D85" s="4">
        <f>IFERROR(__xludf.DUMMYFUNCTION("FILTER(IMPORTRANGE(""https://docs.google.com/spreadsheets/d/1kGrh75X1cNR1D7_FcY9zMnHP8iPO4M5RCRjy6nZY0TY/edit#gid=1248694442"",""Table 1: Study characteristics!K4:K175""), $A85=IMPORTRANGE(""https://docs.google.com/spreadsheets/d/1kGrh75X1cNR1D7_FcY9zMnHP"&amp;"8iPO4M5RCRjy6nZY0TY/edit#gid=1248694442"",""Table 1: Study characteristics!A4:A175""))"),2015.0)</f>
        <v>2015</v>
      </c>
      <c r="E85" s="4" t="str">
        <f>IFERROR(__xludf.DUMMYFUNCTION("FILTER(IMPORTRANGE(""https://docs.google.com/spreadsheets/d/1kGrh75X1cNR1D7_FcY9zMnHP8iPO4M5RCRjy6nZY0TY/edit#gid=1248694442"",""Table 1: Study characteristics!M4:M175""), $A85=IMPORTRANGE(""https://docs.google.com/spreadsheets/d/1kGrh75X1cNR1D7_FcY9zMnHP"&amp;"8iPO4M5RCRjy6nZY0TY/edit#gid=1248694442"",""Table 1: Study characteristics!A4:A175""))"),"Lower middle income")</f>
        <v>Lower middle income</v>
      </c>
      <c r="F85" s="4" t="str">
        <f>IFERROR(__xludf.DUMMYFUNCTION("FILTER(IMPORTRANGE(""https://docs.google.com/spreadsheets/d/1kGrh75X1cNR1D7_FcY9zMnHP8iPO4M5RCRjy6nZY0TY/edit#gid=1248694442"",""Table 1: Study characteristics!N4:N175""), $A85=IMPORTRANGE(""https://docs.google.com/spreadsheets/d/1kGrh75X1cNR1D7_FcY9zMnHP"&amp;"8iPO4M5RCRjy6nZY0TY/edit#gid=1248694442"",""Table 1: Study characteristics!A4:A175""))"),"Sub-Saharan Africa")</f>
        <v>Sub-Saharan Africa</v>
      </c>
      <c r="G85" s="4" t="str">
        <f>IFERROR(__xludf.DUMMYFUNCTION("FILTER(IMPORTRANGE(""https://docs.google.com/spreadsheets/d/1kGrh75X1cNR1D7_FcY9zMnHP8iPO4M5RCRjy6nZY0TY/edit#gid=1248694442"",""Table 1: Study characteristics!J4:J175""), $A85=IMPORTRANGE(""https://docs.google.com/spreadsheets/d/1kGrh75X1cNR1D7_FcY9zMnHP"&amp;"8iPO4M5RCRjy6nZY0TY/edit#gid=1248694442"",""Table 1: Study characteristics!A4:A175""))"),"Nigeria")</f>
        <v>Nigeria</v>
      </c>
      <c r="H85" s="4" t="str">
        <f>IFERROR(__xludf.DUMMYFUNCTION("FILTER(IMPORTRANGE(""https://docs.google.com/spreadsheets/d/1kGrh75X1cNR1D7_FcY9zMnHP8iPO4M5RCRjy6nZY0TY/edit#gid=1248694442"",""Table 1: Study characteristics!O4:O175""), $A85=IMPORTRANGE(""https://docs.google.com/spreadsheets/d/1kGrh75X1cNR1D7_FcY9zMnHP"&amp;"8iPO4M5RCRjy6nZY0TY/edit#gid=1248694442"",""Table 1: Study characteristics!A4:A175""))"),"Prospective study (unspecified)")</f>
        <v>Prospective study (unspecified)</v>
      </c>
      <c r="I85" s="14" t="str">
        <f>IFERROR(__xludf.DUMMYFUNCTION("IFNA(FILTER(IMPORTRANGE(""https://docs.google.com/spreadsheets/d/1kGrh75X1cNR1D7_FcY9zMnHP8iPO4M5RCRjy6nZY0TY/edit#gid=1248694442"",""Table 3: 1st-line HC!C5:C111""), $A85=IMPORTRANGE(""https://docs.google.com/spreadsheets/d/1kGrh75X1cNR1D7_FcY9zMnHP8iPO4"&amp;"M5RCRjy6nZY0TY/edit#gid=1248694442"",""Table 3: 1st-line HC!A5:A111"")),"""")"),"Selected")</f>
        <v>Selected</v>
      </c>
      <c r="J85" s="4">
        <f>IFERROR(__xludf.DUMMYFUNCTION("FILTER(IMPORTRANGE(""https://docs.google.com/spreadsheets/d/1kGrh75X1cNR1D7_FcY9zMnHP8iPO4M5RCRjy6nZY0TY/edit#gid=1248694442"",""Table 1: Study characteristics!P4:P175""), $A85=IMPORTRANGE(""https://docs.google.com/spreadsheets/d/1kGrh75X1cNR1D7_FcY9zMnHP"&amp;"8iPO4M5RCRjy6nZY0TY/edit#gid=1248694442"",""Table 1: Study characteristics!A4:A175""))"),9.0)</f>
        <v>9</v>
      </c>
      <c r="K85" s="4" t="str">
        <f>IFERROR(__xludf.DUMMYFUNCTION("FILTER(IMPORTRANGE(""https://docs.google.com/spreadsheets/d/1kGrh75X1cNR1D7_FcY9zMnHP8iPO4M5RCRjy6nZY0TY/edit#gid=1248694442"",""Table 1: Study characteristics!U4:U175""), $A85=IMPORTRANGE(""https://docs.google.com/spreadsheets/d/1kGrh75X1cNR1D7_FcY9zMnHP"&amp;"8iPO4M5RCRjy6nZY0TY/edit#gid=1248694442"",""Table 1: Study characteristics!A4:A175""))"),"")</f>
        <v/>
      </c>
      <c r="L85" s="4" t="str">
        <f>IFERROR(__xludf.DUMMYFUNCTION("FILTER(IMPORTRANGE(""https://docs.google.com/spreadsheets/d/1kGrh75X1cNR1D7_FcY9zMnHP8iPO4M5RCRjy6nZY0TY/edit#gid=1248694442"",""Table 1: Study characteristics!V4:V175""), $A85=IMPORTRANGE(""https://docs.google.com/spreadsheets/d/1kGrh75X1cNR1D7_FcY9zMnHP"&amp;"8iPO4M5RCRjy6nZY0TY/edit#gid=1248694442"",""Table 1: Study characteristics!A4:A175""))"),"")</f>
        <v/>
      </c>
      <c r="M85" s="4" t="str">
        <f>IFERROR(__xludf.DUMMYFUNCTION("FILTER(IMPORTRANGE(""https://docs.google.com/spreadsheets/d/1kGrh75X1cNR1D7_FcY9zMnHP8iPO4M5RCRjy6nZY0TY/edit#gid=1248694442"",""Table 1: Study characteristics!Q4:Q175""), $A85=IMPORTRANGE(""https://docs.google.com/spreadsheets/d/1kGrh75X1cNR1D7_FcY9zMnHP"&amp;"8iPO4M5RCRjy6nZY0TY/edit#gid=1248694442"",""Table 1: Study characteristics!A4:A175""))"),"")</f>
        <v/>
      </c>
      <c r="N85" s="4" t="str">
        <f>IFERROR(__xludf.DUMMYFUNCTION("FILTER(IMPORTRANGE(""https://docs.google.com/spreadsheets/d/1kGrh75X1cNR1D7_FcY9zMnHP8iPO4M5RCRjy6nZY0TY/edit#gid=1248694442"",""Table 1: Study characteristics!R4:R175""), $A85=IMPORTRANGE(""https://docs.google.com/spreadsheets/d/1kGrh75X1cNR1D7_FcY9zMnHP"&amp;"8iPO4M5RCRjy6nZY0TY/edit#gid=1248694442"",""Table 1: Study characteristics!A4:A175""))"),"")</f>
        <v/>
      </c>
      <c r="O85" s="4" t="str">
        <f>IFERROR(__xludf.DUMMYFUNCTION("FILTER(IMPORTRANGE(""https://docs.google.com/spreadsheets/d/1kGrh75X1cNR1D7_FcY9zMnHP8iPO4M5RCRjy6nZY0TY/edit#gid=1248694442"",""Table 1: Study characteristics!S4:S175""), $A85=IMPORTRANGE(""https://docs.google.com/spreadsheets/d/1kGrh75X1cNR1D7_FcY9zMnHP"&amp;"8iPO4M5RCRjy6nZY0TY/edit#gid=1248694442"",""Table 1: Study characteristics!A4:A175""))"),"")</f>
        <v/>
      </c>
      <c r="P85" s="6" t="str">
        <f>IFERROR(__xludf.DUMMYFUNCTION("FILTER(IMPORTRANGE(""https://docs.google.com/spreadsheets/d/1kGrh75X1cNR1D7_FcY9zMnHP8iPO4M5RCRjy6nZY0TY/edit#gid=1248694442"",""Table 1: Study characteristics!T4:T175""), $A85=IMPORTRANGE(""https://docs.google.com/spreadsheets/d/1kGrh75X1cNR1D7_FcY9zMnHP"&amp;"8iPO4M5RCRjy6nZY0TY/edit#gid=1248694442"",""Table 1: Study characteristics!A4:A175""))"),"")</f>
        <v/>
      </c>
      <c r="Q85" s="6" t="str">
        <f>IFERROR(__xludf.DUMMYFUNCTION("FILTER(IMPORTRANGE(""https://docs.google.com/spreadsheets/d/1kGrh75X1cNR1D7_FcY9zMnHP8iPO4M5RCRjy6nZY0TY/edit#gid=1248694442"",""Table 1: Study characteristics!L4:L175""), $A85=IMPORTRANGE(""https://docs.google.com/spreadsheets/d/1kGrh75X1cNR1D7_FcY9zMnHP"&amp;"8iPO4M5RCRjy6nZY0TY/edit#gid=1248694442"",""Table 1: Study characteristics!A4:A175""))"),"2009-2011")</f>
        <v>2009-2011</v>
      </c>
      <c r="R85" s="4" t="str">
        <f>IFERROR(__xludf.DUMMYFUNCTION("FILTER(IMPORTRANGE(""https://docs.google.com/spreadsheets/d/1kGrh75X1cNR1D7_FcY9zMnHP8iPO4M5RCRjy6nZY0TY/edit#gid=1248694442"",""Table 1: Study characteristics!I4:I175""), $A85=IMPORTRANGE(""https://docs.google.com/spreadsheets/d/1kGrh75X1cNR1D7_FcY9zMnHP"&amp;"8iPO4M5RCRjy6nZY0TY/edit#gid=1248694442"",""Table 1: Study characteristics!A4:A175""))"),"English")</f>
        <v>English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</hyperlinks>
  <drawing r:id="rId8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0.63"/>
    <col customWidth="1" min="3" max="3" width="15.0"/>
  </cols>
  <sheetData>
    <row r="1">
      <c r="A1" s="1" t="s">
        <v>134</v>
      </c>
      <c r="B1" s="1" t="s">
        <v>234</v>
      </c>
      <c r="C1" s="1" t="s">
        <v>235</v>
      </c>
      <c r="D1" s="1" t="s">
        <v>236</v>
      </c>
      <c r="E1" s="1" t="s">
        <v>237</v>
      </c>
      <c r="F1" s="1" t="s">
        <v>238</v>
      </c>
      <c r="G1" s="1" t="s">
        <v>239</v>
      </c>
      <c r="H1" s="1" t="s">
        <v>240</v>
      </c>
      <c r="I1" s="1" t="s">
        <v>241</v>
      </c>
      <c r="J1" s="1" t="s">
        <v>242</v>
      </c>
    </row>
    <row r="2">
      <c r="A2" s="4" t="str">
        <f>IFERROR(__xludf.DUMMYFUNCTION("FILTER(IMPORTRANGE(""https://docs.google.com/spreadsheets/d/1kGrh75X1cNR1D7_FcY9zMnHP8iPO4M5RCRjy6nZY0TY/edit#gid=1248694442"",""Table 1: Study characteristics!A4:A175""),IMPORTRANGE(""https://docs.google.com/spreadsheets/d/1kGrh75X1cNR1D7_FcY9zMnHP8iPO4M"&amp;"5RCRjy6nZY0TY/edit#gid=1248694442"",""Table 1: Study characteristics!D4:D175"")=""Passed"")"),"ID 1")</f>
        <v>ID 1</v>
      </c>
      <c r="B2" s="4" t="str">
        <f>IFERROR(__xludf.DUMMYFUNCTION("FILTER(IMPORTRANGE(""https://docs.google.com/spreadsheets/d/1kGrh75X1cNR1D7_FcY9zMnHP8iPO4M5RCRjy6nZY0TY/edit#gid=1248694442"",""Table 5: Risk of bias!D4:D175""), $A2=IMPORTRANGE(""https://docs.google.com/spreadsheets/d/1kGrh75X1cNR1D7_FcY9zMnHP8iPO4M5RCR"&amp;"jy6nZY0TY/edit#gid=1248694442"",""Table 5: Risk of bias!A4:A175""))"),"ROBINS I")</f>
        <v>ROBINS I</v>
      </c>
      <c r="C2" s="4" t="str">
        <f>IFERROR(__xludf.DUMMYFUNCTION("IFS(
$B2=""ROBINS I"", FILTER(IMPORTRANGE(""https://docs.google.com/spreadsheets/d/1kGrh75X1cNR1D7_FcY9zMnHP8iPO4M5RCRjy6nZY0TY/edit#gid=1248694442"",""Table 5: Risk of bias!J4:J175""),  $A2=IMPORTRANGE(""https://docs.google.com/spreadsheets/d/1kGrh75X1cN"&amp;"R1D7_FcY9zMnHP8iPO4M5RCRjy6nZY0TY/edit#gid=1248694442"",""Table 5: Risk of bias!A4:A175"")),
$B2=""RoB 2"", FILTER(IMPORTRANGE(""https://docs.google.com/spreadsheets/d/1kGrh75X1cNR1D7_FcY9zMnHP8iPO4M5RCRjy6nZY0TY/edit#gid=1248694442"",""Table 5: Risk of b"&amp;"ias!R4:R175""), $A2=IMPORTRANGE(""https://docs.google.com/spreadsheets/d/1kGrh75X1cNR1D7_FcY9zMnHP8iPO4M5RCRjy6nZY0TY/edit#gid=1248694442"",""Table 5: Risk of bias!A4:A175""))
)"),"Serious")</f>
        <v>Serious</v>
      </c>
      <c r="D2" s="4" t="str">
        <f>IFERROR(__xludf.DUMMYFUNCTION("IFS($B2=""ROBINS I"",FILTER(IMPORTRANGE(""https://docs.google.com/spreadsheets/d/1kGrh75X1cNR1D7_FcY9zMnHP8iPO4M5RCRjy6nZY0TY/edit#gid=1248694442"",""Table 5: Risk of bias!K4:K175""), $A2=IMPORTRANGE(""https://docs.google.com/spreadsheets/d/1kGrh75X1cNR1D"&amp;"7_FcY9zMnHP8iPO4M5RCRjy6nZY0TY/edit#gid=1248694442"",""Table 5: Risk of bias!A4:A175"")),$B2=""RoB 2"",FILTER(IMPORTRANGE(""https://docs.google.com/spreadsheets/d/1kGrh75X1cNR1D7_FcY9zMnHP8iPO4M5RCRjy6nZY0TY/edit#gid=1248694442"",""Table 5: Risk of bias!S"&amp;"4:S175""), $A2=IMPORTRANGE(""https://docs.google.com/spreadsheets/d/1kGrh75X1cNR1D7_FcY9zMnHP8iPO4M5RCRjy6nZY0TY/edit#gid=1248694442"",""Table 5: Risk of bias!A4:A175"")))"),"Serious")</f>
        <v>Serious</v>
      </c>
      <c r="E2" s="4" t="str">
        <f>IFERROR(__xludf.DUMMYFUNCTION("IFS($B2=""ROBINS I"",FILTER(IMPORTRANGE(""https://docs.google.com/spreadsheets/d/1kGrh75X1cNR1D7_FcY9zMnHP8iPO4M5RCRjy6nZY0TY/edit#gid=1248694442"",""Table 5: Risk of bias!L4:L175""), $A2=IMPORTRANGE(""https://docs.google.com/spreadsheets/d/1kGrh75X1cNR1D"&amp;"7_FcY9zMnHP8iPO4M5RCRjy6nZY0TY/edit#gid=1248694442"",""Table 5: Risk of bias!A4:A175"")),$B2=""RoB 2"",FILTER(IMPORTRANGE(""https://docs.google.com/spreadsheets/d/1kGrh75X1cNR1D7_FcY9zMnHP8iPO4M5RCRjy6nZY0TY/edit#gid=1248694442"",""Table 5: Risk of bias!T"&amp;"4:T175""), $A2=IMPORTRANGE(""https://docs.google.com/spreadsheets/d/1kGrh75X1cNR1D7_FcY9zMnHP8iPO4M5RCRjy6nZY0TY/edit#gid=1248694442"",""Table 5: Risk of bias!A4:A175"")))"),"Serious")</f>
        <v>Serious</v>
      </c>
      <c r="F2" s="4" t="str">
        <f>IFERROR(__xludf.DUMMYFUNCTION("IFS($B2=""ROBINS I"",FILTER(IMPORTRANGE(""https://docs.google.com/spreadsheets/d/1kGrh75X1cNR1D7_FcY9zMnHP8iPO4M5RCRjy6nZY0TY/edit#gid=1248694442"",""Table 5: Risk of bias!M4:M175""), $A2=IMPORTRANGE(""https://docs.google.com/spreadsheets/d/1kGrh75X1cNR1D"&amp;"7_FcY9zMnHP8iPO4M5RCRjy6nZY0TY/edit#gid=1248694442"",""Table 5: Risk of bias!A4:A175"")),$B2=""RoB 2"",FILTER(IMPORTRANGE(""https://docs.google.com/spreadsheets/d/1kGrh75X1cNR1D7_FcY9zMnHP8iPO4M5RCRjy6nZY0TY/edit#gid=1248694442"",""Table 5: Risk of bias!U"&amp;"4:U175""), $A2=IMPORTRANGE(""https://docs.google.com/spreadsheets/d/1kGrh75X1cNR1D7_FcY9zMnHP8iPO4M5RCRjy6nZY0TY/edit#gid=1248694442"",""Table 5: Risk of bias!A4:A175"")))"),"Moderate")</f>
        <v>Moderate</v>
      </c>
      <c r="G2" s="4" t="str">
        <f>IFERROR(__xludf.DUMMYFUNCTION("IFS($B2=""ROBINS I"",FILTER(IMPORTRANGE(""https://docs.google.com/spreadsheets/d/1kGrh75X1cNR1D7_FcY9zMnHP8iPO4M5RCRjy6nZY0TY/edit#gid=1248694442"",""Table 5: Risk of bias!N4:N175""), $A2=IMPORTRANGE(""https://docs.google.com/spreadsheets/d/1kGrh75X1cNR1D"&amp;"7_FcY9zMnHP8iPO4M5RCRjy6nZY0TY/edit#gid=1248694442"",""Table 5: Risk of bias!A4:A175"")),$B2=""RoB 2"",FILTER(IMPORTRANGE(""https://docs.google.com/spreadsheets/d/1kGrh75X1cNR1D7_FcY9zMnHP8iPO4M5RCRjy6nZY0TY/edit#gid=1248694442"",""Table 5: Risk of bias!V"&amp;"4:V175""), $A2=IMPORTRANGE(""https://docs.google.com/spreadsheets/d/1kGrh75X1cNR1D7_FcY9zMnHP8iPO4M5RCRjy6nZY0TY/edit#gid=1248694442"",""Table 5: Risk of bias!A4:A175"")))"),"Low")</f>
        <v>Low</v>
      </c>
      <c r="H2" s="4" t="str">
        <f>IFERROR(__xludf.DUMMYFUNCTION("IFS($B2=""ROBINS I"",FILTER(IMPORTRANGE(""https://docs.google.com/spreadsheets/d/1kGrh75X1cNR1D7_FcY9zMnHP8iPO4M5RCRjy6nZY0TY/edit#gid=1248694442"",""Table 5: Risk of bias!O4:O175""), $A2=IMPORTRANGE(""https://docs.google.com/spreadsheets/d/1kGrh75X1cNR1D"&amp;"7_FcY9zMnHP8iPO4M5RCRjy6nZY0TY/edit#gid=1248694442"",""Table 5: Risk of bias!A4:A175"")),$B2=""RoB 2"",FILTER(IMPORTRANGE(""https://docs.google.com/spreadsheets/d/1kGrh75X1cNR1D7_FcY9zMnHP8iPO4M5RCRjy6nZY0TY/edit#gid=1248694442"",""Table 5: Risk of bias!W"&amp;"4:W175""), $A2=IMPORTRANGE(""https://docs.google.com/spreadsheets/d/1kGrh75X1cNR1D7_FcY9zMnHP8iPO4M5RCRjy6nZY0TY/edit#gid=1248694442"",""Table 5: Risk of bias!A4:A175"")))"),"Low")</f>
        <v>Low</v>
      </c>
      <c r="I2" s="4" t="str">
        <f>IFERROR(__xludf.DUMMYFUNCTION("FILTER(IMPORTRANGE(""https://docs.google.com/spreadsheets/d/1kGrh75X1cNR1D7_FcY9zMnHP8iPO4M5RCRjy6nZY0TY/edit#gid=1248694442"",""Table 5: Risk of bias!P4:P175""), $A2=IMPORTRANGE(""https://docs.google.com/spreadsheets/d/1kGrh75X1cNR1D7_FcY9zMnHP8iPO4M5RCR"&amp;"jy6nZY0TY/edit#gid=1248694442"",""Table 5: Risk of bias!A4:A175""))"),"Low")</f>
        <v>Low</v>
      </c>
      <c r="J2" s="4" t="str">
        <f>IFERROR(__xludf.DUMMYFUNCTION("FILTER(IMPORTRANGE(""https://docs.google.com/spreadsheets/d/1kGrh75X1cNR1D7_FcY9zMnHP8iPO4M5RCRjy6nZY0TY/edit#gid=1248694442"",""Table 5: Risk of bias!Q4:Q175""), $A2=IMPORTRANGE(""https://docs.google.com/spreadsheets/d/1kGrh75X1cNR1D7_FcY9zMnHP8iPO4M5RCR"&amp;"jy6nZY0TY/edit#gid=1248694442"",""Table 5: Risk of bias!A4:A175""))"),"Low")</f>
        <v>Low</v>
      </c>
    </row>
    <row r="3">
      <c r="A3" s="4" t="str">
        <f>IFERROR(__xludf.DUMMYFUNCTION("""COMPUTED_VALUE"""),"ID 4")</f>
        <v>ID 4</v>
      </c>
      <c r="B3" s="4" t="str">
        <f>IFERROR(__xludf.DUMMYFUNCTION("FILTER(IMPORTRANGE(""https://docs.google.com/spreadsheets/d/1kGrh75X1cNR1D7_FcY9zMnHP8iPO4M5RCRjy6nZY0TY/edit#gid=1248694442"",""Table 5: Risk of bias!D4:D175""), $A3=IMPORTRANGE(""https://docs.google.com/spreadsheets/d/1kGrh75X1cNR1D7_FcY9zMnHP8iPO4M5RCR"&amp;"jy6nZY0TY/edit#gid=1248694442"",""Table 5: Risk of bias!A4:A175""))"),"ROBINS I")</f>
        <v>ROBINS I</v>
      </c>
      <c r="C3" s="4" t="str">
        <f>IFERROR(__xludf.DUMMYFUNCTION("IFS(
$B3=""ROBINS I"", FILTER(IMPORTRANGE(""https://docs.google.com/spreadsheets/d/1kGrh75X1cNR1D7_FcY9zMnHP8iPO4M5RCRjy6nZY0TY/edit#gid=1248694442"",""Table 5: Risk of bias!J4:J175""),  $A3=IMPORTRANGE(""https://docs.google.com/spreadsheets/d/1kGrh75X1cN"&amp;"R1D7_FcY9zMnHP8iPO4M5RCRjy6nZY0TY/edit#gid=1248694442"",""Table 5: Risk of bias!A4:A175"")),
$B3=""RoB 2"", FILTER(IMPORTRANGE(""https://docs.google.com/spreadsheets/d/1kGrh75X1cNR1D7_FcY9zMnHP8iPO4M5RCRjy6nZY0TY/edit#gid=1248694442"",""Table 5: Risk of b"&amp;"ias!R4:R175""), $A3=IMPORTRANGE(""https://docs.google.com/spreadsheets/d/1kGrh75X1cNR1D7_FcY9zMnHP8iPO4M5RCRjy6nZY0TY/edit#gid=1248694442"",""Table 5: Risk of bias!A4:A175""))
)"),"Moderate")</f>
        <v>Moderate</v>
      </c>
      <c r="D3" s="4" t="str">
        <f>IFERROR(__xludf.DUMMYFUNCTION("IFS($B3=""ROBINS I"",FILTER(IMPORTRANGE(""https://docs.google.com/spreadsheets/d/1kGrh75X1cNR1D7_FcY9zMnHP8iPO4M5RCRjy6nZY0TY/edit#gid=1248694442"",""Table 5: Risk of bias!K4:K175""), $A3=IMPORTRANGE(""https://docs.google.com/spreadsheets/d/1kGrh75X1cNR1D"&amp;"7_FcY9zMnHP8iPO4M5RCRjy6nZY0TY/edit#gid=1248694442"",""Table 5: Risk of bias!A4:A175"")),$B3=""RoB 2"",FILTER(IMPORTRANGE(""https://docs.google.com/spreadsheets/d/1kGrh75X1cNR1D7_FcY9zMnHP8iPO4M5RCRjy6nZY0TY/edit#gid=1248694442"",""Table 5: Risk of bias!S"&amp;"4:S175""), $A3=IMPORTRANGE(""https://docs.google.com/spreadsheets/d/1kGrh75X1cNR1D7_FcY9zMnHP8iPO4M5RCRjy6nZY0TY/edit#gid=1248694442"",""Table 5: Risk of bias!A4:A175"")))"),"Low")</f>
        <v>Low</v>
      </c>
      <c r="E3" s="4" t="str">
        <f>IFERROR(__xludf.DUMMYFUNCTION("IFS($B3=""ROBINS I"",FILTER(IMPORTRANGE(""https://docs.google.com/spreadsheets/d/1kGrh75X1cNR1D7_FcY9zMnHP8iPO4M5RCRjy6nZY0TY/edit#gid=1248694442"",""Table 5: Risk of bias!L4:L175""), $A3=IMPORTRANGE(""https://docs.google.com/spreadsheets/d/1kGrh75X1cNR1D"&amp;"7_FcY9zMnHP8iPO4M5RCRjy6nZY0TY/edit#gid=1248694442"",""Table 5: Risk of bias!A4:A175"")),$B3=""RoB 2"",FILTER(IMPORTRANGE(""https://docs.google.com/spreadsheets/d/1kGrh75X1cNR1D7_FcY9zMnHP8iPO4M5RCRjy6nZY0TY/edit#gid=1248694442"",""Table 5: Risk of bias!T"&amp;"4:T175""), $A3=IMPORTRANGE(""https://docs.google.com/spreadsheets/d/1kGrh75X1cNR1D7_FcY9zMnHP8iPO4M5RCRjy6nZY0TY/edit#gid=1248694442"",""Table 5: Risk of bias!A4:A175"")))"),"Low")</f>
        <v>Low</v>
      </c>
      <c r="F3" s="4" t="str">
        <f>IFERROR(__xludf.DUMMYFUNCTION("IFS($B3=""ROBINS I"",FILTER(IMPORTRANGE(""https://docs.google.com/spreadsheets/d/1kGrh75X1cNR1D7_FcY9zMnHP8iPO4M5RCRjy6nZY0TY/edit#gid=1248694442"",""Table 5: Risk of bias!M4:M175""), $A3=IMPORTRANGE(""https://docs.google.com/spreadsheets/d/1kGrh75X1cNR1D"&amp;"7_FcY9zMnHP8iPO4M5RCRjy6nZY0TY/edit#gid=1248694442"",""Table 5: Risk of bias!A4:A175"")),$B3=""RoB 2"",FILTER(IMPORTRANGE(""https://docs.google.com/spreadsheets/d/1kGrh75X1cNR1D7_FcY9zMnHP8iPO4M5RCRjy6nZY0TY/edit#gid=1248694442"",""Table 5: Risk of bias!U"&amp;"4:U175""), $A3=IMPORTRANGE(""https://docs.google.com/spreadsheets/d/1kGrh75X1cNR1D7_FcY9zMnHP8iPO4M5RCRjy6nZY0TY/edit#gid=1248694442"",""Table 5: Risk of bias!A4:A175"")))"),"NI")</f>
        <v>NI</v>
      </c>
      <c r="G3" s="4" t="str">
        <f>IFERROR(__xludf.DUMMYFUNCTION("IFS($B3=""ROBINS I"",FILTER(IMPORTRANGE(""https://docs.google.com/spreadsheets/d/1kGrh75X1cNR1D7_FcY9zMnHP8iPO4M5RCRjy6nZY0TY/edit#gid=1248694442"",""Table 5: Risk of bias!N4:N175""), $A3=IMPORTRANGE(""https://docs.google.com/spreadsheets/d/1kGrh75X1cNR1D"&amp;"7_FcY9zMnHP8iPO4M5RCRjy6nZY0TY/edit#gid=1248694442"",""Table 5: Risk of bias!A4:A175"")),$B3=""RoB 2"",FILTER(IMPORTRANGE(""https://docs.google.com/spreadsheets/d/1kGrh75X1cNR1D7_FcY9zMnHP8iPO4M5RCRjy6nZY0TY/edit#gid=1248694442"",""Table 5: Risk of bias!V"&amp;"4:V175""), $A3=IMPORTRANGE(""https://docs.google.com/spreadsheets/d/1kGrh75X1cNR1D7_FcY9zMnHP8iPO4M5RCRjy6nZY0TY/edit#gid=1248694442"",""Table 5: Risk of bias!A4:A175"")))"),"Low")</f>
        <v>Low</v>
      </c>
      <c r="H3" s="4" t="str">
        <f>IFERROR(__xludf.DUMMYFUNCTION("IFS($B3=""ROBINS I"",FILTER(IMPORTRANGE(""https://docs.google.com/spreadsheets/d/1kGrh75X1cNR1D7_FcY9zMnHP8iPO4M5RCRjy6nZY0TY/edit#gid=1248694442"",""Table 5: Risk of bias!O4:O175""), $A3=IMPORTRANGE(""https://docs.google.com/spreadsheets/d/1kGrh75X1cNR1D"&amp;"7_FcY9zMnHP8iPO4M5RCRjy6nZY0TY/edit#gid=1248694442"",""Table 5: Risk of bias!A4:A175"")),$B3=""RoB 2"",FILTER(IMPORTRANGE(""https://docs.google.com/spreadsheets/d/1kGrh75X1cNR1D7_FcY9zMnHP8iPO4M5RCRjy6nZY0TY/edit#gid=1248694442"",""Table 5: Risk of bias!W"&amp;"4:W175""), $A3=IMPORTRANGE(""https://docs.google.com/spreadsheets/d/1kGrh75X1cNR1D7_FcY9zMnHP8iPO4M5RCRjy6nZY0TY/edit#gid=1248694442"",""Table 5: Risk of bias!A4:A175"")))"),"Low")</f>
        <v>Low</v>
      </c>
      <c r="I3" s="4" t="str">
        <f>IFERROR(__xludf.DUMMYFUNCTION("FILTER(IMPORTRANGE(""https://docs.google.com/spreadsheets/d/1kGrh75X1cNR1D7_FcY9zMnHP8iPO4M5RCRjy6nZY0TY/edit#gid=1248694442"",""Table 5: Risk of bias!P4:P175""), $A3=IMPORTRANGE(""https://docs.google.com/spreadsheets/d/1kGrh75X1cNR1D7_FcY9zMnHP8iPO4M5RCR"&amp;"jy6nZY0TY/edit#gid=1248694442"",""Table 5: Risk of bias!A4:A175""))"),"Moderate")</f>
        <v>Moderate</v>
      </c>
      <c r="J3" s="4" t="str">
        <f>IFERROR(__xludf.DUMMYFUNCTION("FILTER(IMPORTRANGE(""https://docs.google.com/spreadsheets/d/1kGrh75X1cNR1D7_FcY9zMnHP8iPO4M5RCRjy6nZY0TY/edit#gid=1248694442"",""Table 5: Risk of bias!Q4:Q175""), $A3=IMPORTRANGE(""https://docs.google.com/spreadsheets/d/1kGrh75X1cNR1D7_FcY9zMnHP8iPO4M5RCR"&amp;"jy6nZY0TY/edit#gid=1248694442"",""Table 5: Risk of bias!A4:A175""))"),"Low")</f>
        <v>Low</v>
      </c>
    </row>
    <row r="4">
      <c r="A4" s="4" t="str">
        <f>IFERROR(__xludf.DUMMYFUNCTION("""COMPUTED_VALUE"""),"ID 5")</f>
        <v>ID 5</v>
      </c>
      <c r="B4" s="4" t="str">
        <f>IFERROR(__xludf.DUMMYFUNCTION("FILTER(IMPORTRANGE(""https://docs.google.com/spreadsheets/d/1kGrh75X1cNR1D7_FcY9zMnHP8iPO4M5RCRjy6nZY0TY/edit#gid=1248694442"",""Table 5: Risk of bias!D4:D175""), $A4=IMPORTRANGE(""https://docs.google.com/spreadsheets/d/1kGrh75X1cNR1D7_FcY9zMnHP8iPO4M5RCR"&amp;"jy6nZY0TY/edit#gid=1248694442"",""Table 5: Risk of bias!A4:A175""))"),"ROBINS I")</f>
        <v>ROBINS I</v>
      </c>
      <c r="C4" s="4" t="str">
        <f>IFERROR(__xludf.DUMMYFUNCTION("IFS(
$B4=""ROBINS I"", FILTER(IMPORTRANGE(""https://docs.google.com/spreadsheets/d/1kGrh75X1cNR1D7_FcY9zMnHP8iPO4M5RCRjy6nZY0TY/edit#gid=1248694442"",""Table 5: Risk of bias!J4:J175""),  $A4=IMPORTRANGE(""https://docs.google.com/spreadsheets/d/1kGrh75X1cN"&amp;"R1D7_FcY9zMnHP8iPO4M5RCRjy6nZY0TY/edit#gid=1248694442"",""Table 5: Risk of bias!A4:A175"")),
$B4=""RoB 2"", FILTER(IMPORTRANGE(""https://docs.google.com/spreadsheets/d/1kGrh75X1cNR1D7_FcY9zMnHP8iPO4M5RCRjy6nZY0TY/edit#gid=1248694442"",""Table 5: Risk of b"&amp;"ias!R4:R175""), $A4=IMPORTRANGE(""https://docs.google.com/spreadsheets/d/1kGrh75X1cNR1D7_FcY9zMnHP8iPO4M5RCRjy6nZY0TY/edit#gid=1248694442"",""Table 5: Risk of bias!A4:A175""))
)"),"Low")</f>
        <v>Low</v>
      </c>
      <c r="D4" s="4" t="str">
        <f>IFERROR(__xludf.DUMMYFUNCTION("IFS($B4=""ROBINS I"",FILTER(IMPORTRANGE(""https://docs.google.com/spreadsheets/d/1kGrh75X1cNR1D7_FcY9zMnHP8iPO4M5RCRjy6nZY0TY/edit#gid=1248694442"",""Table 5: Risk of bias!K4:K175""), $A4=IMPORTRANGE(""https://docs.google.com/spreadsheets/d/1kGrh75X1cNR1D"&amp;"7_FcY9zMnHP8iPO4M5RCRjy6nZY0TY/edit#gid=1248694442"",""Table 5: Risk of bias!A4:A175"")),$B4=""RoB 2"",FILTER(IMPORTRANGE(""https://docs.google.com/spreadsheets/d/1kGrh75X1cNR1D7_FcY9zMnHP8iPO4M5RCRjy6nZY0TY/edit#gid=1248694442"",""Table 5: Risk of bias!S"&amp;"4:S175""), $A4=IMPORTRANGE(""https://docs.google.com/spreadsheets/d/1kGrh75X1cNR1D7_FcY9zMnHP8iPO4M5RCRjy6nZY0TY/edit#gid=1248694442"",""Table 5: Risk of bias!A4:A175"")))"),"Low")</f>
        <v>Low</v>
      </c>
      <c r="E4" s="4" t="str">
        <f>IFERROR(__xludf.DUMMYFUNCTION("IFS($B4=""ROBINS I"",FILTER(IMPORTRANGE(""https://docs.google.com/spreadsheets/d/1kGrh75X1cNR1D7_FcY9zMnHP8iPO4M5RCRjy6nZY0TY/edit#gid=1248694442"",""Table 5: Risk of bias!L4:L175""), $A4=IMPORTRANGE(""https://docs.google.com/spreadsheets/d/1kGrh75X1cNR1D"&amp;"7_FcY9zMnHP8iPO4M5RCRjy6nZY0TY/edit#gid=1248694442"",""Table 5: Risk of bias!A4:A175"")),$B4=""RoB 2"",FILTER(IMPORTRANGE(""https://docs.google.com/spreadsheets/d/1kGrh75X1cNR1D7_FcY9zMnHP8iPO4M5RCRjy6nZY0TY/edit#gid=1248694442"",""Table 5: Risk of bias!T"&amp;"4:T175""), $A4=IMPORTRANGE(""https://docs.google.com/spreadsheets/d/1kGrh75X1cNR1D7_FcY9zMnHP8iPO4M5RCRjy6nZY0TY/edit#gid=1248694442"",""Table 5: Risk of bias!A4:A175"")))"),"Low")</f>
        <v>Low</v>
      </c>
      <c r="F4" s="4" t="str">
        <f>IFERROR(__xludf.DUMMYFUNCTION("IFS($B4=""ROBINS I"",FILTER(IMPORTRANGE(""https://docs.google.com/spreadsheets/d/1kGrh75X1cNR1D7_FcY9zMnHP8iPO4M5RCRjy6nZY0TY/edit#gid=1248694442"",""Table 5: Risk of bias!M4:M175""), $A4=IMPORTRANGE(""https://docs.google.com/spreadsheets/d/1kGrh75X1cNR1D"&amp;"7_FcY9zMnHP8iPO4M5RCRjy6nZY0TY/edit#gid=1248694442"",""Table 5: Risk of bias!A4:A175"")),$B4=""RoB 2"",FILTER(IMPORTRANGE(""https://docs.google.com/spreadsheets/d/1kGrh75X1cNR1D7_FcY9zMnHP8iPO4M5RCRjy6nZY0TY/edit#gid=1248694442"",""Table 5: Risk of bias!U"&amp;"4:U175""), $A4=IMPORTRANGE(""https://docs.google.com/spreadsheets/d/1kGrh75X1cNR1D7_FcY9zMnHP8iPO4M5RCRjy6nZY0TY/edit#gid=1248694442"",""Table 5: Risk of bias!A4:A175"")))"),"Low")</f>
        <v>Low</v>
      </c>
      <c r="G4" s="4" t="str">
        <f>IFERROR(__xludf.DUMMYFUNCTION("IFS($B4=""ROBINS I"",FILTER(IMPORTRANGE(""https://docs.google.com/spreadsheets/d/1kGrh75X1cNR1D7_FcY9zMnHP8iPO4M5RCRjy6nZY0TY/edit#gid=1248694442"",""Table 5: Risk of bias!N4:N175""), $A4=IMPORTRANGE(""https://docs.google.com/spreadsheets/d/1kGrh75X1cNR1D"&amp;"7_FcY9zMnHP8iPO4M5RCRjy6nZY0TY/edit#gid=1248694442"",""Table 5: Risk of bias!A4:A175"")),$B4=""RoB 2"",FILTER(IMPORTRANGE(""https://docs.google.com/spreadsheets/d/1kGrh75X1cNR1D7_FcY9zMnHP8iPO4M5RCRjy6nZY0TY/edit#gid=1248694442"",""Table 5: Risk of bias!V"&amp;"4:V175""), $A4=IMPORTRANGE(""https://docs.google.com/spreadsheets/d/1kGrh75X1cNR1D7_FcY9zMnHP8iPO4M5RCRjy6nZY0TY/edit#gid=1248694442"",""Table 5: Risk of bias!A4:A175"")))"),"Low")</f>
        <v>Low</v>
      </c>
      <c r="H4" s="4" t="str">
        <f>IFERROR(__xludf.DUMMYFUNCTION("IFS($B4=""ROBINS I"",FILTER(IMPORTRANGE(""https://docs.google.com/spreadsheets/d/1kGrh75X1cNR1D7_FcY9zMnHP8iPO4M5RCRjy6nZY0TY/edit#gid=1248694442"",""Table 5: Risk of bias!O4:O175""), $A4=IMPORTRANGE(""https://docs.google.com/spreadsheets/d/1kGrh75X1cNR1D"&amp;"7_FcY9zMnHP8iPO4M5RCRjy6nZY0TY/edit#gid=1248694442"",""Table 5: Risk of bias!A4:A175"")),$B4=""RoB 2"",FILTER(IMPORTRANGE(""https://docs.google.com/spreadsheets/d/1kGrh75X1cNR1D7_FcY9zMnHP8iPO4M5RCRjy6nZY0TY/edit#gid=1248694442"",""Table 5: Risk of bias!W"&amp;"4:W175""), $A4=IMPORTRANGE(""https://docs.google.com/spreadsheets/d/1kGrh75X1cNR1D7_FcY9zMnHP8iPO4M5RCRjy6nZY0TY/edit#gid=1248694442"",""Table 5: Risk of bias!A4:A175"")))"),"Low")</f>
        <v>Low</v>
      </c>
      <c r="I4" s="4" t="str">
        <f>IFERROR(__xludf.DUMMYFUNCTION("FILTER(IMPORTRANGE(""https://docs.google.com/spreadsheets/d/1kGrh75X1cNR1D7_FcY9zMnHP8iPO4M5RCRjy6nZY0TY/edit#gid=1248694442"",""Table 5: Risk of bias!P4:P175""), $A4=IMPORTRANGE(""https://docs.google.com/spreadsheets/d/1kGrh75X1cNR1D7_FcY9zMnHP8iPO4M5RCR"&amp;"jy6nZY0TY/edit#gid=1248694442"",""Table 5: Risk of bias!A4:A175""))"),"Low")</f>
        <v>Low</v>
      </c>
      <c r="J4" s="4" t="str">
        <f>IFERROR(__xludf.DUMMYFUNCTION("FILTER(IMPORTRANGE(""https://docs.google.com/spreadsheets/d/1kGrh75X1cNR1D7_FcY9zMnHP8iPO4M5RCRjy6nZY0TY/edit#gid=1248694442"",""Table 5: Risk of bias!Q4:Q175""), $A4=IMPORTRANGE(""https://docs.google.com/spreadsheets/d/1kGrh75X1cNR1D7_FcY9zMnHP8iPO4M5RCR"&amp;"jy6nZY0TY/edit#gid=1248694442"",""Table 5: Risk of bias!A4:A175""))"),"Low")</f>
        <v>Low</v>
      </c>
    </row>
    <row r="5">
      <c r="A5" s="4" t="str">
        <f>IFERROR(__xludf.DUMMYFUNCTION("""COMPUTED_VALUE"""),"ID 6")</f>
        <v>ID 6</v>
      </c>
      <c r="B5" s="4" t="str">
        <f>IFERROR(__xludf.DUMMYFUNCTION("FILTER(IMPORTRANGE(""https://docs.google.com/spreadsheets/d/1kGrh75X1cNR1D7_FcY9zMnHP8iPO4M5RCRjy6nZY0TY/edit#gid=1248694442"",""Table 5: Risk of bias!D4:D175""), $A5=IMPORTRANGE(""https://docs.google.com/spreadsheets/d/1kGrh75X1cNR1D7_FcY9zMnHP8iPO4M5RCR"&amp;"jy6nZY0TY/edit#gid=1248694442"",""Table 5: Risk of bias!A4:A175""))"),"ROBINS I")</f>
        <v>ROBINS I</v>
      </c>
      <c r="C5" s="4" t="str">
        <f>IFERROR(__xludf.DUMMYFUNCTION("IFS(
$B5=""ROBINS I"", FILTER(IMPORTRANGE(""https://docs.google.com/spreadsheets/d/1kGrh75X1cNR1D7_FcY9zMnHP8iPO4M5RCRjy6nZY0TY/edit#gid=1248694442"",""Table 5: Risk of bias!J4:J175""),  $A5=IMPORTRANGE(""https://docs.google.com/spreadsheets/d/1kGrh75X1cN"&amp;"R1D7_FcY9zMnHP8iPO4M5RCRjy6nZY0TY/edit#gid=1248694442"",""Table 5: Risk of bias!A4:A175"")),
$B5=""RoB 2"", FILTER(IMPORTRANGE(""https://docs.google.com/spreadsheets/d/1kGrh75X1cNR1D7_FcY9zMnHP8iPO4M5RCRjy6nZY0TY/edit#gid=1248694442"",""Table 5: Risk of b"&amp;"ias!R4:R175""), $A5=IMPORTRANGE(""https://docs.google.com/spreadsheets/d/1kGrh75X1cNR1D7_FcY9zMnHP8iPO4M5RCRjy6nZY0TY/edit#gid=1248694442"",""Table 5: Risk of bias!A4:A175""))
)"),"Critical")</f>
        <v>Critical</v>
      </c>
      <c r="D5" s="4" t="str">
        <f>IFERROR(__xludf.DUMMYFUNCTION("IFS($B5=""ROBINS I"",FILTER(IMPORTRANGE(""https://docs.google.com/spreadsheets/d/1kGrh75X1cNR1D7_FcY9zMnHP8iPO4M5RCRjy6nZY0TY/edit#gid=1248694442"",""Table 5: Risk of bias!K4:K175""), $A5=IMPORTRANGE(""https://docs.google.com/spreadsheets/d/1kGrh75X1cNR1D"&amp;"7_FcY9zMnHP8iPO4M5RCRjy6nZY0TY/edit#gid=1248694442"",""Table 5: Risk of bias!A4:A175"")),$B5=""RoB 2"",FILTER(IMPORTRANGE(""https://docs.google.com/spreadsheets/d/1kGrh75X1cNR1D7_FcY9zMnHP8iPO4M5RCRjy6nZY0TY/edit#gid=1248694442"",""Table 5: Risk of bias!S"&amp;"4:S175""), $A5=IMPORTRANGE(""https://docs.google.com/spreadsheets/d/1kGrh75X1cNR1D7_FcY9zMnHP8iPO4M5RCRjy6nZY0TY/edit#gid=1248694442"",""Table 5: Risk of bias!A4:A175"")))"),"Critical")</f>
        <v>Critical</v>
      </c>
      <c r="E5" s="4" t="str">
        <f>IFERROR(__xludf.DUMMYFUNCTION("IFS($B5=""ROBINS I"",FILTER(IMPORTRANGE(""https://docs.google.com/spreadsheets/d/1kGrh75X1cNR1D7_FcY9zMnHP8iPO4M5RCRjy6nZY0TY/edit#gid=1248694442"",""Table 5: Risk of bias!L4:L175""), $A5=IMPORTRANGE(""https://docs.google.com/spreadsheets/d/1kGrh75X1cNR1D"&amp;"7_FcY9zMnHP8iPO4M5RCRjy6nZY0TY/edit#gid=1248694442"",""Table 5: Risk of bias!A4:A175"")),$B5=""RoB 2"",FILTER(IMPORTRANGE(""https://docs.google.com/spreadsheets/d/1kGrh75X1cNR1D7_FcY9zMnHP8iPO4M5RCRjy6nZY0TY/edit#gid=1248694442"",""Table 5: Risk of bias!T"&amp;"4:T175""), $A5=IMPORTRANGE(""https://docs.google.com/spreadsheets/d/1kGrh75X1cNR1D7_FcY9zMnHP8iPO4M5RCRjy6nZY0TY/edit#gid=1248694442"",""Table 5: Risk of bias!A4:A175"")))"),"Low")</f>
        <v>Low</v>
      </c>
      <c r="F5" s="4" t="str">
        <f>IFERROR(__xludf.DUMMYFUNCTION("IFS($B5=""ROBINS I"",FILTER(IMPORTRANGE(""https://docs.google.com/spreadsheets/d/1kGrh75X1cNR1D7_FcY9zMnHP8iPO4M5RCRjy6nZY0TY/edit#gid=1248694442"",""Table 5: Risk of bias!M4:M175""), $A5=IMPORTRANGE(""https://docs.google.com/spreadsheets/d/1kGrh75X1cNR1D"&amp;"7_FcY9zMnHP8iPO4M5RCRjy6nZY0TY/edit#gid=1248694442"",""Table 5: Risk of bias!A4:A175"")),$B5=""RoB 2"",FILTER(IMPORTRANGE(""https://docs.google.com/spreadsheets/d/1kGrh75X1cNR1D7_FcY9zMnHP8iPO4M5RCRjy6nZY0TY/edit#gid=1248694442"",""Table 5: Risk of bias!U"&amp;"4:U175""), $A5=IMPORTRANGE(""https://docs.google.com/spreadsheets/d/1kGrh75X1cNR1D7_FcY9zMnHP8iPO4M5RCRjy6nZY0TY/edit#gid=1248694442"",""Table 5: Risk of bias!A4:A175"")))"),"NI")</f>
        <v>NI</v>
      </c>
      <c r="G5" s="4" t="str">
        <f>IFERROR(__xludf.DUMMYFUNCTION("IFS($B5=""ROBINS I"",FILTER(IMPORTRANGE(""https://docs.google.com/spreadsheets/d/1kGrh75X1cNR1D7_FcY9zMnHP8iPO4M5RCRjy6nZY0TY/edit#gid=1248694442"",""Table 5: Risk of bias!N4:N175""), $A5=IMPORTRANGE(""https://docs.google.com/spreadsheets/d/1kGrh75X1cNR1D"&amp;"7_FcY9zMnHP8iPO4M5RCRjy6nZY0TY/edit#gid=1248694442"",""Table 5: Risk of bias!A4:A175"")),$B5=""RoB 2"",FILTER(IMPORTRANGE(""https://docs.google.com/spreadsheets/d/1kGrh75X1cNR1D7_FcY9zMnHP8iPO4M5RCRjy6nZY0TY/edit#gid=1248694442"",""Table 5: Risk of bias!V"&amp;"4:V175""), $A5=IMPORTRANGE(""https://docs.google.com/spreadsheets/d/1kGrh75X1cNR1D7_FcY9zMnHP8iPO4M5RCRjy6nZY0TY/edit#gid=1248694442"",""Table 5: Risk of bias!A4:A175"")))"),"Low")</f>
        <v>Low</v>
      </c>
      <c r="H5" s="4" t="str">
        <f>IFERROR(__xludf.DUMMYFUNCTION("IFS($B5=""ROBINS I"",FILTER(IMPORTRANGE(""https://docs.google.com/spreadsheets/d/1kGrh75X1cNR1D7_FcY9zMnHP8iPO4M5RCRjy6nZY0TY/edit#gid=1248694442"",""Table 5: Risk of bias!O4:O175""), $A5=IMPORTRANGE(""https://docs.google.com/spreadsheets/d/1kGrh75X1cNR1D"&amp;"7_FcY9zMnHP8iPO4M5RCRjy6nZY0TY/edit#gid=1248694442"",""Table 5: Risk of bias!A4:A175"")),$B5=""RoB 2"",FILTER(IMPORTRANGE(""https://docs.google.com/spreadsheets/d/1kGrh75X1cNR1D7_FcY9zMnHP8iPO4M5RCRjy6nZY0TY/edit#gid=1248694442"",""Table 5: Risk of bias!W"&amp;"4:W175""), $A5=IMPORTRANGE(""https://docs.google.com/spreadsheets/d/1kGrh75X1cNR1D7_FcY9zMnHP8iPO4M5RCRjy6nZY0TY/edit#gid=1248694442"",""Table 5: Risk of bias!A4:A175"")))"),"Low")</f>
        <v>Low</v>
      </c>
      <c r="I5" s="4" t="str">
        <f>IFERROR(__xludf.DUMMYFUNCTION("FILTER(IMPORTRANGE(""https://docs.google.com/spreadsheets/d/1kGrh75X1cNR1D7_FcY9zMnHP8iPO4M5RCRjy6nZY0TY/edit#gid=1248694442"",""Table 5: Risk of bias!P4:P175""), $A5=IMPORTRANGE(""https://docs.google.com/spreadsheets/d/1kGrh75X1cNR1D7_FcY9zMnHP8iPO4M5RCR"&amp;"jy6nZY0TY/edit#gid=1248694442"",""Table 5: Risk of bias!A4:A175""))"),"Critical")</f>
        <v>Critical</v>
      </c>
      <c r="J5" s="4" t="str">
        <f>IFERROR(__xludf.DUMMYFUNCTION("FILTER(IMPORTRANGE(""https://docs.google.com/spreadsheets/d/1kGrh75X1cNR1D7_FcY9zMnHP8iPO4M5RCRjy6nZY0TY/edit#gid=1248694442"",""Table 5: Risk of bias!Q4:Q175""), $A5=IMPORTRANGE(""https://docs.google.com/spreadsheets/d/1kGrh75X1cNR1D7_FcY9zMnHP8iPO4M5RCR"&amp;"jy6nZY0TY/edit#gid=1248694442"",""Table 5: Risk of bias!A4:A175""))"),"Serious")</f>
        <v>Serious</v>
      </c>
    </row>
    <row r="6">
      <c r="A6" s="4" t="str">
        <f>IFERROR(__xludf.DUMMYFUNCTION("""COMPUTED_VALUE"""),"ID 8")</f>
        <v>ID 8</v>
      </c>
      <c r="B6" s="4" t="str">
        <f>IFERROR(__xludf.DUMMYFUNCTION("FILTER(IMPORTRANGE(""https://docs.google.com/spreadsheets/d/1kGrh75X1cNR1D7_FcY9zMnHP8iPO4M5RCRjy6nZY0TY/edit#gid=1248694442"",""Table 5: Risk of bias!D4:D175""), $A6=IMPORTRANGE(""https://docs.google.com/spreadsheets/d/1kGrh75X1cNR1D7_FcY9zMnHP8iPO4M5RCR"&amp;"jy6nZY0TY/edit#gid=1248694442"",""Table 5: Risk of bias!A4:A175""))"),"ROBINS I")</f>
        <v>ROBINS I</v>
      </c>
      <c r="C6" s="4" t="str">
        <f>IFERROR(__xludf.DUMMYFUNCTION("IFS(
$B6=""ROBINS I"", FILTER(IMPORTRANGE(""https://docs.google.com/spreadsheets/d/1kGrh75X1cNR1D7_FcY9zMnHP8iPO4M5RCRjy6nZY0TY/edit#gid=1248694442"",""Table 5: Risk of bias!J4:J175""),  $A6=IMPORTRANGE(""https://docs.google.com/spreadsheets/d/1kGrh75X1cN"&amp;"R1D7_FcY9zMnHP8iPO4M5RCRjy6nZY0TY/edit#gid=1248694442"",""Table 5: Risk of bias!A4:A175"")),
$B6=""RoB 2"", FILTER(IMPORTRANGE(""https://docs.google.com/spreadsheets/d/1kGrh75X1cNR1D7_FcY9zMnHP8iPO4M5RCRjy6nZY0TY/edit#gid=1248694442"",""Table 5: Risk of b"&amp;"ias!R4:R175""), $A6=IMPORTRANGE(""https://docs.google.com/spreadsheets/d/1kGrh75X1cNR1D7_FcY9zMnHP8iPO4M5RCRjy6nZY0TY/edit#gid=1248694442"",""Table 5: Risk of bias!A4:A175""))
)"),"Critical")</f>
        <v>Critical</v>
      </c>
      <c r="D6" s="4" t="str">
        <f>IFERROR(__xludf.DUMMYFUNCTION("IFS($B6=""ROBINS I"",FILTER(IMPORTRANGE(""https://docs.google.com/spreadsheets/d/1kGrh75X1cNR1D7_FcY9zMnHP8iPO4M5RCRjy6nZY0TY/edit#gid=1248694442"",""Table 5: Risk of bias!K4:K175""), $A6=IMPORTRANGE(""https://docs.google.com/spreadsheets/d/1kGrh75X1cNR1D"&amp;"7_FcY9zMnHP8iPO4M5RCRjy6nZY0TY/edit#gid=1248694442"",""Table 5: Risk of bias!A4:A175"")),$B6=""RoB 2"",FILTER(IMPORTRANGE(""https://docs.google.com/spreadsheets/d/1kGrh75X1cNR1D7_FcY9zMnHP8iPO4M5RCRjy6nZY0TY/edit#gid=1248694442"",""Table 5: Risk of bias!S"&amp;"4:S175""), $A6=IMPORTRANGE(""https://docs.google.com/spreadsheets/d/1kGrh75X1cNR1D7_FcY9zMnHP8iPO4M5RCRjy6nZY0TY/edit#gid=1248694442"",""Table 5: Risk of bias!A4:A175"")))"),"Critical")</f>
        <v>Critical</v>
      </c>
      <c r="E6" s="4" t="str">
        <f>IFERROR(__xludf.DUMMYFUNCTION("IFS($B6=""ROBINS I"",FILTER(IMPORTRANGE(""https://docs.google.com/spreadsheets/d/1kGrh75X1cNR1D7_FcY9zMnHP8iPO4M5RCRjy6nZY0TY/edit#gid=1248694442"",""Table 5: Risk of bias!L4:L175""), $A6=IMPORTRANGE(""https://docs.google.com/spreadsheets/d/1kGrh75X1cNR1D"&amp;"7_FcY9zMnHP8iPO4M5RCRjy6nZY0TY/edit#gid=1248694442"",""Table 5: Risk of bias!A4:A175"")),$B6=""RoB 2"",FILTER(IMPORTRANGE(""https://docs.google.com/spreadsheets/d/1kGrh75X1cNR1D7_FcY9zMnHP8iPO4M5RCRjy6nZY0TY/edit#gid=1248694442"",""Table 5: Risk of bias!T"&amp;"4:T175""), $A6=IMPORTRANGE(""https://docs.google.com/spreadsheets/d/1kGrh75X1cNR1D7_FcY9zMnHP8iPO4M5RCRjy6nZY0TY/edit#gid=1248694442"",""Table 5: Risk of bias!A4:A175"")))"),"Low")</f>
        <v>Low</v>
      </c>
      <c r="F6" s="4" t="str">
        <f>IFERROR(__xludf.DUMMYFUNCTION("IFS($B6=""ROBINS I"",FILTER(IMPORTRANGE(""https://docs.google.com/spreadsheets/d/1kGrh75X1cNR1D7_FcY9zMnHP8iPO4M5RCRjy6nZY0TY/edit#gid=1248694442"",""Table 5: Risk of bias!M4:M175""), $A6=IMPORTRANGE(""https://docs.google.com/spreadsheets/d/1kGrh75X1cNR1D"&amp;"7_FcY9zMnHP8iPO4M5RCRjy6nZY0TY/edit#gid=1248694442"",""Table 5: Risk of bias!A4:A175"")),$B6=""RoB 2"",FILTER(IMPORTRANGE(""https://docs.google.com/spreadsheets/d/1kGrh75X1cNR1D7_FcY9zMnHP8iPO4M5RCRjy6nZY0TY/edit#gid=1248694442"",""Table 5: Risk of bias!U"&amp;"4:U175""), $A6=IMPORTRANGE(""https://docs.google.com/spreadsheets/d/1kGrh75X1cNR1D7_FcY9zMnHP8iPO4M5RCRjy6nZY0TY/edit#gid=1248694442"",""Table 5: Risk of bias!A4:A175"")))"),"Low")</f>
        <v>Low</v>
      </c>
      <c r="G6" s="4" t="str">
        <f>IFERROR(__xludf.DUMMYFUNCTION("IFS($B6=""ROBINS I"",FILTER(IMPORTRANGE(""https://docs.google.com/spreadsheets/d/1kGrh75X1cNR1D7_FcY9zMnHP8iPO4M5RCRjy6nZY0TY/edit#gid=1248694442"",""Table 5: Risk of bias!N4:N175""), $A6=IMPORTRANGE(""https://docs.google.com/spreadsheets/d/1kGrh75X1cNR1D"&amp;"7_FcY9zMnHP8iPO4M5RCRjy6nZY0TY/edit#gid=1248694442"",""Table 5: Risk of bias!A4:A175"")),$B6=""RoB 2"",FILTER(IMPORTRANGE(""https://docs.google.com/spreadsheets/d/1kGrh75X1cNR1D7_FcY9zMnHP8iPO4M5RCRjy6nZY0TY/edit#gid=1248694442"",""Table 5: Risk of bias!V"&amp;"4:V175""), $A6=IMPORTRANGE(""https://docs.google.com/spreadsheets/d/1kGrh75X1cNR1D7_FcY9zMnHP8iPO4M5RCRjy6nZY0TY/edit#gid=1248694442"",""Table 5: Risk of bias!A4:A175"")))"),"Low")</f>
        <v>Low</v>
      </c>
      <c r="H6" s="4" t="str">
        <f>IFERROR(__xludf.DUMMYFUNCTION("IFS($B6=""ROBINS I"",FILTER(IMPORTRANGE(""https://docs.google.com/spreadsheets/d/1kGrh75X1cNR1D7_FcY9zMnHP8iPO4M5RCRjy6nZY0TY/edit#gid=1248694442"",""Table 5: Risk of bias!O4:O175""), $A6=IMPORTRANGE(""https://docs.google.com/spreadsheets/d/1kGrh75X1cNR1D"&amp;"7_FcY9zMnHP8iPO4M5RCRjy6nZY0TY/edit#gid=1248694442"",""Table 5: Risk of bias!A4:A175"")),$B6=""RoB 2"",FILTER(IMPORTRANGE(""https://docs.google.com/spreadsheets/d/1kGrh75X1cNR1D7_FcY9zMnHP8iPO4M5RCRjy6nZY0TY/edit#gid=1248694442"",""Table 5: Risk of bias!W"&amp;"4:W175""), $A6=IMPORTRANGE(""https://docs.google.com/spreadsheets/d/1kGrh75X1cNR1D7_FcY9zMnHP8iPO4M5RCRjy6nZY0TY/edit#gid=1248694442"",""Table 5: Risk of bias!A4:A175"")))"),"Low")</f>
        <v>Low</v>
      </c>
      <c r="I6" s="4" t="str">
        <f>IFERROR(__xludf.DUMMYFUNCTION("FILTER(IMPORTRANGE(""https://docs.google.com/spreadsheets/d/1kGrh75X1cNR1D7_FcY9zMnHP8iPO4M5RCRjy6nZY0TY/edit#gid=1248694442"",""Table 5: Risk of bias!P4:P175""), $A6=IMPORTRANGE(""https://docs.google.com/spreadsheets/d/1kGrh75X1cNR1D7_FcY9zMnHP8iPO4M5RCR"&amp;"jy6nZY0TY/edit#gid=1248694442"",""Table 5: Risk of bias!A4:A175""))"),"Moderate")</f>
        <v>Moderate</v>
      </c>
      <c r="J6" s="4" t="str">
        <f>IFERROR(__xludf.DUMMYFUNCTION("FILTER(IMPORTRANGE(""https://docs.google.com/spreadsheets/d/1kGrh75X1cNR1D7_FcY9zMnHP8iPO4M5RCRjy6nZY0TY/edit#gid=1248694442"",""Table 5: Risk of bias!Q4:Q175""), $A6=IMPORTRANGE(""https://docs.google.com/spreadsheets/d/1kGrh75X1cNR1D7_FcY9zMnHP8iPO4M5RCR"&amp;"jy6nZY0TY/edit#gid=1248694442"",""Table 5: Risk of bias!A4:A175""))"),"Low")</f>
        <v>Low</v>
      </c>
    </row>
    <row r="7">
      <c r="A7" s="4" t="str">
        <f>IFERROR(__xludf.DUMMYFUNCTION("""COMPUTED_VALUE"""),"ID 9")</f>
        <v>ID 9</v>
      </c>
      <c r="B7" s="4" t="str">
        <f>IFERROR(__xludf.DUMMYFUNCTION("FILTER(IMPORTRANGE(""https://docs.google.com/spreadsheets/d/1kGrh75X1cNR1D7_FcY9zMnHP8iPO4M5RCRjy6nZY0TY/edit#gid=1248694442"",""Table 5: Risk of bias!D4:D175""), $A7=IMPORTRANGE(""https://docs.google.com/spreadsheets/d/1kGrh75X1cNR1D7_FcY9zMnHP8iPO4M5RCR"&amp;"jy6nZY0TY/edit#gid=1248694442"",""Table 5: Risk of bias!A4:A175""))"),"ROBINS I")</f>
        <v>ROBINS I</v>
      </c>
      <c r="C7" s="4" t="str">
        <f>IFERROR(__xludf.DUMMYFUNCTION("IFS(
$B7=""ROBINS I"", FILTER(IMPORTRANGE(""https://docs.google.com/spreadsheets/d/1kGrh75X1cNR1D7_FcY9zMnHP8iPO4M5RCRjy6nZY0TY/edit#gid=1248694442"",""Table 5: Risk of bias!J4:J175""),  $A7=IMPORTRANGE(""https://docs.google.com/spreadsheets/d/1kGrh75X1cN"&amp;"R1D7_FcY9zMnHP8iPO4M5RCRjy6nZY0TY/edit#gid=1248694442"",""Table 5: Risk of bias!A4:A175"")),
$B7=""RoB 2"", FILTER(IMPORTRANGE(""https://docs.google.com/spreadsheets/d/1kGrh75X1cNR1D7_FcY9zMnHP8iPO4M5RCRjy6nZY0TY/edit#gid=1248694442"",""Table 5: Risk of b"&amp;"ias!R4:R175""), $A7=IMPORTRANGE(""https://docs.google.com/spreadsheets/d/1kGrh75X1cNR1D7_FcY9zMnHP8iPO4M5RCRjy6nZY0TY/edit#gid=1248694442"",""Table 5: Risk of bias!A4:A175""))
)"),"Moderate")</f>
        <v>Moderate</v>
      </c>
      <c r="D7" s="4" t="str">
        <f>IFERROR(__xludf.DUMMYFUNCTION("IFS($B7=""ROBINS I"",FILTER(IMPORTRANGE(""https://docs.google.com/spreadsheets/d/1kGrh75X1cNR1D7_FcY9zMnHP8iPO4M5RCRjy6nZY0TY/edit#gid=1248694442"",""Table 5: Risk of bias!K4:K175""), $A7=IMPORTRANGE(""https://docs.google.com/spreadsheets/d/1kGrh75X1cNR1D"&amp;"7_FcY9zMnHP8iPO4M5RCRjy6nZY0TY/edit#gid=1248694442"",""Table 5: Risk of bias!A4:A175"")),$B7=""RoB 2"",FILTER(IMPORTRANGE(""https://docs.google.com/spreadsheets/d/1kGrh75X1cNR1D7_FcY9zMnHP8iPO4M5RCRjy6nZY0TY/edit#gid=1248694442"",""Table 5: Risk of bias!S"&amp;"4:S175""), $A7=IMPORTRANGE(""https://docs.google.com/spreadsheets/d/1kGrh75X1cNR1D7_FcY9zMnHP8iPO4M5RCRjy6nZY0TY/edit#gid=1248694442"",""Table 5: Risk of bias!A4:A175"")))"),"Low")</f>
        <v>Low</v>
      </c>
      <c r="E7" s="4" t="str">
        <f>IFERROR(__xludf.DUMMYFUNCTION("IFS($B7=""ROBINS I"",FILTER(IMPORTRANGE(""https://docs.google.com/spreadsheets/d/1kGrh75X1cNR1D7_FcY9zMnHP8iPO4M5RCRjy6nZY0TY/edit#gid=1248694442"",""Table 5: Risk of bias!L4:L175""), $A7=IMPORTRANGE(""https://docs.google.com/spreadsheets/d/1kGrh75X1cNR1D"&amp;"7_FcY9zMnHP8iPO4M5RCRjy6nZY0TY/edit#gid=1248694442"",""Table 5: Risk of bias!A4:A175"")),$B7=""RoB 2"",FILTER(IMPORTRANGE(""https://docs.google.com/spreadsheets/d/1kGrh75X1cNR1D7_FcY9zMnHP8iPO4M5RCRjy6nZY0TY/edit#gid=1248694442"",""Table 5: Risk of bias!T"&amp;"4:T175""), $A7=IMPORTRANGE(""https://docs.google.com/spreadsheets/d/1kGrh75X1cNR1D7_FcY9zMnHP8iPO4M5RCRjy6nZY0TY/edit#gid=1248694442"",""Table 5: Risk of bias!A4:A175"")))"),"Moderate")</f>
        <v>Moderate</v>
      </c>
      <c r="F7" s="4" t="str">
        <f>IFERROR(__xludf.DUMMYFUNCTION("IFS($B7=""ROBINS I"",FILTER(IMPORTRANGE(""https://docs.google.com/spreadsheets/d/1kGrh75X1cNR1D7_FcY9zMnHP8iPO4M5RCRjy6nZY0TY/edit#gid=1248694442"",""Table 5: Risk of bias!M4:M175""), $A7=IMPORTRANGE(""https://docs.google.com/spreadsheets/d/1kGrh75X1cNR1D"&amp;"7_FcY9zMnHP8iPO4M5RCRjy6nZY0TY/edit#gid=1248694442"",""Table 5: Risk of bias!A4:A175"")),$B7=""RoB 2"",FILTER(IMPORTRANGE(""https://docs.google.com/spreadsheets/d/1kGrh75X1cNR1D7_FcY9zMnHP8iPO4M5RCRjy6nZY0TY/edit#gid=1248694442"",""Table 5: Risk of bias!U"&amp;"4:U175""), $A7=IMPORTRANGE(""https://docs.google.com/spreadsheets/d/1kGrh75X1cNR1D7_FcY9zMnHP8iPO4M5RCRjy6nZY0TY/edit#gid=1248694442"",""Table 5: Risk of bias!A4:A175"")))"),"Low")</f>
        <v>Low</v>
      </c>
      <c r="G7" s="4" t="str">
        <f>IFERROR(__xludf.DUMMYFUNCTION("IFS($B7=""ROBINS I"",FILTER(IMPORTRANGE(""https://docs.google.com/spreadsheets/d/1kGrh75X1cNR1D7_FcY9zMnHP8iPO4M5RCRjy6nZY0TY/edit#gid=1248694442"",""Table 5: Risk of bias!N4:N175""), $A7=IMPORTRANGE(""https://docs.google.com/spreadsheets/d/1kGrh75X1cNR1D"&amp;"7_FcY9zMnHP8iPO4M5RCRjy6nZY0TY/edit#gid=1248694442"",""Table 5: Risk of bias!A4:A175"")),$B7=""RoB 2"",FILTER(IMPORTRANGE(""https://docs.google.com/spreadsheets/d/1kGrh75X1cNR1D7_FcY9zMnHP8iPO4M5RCRjy6nZY0TY/edit#gid=1248694442"",""Table 5: Risk of bias!V"&amp;"4:V175""), $A7=IMPORTRANGE(""https://docs.google.com/spreadsheets/d/1kGrh75X1cNR1D7_FcY9zMnHP8iPO4M5RCRjy6nZY0TY/edit#gid=1248694442"",""Table 5: Risk of bias!A4:A175"")))"),"Low")</f>
        <v>Low</v>
      </c>
      <c r="H7" s="4" t="str">
        <f>IFERROR(__xludf.DUMMYFUNCTION("IFS($B7=""ROBINS I"",FILTER(IMPORTRANGE(""https://docs.google.com/spreadsheets/d/1kGrh75X1cNR1D7_FcY9zMnHP8iPO4M5RCRjy6nZY0TY/edit#gid=1248694442"",""Table 5: Risk of bias!O4:O175""), $A7=IMPORTRANGE(""https://docs.google.com/spreadsheets/d/1kGrh75X1cNR1D"&amp;"7_FcY9zMnHP8iPO4M5RCRjy6nZY0TY/edit#gid=1248694442"",""Table 5: Risk of bias!A4:A175"")),$B7=""RoB 2"",FILTER(IMPORTRANGE(""https://docs.google.com/spreadsheets/d/1kGrh75X1cNR1D7_FcY9zMnHP8iPO4M5RCRjy6nZY0TY/edit#gid=1248694442"",""Table 5: Risk of bias!W"&amp;"4:W175""), $A7=IMPORTRANGE(""https://docs.google.com/spreadsheets/d/1kGrh75X1cNR1D7_FcY9zMnHP8iPO4M5RCRjy6nZY0TY/edit#gid=1248694442"",""Table 5: Risk of bias!A4:A175"")))"),"Low")</f>
        <v>Low</v>
      </c>
      <c r="I7" s="4" t="str">
        <f>IFERROR(__xludf.DUMMYFUNCTION("FILTER(IMPORTRANGE(""https://docs.google.com/spreadsheets/d/1kGrh75X1cNR1D7_FcY9zMnHP8iPO4M5RCRjy6nZY0TY/edit#gid=1248694442"",""Table 5: Risk of bias!P4:P175""), $A7=IMPORTRANGE(""https://docs.google.com/spreadsheets/d/1kGrh75X1cNR1D7_FcY9zMnHP8iPO4M5RCR"&amp;"jy6nZY0TY/edit#gid=1248694442"",""Table 5: Risk of bias!A4:A175""))"),"Low")</f>
        <v>Low</v>
      </c>
      <c r="J7" s="4" t="str">
        <f>IFERROR(__xludf.DUMMYFUNCTION("FILTER(IMPORTRANGE(""https://docs.google.com/spreadsheets/d/1kGrh75X1cNR1D7_FcY9zMnHP8iPO4M5RCRjy6nZY0TY/edit#gid=1248694442"",""Table 5: Risk of bias!Q4:Q175""), $A7=IMPORTRANGE(""https://docs.google.com/spreadsheets/d/1kGrh75X1cNR1D7_FcY9zMnHP8iPO4M5RCR"&amp;"jy6nZY0TY/edit#gid=1248694442"",""Table 5: Risk of bias!A4:A175""))"),"Low")</f>
        <v>Low</v>
      </c>
    </row>
    <row r="8">
      <c r="A8" s="4" t="str">
        <f>IFERROR(__xludf.DUMMYFUNCTION("""COMPUTED_VALUE"""),"ID 10")</f>
        <v>ID 10</v>
      </c>
      <c r="B8" s="4" t="str">
        <f>IFERROR(__xludf.DUMMYFUNCTION("FILTER(IMPORTRANGE(""https://docs.google.com/spreadsheets/d/1kGrh75X1cNR1D7_FcY9zMnHP8iPO4M5RCRjy6nZY0TY/edit#gid=1248694442"",""Table 5: Risk of bias!D4:D175""), $A8=IMPORTRANGE(""https://docs.google.com/spreadsheets/d/1kGrh75X1cNR1D7_FcY9zMnHP8iPO4M5RCR"&amp;"jy6nZY0TY/edit#gid=1248694442"",""Table 5: Risk of bias!A4:A175""))"),"ROBINS I")</f>
        <v>ROBINS I</v>
      </c>
      <c r="C8" s="4" t="str">
        <f>IFERROR(__xludf.DUMMYFUNCTION("IFS(
$B8=""ROBINS I"", FILTER(IMPORTRANGE(""https://docs.google.com/spreadsheets/d/1kGrh75X1cNR1D7_FcY9zMnHP8iPO4M5RCRjy6nZY0TY/edit#gid=1248694442"",""Table 5: Risk of bias!J4:J175""),  $A8=IMPORTRANGE(""https://docs.google.com/spreadsheets/d/1kGrh75X1cN"&amp;"R1D7_FcY9zMnHP8iPO4M5RCRjy6nZY0TY/edit#gid=1248694442"",""Table 5: Risk of bias!A4:A175"")),
$B8=""RoB 2"", FILTER(IMPORTRANGE(""https://docs.google.com/spreadsheets/d/1kGrh75X1cNR1D7_FcY9zMnHP8iPO4M5RCRjy6nZY0TY/edit#gid=1248694442"",""Table 5: Risk of b"&amp;"ias!R4:R175""), $A8=IMPORTRANGE(""https://docs.google.com/spreadsheets/d/1kGrh75X1cNR1D7_FcY9zMnHP8iPO4M5RCRjy6nZY0TY/edit#gid=1248694442"",""Table 5: Risk of bias!A4:A175""))
)"),"Serious")</f>
        <v>Serious</v>
      </c>
      <c r="D8" s="4" t="str">
        <f>IFERROR(__xludf.DUMMYFUNCTION("IFS($B8=""ROBINS I"",FILTER(IMPORTRANGE(""https://docs.google.com/spreadsheets/d/1kGrh75X1cNR1D7_FcY9zMnHP8iPO4M5RCRjy6nZY0TY/edit#gid=1248694442"",""Table 5: Risk of bias!K4:K175""), $A8=IMPORTRANGE(""https://docs.google.com/spreadsheets/d/1kGrh75X1cNR1D"&amp;"7_FcY9zMnHP8iPO4M5RCRjy6nZY0TY/edit#gid=1248694442"",""Table 5: Risk of bias!A4:A175"")),$B8=""RoB 2"",FILTER(IMPORTRANGE(""https://docs.google.com/spreadsheets/d/1kGrh75X1cNR1D7_FcY9zMnHP8iPO4M5RCRjy6nZY0TY/edit#gid=1248694442"",""Table 5: Risk of bias!S"&amp;"4:S175""), $A8=IMPORTRANGE(""https://docs.google.com/spreadsheets/d/1kGrh75X1cNR1D7_FcY9zMnHP8iPO4M5RCRjy6nZY0TY/edit#gid=1248694442"",""Table 5: Risk of bias!A4:A175"")))"),"Serious")</f>
        <v>Serious</v>
      </c>
      <c r="E8" s="4" t="str">
        <f>IFERROR(__xludf.DUMMYFUNCTION("IFS($B8=""ROBINS I"",FILTER(IMPORTRANGE(""https://docs.google.com/spreadsheets/d/1kGrh75X1cNR1D7_FcY9zMnHP8iPO4M5RCRjy6nZY0TY/edit#gid=1248694442"",""Table 5: Risk of bias!L4:L175""), $A8=IMPORTRANGE(""https://docs.google.com/spreadsheets/d/1kGrh75X1cNR1D"&amp;"7_FcY9zMnHP8iPO4M5RCRjy6nZY0TY/edit#gid=1248694442"",""Table 5: Risk of bias!A4:A175"")),$B8=""RoB 2"",FILTER(IMPORTRANGE(""https://docs.google.com/spreadsheets/d/1kGrh75X1cNR1D7_FcY9zMnHP8iPO4M5RCRjy6nZY0TY/edit#gid=1248694442"",""Table 5: Risk of bias!T"&amp;"4:T175""), $A8=IMPORTRANGE(""https://docs.google.com/spreadsheets/d/1kGrh75X1cNR1D7_FcY9zMnHP8iPO4M5RCRjy6nZY0TY/edit#gid=1248694442"",""Table 5: Risk of bias!A4:A175"")))"),"Low")</f>
        <v>Low</v>
      </c>
      <c r="F8" s="4" t="str">
        <f>IFERROR(__xludf.DUMMYFUNCTION("IFS($B8=""ROBINS I"",FILTER(IMPORTRANGE(""https://docs.google.com/spreadsheets/d/1kGrh75X1cNR1D7_FcY9zMnHP8iPO4M5RCRjy6nZY0TY/edit#gid=1248694442"",""Table 5: Risk of bias!M4:M175""), $A8=IMPORTRANGE(""https://docs.google.com/spreadsheets/d/1kGrh75X1cNR1D"&amp;"7_FcY9zMnHP8iPO4M5RCRjy6nZY0TY/edit#gid=1248694442"",""Table 5: Risk of bias!A4:A175"")),$B8=""RoB 2"",FILTER(IMPORTRANGE(""https://docs.google.com/spreadsheets/d/1kGrh75X1cNR1D7_FcY9zMnHP8iPO4M5RCRjy6nZY0TY/edit#gid=1248694442"",""Table 5: Risk of bias!U"&amp;"4:U175""), $A8=IMPORTRANGE(""https://docs.google.com/spreadsheets/d/1kGrh75X1cNR1D7_FcY9zMnHP8iPO4M5RCRjy6nZY0TY/edit#gid=1248694442"",""Table 5: Risk of bias!A4:A175"")))"),"Moderate")</f>
        <v>Moderate</v>
      </c>
      <c r="G8" s="4" t="str">
        <f>IFERROR(__xludf.DUMMYFUNCTION("IFS($B8=""ROBINS I"",FILTER(IMPORTRANGE(""https://docs.google.com/spreadsheets/d/1kGrh75X1cNR1D7_FcY9zMnHP8iPO4M5RCRjy6nZY0TY/edit#gid=1248694442"",""Table 5: Risk of bias!N4:N175""), $A8=IMPORTRANGE(""https://docs.google.com/spreadsheets/d/1kGrh75X1cNR1D"&amp;"7_FcY9zMnHP8iPO4M5RCRjy6nZY0TY/edit#gid=1248694442"",""Table 5: Risk of bias!A4:A175"")),$B8=""RoB 2"",FILTER(IMPORTRANGE(""https://docs.google.com/spreadsheets/d/1kGrh75X1cNR1D7_FcY9zMnHP8iPO4M5RCRjy6nZY0TY/edit#gid=1248694442"",""Table 5: Risk of bias!V"&amp;"4:V175""), $A8=IMPORTRANGE(""https://docs.google.com/spreadsheets/d/1kGrh75X1cNR1D7_FcY9zMnHP8iPO4M5RCRjy6nZY0TY/edit#gid=1248694442"",""Table 5: Risk of bias!A4:A175"")))"),"Low")</f>
        <v>Low</v>
      </c>
      <c r="H8" s="4" t="str">
        <f>IFERROR(__xludf.DUMMYFUNCTION("IFS($B8=""ROBINS I"",FILTER(IMPORTRANGE(""https://docs.google.com/spreadsheets/d/1kGrh75X1cNR1D7_FcY9zMnHP8iPO4M5RCRjy6nZY0TY/edit#gid=1248694442"",""Table 5: Risk of bias!O4:O175""), $A8=IMPORTRANGE(""https://docs.google.com/spreadsheets/d/1kGrh75X1cNR1D"&amp;"7_FcY9zMnHP8iPO4M5RCRjy6nZY0TY/edit#gid=1248694442"",""Table 5: Risk of bias!A4:A175"")),$B8=""RoB 2"",FILTER(IMPORTRANGE(""https://docs.google.com/spreadsheets/d/1kGrh75X1cNR1D7_FcY9zMnHP8iPO4M5RCRjy6nZY0TY/edit#gid=1248694442"",""Table 5: Risk of bias!W"&amp;"4:W175""), $A8=IMPORTRANGE(""https://docs.google.com/spreadsheets/d/1kGrh75X1cNR1D7_FcY9zMnHP8iPO4M5RCRjy6nZY0TY/edit#gid=1248694442"",""Table 5: Risk of bias!A4:A175"")))"),"Low")</f>
        <v>Low</v>
      </c>
      <c r="I8" s="4" t="str">
        <f>IFERROR(__xludf.DUMMYFUNCTION("FILTER(IMPORTRANGE(""https://docs.google.com/spreadsheets/d/1kGrh75X1cNR1D7_FcY9zMnHP8iPO4M5RCRjy6nZY0TY/edit#gid=1248694442"",""Table 5: Risk of bias!P4:P175""), $A8=IMPORTRANGE(""https://docs.google.com/spreadsheets/d/1kGrh75X1cNR1D7_FcY9zMnHP8iPO4M5RCR"&amp;"jy6nZY0TY/edit#gid=1248694442"",""Table 5: Risk of bias!A4:A175""))"),"Moderate")</f>
        <v>Moderate</v>
      </c>
      <c r="J8" s="4" t="str">
        <f>IFERROR(__xludf.DUMMYFUNCTION("FILTER(IMPORTRANGE(""https://docs.google.com/spreadsheets/d/1kGrh75X1cNR1D7_FcY9zMnHP8iPO4M5RCRjy6nZY0TY/edit#gid=1248694442"",""Table 5: Risk of bias!Q4:Q175""), $A8=IMPORTRANGE(""https://docs.google.com/spreadsheets/d/1kGrh75X1cNR1D7_FcY9zMnHP8iPO4M5RCR"&amp;"jy6nZY0TY/edit#gid=1248694442"",""Table 5: Risk of bias!A4:A175""))"),"Serious")</f>
        <v>Serious</v>
      </c>
    </row>
    <row r="9">
      <c r="A9" s="4" t="str">
        <f>IFERROR(__xludf.DUMMYFUNCTION("""COMPUTED_VALUE"""),"ID 11")</f>
        <v>ID 11</v>
      </c>
      <c r="B9" s="4" t="str">
        <f>IFERROR(__xludf.DUMMYFUNCTION("FILTER(IMPORTRANGE(""https://docs.google.com/spreadsheets/d/1kGrh75X1cNR1D7_FcY9zMnHP8iPO4M5RCRjy6nZY0TY/edit#gid=1248694442"",""Table 5: Risk of bias!D4:D175""), $A9=IMPORTRANGE(""https://docs.google.com/spreadsheets/d/1kGrh75X1cNR1D7_FcY9zMnHP8iPO4M5RCR"&amp;"jy6nZY0TY/edit#gid=1248694442"",""Table 5: Risk of bias!A4:A175""))"),"ROBINS I")</f>
        <v>ROBINS I</v>
      </c>
      <c r="C9" s="4" t="str">
        <f>IFERROR(__xludf.DUMMYFUNCTION("IFS(
$B9=""ROBINS I"", FILTER(IMPORTRANGE(""https://docs.google.com/spreadsheets/d/1kGrh75X1cNR1D7_FcY9zMnHP8iPO4M5RCRjy6nZY0TY/edit#gid=1248694442"",""Table 5: Risk of bias!J4:J175""),  $A9=IMPORTRANGE(""https://docs.google.com/spreadsheets/d/1kGrh75X1cN"&amp;"R1D7_FcY9zMnHP8iPO4M5RCRjy6nZY0TY/edit#gid=1248694442"",""Table 5: Risk of bias!A4:A175"")),
$B9=""RoB 2"", FILTER(IMPORTRANGE(""https://docs.google.com/spreadsheets/d/1kGrh75X1cNR1D7_FcY9zMnHP8iPO4M5RCRjy6nZY0TY/edit#gid=1248694442"",""Table 5: Risk of b"&amp;"ias!R4:R175""), $A9=IMPORTRANGE(""https://docs.google.com/spreadsheets/d/1kGrh75X1cNR1D7_FcY9zMnHP8iPO4M5RCRjy6nZY0TY/edit#gid=1248694442"",""Table 5: Risk of bias!A4:A175""))
)"),"Critical")</f>
        <v>Critical</v>
      </c>
      <c r="D9" s="4" t="str">
        <f>IFERROR(__xludf.DUMMYFUNCTION("IFS($B9=""ROBINS I"",FILTER(IMPORTRANGE(""https://docs.google.com/spreadsheets/d/1kGrh75X1cNR1D7_FcY9zMnHP8iPO4M5RCRjy6nZY0TY/edit#gid=1248694442"",""Table 5: Risk of bias!K4:K175""), $A9=IMPORTRANGE(""https://docs.google.com/spreadsheets/d/1kGrh75X1cNR1D"&amp;"7_FcY9zMnHP8iPO4M5RCRjy6nZY0TY/edit#gid=1248694442"",""Table 5: Risk of bias!A4:A175"")),$B9=""RoB 2"",FILTER(IMPORTRANGE(""https://docs.google.com/spreadsheets/d/1kGrh75X1cNR1D7_FcY9zMnHP8iPO4M5RCRjy6nZY0TY/edit#gid=1248694442"",""Table 5: Risk of bias!S"&amp;"4:S175""), $A9=IMPORTRANGE(""https://docs.google.com/spreadsheets/d/1kGrh75X1cNR1D7_FcY9zMnHP8iPO4M5RCRjy6nZY0TY/edit#gid=1248694442"",""Table 5: Risk of bias!A4:A175"")))"),"Critical")</f>
        <v>Critical</v>
      </c>
      <c r="E9" s="4" t="str">
        <f>IFERROR(__xludf.DUMMYFUNCTION("IFS($B9=""ROBINS I"",FILTER(IMPORTRANGE(""https://docs.google.com/spreadsheets/d/1kGrh75X1cNR1D7_FcY9zMnHP8iPO4M5RCRjy6nZY0TY/edit#gid=1248694442"",""Table 5: Risk of bias!L4:L175""), $A9=IMPORTRANGE(""https://docs.google.com/spreadsheets/d/1kGrh75X1cNR1D"&amp;"7_FcY9zMnHP8iPO4M5RCRjy6nZY0TY/edit#gid=1248694442"",""Table 5: Risk of bias!A4:A175"")),$B9=""RoB 2"",FILTER(IMPORTRANGE(""https://docs.google.com/spreadsheets/d/1kGrh75X1cNR1D7_FcY9zMnHP8iPO4M5RCRjy6nZY0TY/edit#gid=1248694442"",""Table 5: Risk of bias!T"&amp;"4:T175""), $A9=IMPORTRANGE(""https://docs.google.com/spreadsheets/d/1kGrh75X1cNR1D7_FcY9zMnHP8iPO4M5RCRjy6nZY0TY/edit#gid=1248694442"",""Table 5: Risk of bias!A4:A175"")))"),"Low")</f>
        <v>Low</v>
      </c>
      <c r="F9" s="4" t="str">
        <f>IFERROR(__xludf.DUMMYFUNCTION("IFS($B9=""ROBINS I"",FILTER(IMPORTRANGE(""https://docs.google.com/spreadsheets/d/1kGrh75X1cNR1D7_FcY9zMnHP8iPO4M5RCRjy6nZY0TY/edit#gid=1248694442"",""Table 5: Risk of bias!M4:M175""), $A9=IMPORTRANGE(""https://docs.google.com/spreadsheets/d/1kGrh75X1cNR1D"&amp;"7_FcY9zMnHP8iPO4M5RCRjy6nZY0TY/edit#gid=1248694442"",""Table 5: Risk of bias!A4:A175"")),$B9=""RoB 2"",FILTER(IMPORTRANGE(""https://docs.google.com/spreadsheets/d/1kGrh75X1cNR1D7_FcY9zMnHP8iPO4M5RCRjy6nZY0TY/edit#gid=1248694442"",""Table 5: Risk of bias!U"&amp;"4:U175""), $A9=IMPORTRANGE(""https://docs.google.com/spreadsheets/d/1kGrh75X1cNR1D7_FcY9zMnHP8iPO4M5RCRjy6nZY0TY/edit#gid=1248694442"",""Table 5: Risk of bias!A4:A175"")))"),"Low")</f>
        <v>Low</v>
      </c>
      <c r="G9" s="4" t="str">
        <f>IFERROR(__xludf.DUMMYFUNCTION("IFS($B9=""ROBINS I"",FILTER(IMPORTRANGE(""https://docs.google.com/spreadsheets/d/1kGrh75X1cNR1D7_FcY9zMnHP8iPO4M5RCRjy6nZY0TY/edit#gid=1248694442"",""Table 5: Risk of bias!N4:N175""), $A9=IMPORTRANGE(""https://docs.google.com/spreadsheets/d/1kGrh75X1cNR1D"&amp;"7_FcY9zMnHP8iPO4M5RCRjy6nZY0TY/edit#gid=1248694442"",""Table 5: Risk of bias!A4:A175"")),$B9=""RoB 2"",FILTER(IMPORTRANGE(""https://docs.google.com/spreadsheets/d/1kGrh75X1cNR1D7_FcY9zMnHP8iPO4M5RCRjy6nZY0TY/edit#gid=1248694442"",""Table 5: Risk of bias!V"&amp;"4:V175""), $A9=IMPORTRANGE(""https://docs.google.com/spreadsheets/d/1kGrh75X1cNR1D7_FcY9zMnHP8iPO4M5RCRjy6nZY0TY/edit#gid=1248694442"",""Table 5: Risk of bias!A4:A175"")))"),"Low")</f>
        <v>Low</v>
      </c>
      <c r="H9" s="4" t="str">
        <f>IFERROR(__xludf.DUMMYFUNCTION("IFS($B9=""ROBINS I"",FILTER(IMPORTRANGE(""https://docs.google.com/spreadsheets/d/1kGrh75X1cNR1D7_FcY9zMnHP8iPO4M5RCRjy6nZY0TY/edit#gid=1248694442"",""Table 5: Risk of bias!O4:O175""), $A9=IMPORTRANGE(""https://docs.google.com/spreadsheets/d/1kGrh75X1cNR1D"&amp;"7_FcY9zMnHP8iPO4M5RCRjy6nZY0TY/edit#gid=1248694442"",""Table 5: Risk of bias!A4:A175"")),$B9=""RoB 2"",FILTER(IMPORTRANGE(""https://docs.google.com/spreadsheets/d/1kGrh75X1cNR1D7_FcY9zMnHP8iPO4M5RCRjy6nZY0TY/edit#gid=1248694442"",""Table 5: Risk of bias!W"&amp;"4:W175""), $A9=IMPORTRANGE(""https://docs.google.com/spreadsheets/d/1kGrh75X1cNR1D7_FcY9zMnHP8iPO4M5RCRjy6nZY0TY/edit#gid=1248694442"",""Table 5: Risk of bias!A4:A175"")))"),"Low")</f>
        <v>Low</v>
      </c>
      <c r="I9" s="4" t="str">
        <f>IFERROR(__xludf.DUMMYFUNCTION("FILTER(IMPORTRANGE(""https://docs.google.com/spreadsheets/d/1kGrh75X1cNR1D7_FcY9zMnHP8iPO4M5RCRjy6nZY0TY/edit#gid=1248694442"",""Table 5: Risk of bias!P4:P175""), $A9=IMPORTRANGE(""https://docs.google.com/spreadsheets/d/1kGrh75X1cNR1D7_FcY9zMnHP8iPO4M5RCR"&amp;"jy6nZY0TY/edit#gid=1248694442"",""Table 5: Risk of bias!A4:A175""))"),"Critical")</f>
        <v>Critical</v>
      </c>
      <c r="J9" s="4" t="str">
        <f>IFERROR(__xludf.DUMMYFUNCTION("FILTER(IMPORTRANGE(""https://docs.google.com/spreadsheets/d/1kGrh75X1cNR1D7_FcY9zMnHP8iPO4M5RCRjy6nZY0TY/edit#gid=1248694442"",""Table 5: Risk of bias!Q4:Q175""), $A9=IMPORTRANGE(""https://docs.google.com/spreadsheets/d/1kGrh75X1cNR1D7_FcY9zMnHP8iPO4M5RCR"&amp;"jy6nZY0TY/edit#gid=1248694442"",""Table 5: Risk of bias!A4:A175""))"),"Low")</f>
        <v>Low</v>
      </c>
    </row>
    <row r="10">
      <c r="A10" s="4" t="str">
        <f>IFERROR(__xludf.DUMMYFUNCTION("""COMPUTED_VALUE"""),"ID 14")</f>
        <v>ID 14</v>
      </c>
      <c r="B10" s="4" t="str">
        <f>IFERROR(__xludf.DUMMYFUNCTION("FILTER(IMPORTRANGE(""https://docs.google.com/spreadsheets/d/1kGrh75X1cNR1D7_FcY9zMnHP8iPO4M5RCRjy6nZY0TY/edit#gid=1248694442"",""Table 5: Risk of bias!D4:D175""), $A10=IMPORTRANGE(""https://docs.google.com/spreadsheets/d/1kGrh75X1cNR1D7_FcY9zMnHP8iPO4M5RC"&amp;"Rjy6nZY0TY/edit#gid=1248694442"",""Table 5: Risk of bias!A4:A175""))"),"ROBINS I")</f>
        <v>ROBINS I</v>
      </c>
      <c r="C10" s="4" t="str">
        <f>IFERROR(__xludf.DUMMYFUNCTION("IFS(
$B10=""ROBINS I"", FILTER(IMPORTRANGE(""https://docs.google.com/spreadsheets/d/1kGrh75X1cNR1D7_FcY9zMnHP8iPO4M5RCRjy6nZY0TY/edit#gid=1248694442"",""Table 5: Risk of bias!J4:J175""),  $A10=IMPORTRANGE(""https://docs.google.com/spreadsheets/d/1kGrh75X1"&amp;"cNR1D7_FcY9zMnHP8iPO4M5RCRjy6nZY0TY/edit#gid=1248694442"",""Table 5: Risk of bias!A4:A175"")),
$B10=""RoB 2"", FILTER(IMPORTRANGE(""https://docs.google.com/spreadsheets/d/1kGrh75X1cNR1D7_FcY9zMnHP8iPO4M5RCRjy6nZY0TY/edit#gid=1248694442"",""Table 5: Risk o"&amp;"f bias!R4:R175""), $A10=IMPORTRANGE(""https://docs.google.com/spreadsheets/d/1kGrh75X1cNR1D7_FcY9zMnHP8iPO4M5RCRjy6nZY0TY/edit#gid=1248694442"",""Table 5: Risk of bias!A4:A175""))
)"),"Low")</f>
        <v>Low</v>
      </c>
      <c r="D10" s="4" t="str">
        <f>IFERROR(__xludf.DUMMYFUNCTION("IFS($B10=""ROBINS I"",FILTER(IMPORTRANGE(""https://docs.google.com/spreadsheets/d/1kGrh75X1cNR1D7_FcY9zMnHP8iPO4M5RCRjy6nZY0TY/edit#gid=1248694442"",""Table 5: Risk of bias!K4:K175""), $A10=IMPORTRANGE(""https://docs.google.com/spreadsheets/d/1kGrh75X1cNR"&amp;"1D7_FcY9zMnHP8iPO4M5RCRjy6nZY0TY/edit#gid=1248694442"",""Table 5: Risk of bias!A4:A175"")),$B10=""RoB 2"",FILTER(IMPORTRANGE(""https://docs.google.com/spreadsheets/d/1kGrh75X1cNR1D7_FcY9zMnHP8iPO4M5RCRjy6nZY0TY/edit#gid=1248694442"",""Table 5: Risk of bia"&amp;"s!S4:S175""), $A10=IMPORTRANGE(""https://docs.google.com/spreadsheets/d/1kGrh75X1cNR1D7_FcY9zMnHP8iPO4M5RCRjy6nZY0TY/edit#gid=1248694442"",""Table 5: Risk of bias!A4:A175"")))"),"Low")</f>
        <v>Low</v>
      </c>
      <c r="E10" s="4" t="str">
        <f>IFERROR(__xludf.DUMMYFUNCTION("IFS($B10=""ROBINS I"",FILTER(IMPORTRANGE(""https://docs.google.com/spreadsheets/d/1kGrh75X1cNR1D7_FcY9zMnHP8iPO4M5RCRjy6nZY0TY/edit#gid=1248694442"",""Table 5: Risk of bias!L4:L175""), $A10=IMPORTRANGE(""https://docs.google.com/spreadsheets/d/1kGrh75X1cNR"&amp;"1D7_FcY9zMnHP8iPO4M5RCRjy6nZY0TY/edit#gid=1248694442"",""Table 5: Risk of bias!A4:A175"")),$B10=""RoB 2"",FILTER(IMPORTRANGE(""https://docs.google.com/spreadsheets/d/1kGrh75X1cNR1D7_FcY9zMnHP8iPO4M5RCRjy6nZY0TY/edit#gid=1248694442"",""Table 5: Risk of bia"&amp;"s!T4:T175""), $A10=IMPORTRANGE(""https://docs.google.com/spreadsheets/d/1kGrh75X1cNR1D7_FcY9zMnHP8iPO4M5RCRjy6nZY0TY/edit#gid=1248694442"",""Table 5: Risk of bias!A4:A175"")))"),"Low")</f>
        <v>Low</v>
      </c>
      <c r="F10" s="4" t="str">
        <f>IFERROR(__xludf.DUMMYFUNCTION("IFS($B10=""ROBINS I"",FILTER(IMPORTRANGE(""https://docs.google.com/spreadsheets/d/1kGrh75X1cNR1D7_FcY9zMnHP8iPO4M5RCRjy6nZY0TY/edit#gid=1248694442"",""Table 5: Risk of bias!M4:M175""), $A10=IMPORTRANGE(""https://docs.google.com/spreadsheets/d/1kGrh75X1cNR"&amp;"1D7_FcY9zMnHP8iPO4M5RCRjy6nZY0TY/edit#gid=1248694442"",""Table 5: Risk of bias!A4:A175"")),$B10=""RoB 2"",FILTER(IMPORTRANGE(""https://docs.google.com/spreadsheets/d/1kGrh75X1cNR1D7_FcY9zMnHP8iPO4M5RCRjy6nZY0TY/edit#gid=1248694442"",""Table 5: Risk of bia"&amp;"s!U4:U175""), $A10=IMPORTRANGE(""https://docs.google.com/spreadsheets/d/1kGrh75X1cNR1D7_FcY9zMnHP8iPO4M5RCRjy6nZY0TY/edit#gid=1248694442"",""Table 5: Risk of bias!A4:A175"")))"),"Low")</f>
        <v>Low</v>
      </c>
      <c r="G10" s="4" t="str">
        <f>IFERROR(__xludf.DUMMYFUNCTION("IFS($B10=""ROBINS I"",FILTER(IMPORTRANGE(""https://docs.google.com/spreadsheets/d/1kGrh75X1cNR1D7_FcY9zMnHP8iPO4M5RCRjy6nZY0TY/edit#gid=1248694442"",""Table 5: Risk of bias!N4:N175""), $A10=IMPORTRANGE(""https://docs.google.com/spreadsheets/d/1kGrh75X1cNR"&amp;"1D7_FcY9zMnHP8iPO4M5RCRjy6nZY0TY/edit#gid=1248694442"",""Table 5: Risk of bias!A4:A175"")),$B10=""RoB 2"",FILTER(IMPORTRANGE(""https://docs.google.com/spreadsheets/d/1kGrh75X1cNR1D7_FcY9zMnHP8iPO4M5RCRjy6nZY0TY/edit#gid=1248694442"",""Table 5: Risk of bia"&amp;"s!V4:V175""), $A10=IMPORTRANGE(""https://docs.google.com/spreadsheets/d/1kGrh75X1cNR1D7_FcY9zMnHP8iPO4M5RCRjy6nZY0TY/edit#gid=1248694442"",""Table 5: Risk of bias!A4:A175"")))"),"Low")</f>
        <v>Low</v>
      </c>
      <c r="H10" s="4" t="str">
        <f>IFERROR(__xludf.DUMMYFUNCTION("IFS($B10=""ROBINS I"",FILTER(IMPORTRANGE(""https://docs.google.com/spreadsheets/d/1kGrh75X1cNR1D7_FcY9zMnHP8iPO4M5RCRjy6nZY0TY/edit#gid=1248694442"",""Table 5: Risk of bias!O4:O175""), $A10=IMPORTRANGE(""https://docs.google.com/spreadsheets/d/1kGrh75X1cNR"&amp;"1D7_FcY9zMnHP8iPO4M5RCRjy6nZY0TY/edit#gid=1248694442"",""Table 5: Risk of bias!A4:A175"")),$B10=""RoB 2"",FILTER(IMPORTRANGE(""https://docs.google.com/spreadsheets/d/1kGrh75X1cNR1D7_FcY9zMnHP8iPO4M5RCRjy6nZY0TY/edit#gid=1248694442"",""Table 5: Risk of bia"&amp;"s!W4:W175""), $A10=IMPORTRANGE(""https://docs.google.com/spreadsheets/d/1kGrh75X1cNR1D7_FcY9zMnHP8iPO4M5RCRjy6nZY0TY/edit#gid=1248694442"",""Table 5: Risk of bias!A4:A175"")))"),"Low")</f>
        <v>Low</v>
      </c>
      <c r="I10" s="4" t="str">
        <f>IFERROR(__xludf.DUMMYFUNCTION("FILTER(IMPORTRANGE(""https://docs.google.com/spreadsheets/d/1kGrh75X1cNR1D7_FcY9zMnHP8iPO4M5RCRjy6nZY0TY/edit#gid=1248694442"",""Table 5: Risk of bias!P4:P175""), $A10=IMPORTRANGE(""https://docs.google.com/spreadsheets/d/1kGrh75X1cNR1D7_FcY9zMnHP8iPO4M5RC"&amp;"Rjy6nZY0TY/edit#gid=1248694442"",""Table 5: Risk of bias!A4:A175""))"),"Low")</f>
        <v>Low</v>
      </c>
      <c r="J10" s="4" t="str">
        <f>IFERROR(__xludf.DUMMYFUNCTION("FILTER(IMPORTRANGE(""https://docs.google.com/spreadsheets/d/1kGrh75X1cNR1D7_FcY9zMnHP8iPO4M5RCRjy6nZY0TY/edit#gid=1248694442"",""Table 5: Risk of bias!Q4:Q175""), $A10=IMPORTRANGE(""https://docs.google.com/spreadsheets/d/1kGrh75X1cNR1D7_FcY9zMnHP8iPO4M5RC"&amp;"Rjy6nZY0TY/edit#gid=1248694442"",""Table 5: Risk of bias!A4:A175""))"),"Low")</f>
        <v>Low</v>
      </c>
    </row>
    <row r="11">
      <c r="A11" s="4" t="str">
        <f>IFERROR(__xludf.DUMMYFUNCTION("""COMPUTED_VALUE"""),"ID 15")</f>
        <v>ID 15</v>
      </c>
      <c r="B11" s="4" t="str">
        <f>IFERROR(__xludf.DUMMYFUNCTION("FILTER(IMPORTRANGE(""https://docs.google.com/spreadsheets/d/1kGrh75X1cNR1D7_FcY9zMnHP8iPO4M5RCRjy6nZY0TY/edit#gid=1248694442"",""Table 5: Risk of bias!D4:D175""), $A11=IMPORTRANGE(""https://docs.google.com/spreadsheets/d/1kGrh75X1cNR1D7_FcY9zMnHP8iPO4M5RC"&amp;"Rjy6nZY0TY/edit#gid=1248694442"",""Table 5: Risk of bias!A4:A175""))"),"ROBINS I")</f>
        <v>ROBINS I</v>
      </c>
      <c r="C11" s="4" t="str">
        <f>IFERROR(__xludf.DUMMYFUNCTION("IFS(
$B11=""ROBINS I"", FILTER(IMPORTRANGE(""https://docs.google.com/spreadsheets/d/1kGrh75X1cNR1D7_FcY9zMnHP8iPO4M5RCRjy6nZY0TY/edit#gid=1248694442"",""Table 5: Risk of bias!J4:J175""),  $A11=IMPORTRANGE(""https://docs.google.com/spreadsheets/d/1kGrh75X1"&amp;"cNR1D7_FcY9zMnHP8iPO4M5RCRjy6nZY0TY/edit#gid=1248694442"",""Table 5: Risk of bias!A4:A175"")),
$B11=""RoB 2"", FILTER(IMPORTRANGE(""https://docs.google.com/spreadsheets/d/1kGrh75X1cNR1D7_FcY9zMnHP8iPO4M5RCRjy6nZY0TY/edit#gid=1248694442"",""Table 5: Risk o"&amp;"f bias!R4:R175""), $A11=IMPORTRANGE(""https://docs.google.com/spreadsheets/d/1kGrh75X1cNR1D7_FcY9zMnHP8iPO4M5RCRjy6nZY0TY/edit#gid=1248694442"",""Table 5: Risk of bias!A4:A175""))
)"),"Serious")</f>
        <v>Serious</v>
      </c>
      <c r="D11" s="4" t="str">
        <f>IFERROR(__xludf.DUMMYFUNCTION("IFS($B11=""ROBINS I"",FILTER(IMPORTRANGE(""https://docs.google.com/spreadsheets/d/1kGrh75X1cNR1D7_FcY9zMnHP8iPO4M5RCRjy6nZY0TY/edit#gid=1248694442"",""Table 5: Risk of bias!K4:K175""), $A11=IMPORTRANGE(""https://docs.google.com/spreadsheets/d/1kGrh75X1cNR"&amp;"1D7_FcY9zMnHP8iPO4M5RCRjy6nZY0TY/edit#gid=1248694442"",""Table 5: Risk of bias!A4:A175"")),$B11=""RoB 2"",FILTER(IMPORTRANGE(""https://docs.google.com/spreadsheets/d/1kGrh75X1cNR1D7_FcY9zMnHP8iPO4M5RCRjy6nZY0TY/edit#gid=1248694442"",""Table 5: Risk of bia"&amp;"s!S4:S175""), $A11=IMPORTRANGE(""https://docs.google.com/spreadsheets/d/1kGrh75X1cNR1D7_FcY9zMnHP8iPO4M5RCRjy6nZY0TY/edit#gid=1248694442"",""Table 5: Risk of bias!A4:A175"")))"),"Moderate")</f>
        <v>Moderate</v>
      </c>
      <c r="E11" s="4" t="str">
        <f>IFERROR(__xludf.DUMMYFUNCTION("IFS($B11=""ROBINS I"",FILTER(IMPORTRANGE(""https://docs.google.com/spreadsheets/d/1kGrh75X1cNR1D7_FcY9zMnHP8iPO4M5RCRjy6nZY0TY/edit#gid=1248694442"",""Table 5: Risk of bias!L4:L175""), $A11=IMPORTRANGE(""https://docs.google.com/spreadsheets/d/1kGrh75X1cNR"&amp;"1D7_FcY9zMnHP8iPO4M5RCRjy6nZY0TY/edit#gid=1248694442"",""Table 5: Risk of bias!A4:A175"")),$B11=""RoB 2"",FILTER(IMPORTRANGE(""https://docs.google.com/spreadsheets/d/1kGrh75X1cNR1D7_FcY9zMnHP8iPO4M5RCRjy6nZY0TY/edit#gid=1248694442"",""Table 5: Risk of bia"&amp;"s!T4:T175""), $A11=IMPORTRANGE(""https://docs.google.com/spreadsheets/d/1kGrh75X1cNR1D7_FcY9zMnHP8iPO4M5RCRjy6nZY0TY/edit#gid=1248694442"",""Table 5: Risk of bias!A4:A175"")))"),"Low")</f>
        <v>Low</v>
      </c>
      <c r="F11" s="4" t="str">
        <f>IFERROR(__xludf.DUMMYFUNCTION("IFS($B11=""ROBINS I"",FILTER(IMPORTRANGE(""https://docs.google.com/spreadsheets/d/1kGrh75X1cNR1D7_FcY9zMnHP8iPO4M5RCRjy6nZY0TY/edit#gid=1248694442"",""Table 5: Risk of bias!M4:M175""), $A11=IMPORTRANGE(""https://docs.google.com/spreadsheets/d/1kGrh75X1cNR"&amp;"1D7_FcY9zMnHP8iPO4M5RCRjy6nZY0TY/edit#gid=1248694442"",""Table 5: Risk of bias!A4:A175"")),$B11=""RoB 2"",FILTER(IMPORTRANGE(""https://docs.google.com/spreadsheets/d/1kGrh75X1cNR1D7_FcY9zMnHP8iPO4M5RCRjy6nZY0TY/edit#gid=1248694442"",""Table 5: Risk of bia"&amp;"s!U4:U175""), $A11=IMPORTRANGE(""https://docs.google.com/spreadsheets/d/1kGrh75X1cNR1D7_FcY9zMnHP8iPO4M5RCRjy6nZY0TY/edit#gid=1248694442"",""Table 5: Risk of bias!A4:A175"")))"),"Low")</f>
        <v>Low</v>
      </c>
      <c r="G11" s="4" t="str">
        <f>IFERROR(__xludf.DUMMYFUNCTION("IFS($B11=""ROBINS I"",FILTER(IMPORTRANGE(""https://docs.google.com/spreadsheets/d/1kGrh75X1cNR1D7_FcY9zMnHP8iPO4M5RCRjy6nZY0TY/edit#gid=1248694442"",""Table 5: Risk of bias!N4:N175""), $A11=IMPORTRANGE(""https://docs.google.com/spreadsheets/d/1kGrh75X1cNR"&amp;"1D7_FcY9zMnHP8iPO4M5RCRjy6nZY0TY/edit#gid=1248694442"",""Table 5: Risk of bias!A4:A175"")),$B11=""RoB 2"",FILTER(IMPORTRANGE(""https://docs.google.com/spreadsheets/d/1kGrh75X1cNR1D7_FcY9zMnHP8iPO4M5RCRjy6nZY0TY/edit#gid=1248694442"",""Table 5: Risk of bia"&amp;"s!V4:V175""), $A11=IMPORTRANGE(""https://docs.google.com/spreadsheets/d/1kGrh75X1cNR1D7_FcY9zMnHP8iPO4M5RCRjy6nZY0TY/edit#gid=1248694442"",""Table 5: Risk of bias!A4:A175"")))"),"Moderate")</f>
        <v>Moderate</v>
      </c>
      <c r="H11" s="4" t="str">
        <f>IFERROR(__xludf.DUMMYFUNCTION("IFS($B11=""ROBINS I"",FILTER(IMPORTRANGE(""https://docs.google.com/spreadsheets/d/1kGrh75X1cNR1D7_FcY9zMnHP8iPO4M5RCRjy6nZY0TY/edit#gid=1248694442"",""Table 5: Risk of bias!O4:O175""), $A11=IMPORTRANGE(""https://docs.google.com/spreadsheets/d/1kGrh75X1cNR"&amp;"1D7_FcY9zMnHP8iPO4M5RCRjy6nZY0TY/edit#gid=1248694442"",""Table 5: Risk of bias!A4:A175"")),$B11=""RoB 2"",FILTER(IMPORTRANGE(""https://docs.google.com/spreadsheets/d/1kGrh75X1cNR1D7_FcY9zMnHP8iPO4M5RCRjy6nZY0TY/edit#gid=1248694442"",""Table 5: Risk of bia"&amp;"s!W4:W175""), $A11=IMPORTRANGE(""https://docs.google.com/spreadsheets/d/1kGrh75X1cNR1D7_FcY9zMnHP8iPO4M5RCRjy6nZY0TY/edit#gid=1248694442"",""Table 5: Risk of bias!A4:A175"")))"),"Low")</f>
        <v>Low</v>
      </c>
      <c r="I11" s="4" t="str">
        <f>IFERROR(__xludf.DUMMYFUNCTION("FILTER(IMPORTRANGE(""https://docs.google.com/spreadsheets/d/1kGrh75X1cNR1D7_FcY9zMnHP8iPO4M5RCRjy6nZY0TY/edit#gid=1248694442"",""Table 5: Risk of bias!P4:P175""), $A11=IMPORTRANGE(""https://docs.google.com/spreadsheets/d/1kGrh75X1cNR1D7_FcY9zMnHP8iPO4M5RC"&amp;"Rjy6nZY0TY/edit#gid=1248694442"",""Table 5: Risk of bias!A4:A175""))"),"Serious")</f>
        <v>Serious</v>
      </c>
      <c r="J11" s="4" t="str">
        <f>IFERROR(__xludf.DUMMYFUNCTION("FILTER(IMPORTRANGE(""https://docs.google.com/spreadsheets/d/1kGrh75X1cNR1D7_FcY9zMnHP8iPO4M5RCRjy6nZY0TY/edit#gid=1248694442"",""Table 5: Risk of bias!Q4:Q175""), $A11=IMPORTRANGE(""https://docs.google.com/spreadsheets/d/1kGrh75X1cNR1D7_FcY9zMnHP8iPO4M5RC"&amp;"Rjy6nZY0TY/edit#gid=1248694442"",""Table 5: Risk of bias!A4:A175""))"),"Low")</f>
        <v>Low</v>
      </c>
    </row>
    <row r="12">
      <c r="A12" s="4" t="str">
        <f>IFERROR(__xludf.DUMMYFUNCTION("""COMPUTED_VALUE"""),"ID 18")</f>
        <v>ID 18</v>
      </c>
      <c r="B12" s="4" t="str">
        <f>IFERROR(__xludf.DUMMYFUNCTION("FILTER(IMPORTRANGE(""https://docs.google.com/spreadsheets/d/1kGrh75X1cNR1D7_FcY9zMnHP8iPO4M5RCRjy6nZY0TY/edit#gid=1248694442"",""Table 5: Risk of bias!D4:D175""), $A12=IMPORTRANGE(""https://docs.google.com/spreadsheets/d/1kGrh75X1cNR1D7_FcY9zMnHP8iPO4M5RC"&amp;"Rjy6nZY0TY/edit#gid=1248694442"",""Table 5: Risk of bias!A4:A175""))"),"ROBINS I")</f>
        <v>ROBINS I</v>
      </c>
      <c r="C12" s="4" t="str">
        <f>IFERROR(__xludf.DUMMYFUNCTION("IFS(
$B12=""ROBINS I"", FILTER(IMPORTRANGE(""https://docs.google.com/spreadsheets/d/1kGrh75X1cNR1D7_FcY9zMnHP8iPO4M5RCRjy6nZY0TY/edit#gid=1248694442"",""Table 5: Risk of bias!J4:J175""),  $A12=IMPORTRANGE(""https://docs.google.com/spreadsheets/d/1kGrh75X1"&amp;"cNR1D7_FcY9zMnHP8iPO4M5RCRjy6nZY0TY/edit#gid=1248694442"",""Table 5: Risk of bias!A4:A175"")),
$B12=""RoB 2"", FILTER(IMPORTRANGE(""https://docs.google.com/spreadsheets/d/1kGrh75X1cNR1D7_FcY9zMnHP8iPO4M5RCRjy6nZY0TY/edit#gid=1248694442"",""Table 5: Risk o"&amp;"f bias!R4:R175""), $A12=IMPORTRANGE(""https://docs.google.com/spreadsheets/d/1kGrh75X1cNR1D7_FcY9zMnHP8iPO4M5RCRjy6nZY0TY/edit#gid=1248694442"",""Table 5: Risk of bias!A4:A175""))
)"),"Moderate")</f>
        <v>Moderate</v>
      </c>
      <c r="D12" s="4" t="str">
        <f>IFERROR(__xludf.DUMMYFUNCTION("IFS($B12=""ROBINS I"",FILTER(IMPORTRANGE(""https://docs.google.com/spreadsheets/d/1kGrh75X1cNR1D7_FcY9zMnHP8iPO4M5RCRjy6nZY0TY/edit#gid=1248694442"",""Table 5: Risk of bias!K4:K175""), $A12=IMPORTRANGE(""https://docs.google.com/spreadsheets/d/1kGrh75X1cNR"&amp;"1D7_FcY9zMnHP8iPO4M5RCRjy6nZY0TY/edit#gid=1248694442"",""Table 5: Risk of bias!A4:A175"")),$B12=""RoB 2"",FILTER(IMPORTRANGE(""https://docs.google.com/spreadsheets/d/1kGrh75X1cNR1D7_FcY9zMnHP8iPO4M5RCRjy6nZY0TY/edit#gid=1248694442"",""Table 5: Risk of bia"&amp;"s!S4:S175""), $A12=IMPORTRANGE(""https://docs.google.com/spreadsheets/d/1kGrh75X1cNR1D7_FcY9zMnHP8iPO4M5RCRjy6nZY0TY/edit#gid=1248694442"",""Table 5: Risk of bias!A4:A175"")))"),"Moderate")</f>
        <v>Moderate</v>
      </c>
      <c r="E12" s="4" t="str">
        <f>IFERROR(__xludf.DUMMYFUNCTION("IFS($B12=""ROBINS I"",FILTER(IMPORTRANGE(""https://docs.google.com/spreadsheets/d/1kGrh75X1cNR1D7_FcY9zMnHP8iPO4M5RCRjy6nZY0TY/edit#gid=1248694442"",""Table 5: Risk of bias!L4:L175""), $A12=IMPORTRANGE(""https://docs.google.com/spreadsheets/d/1kGrh75X1cNR"&amp;"1D7_FcY9zMnHP8iPO4M5RCRjy6nZY0TY/edit#gid=1248694442"",""Table 5: Risk of bias!A4:A175"")),$B12=""RoB 2"",FILTER(IMPORTRANGE(""https://docs.google.com/spreadsheets/d/1kGrh75X1cNR1D7_FcY9zMnHP8iPO4M5RCRjy6nZY0TY/edit#gid=1248694442"",""Table 5: Risk of bia"&amp;"s!T4:T175""), $A12=IMPORTRANGE(""https://docs.google.com/spreadsheets/d/1kGrh75X1cNR1D7_FcY9zMnHP8iPO4M5RCRjy6nZY0TY/edit#gid=1248694442"",""Table 5: Risk of bias!A4:A175"")))"),"Low")</f>
        <v>Low</v>
      </c>
      <c r="F12" s="4" t="str">
        <f>IFERROR(__xludf.DUMMYFUNCTION("IFS($B12=""ROBINS I"",FILTER(IMPORTRANGE(""https://docs.google.com/spreadsheets/d/1kGrh75X1cNR1D7_FcY9zMnHP8iPO4M5RCRjy6nZY0TY/edit#gid=1248694442"",""Table 5: Risk of bias!M4:M175""), $A12=IMPORTRANGE(""https://docs.google.com/spreadsheets/d/1kGrh75X1cNR"&amp;"1D7_FcY9zMnHP8iPO4M5RCRjy6nZY0TY/edit#gid=1248694442"",""Table 5: Risk of bias!A4:A175"")),$B12=""RoB 2"",FILTER(IMPORTRANGE(""https://docs.google.com/spreadsheets/d/1kGrh75X1cNR1D7_FcY9zMnHP8iPO4M5RCRjy6nZY0TY/edit#gid=1248694442"",""Table 5: Risk of bia"&amp;"s!U4:U175""), $A12=IMPORTRANGE(""https://docs.google.com/spreadsheets/d/1kGrh75X1cNR1D7_FcY9zMnHP8iPO4M5RCRjy6nZY0TY/edit#gid=1248694442"",""Table 5: Risk of bias!A4:A175"")))"),"Low")</f>
        <v>Low</v>
      </c>
      <c r="G12" s="4" t="str">
        <f>IFERROR(__xludf.DUMMYFUNCTION("IFS($B12=""ROBINS I"",FILTER(IMPORTRANGE(""https://docs.google.com/spreadsheets/d/1kGrh75X1cNR1D7_FcY9zMnHP8iPO4M5RCRjy6nZY0TY/edit#gid=1248694442"",""Table 5: Risk of bias!N4:N175""), $A12=IMPORTRANGE(""https://docs.google.com/spreadsheets/d/1kGrh75X1cNR"&amp;"1D7_FcY9zMnHP8iPO4M5RCRjy6nZY0TY/edit#gid=1248694442"",""Table 5: Risk of bias!A4:A175"")),$B12=""RoB 2"",FILTER(IMPORTRANGE(""https://docs.google.com/spreadsheets/d/1kGrh75X1cNR1D7_FcY9zMnHP8iPO4M5RCRjy6nZY0TY/edit#gid=1248694442"",""Table 5: Risk of bia"&amp;"s!V4:V175""), $A12=IMPORTRANGE(""https://docs.google.com/spreadsheets/d/1kGrh75X1cNR1D7_FcY9zMnHP8iPO4M5RCRjy6nZY0TY/edit#gid=1248694442"",""Table 5: Risk of bias!A4:A175"")))"),"Low")</f>
        <v>Low</v>
      </c>
      <c r="H12" s="4" t="str">
        <f>IFERROR(__xludf.DUMMYFUNCTION("IFS($B12=""ROBINS I"",FILTER(IMPORTRANGE(""https://docs.google.com/spreadsheets/d/1kGrh75X1cNR1D7_FcY9zMnHP8iPO4M5RCRjy6nZY0TY/edit#gid=1248694442"",""Table 5: Risk of bias!O4:O175""), $A12=IMPORTRANGE(""https://docs.google.com/spreadsheets/d/1kGrh75X1cNR"&amp;"1D7_FcY9zMnHP8iPO4M5RCRjy6nZY0TY/edit#gid=1248694442"",""Table 5: Risk of bias!A4:A175"")),$B12=""RoB 2"",FILTER(IMPORTRANGE(""https://docs.google.com/spreadsheets/d/1kGrh75X1cNR1D7_FcY9zMnHP8iPO4M5RCRjy6nZY0TY/edit#gid=1248694442"",""Table 5: Risk of bia"&amp;"s!W4:W175""), $A12=IMPORTRANGE(""https://docs.google.com/spreadsheets/d/1kGrh75X1cNR1D7_FcY9zMnHP8iPO4M5RCRjy6nZY0TY/edit#gid=1248694442"",""Table 5: Risk of bias!A4:A175"")))"),"Low")</f>
        <v>Low</v>
      </c>
      <c r="I12" s="4" t="str">
        <f>IFERROR(__xludf.DUMMYFUNCTION("FILTER(IMPORTRANGE(""https://docs.google.com/spreadsheets/d/1kGrh75X1cNR1D7_FcY9zMnHP8iPO4M5RCRjy6nZY0TY/edit#gid=1248694442"",""Table 5: Risk of bias!P4:P175""), $A12=IMPORTRANGE(""https://docs.google.com/spreadsheets/d/1kGrh75X1cNR1D7_FcY9zMnHP8iPO4M5RC"&amp;"Rjy6nZY0TY/edit#gid=1248694442"",""Table 5: Risk of bias!A4:A175""))"),"Low")</f>
        <v>Low</v>
      </c>
      <c r="J12" s="4" t="str">
        <f>IFERROR(__xludf.DUMMYFUNCTION("FILTER(IMPORTRANGE(""https://docs.google.com/spreadsheets/d/1kGrh75X1cNR1D7_FcY9zMnHP8iPO4M5RCRjy6nZY0TY/edit#gid=1248694442"",""Table 5: Risk of bias!Q4:Q175""), $A12=IMPORTRANGE(""https://docs.google.com/spreadsheets/d/1kGrh75X1cNR1D7_FcY9zMnHP8iPO4M5RC"&amp;"Rjy6nZY0TY/edit#gid=1248694442"",""Table 5: Risk of bias!A4:A175""))"),"Low")</f>
        <v>Low</v>
      </c>
    </row>
    <row r="13">
      <c r="A13" s="4" t="str">
        <f>IFERROR(__xludf.DUMMYFUNCTION("""COMPUTED_VALUE"""),"ID 20")</f>
        <v>ID 20</v>
      </c>
      <c r="B13" s="4" t="str">
        <f>IFERROR(__xludf.DUMMYFUNCTION("FILTER(IMPORTRANGE(""https://docs.google.com/spreadsheets/d/1kGrh75X1cNR1D7_FcY9zMnHP8iPO4M5RCRjy6nZY0TY/edit#gid=1248694442"",""Table 5: Risk of bias!D4:D175""), $A13=IMPORTRANGE(""https://docs.google.com/spreadsheets/d/1kGrh75X1cNR1D7_FcY9zMnHP8iPO4M5RC"&amp;"Rjy6nZY0TY/edit#gid=1248694442"",""Table 5: Risk of bias!A4:A175""))"),"ROBINS I")</f>
        <v>ROBINS I</v>
      </c>
      <c r="C13" s="4" t="str">
        <f>IFERROR(__xludf.DUMMYFUNCTION("IFS(
$B13=""ROBINS I"", FILTER(IMPORTRANGE(""https://docs.google.com/spreadsheets/d/1kGrh75X1cNR1D7_FcY9zMnHP8iPO4M5RCRjy6nZY0TY/edit#gid=1248694442"",""Table 5: Risk of bias!J4:J175""),  $A13=IMPORTRANGE(""https://docs.google.com/spreadsheets/d/1kGrh75X1"&amp;"cNR1D7_FcY9zMnHP8iPO4M5RCRjy6nZY0TY/edit#gid=1248694442"",""Table 5: Risk of bias!A4:A175"")),
$B13=""RoB 2"", FILTER(IMPORTRANGE(""https://docs.google.com/spreadsheets/d/1kGrh75X1cNR1D7_FcY9zMnHP8iPO4M5RCRjy6nZY0TY/edit#gid=1248694442"",""Table 5: Risk o"&amp;"f bias!R4:R175""), $A13=IMPORTRANGE(""https://docs.google.com/spreadsheets/d/1kGrh75X1cNR1D7_FcY9zMnHP8iPO4M5RCRjy6nZY0TY/edit#gid=1248694442"",""Table 5: Risk of bias!A4:A175""))
)"),"Serious")</f>
        <v>Serious</v>
      </c>
      <c r="D13" s="4" t="str">
        <f>IFERROR(__xludf.DUMMYFUNCTION("IFS($B13=""ROBINS I"",FILTER(IMPORTRANGE(""https://docs.google.com/spreadsheets/d/1kGrh75X1cNR1D7_FcY9zMnHP8iPO4M5RCRjy6nZY0TY/edit#gid=1248694442"",""Table 5: Risk of bias!K4:K175""), $A13=IMPORTRANGE(""https://docs.google.com/spreadsheets/d/1kGrh75X1cNR"&amp;"1D7_FcY9zMnHP8iPO4M5RCRjy6nZY0TY/edit#gid=1248694442"",""Table 5: Risk of bias!A4:A175"")),$B13=""RoB 2"",FILTER(IMPORTRANGE(""https://docs.google.com/spreadsheets/d/1kGrh75X1cNR1D7_FcY9zMnHP8iPO4M5RCRjy6nZY0TY/edit#gid=1248694442"",""Table 5: Risk of bia"&amp;"s!S4:S175""), $A13=IMPORTRANGE(""https://docs.google.com/spreadsheets/d/1kGrh75X1cNR1D7_FcY9zMnHP8iPO4M5RCRjy6nZY0TY/edit#gid=1248694442"",""Table 5: Risk of bias!A4:A175"")))"),"Serious")</f>
        <v>Serious</v>
      </c>
      <c r="E13" s="4" t="str">
        <f>IFERROR(__xludf.DUMMYFUNCTION("IFS($B13=""ROBINS I"",FILTER(IMPORTRANGE(""https://docs.google.com/spreadsheets/d/1kGrh75X1cNR1D7_FcY9zMnHP8iPO4M5RCRjy6nZY0TY/edit#gid=1248694442"",""Table 5: Risk of bias!L4:L175""), $A13=IMPORTRANGE(""https://docs.google.com/spreadsheets/d/1kGrh75X1cNR"&amp;"1D7_FcY9zMnHP8iPO4M5RCRjy6nZY0TY/edit#gid=1248694442"",""Table 5: Risk of bias!A4:A175"")),$B13=""RoB 2"",FILTER(IMPORTRANGE(""https://docs.google.com/spreadsheets/d/1kGrh75X1cNR1D7_FcY9zMnHP8iPO4M5RCRjy6nZY0TY/edit#gid=1248694442"",""Table 5: Risk of bia"&amp;"s!T4:T175""), $A13=IMPORTRANGE(""https://docs.google.com/spreadsheets/d/1kGrh75X1cNR1D7_FcY9zMnHP8iPO4M5RCRjy6nZY0TY/edit#gid=1248694442"",""Table 5: Risk of bias!A4:A175"")))"),"Moderate")</f>
        <v>Moderate</v>
      </c>
      <c r="F13" s="4" t="str">
        <f>IFERROR(__xludf.DUMMYFUNCTION("IFS($B13=""ROBINS I"",FILTER(IMPORTRANGE(""https://docs.google.com/spreadsheets/d/1kGrh75X1cNR1D7_FcY9zMnHP8iPO4M5RCRjy6nZY0TY/edit#gid=1248694442"",""Table 5: Risk of bias!M4:M175""), $A13=IMPORTRANGE(""https://docs.google.com/spreadsheets/d/1kGrh75X1cNR"&amp;"1D7_FcY9zMnHP8iPO4M5RCRjy6nZY0TY/edit#gid=1248694442"",""Table 5: Risk of bias!A4:A175"")),$B13=""RoB 2"",FILTER(IMPORTRANGE(""https://docs.google.com/spreadsheets/d/1kGrh75X1cNR1D7_FcY9zMnHP8iPO4M5RCRjy6nZY0TY/edit#gid=1248694442"",""Table 5: Risk of bia"&amp;"s!U4:U175""), $A13=IMPORTRANGE(""https://docs.google.com/spreadsheets/d/1kGrh75X1cNR1D7_FcY9zMnHP8iPO4M5RCRjy6nZY0TY/edit#gid=1248694442"",""Table 5: Risk of bias!A4:A175"")))"),"Low")</f>
        <v>Low</v>
      </c>
      <c r="G13" s="4" t="str">
        <f>IFERROR(__xludf.DUMMYFUNCTION("IFS($B13=""ROBINS I"",FILTER(IMPORTRANGE(""https://docs.google.com/spreadsheets/d/1kGrh75X1cNR1D7_FcY9zMnHP8iPO4M5RCRjy6nZY0TY/edit#gid=1248694442"",""Table 5: Risk of bias!N4:N175""), $A13=IMPORTRANGE(""https://docs.google.com/spreadsheets/d/1kGrh75X1cNR"&amp;"1D7_FcY9zMnHP8iPO4M5RCRjy6nZY0TY/edit#gid=1248694442"",""Table 5: Risk of bias!A4:A175"")),$B13=""RoB 2"",FILTER(IMPORTRANGE(""https://docs.google.com/spreadsheets/d/1kGrh75X1cNR1D7_FcY9zMnHP8iPO4M5RCRjy6nZY0TY/edit#gid=1248694442"",""Table 5: Risk of bia"&amp;"s!V4:V175""), $A13=IMPORTRANGE(""https://docs.google.com/spreadsheets/d/1kGrh75X1cNR1D7_FcY9zMnHP8iPO4M5RCRjy6nZY0TY/edit#gid=1248694442"",""Table 5: Risk of bias!A4:A175"")))"),"Low")</f>
        <v>Low</v>
      </c>
      <c r="H13" s="4" t="str">
        <f>IFERROR(__xludf.DUMMYFUNCTION("IFS($B13=""ROBINS I"",FILTER(IMPORTRANGE(""https://docs.google.com/spreadsheets/d/1kGrh75X1cNR1D7_FcY9zMnHP8iPO4M5RCRjy6nZY0TY/edit#gid=1248694442"",""Table 5: Risk of bias!O4:O175""), $A13=IMPORTRANGE(""https://docs.google.com/spreadsheets/d/1kGrh75X1cNR"&amp;"1D7_FcY9zMnHP8iPO4M5RCRjy6nZY0TY/edit#gid=1248694442"",""Table 5: Risk of bias!A4:A175"")),$B13=""RoB 2"",FILTER(IMPORTRANGE(""https://docs.google.com/spreadsheets/d/1kGrh75X1cNR1D7_FcY9zMnHP8iPO4M5RCRjy6nZY0TY/edit#gid=1248694442"",""Table 5: Risk of bia"&amp;"s!W4:W175""), $A13=IMPORTRANGE(""https://docs.google.com/spreadsheets/d/1kGrh75X1cNR1D7_FcY9zMnHP8iPO4M5RCRjy6nZY0TY/edit#gid=1248694442"",""Table 5: Risk of bias!A4:A175"")))"),"Moderate")</f>
        <v>Moderate</v>
      </c>
      <c r="I13" s="4" t="str">
        <f>IFERROR(__xludf.DUMMYFUNCTION("FILTER(IMPORTRANGE(""https://docs.google.com/spreadsheets/d/1kGrh75X1cNR1D7_FcY9zMnHP8iPO4M5RCRjy6nZY0TY/edit#gid=1248694442"",""Table 5: Risk of bias!P4:P175""), $A13=IMPORTRANGE(""https://docs.google.com/spreadsheets/d/1kGrh75X1cNR1D7_FcY9zMnHP8iPO4M5RC"&amp;"Rjy6nZY0TY/edit#gid=1248694442"",""Table 5: Risk of bias!A4:A175""))"),"Moderate")</f>
        <v>Moderate</v>
      </c>
      <c r="J13" s="4" t="str">
        <f>IFERROR(__xludf.DUMMYFUNCTION("FILTER(IMPORTRANGE(""https://docs.google.com/spreadsheets/d/1kGrh75X1cNR1D7_FcY9zMnHP8iPO4M5RCRjy6nZY0TY/edit#gid=1248694442"",""Table 5: Risk of bias!Q4:Q175""), $A13=IMPORTRANGE(""https://docs.google.com/spreadsheets/d/1kGrh75X1cNR1D7_FcY9zMnHP8iPO4M5RC"&amp;"Rjy6nZY0TY/edit#gid=1248694442"",""Table 5: Risk of bias!A4:A175""))"),"Moderate")</f>
        <v>Moderate</v>
      </c>
    </row>
    <row r="14">
      <c r="A14" s="4" t="str">
        <f>IFERROR(__xludf.DUMMYFUNCTION("""COMPUTED_VALUE"""),"ID 22")</f>
        <v>ID 22</v>
      </c>
      <c r="B14" s="4" t="str">
        <f>IFERROR(__xludf.DUMMYFUNCTION("FILTER(IMPORTRANGE(""https://docs.google.com/spreadsheets/d/1kGrh75X1cNR1D7_FcY9zMnHP8iPO4M5RCRjy6nZY0TY/edit#gid=1248694442"",""Table 5: Risk of bias!D4:D175""), $A14=IMPORTRANGE(""https://docs.google.com/spreadsheets/d/1kGrh75X1cNR1D7_FcY9zMnHP8iPO4M5RC"&amp;"Rjy6nZY0TY/edit#gid=1248694442"",""Table 5: Risk of bias!A4:A175""))"),"ROBINS I")</f>
        <v>ROBINS I</v>
      </c>
      <c r="C14" s="4" t="str">
        <f>IFERROR(__xludf.DUMMYFUNCTION("IFS(
$B14=""ROBINS I"", FILTER(IMPORTRANGE(""https://docs.google.com/spreadsheets/d/1kGrh75X1cNR1D7_FcY9zMnHP8iPO4M5RCRjy6nZY0TY/edit#gid=1248694442"",""Table 5: Risk of bias!J4:J175""),  $A14=IMPORTRANGE(""https://docs.google.com/spreadsheets/d/1kGrh75X1"&amp;"cNR1D7_FcY9zMnHP8iPO4M5RCRjy6nZY0TY/edit#gid=1248694442"",""Table 5: Risk of bias!A4:A175"")),
$B14=""RoB 2"", FILTER(IMPORTRANGE(""https://docs.google.com/spreadsheets/d/1kGrh75X1cNR1D7_FcY9zMnHP8iPO4M5RCRjy6nZY0TY/edit#gid=1248694442"",""Table 5: Risk o"&amp;"f bias!R4:R175""), $A14=IMPORTRANGE(""https://docs.google.com/spreadsheets/d/1kGrh75X1cNR1D7_FcY9zMnHP8iPO4M5RCRjy6nZY0TY/edit#gid=1248694442"",""Table 5: Risk of bias!A4:A175""))
)"),"Low")</f>
        <v>Low</v>
      </c>
      <c r="D14" s="4" t="str">
        <f>IFERROR(__xludf.DUMMYFUNCTION("IFS($B14=""ROBINS I"",FILTER(IMPORTRANGE(""https://docs.google.com/spreadsheets/d/1kGrh75X1cNR1D7_FcY9zMnHP8iPO4M5RCRjy6nZY0TY/edit#gid=1248694442"",""Table 5: Risk of bias!K4:K175""), $A14=IMPORTRANGE(""https://docs.google.com/spreadsheets/d/1kGrh75X1cNR"&amp;"1D7_FcY9zMnHP8iPO4M5RCRjy6nZY0TY/edit#gid=1248694442"",""Table 5: Risk of bias!A4:A175"")),$B14=""RoB 2"",FILTER(IMPORTRANGE(""https://docs.google.com/spreadsheets/d/1kGrh75X1cNR1D7_FcY9zMnHP8iPO4M5RCRjy6nZY0TY/edit#gid=1248694442"",""Table 5: Risk of bia"&amp;"s!S4:S175""), $A14=IMPORTRANGE(""https://docs.google.com/spreadsheets/d/1kGrh75X1cNR1D7_FcY9zMnHP8iPO4M5RCRjy6nZY0TY/edit#gid=1248694442"",""Table 5: Risk of bias!A4:A175"")))"),"Low")</f>
        <v>Low</v>
      </c>
      <c r="E14" s="4" t="str">
        <f>IFERROR(__xludf.DUMMYFUNCTION("IFS($B14=""ROBINS I"",FILTER(IMPORTRANGE(""https://docs.google.com/spreadsheets/d/1kGrh75X1cNR1D7_FcY9zMnHP8iPO4M5RCRjy6nZY0TY/edit#gid=1248694442"",""Table 5: Risk of bias!L4:L175""), $A14=IMPORTRANGE(""https://docs.google.com/spreadsheets/d/1kGrh75X1cNR"&amp;"1D7_FcY9zMnHP8iPO4M5RCRjy6nZY0TY/edit#gid=1248694442"",""Table 5: Risk of bias!A4:A175"")),$B14=""RoB 2"",FILTER(IMPORTRANGE(""https://docs.google.com/spreadsheets/d/1kGrh75X1cNR1D7_FcY9zMnHP8iPO4M5RCRjy6nZY0TY/edit#gid=1248694442"",""Table 5: Risk of bia"&amp;"s!T4:T175""), $A14=IMPORTRANGE(""https://docs.google.com/spreadsheets/d/1kGrh75X1cNR1D7_FcY9zMnHP8iPO4M5RCRjy6nZY0TY/edit#gid=1248694442"",""Table 5: Risk of bias!A4:A175"")))"),"Low")</f>
        <v>Low</v>
      </c>
      <c r="F14" s="4" t="str">
        <f>IFERROR(__xludf.DUMMYFUNCTION("IFS($B14=""ROBINS I"",FILTER(IMPORTRANGE(""https://docs.google.com/spreadsheets/d/1kGrh75X1cNR1D7_FcY9zMnHP8iPO4M5RCRjy6nZY0TY/edit#gid=1248694442"",""Table 5: Risk of bias!M4:M175""), $A14=IMPORTRANGE(""https://docs.google.com/spreadsheets/d/1kGrh75X1cNR"&amp;"1D7_FcY9zMnHP8iPO4M5RCRjy6nZY0TY/edit#gid=1248694442"",""Table 5: Risk of bias!A4:A175"")),$B14=""RoB 2"",FILTER(IMPORTRANGE(""https://docs.google.com/spreadsheets/d/1kGrh75X1cNR1D7_FcY9zMnHP8iPO4M5RCRjy6nZY0TY/edit#gid=1248694442"",""Table 5: Risk of bia"&amp;"s!U4:U175""), $A14=IMPORTRANGE(""https://docs.google.com/spreadsheets/d/1kGrh75X1cNR1D7_FcY9zMnHP8iPO4M5RCRjy6nZY0TY/edit#gid=1248694442"",""Table 5: Risk of bias!A4:A175"")))"),"Low")</f>
        <v>Low</v>
      </c>
      <c r="G14" s="4" t="str">
        <f>IFERROR(__xludf.DUMMYFUNCTION("IFS($B14=""ROBINS I"",FILTER(IMPORTRANGE(""https://docs.google.com/spreadsheets/d/1kGrh75X1cNR1D7_FcY9zMnHP8iPO4M5RCRjy6nZY0TY/edit#gid=1248694442"",""Table 5: Risk of bias!N4:N175""), $A14=IMPORTRANGE(""https://docs.google.com/spreadsheets/d/1kGrh75X1cNR"&amp;"1D7_FcY9zMnHP8iPO4M5RCRjy6nZY0TY/edit#gid=1248694442"",""Table 5: Risk of bias!A4:A175"")),$B14=""RoB 2"",FILTER(IMPORTRANGE(""https://docs.google.com/spreadsheets/d/1kGrh75X1cNR1D7_FcY9zMnHP8iPO4M5RCRjy6nZY0TY/edit#gid=1248694442"",""Table 5: Risk of bia"&amp;"s!V4:V175""), $A14=IMPORTRANGE(""https://docs.google.com/spreadsheets/d/1kGrh75X1cNR1D7_FcY9zMnHP8iPO4M5RCRjy6nZY0TY/edit#gid=1248694442"",""Table 5: Risk of bias!A4:A175"")))"),"Low")</f>
        <v>Low</v>
      </c>
      <c r="H14" s="4" t="str">
        <f>IFERROR(__xludf.DUMMYFUNCTION("IFS($B14=""ROBINS I"",FILTER(IMPORTRANGE(""https://docs.google.com/spreadsheets/d/1kGrh75X1cNR1D7_FcY9zMnHP8iPO4M5RCRjy6nZY0TY/edit#gid=1248694442"",""Table 5: Risk of bias!O4:O175""), $A14=IMPORTRANGE(""https://docs.google.com/spreadsheets/d/1kGrh75X1cNR"&amp;"1D7_FcY9zMnHP8iPO4M5RCRjy6nZY0TY/edit#gid=1248694442"",""Table 5: Risk of bias!A4:A175"")),$B14=""RoB 2"",FILTER(IMPORTRANGE(""https://docs.google.com/spreadsheets/d/1kGrh75X1cNR1D7_FcY9zMnHP8iPO4M5RCRjy6nZY0TY/edit#gid=1248694442"",""Table 5: Risk of bia"&amp;"s!W4:W175""), $A14=IMPORTRANGE(""https://docs.google.com/spreadsheets/d/1kGrh75X1cNR1D7_FcY9zMnHP8iPO4M5RCRjy6nZY0TY/edit#gid=1248694442"",""Table 5: Risk of bias!A4:A175"")))"),"Low")</f>
        <v>Low</v>
      </c>
      <c r="I14" s="4" t="str">
        <f>IFERROR(__xludf.DUMMYFUNCTION("FILTER(IMPORTRANGE(""https://docs.google.com/spreadsheets/d/1kGrh75X1cNR1D7_FcY9zMnHP8iPO4M5RCRjy6nZY0TY/edit#gid=1248694442"",""Table 5: Risk of bias!P4:P175""), $A14=IMPORTRANGE(""https://docs.google.com/spreadsheets/d/1kGrh75X1cNR1D7_FcY9zMnHP8iPO4M5RC"&amp;"Rjy6nZY0TY/edit#gid=1248694442"",""Table 5: Risk of bias!A4:A175""))"),"Low")</f>
        <v>Low</v>
      </c>
      <c r="J14" s="4" t="str">
        <f>IFERROR(__xludf.DUMMYFUNCTION("FILTER(IMPORTRANGE(""https://docs.google.com/spreadsheets/d/1kGrh75X1cNR1D7_FcY9zMnHP8iPO4M5RCRjy6nZY0TY/edit#gid=1248694442"",""Table 5: Risk of bias!Q4:Q175""), $A14=IMPORTRANGE(""https://docs.google.com/spreadsheets/d/1kGrh75X1cNR1D7_FcY9zMnHP8iPO4M5RC"&amp;"Rjy6nZY0TY/edit#gid=1248694442"",""Table 5: Risk of bias!A4:A175""))"),"Low")</f>
        <v>Low</v>
      </c>
    </row>
    <row r="15">
      <c r="A15" s="4" t="str">
        <f>IFERROR(__xludf.DUMMYFUNCTION("""COMPUTED_VALUE"""),"ID 23")</f>
        <v>ID 23</v>
      </c>
      <c r="B15" s="4" t="str">
        <f>IFERROR(__xludf.DUMMYFUNCTION("FILTER(IMPORTRANGE(""https://docs.google.com/spreadsheets/d/1kGrh75X1cNR1D7_FcY9zMnHP8iPO4M5RCRjy6nZY0TY/edit#gid=1248694442"",""Table 5: Risk of bias!D4:D175""), $A15=IMPORTRANGE(""https://docs.google.com/spreadsheets/d/1kGrh75X1cNR1D7_FcY9zMnHP8iPO4M5RC"&amp;"Rjy6nZY0TY/edit#gid=1248694442"",""Table 5: Risk of bias!A4:A175""))"),"ROBINS I")</f>
        <v>ROBINS I</v>
      </c>
      <c r="C15" s="4" t="str">
        <f>IFERROR(__xludf.DUMMYFUNCTION("IFS(
$B15=""ROBINS I"", FILTER(IMPORTRANGE(""https://docs.google.com/spreadsheets/d/1kGrh75X1cNR1D7_FcY9zMnHP8iPO4M5RCRjy6nZY0TY/edit#gid=1248694442"",""Table 5: Risk of bias!J4:J175""),  $A15=IMPORTRANGE(""https://docs.google.com/spreadsheets/d/1kGrh75X1"&amp;"cNR1D7_FcY9zMnHP8iPO4M5RCRjy6nZY0TY/edit#gid=1248694442"",""Table 5: Risk of bias!A4:A175"")),
$B15=""RoB 2"", FILTER(IMPORTRANGE(""https://docs.google.com/spreadsheets/d/1kGrh75X1cNR1D7_FcY9zMnHP8iPO4M5RCRjy6nZY0TY/edit#gid=1248694442"",""Table 5: Risk o"&amp;"f bias!R4:R175""), $A15=IMPORTRANGE(""https://docs.google.com/spreadsheets/d/1kGrh75X1cNR1D7_FcY9zMnHP8iPO4M5RCRjy6nZY0TY/edit#gid=1248694442"",""Table 5: Risk of bias!A4:A175""))
)"),"Moderate")</f>
        <v>Moderate</v>
      </c>
      <c r="D15" s="4" t="str">
        <f>IFERROR(__xludf.DUMMYFUNCTION("IFS($B15=""ROBINS I"",FILTER(IMPORTRANGE(""https://docs.google.com/spreadsheets/d/1kGrh75X1cNR1D7_FcY9zMnHP8iPO4M5RCRjy6nZY0TY/edit#gid=1248694442"",""Table 5: Risk of bias!K4:K175""), $A15=IMPORTRANGE(""https://docs.google.com/spreadsheets/d/1kGrh75X1cNR"&amp;"1D7_FcY9zMnHP8iPO4M5RCRjy6nZY0TY/edit#gid=1248694442"",""Table 5: Risk of bias!A4:A175"")),$B15=""RoB 2"",FILTER(IMPORTRANGE(""https://docs.google.com/spreadsheets/d/1kGrh75X1cNR1D7_FcY9zMnHP8iPO4M5RCRjy6nZY0TY/edit#gid=1248694442"",""Table 5: Risk of bia"&amp;"s!S4:S175""), $A15=IMPORTRANGE(""https://docs.google.com/spreadsheets/d/1kGrh75X1cNR1D7_FcY9zMnHP8iPO4M5RCRjy6nZY0TY/edit#gid=1248694442"",""Table 5: Risk of bias!A4:A175"")))"),"Low")</f>
        <v>Low</v>
      </c>
      <c r="E15" s="4" t="str">
        <f>IFERROR(__xludf.DUMMYFUNCTION("IFS($B15=""ROBINS I"",FILTER(IMPORTRANGE(""https://docs.google.com/spreadsheets/d/1kGrh75X1cNR1D7_FcY9zMnHP8iPO4M5RCRjy6nZY0TY/edit#gid=1248694442"",""Table 5: Risk of bias!L4:L175""), $A15=IMPORTRANGE(""https://docs.google.com/spreadsheets/d/1kGrh75X1cNR"&amp;"1D7_FcY9zMnHP8iPO4M5RCRjy6nZY0TY/edit#gid=1248694442"",""Table 5: Risk of bias!A4:A175"")),$B15=""RoB 2"",FILTER(IMPORTRANGE(""https://docs.google.com/spreadsheets/d/1kGrh75X1cNR1D7_FcY9zMnHP8iPO4M5RCRjy6nZY0TY/edit#gid=1248694442"",""Table 5: Risk of bia"&amp;"s!T4:T175""), $A15=IMPORTRANGE(""https://docs.google.com/spreadsheets/d/1kGrh75X1cNR1D7_FcY9zMnHP8iPO4M5RCRjy6nZY0TY/edit#gid=1248694442"",""Table 5: Risk of bias!A4:A175"")))"),"Moderate")</f>
        <v>Moderate</v>
      </c>
      <c r="F15" s="4" t="str">
        <f>IFERROR(__xludf.DUMMYFUNCTION("IFS($B15=""ROBINS I"",FILTER(IMPORTRANGE(""https://docs.google.com/spreadsheets/d/1kGrh75X1cNR1D7_FcY9zMnHP8iPO4M5RCRjy6nZY0TY/edit#gid=1248694442"",""Table 5: Risk of bias!M4:M175""), $A15=IMPORTRANGE(""https://docs.google.com/spreadsheets/d/1kGrh75X1cNR"&amp;"1D7_FcY9zMnHP8iPO4M5RCRjy6nZY0TY/edit#gid=1248694442"",""Table 5: Risk of bias!A4:A175"")),$B15=""RoB 2"",FILTER(IMPORTRANGE(""https://docs.google.com/spreadsheets/d/1kGrh75X1cNR1D7_FcY9zMnHP8iPO4M5RCRjy6nZY0TY/edit#gid=1248694442"",""Table 5: Risk of bia"&amp;"s!U4:U175""), $A15=IMPORTRANGE(""https://docs.google.com/spreadsheets/d/1kGrh75X1cNR1D7_FcY9zMnHP8iPO4M5RCRjy6nZY0TY/edit#gid=1248694442"",""Table 5: Risk of bias!A4:A175"")))"),"Low")</f>
        <v>Low</v>
      </c>
      <c r="G15" s="4" t="str">
        <f>IFERROR(__xludf.DUMMYFUNCTION("IFS($B15=""ROBINS I"",FILTER(IMPORTRANGE(""https://docs.google.com/spreadsheets/d/1kGrh75X1cNR1D7_FcY9zMnHP8iPO4M5RCRjy6nZY0TY/edit#gid=1248694442"",""Table 5: Risk of bias!N4:N175""), $A15=IMPORTRANGE(""https://docs.google.com/spreadsheets/d/1kGrh75X1cNR"&amp;"1D7_FcY9zMnHP8iPO4M5RCRjy6nZY0TY/edit#gid=1248694442"",""Table 5: Risk of bias!A4:A175"")),$B15=""RoB 2"",FILTER(IMPORTRANGE(""https://docs.google.com/spreadsheets/d/1kGrh75X1cNR1D7_FcY9zMnHP8iPO4M5RCRjy6nZY0TY/edit#gid=1248694442"",""Table 5: Risk of bia"&amp;"s!V4:V175""), $A15=IMPORTRANGE(""https://docs.google.com/spreadsheets/d/1kGrh75X1cNR1D7_FcY9zMnHP8iPO4M5RCRjy6nZY0TY/edit#gid=1248694442"",""Table 5: Risk of bias!A4:A175"")))"),"Low")</f>
        <v>Low</v>
      </c>
      <c r="H15" s="4" t="str">
        <f>IFERROR(__xludf.DUMMYFUNCTION("IFS($B15=""ROBINS I"",FILTER(IMPORTRANGE(""https://docs.google.com/spreadsheets/d/1kGrh75X1cNR1D7_FcY9zMnHP8iPO4M5RCRjy6nZY0TY/edit#gid=1248694442"",""Table 5: Risk of bias!O4:O175""), $A15=IMPORTRANGE(""https://docs.google.com/spreadsheets/d/1kGrh75X1cNR"&amp;"1D7_FcY9zMnHP8iPO4M5RCRjy6nZY0TY/edit#gid=1248694442"",""Table 5: Risk of bias!A4:A175"")),$B15=""RoB 2"",FILTER(IMPORTRANGE(""https://docs.google.com/spreadsheets/d/1kGrh75X1cNR1D7_FcY9zMnHP8iPO4M5RCRjy6nZY0TY/edit#gid=1248694442"",""Table 5: Risk of bia"&amp;"s!W4:W175""), $A15=IMPORTRANGE(""https://docs.google.com/spreadsheets/d/1kGrh75X1cNR1D7_FcY9zMnHP8iPO4M5RCRjy6nZY0TY/edit#gid=1248694442"",""Table 5: Risk of bias!A4:A175"")))"),"Low")</f>
        <v>Low</v>
      </c>
      <c r="I15" s="4" t="str">
        <f>IFERROR(__xludf.DUMMYFUNCTION("FILTER(IMPORTRANGE(""https://docs.google.com/spreadsheets/d/1kGrh75X1cNR1D7_FcY9zMnHP8iPO4M5RCRjy6nZY0TY/edit#gid=1248694442"",""Table 5: Risk of bias!P4:P175""), $A15=IMPORTRANGE(""https://docs.google.com/spreadsheets/d/1kGrh75X1cNR1D7_FcY9zMnHP8iPO4M5RC"&amp;"Rjy6nZY0TY/edit#gid=1248694442"",""Table 5: Risk of bias!A4:A175""))"),"Low")</f>
        <v>Low</v>
      </c>
      <c r="J15" s="4" t="str">
        <f>IFERROR(__xludf.DUMMYFUNCTION("FILTER(IMPORTRANGE(""https://docs.google.com/spreadsheets/d/1kGrh75X1cNR1D7_FcY9zMnHP8iPO4M5RCRjy6nZY0TY/edit#gid=1248694442"",""Table 5: Risk of bias!Q4:Q175""), $A15=IMPORTRANGE(""https://docs.google.com/spreadsheets/d/1kGrh75X1cNR1D7_FcY9zMnHP8iPO4M5RC"&amp;"Rjy6nZY0TY/edit#gid=1248694442"",""Table 5: Risk of bias!A4:A175""))"),"Low")</f>
        <v>Low</v>
      </c>
    </row>
    <row r="16">
      <c r="A16" s="4" t="str">
        <f>IFERROR(__xludf.DUMMYFUNCTION("""COMPUTED_VALUE"""),"ID 24")</f>
        <v>ID 24</v>
      </c>
      <c r="B16" s="4" t="str">
        <f>IFERROR(__xludf.DUMMYFUNCTION("FILTER(IMPORTRANGE(""https://docs.google.com/spreadsheets/d/1kGrh75X1cNR1D7_FcY9zMnHP8iPO4M5RCRjy6nZY0TY/edit#gid=1248694442"",""Table 5: Risk of bias!D4:D175""), $A16=IMPORTRANGE(""https://docs.google.com/spreadsheets/d/1kGrh75X1cNR1D7_FcY9zMnHP8iPO4M5RC"&amp;"Rjy6nZY0TY/edit#gid=1248694442"",""Table 5: Risk of bias!A4:A175""))"),"ROBINS I")</f>
        <v>ROBINS I</v>
      </c>
      <c r="C16" s="4" t="str">
        <f>IFERROR(__xludf.DUMMYFUNCTION("IFS(
$B16=""ROBINS I"", FILTER(IMPORTRANGE(""https://docs.google.com/spreadsheets/d/1kGrh75X1cNR1D7_FcY9zMnHP8iPO4M5RCRjy6nZY0TY/edit#gid=1248694442"",""Table 5: Risk of bias!J4:J175""),  $A16=IMPORTRANGE(""https://docs.google.com/spreadsheets/d/1kGrh75X1"&amp;"cNR1D7_FcY9zMnHP8iPO4M5RCRjy6nZY0TY/edit#gid=1248694442"",""Table 5: Risk of bias!A4:A175"")),
$B16=""RoB 2"", FILTER(IMPORTRANGE(""https://docs.google.com/spreadsheets/d/1kGrh75X1cNR1D7_FcY9zMnHP8iPO4M5RCRjy6nZY0TY/edit#gid=1248694442"",""Table 5: Risk o"&amp;"f bias!R4:R175""), $A16=IMPORTRANGE(""https://docs.google.com/spreadsheets/d/1kGrh75X1cNR1D7_FcY9zMnHP8iPO4M5RCRjy6nZY0TY/edit#gid=1248694442"",""Table 5: Risk of bias!A4:A175""))
)"),"Moderate")</f>
        <v>Moderate</v>
      </c>
      <c r="D16" s="4" t="str">
        <f>IFERROR(__xludf.DUMMYFUNCTION("IFS($B16=""ROBINS I"",FILTER(IMPORTRANGE(""https://docs.google.com/spreadsheets/d/1kGrh75X1cNR1D7_FcY9zMnHP8iPO4M5RCRjy6nZY0TY/edit#gid=1248694442"",""Table 5: Risk of bias!K4:K175""), $A16=IMPORTRANGE(""https://docs.google.com/spreadsheets/d/1kGrh75X1cNR"&amp;"1D7_FcY9zMnHP8iPO4M5RCRjy6nZY0TY/edit#gid=1248694442"",""Table 5: Risk of bias!A4:A175"")),$B16=""RoB 2"",FILTER(IMPORTRANGE(""https://docs.google.com/spreadsheets/d/1kGrh75X1cNR1D7_FcY9zMnHP8iPO4M5RCRjy6nZY0TY/edit#gid=1248694442"",""Table 5: Risk of bia"&amp;"s!S4:S175""), $A16=IMPORTRANGE(""https://docs.google.com/spreadsheets/d/1kGrh75X1cNR1D7_FcY9zMnHP8iPO4M5RCRjy6nZY0TY/edit#gid=1248694442"",""Table 5: Risk of bias!A4:A175"")))"),"Low")</f>
        <v>Low</v>
      </c>
      <c r="E16" s="4" t="str">
        <f>IFERROR(__xludf.DUMMYFUNCTION("IFS($B16=""ROBINS I"",FILTER(IMPORTRANGE(""https://docs.google.com/spreadsheets/d/1kGrh75X1cNR1D7_FcY9zMnHP8iPO4M5RCRjy6nZY0TY/edit#gid=1248694442"",""Table 5: Risk of bias!L4:L175""), $A16=IMPORTRANGE(""https://docs.google.com/spreadsheets/d/1kGrh75X1cNR"&amp;"1D7_FcY9zMnHP8iPO4M5RCRjy6nZY0TY/edit#gid=1248694442"",""Table 5: Risk of bias!A4:A175"")),$B16=""RoB 2"",FILTER(IMPORTRANGE(""https://docs.google.com/spreadsheets/d/1kGrh75X1cNR1D7_FcY9zMnHP8iPO4M5RCRjy6nZY0TY/edit#gid=1248694442"",""Table 5: Risk of bia"&amp;"s!T4:T175""), $A16=IMPORTRANGE(""https://docs.google.com/spreadsheets/d/1kGrh75X1cNR1D7_FcY9zMnHP8iPO4M5RCRjy6nZY0TY/edit#gid=1248694442"",""Table 5: Risk of bias!A4:A175"")))"),"Low")</f>
        <v>Low</v>
      </c>
      <c r="F16" s="4" t="str">
        <f>IFERROR(__xludf.DUMMYFUNCTION("IFS($B16=""ROBINS I"",FILTER(IMPORTRANGE(""https://docs.google.com/spreadsheets/d/1kGrh75X1cNR1D7_FcY9zMnHP8iPO4M5RCRjy6nZY0TY/edit#gid=1248694442"",""Table 5: Risk of bias!M4:M175""), $A16=IMPORTRANGE(""https://docs.google.com/spreadsheets/d/1kGrh75X1cNR"&amp;"1D7_FcY9zMnHP8iPO4M5RCRjy6nZY0TY/edit#gid=1248694442"",""Table 5: Risk of bias!A4:A175"")),$B16=""RoB 2"",FILTER(IMPORTRANGE(""https://docs.google.com/spreadsheets/d/1kGrh75X1cNR1D7_FcY9zMnHP8iPO4M5RCRjy6nZY0TY/edit#gid=1248694442"",""Table 5: Risk of bia"&amp;"s!U4:U175""), $A16=IMPORTRANGE(""https://docs.google.com/spreadsheets/d/1kGrh75X1cNR1D7_FcY9zMnHP8iPO4M5RCRjy6nZY0TY/edit#gid=1248694442"",""Table 5: Risk of bias!A4:A175"")))"),"Low")</f>
        <v>Low</v>
      </c>
      <c r="G16" s="4" t="str">
        <f>IFERROR(__xludf.DUMMYFUNCTION("IFS($B16=""ROBINS I"",FILTER(IMPORTRANGE(""https://docs.google.com/spreadsheets/d/1kGrh75X1cNR1D7_FcY9zMnHP8iPO4M5RCRjy6nZY0TY/edit#gid=1248694442"",""Table 5: Risk of bias!N4:N175""), $A16=IMPORTRANGE(""https://docs.google.com/spreadsheets/d/1kGrh75X1cNR"&amp;"1D7_FcY9zMnHP8iPO4M5RCRjy6nZY0TY/edit#gid=1248694442"",""Table 5: Risk of bias!A4:A175"")),$B16=""RoB 2"",FILTER(IMPORTRANGE(""https://docs.google.com/spreadsheets/d/1kGrh75X1cNR1D7_FcY9zMnHP8iPO4M5RCRjy6nZY0TY/edit#gid=1248694442"",""Table 5: Risk of bia"&amp;"s!V4:V175""), $A16=IMPORTRANGE(""https://docs.google.com/spreadsheets/d/1kGrh75X1cNR1D7_FcY9zMnHP8iPO4M5RCRjy6nZY0TY/edit#gid=1248694442"",""Table 5: Risk of bias!A4:A175"")))"),"Low")</f>
        <v>Low</v>
      </c>
      <c r="H16" s="4" t="str">
        <f>IFERROR(__xludf.DUMMYFUNCTION("IFS($B16=""ROBINS I"",FILTER(IMPORTRANGE(""https://docs.google.com/spreadsheets/d/1kGrh75X1cNR1D7_FcY9zMnHP8iPO4M5RCRjy6nZY0TY/edit#gid=1248694442"",""Table 5: Risk of bias!O4:O175""), $A16=IMPORTRANGE(""https://docs.google.com/spreadsheets/d/1kGrh75X1cNR"&amp;"1D7_FcY9zMnHP8iPO4M5RCRjy6nZY0TY/edit#gid=1248694442"",""Table 5: Risk of bias!A4:A175"")),$B16=""RoB 2"",FILTER(IMPORTRANGE(""https://docs.google.com/spreadsheets/d/1kGrh75X1cNR1D7_FcY9zMnHP8iPO4M5RCRjy6nZY0TY/edit#gid=1248694442"",""Table 5: Risk of bia"&amp;"s!W4:W175""), $A16=IMPORTRANGE(""https://docs.google.com/spreadsheets/d/1kGrh75X1cNR1D7_FcY9zMnHP8iPO4M5RCRjy6nZY0TY/edit#gid=1248694442"",""Table 5: Risk of bias!A4:A175"")))"),"Low")</f>
        <v>Low</v>
      </c>
      <c r="I16" s="4" t="str">
        <f>IFERROR(__xludf.DUMMYFUNCTION("FILTER(IMPORTRANGE(""https://docs.google.com/spreadsheets/d/1kGrh75X1cNR1D7_FcY9zMnHP8iPO4M5RCRjy6nZY0TY/edit#gid=1248694442"",""Table 5: Risk of bias!P4:P175""), $A16=IMPORTRANGE(""https://docs.google.com/spreadsheets/d/1kGrh75X1cNR1D7_FcY9zMnHP8iPO4M5RC"&amp;"Rjy6nZY0TY/edit#gid=1248694442"",""Table 5: Risk of bias!A4:A175""))"),"Moderate")</f>
        <v>Moderate</v>
      </c>
      <c r="J16" s="4" t="str">
        <f>IFERROR(__xludf.DUMMYFUNCTION("FILTER(IMPORTRANGE(""https://docs.google.com/spreadsheets/d/1kGrh75X1cNR1D7_FcY9zMnHP8iPO4M5RCRjy6nZY0TY/edit#gid=1248694442"",""Table 5: Risk of bias!Q4:Q175""), $A16=IMPORTRANGE(""https://docs.google.com/spreadsheets/d/1kGrh75X1cNR1D7_FcY9zMnHP8iPO4M5RC"&amp;"Rjy6nZY0TY/edit#gid=1248694442"",""Table 5: Risk of bias!A4:A175""))"),"Low")</f>
        <v>Low</v>
      </c>
    </row>
    <row r="17">
      <c r="A17" s="4" t="str">
        <f>IFERROR(__xludf.DUMMYFUNCTION("""COMPUTED_VALUE"""),"ID 27")</f>
        <v>ID 27</v>
      </c>
      <c r="B17" s="4" t="str">
        <f>IFERROR(__xludf.DUMMYFUNCTION("FILTER(IMPORTRANGE(""https://docs.google.com/spreadsheets/d/1kGrh75X1cNR1D7_FcY9zMnHP8iPO4M5RCRjy6nZY0TY/edit#gid=1248694442"",""Table 5: Risk of bias!D4:D175""), $A17=IMPORTRANGE(""https://docs.google.com/spreadsheets/d/1kGrh75X1cNR1D7_FcY9zMnHP8iPO4M5RC"&amp;"Rjy6nZY0TY/edit#gid=1248694442"",""Table 5: Risk of bias!A4:A175""))"),"ROBINS I")</f>
        <v>ROBINS I</v>
      </c>
      <c r="C17" s="4" t="str">
        <f>IFERROR(__xludf.DUMMYFUNCTION("IFS(
$B17=""ROBINS I"", FILTER(IMPORTRANGE(""https://docs.google.com/spreadsheets/d/1kGrh75X1cNR1D7_FcY9zMnHP8iPO4M5RCRjy6nZY0TY/edit#gid=1248694442"",""Table 5: Risk of bias!J4:J175""),  $A17=IMPORTRANGE(""https://docs.google.com/spreadsheets/d/1kGrh75X1"&amp;"cNR1D7_FcY9zMnHP8iPO4M5RCRjy6nZY0TY/edit#gid=1248694442"",""Table 5: Risk of bias!A4:A175"")),
$B17=""RoB 2"", FILTER(IMPORTRANGE(""https://docs.google.com/spreadsheets/d/1kGrh75X1cNR1D7_FcY9zMnHP8iPO4M5RCRjy6nZY0TY/edit#gid=1248694442"",""Table 5: Risk o"&amp;"f bias!R4:R175""), $A17=IMPORTRANGE(""https://docs.google.com/spreadsheets/d/1kGrh75X1cNR1D7_FcY9zMnHP8iPO4M5RCRjy6nZY0TY/edit#gid=1248694442"",""Table 5: Risk of bias!A4:A175""))
)"),"Moderate")</f>
        <v>Moderate</v>
      </c>
      <c r="D17" s="4" t="str">
        <f>IFERROR(__xludf.DUMMYFUNCTION("IFS($B17=""ROBINS I"",FILTER(IMPORTRANGE(""https://docs.google.com/spreadsheets/d/1kGrh75X1cNR1D7_FcY9zMnHP8iPO4M5RCRjy6nZY0TY/edit#gid=1248694442"",""Table 5: Risk of bias!K4:K175""), $A17=IMPORTRANGE(""https://docs.google.com/spreadsheets/d/1kGrh75X1cNR"&amp;"1D7_FcY9zMnHP8iPO4M5RCRjy6nZY0TY/edit#gid=1248694442"",""Table 5: Risk of bias!A4:A175"")),$B17=""RoB 2"",FILTER(IMPORTRANGE(""https://docs.google.com/spreadsheets/d/1kGrh75X1cNR1D7_FcY9zMnHP8iPO4M5RCRjy6nZY0TY/edit#gid=1248694442"",""Table 5: Risk of bia"&amp;"s!S4:S175""), $A17=IMPORTRANGE(""https://docs.google.com/spreadsheets/d/1kGrh75X1cNR1D7_FcY9zMnHP8iPO4M5RCRjy6nZY0TY/edit#gid=1248694442"",""Table 5: Risk of bias!A4:A175"")))"),"Low")</f>
        <v>Low</v>
      </c>
      <c r="E17" s="4" t="str">
        <f>IFERROR(__xludf.DUMMYFUNCTION("IFS($B17=""ROBINS I"",FILTER(IMPORTRANGE(""https://docs.google.com/spreadsheets/d/1kGrh75X1cNR1D7_FcY9zMnHP8iPO4M5RCRjy6nZY0TY/edit#gid=1248694442"",""Table 5: Risk of bias!L4:L175""), $A17=IMPORTRANGE(""https://docs.google.com/spreadsheets/d/1kGrh75X1cNR"&amp;"1D7_FcY9zMnHP8iPO4M5RCRjy6nZY0TY/edit#gid=1248694442"",""Table 5: Risk of bias!A4:A175"")),$B17=""RoB 2"",FILTER(IMPORTRANGE(""https://docs.google.com/spreadsheets/d/1kGrh75X1cNR1D7_FcY9zMnHP8iPO4M5RCRjy6nZY0TY/edit#gid=1248694442"",""Table 5: Risk of bia"&amp;"s!T4:T175""), $A17=IMPORTRANGE(""https://docs.google.com/spreadsheets/d/1kGrh75X1cNR1D7_FcY9zMnHP8iPO4M5RCRjy6nZY0TY/edit#gid=1248694442"",""Table 5: Risk of bias!A4:A175"")))"),"Low")</f>
        <v>Low</v>
      </c>
      <c r="F17" s="4" t="str">
        <f>IFERROR(__xludf.DUMMYFUNCTION("IFS($B17=""ROBINS I"",FILTER(IMPORTRANGE(""https://docs.google.com/spreadsheets/d/1kGrh75X1cNR1D7_FcY9zMnHP8iPO4M5RCRjy6nZY0TY/edit#gid=1248694442"",""Table 5: Risk of bias!M4:M175""), $A17=IMPORTRANGE(""https://docs.google.com/spreadsheets/d/1kGrh75X1cNR"&amp;"1D7_FcY9zMnHP8iPO4M5RCRjy6nZY0TY/edit#gid=1248694442"",""Table 5: Risk of bias!A4:A175"")),$B17=""RoB 2"",FILTER(IMPORTRANGE(""https://docs.google.com/spreadsheets/d/1kGrh75X1cNR1D7_FcY9zMnHP8iPO4M5RCRjy6nZY0TY/edit#gid=1248694442"",""Table 5: Risk of bia"&amp;"s!U4:U175""), $A17=IMPORTRANGE(""https://docs.google.com/spreadsheets/d/1kGrh75X1cNR1D7_FcY9zMnHP8iPO4M5RCRjy6nZY0TY/edit#gid=1248694442"",""Table 5: Risk of bias!A4:A175"")))"),"Low")</f>
        <v>Low</v>
      </c>
      <c r="G17" s="4" t="str">
        <f>IFERROR(__xludf.DUMMYFUNCTION("IFS($B17=""ROBINS I"",FILTER(IMPORTRANGE(""https://docs.google.com/spreadsheets/d/1kGrh75X1cNR1D7_FcY9zMnHP8iPO4M5RCRjy6nZY0TY/edit#gid=1248694442"",""Table 5: Risk of bias!N4:N175""), $A17=IMPORTRANGE(""https://docs.google.com/spreadsheets/d/1kGrh75X1cNR"&amp;"1D7_FcY9zMnHP8iPO4M5RCRjy6nZY0TY/edit#gid=1248694442"",""Table 5: Risk of bias!A4:A175"")),$B17=""RoB 2"",FILTER(IMPORTRANGE(""https://docs.google.com/spreadsheets/d/1kGrh75X1cNR1D7_FcY9zMnHP8iPO4M5RCRjy6nZY0TY/edit#gid=1248694442"",""Table 5: Risk of bia"&amp;"s!V4:V175""), $A17=IMPORTRANGE(""https://docs.google.com/spreadsheets/d/1kGrh75X1cNR1D7_FcY9zMnHP8iPO4M5RCRjy6nZY0TY/edit#gid=1248694442"",""Table 5: Risk of bias!A4:A175"")))"),"Low")</f>
        <v>Low</v>
      </c>
      <c r="H17" s="4" t="str">
        <f>IFERROR(__xludf.DUMMYFUNCTION("IFS($B17=""ROBINS I"",FILTER(IMPORTRANGE(""https://docs.google.com/spreadsheets/d/1kGrh75X1cNR1D7_FcY9zMnHP8iPO4M5RCRjy6nZY0TY/edit#gid=1248694442"",""Table 5: Risk of bias!O4:O175""), $A17=IMPORTRANGE(""https://docs.google.com/spreadsheets/d/1kGrh75X1cNR"&amp;"1D7_FcY9zMnHP8iPO4M5RCRjy6nZY0TY/edit#gid=1248694442"",""Table 5: Risk of bias!A4:A175"")),$B17=""RoB 2"",FILTER(IMPORTRANGE(""https://docs.google.com/spreadsheets/d/1kGrh75X1cNR1D7_FcY9zMnHP8iPO4M5RCRjy6nZY0TY/edit#gid=1248694442"",""Table 5: Risk of bia"&amp;"s!W4:W175""), $A17=IMPORTRANGE(""https://docs.google.com/spreadsheets/d/1kGrh75X1cNR1D7_FcY9zMnHP8iPO4M5RCRjy6nZY0TY/edit#gid=1248694442"",""Table 5: Risk of bias!A4:A175"")))"),"Low")</f>
        <v>Low</v>
      </c>
      <c r="I17" s="4" t="str">
        <f>IFERROR(__xludf.DUMMYFUNCTION("FILTER(IMPORTRANGE(""https://docs.google.com/spreadsheets/d/1kGrh75X1cNR1D7_FcY9zMnHP8iPO4M5RCRjy6nZY0TY/edit#gid=1248694442"",""Table 5: Risk of bias!P4:P175""), $A17=IMPORTRANGE(""https://docs.google.com/spreadsheets/d/1kGrh75X1cNR1D7_FcY9zMnHP8iPO4M5RC"&amp;"Rjy6nZY0TY/edit#gid=1248694442"",""Table 5: Risk of bias!A4:A175""))"),"Low")</f>
        <v>Low</v>
      </c>
      <c r="J17" s="4" t="str">
        <f>IFERROR(__xludf.DUMMYFUNCTION("FILTER(IMPORTRANGE(""https://docs.google.com/spreadsheets/d/1kGrh75X1cNR1D7_FcY9zMnHP8iPO4M5RCRjy6nZY0TY/edit#gid=1248694442"",""Table 5: Risk of bias!Q4:Q175""), $A17=IMPORTRANGE(""https://docs.google.com/spreadsheets/d/1kGrh75X1cNR1D7_FcY9zMnHP8iPO4M5RC"&amp;"Rjy6nZY0TY/edit#gid=1248694442"",""Table 5: Risk of bias!A4:A175""))"),"Moderate")</f>
        <v>Moderate</v>
      </c>
    </row>
    <row r="18">
      <c r="A18" s="4" t="str">
        <f>IFERROR(__xludf.DUMMYFUNCTION("""COMPUTED_VALUE"""),"ID 28")</f>
        <v>ID 28</v>
      </c>
      <c r="B18" s="4" t="str">
        <f>IFERROR(__xludf.DUMMYFUNCTION("FILTER(IMPORTRANGE(""https://docs.google.com/spreadsheets/d/1kGrh75X1cNR1D7_FcY9zMnHP8iPO4M5RCRjy6nZY0TY/edit#gid=1248694442"",""Table 5: Risk of bias!D4:D175""), $A18=IMPORTRANGE(""https://docs.google.com/spreadsheets/d/1kGrh75X1cNR1D7_FcY9zMnHP8iPO4M5RC"&amp;"Rjy6nZY0TY/edit#gid=1248694442"",""Table 5: Risk of bias!A4:A175""))"),"ROBINS I")</f>
        <v>ROBINS I</v>
      </c>
      <c r="C18" s="4" t="str">
        <f>IFERROR(__xludf.DUMMYFUNCTION("IFS(
$B18=""ROBINS I"", FILTER(IMPORTRANGE(""https://docs.google.com/spreadsheets/d/1kGrh75X1cNR1D7_FcY9zMnHP8iPO4M5RCRjy6nZY0TY/edit#gid=1248694442"",""Table 5: Risk of bias!J4:J175""),  $A18=IMPORTRANGE(""https://docs.google.com/spreadsheets/d/1kGrh75X1"&amp;"cNR1D7_FcY9zMnHP8iPO4M5RCRjy6nZY0TY/edit#gid=1248694442"",""Table 5: Risk of bias!A4:A175"")),
$B18=""RoB 2"", FILTER(IMPORTRANGE(""https://docs.google.com/spreadsheets/d/1kGrh75X1cNR1D7_FcY9zMnHP8iPO4M5RCRjy6nZY0TY/edit#gid=1248694442"",""Table 5: Risk o"&amp;"f bias!R4:R175""), $A18=IMPORTRANGE(""https://docs.google.com/spreadsheets/d/1kGrh75X1cNR1D7_FcY9zMnHP8iPO4M5RCRjy6nZY0TY/edit#gid=1248694442"",""Table 5: Risk of bias!A4:A175""))
)"),"Critical")</f>
        <v>Critical</v>
      </c>
      <c r="D18" s="4" t="str">
        <f>IFERROR(__xludf.DUMMYFUNCTION("IFS($B18=""ROBINS I"",FILTER(IMPORTRANGE(""https://docs.google.com/spreadsheets/d/1kGrh75X1cNR1D7_FcY9zMnHP8iPO4M5RCRjy6nZY0TY/edit#gid=1248694442"",""Table 5: Risk of bias!K4:K175""), $A18=IMPORTRANGE(""https://docs.google.com/spreadsheets/d/1kGrh75X1cNR"&amp;"1D7_FcY9zMnHP8iPO4M5RCRjy6nZY0TY/edit#gid=1248694442"",""Table 5: Risk of bias!A4:A175"")),$B18=""RoB 2"",FILTER(IMPORTRANGE(""https://docs.google.com/spreadsheets/d/1kGrh75X1cNR1D7_FcY9zMnHP8iPO4M5RCRjy6nZY0TY/edit#gid=1248694442"",""Table 5: Risk of bia"&amp;"s!S4:S175""), $A18=IMPORTRANGE(""https://docs.google.com/spreadsheets/d/1kGrh75X1cNR1D7_FcY9zMnHP8iPO4M5RCRjy6nZY0TY/edit#gid=1248694442"",""Table 5: Risk of bias!A4:A175"")))"),"Critical")</f>
        <v>Critical</v>
      </c>
      <c r="E18" s="4" t="str">
        <f>IFERROR(__xludf.DUMMYFUNCTION("IFS($B18=""ROBINS I"",FILTER(IMPORTRANGE(""https://docs.google.com/spreadsheets/d/1kGrh75X1cNR1D7_FcY9zMnHP8iPO4M5RCRjy6nZY0TY/edit#gid=1248694442"",""Table 5: Risk of bias!L4:L175""), $A18=IMPORTRANGE(""https://docs.google.com/spreadsheets/d/1kGrh75X1cNR"&amp;"1D7_FcY9zMnHP8iPO4M5RCRjy6nZY0TY/edit#gid=1248694442"",""Table 5: Risk of bias!A4:A175"")),$B18=""RoB 2"",FILTER(IMPORTRANGE(""https://docs.google.com/spreadsheets/d/1kGrh75X1cNR1D7_FcY9zMnHP8iPO4M5RCRjy6nZY0TY/edit#gid=1248694442"",""Table 5: Risk of bia"&amp;"s!T4:T175""), $A18=IMPORTRANGE(""https://docs.google.com/spreadsheets/d/1kGrh75X1cNR1D7_FcY9zMnHP8iPO4M5RCRjy6nZY0TY/edit#gid=1248694442"",""Table 5: Risk of bias!A4:A175"")))"),"Low")</f>
        <v>Low</v>
      </c>
      <c r="F18" s="4" t="str">
        <f>IFERROR(__xludf.DUMMYFUNCTION("IFS($B18=""ROBINS I"",FILTER(IMPORTRANGE(""https://docs.google.com/spreadsheets/d/1kGrh75X1cNR1D7_FcY9zMnHP8iPO4M5RCRjy6nZY0TY/edit#gid=1248694442"",""Table 5: Risk of bias!M4:M175""), $A18=IMPORTRANGE(""https://docs.google.com/spreadsheets/d/1kGrh75X1cNR"&amp;"1D7_FcY9zMnHP8iPO4M5RCRjy6nZY0TY/edit#gid=1248694442"",""Table 5: Risk of bias!A4:A175"")),$B18=""RoB 2"",FILTER(IMPORTRANGE(""https://docs.google.com/spreadsheets/d/1kGrh75X1cNR1D7_FcY9zMnHP8iPO4M5RCRjy6nZY0TY/edit#gid=1248694442"",""Table 5: Risk of bia"&amp;"s!U4:U175""), $A18=IMPORTRANGE(""https://docs.google.com/spreadsheets/d/1kGrh75X1cNR1D7_FcY9zMnHP8iPO4M5RCRjy6nZY0TY/edit#gid=1248694442"",""Table 5: Risk of bias!A4:A175"")))"),"Moderate")</f>
        <v>Moderate</v>
      </c>
      <c r="G18" s="4" t="str">
        <f>IFERROR(__xludf.DUMMYFUNCTION("IFS($B18=""ROBINS I"",FILTER(IMPORTRANGE(""https://docs.google.com/spreadsheets/d/1kGrh75X1cNR1D7_FcY9zMnHP8iPO4M5RCRjy6nZY0TY/edit#gid=1248694442"",""Table 5: Risk of bias!N4:N175""), $A18=IMPORTRANGE(""https://docs.google.com/spreadsheets/d/1kGrh75X1cNR"&amp;"1D7_FcY9zMnHP8iPO4M5RCRjy6nZY0TY/edit#gid=1248694442"",""Table 5: Risk of bias!A4:A175"")),$B18=""RoB 2"",FILTER(IMPORTRANGE(""https://docs.google.com/spreadsheets/d/1kGrh75X1cNR1D7_FcY9zMnHP8iPO4M5RCRjy6nZY0TY/edit#gid=1248694442"",""Table 5: Risk of bia"&amp;"s!V4:V175""), $A18=IMPORTRANGE(""https://docs.google.com/spreadsheets/d/1kGrh75X1cNR1D7_FcY9zMnHP8iPO4M5RCRjy6nZY0TY/edit#gid=1248694442"",""Table 5: Risk of bias!A4:A175"")))"),"Low")</f>
        <v>Low</v>
      </c>
      <c r="H18" s="4" t="str">
        <f>IFERROR(__xludf.DUMMYFUNCTION("IFS($B18=""ROBINS I"",FILTER(IMPORTRANGE(""https://docs.google.com/spreadsheets/d/1kGrh75X1cNR1D7_FcY9zMnHP8iPO4M5RCRjy6nZY0TY/edit#gid=1248694442"",""Table 5: Risk of bias!O4:O175""), $A18=IMPORTRANGE(""https://docs.google.com/spreadsheets/d/1kGrh75X1cNR"&amp;"1D7_FcY9zMnHP8iPO4M5RCRjy6nZY0TY/edit#gid=1248694442"",""Table 5: Risk of bias!A4:A175"")),$B18=""RoB 2"",FILTER(IMPORTRANGE(""https://docs.google.com/spreadsheets/d/1kGrh75X1cNR1D7_FcY9zMnHP8iPO4M5RCRjy6nZY0TY/edit#gid=1248694442"",""Table 5: Risk of bia"&amp;"s!W4:W175""), $A18=IMPORTRANGE(""https://docs.google.com/spreadsheets/d/1kGrh75X1cNR1D7_FcY9zMnHP8iPO4M5RCRjy6nZY0TY/edit#gid=1248694442"",""Table 5: Risk of bias!A4:A175"")))"),"Low")</f>
        <v>Low</v>
      </c>
      <c r="I18" s="4" t="str">
        <f>IFERROR(__xludf.DUMMYFUNCTION("FILTER(IMPORTRANGE(""https://docs.google.com/spreadsheets/d/1kGrh75X1cNR1D7_FcY9zMnHP8iPO4M5RCRjy6nZY0TY/edit#gid=1248694442"",""Table 5: Risk of bias!P4:P175""), $A18=IMPORTRANGE(""https://docs.google.com/spreadsheets/d/1kGrh75X1cNR1D7_FcY9zMnHP8iPO4M5RC"&amp;"Rjy6nZY0TY/edit#gid=1248694442"",""Table 5: Risk of bias!A4:A175""))"),"Serious")</f>
        <v>Serious</v>
      </c>
      <c r="J18" s="4" t="str">
        <f>IFERROR(__xludf.DUMMYFUNCTION("FILTER(IMPORTRANGE(""https://docs.google.com/spreadsheets/d/1kGrh75X1cNR1D7_FcY9zMnHP8iPO4M5RCRjy6nZY0TY/edit#gid=1248694442"",""Table 5: Risk of bias!Q4:Q175""), $A18=IMPORTRANGE(""https://docs.google.com/spreadsheets/d/1kGrh75X1cNR1D7_FcY9zMnHP8iPO4M5RC"&amp;"Rjy6nZY0TY/edit#gid=1248694442"",""Table 5: Risk of bias!A4:A175""))"),"Serious")</f>
        <v>Serious</v>
      </c>
    </row>
    <row r="19">
      <c r="A19" s="4" t="str">
        <f>IFERROR(__xludf.DUMMYFUNCTION("""COMPUTED_VALUE"""),"ID 31")</f>
        <v>ID 31</v>
      </c>
      <c r="B19" s="4" t="str">
        <f>IFERROR(__xludf.DUMMYFUNCTION("FILTER(IMPORTRANGE(""https://docs.google.com/spreadsheets/d/1kGrh75X1cNR1D7_FcY9zMnHP8iPO4M5RCRjy6nZY0TY/edit#gid=1248694442"",""Table 5: Risk of bias!D4:D175""), $A19=IMPORTRANGE(""https://docs.google.com/spreadsheets/d/1kGrh75X1cNR1D7_FcY9zMnHP8iPO4M5RC"&amp;"Rjy6nZY0TY/edit#gid=1248694442"",""Table 5: Risk of bias!A4:A175""))"),"ROBINS I")</f>
        <v>ROBINS I</v>
      </c>
      <c r="C19" s="4" t="str">
        <f>IFERROR(__xludf.DUMMYFUNCTION("IFS(
$B19=""ROBINS I"", FILTER(IMPORTRANGE(""https://docs.google.com/spreadsheets/d/1kGrh75X1cNR1D7_FcY9zMnHP8iPO4M5RCRjy6nZY0TY/edit#gid=1248694442"",""Table 5: Risk of bias!J4:J175""),  $A19=IMPORTRANGE(""https://docs.google.com/spreadsheets/d/1kGrh75X1"&amp;"cNR1D7_FcY9zMnHP8iPO4M5RCRjy6nZY0TY/edit#gid=1248694442"",""Table 5: Risk of bias!A4:A175"")),
$B19=""RoB 2"", FILTER(IMPORTRANGE(""https://docs.google.com/spreadsheets/d/1kGrh75X1cNR1D7_FcY9zMnHP8iPO4M5RCRjy6nZY0TY/edit#gid=1248694442"",""Table 5: Risk o"&amp;"f bias!R4:R175""), $A19=IMPORTRANGE(""https://docs.google.com/spreadsheets/d/1kGrh75X1cNR1D7_FcY9zMnHP8iPO4M5RCRjy6nZY0TY/edit#gid=1248694442"",""Table 5: Risk of bias!A4:A175""))
)"),"Moderate")</f>
        <v>Moderate</v>
      </c>
      <c r="D19" s="4" t="str">
        <f>IFERROR(__xludf.DUMMYFUNCTION("IFS($B19=""ROBINS I"",FILTER(IMPORTRANGE(""https://docs.google.com/spreadsheets/d/1kGrh75X1cNR1D7_FcY9zMnHP8iPO4M5RCRjy6nZY0TY/edit#gid=1248694442"",""Table 5: Risk of bias!K4:K175""), $A19=IMPORTRANGE(""https://docs.google.com/spreadsheets/d/1kGrh75X1cNR"&amp;"1D7_FcY9zMnHP8iPO4M5RCRjy6nZY0TY/edit#gid=1248694442"",""Table 5: Risk of bias!A4:A175"")),$B19=""RoB 2"",FILTER(IMPORTRANGE(""https://docs.google.com/spreadsheets/d/1kGrh75X1cNR1D7_FcY9zMnHP8iPO4M5RCRjy6nZY0TY/edit#gid=1248694442"",""Table 5: Risk of bia"&amp;"s!S4:S175""), $A19=IMPORTRANGE(""https://docs.google.com/spreadsheets/d/1kGrh75X1cNR1D7_FcY9zMnHP8iPO4M5RCRjy6nZY0TY/edit#gid=1248694442"",""Table 5: Risk of bias!A4:A175"")))"),"Low")</f>
        <v>Low</v>
      </c>
      <c r="E19" s="4" t="str">
        <f>IFERROR(__xludf.DUMMYFUNCTION("IFS($B19=""ROBINS I"",FILTER(IMPORTRANGE(""https://docs.google.com/spreadsheets/d/1kGrh75X1cNR1D7_FcY9zMnHP8iPO4M5RCRjy6nZY0TY/edit#gid=1248694442"",""Table 5: Risk of bias!L4:L175""), $A19=IMPORTRANGE(""https://docs.google.com/spreadsheets/d/1kGrh75X1cNR"&amp;"1D7_FcY9zMnHP8iPO4M5RCRjy6nZY0TY/edit#gid=1248694442"",""Table 5: Risk of bias!A4:A175"")),$B19=""RoB 2"",FILTER(IMPORTRANGE(""https://docs.google.com/spreadsheets/d/1kGrh75X1cNR1D7_FcY9zMnHP8iPO4M5RCRjy6nZY0TY/edit#gid=1248694442"",""Table 5: Risk of bia"&amp;"s!T4:T175""), $A19=IMPORTRANGE(""https://docs.google.com/spreadsheets/d/1kGrh75X1cNR1D7_FcY9zMnHP8iPO4M5RCRjy6nZY0TY/edit#gid=1248694442"",""Table 5: Risk of bias!A4:A175"")))"),"Low")</f>
        <v>Low</v>
      </c>
      <c r="F19" s="4" t="str">
        <f>IFERROR(__xludf.DUMMYFUNCTION("IFS($B19=""ROBINS I"",FILTER(IMPORTRANGE(""https://docs.google.com/spreadsheets/d/1kGrh75X1cNR1D7_FcY9zMnHP8iPO4M5RCRjy6nZY0TY/edit#gid=1248694442"",""Table 5: Risk of bias!M4:M175""), $A19=IMPORTRANGE(""https://docs.google.com/spreadsheets/d/1kGrh75X1cNR"&amp;"1D7_FcY9zMnHP8iPO4M5RCRjy6nZY0TY/edit#gid=1248694442"",""Table 5: Risk of bias!A4:A175"")),$B19=""RoB 2"",FILTER(IMPORTRANGE(""https://docs.google.com/spreadsheets/d/1kGrh75X1cNR1D7_FcY9zMnHP8iPO4M5RCRjy6nZY0TY/edit#gid=1248694442"",""Table 5: Risk of bia"&amp;"s!U4:U175""), $A19=IMPORTRANGE(""https://docs.google.com/spreadsheets/d/1kGrh75X1cNR1D7_FcY9zMnHP8iPO4M5RCRjy6nZY0TY/edit#gid=1248694442"",""Table 5: Risk of bias!A4:A175"")))"),"Low")</f>
        <v>Low</v>
      </c>
      <c r="G19" s="4" t="str">
        <f>IFERROR(__xludf.DUMMYFUNCTION("IFS($B19=""ROBINS I"",FILTER(IMPORTRANGE(""https://docs.google.com/spreadsheets/d/1kGrh75X1cNR1D7_FcY9zMnHP8iPO4M5RCRjy6nZY0TY/edit#gid=1248694442"",""Table 5: Risk of bias!N4:N175""), $A19=IMPORTRANGE(""https://docs.google.com/spreadsheets/d/1kGrh75X1cNR"&amp;"1D7_FcY9zMnHP8iPO4M5RCRjy6nZY0TY/edit#gid=1248694442"",""Table 5: Risk of bias!A4:A175"")),$B19=""RoB 2"",FILTER(IMPORTRANGE(""https://docs.google.com/spreadsheets/d/1kGrh75X1cNR1D7_FcY9zMnHP8iPO4M5RCRjy6nZY0TY/edit#gid=1248694442"",""Table 5: Risk of bia"&amp;"s!V4:V175""), $A19=IMPORTRANGE(""https://docs.google.com/spreadsheets/d/1kGrh75X1cNR1D7_FcY9zMnHP8iPO4M5RCRjy6nZY0TY/edit#gid=1248694442"",""Table 5: Risk of bias!A4:A175"")))"),"Low")</f>
        <v>Low</v>
      </c>
      <c r="H19" s="4" t="str">
        <f>IFERROR(__xludf.DUMMYFUNCTION("IFS($B19=""ROBINS I"",FILTER(IMPORTRANGE(""https://docs.google.com/spreadsheets/d/1kGrh75X1cNR1D7_FcY9zMnHP8iPO4M5RCRjy6nZY0TY/edit#gid=1248694442"",""Table 5: Risk of bias!O4:O175""), $A19=IMPORTRANGE(""https://docs.google.com/spreadsheets/d/1kGrh75X1cNR"&amp;"1D7_FcY9zMnHP8iPO4M5RCRjy6nZY0TY/edit#gid=1248694442"",""Table 5: Risk of bias!A4:A175"")),$B19=""RoB 2"",FILTER(IMPORTRANGE(""https://docs.google.com/spreadsheets/d/1kGrh75X1cNR1D7_FcY9zMnHP8iPO4M5RCRjy6nZY0TY/edit#gid=1248694442"",""Table 5: Risk of bia"&amp;"s!W4:W175""), $A19=IMPORTRANGE(""https://docs.google.com/spreadsheets/d/1kGrh75X1cNR1D7_FcY9zMnHP8iPO4M5RCRjy6nZY0TY/edit#gid=1248694442"",""Table 5: Risk of bias!A4:A175"")))"),"Low")</f>
        <v>Low</v>
      </c>
      <c r="I19" s="4" t="str">
        <f>IFERROR(__xludf.DUMMYFUNCTION("FILTER(IMPORTRANGE(""https://docs.google.com/spreadsheets/d/1kGrh75X1cNR1D7_FcY9zMnHP8iPO4M5RCRjy6nZY0TY/edit#gid=1248694442"",""Table 5: Risk of bias!P4:P175""), $A19=IMPORTRANGE(""https://docs.google.com/spreadsheets/d/1kGrh75X1cNR1D7_FcY9zMnHP8iPO4M5RC"&amp;"Rjy6nZY0TY/edit#gid=1248694442"",""Table 5: Risk of bias!A4:A175""))"),"Moderate")</f>
        <v>Moderate</v>
      </c>
      <c r="J19" s="4" t="str">
        <f>IFERROR(__xludf.DUMMYFUNCTION("FILTER(IMPORTRANGE(""https://docs.google.com/spreadsheets/d/1kGrh75X1cNR1D7_FcY9zMnHP8iPO4M5RCRjy6nZY0TY/edit#gid=1248694442"",""Table 5: Risk of bias!Q4:Q175""), $A19=IMPORTRANGE(""https://docs.google.com/spreadsheets/d/1kGrh75X1cNR1D7_FcY9zMnHP8iPO4M5RC"&amp;"Rjy6nZY0TY/edit#gid=1248694442"",""Table 5: Risk of bias!A4:A175""))"),"Low")</f>
        <v>Low</v>
      </c>
    </row>
    <row r="20">
      <c r="A20" s="4" t="str">
        <f>IFERROR(__xludf.DUMMYFUNCTION("""COMPUTED_VALUE"""),"ID 32")</f>
        <v>ID 32</v>
      </c>
      <c r="B20" s="4" t="str">
        <f>IFERROR(__xludf.DUMMYFUNCTION("FILTER(IMPORTRANGE(""https://docs.google.com/spreadsheets/d/1kGrh75X1cNR1D7_FcY9zMnHP8iPO4M5RCRjy6nZY0TY/edit#gid=1248694442"",""Table 5: Risk of bias!D4:D175""), $A20=IMPORTRANGE(""https://docs.google.com/spreadsheets/d/1kGrh75X1cNR1D7_FcY9zMnHP8iPO4M5RC"&amp;"Rjy6nZY0TY/edit#gid=1248694442"",""Table 5: Risk of bias!A4:A175""))"),"ROBINS I")</f>
        <v>ROBINS I</v>
      </c>
      <c r="C20" s="4" t="str">
        <f>IFERROR(__xludf.DUMMYFUNCTION("IFS(
$B20=""ROBINS I"", FILTER(IMPORTRANGE(""https://docs.google.com/spreadsheets/d/1kGrh75X1cNR1D7_FcY9zMnHP8iPO4M5RCRjy6nZY0TY/edit#gid=1248694442"",""Table 5: Risk of bias!J4:J175""),  $A20=IMPORTRANGE(""https://docs.google.com/spreadsheets/d/1kGrh75X1"&amp;"cNR1D7_FcY9zMnHP8iPO4M5RCRjy6nZY0TY/edit#gid=1248694442"",""Table 5: Risk of bias!A4:A175"")),
$B20=""RoB 2"", FILTER(IMPORTRANGE(""https://docs.google.com/spreadsheets/d/1kGrh75X1cNR1D7_FcY9zMnHP8iPO4M5RCRjy6nZY0TY/edit#gid=1248694442"",""Table 5: Risk o"&amp;"f bias!R4:R175""), $A20=IMPORTRANGE(""https://docs.google.com/spreadsheets/d/1kGrh75X1cNR1D7_FcY9zMnHP8iPO4M5RCRjy6nZY0TY/edit#gid=1248694442"",""Table 5: Risk of bias!A4:A175""))
)"),"Moderate")</f>
        <v>Moderate</v>
      </c>
      <c r="D20" s="4" t="str">
        <f>IFERROR(__xludf.DUMMYFUNCTION("IFS($B20=""ROBINS I"",FILTER(IMPORTRANGE(""https://docs.google.com/spreadsheets/d/1kGrh75X1cNR1D7_FcY9zMnHP8iPO4M5RCRjy6nZY0TY/edit#gid=1248694442"",""Table 5: Risk of bias!K4:K175""), $A20=IMPORTRANGE(""https://docs.google.com/spreadsheets/d/1kGrh75X1cNR"&amp;"1D7_FcY9zMnHP8iPO4M5RCRjy6nZY0TY/edit#gid=1248694442"",""Table 5: Risk of bias!A4:A175"")),$B20=""RoB 2"",FILTER(IMPORTRANGE(""https://docs.google.com/spreadsheets/d/1kGrh75X1cNR1D7_FcY9zMnHP8iPO4M5RCRjy6nZY0TY/edit#gid=1248694442"",""Table 5: Risk of bia"&amp;"s!S4:S175""), $A20=IMPORTRANGE(""https://docs.google.com/spreadsheets/d/1kGrh75X1cNR1D7_FcY9zMnHP8iPO4M5RCRjy6nZY0TY/edit#gid=1248694442"",""Table 5: Risk of bias!A4:A175"")))"),"Low")</f>
        <v>Low</v>
      </c>
      <c r="E20" s="4" t="str">
        <f>IFERROR(__xludf.DUMMYFUNCTION("IFS($B20=""ROBINS I"",FILTER(IMPORTRANGE(""https://docs.google.com/spreadsheets/d/1kGrh75X1cNR1D7_FcY9zMnHP8iPO4M5RCRjy6nZY0TY/edit#gid=1248694442"",""Table 5: Risk of bias!L4:L175""), $A20=IMPORTRANGE(""https://docs.google.com/spreadsheets/d/1kGrh75X1cNR"&amp;"1D7_FcY9zMnHP8iPO4M5RCRjy6nZY0TY/edit#gid=1248694442"",""Table 5: Risk of bias!A4:A175"")),$B20=""RoB 2"",FILTER(IMPORTRANGE(""https://docs.google.com/spreadsheets/d/1kGrh75X1cNR1D7_FcY9zMnHP8iPO4M5RCRjy6nZY0TY/edit#gid=1248694442"",""Table 5: Risk of bia"&amp;"s!T4:T175""), $A20=IMPORTRANGE(""https://docs.google.com/spreadsheets/d/1kGrh75X1cNR1D7_FcY9zMnHP8iPO4M5RCRjy6nZY0TY/edit#gid=1248694442"",""Table 5: Risk of bias!A4:A175"")))"),"Low")</f>
        <v>Low</v>
      </c>
      <c r="F20" s="4" t="str">
        <f>IFERROR(__xludf.DUMMYFUNCTION("IFS($B20=""ROBINS I"",FILTER(IMPORTRANGE(""https://docs.google.com/spreadsheets/d/1kGrh75X1cNR1D7_FcY9zMnHP8iPO4M5RCRjy6nZY0TY/edit#gid=1248694442"",""Table 5: Risk of bias!M4:M175""), $A20=IMPORTRANGE(""https://docs.google.com/spreadsheets/d/1kGrh75X1cNR"&amp;"1D7_FcY9zMnHP8iPO4M5RCRjy6nZY0TY/edit#gid=1248694442"",""Table 5: Risk of bias!A4:A175"")),$B20=""RoB 2"",FILTER(IMPORTRANGE(""https://docs.google.com/spreadsheets/d/1kGrh75X1cNR1D7_FcY9zMnHP8iPO4M5RCRjy6nZY0TY/edit#gid=1248694442"",""Table 5: Risk of bia"&amp;"s!U4:U175""), $A20=IMPORTRANGE(""https://docs.google.com/spreadsheets/d/1kGrh75X1cNR1D7_FcY9zMnHP8iPO4M5RCRjy6nZY0TY/edit#gid=1248694442"",""Table 5: Risk of bias!A4:A175"")))"),"Low")</f>
        <v>Low</v>
      </c>
      <c r="G20" s="4" t="str">
        <f>IFERROR(__xludf.DUMMYFUNCTION("IFS($B20=""ROBINS I"",FILTER(IMPORTRANGE(""https://docs.google.com/spreadsheets/d/1kGrh75X1cNR1D7_FcY9zMnHP8iPO4M5RCRjy6nZY0TY/edit#gid=1248694442"",""Table 5: Risk of bias!N4:N175""), $A20=IMPORTRANGE(""https://docs.google.com/spreadsheets/d/1kGrh75X1cNR"&amp;"1D7_FcY9zMnHP8iPO4M5RCRjy6nZY0TY/edit#gid=1248694442"",""Table 5: Risk of bias!A4:A175"")),$B20=""RoB 2"",FILTER(IMPORTRANGE(""https://docs.google.com/spreadsheets/d/1kGrh75X1cNR1D7_FcY9zMnHP8iPO4M5RCRjy6nZY0TY/edit#gid=1248694442"",""Table 5: Risk of bia"&amp;"s!V4:V175""), $A20=IMPORTRANGE(""https://docs.google.com/spreadsheets/d/1kGrh75X1cNR1D7_FcY9zMnHP8iPO4M5RCRjy6nZY0TY/edit#gid=1248694442"",""Table 5: Risk of bias!A4:A175"")))"),"Low")</f>
        <v>Low</v>
      </c>
      <c r="H20" s="4" t="str">
        <f>IFERROR(__xludf.DUMMYFUNCTION("IFS($B20=""ROBINS I"",FILTER(IMPORTRANGE(""https://docs.google.com/spreadsheets/d/1kGrh75X1cNR1D7_FcY9zMnHP8iPO4M5RCRjy6nZY0TY/edit#gid=1248694442"",""Table 5: Risk of bias!O4:O175""), $A20=IMPORTRANGE(""https://docs.google.com/spreadsheets/d/1kGrh75X1cNR"&amp;"1D7_FcY9zMnHP8iPO4M5RCRjy6nZY0TY/edit#gid=1248694442"",""Table 5: Risk of bias!A4:A175"")),$B20=""RoB 2"",FILTER(IMPORTRANGE(""https://docs.google.com/spreadsheets/d/1kGrh75X1cNR1D7_FcY9zMnHP8iPO4M5RCRjy6nZY0TY/edit#gid=1248694442"",""Table 5: Risk of bia"&amp;"s!W4:W175""), $A20=IMPORTRANGE(""https://docs.google.com/spreadsheets/d/1kGrh75X1cNR1D7_FcY9zMnHP8iPO4M5RCRjy6nZY0TY/edit#gid=1248694442"",""Table 5: Risk of bias!A4:A175"")))"),"Low")</f>
        <v>Low</v>
      </c>
      <c r="I20" s="4" t="str">
        <f>IFERROR(__xludf.DUMMYFUNCTION("FILTER(IMPORTRANGE(""https://docs.google.com/spreadsheets/d/1kGrh75X1cNR1D7_FcY9zMnHP8iPO4M5RCRjy6nZY0TY/edit#gid=1248694442"",""Table 5: Risk of bias!P4:P175""), $A20=IMPORTRANGE(""https://docs.google.com/spreadsheets/d/1kGrh75X1cNR1D7_FcY9zMnHP8iPO4M5RC"&amp;"Rjy6nZY0TY/edit#gid=1248694442"",""Table 5: Risk of bias!A4:A175""))"),"Moderate")</f>
        <v>Moderate</v>
      </c>
      <c r="J20" s="4" t="str">
        <f>IFERROR(__xludf.DUMMYFUNCTION("FILTER(IMPORTRANGE(""https://docs.google.com/spreadsheets/d/1kGrh75X1cNR1D7_FcY9zMnHP8iPO4M5RCRjy6nZY0TY/edit#gid=1248694442"",""Table 5: Risk of bias!Q4:Q175""), $A20=IMPORTRANGE(""https://docs.google.com/spreadsheets/d/1kGrh75X1cNR1D7_FcY9zMnHP8iPO4M5RC"&amp;"Rjy6nZY0TY/edit#gid=1248694442"",""Table 5: Risk of bias!A4:A175""))"),"Low")</f>
        <v>Low</v>
      </c>
    </row>
    <row r="21">
      <c r="A21" s="4" t="str">
        <f>IFERROR(__xludf.DUMMYFUNCTION("""COMPUTED_VALUE"""),"ID 35")</f>
        <v>ID 35</v>
      </c>
      <c r="B21" s="4" t="str">
        <f>IFERROR(__xludf.DUMMYFUNCTION("FILTER(IMPORTRANGE(""https://docs.google.com/spreadsheets/d/1kGrh75X1cNR1D7_FcY9zMnHP8iPO4M5RCRjy6nZY0TY/edit#gid=1248694442"",""Table 5: Risk of bias!D4:D175""), $A21=IMPORTRANGE(""https://docs.google.com/spreadsheets/d/1kGrh75X1cNR1D7_FcY9zMnHP8iPO4M5RC"&amp;"Rjy6nZY0TY/edit#gid=1248694442"",""Table 5: Risk of bias!A4:A175""))"),"ROBINS I")</f>
        <v>ROBINS I</v>
      </c>
      <c r="C21" s="4" t="str">
        <f>IFERROR(__xludf.DUMMYFUNCTION("IFS(
$B21=""ROBINS I"", FILTER(IMPORTRANGE(""https://docs.google.com/spreadsheets/d/1kGrh75X1cNR1D7_FcY9zMnHP8iPO4M5RCRjy6nZY0TY/edit#gid=1248694442"",""Table 5: Risk of bias!J4:J175""),  $A21=IMPORTRANGE(""https://docs.google.com/spreadsheets/d/1kGrh75X1"&amp;"cNR1D7_FcY9zMnHP8iPO4M5RCRjy6nZY0TY/edit#gid=1248694442"",""Table 5: Risk of bias!A4:A175"")),
$B21=""RoB 2"", FILTER(IMPORTRANGE(""https://docs.google.com/spreadsheets/d/1kGrh75X1cNR1D7_FcY9zMnHP8iPO4M5RCRjy6nZY0TY/edit#gid=1248694442"",""Table 5: Risk o"&amp;"f bias!R4:R175""), $A21=IMPORTRANGE(""https://docs.google.com/spreadsheets/d/1kGrh75X1cNR1D7_FcY9zMnHP8iPO4M5RCRjy6nZY0TY/edit#gid=1248694442"",""Table 5: Risk of bias!A4:A175""))
)"),"Moderate")</f>
        <v>Moderate</v>
      </c>
      <c r="D21" s="4" t="str">
        <f>IFERROR(__xludf.DUMMYFUNCTION("IFS($B21=""ROBINS I"",FILTER(IMPORTRANGE(""https://docs.google.com/spreadsheets/d/1kGrh75X1cNR1D7_FcY9zMnHP8iPO4M5RCRjy6nZY0TY/edit#gid=1248694442"",""Table 5: Risk of bias!K4:K175""), $A21=IMPORTRANGE(""https://docs.google.com/spreadsheets/d/1kGrh75X1cNR"&amp;"1D7_FcY9zMnHP8iPO4M5RCRjy6nZY0TY/edit#gid=1248694442"",""Table 5: Risk of bias!A4:A175"")),$B21=""RoB 2"",FILTER(IMPORTRANGE(""https://docs.google.com/spreadsheets/d/1kGrh75X1cNR1D7_FcY9zMnHP8iPO4M5RCRjy6nZY0TY/edit#gid=1248694442"",""Table 5: Risk of bia"&amp;"s!S4:S175""), $A21=IMPORTRANGE(""https://docs.google.com/spreadsheets/d/1kGrh75X1cNR1D7_FcY9zMnHP8iPO4M5RCRjy6nZY0TY/edit#gid=1248694442"",""Table 5: Risk of bias!A4:A175"")))"),"Moderate")</f>
        <v>Moderate</v>
      </c>
      <c r="E21" s="4" t="str">
        <f>IFERROR(__xludf.DUMMYFUNCTION("IFS($B21=""ROBINS I"",FILTER(IMPORTRANGE(""https://docs.google.com/spreadsheets/d/1kGrh75X1cNR1D7_FcY9zMnHP8iPO4M5RCRjy6nZY0TY/edit#gid=1248694442"",""Table 5: Risk of bias!L4:L175""), $A21=IMPORTRANGE(""https://docs.google.com/spreadsheets/d/1kGrh75X1cNR"&amp;"1D7_FcY9zMnHP8iPO4M5RCRjy6nZY0TY/edit#gid=1248694442"",""Table 5: Risk of bias!A4:A175"")),$B21=""RoB 2"",FILTER(IMPORTRANGE(""https://docs.google.com/spreadsheets/d/1kGrh75X1cNR1D7_FcY9zMnHP8iPO4M5RCRjy6nZY0TY/edit#gid=1248694442"",""Table 5: Risk of bia"&amp;"s!T4:T175""), $A21=IMPORTRANGE(""https://docs.google.com/spreadsheets/d/1kGrh75X1cNR1D7_FcY9zMnHP8iPO4M5RCRjy6nZY0TY/edit#gid=1248694442"",""Table 5: Risk of bias!A4:A175"")))"),"Moderate")</f>
        <v>Moderate</v>
      </c>
      <c r="F21" s="4" t="str">
        <f>IFERROR(__xludf.DUMMYFUNCTION("IFS($B21=""ROBINS I"",FILTER(IMPORTRANGE(""https://docs.google.com/spreadsheets/d/1kGrh75X1cNR1D7_FcY9zMnHP8iPO4M5RCRjy6nZY0TY/edit#gid=1248694442"",""Table 5: Risk of bias!M4:M175""), $A21=IMPORTRANGE(""https://docs.google.com/spreadsheets/d/1kGrh75X1cNR"&amp;"1D7_FcY9zMnHP8iPO4M5RCRjy6nZY0TY/edit#gid=1248694442"",""Table 5: Risk of bias!A4:A175"")),$B21=""RoB 2"",FILTER(IMPORTRANGE(""https://docs.google.com/spreadsheets/d/1kGrh75X1cNR1D7_FcY9zMnHP8iPO4M5RCRjy6nZY0TY/edit#gid=1248694442"",""Table 5: Risk of bia"&amp;"s!U4:U175""), $A21=IMPORTRANGE(""https://docs.google.com/spreadsheets/d/1kGrh75X1cNR1D7_FcY9zMnHP8iPO4M5RCRjy6nZY0TY/edit#gid=1248694442"",""Table 5: Risk of bias!A4:A175"")))"),"Low")</f>
        <v>Low</v>
      </c>
      <c r="G21" s="4" t="str">
        <f>IFERROR(__xludf.DUMMYFUNCTION("IFS($B21=""ROBINS I"",FILTER(IMPORTRANGE(""https://docs.google.com/spreadsheets/d/1kGrh75X1cNR1D7_FcY9zMnHP8iPO4M5RCRjy6nZY0TY/edit#gid=1248694442"",""Table 5: Risk of bias!N4:N175""), $A21=IMPORTRANGE(""https://docs.google.com/spreadsheets/d/1kGrh75X1cNR"&amp;"1D7_FcY9zMnHP8iPO4M5RCRjy6nZY0TY/edit#gid=1248694442"",""Table 5: Risk of bias!A4:A175"")),$B21=""RoB 2"",FILTER(IMPORTRANGE(""https://docs.google.com/spreadsheets/d/1kGrh75X1cNR1D7_FcY9zMnHP8iPO4M5RCRjy6nZY0TY/edit#gid=1248694442"",""Table 5: Risk of bia"&amp;"s!V4:V175""), $A21=IMPORTRANGE(""https://docs.google.com/spreadsheets/d/1kGrh75X1cNR1D7_FcY9zMnHP8iPO4M5RCRjy6nZY0TY/edit#gid=1248694442"",""Table 5: Risk of bias!A4:A175"")))"),"Low")</f>
        <v>Low</v>
      </c>
      <c r="H21" s="4" t="str">
        <f>IFERROR(__xludf.DUMMYFUNCTION("IFS($B21=""ROBINS I"",FILTER(IMPORTRANGE(""https://docs.google.com/spreadsheets/d/1kGrh75X1cNR1D7_FcY9zMnHP8iPO4M5RCRjy6nZY0TY/edit#gid=1248694442"",""Table 5: Risk of bias!O4:O175""), $A21=IMPORTRANGE(""https://docs.google.com/spreadsheets/d/1kGrh75X1cNR"&amp;"1D7_FcY9zMnHP8iPO4M5RCRjy6nZY0TY/edit#gid=1248694442"",""Table 5: Risk of bias!A4:A175"")),$B21=""RoB 2"",FILTER(IMPORTRANGE(""https://docs.google.com/spreadsheets/d/1kGrh75X1cNR1D7_FcY9zMnHP8iPO4M5RCRjy6nZY0TY/edit#gid=1248694442"",""Table 5: Risk of bia"&amp;"s!W4:W175""), $A21=IMPORTRANGE(""https://docs.google.com/spreadsheets/d/1kGrh75X1cNR1D7_FcY9zMnHP8iPO4M5RCRjy6nZY0TY/edit#gid=1248694442"",""Table 5: Risk of bias!A4:A175"")))"),"Low")</f>
        <v>Low</v>
      </c>
      <c r="I21" s="4" t="str">
        <f>IFERROR(__xludf.DUMMYFUNCTION("FILTER(IMPORTRANGE(""https://docs.google.com/spreadsheets/d/1kGrh75X1cNR1D7_FcY9zMnHP8iPO4M5RCRjy6nZY0TY/edit#gid=1248694442"",""Table 5: Risk of bias!P4:P175""), $A21=IMPORTRANGE(""https://docs.google.com/spreadsheets/d/1kGrh75X1cNR1D7_FcY9zMnHP8iPO4M5RC"&amp;"Rjy6nZY0TY/edit#gid=1248694442"",""Table 5: Risk of bias!A4:A175""))"),"Low")</f>
        <v>Low</v>
      </c>
      <c r="J21" s="4" t="str">
        <f>IFERROR(__xludf.DUMMYFUNCTION("FILTER(IMPORTRANGE(""https://docs.google.com/spreadsheets/d/1kGrh75X1cNR1D7_FcY9zMnHP8iPO4M5RCRjy6nZY0TY/edit#gid=1248694442"",""Table 5: Risk of bias!Q4:Q175""), $A21=IMPORTRANGE(""https://docs.google.com/spreadsheets/d/1kGrh75X1cNR1D7_FcY9zMnHP8iPO4M5RC"&amp;"Rjy6nZY0TY/edit#gid=1248694442"",""Table 5: Risk of bias!A4:A175""))"),"Low")</f>
        <v>Low</v>
      </c>
    </row>
    <row r="22">
      <c r="A22" s="4" t="str">
        <f>IFERROR(__xludf.DUMMYFUNCTION("""COMPUTED_VALUE"""),"ID 36")</f>
        <v>ID 36</v>
      </c>
      <c r="B22" s="4" t="str">
        <f>IFERROR(__xludf.DUMMYFUNCTION("FILTER(IMPORTRANGE(""https://docs.google.com/spreadsheets/d/1kGrh75X1cNR1D7_FcY9zMnHP8iPO4M5RCRjy6nZY0TY/edit#gid=1248694442"",""Table 5: Risk of bias!D4:D175""), $A22=IMPORTRANGE(""https://docs.google.com/spreadsheets/d/1kGrh75X1cNR1D7_FcY9zMnHP8iPO4M5RC"&amp;"Rjy6nZY0TY/edit#gid=1248694442"",""Table 5: Risk of bias!A4:A175""))"),"ROBINS I")</f>
        <v>ROBINS I</v>
      </c>
      <c r="C22" s="4" t="str">
        <f>IFERROR(__xludf.DUMMYFUNCTION("IFS(
$B22=""ROBINS I"", FILTER(IMPORTRANGE(""https://docs.google.com/spreadsheets/d/1kGrh75X1cNR1D7_FcY9zMnHP8iPO4M5RCRjy6nZY0TY/edit#gid=1248694442"",""Table 5: Risk of bias!J4:J175""),  $A22=IMPORTRANGE(""https://docs.google.com/spreadsheets/d/1kGrh75X1"&amp;"cNR1D7_FcY9zMnHP8iPO4M5RCRjy6nZY0TY/edit#gid=1248694442"",""Table 5: Risk of bias!A4:A175"")),
$B22=""RoB 2"", FILTER(IMPORTRANGE(""https://docs.google.com/spreadsheets/d/1kGrh75X1cNR1D7_FcY9zMnHP8iPO4M5RCRjy6nZY0TY/edit#gid=1248694442"",""Table 5: Risk o"&amp;"f bias!R4:R175""), $A22=IMPORTRANGE(""https://docs.google.com/spreadsheets/d/1kGrh75X1cNR1D7_FcY9zMnHP8iPO4M5RCRjy6nZY0TY/edit#gid=1248694442"",""Table 5: Risk of bias!A4:A175""))
)"),"Moderate")</f>
        <v>Moderate</v>
      </c>
      <c r="D22" s="4" t="str">
        <f>IFERROR(__xludf.DUMMYFUNCTION("IFS($B22=""ROBINS I"",FILTER(IMPORTRANGE(""https://docs.google.com/spreadsheets/d/1kGrh75X1cNR1D7_FcY9zMnHP8iPO4M5RCRjy6nZY0TY/edit#gid=1248694442"",""Table 5: Risk of bias!K4:K175""), $A22=IMPORTRANGE(""https://docs.google.com/spreadsheets/d/1kGrh75X1cNR"&amp;"1D7_FcY9zMnHP8iPO4M5RCRjy6nZY0TY/edit#gid=1248694442"",""Table 5: Risk of bias!A4:A175"")),$B22=""RoB 2"",FILTER(IMPORTRANGE(""https://docs.google.com/spreadsheets/d/1kGrh75X1cNR1D7_FcY9zMnHP8iPO4M5RCRjy6nZY0TY/edit#gid=1248694442"",""Table 5: Risk of bia"&amp;"s!S4:S175""), $A22=IMPORTRANGE(""https://docs.google.com/spreadsheets/d/1kGrh75X1cNR1D7_FcY9zMnHP8iPO4M5RCRjy6nZY0TY/edit#gid=1248694442"",""Table 5: Risk of bias!A4:A175"")))"),"Low")</f>
        <v>Low</v>
      </c>
      <c r="E22" s="4" t="str">
        <f>IFERROR(__xludf.DUMMYFUNCTION("IFS($B22=""ROBINS I"",FILTER(IMPORTRANGE(""https://docs.google.com/spreadsheets/d/1kGrh75X1cNR1D7_FcY9zMnHP8iPO4M5RCRjy6nZY0TY/edit#gid=1248694442"",""Table 5: Risk of bias!L4:L175""), $A22=IMPORTRANGE(""https://docs.google.com/spreadsheets/d/1kGrh75X1cNR"&amp;"1D7_FcY9zMnHP8iPO4M5RCRjy6nZY0TY/edit#gid=1248694442"",""Table 5: Risk of bias!A4:A175"")),$B22=""RoB 2"",FILTER(IMPORTRANGE(""https://docs.google.com/spreadsheets/d/1kGrh75X1cNR1D7_FcY9zMnHP8iPO4M5RCRjy6nZY0TY/edit#gid=1248694442"",""Table 5: Risk of bia"&amp;"s!T4:T175""), $A22=IMPORTRANGE(""https://docs.google.com/spreadsheets/d/1kGrh75X1cNR1D7_FcY9zMnHP8iPO4M5RCRjy6nZY0TY/edit#gid=1248694442"",""Table 5: Risk of bias!A4:A175"")))"),"Moderate")</f>
        <v>Moderate</v>
      </c>
      <c r="F22" s="4" t="str">
        <f>IFERROR(__xludf.DUMMYFUNCTION("IFS($B22=""ROBINS I"",FILTER(IMPORTRANGE(""https://docs.google.com/spreadsheets/d/1kGrh75X1cNR1D7_FcY9zMnHP8iPO4M5RCRjy6nZY0TY/edit#gid=1248694442"",""Table 5: Risk of bias!M4:M175""), $A22=IMPORTRANGE(""https://docs.google.com/spreadsheets/d/1kGrh75X1cNR"&amp;"1D7_FcY9zMnHP8iPO4M5RCRjy6nZY0TY/edit#gid=1248694442"",""Table 5: Risk of bias!A4:A175"")),$B22=""RoB 2"",FILTER(IMPORTRANGE(""https://docs.google.com/spreadsheets/d/1kGrh75X1cNR1D7_FcY9zMnHP8iPO4M5RCRjy6nZY0TY/edit#gid=1248694442"",""Table 5: Risk of bia"&amp;"s!U4:U175""), $A22=IMPORTRANGE(""https://docs.google.com/spreadsheets/d/1kGrh75X1cNR1D7_FcY9zMnHP8iPO4M5RCRjy6nZY0TY/edit#gid=1248694442"",""Table 5: Risk of bias!A4:A175"")))"),"Low")</f>
        <v>Low</v>
      </c>
      <c r="G22" s="4" t="str">
        <f>IFERROR(__xludf.DUMMYFUNCTION("IFS($B22=""ROBINS I"",FILTER(IMPORTRANGE(""https://docs.google.com/spreadsheets/d/1kGrh75X1cNR1D7_FcY9zMnHP8iPO4M5RCRjy6nZY0TY/edit#gid=1248694442"",""Table 5: Risk of bias!N4:N175""), $A22=IMPORTRANGE(""https://docs.google.com/spreadsheets/d/1kGrh75X1cNR"&amp;"1D7_FcY9zMnHP8iPO4M5RCRjy6nZY0TY/edit#gid=1248694442"",""Table 5: Risk of bias!A4:A175"")),$B22=""RoB 2"",FILTER(IMPORTRANGE(""https://docs.google.com/spreadsheets/d/1kGrh75X1cNR1D7_FcY9zMnHP8iPO4M5RCRjy6nZY0TY/edit#gid=1248694442"",""Table 5: Risk of bia"&amp;"s!V4:V175""), $A22=IMPORTRANGE(""https://docs.google.com/spreadsheets/d/1kGrh75X1cNR1D7_FcY9zMnHP8iPO4M5RCRjy6nZY0TY/edit#gid=1248694442"",""Table 5: Risk of bias!A4:A175"")))"),"Low")</f>
        <v>Low</v>
      </c>
      <c r="H22" s="4" t="str">
        <f>IFERROR(__xludf.DUMMYFUNCTION("IFS($B22=""ROBINS I"",FILTER(IMPORTRANGE(""https://docs.google.com/spreadsheets/d/1kGrh75X1cNR1D7_FcY9zMnHP8iPO4M5RCRjy6nZY0TY/edit#gid=1248694442"",""Table 5: Risk of bias!O4:O175""), $A22=IMPORTRANGE(""https://docs.google.com/spreadsheets/d/1kGrh75X1cNR"&amp;"1D7_FcY9zMnHP8iPO4M5RCRjy6nZY0TY/edit#gid=1248694442"",""Table 5: Risk of bias!A4:A175"")),$B22=""RoB 2"",FILTER(IMPORTRANGE(""https://docs.google.com/spreadsheets/d/1kGrh75X1cNR1D7_FcY9zMnHP8iPO4M5RCRjy6nZY0TY/edit#gid=1248694442"",""Table 5: Risk of bia"&amp;"s!W4:W175""), $A22=IMPORTRANGE(""https://docs.google.com/spreadsheets/d/1kGrh75X1cNR1D7_FcY9zMnHP8iPO4M5RCRjy6nZY0TY/edit#gid=1248694442"",""Table 5: Risk of bias!A4:A175"")))"),"Low")</f>
        <v>Low</v>
      </c>
      <c r="I22" s="4" t="str">
        <f>IFERROR(__xludf.DUMMYFUNCTION("FILTER(IMPORTRANGE(""https://docs.google.com/spreadsheets/d/1kGrh75X1cNR1D7_FcY9zMnHP8iPO4M5RCRjy6nZY0TY/edit#gid=1248694442"",""Table 5: Risk of bias!P4:P175""), $A22=IMPORTRANGE(""https://docs.google.com/spreadsheets/d/1kGrh75X1cNR1D7_FcY9zMnHP8iPO4M5RC"&amp;"Rjy6nZY0TY/edit#gid=1248694442"",""Table 5: Risk of bias!A4:A175""))"),"Low")</f>
        <v>Low</v>
      </c>
      <c r="J22" s="4" t="str">
        <f>IFERROR(__xludf.DUMMYFUNCTION("FILTER(IMPORTRANGE(""https://docs.google.com/spreadsheets/d/1kGrh75X1cNR1D7_FcY9zMnHP8iPO4M5RCRjy6nZY0TY/edit#gid=1248694442"",""Table 5: Risk of bias!Q4:Q175""), $A22=IMPORTRANGE(""https://docs.google.com/spreadsheets/d/1kGrh75X1cNR1D7_FcY9zMnHP8iPO4M5RC"&amp;"Rjy6nZY0TY/edit#gid=1248694442"",""Table 5: Risk of bias!A4:A175""))"),"Low")</f>
        <v>Low</v>
      </c>
    </row>
    <row r="23">
      <c r="A23" s="4" t="str">
        <f>IFERROR(__xludf.DUMMYFUNCTION("""COMPUTED_VALUE"""),"ID 37")</f>
        <v>ID 37</v>
      </c>
      <c r="B23" s="4" t="str">
        <f>IFERROR(__xludf.DUMMYFUNCTION("FILTER(IMPORTRANGE(""https://docs.google.com/spreadsheets/d/1kGrh75X1cNR1D7_FcY9zMnHP8iPO4M5RCRjy6nZY0TY/edit#gid=1248694442"",""Table 5: Risk of bias!D4:D175""), $A23=IMPORTRANGE(""https://docs.google.com/spreadsheets/d/1kGrh75X1cNR1D7_FcY9zMnHP8iPO4M5RC"&amp;"Rjy6nZY0TY/edit#gid=1248694442"",""Table 5: Risk of bias!A4:A175""))"),"RoB 2")</f>
        <v>RoB 2</v>
      </c>
      <c r="C23" s="4" t="str">
        <f>IFERROR(__xludf.DUMMYFUNCTION("IFS(
$B23=""ROBINS I"", FILTER(IMPORTRANGE(""https://docs.google.com/spreadsheets/d/1kGrh75X1cNR1D7_FcY9zMnHP8iPO4M5RCRjy6nZY0TY/edit#gid=1248694442"",""Table 5: Risk of bias!J4:J175""),  $A23=IMPORTRANGE(""https://docs.google.com/spreadsheets/d/1kGrh75X1"&amp;"cNR1D7_FcY9zMnHP8iPO4M5RCRjy6nZY0TY/edit#gid=1248694442"",""Table 5: Risk of bias!A4:A175"")),
$B23=""RoB 2"", FILTER(IMPORTRANGE(""https://docs.google.com/spreadsheets/d/1kGrh75X1cNR1D7_FcY9zMnHP8iPO4M5RCRjy6nZY0TY/edit#gid=1248694442"",""Table 5: Risk o"&amp;"f bias!R4:R175""), $A23=IMPORTRANGE(""https://docs.google.com/spreadsheets/d/1kGrh75X1cNR1D7_FcY9zMnHP8iPO4M5RCRjy6nZY0TY/edit#gid=1248694442"",""Table 5: Risk of bias!A4:A175""))
)"),"Low")</f>
        <v>Low</v>
      </c>
      <c r="D23" s="4" t="str">
        <f>IFERROR(__xludf.DUMMYFUNCTION("IFS($B23=""ROBINS I"",FILTER(IMPORTRANGE(""https://docs.google.com/spreadsheets/d/1kGrh75X1cNR1D7_FcY9zMnHP8iPO4M5RCRjy6nZY0TY/edit#gid=1248694442"",""Table 5: Risk of bias!K4:K175""), $A23=IMPORTRANGE(""https://docs.google.com/spreadsheets/d/1kGrh75X1cNR"&amp;"1D7_FcY9zMnHP8iPO4M5RCRjy6nZY0TY/edit#gid=1248694442"",""Table 5: Risk of bias!A4:A175"")),$B23=""RoB 2"",FILTER(IMPORTRANGE(""https://docs.google.com/spreadsheets/d/1kGrh75X1cNR1D7_FcY9zMnHP8iPO4M5RCRjy6nZY0TY/edit#gid=1248694442"",""Table 5: Risk of bia"&amp;"s!S4:S175""), $A23=IMPORTRANGE(""https://docs.google.com/spreadsheets/d/1kGrh75X1cNR1D7_FcY9zMnHP8iPO4M5RCRjy6nZY0TY/edit#gid=1248694442"",""Table 5: Risk of bias!A4:A175"")))"),"Low")</f>
        <v>Low</v>
      </c>
      <c r="E23" s="4" t="str">
        <f>IFERROR(__xludf.DUMMYFUNCTION("IFS($B23=""ROBINS I"",FILTER(IMPORTRANGE(""https://docs.google.com/spreadsheets/d/1kGrh75X1cNR1D7_FcY9zMnHP8iPO4M5RCRjy6nZY0TY/edit#gid=1248694442"",""Table 5: Risk of bias!L4:L175""), $A23=IMPORTRANGE(""https://docs.google.com/spreadsheets/d/1kGrh75X1cNR"&amp;"1D7_FcY9zMnHP8iPO4M5RCRjy6nZY0TY/edit#gid=1248694442"",""Table 5: Risk of bias!A4:A175"")),$B23=""RoB 2"",FILTER(IMPORTRANGE(""https://docs.google.com/spreadsheets/d/1kGrh75X1cNR1D7_FcY9zMnHP8iPO4M5RCRjy6nZY0TY/edit#gid=1248694442"",""Table 5: Risk of bia"&amp;"s!T4:T175""), $A23=IMPORTRANGE(""https://docs.google.com/spreadsheets/d/1kGrh75X1cNR1D7_FcY9zMnHP8iPO4M5RCRjy6nZY0TY/edit#gid=1248694442"",""Table 5: Risk of bias!A4:A175"")))"),"Low")</f>
        <v>Low</v>
      </c>
      <c r="F23" s="4" t="str">
        <f>IFERROR(__xludf.DUMMYFUNCTION("IFS($B23=""ROBINS I"",FILTER(IMPORTRANGE(""https://docs.google.com/spreadsheets/d/1kGrh75X1cNR1D7_FcY9zMnHP8iPO4M5RCRjy6nZY0TY/edit#gid=1248694442"",""Table 5: Risk of bias!M4:M175""), $A23=IMPORTRANGE(""https://docs.google.com/spreadsheets/d/1kGrh75X1cNR"&amp;"1D7_FcY9zMnHP8iPO4M5RCRjy6nZY0TY/edit#gid=1248694442"",""Table 5: Risk of bias!A4:A175"")),$B23=""RoB 2"",FILTER(IMPORTRANGE(""https://docs.google.com/spreadsheets/d/1kGrh75X1cNR1D7_FcY9zMnHP8iPO4M5RCRjy6nZY0TY/edit#gid=1248694442"",""Table 5: Risk of bia"&amp;"s!U4:U175""), $A23=IMPORTRANGE(""https://docs.google.com/spreadsheets/d/1kGrh75X1cNR1D7_FcY9zMnHP8iPO4M5RCRjy6nZY0TY/edit#gid=1248694442"",""Table 5: Risk of bias!A4:A175"")))"),"Low")</f>
        <v>Low</v>
      </c>
      <c r="G23" s="4" t="str">
        <f>IFERROR(__xludf.DUMMYFUNCTION("IFS($B23=""ROBINS I"",FILTER(IMPORTRANGE(""https://docs.google.com/spreadsheets/d/1kGrh75X1cNR1D7_FcY9zMnHP8iPO4M5RCRjy6nZY0TY/edit#gid=1248694442"",""Table 5: Risk of bias!N4:N175""), $A23=IMPORTRANGE(""https://docs.google.com/spreadsheets/d/1kGrh75X1cNR"&amp;"1D7_FcY9zMnHP8iPO4M5RCRjy6nZY0TY/edit#gid=1248694442"",""Table 5: Risk of bias!A4:A175"")),$B23=""RoB 2"",FILTER(IMPORTRANGE(""https://docs.google.com/spreadsheets/d/1kGrh75X1cNR1D7_FcY9zMnHP8iPO4M5RCRjy6nZY0TY/edit#gid=1248694442"",""Table 5: Risk of bia"&amp;"s!V4:V175""), $A23=IMPORTRANGE(""https://docs.google.com/spreadsheets/d/1kGrh75X1cNR1D7_FcY9zMnHP8iPO4M5RCRjy6nZY0TY/edit#gid=1248694442"",""Table 5: Risk of bias!A4:A175"")))"),"Low")</f>
        <v>Low</v>
      </c>
      <c r="H23" s="4" t="str">
        <f>IFERROR(__xludf.DUMMYFUNCTION("IFS($B23=""ROBINS I"",FILTER(IMPORTRANGE(""https://docs.google.com/spreadsheets/d/1kGrh75X1cNR1D7_FcY9zMnHP8iPO4M5RCRjy6nZY0TY/edit#gid=1248694442"",""Table 5: Risk of bias!O4:O175""), $A23=IMPORTRANGE(""https://docs.google.com/spreadsheets/d/1kGrh75X1cNR"&amp;"1D7_FcY9zMnHP8iPO4M5RCRjy6nZY0TY/edit#gid=1248694442"",""Table 5: Risk of bias!A4:A175"")),$B23=""RoB 2"",FILTER(IMPORTRANGE(""https://docs.google.com/spreadsheets/d/1kGrh75X1cNR1D7_FcY9zMnHP8iPO4M5RCRjy6nZY0TY/edit#gid=1248694442"",""Table 5: Risk of bia"&amp;"s!W4:W175""), $A23=IMPORTRANGE(""https://docs.google.com/spreadsheets/d/1kGrh75X1cNR1D7_FcY9zMnHP8iPO4M5RCRjy6nZY0TY/edit#gid=1248694442"",""Table 5: Risk of bias!A4:A175"")))"),"Some concerns")</f>
        <v>Some concerns</v>
      </c>
      <c r="I23" s="4" t="str">
        <f>IFERROR(__xludf.DUMMYFUNCTION("FILTER(IMPORTRANGE(""https://docs.google.com/spreadsheets/d/1kGrh75X1cNR1D7_FcY9zMnHP8iPO4M5RCRjy6nZY0TY/edit#gid=1248694442"",""Table 5: Risk of bias!P4:P175""), $A23=IMPORTRANGE(""https://docs.google.com/spreadsheets/d/1kGrh75X1cNR1D7_FcY9zMnHP8iPO4M5RC"&amp;"Rjy6nZY0TY/edit#gid=1248694442"",""Table 5: Risk of bias!A4:A175""))"),"")</f>
        <v/>
      </c>
      <c r="J23" s="4" t="str">
        <f>IFERROR(__xludf.DUMMYFUNCTION("FILTER(IMPORTRANGE(""https://docs.google.com/spreadsheets/d/1kGrh75X1cNR1D7_FcY9zMnHP8iPO4M5RCRjy6nZY0TY/edit#gid=1248694442"",""Table 5: Risk of bias!Q4:Q175""), $A23=IMPORTRANGE(""https://docs.google.com/spreadsheets/d/1kGrh75X1cNR1D7_FcY9zMnHP8iPO4M5RC"&amp;"Rjy6nZY0TY/edit#gid=1248694442"",""Table 5: Risk of bias!A4:A175""))"),"")</f>
        <v/>
      </c>
    </row>
    <row r="24">
      <c r="A24" s="4" t="str">
        <f>IFERROR(__xludf.DUMMYFUNCTION("""COMPUTED_VALUE"""),"ID 38")</f>
        <v>ID 38</v>
      </c>
      <c r="B24" s="4" t="str">
        <f>IFERROR(__xludf.DUMMYFUNCTION("FILTER(IMPORTRANGE(""https://docs.google.com/spreadsheets/d/1kGrh75X1cNR1D7_FcY9zMnHP8iPO4M5RCRjy6nZY0TY/edit#gid=1248694442"",""Table 5: Risk of bias!D4:D175""), $A24=IMPORTRANGE(""https://docs.google.com/spreadsheets/d/1kGrh75X1cNR1D7_FcY9zMnHP8iPO4M5RC"&amp;"Rjy6nZY0TY/edit#gid=1248694442"",""Table 5: Risk of bias!A4:A175""))"),"ROBINS I")</f>
        <v>ROBINS I</v>
      </c>
      <c r="C24" s="4" t="str">
        <f>IFERROR(__xludf.DUMMYFUNCTION("IFS(
$B24=""ROBINS I"", FILTER(IMPORTRANGE(""https://docs.google.com/spreadsheets/d/1kGrh75X1cNR1D7_FcY9zMnHP8iPO4M5RCRjy6nZY0TY/edit#gid=1248694442"",""Table 5: Risk of bias!J4:J175""),  $A24=IMPORTRANGE(""https://docs.google.com/spreadsheets/d/1kGrh75X1"&amp;"cNR1D7_FcY9zMnHP8iPO4M5RCRjy6nZY0TY/edit#gid=1248694442"",""Table 5: Risk of bias!A4:A175"")),
$B24=""RoB 2"", FILTER(IMPORTRANGE(""https://docs.google.com/spreadsheets/d/1kGrh75X1cNR1D7_FcY9zMnHP8iPO4M5RCRjy6nZY0TY/edit#gid=1248694442"",""Table 5: Risk o"&amp;"f bias!R4:R175""), $A24=IMPORTRANGE(""https://docs.google.com/spreadsheets/d/1kGrh75X1cNR1D7_FcY9zMnHP8iPO4M5RCRjy6nZY0TY/edit#gid=1248694442"",""Table 5: Risk of bias!A4:A175""))
)"),"Critical")</f>
        <v>Critical</v>
      </c>
      <c r="D24" s="4" t="str">
        <f>IFERROR(__xludf.DUMMYFUNCTION("IFS($B24=""ROBINS I"",FILTER(IMPORTRANGE(""https://docs.google.com/spreadsheets/d/1kGrh75X1cNR1D7_FcY9zMnHP8iPO4M5RCRjy6nZY0TY/edit#gid=1248694442"",""Table 5: Risk of bias!K4:K175""), $A24=IMPORTRANGE(""https://docs.google.com/spreadsheets/d/1kGrh75X1cNR"&amp;"1D7_FcY9zMnHP8iPO4M5RCRjy6nZY0TY/edit#gid=1248694442"",""Table 5: Risk of bias!A4:A175"")),$B24=""RoB 2"",FILTER(IMPORTRANGE(""https://docs.google.com/spreadsheets/d/1kGrh75X1cNR1D7_FcY9zMnHP8iPO4M5RCRjy6nZY0TY/edit#gid=1248694442"",""Table 5: Risk of bia"&amp;"s!S4:S175""), $A24=IMPORTRANGE(""https://docs.google.com/spreadsheets/d/1kGrh75X1cNR1D7_FcY9zMnHP8iPO4M5RCRjy6nZY0TY/edit#gid=1248694442"",""Table 5: Risk of bias!A4:A175"")))"),"Critical")</f>
        <v>Critical</v>
      </c>
      <c r="E24" s="4" t="str">
        <f>IFERROR(__xludf.DUMMYFUNCTION("IFS($B24=""ROBINS I"",FILTER(IMPORTRANGE(""https://docs.google.com/spreadsheets/d/1kGrh75X1cNR1D7_FcY9zMnHP8iPO4M5RCRjy6nZY0TY/edit#gid=1248694442"",""Table 5: Risk of bias!L4:L175""), $A24=IMPORTRANGE(""https://docs.google.com/spreadsheets/d/1kGrh75X1cNR"&amp;"1D7_FcY9zMnHP8iPO4M5RCRjy6nZY0TY/edit#gid=1248694442"",""Table 5: Risk of bias!A4:A175"")),$B24=""RoB 2"",FILTER(IMPORTRANGE(""https://docs.google.com/spreadsheets/d/1kGrh75X1cNR1D7_FcY9zMnHP8iPO4M5RCRjy6nZY0TY/edit#gid=1248694442"",""Table 5: Risk of bia"&amp;"s!T4:T175""), $A24=IMPORTRANGE(""https://docs.google.com/spreadsheets/d/1kGrh75X1cNR1D7_FcY9zMnHP8iPO4M5RCRjy6nZY0TY/edit#gid=1248694442"",""Table 5: Risk of bias!A4:A175"")))"),"Serious")</f>
        <v>Serious</v>
      </c>
      <c r="F24" s="4" t="str">
        <f>IFERROR(__xludf.DUMMYFUNCTION("IFS($B24=""ROBINS I"",FILTER(IMPORTRANGE(""https://docs.google.com/spreadsheets/d/1kGrh75X1cNR1D7_FcY9zMnHP8iPO4M5RCRjy6nZY0TY/edit#gid=1248694442"",""Table 5: Risk of bias!M4:M175""), $A24=IMPORTRANGE(""https://docs.google.com/spreadsheets/d/1kGrh75X1cNR"&amp;"1D7_FcY9zMnHP8iPO4M5RCRjy6nZY0TY/edit#gid=1248694442"",""Table 5: Risk of bias!A4:A175"")),$B24=""RoB 2"",FILTER(IMPORTRANGE(""https://docs.google.com/spreadsheets/d/1kGrh75X1cNR1D7_FcY9zMnHP8iPO4M5RCRjy6nZY0TY/edit#gid=1248694442"",""Table 5: Risk of bia"&amp;"s!U4:U175""), $A24=IMPORTRANGE(""https://docs.google.com/spreadsheets/d/1kGrh75X1cNR1D7_FcY9zMnHP8iPO4M5RCRjy6nZY0TY/edit#gid=1248694442"",""Table 5: Risk of bias!A4:A175"")))"),"Low")</f>
        <v>Low</v>
      </c>
      <c r="G24" s="4" t="str">
        <f>IFERROR(__xludf.DUMMYFUNCTION("IFS($B24=""ROBINS I"",FILTER(IMPORTRANGE(""https://docs.google.com/spreadsheets/d/1kGrh75X1cNR1D7_FcY9zMnHP8iPO4M5RCRjy6nZY0TY/edit#gid=1248694442"",""Table 5: Risk of bias!N4:N175""), $A24=IMPORTRANGE(""https://docs.google.com/spreadsheets/d/1kGrh75X1cNR"&amp;"1D7_FcY9zMnHP8iPO4M5RCRjy6nZY0TY/edit#gid=1248694442"",""Table 5: Risk of bias!A4:A175"")),$B24=""RoB 2"",FILTER(IMPORTRANGE(""https://docs.google.com/spreadsheets/d/1kGrh75X1cNR1D7_FcY9zMnHP8iPO4M5RCRjy6nZY0TY/edit#gid=1248694442"",""Table 5: Risk of bia"&amp;"s!V4:V175""), $A24=IMPORTRANGE(""https://docs.google.com/spreadsheets/d/1kGrh75X1cNR1D7_FcY9zMnHP8iPO4M5RCRjy6nZY0TY/edit#gid=1248694442"",""Table 5: Risk of bias!A4:A175"")))"),"Serious")</f>
        <v>Serious</v>
      </c>
      <c r="H24" s="4" t="str">
        <f>IFERROR(__xludf.DUMMYFUNCTION("IFS($B24=""ROBINS I"",FILTER(IMPORTRANGE(""https://docs.google.com/spreadsheets/d/1kGrh75X1cNR1D7_FcY9zMnHP8iPO4M5RCRjy6nZY0TY/edit#gid=1248694442"",""Table 5: Risk of bias!O4:O175""), $A24=IMPORTRANGE(""https://docs.google.com/spreadsheets/d/1kGrh75X1cNR"&amp;"1D7_FcY9zMnHP8iPO4M5RCRjy6nZY0TY/edit#gid=1248694442"",""Table 5: Risk of bias!A4:A175"")),$B24=""RoB 2"",FILTER(IMPORTRANGE(""https://docs.google.com/spreadsheets/d/1kGrh75X1cNR1D7_FcY9zMnHP8iPO4M5RCRjy6nZY0TY/edit#gid=1248694442"",""Table 5: Risk of bia"&amp;"s!W4:W175""), $A24=IMPORTRANGE(""https://docs.google.com/spreadsheets/d/1kGrh75X1cNR1D7_FcY9zMnHP8iPO4M5RCRjy6nZY0TY/edit#gid=1248694442"",""Table 5: Risk of bias!A4:A175"")))"),"Low")</f>
        <v>Low</v>
      </c>
      <c r="I24" s="4" t="str">
        <f>IFERROR(__xludf.DUMMYFUNCTION("FILTER(IMPORTRANGE(""https://docs.google.com/spreadsheets/d/1kGrh75X1cNR1D7_FcY9zMnHP8iPO4M5RCRjy6nZY0TY/edit#gid=1248694442"",""Table 5: Risk of bias!P4:P175""), $A24=IMPORTRANGE(""https://docs.google.com/spreadsheets/d/1kGrh75X1cNR1D7_FcY9zMnHP8iPO4M5RC"&amp;"Rjy6nZY0TY/edit#gid=1248694442"",""Table 5: Risk of bias!A4:A175""))"),"Low")</f>
        <v>Low</v>
      </c>
      <c r="J24" s="4" t="str">
        <f>IFERROR(__xludf.DUMMYFUNCTION("FILTER(IMPORTRANGE(""https://docs.google.com/spreadsheets/d/1kGrh75X1cNR1D7_FcY9zMnHP8iPO4M5RCRjy6nZY0TY/edit#gid=1248694442"",""Table 5: Risk of bias!Q4:Q175""), $A24=IMPORTRANGE(""https://docs.google.com/spreadsheets/d/1kGrh75X1cNR1D7_FcY9zMnHP8iPO4M5RC"&amp;"Rjy6nZY0TY/edit#gid=1248694442"",""Table 5: Risk of bias!A4:A175""))"),"Serious")</f>
        <v>Serious</v>
      </c>
    </row>
    <row r="25">
      <c r="A25" s="4" t="str">
        <f>IFERROR(__xludf.DUMMYFUNCTION("""COMPUTED_VALUE"""),"ID 39")</f>
        <v>ID 39</v>
      </c>
      <c r="B25" s="4" t="str">
        <f>IFERROR(__xludf.DUMMYFUNCTION("FILTER(IMPORTRANGE(""https://docs.google.com/spreadsheets/d/1kGrh75X1cNR1D7_FcY9zMnHP8iPO4M5RCRjy6nZY0TY/edit#gid=1248694442"",""Table 5: Risk of bias!D4:D175""), $A25=IMPORTRANGE(""https://docs.google.com/spreadsheets/d/1kGrh75X1cNR1D7_FcY9zMnHP8iPO4M5RC"&amp;"Rjy6nZY0TY/edit#gid=1248694442"",""Table 5: Risk of bias!A4:A175""))"),"ROBINS I")</f>
        <v>ROBINS I</v>
      </c>
      <c r="C25" s="4" t="str">
        <f>IFERROR(__xludf.DUMMYFUNCTION("IFS(
$B25=""ROBINS I"", FILTER(IMPORTRANGE(""https://docs.google.com/spreadsheets/d/1kGrh75X1cNR1D7_FcY9zMnHP8iPO4M5RCRjy6nZY0TY/edit#gid=1248694442"",""Table 5: Risk of bias!J4:J175""),  $A25=IMPORTRANGE(""https://docs.google.com/spreadsheets/d/1kGrh75X1"&amp;"cNR1D7_FcY9zMnHP8iPO4M5RCRjy6nZY0TY/edit#gid=1248694442"",""Table 5: Risk of bias!A4:A175"")),
$B25=""RoB 2"", FILTER(IMPORTRANGE(""https://docs.google.com/spreadsheets/d/1kGrh75X1cNR1D7_FcY9zMnHP8iPO4M5RCRjy6nZY0TY/edit#gid=1248694442"",""Table 5: Risk o"&amp;"f bias!R4:R175""), $A25=IMPORTRANGE(""https://docs.google.com/spreadsheets/d/1kGrh75X1cNR1D7_FcY9zMnHP8iPO4M5RCRjy6nZY0TY/edit#gid=1248694442"",""Table 5: Risk of bias!A4:A175""))
)"),"Moderate")</f>
        <v>Moderate</v>
      </c>
      <c r="D25" s="4" t="str">
        <f>IFERROR(__xludf.DUMMYFUNCTION("IFS($B25=""ROBINS I"",FILTER(IMPORTRANGE(""https://docs.google.com/spreadsheets/d/1kGrh75X1cNR1D7_FcY9zMnHP8iPO4M5RCRjy6nZY0TY/edit#gid=1248694442"",""Table 5: Risk of bias!K4:K175""), $A25=IMPORTRANGE(""https://docs.google.com/spreadsheets/d/1kGrh75X1cNR"&amp;"1D7_FcY9zMnHP8iPO4M5RCRjy6nZY0TY/edit#gid=1248694442"",""Table 5: Risk of bias!A4:A175"")),$B25=""RoB 2"",FILTER(IMPORTRANGE(""https://docs.google.com/spreadsheets/d/1kGrh75X1cNR1D7_FcY9zMnHP8iPO4M5RCRjy6nZY0TY/edit#gid=1248694442"",""Table 5: Risk of bia"&amp;"s!S4:S175""), $A25=IMPORTRANGE(""https://docs.google.com/spreadsheets/d/1kGrh75X1cNR1D7_FcY9zMnHP8iPO4M5RCRjy6nZY0TY/edit#gid=1248694442"",""Table 5: Risk of bias!A4:A175"")))"),"Low")</f>
        <v>Low</v>
      </c>
      <c r="E25" s="4" t="str">
        <f>IFERROR(__xludf.DUMMYFUNCTION("IFS($B25=""ROBINS I"",FILTER(IMPORTRANGE(""https://docs.google.com/spreadsheets/d/1kGrh75X1cNR1D7_FcY9zMnHP8iPO4M5RCRjy6nZY0TY/edit#gid=1248694442"",""Table 5: Risk of bias!L4:L175""), $A25=IMPORTRANGE(""https://docs.google.com/spreadsheets/d/1kGrh75X1cNR"&amp;"1D7_FcY9zMnHP8iPO4M5RCRjy6nZY0TY/edit#gid=1248694442"",""Table 5: Risk of bias!A4:A175"")),$B25=""RoB 2"",FILTER(IMPORTRANGE(""https://docs.google.com/spreadsheets/d/1kGrh75X1cNR1D7_FcY9zMnHP8iPO4M5RCRjy6nZY0TY/edit#gid=1248694442"",""Table 5: Risk of bia"&amp;"s!T4:T175""), $A25=IMPORTRANGE(""https://docs.google.com/spreadsheets/d/1kGrh75X1cNR1D7_FcY9zMnHP8iPO4M5RCRjy6nZY0TY/edit#gid=1248694442"",""Table 5: Risk of bias!A4:A175"")))"),"Low")</f>
        <v>Low</v>
      </c>
      <c r="F25" s="4" t="str">
        <f>IFERROR(__xludf.DUMMYFUNCTION("IFS($B25=""ROBINS I"",FILTER(IMPORTRANGE(""https://docs.google.com/spreadsheets/d/1kGrh75X1cNR1D7_FcY9zMnHP8iPO4M5RCRjy6nZY0TY/edit#gid=1248694442"",""Table 5: Risk of bias!M4:M175""), $A25=IMPORTRANGE(""https://docs.google.com/spreadsheets/d/1kGrh75X1cNR"&amp;"1D7_FcY9zMnHP8iPO4M5RCRjy6nZY0TY/edit#gid=1248694442"",""Table 5: Risk of bias!A4:A175"")),$B25=""RoB 2"",FILTER(IMPORTRANGE(""https://docs.google.com/spreadsheets/d/1kGrh75X1cNR1D7_FcY9zMnHP8iPO4M5RCRjy6nZY0TY/edit#gid=1248694442"",""Table 5: Risk of bia"&amp;"s!U4:U175""), $A25=IMPORTRANGE(""https://docs.google.com/spreadsheets/d/1kGrh75X1cNR1D7_FcY9zMnHP8iPO4M5RCRjy6nZY0TY/edit#gid=1248694442"",""Table 5: Risk of bias!A4:A175"")))"),"Low")</f>
        <v>Low</v>
      </c>
      <c r="G25" s="4" t="str">
        <f>IFERROR(__xludf.DUMMYFUNCTION("IFS($B25=""ROBINS I"",FILTER(IMPORTRANGE(""https://docs.google.com/spreadsheets/d/1kGrh75X1cNR1D7_FcY9zMnHP8iPO4M5RCRjy6nZY0TY/edit#gid=1248694442"",""Table 5: Risk of bias!N4:N175""), $A25=IMPORTRANGE(""https://docs.google.com/spreadsheets/d/1kGrh75X1cNR"&amp;"1D7_FcY9zMnHP8iPO4M5RCRjy6nZY0TY/edit#gid=1248694442"",""Table 5: Risk of bias!A4:A175"")),$B25=""RoB 2"",FILTER(IMPORTRANGE(""https://docs.google.com/spreadsheets/d/1kGrh75X1cNR1D7_FcY9zMnHP8iPO4M5RCRjy6nZY0TY/edit#gid=1248694442"",""Table 5: Risk of bia"&amp;"s!V4:V175""), $A25=IMPORTRANGE(""https://docs.google.com/spreadsheets/d/1kGrh75X1cNR1D7_FcY9zMnHP8iPO4M5RCRjy6nZY0TY/edit#gid=1248694442"",""Table 5: Risk of bias!A4:A175"")))"),"Low")</f>
        <v>Low</v>
      </c>
      <c r="H25" s="4" t="str">
        <f>IFERROR(__xludf.DUMMYFUNCTION("IFS($B25=""ROBINS I"",FILTER(IMPORTRANGE(""https://docs.google.com/spreadsheets/d/1kGrh75X1cNR1D7_FcY9zMnHP8iPO4M5RCRjy6nZY0TY/edit#gid=1248694442"",""Table 5: Risk of bias!O4:O175""), $A25=IMPORTRANGE(""https://docs.google.com/spreadsheets/d/1kGrh75X1cNR"&amp;"1D7_FcY9zMnHP8iPO4M5RCRjy6nZY0TY/edit#gid=1248694442"",""Table 5: Risk of bias!A4:A175"")),$B25=""RoB 2"",FILTER(IMPORTRANGE(""https://docs.google.com/spreadsheets/d/1kGrh75X1cNR1D7_FcY9zMnHP8iPO4M5RCRjy6nZY0TY/edit#gid=1248694442"",""Table 5: Risk of bia"&amp;"s!W4:W175""), $A25=IMPORTRANGE(""https://docs.google.com/spreadsheets/d/1kGrh75X1cNR1D7_FcY9zMnHP8iPO4M5RCRjy6nZY0TY/edit#gid=1248694442"",""Table 5: Risk of bias!A4:A175"")))"),"Low")</f>
        <v>Low</v>
      </c>
      <c r="I25" s="4" t="str">
        <f>IFERROR(__xludf.DUMMYFUNCTION("FILTER(IMPORTRANGE(""https://docs.google.com/spreadsheets/d/1kGrh75X1cNR1D7_FcY9zMnHP8iPO4M5RCRjy6nZY0TY/edit#gid=1248694442"",""Table 5: Risk of bias!P4:P175""), $A25=IMPORTRANGE(""https://docs.google.com/spreadsheets/d/1kGrh75X1cNR1D7_FcY9zMnHP8iPO4M5RC"&amp;"Rjy6nZY0TY/edit#gid=1248694442"",""Table 5: Risk of bias!A4:A175""))"),"Moderate")</f>
        <v>Moderate</v>
      </c>
      <c r="J25" s="4" t="str">
        <f>IFERROR(__xludf.DUMMYFUNCTION("FILTER(IMPORTRANGE(""https://docs.google.com/spreadsheets/d/1kGrh75X1cNR1D7_FcY9zMnHP8iPO4M5RCRjy6nZY0TY/edit#gid=1248694442"",""Table 5: Risk of bias!Q4:Q175""), $A25=IMPORTRANGE(""https://docs.google.com/spreadsheets/d/1kGrh75X1cNR1D7_FcY9zMnHP8iPO4M5RC"&amp;"Rjy6nZY0TY/edit#gid=1248694442"",""Table 5: Risk of bias!A4:A175""))"),"Low")</f>
        <v>Low</v>
      </c>
    </row>
    <row r="26">
      <c r="A26" s="4" t="str">
        <f>IFERROR(__xludf.DUMMYFUNCTION("""COMPUTED_VALUE"""),"ID 43")</f>
        <v>ID 43</v>
      </c>
      <c r="B26" s="4" t="str">
        <f>IFERROR(__xludf.DUMMYFUNCTION("FILTER(IMPORTRANGE(""https://docs.google.com/spreadsheets/d/1kGrh75X1cNR1D7_FcY9zMnHP8iPO4M5RCRjy6nZY0TY/edit#gid=1248694442"",""Table 5: Risk of bias!D4:D175""), $A26=IMPORTRANGE(""https://docs.google.com/spreadsheets/d/1kGrh75X1cNR1D7_FcY9zMnHP8iPO4M5RC"&amp;"Rjy6nZY0TY/edit#gid=1248694442"",""Table 5: Risk of bias!A4:A175""))"),"ROBINS I")</f>
        <v>ROBINS I</v>
      </c>
      <c r="C26" s="4" t="str">
        <f>IFERROR(__xludf.DUMMYFUNCTION("IFS(
$B26=""ROBINS I"", FILTER(IMPORTRANGE(""https://docs.google.com/spreadsheets/d/1kGrh75X1cNR1D7_FcY9zMnHP8iPO4M5RCRjy6nZY0TY/edit#gid=1248694442"",""Table 5: Risk of bias!J4:J175""),  $A26=IMPORTRANGE(""https://docs.google.com/spreadsheets/d/1kGrh75X1"&amp;"cNR1D7_FcY9zMnHP8iPO4M5RCRjy6nZY0TY/edit#gid=1248694442"",""Table 5: Risk of bias!A4:A175"")),
$B26=""RoB 2"", FILTER(IMPORTRANGE(""https://docs.google.com/spreadsheets/d/1kGrh75X1cNR1D7_FcY9zMnHP8iPO4M5RCRjy6nZY0TY/edit#gid=1248694442"",""Table 5: Risk o"&amp;"f bias!R4:R175""), $A26=IMPORTRANGE(""https://docs.google.com/spreadsheets/d/1kGrh75X1cNR1D7_FcY9zMnHP8iPO4M5RCRjy6nZY0TY/edit#gid=1248694442"",""Table 5: Risk of bias!A4:A175""))
)"),"Serious")</f>
        <v>Serious</v>
      </c>
      <c r="D26" s="4" t="str">
        <f>IFERROR(__xludf.DUMMYFUNCTION("IFS($B26=""ROBINS I"",FILTER(IMPORTRANGE(""https://docs.google.com/spreadsheets/d/1kGrh75X1cNR1D7_FcY9zMnHP8iPO4M5RCRjy6nZY0TY/edit#gid=1248694442"",""Table 5: Risk of bias!K4:K175""), $A26=IMPORTRANGE(""https://docs.google.com/spreadsheets/d/1kGrh75X1cNR"&amp;"1D7_FcY9zMnHP8iPO4M5RCRjy6nZY0TY/edit#gid=1248694442"",""Table 5: Risk of bias!A4:A175"")),$B26=""RoB 2"",FILTER(IMPORTRANGE(""https://docs.google.com/spreadsheets/d/1kGrh75X1cNR1D7_FcY9zMnHP8iPO4M5RCRjy6nZY0TY/edit#gid=1248694442"",""Table 5: Risk of bia"&amp;"s!S4:S175""), $A26=IMPORTRANGE(""https://docs.google.com/spreadsheets/d/1kGrh75X1cNR1D7_FcY9zMnHP8iPO4M5RCRjy6nZY0TY/edit#gid=1248694442"",""Table 5: Risk of bias!A4:A175"")))"),"Moderate")</f>
        <v>Moderate</v>
      </c>
      <c r="E26" s="4" t="str">
        <f>IFERROR(__xludf.DUMMYFUNCTION("IFS($B26=""ROBINS I"",FILTER(IMPORTRANGE(""https://docs.google.com/spreadsheets/d/1kGrh75X1cNR1D7_FcY9zMnHP8iPO4M5RCRjy6nZY0TY/edit#gid=1248694442"",""Table 5: Risk of bias!L4:L175""), $A26=IMPORTRANGE(""https://docs.google.com/spreadsheets/d/1kGrh75X1cNR"&amp;"1D7_FcY9zMnHP8iPO4M5RCRjy6nZY0TY/edit#gid=1248694442"",""Table 5: Risk of bias!A4:A175"")),$B26=""RoB 2"",FILTER(IMPORTRANGE(""https://docs.google.com/spreadsheets/d/1kGrh75X1cNR1D7_FcY9zMnHP8iPO4M5RCRjy6nZY0TY/edit#gid=1248694442"",""Table 5: Risk of bia"&amp;"s!T4:T175""), $A26=IMPORTRANGE(""https://docs.google.com/spreadsheets/d/1kGrh75X1cNR1D7_FcY9zMnHP8iPO4M5RCRjy6nZY0TY/edit#gid=1248694442"",""Table 5: Risk of bias!A4:A175"")))"),"Serious")</f>
        <v>Serious</v>
      </c>
      <c r="F26" s="4" t="str">
        <f>IFERROR(__xludf.DUMMYFUNCTION("IFS($B26=""ROBINS I"",FILTER(IMPORTRANGE(""https://docs.google.com/spreadsheets/d/1kGrh75X1cNR1D7_FcY9zMnHP8iPO4M5RCRjy6nZY0TY/edit#gid=1248694442"",""Table 5: Risk of bias!M4:M175""), $A26=IMPORTRANGE(""https://docs.google.com/spreadsheets/d/1kGrh75X1cNR"&amp;"1D7_FcY9zMnHP8iPO4M5RCRjy6nZY0TY/edit#gid=1248694442"",""Table 5: Risk of bias!A4:A175"")),$B26=""RoB 2"",FILTER(IMPORTRANGE(""https://docs.google.com/spreadsheets/d/1kGrh75X1cNR1D7_FcY9zMnHP8iPO4M5RCRjy6nZY0TY/edit#gid=1248694442"",""Table 5: Risk of bia"&amp;"s!U4:U175""), $A26=IMPORTRANGE(""https://docs.google.com/spreadsheets/d/1kGrh75X1cNR1D7_FcY9zMnHP8iPO4M5RCRjy6nZY0TY/edit#gid=1248694442"",""Table 5: Risk of bias!A4:A175"")))"),"Low")</f>
        <v>Low</v>
      </c>
      <c r="G26" s="4" t="str">
        <f>IFERROR(__xludf.DUMMYFUNCTION("IFS($B26=""ROBINS I"",FILTER(IMPORTRANGE(""https://docs.google.com/spreadsheets/d/1kGrh75X1cNR1D7_FcY9zMnHP8iPO4M5RCRjy6nZY0TY/edit#gid=1248694442"",""Table 5: Risk of bias!N4:N175""), $A26=IMPORTRANGE(""https://docs.google.com/spreadsheets/d/1kGrh75X1cNR"&amp;"1D7_FcY9zMnHP8iPO4M5RCRjy6nZY0TY/edit#gid=1248694442"",""Table 5: Risk of bias!A4:A175"")),$B26=""RoB 2"",FILTER(IMPORTRANGE(""https://docs.google.com/spreadsheets/d/1kGrh75X1cNR1D7_FcY9zMnHP8iPO4M5RCRjy6nZY0TY/edit#gid=1248694442"",""Table 5: Risk of bia"&amp;"s!V4:V175""), $A26=IMPORTRANGE(""https://docs.google.com/spreadsheets/d/1kGrh75X1cNR1D7_FcY9zMnHP8iPO4M5RCRjy6nZY0TY/edit#gid=1248694442"",""Table 5: Risk of bias!A4:A175"")))"),"Low")</f>
        <v>Low</v>
      </c>
      <c r="H26" s="4" t="str">
        <f>IFERROR(__xludf.DUMMYFUNCTION("IFS($B26=""ROBINS I"",FILTER(IMPORTRANGE(""https://docs.google.com/spreadsheets/d/1kGrh75X1cNR1D7_FcY9zMnHP8iPO4M5RCRjy6nZY0TY/edit#gid=1248694442"",""Table 5: Risk of bias!O4:O175""), $A26=IMPORTRANGE(""https://docs.google.com/spreadsheets/d/1kGrh75X1cNR"&amp;"1D7_FcY9zMnHP8iPO4M5RCRjy6nZY0TY/edit#gid=1248694442"",""Table 5: Risk of bias!A4:A175"")),$B26=""RoB 2"",FILTER(IMPORTRANGE(""https://docs.google.com/spreadsheets/d/1kGrh75X1cNR1D7_FcY9zMnHP8iPO4M5RCRjy6nZY0TY/edit#gid=1248694442"",""Table 5: Risk of bia"&amp;"s!W4:W175""), $A26=IMPORTRANGE(""https://docs.google.com/spreadsheets/d/1kGrh75X1cNR1D7_FcY9zMnHP8iPO4M5RCRjy6nZY0TY/edit#gid=1248694442"",""Table 5: Risk of bias!A4:A175"")))"),"Low")</f>
        <v>Low</v>
      </c>
      <c r="I26" s="4" t="str">
        <f>IFERROR(__xludf.DUMMYFUNCTION("FILTER(IMPORTRANGE(""https://docs.google.com/spreadsheets/d/1kGrh75X1cNR1D7_FcY9zMnHP8iPO4M5RCRjy6nZY0TY/edit#gid=1248694442"",""Table 5: Risk of bias!P4:P175""), $A26=IMPORTRANGE(""https://docs.google.com/spreadsheets/d/1kGrh75X1cNR1D7_FcY9zMnHP8iPO4M5RC"&amp;"Rjy6nZY0TY/edit#gid=1248694442"",""Table 5: Risk of bias!A4:A175""))"),"Moderate")</f>
        <v>Moderate</v>
      </c>
      <c r="J26" s="4" t="str">
        <f>IFERROR(__xludf.DUMMYFUNCTION("FILTER(IMPORTRANGE(""https://docs.google.com/spreadsheets/d/1kGrh75X1cNR1D7_FcY9zMnHP8iPO4M5RCRjy6nZY0TY/edit#gid=1248694442"",""Table 5: Risk of bias!Q4:Q175""), $A26=IMPORTRANGE(""https://docs.google.com/spreadsheets/d/1kGrh75X1cNR1D7_FcY9zMnHP8iPO4M5RC"&amp;"Rjy6nZY0TY/edit#gid=1248694442"",""Table 5: Risk of bias!A4:A175""))"),"Low")</f>
        <v>Low</v>
      </c>
    </row>
    <row r="27">
      <c r="A27" s="4" t="str">
        <f>IFERROR(__xludf.DUMMYFUNCTION("""COMPUTED_VALUE"""),"ID 44")</f>
        <v>ID 44</v>
      </c>
      <c r="B27" s="4" t="str">
        <f>IFERROR(__xludf.DUMMYFUNCTION("FILTER(IMPORTRANGE(""https://docs.google.com/spreadsheets/d/1kGrh75X1cNR1D7_FcY9zMnHP8iPO4M5RCRjy6nZY0TY/edit#gid=1248694442"",""Table 5: Risk of bias!D4:D175""), $A27=IMPORTRANGE(""https://docs.google.com/spreadsheets/d/1kGrh75X1cNR1D7_FcY9zMnHP8iPO4M5RC"&amp;"Rjy6nZY0TY/edit#gid=1248694442"",""Table 5: Risk of bias!A4:A175""))"),"ROBINS I")</f>
        <v>ROBINS I</v>
      </c>
      <c r="C27" s="4" t="str">
        <f>IFERROR(__xludf.DUMMYFUNCTION("IFS(
$B27=""ROBINS I"", FILTER(IMPORTRANGE(""https://docs.google.com/spreadsheets/d/1kGrh75X1cNR1D7_FcY9zMnHP8iPO4M5RCRjy6nZY0TY/edit#gid=1248694442"",""Table 5: Risk of bias!J4:J175""),  $A27=IMPORTRANGE(""https://docs.google.com/spreadsheets/d/1kGrh75X1"&amp;"cNR1D7_FcY9zMnHP8iPO4M5RCRjy6nZY0TY/edit#gid=1248694442"",""Table 5: Risk of bias!A4:A175"")),
$B27=""RoB 2"", FILTER(IMPORTRANGE(""https://docs.google.com/spreadsheets/d/1kGrh75X1cNR1D7_FcY9zMnHP8iPO4M5RCRjy6nZY0TY/edit#gid=1248694442"",""Table 5: Risk o"&amp;"f bias!R4:R175""), $A27=IMPORTRANGE(""https://docs.google.com/spreadsheets/d/1kGrh75X1cNR1D7_FcY9zMnHP8iPO4M5RCRjy6nZY0TY/edit#gid=1248694442"",""Table 5: Risk of bias!A4:A175""))
)"),"Critical")</f>
        <v>Critical</v>
      </c>
      <c r="D27" s="4" t="str">
        <f>IFERROR(__xludf.DUMMYFUNCTION("IFS($B27=""ROBINS I"",FILTER(IMPORTRANGE(""https://docs.google.com/spreadsheets/d/1kGrh75X1cNR1D7_FcY9zMnHP8iPO4M5RCRjy6nZY0TY/edit#gid=1248694442"",""Table 5: Risk of bias!K4:K175""), $A27=IMPORTRANGE(""https://docs.google.com/spreadsheets/d/1kGrh75X1cNR"&amp;"1D7_FcY9zMnHP8iPO4M5RCRjy6nZY0TY/edit#gid=1248694442"",""Table 5: Risk of bias!A4:A175"")),$B27=""RoB 2"",FILTER(IMPORTRANGE(""https://docs.google.com/spreadsheets/d/1kGrh75X1cNR1D7_FcY9zMnHP8iPO4M5RCRjy6nZY0TY/edit#gid=1248694442"",""Table 5: Risk of bia"&amp;"s!S4:S175""), $A27=IMPORTRANGE(""https://docs.google.com/spreadsheets/d/1kGrh75X1cNR1D7_FcY9zMnHP8iPO4M5RCRjy6nZY0TY/edit#gid=1248694442"",""Table 5: Risk of bias!A4:A175"")))"),"Critical")</f>
        <v>Critical</v>
      </c>
      <c r="E27" s="4" t="str">
        <f>IFERROR(__xludf.DUMMYFUNCTION("IFS($B27=""ROBINS I"",FILTER(IMPORTRANGE(""https://docs.google.com/spreadsheets/d/1kGrh75X1cNR1D7_FcY9zMnHP8iPO4M5RCRjy6nZY0TY/edit#gid=1248694442"",""Table 5: Risk of bias!L4:L175""), $A27=IMPORTRANGE(""https://docs.google.com/spreadsheets/d/1kGrh75X1cNR"&amp;"1D7_FcY9zMnHP8iPO4M5RCRjy6nZY0TY/edit#gid=1248694442"",""Table 5: Risk of bias!A4:A175"")),$B27=""RoB 2"",FILTER(IMPORTRANGE(""https://docs.google.com/spreadsheets/d/1kGrh75X1cNR1D7_FcY9zMnHP8iPO4M5RCRjy6nZY0TY/edit#gid=1248694442"",""Table 5: Risk of bia"&amp;"s!T4:T175""), $A27=IMPORTRANGE(""https://docs.google.com/spreadsheets/d/1kGrh75X1cNR1D7_FcY9zMnHP8iPO4M5RCRjy6nZY0TY/edit#gid=1248694442"",""Table 5: Risk of bias!A4:A175"")))"),"Low")</f>
        <v>Low</v>
      </c>
      <c r="F27" s="4" t="str">
        <f>IFERROR(__xludf.DUMMYFUNCTION("IFS($B27=""ROBINS I"",FILTER(IMPORTRANGE(""https://docs.google.com/spreadsheets/d/1kGrh75X1cNR1D7_FcY9zMnHP8iPO4M5RCRjy6nZY0TY/edit#gid=1248694442"",""Table 5: Risk of bias!M4:M175""), $A27=IMPORTRANGE(""https://docs.google.com/spreadsheets/d/1kGrh75X1cNR"&amp;"1D7_FcY9zMnHP8iPO4M5RCRjy6nZY0TY/edit#gid=1248694442"",""Table 5: Risk of bias!A4:A175"")),$B27=""RoB 2"",FILTER(IMPORTRANGE(""https://docs.google.com/spreadsheets/d/1kGrh75X1cNR1D7_FcY9zMnHP8iPO4M5RCRjy6nZY0TY/edit#gid=1248694442"",""Table 5: Risk of bia"&amp;"s!U4:U175""), $A27=IMPORTRANGE(""https://docs.google.com/spreadsheets/d/1kGrh75X1cNR1D7_FcY9zMnHP8iPO4M5RCRjy6nZY0TY/edit#gid=1248694442"",""Table 5: Risk of bias!A4:A175"")))"),"Serious")</f>
        <v>Serious</v>
      </c>
      <c r="G27" s="4" t="str">
        <f>IFERROR(__xludf.DUMMYFUNCTION("IFS($B27=""ROBINS I"",FILTER(IMPORTRANGE(""https://docs.google.com/spreadsheets/d/1kGrh75X1cNR1D7_FcY9zMnHP8iPO4M5RCRjy6nZY0TY/edit#gid=1248694442"",""Table 5: Risk of bias!N4:N175""), $A27=IMPORTRANGE(""https://docs.google.com/spreadsheets/d/1kGrh75X1cNR"&amp;"1D7_FcY9zMnHP8iPO4M5RCRjy6nZY0TY/edit#gid=1248694442"",""Table 5: Risk of bias!A4:A175"")),$B27=""RoB 2"",FILTER(IMPORTRANGE(""https://docs.google.com/spreadsheets/d/1kGrh75X1cNR1D7_FcY9zMnHP8iPO4M5RCRjy6nZY0TY/edit#gid=1248694442"",""Table 5: Risk of bia"&amp;"s!V4:V175""), $A27=IMPORTRANGE(""https://docs.google.com/spreadsheets/d/1kGrh75X1cNR1D7_FcY9zMnHP8iPO4M5RCRjy6nZY0TY/edit#gid=1248694442"",""Table 5: Risk of bias!A4:A175"")))"),"Low")</f>
        <v>Low</v>
      </c>
      <c r="H27" s="4" t="str">
        <f>IFERROR(__xludf.DUMMYFUNCTION("IFS($B27=""ROBINS I"",FILTER(IMPORTRANGE(""https://docs.google.com/spreadsheets/d/1kGrh75X1cNR1D7_FcY9zMnHP8iPO4M5RCRjy6nZY0TY/edit#gid=1248694442"",""Table 5: Risk of bias!O4:O175""), $A27=IMPORTRANGE(""https://docs.google.com/spreadsheets/d/1kGrh75X1cNR"&amp;"1D7_FcY9zMnHP8iPO4M5RCRjy6nZY0TY/edit#gid=1248694442"",""Table 5: Risk of bias!A4:A175"")),$B27=""RoB 2"",FILTER(IMPORTRANGE(""https://docs.google.com/spreadsheets/d/1kGrh75X1cNR1D7_FcY9zMnHP8iPO4M5RCRjy6nZY0TY/edit#gid=1248694442"",""Table 5: Risk of bia"&amp;"s!W4:W175""), $A27=IMPORTRANGE(""https://docs.google.com/spreadsheets/d/1kGrh75X1cNR1D7_FcY9zMnHP8iPO4M5RCRjy6nZY0TY/edit#gid=1248694442"",""Table 5: Risk of bias!A4:A175"")))"),"Critical")</f>
        <v>Critical</v>
      </c>
      <c r="I27" s="4" t="str">
        <f>IFERROR(__xludf.DUMMYFUNCTION("FILTER(IMPORTRANGE(""https://docs.google.com/spreadsheets/d/1kGrh75X1cNR1D7_FcY9zMnHP8iPO4M5RCRjy6nZY0TY/edit#gid=1248694442"",""Table 5: Risk of bias!P4:P175""), $A27=IMPORTRANGE(""https://docs.google.com/spreadsheets/d/1kGrh75X1cNR1D7_FcY9zMnHP8iPO4M5RC"&amp;"Rjy6nZY0TY/edit#gid=1248694442"",""Table 5: Risk of bias!A4:A175""))"),"Moderate")</f>
        <v>Moderate</v>
      </c>
      <c r="J27" s="4" t="str">
        <f>IFERROR(__xludf.DUMMYFUNCTION("FILTER(IMPORTRANGE(""https://docs.google.com/spreadsheets/d/1kGrh75X1cNR1D7_FcY9zMnHP8iPO4M5RCRjy6nZY0TY/edit#gid=1248694442"",""Table 5: Risk of bias!Q4:Q175""), $A27=IMPORTRANGE(""https://docs.google.com/spreadsheets/d/1kGrh75X1cNR1D7_FcY9zMnHP8iPO4M5RC"&amp;"Rjy6nZY0TY/edit#gid=1248694442"",""Table 5: Risk of bias!A4:A175""))"),"Low")</f>
        <v>Low</v>
      </c>
    </row>
    <row r="28">
      <c r="A28" s="4" t="str">
        <f>IFERROR(__xludf.DUMMYFUNCTION("""COMPUTED_VALUE"""),"ID 46")</f>
        <v>ID 46</v>
      </c>
      <c r="B28" s="4" t="str">
        <f>IFERROR(__xludf.DUMMYFUNCTION("FILTER(IMPORTRANGE(""https://docs.google.com/spreadsheets/d/1kGrh75X1cNR1D7_FcY9zMnHP8iPO4M5RCRjy6nZY0TY/edit#gid=1248694442"",""Table 5: Risk of bias!D4:D175""), $A28=IMPORTRANGE(""https://docs.google.com/spreadsheets/d/1kGrh75X1cNR1D7_FcY9zMnHP8iPO4M5RC"&amp;"Rjy6nZY0TY/edit#gid=1248694442"",""Table 5: Risk of bias!A4:A175""))"),"ROBINS I")</f>
        <v>ROBINS I</v>
      </c>
      <c r="C28" s="4" t="str">
        <f>IFERROR(__xludf.DUMMYFUNCTION("IFS(
$B28=""ROBINS I"", FILTER(IMPORTRANGE(""https://docs.google.com/spreadsheets/d/1kGrh75X1cNR1D7_FcY9zMnHP8iPO4M5RCRjy6nZY0TY/edit#gid=1248694442"",""Table 5: Risk of bias!J4:J175""),  $A28=IMPORTRANGE(""https://docs.google.com/spreadsheets/d/1kGrh75X1"&amp;"cNR1D7_FcY9zMnHP8iPO4M5RCRjy6nZY0TY/edit#gid=1248694442"",""Table 5: Risk of bias!A4:A175"")),
$B28=""RoB 2"", FILTER(IMPORTRANGE(""https://docs.google.com/spreadsheets/d/1kGrh75X1cNR1D7_FcY9zMnHP8iPO4M5RCRjy6nZY0TY/edit#gid=1248694442"",""Table 5: Risk o"&amp;"f bias!R4:R175""), $A28=IMPORTRANGE(""https://docs.google.com/spreadsheets/d/1kGrh75X1cNR1D7_FcY9zMnHP8iPO4M5RCRjy6nZY0TY/edit#gid=1248694442"",""Table 5: Risk of bias!A4:A175""))
)"),"Moderate")</f>
        <v>Moderate</v>
      </c>
      <c r="D28" s="4" t="str">
        <f>IFERROR(__xludf.DUMMYFUNCTION("IFS($B28=""ROBINS I"",FILTER(IMPORTRANGE(""https://docs.google.com/spreadsheets/d/1kGrh75X1cNR1D7_FcY9zMnHP8iPO4M5RCRjy6nZY0TY/edit#gid=1248694442"",""Table 5: Risk of bias!K4:K175""), $A28=IMPORTRANGE(""https://docs.google.com/spreadsheets/d/1kGrh75X1cNR"&amp;"1D7_FcY9zMnHP8iPO4M5RCRjy6nZY0TY/edit#gid=1248694442"",""Table 5: Risk of bias!A4:A175"")),$B28=""RoB 2"",FILTER(IMPORTRANGE(""https://docs.google.com/spreadsheets/d/1kGrh75X1cNR1D7_FcY9zMnHP8iPO4M5RCRjy6nZY0TY/edit#gid=1248694442"",""Table 5: Risk of bia"&amp;"s!S4:S175""), $A28=IMPORTRANGE(""https://docs.google.com/spreadsheets/d/1kGrh75X1cNR1D7_FcY9zMnHP8iPO4M5RCRjy6nZY0TY/edit#gid=1248694442"",""Table 5: Risk of bias!A4:A175"")))"),"Moderate")</f>
        <v>Moderate</v>
      </c>
      <c r="E28" s="4" t="str">
        <f>IFERROR(__xludf.DUMMYFUNCTION("IFS($B28=""ROBINS I"",FILTER(IMPORTRANGE(""https://docs.google.com/spreadsheets/d/1kGrh75X1cNR1D7_FcY9zMnHP8iPO4M5RCRjy6nZY0TY/edit#gid=1248694442"",""Table 5: Risk of bias!L4:L175""), $A28=IMPORTRANGE(""https://docs.google.com/spreadsheets/d/1kGrh75X1cNR"&amp;"1D7_FcY9zMnHP8iPO4M5RCRjy6nZY0TY/edit#gid=1248694442"",""Table 5: Risk of bias!A4:A175"")),$B28=""RoB 2"",FILTER(IMPORTRANGE(""https://docs.google.com/spreadsheets/d/1kGrh75X1cNR1D7_FcY9zMnHP8iPO4M5RCRjy6nZY0TY/edit#gid=1248694442"",""Table 5: Risk of bia"&amp;"s!T4:T175""), $A28=IMPORTRANGE(""https://docs.google.com/spreadsheets/d/1kGrh75X1cNR1D7_FcY9zMnHP8iPO4M5RCRjy6nZY0TY/edit#gid=1248694442"",""Table 5: Risk of bias!A4:A175"")))"),"Low")</f>
        <v>Low</v>
      </c>
      <c r="F28" s="4" t="str">
        <f>IFERROR(__xludf.DUMMYFUNCTION("IFS($B28=""ROBINS I"",FILTER(IMPORTRANGE(""https://docs.google.com/spreadsheets/d/1kGrh75X1cNR1D7_FcY9zMnHP8iPO4M5RCRjy6nZY0TY/edit#gid=1248694442"",""Table 5: Risk of bias!M4:M175""), $A28=IMPORTRANGE(""https://docs.google.com/spreadsheets/d/1kGrh75X1cNR"&amp;"1D7_FcY9zMnHP8iPO4M5RCRjy6nZY0TY/edit#gid=1248694442"",""Table 5: Risk of bias!A4:A175"")),$B28=""RoB 2"",FILTER(IMPORTRANGE(""https://docs.google.com/spreadsheets/d/1kGrh75X1cNR1D7_FcY9zMnHP8iPO4M5RCRjy6nZY0TY/edit#gid=1248694442"",""Table 5: Risk of bia"&amp;"s!U4:U175""), $A28=IMPORTRANGE(""https://docs.google.com/spreadsheets/d/1kGrh75X1cNR1D7_FcY9zMnHP8iPO4M5RCRjy6nZY0TY/edit#gid=1248694442"",""Table 5: Risk of bias!A4:A175"")))"),"Low")</f>
        <v>Low</v>
      </c>
      <c r="G28" s="4" t="str">
        <f>IFERROR(__xludf.DUMMYFUNCTION("IFS($B28=""ROBINS I"",FILTER(IMPORTRANGE(""https://docs.google.com/spreadsheets/d/1kGrh75X1cNR1D7_FcY9zMnHP8iPO4M5RCRjy6nZY0TY/edit#gid=1248694442"",""Table 5: Risk of bias!N4:N175""), $A28=IMPORTRANGE(""https://docs.google.com/spreadsheets/d/1kGrh75X1cNR"&amp;"1D7_FcY9zMnHP8iPO4M5RCRjy6nZY0TY/edit#gid=1248694442"",""Table 5: Risk of bias!A4:A175"")),$B28=""RoB 2"",FILTER(IMPORTRANGE(""https://docs.google.com/spreadsheets/d/1kGrh75X1cNR1D7_FcY9zMnHP8iPO4M5RCRjy6nZY0TY/edit#gid=1248694442"",""Table 5: Risk of bia"&amp;"s!V4:V175""), $A28=IMPORTRANGE(""https://docs.google.com/spreadsheets/d/1kGrh75X1cNR1D7_FcY9zMnHP8iPO4M5RCRjy6nZY0TY/edit#gid=1248694442"",""Table 5: Risk of bias!A4:A175"")))"),"Low")</f>
        <v>Low</v>
      </c>
      <c r="H28" s="4" t="str">
        <f>IFERROR(__xludf.DUMMYFUNCTION("IFS($B28=""ROBINS I"",FILTER(IMPORTRANGE(""https://docs.google.com/spreadsheets/d/1kGrh75X1cNR1D7_FcY9zMnHP8iPO4M5RCRjy6nZY0TY/edit#gid=1248694442"",""Table 5: Risk of bias!O4:O175""), $A28=IMPORTRANGE(""https://docs.google.com/spreadsheets/d/1kGrh75X1cNR"&amp;"1D7_FcY9zMnHP8iPO4M5RCRjy6nZY0TY/edit#gid=1248694442"",""Table 5: Risk of bias!A4:A175"")),$B28=""RoB 2"",FILTER(IMPORTRANGE(""https://docs.google.com/spreadsheets/d/1kGrh75X1cNR1D7_FcY9zMnHP8iPO4M5RCRjy6nZY0TY/edit#gid=1248694442"",""Table 5: Risk of bia"&amp;"s!W4:W175""), $A28=IMPORTRANGE(""https://docs.google.com/spreadsheets/d/1kGrh75X1cNR1D7_FcY9zMnHP8iPO4M5RCRjy6nZY0TY/edit#gid=1248694442"",""Table 5: Risk of bias!A4:A175"")))"),"Low")</f>
        <v>Low</v>
      </c>
      <c r="I28" s="4" t="str">
        <f>IFERROR(__xludf.DUMMYFUNCTION("FILTER(IMPORTRANGE(""https://docs.google.com/spreadsheets/d/1kGrh75X1cNR1D7_FcY9zMnHP8iPO4M5RCRjy6nZY0TY/edit#gid=1248694442"",""Table 5: Risk of bias!P4:P175""), $A28=IMPORTRANGE(""https://docs.google.com/spreadsheets/d/1kGrh75X1cNR1D7_FcY9zMnHP8iPO4M5RC"&amp;"Rjy6nZY0TY/edit#gid=1248694442"",""Table 5: Risk of bias!A4:A175""))"),"Low")</f>
        <v>Low</v>
      </c>
      <c r="J28" s="4" t="str">
        <f>IFERROR(__xludf.DUMMYFUNCTION("FILTER(IMPORTRANGE(""https://docs.google.com/spreadsheets/d/1kGrh75X1cNR1D7_FcY9zMnHP8iPO4M5RCRjy6nZY0TY/edit#gid=1248694442"",""Table 5: Risk of bias!Q4:Q175""), $A28=IMPORTRANGE(""https://docs.google.com/spreadsheets/d/1kGrh75X1cNR1D7_FcY9zMnHP8iPO4M5RC"&amp;"Rjy6nZY0TY/edit#gid=1248694442"",""Table 5: Risk of bias!A4:A175""))"),"Low")</f>
        <v>Low</v>
      </c>
    </row>
    <row r="29">
      <c r="A29" s="4" t="str">
        <f>IFERROR(__xludf.DUMMYFUNCTION("""COMPUTED_VALUE"""),"ID 47")</f>
        <v>ID 47</v>
      </c>
      <c r="B29" s="4" t="str">
        <f>IFERROR(__xludf.DUMMYFUNCTION("FILTER(IMPORTRANGE(""https://docs.google.com/spreadsheets/d/1kGrh75X1cNR1D7_FcY9zMnHP8iPO4M5RCRjy6nZY0TY/edit#gid=1248694442"",""Table 5: Risk of bias!D4:D175""), $A29=IMPORTRANGE(""https://docs.google.com/spreadsheets/d/1kGrh75X1cNR1D7_FcY9zMnHP8iPO4M5RC"&amp;"Rjy6nZY0TY/edit#gid=1248694442"",""Table 5: Risk of bias!A4:A175""))"),"ROBINS I")</f>
        <v>ROBINS I</v>
      </c>
      <c r="C29" s="4" t="str">
        <f>IFERROR(__xludf.DUMMYFUNCTION("IFS(
$B29=""ROBINS I"", FILTER(IMPORTRANGE(""https://docs.google.com/spreadsheets/d/1kGrh75X1cNR1D7_FcY9zMnHP8iPO4M5RCRjy6nZY0TY/edit#gid=1248694442"",""Table 5: Risk of bias!J4:J175""),  $A29=IMPORTRANGE(""https://docs.google.com/spreadsheets/d/1kGrh75X1"&amp;"cNR1D7_FcY9zMnHP8iPO4M5RCRjy6nZY0TY/edit#gid=1248694442"",""Table 5: Risk of bias!A4:A175"")),
$B29=""RoB 2"", FILTER(IMPORTRANGE(""https://docs.google.com/spreadsheets/d/1kGrh75X1cNR1D7_FcY9zMnHP8iPO4M5RCRjy6nZY0TY/edit#gid=1248694442"",""Table 5: Risk o"&amp;"f bias!R4:R175""), $A29=IMPORTRANGE(""https://docs.google.com/spreadsheets/d/1kGrh75X1cNR1D7_FcY9zMnHP8iPO4M5RCRjy6nZY0TY/edit#gid=1248694442"",""Table 5: Risk of bias!A4:A175""))
)"),"Serious")</f>
        <v>Serious</v>
      </c>
      <c r="D29" s="4" t="str">
        <f>IFERROR(__xludf.DUMMYFUNCTION("IFS($B29=""ROBINS I"",FILTER(IMPORTRANGE(""https://docs.google.com/spreadsheets/d/1kGrh75X1cNR1D7_FcY9zMnHP8iPO4M5RCRjy6nZY0TY/edit#gid=1248694442"",""Table 5: Risk of bias!K4:K175""), $A29=IMPORTRANGE(""https://docs.google.com/spreadsheets/d/1kGrh75X1cNR"&amp;"1D7_FcY9zMnHP8iPO4M5RCRjy6nZY0TY/edit#gid=1248694442"",""Table 5: Risk of bias!A4:A175"")),$B29=""RoB 2"",FILTER(IMPORTRANGE(""https://docs.google.com/spreadsheets/d/1kGrh75X1cNR1D7_FcY9zMnHP8iPO4M5RCRjy6nZY0TY/edit#gid=1248694442"",""Table 5: Risk of bia"&amp;"s!S4:S175""), $A29=IMPORTRANGE(""https://docs.google.com/spreadsheets/d/1kGrh75X1cNR1D7_FcY9zMnHP8iPO4M5RCRjy6nZY0TY/edit#gid=1248694442"",""Table 5: Risk of bias!A4:A175"")))"),"NI")</f>
        <v>NI</v>
      </c>
      <c r="E29" s="4" t="str">
        <f>IFERROR(__xludf.DUMMYFUNCTION("IFS($B29=""ROBINS I"",FILTER(IMPORTRANGE(""https://docs.google.com/spreadsheets/d/1kGrh75X1cNR1D7_FcY9zMnHP8iPO4M5RCRjy6nZY0TY/edit#gid=1248694442"",""Table 5: Risk of bias!L4:L175""), $A29=IMPORTRANGE(""https://docs.google.com/spreadsheets/d/1kGrh75X1cNR"&amp;"1D7_FcY9zMnHP8iPO4M5RCRjy6nZY0TY/edit#gid=1248694442"",""Table 5: Risk of bias!A4:A175"")),$B29=""RoB 2"",FILTER(IMPORTRANGE(""https://docs.google.com/spreadsheets/d/1kGrh75X1cNR1D7_FcY9zMnHP8iPO4M5RCRjy6nZY0TY/edit#gid=1248694442"",""Table 5: Risk of bia"&amp;"s!T4:T175""), $A29=IMPORTRANGE(""https://docs.google.com/spreadsheets/d/1kGrh75X1cNR1D7_FcY9zMnHP8iPO4M5RCRjy6nZY0TY/edit#gid=1248694442"",""Table 5: Risk of bias!A4:A175"")))"),"Moderate")</f>
        <v>Moderate</v>
      </c>
      <c r="F29" s="4" t="str">
        <f>IFERROR(__xludf.DUMMYFUNCTION("IFS($B29=""ROBINS I"",FILTER(IMPORTRANGE(""https://docs.google.com/spreadsheets/d/1kGrh75X1cNR1D7_FcY9zMnHP8iPO4M5RCRjy6nZY0TY/edit#gid=1248694442"",""Table 5: Risk of bias!M4:M175""), $A29=IMPORTRANGE(""https://docs.google.com/spreadsheets/d/1kGrh75X1cNR"&amp;"1D7_FcY9zMnHP8iPO4M5RCRjy6nZY0TY/edit#gid=1248694442"",""Table 5: Risk of bias!A4:A175"")),$B29=""RoB 2"",FILTER(IMPORTRANGE(""https://docs.google.com/spreadsheets/d/1kGrh75X1cNR1D7_FcY9zMnHP8iPO4M5RCRjy6nZY0TY/edit#gid=1248694442"",""Table 5: Risk of bia"&amp;"s!U4:U175""), $A29=IMPORTRANGE(""https://docs.google.com/spreadsheets/d/1kGrh75X1cNR1D7_FcY9zMnHP8iPO4M5RCRjy6nZY0TY/edit#gid=1248694442"",""Table 5: Risk of bias!A4:A175"")))"),"Moderate")</f>
        <v>Moderate</v>
      </c>
      <c r="G29" s="4" t="str">
        <f>IFERROR(__xludf.DUMMYFUNCTION("IFS($B29=""ROBINS I"",FILTER(IMPORTRANGE(""https://docs.google.com/spreadsheets/d/1kGrh75X1cNR1D7_FcY9zMnHP8iPO4M5RCRjy6nZY0TY/edit#gid=1248694442"",""Table 5: Risk of bias!N4:N175""), $A29=IMPORTRANGE(""https://docs.google.com/spreadsheets/d/1kGrh75X1cNR"&amp;"1D7_FcY9zMnHP8iPO4M5RCRjy6nZY0TY/edit#gid=1248694442"",""Table 5: Risk of bias!A4:A175"")),$B29=""RoB 2"",FILTER(IMPORTRANGE(""https://docs.google.com/spreadsheets/d/1kGrh75X1cNR1D7_FcY9zMnHP8iPO4M5RCRjy6nZY0TY/edit#gid=1248694442"",""Table 5: Risk of bia"&amp;"s!V4:V175""), $A29=IMPORTRANGE(""https://docs.google.com/spreadsheets/d/1kGrh75X1cNR1D7_FcY9zMnHP8iPO4M5RCRjy6nZY0TY/edit#gid=1248694442"",""Table 5: Risk of bias!A4:A175"")))"),"Low")</f>
        <v>Low</v>
      </c>
      <c r="H29" s="4" t="str">
        <f>IFERROR(__xludf.DUMMYFUNCTION("IFS($B29=""ROBINS I"",FILTER(IMPORTRANGE(""https://docs.google.com/spreadsheets/d/1kGrh75X1cNR1D7_FcY9zMnHP8iPO4M5RCRjy6nZY0TY/edit#gid=1248694442"",""Table 5: Risk of bias!O4:O175""), $A29=IMPORTRANGE(""https://docs.google.com/spreadsheets/d/1kGrh75X1cNR"&amp;"1D7_FcY9zMnHP8iPO4M5RCRjy6nZY0TY/edit#gid=1248694442"",""Table 5: Risk of bias!A4:A175"")),$B29=""RoB 2"",FILTER(IMPORTRANGE(""https://docs.google.com/spreadsheets/d/1kGrh75X1cNR1D7_FcY9zMnHP8iPO4M5RCRjy6nZY0TY/edit#gid=1248694442"",""Table 5: Risk of bia"&amp;"s!W4:W175""), $A29=IMPORTRANGE(""https://docs.google.com/spreadsheets/d/1kGrh75X1cNR1D7_FcY9zMnHP8iPO4M5RCRjy6nZY0TY/edit#gid=1248694442"",""Table 5: Risk of bias!A4:A175"")))"),"Low")</f>
        <v>Low</v>
      </c>
      <c r="I29" s="4" t="str">
        <f>IFERROR(__xludf.DUMMYFUNCTION("FILTER(IMPORTRANGE(""https://docs.google.com/spreadsheets/d/1kGrh75X1cNR1D7_FcY9zMnHP8iPO4M5RCRjy6nZY0TY/edit#gid=1248694442"",""Table 5: Risk of bias!P4:P175""), $A29=IMPORTRANGE(""https://docs.google.com/spreadsheets/d/1kGrh75X1cNR1D7_FcY9zMnHP8iPO4M5RC"&amp;"Rjy6nZY0TY/edit#gid=1248694442"",""Table 5: Risk of bias!A4:A175""))"),"Serious")</f>
        <v>Serious</v>
      </c>
      <c r="J29" s="4" t="str">
        <f>IFERROR(__xludf.DUMMYFUNCTION("FILTER(IMPORTRANGE(""https://docs.google.com/spreadsheets/d/1kGrh75X1cNR1D7_FcY9zMnHP8iPO4M5RCRjy6nZY0TY/edit#gid=1248694442"",""Table 5: Risk of bias!Q4:Q175""), $A29=IMPORTRANGE(""https://docs.google.com/spreadsheets/d/1kGrh75X1cNR1D7_FcY9zMnHP8iPO4M5RC"&amp;"Rjy6nZY0TY/edit#gid=1248694442"",""Table 5: Risk of bias!A4:A175""))"),"Low")</f>
        <v>Low</v>
      </c>
    </row>
    <row r="30">
      <c r="A30" s="4" t="str">
        <f>IFERROR(__xludf.DUMMYFUNCTION("""COMPUTED_VALUE"""),"ID 51")</f>
        <v>ID 51</v>
      </c>
      <c r="B30" s="4" t="str">
        <f>IFERROR(__xludf.DUMMYFUNCTION("FILTER(IMPORTRANGE(""https://docs.google.com/spreadsheets/d/1kGrh75X1cNR1D7_FcY9zMnHP8iPO4M5RCRjy6nZY0TY/edit#gid=1248694442"",""Table 5: Risk of bias!D4:D175""), $A30=IMPORTRANGE(""https://docs.google.com/spreadsheets/d/1kGrh75X1cNR1D7_FcY9zMnHP8iPO4M5RC"&amp;"Rjy6nZY0TY/edit#gid=1248694442"",""Table 5: Risk of bias!A4:A175""))"),"ROBINS I")</f>
        <v>ROBINS I</v>
      </c>
      <c r="C30" s="4" t="str">
        <f>IFERROR(__xludf.DUMMYFUNCTION("IFS(
$B30=""ROBINS I"", FILTER(IMPORTRANGE(""https://docs.google.com/spreadsheets/d/1kGrh75X1cNR1D7_FcY9zMnHP8iPO4M5RCRjy6nZY0TY/edit#gid=1248694442"",""Table 5: Risk of bias!J4:J175""),  $A30=IMPORTRANGE(""https://docs.google.com/spreadsheets/d/1kGrh75X1"&amp;"cNR1D7_FcY9zMnHP8iPO4M5RCRjy6nZY0TY/edit#gid=1248694442"",""Table 5: Risk of bias!A4:A175"")),
$B30=""RoB 2"", FILTER(IMPORTRANGE(""https://docs.google.com/spreadsheets/d/1kGrh75X1cNR1D7_FcY9zMnHP8iPO4M5RCRjy6nZY0TY/edit#gid=1248694442"",""Table 5: Risk o"&amp;"f bias!R4:R175""), $A30=IMPORTRANGE(""https://docs.google.com/spreadsheets/d/1kGrh75X1cNR1D7_FcY9zMnHP8iPO4M5RCRjy6nZY0TY/edit#gid=1248694442"",""Table 5: Risk of bias!A4:A175""))
)"),"Moderate")</f>
        <v>Moderate</v>
      </c>
      <c r="D30" s="4" t="str">
        <f>IFERROR(__xludf.DUMMYFUNCTION("IFS($B30=""ROBINS I"",FILTER(IMPORTRANGE(""https://docs.google.com/spreadsheets/d/1kGrh75X1cNR1D7_FcY9zMnHP8iPO4M5RCRjy6nZY0TY/edit#gid=1248694442"",""Table 5: Risk of bias!K4:K175""), $A30=IMPORTRANGE(""https://docs.google.com/spreadsheets/d/1kGrh75X1cNR"&amp;"1D7_FcY9zMnHP8iPO4M5RCRjy6nZY0TY/edit#gid=1248694442"",""Table 5: Risk of bias!A4:A175"")),$B30=""RoB 2"",FILTER(IMPORTRANGE(""https://docs.google.com/spreadsheets/d/1kGrh75X1cNR1D7_FcY9zMnHP8iPO4M5RCRjy6nZY0TY/edit#gid=1248694442"",""Table 5: Risk of bia"&amp;"s!S4:S175""), $A30=IMPORTRANGE(""https://docs.google.com/spreadsheets/d/1kGrh75X1cNR1D7_FcY9zMnHP8iPO4M5RCRjy6nZY0TY/edit#gid=1248694442"",""Table 5: Risk of bias!A4:A175"")))"),"Moderate")</f>
        <v>Moderate</v>
      </c>
      <c r="E30" s="4" t="str">
        <f>IFERROR(__xludf.DUMMYFUNCTION("IFS($B30=""ROBINS I"",FILTER(IMPORTRANGE(""https://docs.google.com/spreadsheets/d/1kGrh75X1cNR1D7_FcY9zMnHP8iPO4M5RCRjy6nZY0TY/edit#gid=1248694442"",""Table 5: Risk of bias!L4:L175""), $A30=IMPORTRANGE(""https://docs.google.com/spreadsheets/d/1kGrh75X1cNR"&amp;"1D7_FcY9zMnHP8iPO4M5RCRjy6nZY0TY/edit#gid=1248694442"",""Table 5: Risk of bias!A4:A175"")),$B30=""RoB 2"",FILTER(IMPORTRANGE(""https://docs.google.com/spreadsheets/d/1kGrh75X1cNR1D7_FcY9zMnHP8iPO4M5RCRjy6nZY0TY/edit#gid=1248694442"",""Table 5: Risk of bia"&amp;"s!T4:T175""), $A30=IMPORTRANGE(""https://docs.google.com/spreadsheets/d/1kGrh75X1cNR1D7_FcY9zMnHP8iPO4M5RCRjy6nZY0TY/edit#gid=1248694442"",""Table 5: Risk of bias!A4:A175"")))"),"NI")</f>
        <v>NI</v>
      </c>
      <c r="F30" s="4" t="str">
        <f>IFERROR(__xludf.DUMMYFUNCTION("IFS($B30=""ROBINS I"",FILTER(IMPORTRANGE(""https://docs.google.com/spreadsheets/d/1kGrh75X1cNR1D7_FcY9zMnHP8iPO4M5RCRjy6nZY0TY/edit#gid=1248694442"",""Table 5: Risk of bias!M4:M175""), $A30=IMPORTRANGE(""https://docs.google.com/spreadsheets/d/1kGrh75X1cNR"&amp;"1D7_FcY9zMnHP8iPO4M5RCRjy6nZY0TY/edit#gid=1248694442"",""Table 5: Risk of bias!A4:A175"")),$B30=""RoB 2"",FILTER(IMPORTRANGE(""https://docs.google.com/spreadsheets/d/1kGrh75X1cNR1D7_FcY9zMnHP8iPO4M5RCRjy6nZY0TY/edit#gid=1248694442"",""Table 5: Risk of bia"&amp;"s!U4:U175""), $A30=IMPORTRANGE(""https://docs.google.com/spreadsheets/d/1kGrh75X1cNR1D7_FcY9zMnHP8iPO4M5RCRjy6nZY0TY/edit#gid=1248694442"",""Table 5: Risk of bias!A4:A175"")))"),"Moderate")</f>
        <v>Moderate</v>
      </c>
      <c r="G30" s="4" t="str">
        <f>IFERROR(__xludf.DUMMYFUNCTION("IFS($B30=""ROBINS I"",FILTER(IMPORTRANGE(""https://docs.google.com/spreadsheets/d/1kGrh75X1cNR1D7_FcY9zMnHP8iPO4M5RCRjy6nZY0TY/edit#gid=1248694442"",""Table 5: Risk of bias!N4:N175""), $A30=IMPORTRANGE(""https://docs.google.com/spreadsheets/d/1kGrh75X1cNR"&amp;"1D7_FcY9zMnHP8iPO4M5RCRjy6nZY0TY/edit#gid=1248694442"",""Table 5: Risk of bias!A4:A175"")),$B30=""RoB 2"",FILTER(IMPORTRANGE(""https://docs.google.com/spreadsheets/d/1kGrh75X1cNR1D7_FcY9zMnHP8iPO4M5RCRjy6nZY0TY/edit#gid=1248694442"",""Table 5: Risk of bia"&amp;"s!V4:V175""), $A30=IMPORTRANGE(""https://docs.google.com/spreadsheets/d/1kGrh75X1cNR1D7_FcY9zMnHP8iPO4M5RCRjy6nZY0TY/edit#gid=1248694442"",""Table 5: Risk of bias!A4:A175"")))"),"Low")</f>
        <v>Low</v>
      </c>
      <c r="H30" s="4" t="str">
        <f>IFERROR(__xludf.DUMMYFUNCTION("IFS($B30=""ROBINS I"",FILTER(IMPORTRANGE(""https://docs.google.com/spreadsheets/d/1kGrh75X1cNR1D7_FcY9zMnHP8iPO4M5RCRjy6nZY0TY/edit#gid=1248694442"",""Table 5: Risk of bias!O4:O175""), $A30=IMPORTRANGE(""https://docs.google.com/spreadsheets/d/1kGrh75X1cNR"&amp;"1D7_FcY9zMnHP8iPO4M5RCRjy6nZY0TY/edit#gid=1248694442"",""Table 5: Risk of bias!A4:A175"")),$B30=""RoB 2"",FILTER(IMPORTRANGE(""https://docs.google.com/spreadsheets/d/1kGrh75X1cNR1D7_FcY9zMnHP8iPO4M5RCRjy6nZY0TY/edit#gid=1248694442"",""Table 5: Risk of bia"&amp;"s!W4:W175""), $A30=IMPORTRANGE(""https://docs.google.com/spreadsheets/d/1kGrh75X1cNR1D7_FcY9zMnHP8iPO4M5RCRjy6nZY0TY/edit#gid=1248694442"",""Table 5: Risk of bias!A4:A175"")))"),"Low")</f>
        <v>Low</v>
      </c>
      <c r="I30" s="4" t="str">
        <f>IFERROR(__xludf.DUMMYFUNCTION("FILTER(IMPORTRANGE(""https://docs.google.com/spreadsheets/d/1kGrh75X1cNR1D7_FcY9zMnHP8iPO4M5RCRjy6nZY0TY/edit#gid=1248694442"",""Table 5: Risk of bias!P4:P175""), $A30=IMPORTRANGE(""https://docs.google.com/spreadsheets/d/1kGrh75X1cNR1D7_FcY9zMnHP8iPO4M5RC"&amp;"Rjy6nZY0TY/edit#gid=1248694442"",""Table 5: Risk of bias!A4:A175""))"),"Low")</f>
        <v>Low</v>
      </c>
      <c r="J30" s="4" t="str">
        <f>IFERROR(__xludf.DUMMYFUNCTION("FILTER(IMPORTRANGE(""https://docs.google.com/spreadsheets/d/1kGrh75X1cNR1D7_FcY9zMnHP8iPO4M5RCRjy6nZY0TY/edit#gid=1248694442"",""Table 5: Risk of bias!Q4:Q175""), $A30=IMPORTRANGE(""https://docs.google.com/spreadsheets/d/1kGrh75X1cNR1D7_FcY9zMnHP8iPO4M5RC"&amp;"Rjy6nZY0TY/edit#gid=1248694442"",""Table 5: Risk of bias!A4:A175""))"),"Low")</f>
        <v>Low</v>
      </c>
    </row>
    <row r="31">
      <c r="A31" s="4" t="str">
        <f>IFERROR(__xludf.DUMMYFUNCTION("""COMPUTED_VALUE"""),"ID 52")</f>
        <v>ID 52</v>
      </c>
      <c r="B31" s="4" t="str">
        <f>IFERROR(__xludf.DUMMYFUNCTION("FILTER(IMPORTRANGE(""https://docs.google.com/spreadsheets/d/1kGrh75X1cNR1D7_FcY9zMnHP8iPO4M5RCRjy6nZY0TY/edit#gid=1248694442"",""Table 5: Risk of bias!D4:D175""), $A31=IMPORTRANGE(""https://docs.google.com/spreadsheets/d/1kGrh75X1cNR1D7_FcY9zMnHP8iPO4M5RC"&amp;"Rjy6nZY0TY/edit#gid=1248694442"",""Table 5: Risk of bias!A4:A175""))"),"ROBINS I")</f>
        <v>ROBINS I</v>
      </c>
      <c r="C31" s="4" t="str">
        <f>IFERROR(__xludf.DUMMYFUNCTION("IFS(
$B31=""ROBINS I"", FILTER(IMPORTRANGE(""https://docs.google.com/spreadsheets/d/1kGrh75X1cNR1D7_FcY9zMnHP8iPO4M5RCRjy6nZY0TY/edit#gid=1248694442"",""Table 5: Risk of bias!J4:J175""),  $A31=IMPORTRANGE(""https://docs.google.com/spreadsheets/d/1kGrh75X1"&amp;"cNR1D7_FcY9zMnHP8iPO4M5RCRjy6nZY0TY/edit#gid=1248694442"",""Table 5: Risk of bias!A4:A175"")),
$B31=""RoB 2"", FILTER(IMPORTRANGE(""https://docs.google.com/spreadsheets/d/1kGrh75X1cNR1D7_FcY9zMnHP8iPO4M5RCRjy6nZY0TY/edit#gid=1248694442"",""Table 5: Risk o"&amp;"f bias!R4:R175""), $A31=IMPORTRANGE(""https://docs.google.com/spreadsheets/d/1kGrh75X1cNR1D7_FcY9zMnHP8iPO4M5RCRjy6nZY0TY/edit#gid=1248694442"",""Table 5: Risk of bias!A4:A175""))
)"),"NI")</f>
        <v>NI</v>
      </c>
      <c r="D31" s="4" t="str">
        <f>IFERROR(__xludf.DUMMYFUNCTION("IFS($B31=""ROBINS I"",FILTER(IMPORTRANGE(""https://docs.google.com/spreadsheets/d/1kGrh75X1cNR1D7_FcY9zMnHP8iPO4M5RCRjy6nZY0TY/edit#gid=1248694442"",""Table 5: Risk of bias!K4:K175""), $A31=IMPORTRANGE(""https://docs.google.com/spreadsheets/d/1kGrh75X1cNR"&amp;"1D7_FcY9zMnHP8iPO4M5RCRjy6nZY0TY/edit#gid=1248694442"",""Table 5: Risk of bias!A4:A175"")),$B31=""RoB 2"",FILTER(IMPORTRANGE(""https://docs.google.com/spreadsheets/d/1kGrh75X1cNR1D7_FcY9zMnHP8iPO4M5RCRjy6nZY0TY/edit#gid=1248694442"",""Table 5: Risk of bia"&amp;"s!S4:S175""), $A31=IMPORTRANGE(""https://docs.google.com/spreadsheets/d/1kGrh75X1cNR1D7_FcY9zMnHP8iPO4M5RCRjy6nZY0TY/edit#gid=1248694442"",""Table 5: Risk of bias!A4:A175"")))"),"NI")</f>
        <v>NI</v>
      </c>
      <c r="E31" s="4" t="str">
        <f>IFERROR(__xludf.DUMMYFUNCTION("IFS($B31=""ROBINS I"",FILTER(IMPORTRANGE(""https://docs.google.com/spreadsheets/d/1kGrh75X1cNR1D7_FcY9zMnHP8iPO4M5RCRjy6nZY0TY/edit#gid=1248694442"",""Table 5: Risk of bias!L4:L175""), $A31=IMPORTRANGE(""https://docs.google.com/spreadsheets/d/1kGrh75X1cNR"&amp;"1D7_FcY9zMnHP8iPO4M5RCRjy6nZY0TY/edit#gid=1248694442"",""Table 5: Risk of bias!A4:A175"")),$B31=""RoB 2"",FILTER(IMPORTRANGE(""https://docs.google.com/spreadsheets/d/1kGrh75X1cNR1D7_FcY9zMnHP8iPO4M5RCRjy6nZY0TY/edit#gid=1248694442"",""Table 5: Risk of bia"&amp;"s!T4:T175""), $A31=IMPORTRANGE(""https://docs.google.com/spreadsheets/d/1kGrh75X1cNR1D7_FcY9zMnHP8iPO4M5RCRjy6nZY0TY/edit#gid=1248694442"",""Table 5: Risk of bias!A4:A175"")))"),"Low")</f>
        <v>Low</v>
      </c>
      <c r="F31" s="4" t="str">
        <f>IFERROR(__xludf.DUMMYFUNCTION("IFS($B31=""ROBINS I"",FILTER(IMPORTRANGE(""https://docs.google.com/spreadsheets/d/1kGrh75X1cNR1D7_FcY9zMnHP8iPO4M5RCRjy6nZY0TY/edit#gid=1248694442"",""Table 5: Risk of bias!M4:M175""), $A31=IMPORTRANGE(""https://docs.google.com/spreadsheets/d/1kGrh75X1cNR"&amp;"1D7_FcY9zMnHP8iPO4M5RCRjy6nZY0TY/edit#gid=1248694442"",""Table 5: Risk of bias!A4:A175"")),$B31=""RoB 2"",FILTER(IMPORTRANGE(""https://docs.google.com/spreadsheets/d/1kGrh75X1cNR1D7_FcY9zMnHP8iPO4M5RCRjy6nZY0TY/edit#gid=1248694442"",""Table 5: Risk of bia"&amp;"s!U4:U175""), $A31=IMPORTRANGE(""https://docs.google.com/spreadsheets/d/1kGrh75X1cNR1D7_FcY9zMnHP8iPO4M5RCRjy6nZY0TY/edit#gid=1248694442"",""Table 5: Risk of bias!A4:A175"")))"),"NI")</f>
        <v>NI</v>
      </c>
      <c r="G31" s="4" t="str">
        <f>IFERROR(__xludf.DUMMYFUNCTION("IFS($B31=""ROBINS I"",FILTER(IMPORTRANGE(""https://docs.google.com/spreadsheets/d/1kGrh75X1cNR1D7_FcY9zMnHP8iPO4M5RCRjy6nZY0TY/edit#gid=1248694442"",""Table 5: Risk of bias!N4:N175""), $A31=IMPORTRANGE(""https://docs.google.com/spreadsheets/d/1kGrh75X1cNR"&amp;"1D7_FcY9zMnHP8iPO4M5RCRjy6nZY0TY/edit#gid=1248694442"",""Table 5: Risk of bias!A4:A175"")),$B31=""RoB 2"",FILTER(IMPORTRANGE(""https://docs.google.com/spreadsheets/d/1kGrh75X1cNR1D7_FcY9zMnHP8iPO4M5RCRjy6nZY0TY/edit#gid=1248694442"",""Table 5: Risk of bia"&amp;"s!V4:V175""), $A31=IMPORTRANGE(""https://docs.google.com/spreadsheets/d/1kGrh75X1cNR1D7_FcY9zMnHP8iPO4M5RCRjy6nZY0TY/edit#gid=1248694442"",""Table 5: Risk of bias!A4:A175"")))"),"NI")</f>
        <v>NI</v>
      </c>
      <c r="H31" s="4" t="str">
        <f>IFERROR(__xludf.DUMMYFUNCTION("IFS($B31=""ROBINS I"",FILTER(IMPORTRANGE(""https://docs.google.com/spreadsheets/d/1kGrh75X1cNR1D7_FcY9zMnHP8iPO4M5RCRjy6nZY0TY/edit#gid=1248694442"",""Table 5: Risk of bias!O4:O175""), $A31=IMPORTRANGE(""https://docs.google.com/spreadsheets/d/1kGrh75X1cNR"&amp;"1D7_FcY9zMnHP8iPO4M5RCRjy6nZY0TY/edit#gid=1248694442"",""Table 5: Risk of bias!A4:A175"")),$B31=""RoB 2"",FILTER(IMPORTRANGE(""https://docs.google.com/spreadsheets/d/1kGrh75X1cNR1D7_FcY9zMnHP8iPO4M5RCRjy6nZY0TY/edit#gid=1248694442"",""Table 5: Risk of bia"&amp;"s!W4:W175""), $A31=IMPORTRANGE(""https://docs.google.com/spreadsheets/d/1kGrh75X1cNR1D7_FcY9zMnHP8iPO4M5RCRjy6nZY0TY/edit#gid=1248694442"",""Table 5: Risk of bias!A4:A175"")))"),"Low")</f>
        <v>Low</v>
      </c>
      <c r="I31" s="4" t="str">
        <f>IFERROR(__xludf.DUMMYFUNCTION("FILTER(IMPORTRANGE(""https://docs.google.com/spreadsheets/d/1kGrh75X1cNR1D7_FcY9zMnHP8iPO4M5RCRjy6nZY0TY/edit#gid=1248694442"",""Table 5: Risk of bias!P4:P175""), $A31=IMPORTRANGE(""https://docs.google.com/spreadsheets/d/1kGrh75X1cNR1D7_FcY9zMnHP8iPO4M5RC"&amp;"Rjy6nZY0TY/edit#gid=1248694442"",""Table 5: Risk of bias!A4:A175""))"),"NI")</f>
        <v>NI</v>
      </c>
      <c r="J31" s="4" t="str">
        <f>IFERROR(__xludf.DUMMYFUNCTION("FILTER(IMPORTRANGE(""https://docs.google.com/spreadsheets/d/1kGrh75X1cNR1D7_FcY9zMnHP8iPO4M5RCRjy6nZY0TY/edit#gid=1248694442"",""Table 5: Risk of bias!Q4:Q175""), $A31=IMPORTRANGE(""https://docs.google.com/spreadsheets/d/1kGrh75X1cNR1D7_FcY9zMnHP8iPO4M5RC"&amp;"Rjy6nZY0TY/edit#gid=1248694442"",""Table 5: Risk of bias!A4:A175""))"),"Low")</f>
        <v>Low</v>
      </c>
    </row>
    <row r="32">
      <c r="A32" s="4" t="str">
        <f>IFERROR(__xludf.DUMMYFUNCTION("""COMPUTED_VALUE"""),"ID 53")</f>
        <v>ID 53</v>
      </c>
      <c r="B32" s="4" t="str">
        <f>IFERROR(__xludf.DUMMYFUNCTION("FILTER(IMPORTRANGE(""https://docs.google.com/spreadsheets/d/1kGrh75X1cNR1D7_FcY9zMnHP8iPO4M5RCRjy6nZY0TY/edit#gid=1248694442"",""Table 5: Risk of bias!D4:D175""), $A32=IMPORTRANGE(""https://docs.google.com/spreadsheets/d/1kGrh75X1cNR1D7_FcY9zMnHP8iPO4M5RC"&amp;"Rjy6nZY0TY/edit#gid=1248694442"",""Table 5: Risk of bias!A4:A175""))"),"ROBINS I")</f>
        <v>ROBINS I</v>
      </c>
      <c r="C32" s="4" t="str">
        <f>IFERROR(__xludf.DUMMYFUNCTION("IFS(
$B32=""ROBINS I"", FILTER(IMPORTRANGE(""https://docs.google.com/spreadsheets/d/1kGrh75X1cNR1D7_FcY9zMnHP8iPO4M5RCRjy6nZY0TY/edit#gid=1248694442"",""Table 5: Risk of bias!J4:J175""),  $A32=IMPORTRANGE(""https://docs.google.com/spreadsheets/d/1kGrh75X1"&amp;"cNR1D7_FcY9zMnHP8iPO4M5RCRjy6nZY0TY/edit#gid=1248694442"",""Table 5: Risk of bias!A4:A175"")),
$B32=""RoB 2"", FILTER(IMPORTRANGE(""https://docs.google.com/spreadsheets/d/1kGrh75X1cNR1D7_FcY9zMnHP8iPO4M5RCRjy6nZY0TY/edit#gid=1248694442"",""Table 5: Risk o"&amp;"f bias!R4:R175""), $A32=IMPORTRANGE(""https://docs.google.com/spreadsheets/d/1kGrh75X1cNR1D7_FcY9zMnHP8iPO4M5RCRjy6nZY0TY/edit#gid=1248694442"",""Table 5: Risk of bias!A4:A175""))
)"),"NI")</f>
        <v>NI</v>
      </c>
      <c r="D32" s="4" t="str">
        <f>IFERROR(__xludf.DUMMYFUNCTION("IFS($B32=""ROBINS I"",FILTER(IMPORTRANGE(""https://docs.google.com/spreadsheets/d/1kGrh75X1cNR1D7_FcY9zMnHP8iPO4M5RCRjy6nZY0TY/edit#gid=1248694442"",""Table 5: Risk of bias!K4:K175""), $A32=IMPORTRANGE(""https://docs.google.com/spreadsheets/d/1kGrh75X1cNR"&amp;"1D7_FcY9zMnHP8iPO4M5RCRjy6nZY0TY/edit#gid=1248694442"",""Table 5: Risk of bias!A4:A175"")),$B32=""RoB 2"",FILTER(IMPORTRANGE(""https://docs.google.com/spreadsheets/d/1kGrh75X1cNR1D7_FcY9zMnHP8iPO4M5RCRjy6nZY0TY/edit#gid=1248694442"",""Table 5: Risk of bia"&amp;"s!S4:S175""), $A32=IMPORTRANGE(""https://docs.google.com/spreadsheets/d/1kGrh75X1cNR1D7_FcY9zMnHP8iPO4M5RCRjy6nZY0TY/edit#gid=1248694442"",""Table 5: Risk of bias!A4:A175"")))"),"NI")</f>
        <v>NI</v>
      </c>
      <c r="E32" s="4" t="str">
        <f>IFERROR(__xludf.DUMMYFUNCTION("IFS($B32=""ROBINS I"",FILTER(IMPORTRANGE(""https://docs.google.com/spreadsheets/d/1kGrh75X1cNR1D7_FcY9zMnHP8iPO4M5RCRjy6nZY0TY/edit#gid=1248694442"",""Table 5: Risk of bias!L4:L175""), $A32=IMPORTRANGE(""https://docs.google.com/spreadsheets/d/1kGrh75X1cNR"&amp;"1D7_FcY9zMnHP8iPO4M5RCRjy6nZY0TY/edit#gid=1248694442"",""Table 5: Risk of bias!A4:A175"")),$B32=""RoB 2"",FILTER(IMPORTRANGE(""https://docs.google.com/spreadsheets/d/1kGrh75X1cNR1D7_FcY9zMnHP8iPO4M5RCRjy6nZY0TY/edit#gid=1248694442"",""Table 5: Risk of bia"&amp;"s!T4:T175""), $A32=IMPORTRANGE(""https://docs.google.com/spreadsheets/d/1kGrh75X1cNR1D7_FcY9zMnHP8iPO4M5RCRjy6nZY0TY/edit#gid=1248694442"",""Table 5: Risk of bias!A4:A175"")))"),"Low")</f>
        <v>Low</v>
      </c>
      <c r="F32" s="4" t="str">
        <f>IFERROR(__xludf.DUMMYFUNCTION("IFS($B32=""ROBINS I"",FILTER(IMPORTRANGE(""https://docs.google.com/spreadsheets/d/1kGrh75X1cNR1D7_FcY9zMnHP8iPO4M5RCRjy6nZY0TY/edit#gid=1248694442"",""Table 5: Risk of bias!M4:M175""), $A32=IMPORTRANGE(""https://docs.google.com/spreadsheets/d/1kGrh75X1cNR"&amp;"1D7_FcY9zMnHP8iPO4M5RCRjy6nZY0TY/edit#gid=1248694442"",""Table 5: Risk of bias!A4:A175"")),$B32=""RoB 2"",FILTER(IMPORTRANGE(""https://docs.google.com/spreadsheets/d/1kGrh75X1cNR1D7_FcY9zMnHP8iPO4M5RCRjy6nZY0TY/edit#gid=1248694442"",""Table 5: Risk of bia"&amp;"s!U4:U175""), $A32=IMPORTRANGE(""https://docs.google.com/spreadsheets/d/1kGrh75X1cNR1D7_FcY9zMnHP8iPO4M5RCRjy6nZY0TY/edit#gid=1248694442"",""Table 5: Risk of bias!A4:A175"")))"),"NI")</f>
        <v>NI</v>
      </c>
      <c r="G32" s="4" t="str">
        <f>IFERROR(__xludf.DUMMYFUNCTION("IFS($B32=""ROBINS I"",FILTER(IMPORTRANGE(""https://docs.google.com/spreadsheets/d/1kGrh75X1cNR1D7_FcY9zMnHP8iPO4M5RCRjy6nZY0TY/edit#gid=1248694442"",""Table 5: Risk of bias!N4:N175""), $A32=IMPORTRANGE(""https://docs.google.com/spreadsheets/d/1kGrh75X1cNR"&amp;"1D7_FcY9zMnHP8iPO4M5RCRjy6nZY0TY/edit#gid=1248694442"",""Table 5: Risk of bias!A4:A175"")),$B32=""RoB 2"",FILTER(IMPORTRANGE(""https://docs.google.com/spreadsheets/d/1kGrh75X1cNR1D7_FcY9zMnHP8iPO4M5RCRjy6nZY0TY/edit#gid=1248694442"",""Table 5: Risk of bia"&amp;"s!V4:V175""), $A32=IMPORTRANGE(""https://docs.google.com/spreadsheets/d/1kGrh75X1cNR1D7_FcY9zMnHP8iPO4M5RCRjy6nZY0TY/edit#gid=1248694442"",""Table 5: Risk of bias!A4:A175"")))"),"NI")</f>
        <v>NI</v>
      </c>
      <c r="H32" s="4" t="str">
        <f>IFERROR(__xludf.DUMMYFUNCTION("IFS($B32=""ROBINS I"",FILTER(IMPORTRANGE(""https://docs.google.com/spreadsheets/d/1kGrh75X1cNR1D7_FcY9zMnHP8iPO4M5RCRjy6nZY0TY/edit#gid=1248694442"",""Table 5: Risk of bias!O4:O175""), $A32=IMPORTRANGE(""https://docs.google.com/spreadsheets/d/1kGrh75X1cNR"&amp;"1D7_FcY9zMnHP8iPO4M5RCRjy6nZY0TY/edit#gid=1248694442"",""Table 5: Risk of bias!A4:A175"")),$B32=""RoB 2"",FILTER(IMPORTRANGE(""https://docs.google.com/spreadsheets/d/1kGrh75X1cNR1D7_FcY9zMnHP8iPO4M5RCRjy6nZY0TY/edit#gid=1248694442"",""Table 5: Risk of bia"&amp;"s!W4:W175""), $A32=IMPORTRANGE(""https://docs.google.com/spreadsheets/d/1kGrh75X1cNR1D7_FcY9zMnHP8iPO4M5RCRjy6nZY0TY/edit#gid=1248694442"",""Table 5: Risk of bias!A4:A175"")))"),"Low")</f>
        <v>Low</v>
      </c>
      <c r="I32" s="4" t="str">
        <f>IFERROR(__xludf.DUMMYFUNCTION("FILTER(IMPORTRANGE(""https://docs.google.com/spreadsheets/d/1kGrh75X1cNR1D7_FcY9zMnHP8iPO4M5RCRjy6nZY0TY/edit#gid=1248694442"",""Table 5: Risk of bias!P4:P175""), $A32=IMPORTRANGE(""https://docs.google.com/spreadsheets/d/1kGrh75X1cNR1D7_FcY9zMnHP8iPO4M5RC"&amp;"Rjy6nZY0TY/edit#gid=1248694442"",""Table 5: Risk of bias!A4:A175""))"),"Low")</f>
        <v>Low</v>
      </c>
      <c r="J32" s="4" t="str">
        <f>IFERROR(__xludf.DUMMYFUNCTION("FILTER(IMPORTRANGE(""https://docs.google.com/spreadsheets/d/1kGrh75X1cNR1D7_FcY9zMnHP8iPO4M5RCRjy6nZY0TY/edit#gid=1248694442"",""Table 5: Risk of bias!Q4:Q175""), $A32=IMPORTRANGE(""https://docs.google.com/spreadsheets/d/1kGrh75X1cNR1D7_FcY9zMnHP8iPO4M5RC"&amp;"Rjy6nZY0TY/edit#gid=1248694442"",""Table 5: Risk of bias!A4:A175""))"),"NI")</f>
        <v>NI</v>
      </c>
    </row>
    <row r="33">
      <c r="A33" s="4" t="str">
        <f>IFERROR(__xludf.DUMMYFUNCTION("""COMPUTED_VALUE"""),"ID 58")</f>
        <v>ID 58</v>
      </c>
      <c r="B33" s="4" t="str">
        <f>IFERROR(__xludf.DUMMYFUNCTION("FILTER(IMPORTRANGE(""https://docs.google.com/spreadsheets/d/1kGrh75X1cNR1D7_FcY9zMnHP8iPO4M5RCRjy6nZY0TY/edit#gid=1248694442"",""Table 5: Risk of bias!D4:D175""), $A33=IMPORTRANGE(""https://docs.google.com/spreadsheets/d/1kGrh75X1cNR1D7_FcY9zMnHP8iPO4M5RC"&amp;"Rjy6nZY0TY/edit#gid=1248694442"",""Table 5: Risk of bias!A4:A175""))"),"ROBINS I")</f>
        <v>ROBINS I</v>
      </c>
      <c r="C33" s="4" t="str">
        <f>IFERROR(__xludf.DUMMYFUNCTION("IFS(
$B33=""ROBINS I"", FILTER(IMPORTRANGE(""https://docs.google.com/spreadsheets/d/1kGrh75X1cNR1D7_FcY9zMnHP8iPO4M5RCRjy6nZY0TY/edit#gid=1248694442"",""Table 5: Risk of bias!J4:J175""),  $A33=IMPORTRANGE(""https://docs.google.com/spreadsheets/d/1kGrh75X1"&amp;"cNR1D7_FcY9zMnHP8iPO4M5RCRjy6nZY0TY/edit#gid=1248694442"",""Table 5: Risk of bias!A4:A175"")),
$B33=""RoB 2"", FILTER(IMPORTRANGE(""https://docs.google.com/spreadsheets/d/1kGrh75X1cNR1D7_FcY9zMnHP8iPO4M5RCRjy6nZY0TY/edit#gid=1248694442"",""Table 5: Risk o"&amp;"f bias!R4:R175""), $A33=IMPORTRANGE(""https://docs.google.com/spreadsheets/d/1kGrh75X1cNR1D7_FcY9zMnHP8iPO4M5RCRjy6nZY0TY/edit#gid=1248694442"",""Table 5: Risk of bias!A4:A175""))
)"),"Moderate")</f>
        <v>Moderate</v>
      </c>
      <c r="D33" s="4" t="str">
        <f>IFERROR(__xludf.DUMMYFUNCTION("IFS($B33=""ROBINS I"",FILTER(IMPORTRANGE(""https://docs.google.com/spreadsheets/d/1kGrh75X1cNR1D7_FcY9zMnHP8iPO4M5RCRjy6nZY0TY/edit#gid=1248694442"",""Table 5: Risk of bias!K4:K175""), $A33=IMPORTRANGE(""https://docs.google.com/spreadsheets/d/1kGrh75X1cNR"&amp;"1D7_FcY9zMnHP8iPO4M5RCRjy6nZY0TY/edit#gid=1248694442"",""Table 5: Risk of bias!A4:A175"")),$B33=""RoB 2"",FILTER(IMPORTRANGE(""https://docs.google.com/spreadsheets/d/1kGrh75X1cNR1D7_FcY9zMnHP8iPO4M5RCRjy6nZY0TY/edit#gid=1248694442"",""Table 5: Risk of bia"&amp;"s!S4:S175""), $A33=IMPORTRANGE(""https://docs.google.com/spreadsheets/d/1kGrh75X1cNR1D7_FcY9zMnHP8iPO4M5RCRjy6nZY0TY/edit#gid=1248694442"",""Table 5: Risk of bias!A4:A175"")))"),"Low")</f>
        <v>Low</v>
      </c>
      <c r="E33" s="4" t="str">
        <f>IFERROR(__xludf.DUMMYFUNCTION("IFS($B33=""ROBINS I"",FILTER(IMPORTRANGE(""https://docs.google.com/spreadsheets/d/1kGrh75X1cNR1D7_FcY9zMnHP8iPO4M5RCRjy6nZY0TY/edit#gid=1248694442"",""Table 5: Risk of bias!L4:L175""), $A33=IMPORTRANGE(""https://docs.google.com/spreadsheets/d/1kGrh75X1cNR"&amp;"1D7_FcY9zMnHP8iPO4M5RCRjy6nZY0TY/edit#gid=1248694442"",""Table 5: Risk of bias!A4:A175"")),$B33=""RoB 2"",FILTER(IMPORTRANGE(""https://docs.google.com/spreadsheets/d/1kGrh75X1cNR1D7_FcY9zMnHP8iPO4M5RCRjy6nZY0TY/edit#gid=1248694442"",""Table 5: Risk of bia"&amp;"s!T4:T175""), $A33=IMPORTRANGE(""https://docs.google.com/spreadsheets/d/1kGrh75X1cNR1D7_FcY9zMnHP8iPO4M5RCRjy6nZY0TY/edit#gid=1248694442"",""Table 5: Risk of bias!A4:A175"")))"),"Low")</f>
        <v>Low</v>
      </c>
      <c r="F33" s="4" t="str">
        <f>IFERROR(__xludf.DUMMYFUNCTION("IFS($B33=""ROBINS I"",FILTER(IMPORTRANGE(""https://docs.google.com/spreadsheets/d/1kGrh75X1cNR1D7_FcY9zMnHP8iPO4M5RCRjy6nZY0TY/edit#gid=1248694442"",""Table 5: Risk of bias!M4:M175""), $A33=IMPORTRANGE(""https://docs.google.com/spreadsheets/d/1kGrh75X1cNR"&amp;"1D7_FcY9zMnHP8iPO4M5RCRjy6nZY0TY/edit#gid=1248694442"",""Table 5: Risk of bias!A4:A175"")),$B33=""RoB 2"",FILTER(IMPORTRANGE(""https://docs.google.com/spreadsheets/d/1kGrh75X1cNR1D7_FcY9zMnHP8iPO4M5RCRjy6nZY0TY/edit#gid=1248694442"",""Table 5: Risk of bia"&amp;"s!U4:U175""), $A33=IMPORTRANGE(""https://docs.google.com/spreadsheets/d/1kGrh75X1cNR1D7_FcY9zMnHP8iPO4M5RCRjy6nZY0TY/edit#gid=1248694442"",""Table 5: Risk of bias!A4:A175"")))"),"Low")</f>
        <v>Low</v>
      </c>
      <c r="G33" s="4" t="str">
        <f>IFERROR(__xludf.DUMMYFUNCTION("IFS($B33=""ROBINS I"",FILTER(IMPORTRANGE(""https://docs.google.com/spreadsheets/d/1kGrh75X1cNR1D7_FcY9zMnHP8iPO4M5RCRjy6nZY0TY/edit#gid=1248694442"",""Table 5: Risk of bias!N4:N175""), $A33=IMPORTRANGE(""https://docs.google.com/spreadsheets/d/1kGrh75X1cNR"&amp;"1D7_FcY9zMnHP8iPO4M5RCRjy6nZY0TY/edit#gid=1248694442"",""Table 5: Risk of bias!A4:A175"")),$B33=""RoB 2"",FILTER(IMPORTRANGE(""https://docs.google.com/spreadsheets/d/1kGrh75X1cNR1D7_FcY9zMnHP8iPO4M5RCRjy6nZY0TY/edit#gid=1248694442"",""Table 5: Risk of bia"&amp;"s!V4:V175""), $A33=IMPORTRANGE(""https://docs.google.com/spreadsheets/d/1kGrh75X1cNR1D7_FcY9zMnHP8iPO4M5RCRjy6nZY0TY/edit#gid=1248694442"",""Table 5: Risk of bias!A4:A175"")))"),"Low")</f>
        <v>Low</v>
      </c>
      <c r="H33" s="4" t="str">
        <f>IFERROR(__xludf.DUMMYFUNCTION("IFS($B33=""ROBINS I"",FILTER(IMPORTRANGE(""https://docs.google.com/spreadsheets/d/1kGrh75X1cNR1D7_FcY9zMnHP8iPO4M5RCRjy6nZY0TY/edit#gid=1248694442"",""Table 5: Risk of bias!O4:O175""), $A33=IMPORTRANGE(""https://docs.google.com/spreadsheets/d/1kGrh75X1cNR"&amp;"1D7_FcY9zMnHP8iPO4M5RCRjy6nZY0TY/edit#gid=1248694442"",""Table 5: Risk of bias!A4:A175"")),$B33=""RoB 2"",FILTER(IMPORTRANGE(""https://docs.google.com/spreadsheets/d/1kGrh75X1cNR1D7_FcY9zMnHP8iPO4M5RCRjy6nZY0TY/edit#gid=1248694442"",""Table 5: Risk of bia"&amp;"s!W4:W175""), $A33=IMPORTRANGE(""https://docs.google.com/spreadsheets/d/1kGrh75X1cNR1D7_FcY9zMnHP8iPO4M5RCRjy6nZY0TY/edit#gid=1248694442"",""Table 5: Risk of bias!A4:A175"")))"),"Low")</f>
        <v>Low</v>
      </c>
      <c r="I33" s="4" t="str">
        <f>IFERROR(__xludf.DUMMYFUNCTION("FILTER(IMPORTRANGE(""https://docs.google.com/spreadsheets/d/1kGrh75X1cNR1D7_FcY9zMnHP8iPO4M5RCRjy6nZY0TY/edit#gid=1248694442"",""Table 5: Risk of bias!P4:P175""), $A33=IMPORTRANGE(""https://docs.google.com/spreadsheets/d/1kGrh75X1cNR1D7_FcY9zMnHP8iPO4M5RC"&amp;"Rjy6nZY0TY/edit#gid=1248694442"",""Table 5: Risk of bias!A4:A175""))"),"Moderate")</f>
        <v>Moderate</v>
      </c>
      <c r="J33" s="4" t="str">
        <f>IFERROR(__xludf.DUMMYFUNCTION("FILTER(IMPORTRANGE(""https://docs.google.com/spreadsheets/d/1kGrh75X1cNR1D7_FcY9zMnHP8iPO4M5RCRjy6nZY0TY/edit#gid=1248694442"",""Table 5: Risk of bias!Q4:Q175""), $A33=IMPORTRANGE(""https://docs.google.com/spreadsheets/d/1kGrh75X1cNR1D7_FcY9zMnHP8iPO4M5RC"&amp;"Rjy6nZY0TY/edit#gid=1248694442"",""Table 5: Risk of bias!A4:A175""))"),"Low")</f>
        <v>Low</v>
      </c>
    </row>
    <row r="34">
      <c r="A34" s="4" t="str">
        <f>IFERROR(__xludf.DUMMYFUNCTION("""COMPUTED_VALUE"""),"ID 60")</f>
        <v>ID 60</v>
      </c>
      <c r="B34" s="4" t="str">
        <f>IFERROR(__xludf.DUMMYFUNCTION("FILTER(IMPORTRANGE(""https://docs.google.com/spreadsheets/d/1kGrh75X1cNR1D7_FcY9zMnHP8iPO4M5RCRjy6nZY0TY/edit#gid=1248694442"",""Table 5: Risk of bias!D4:D175""), $A34=IMPORTRANGE(""https://docs.google.com/spreadsheets/d/1kGrh75X1cNR1D7_FcY9zMnHP8iPO4M5RC"&amp;"Rjy6nZY0TY/edit#gid=1248694442"",""Table 5: Risk of bias!A4:A175""))"),"ROBINS I")</f>
        <v>ROBINS I</v>
      </c>
      <c r="C34" s="4" t="str">
        <f>IFERROR(__xludf.DUMMYFUNCTION("IFS(
$B34=""ROBINS I"", FILTER(IMPORTRANGE(""https://docs.google.com/spreadsheets/d/1kGrh75X1cNR1D7_FcY9zMnHP8iPO4M5RCRjy6nZY0TY/edit#gid=1248694442"",""Table 5: Risk of bias!J4:J175""),  $A34=IMPORTRANGE(""https://docs.google.com/spreadsheets/d/1kGrh75X1"&amp;"cNR1D7_FcY9zMnHP8iPO4M5RCRjy6nZY0TY/edit#gid=1248694442"",""Table 5: Risk of bias!A4:A175"")),
$B34=""RoB 2"", FILTER(IMPORTRANGE(""https://docs.google.com/spreadsheets/d/1kGrh75X1cNR1D7_FcY9zMnHP8iPO4M5RCRjy6nZY0TY/edit#gid=1248694442"",""Table 5: Risk o"&amp;"f bias!R4:R175""), $A34=IMPORTRANGE(""https://docs.google.com/spreadsheets/d/1kGrh75X1cNR1D7_FcY9zMnHP8iPO4M5RCRjy6nZY0TY/edit#gid=1248694442"",""Table 5: Risk of bias!A4:A175""))
)"),"Low")</f>
        <v>Low</v>
      </c>
      <c r="D34" s="4" t="str">
        <f>IFERROR(__xludf.DUMMYFUNCTION("IFS($B34=""ROBINS I"",FILTER(IMPORTRANGE(""https://docs.google.com/spreadsheets/d/1kGrh75X1cNR1D7_FcY9zMnHP8iPO4M5RCRjy6nZY0TY/edit#gid=1248694442"",""Table 5: Risk of bias!K4:K175""), $A34=IMPORTRANGE(""https://docs.google.com/spreadsheets/d/1kGrh75X1cNR"&amp;"1D7_FcY9zMnHP8iPO4M5RCRjy6nZY0TY/edit#gid=1248694442"",""Table 5: Risk of bias!A4:A175"")),$B34=""RoB 2"",FILTER(IMPORTRANGE(""https://docs.google.com/spreadsheets/d/1kGrh75X1cNR1D7_FcY9zMnHP8iPO4M5RCRjy6nZY0TY/edit#gid=1248694442"",""Table 5: Risk of bia"&amp;"s!S4:S175""), $A34=IMPORTRANGE(""https://docs.google.com/spreadsheets/d/1kGrh75X1cNR1D7_FcY9zMnHP8iPO4M5RCRjy6nZY0TY/edit#gid=1248694442"",""Table 5: Risk of bias!A4:A175"")))"),"Low")</f>
        <v>Low</v>
      </c>
      <c r="E34" s="4" t="str">
        <f>IFERROR(__xludf.DUMMYFUNCTION("IFS($B34=""ROBINS I"",FILTER(IMPORTRANGE(""https://docs.google.com/spreadsheets/d/1kGrh75X1cNR1D7_FcY9zMnHP8iPO4M5RCRjy6nZY0TY/edit#gid=1248694442"",""Table 5: Risk of bias!L4:L175""), $A34=IMPORTRANGE(""https://docs.google.com/spreadsheets/d/1kGrh75X1cNR"&amp;"1D7_FcY9zMnHP8iPO4M5RCRjy6nZY0TY/edit#gid=1248694442"",""Table 5: Risk of bias!A4:A175"")),$B34=""RoB 2"",FILTER(IMPORTRANGE(""https://docs.google.com/spreadsheets/d/1kGrh75X1cNR1D7_FcY9zMnHP8iPO4M5RCRjy6nZY0TY/edit#gid=1248694442"",""Table 5: Risk of bia"&amp;"s!T4:T175""), $A34=IMPORTRANGE(""https://docs.google.com/spreadsheets/d/1kGrh75X1cNR1D7_FcY9zMnHP8iPO4M5RCRjy6nZY0TY/edit#gid=1248694442"",""Table 5: Risk of bias!A4:A175"")))"),"Low")</f>
        <v>Low</v>
      </c>
      <c r="F34" s="4" t="str">
        <f>IFERROR(__xludf.DUMMYFUNCTION("IFS($B34=""ROBINS I"",FILTER(IMPORTRANGE(""https://docs.google.com/spreadsheets/d/1kGrh75X1cNR1D7_FcY9zMnHP8iPO4M5RCRjy6nZY0TY/edit#gid=1248694442"",""Table 5: Risk of bias!M4:M175""), $A34=IMPORTRANGE(""https://docs.google.com/spreadsheets/d/1kGrh75X1cNR"&amp;"1D7_FcY9zMnHP8iPO4M5RCRjy6nZY0TY/edit#gid=1248694442"",""Table 5: Risk of bias!A4:A175"")),$B34=""RoB 2"",FILTER(IMPORTRANGE(""https://docs.google.com/spreadsheets/d/1kGrh75X1cNR1D7_FcY9zMnHP8iPO4M5RCRjy6nZY0TY/edit#gid=1248694442"",""Table 5: Risk of bia"&amp;"s!U4:U175""), $A34=IMPORTRANGE(""https://docs.google.com/spreadsheets/d/1kGrh75X1cNR1D7_FcY9zMnHP8iPO4M5RCRjy6nZY0TY/edit#gid=1248694442"",""Table 5: Risk of bias!A4:A175"")))"),"Low")</f>
        <v>Low</v>
      </c>
      <c r="G34" s="4" t="str">
        <f>IFERROR(__xludf.DUMMYFUNCTION("IFS($B34=""ROBINS I"",FILTER(IMPORTRANGE(""https://docs.google.com/spreadsheets/d/1kGrh75X1cNR1D7_FcY9zMnHP8iPO4M5RCRjy6nZY0TY/edit#gid=1248694442"",""Table 5: Risk of bias!N4:N175""), $A34=IMPORTRANGE(""https://docs.google.com/spreadsheets/d/1kGrh75X1cNR"&amp;"1D7_FcY9zMnHP8iPO4M5RCRjy6nZY0TY/edit#gid=1248694442"",""Table 5: Risk of bias!A4:A175"")),$B34=""RoB 2"",FILTER(IMPORTRANGE(""https://docs.google.com/spreadsheets/d/1kGrh75X1cNR1D7_FcY9zMnHP8iPO4M5RCRjy6nZY0TY/edit#gid=1248694442"",""Table 5: Risk of bia"&amp;"s!V4:V175""), $A34=IMPORTRANGE(""https://docs.google.com/spreadsheets/d/1kGrh75X1cNR1D7_FcY9zMnHP8iPO4M5RCRjy6nZY0TY/edit#gid=1248694442"",""Table 5: Risk of bias!A4:A175"")))"),"Low")</f>
        <v>Low</v>
      </c>
      <c r="H34" s="4" t="str">
        <f>IFERROR(__xludf.DUMMYFUNCTION("IFS($B34=""ROBINS I"",FILTER(IMPORTRANGE(""https://docs.google.com/spreadsheets/d/1kGrh75X1cNR1D7_FcY9zMnHP8iPO4M5RCRjy6nZY0TY/edit#gid=1248694442"",""Table 5: Risk of bias!O4:O175""), $A34=IMPORTRANGE(""https://docs.google.com/spreadsheets/d/1kGrh75X1cNR"&amp;"1D7_FcY9zMnHP8iPO4M5RCRjy6nZY0TY/edit#gid=1248694442"",""Table 5: Risk of bias!A4:A175"")),$B34=""RoB 2"",FILTER(IMPORTRANGE(""https://docs.google.com/spreadsheets/d/1kGrh75X1cNR1D7_FcY9zMnHP8iPO4M5RCRjy6nZY0TY/edit#gid=1248694442"",""Table 5: Risk of bia"&amp;"s!W4:W175""), $A34=IMPORTRANGE(""https://docs.google.com/spreadsheets/d/1kGrh75X1cNR1D7_FcY9zMnHP8iPO4M5RCRjy6nZY0TY/edit#gid=1248694442"",""Table 5: Risk of bias!A4:A175"")))"),"Low")</f>
        <v>Low</v>
      </c>
      <c r="I34" s="4" t="str">
        <f>IFERROR(__xludf.DUMMYFUNCTION("FILTER(IMPORTRANGE(""https://docs.google.com/spreadsheets/d/1kGrh75X1cNR1D7_FcY9zMnHP8iPO4M5RCRjy6nZY0TY/edit#gid=1248694442"",""Table 5: Risk of bias!P4:P175""), $A34=IMPORTRANGE(""https://docs.google.com/spreadsheets/d/1kGrh75X1cNR1D7_FcY9zMnHP8iPO4M5RC"&amp;"Rjy6nZY0TY/edit#gid=1248694442"",""Table 5: Risk of bias!A4:A175""))"),"Low")</f>
        <v>Low</v>
      </c>
      <c r="J34" s="4" t="str">
        <f>IFERROR(__xludf.DUMMYFUNCTION("FILTER(IMPORTRANGE(""https://docs.google.com/spreadsheets/d/1kGrh75X1cNR1D7_FcY9zMnHP8iPO4M5RCRjy6nZY0TY/edit#gid=1248694442"",""Table 5: Risk of bias!Q4:Q175""), $A34=IMPORTRANGE(""https://docs.google.com/spreadsheets/d/1kGrh75X1cNR1D7_FcY9zMnHP8iPO4M5RC"&amp;"Rjy6nZY0TY/edit#gid=1248694442"",""Table 5: Risk of bias!A4:A175""))"),"Low")</f>
        <v>Low</v>
      </c>
    </row>
    <row r="35">
      <c r="A35" s="4" t="str">
        <f>IFERROR(__xludf.DUMMYFUNCTION("""COMPUTED_VALUE"""),"ID 66")</f>
        <v>ID 66</v>
      </c>
      <c r="B35" s="4" t="str">
        <f>IFERROR(__xludf.DUMMYFUNCTION("FILTER(IMPORTRANGE(""https://docs.google.com/spreadsheets/d/1kGrh75X1cNR1D7_FcY9zMnHP8iPO4M5RCRjy6nZY0TY/edit#gid=1248694442"",""Table 5: Risk of bias!D4:D175""), $A35=IMPORTRANGE(""https://docs.google.com/spreadsheets/d/1kGrh75X1cNR1D7_FcY9zMnHP8iPO4M5RC"&amp;"Rjy6nZY0TY/edit#gid=1248694442"",""Table 5: Risk of bias!A4:A175""))"),"ROBINS I")</f>
        <v>ROBINS I</v>
      </c>
      <c r="C35" s="4" t="str">
        <f>IFERROR(__xludf.DUMMYFUNCTION("IFS(
$B35=""ROBINS I"", FILTER(IMPORTRANGE(""https://docs.google.com/spreadsheets/d/1kGrh75X1cNR1D7_FcY9zMnHP8iPO4M5RCRjy6nZY0TY/edit#gid=1248694442"",""Table 5: Risk of bias!J4:J175""),  $A35=IMPORTRANGE(""https://docs.google.com/spreadsheets/d/1kGrh75X1"&amp;"cNR1D7_FcY9zMnHP8iPO4M5RCRjy6nZY0TY/edit#gid=1248694442"",""Table 5: Risk of bias!A4:A175"")),
$B35=""RoB 2"", FILTER(IMPORTRANGE(""https://docs.google.com/spreadsheets/d/1kGrh75X1cNR1D7_FcY9zMnHP8iPO4M5RCRjy6nZY0TY/edit#gid=1248694442"",""Table 5: Risk o"&amp;"f bias!R4:R175""), $A35=IMPORTRANGE(""https://docs.google.com/spreadsheets/d/1kGrh75X1cNR1D7_FcY9zMnHP8iPO4M5RCRjy6nZY0TY/edit#gid=1248694442"",""Table 5: Risk of bias!A4:A175""))
)"),"Serious")</f>
        <v>Serious</v>
      </c>
      <c r="D35" s="4" t="str">
        <f>IFERROR(__xludf.DUMMYFUNCTION("IFS($B35=""ROBINS I"",FILTER(IMPORTRANGE(""https://docs.google.com/spreadsheets/d/1kGrh75X1cNR1D7_FcY9zMnHP8iPO4M5RCRjy6nZY0TY/edit#gid=1248694442"",""Table 5: Risk of bias!K4:K175""), $A35=IMPORTRANGE(""https://docs.google.com/spreadsheets/d/1kGrh75X1cNR"&amp;"1D7_FcY9zMnHP8iPO4M5RCRjy6nZY0TY/edit#gid=1248694442"",""Table 5: Risk of bias!A4:A175"")),$B35=""RoB 2"",FILTER(IMPORTRANGE(""https://docs.google.com/spreadsheets/d/1kGrh75X1cNR1D7_FcY9zMnHP8iPO4M5RCRjy6nZY0TY/edit#gid=1248694442"",""Table 5: Risk of bia"&amp;"s!S4:S175""), $A35=IMPORTRANGE(""https://docs.google.com/spreadsheets/d/1kGrh75X1cNR1D7_FcY9zMnHP8iPO4M5RCRjy6nZY0TY/edit#gid=1248694442"",""Table 5: Risk of bias!A4:A175"")))"),"Serious")</f>
        <v>Serious</v>
      </c>
      <c r="E35" s="4" t="str">
        <f>IFERROR(__xludf.DUMMYFUNCTION("IFS($B35=""ROBINS I"",FILTER(IMPORTRANGE(""https://docs.google.com/spreadsheets/d/1kGrh75X1cNR1D7_FcY9zMnHP8iPO4M5RCRjy6nZY0TY/edit#gid=1248694442"",""Table 5: Risk of bias!L4:L175""), $A35=IMPORTRANGE(""https://docs.google.com/spreadsheets/d/1kGrh75X1cNR"&amp;"1D7_FcY9zMnHP8iPO4M5RCRjy6nZY0TY/edit#gid=1248694442"",""Table 5: Risk of bias!A4:A175"")),$B35=""RoB 2"",FILTER(IMPORTRANGE(""https://docs.google.com/spreadsheets/d/1kGrh75X1cNR1D7_FcY9zMnHP8iPO4M5RCRjy6nZY0TY/edit#gid=1248694442"",""Table 5: Risk of bia"&amp;"s!T4:T175""), $A35=IMPORTRANGE(""https://docs.google.com/spreadsheets/d/1kGrh75X1cNR1D7_FcY9zMnHP8iPO4M5RCRjy6nZY0TY/edit#gid=1248694442"",""Table 5: Risk of bias!A4:A175"")))"),"Serious")</f>
        <v>Serious</v>
      </c>
      <c r="F35" s="4" t="str">
        <f>IFERROR(__xludf.DUMMYFUNCTION("IFS($B35=""ROBINS I"",FILTER(IMPORTRANGE(""https://docs.google.com/spreadsheets/d/1kGrh75X1cNR1D7_FcY9zMnHP8iPO4M5RCRjy6nZY0TY/edit#gid=1248694442"",""Table 5: Risk of bias!M4:M175""), $A35=IMPORTRANGE(""https://docs.google.com/spreadsheets/d/1kGrh75X1cNR"&amp;"1D7_FcY9zMnHP8iPO4M5RCRjy6nZY0TY/edit#gid=1248694442"",""Table 5: Risk of bias!A4:A175"")),$B35=""RoB 2"",FILTER(IMPORTRANGE(""https://docs.google.com/spreadsheets/d/1kGrh75X1cNR1D7_FcY9zMnHP8iPO4M5RCRjy6nZY0TY/edit#gid=1248694442"",""Table 5: Risk of bia"&amp;"s!U4:U175""), $A35=IMPORTRANGE(""https://docs.google.com/spreadsheets/d/1kGrh75X1cNR1D7_FcY9zMnHP8iPO4M5RCRjy6nZY0TY/edit#gid=1248694442"",""Table 5: Risk of bias!A4:A175"")))"),"Moderate")</f>
        <v>Moderate</v>
      </c>
      <c r="G35" s="4" t="str">
        <f>IFERROR(__xludf.DUMMYFUNCTION("IFS($B35=""ROBINS I"",FILTER(IMPORTRANGE(""https://docs.google.com/spreadsheets/d/1kGrh75X1cNR1D7_FcY9zMnHP8iPO4M5RCRjy6nZY0TY/edit#gid=1248694442"",""Table 5: Risk of bias!N4:N175""), $A35=IMPORTRANGE(""https://docs.google.com/spreadsheets/d/1kGrh75X1cNR"&amp;"1D7_FcY9zMnHP8iPO4M5RCRjy6nZY0TY/edit#gid=1248694442"",""Table 5: Risk of bias!A4:A175"")),$B35=""RoB 2"",FILTER(IMPORTRANGE(""https://docs.google.com/spreadsheets/d/1kGrh75X1cNR1D7_FcY9zMnHP8iPO4M5RCRjy6nZY0TY/edit#gid=1248694442"",""Table 5: Risk of bia"&amp;"s!V4:V175""), $A35=IMPORTRANGE(""https://docs.google.com/spreadsheets/d/1kGrh75X1cNR1D7_FcY9zMnHP8iPO4M5RCRjy6nZY0TY/edit#gid=1248694442"",""Table 5: Risk of bias!A4:A175"")))"),"Low")</f>
        <v>Low</v>
      </c>
      <c r="H35" s="4" t="str">
        <f>IFERROR(__xludf.DUMMYFUNCTION("IFS($B35=""ROBINS I"",FILTER(IMPORTRANGE(""https://docs.google.com/spreadsheets/d/1kGrh75X1cNR1D7_FcY9zMnHP8iPO4M5RCRjy6nZY0TY/edit#gid=1248694442"",""Table 5: Risk of bias!O4:O175""), $A35=IMPORTRANGE(""https://docs.google.com/spreadsheets/d/1kGrh75X1cNR"&amp;"1D7_FcY9zMnHP8iPO4M5RCRjy6nZY0TY/edit#gid=1248694442"",""Table 5: Risk of bias!A4:A175"")),$B35=""RoB 2"",FILTER(IMPORTRANGE(""https://docs.google.com/spreadsheets/d/1kGrh75X1cNR1D7_FcY9zMnHP8iPO4M5RCRjy6nZY0TY/edit#gid=1248694442"",""Table 5: Risk of bia"&amp;"s!W4:W175""), $A35=IMPORTRANGE(""https://docs.google.com/spreadsheets/d/1kGrh75X1cNR1D7_FcY9zMnHP8iPO4M5RCRjy6nZY0TY/edit#gid=1248694442"",""Table 5: Risk of bias!A4:A175"")))"),"Low")</f>
        <v>Low</v>
      </c>
      <c r="I35" s="4" t="str">
        <f>IFERROR(__xludf.DUMMYFUNCTION("FILTER(IMPORTRANGE(""https://docs.google.com/spreadsheets/d/1kGrh75X1cNR1D7_FcY9zMnHP8iPO4M5RCRjy6nZY0TY/edit#gid=1248694442"",""Table 5: Risk of bias!P4:P175""), $A35=IMPORTRANGE(""https://docs.google.com/spreadsheets/d/1kGrh75X1cNR1D7_FcY9zMnHP8iPO4M5RC"&amp;"Rjy6nZY0TY/edit#gid=1248694442"",""Table 5: Risk of bias!A4:A175""))"),"Moderate")</f>
        <v>Moderate</v>
      </c>
      <c r="J35" s="4" t="str">
        <f>IFERROR(__xludf.DUMMYFUNCTION("FILTER(IMPORTRANGE(""https://docs.google.com/spreadsheets/d/1kGrh75X1cNR1D7_FcY9zMnHP8iPO4M5RCRjy6nZY0TY/edit#gid=1248694442"",""Table 5: Risk of bias!Q4:Q175""), $A35=IMPORTRANGE(""https://docs.google.com/spreadsheets/d/1kGrh75X1cNR1D7_FcY9zMnHP8iPO4M5RC"&amp;"Rjy6nZY0TY/edit#gid=1248694442"",""Table 5: Risk of bias!A4:A175""))"),"Low")</f>
        <v>Low</v>
      </c>
    </row>
    <row r="36">
      <c r="A36" s="4" t="str">
        <f>IFERROR(__xludf.DUMMYFUNCTION("""COMPUTED_VALUE"""),"ID 67")</f>
        <v>ID 67</v>
      </c>
      <c r="B36" s="4" t="str">
        <f>IFERROR(__xludf.DUMMYFUNCTION("FILTER(IMPORTRANGE(""https://docs.google.com/spreadsheets/d/1kGrh75X1cNR1D7_FcY9zMnHP8iPO4M5RCRjy6nZY0TY/edit#gid=1248694442"",""Table 5: Risk of bias!D4:D175""), $A36=IMPORTRANGE(""https://docs.google.com/spreadsheets/d/1kGrh75X1cNR1D7_FcY9zMnHP8iPO4M5RC"&amp;"Rjy6nZY0TY/edit#gid=1248694442"",""Table 5: Risk of bias!A4:A175""))"),"ROBINS I")</f>
        <v>ROBINS I</v>
      </c>
      <c r="C36" s="4" t="str">
        <f>IFERROR(__xludf.DUMMYFUNCTION("IFS(
$B36=""ROBINS I"", FILTER(IMPORTRANGE(""https://docs.google.com/spreadsheets/d/1kGrh75X1cNR1D7_FcY9zMnHP8iPO4M5RCRjy6nZY0TY/edit#gid=1248694442"",""Table 5: Risk of bias!J4:J175""),  $A36=IMPORTRANGE(""https://docs.google.com/spreadsheets/d/1kGrh75X1"&amp;"cNR1D7_FcY9zMnHP8iPO4M5RCRjy6nZY0TY/edit#gid=1248694442"",""Table 5: Risk of bias!A4:A175"")),
$B36=""RoB 2"", FILTER(IMPORTRANGE(""https://docs.google.com/spreadsheets/d/1kGrh75X1cNR1D7_FcY9zMnHP8iPO4M5RCRjy6nZY0TY/edit#gid=1248694442"",""Table 5: Risk o"&amp;"f bias!R4:R175""), $A36=IMPORTRANGE(""https://docs.google.com/spreadsheets/d/1kGrh75X1cNR1D7_FcY9zMnHP8iPO4M5RCRjy6nZY0TY/edit#gid=1248694442"",""Table 5: Risk of bias!A4:A175""))
)"),"Moderate")</f>
        <v>Moderate</v>
      </c>
      <c r="D36" s="4" t="str">
        <f>IFERROR(__xludf.DUMMYFUNCTION("IFS($B36=""ROBINS I"",FILTER(IMPORTRANGE(""https://docs.google.com/spreadsheets/d/1kGrh75X1cNR1D7_FcY9zMnHP8iPO4M5RCRjy6nZY0TY/edit#gid=1248694442"",""Table 5: Risk of bias!K4:K175""), $A36=IMPORTRANGE(""https://docs.google.com/spreadsheets/d/1kGrh75X1cNR"&amp;"1D7_FcY9zMnHP8iPO4M5RCRjy6nZY0TY/edit#gid=1248694442"",""Table 5: Risk of bias!A4:A175"")),$B36=""RoB 2"",FILTER(IMPORTRANGE(""https://docs.google.com/spreadsheets/d/1kGrh75X1cNR1D7_FcY9zMnHP8iPO4M5RCRjy6nZY0TY/edit#gid=1248694442"",""Table 5: Risk of bia"&amp;"s!S4:S175""), $A36=IMPORTRANGE(""https://docs.google.com/spreadsheets/d/1kGrh75X1cNR1D7_FcY9zMnHP8iPO4M5RCRjy6nZY0TY/edit#gid=1248694442"",""Table 5: Risk of bias!A4:A175"")))"),"Low")</f>
        <v>Low</v>
      </c>
      <c r="E36" s="4" t="str">
        <f>IFERROR(__xludf.DUMMYFUNCTION("IFS($B36=""ROBINS I"",FILTER(IMPORTRANGE(""https://docs.google.com/spreadsheets/d/1kGrh75X1cNR1D7_FcY9zMnHP8iPO4M5RCRjy6nZY0TY/edit#gid=1248694442"",""Table 5: Risk of bias!L4:L175""), $A36=IMPORTRANGE(""https://docs.google.com/spreadsheets/d/1kGrh75X1cNR"&amp;"1D7_FcY9zMnHP8iPO4M5RCRjy6nZY0TY/edit#gid=1248694442"",""Table 5: Risk of bias!A4:A175"")),$B36=""RoB 2"",FILTER(IMPORTRANGE(""https://docs.google.com/spreadsheets/d/1kGrh75X1cNR1D7_FcY9zMnHP8iPO4M5RCRjy6nZY0TY/edit#gid=1248694442"",""Table 5: Risk of bia"&amp;"s!T4:T175""), $A36=IMPORTRANGE(""https://docs.google.com/spreadsheets/d/1kGrh75X1cNR1D7_FcY9zMnHP8iPO4M5RCRjy6nZY0TY/edit#gid=1248694442"",""Table 5: Risk of bias!A4:A175"")))"),"Moderate")</f>
        <v>Moderate</v>
      </c>
      <c r="F36" s="4" t="str">
        <f>IFERROR(__xludf.DUMMYFUNCTION("IFS($B36=""ROBINS I"",FILTER(IMPORTRANGE(""https://docs.google.com/spreadsheets/d/1kGrh75X1cNR1D7_FcY9zMnHP8iPO4M5RCRjy6nZY0TY/edit#gid=1248694442"",""Table 5: Risk of bias!M4:M175""), $A36=IMPORTRANGE(""https://docs.google.com/spreadsheets/d/1kGrh75X1cNR"&amp;"1D7_FcY9zMnHP8iPO4M5RCRjy6nZY0TY/edit#gid=1248694442"",""Table 5: Risk of bias!A4:A175"")),$B36=""RoB 2"",FILTER(IMPORTRANGE(""https://docs.google.com/spreadsheets/d/1kGrh75X1cNR1D7_FcY9zMnHP8iPO4M5RCRjy6nZY0TY/edit#gid=1248694442"",""Table 5: Risk of bia"&amp;"s!U4:U175""), $A36=IMPORTRANGE(""https://docs.google.com/spreadsheets/d/1kGrh75X1cNR1D7_FcY9zMnHP8iPO4M5RCRjy6nZY0TY/edit#gid=1248694442"",""Table 5: Risk of bias!A4:A175"")))"),"Low")</f>
        <v>Low</v>
      </c>
      <c r="G36" s="4" t="str">
        <f>IFERROR(__xludf.DUMMYFUNCTION("IFS($B36=""ROBINS I"",FILTER(IMPORTRANGE(""https://docs.google.com/spreadsheets/d/1kGrh75X1cNR1D7_FcY9zMnHP8iPO4M5RCRjy6nZY0TY/edit#gid=1248694442"",""Table 5: Risk of bias!N4:N175""), $A36=IMPORTRANGE(""https://docs.google.com/spreadsheets/d/1kGrh75X1cNR"&amp;"1D7_FcY9zMnHP8iPO4M5RCRjy6nZY0TY/edit#gid=1248694442"",""Table 5: Risk of bias!A4:A175"")),$B36=""RoB 2"",FILTER(IMPORTRANGE(""https://docs.google.com/spreadsheets/d/1kGrh75X1cNR1D7_FcY9zMnHP8iPO4M5RCRjy6nZY0TY/edit#gid=1248694442"",""Table 5: Risk of bia"&amp;"s!V4:V175""), $A36=IMPORTRANGE(""https://docs.google.com/spreadsheets/d/1kGrh75X1cNR1D7_FcY9zMnHP8iPO4M5RCRjy6nZY0TY/edit#gid=1248694442"",""Table 5: Risk of bias!A4:A175"")))"),"Low")</f>
        <v>Low</v>
      </c>
      <c r="H36" s="4" t="str">
        <f>IFERROR(__xludf.DUMMYFUNCTION("IFS($B36=""ROBINS I"",FILTER(IMPORTRANGE(""https://docs.google.com/spreadsheets/d/1kGrh75X1cNR1D7_FcY9zMnHP8iPO4M5RCRjy6nZY0TY/edit#gid=1248694442"",""Table 5: Risk of bias!O4:O175""), $A36=IMPORTRANGE(""https://docs.google.com/spreadsheets/d/1kGrh75X1cNR"&amp;"1D7_FcY9zMnHP8iPO4M5RCRjy6nZY0TY/edit#gid=1248694442"",""Table 5: Risk of bias!A4:A175"")),$B36=""RoB 2"",FILTER(IMPORTRANGE(""https://docs.google.com/spreadsheets/d/1kGrh75X1cNR1D7_FcY9zMnHP8iPO4M5RCRjy6nZY0TY/edit#gid=1248694442"",""Table 5: Risk of bia"&amp;"s!W4:W175""), $A36=IMPORTRANGE(""https://docs.google.com/spreadsheets/d/1kGrh75X1cNR1D7_FcY9zMnHP8iPO4M5RCRjy6nZY0TY/edit#gid=1248694442"",""Table 5: Risk of bias!A4:A175"")))"),"Low")</f>
        <v>Low</v>
      </c>
      <c r="I36" s="4" t="str">
        <f>IFERROR(__xludf.DUMMYFUNCTION("FILTER(IMPORTRANGE(""https://docs.google.com/spreadsheets/d/1kGrh75X1cNR1D7_FcY9zMnHP8iPO4M5RCRjy6nZY0TY/edit#gid=1248694442"",""Table 5: Risk of bias!P4:P175""), $A36=IMPORTRANGE(""https://docs.google.com/spreadsheets/d/1kGrh75X1cNR1D7_FcY9zMnHP8iPO4M5RC"&amp;"Rjy6nZY0TY/edit#gid=1248694442"",""Table 5: Risk of bias!A4:A175""))"),"Moderate")</f>
        <v>Moderate</v>
      </c>
      <c r="J36" s="4" t="str">
        <f>IFERROR(__xludf.DUMMYFUNCTION("FILTER(IMPORTRANGE(""https://docs.google.com/spreadsheets/d/1kGrh75X1cNR1D7_FcY9zMnHP8iPO4M5RCRjy6nZY0TY/edit#gid=1248694442"",""Table 5: Risk of bias!Q4:Q175""), $A36=IMPORTRANGE(""https://docs.google.com/spreadsheets/d/1kGrh75X1cNR1D7_FcY9zMnHP8iPO4M5RC"&amp;"Rjy6nZY0TY/edit#gid=1248694442"",""Table 5: Risk of bias!A4:A175""))"),"Low")</f>
        <v>Low</v>
      </c>
    </row>
    <row r="37">
      <c r="A37" s="4" t="str">
        <f>IFERROR(__xludf.DUMMYFUNCTION("""COMPUTED_VALUE"""),"ID 72")</f>
        <v>ID 72</v>
      </c>
      <c r="B37" s="4" t="str">
        <f>IFERROR(__xludf.DUMMYFUNCTION("FILTER(IMPORTRANGE(""https://docs.google.com/spreadsheets/d/1kGrh75X1cNR1D7_FcY9zMnHP8iPO4M5RCRjy6nZY0TY/edit#gid=1248694442"",""Table 5: Risk of bias!D4:D175""), $A37=IMPORTRANGE(""https://docs.google.com/spreadsheets/d/1kGrh75X1cNR1D7_FcY9zMnHP8iPO4M5RC"&amp;"Rjy6nZY0TY/edit#gid=1248694442"",""Table 5: Risk of bias!A4:A175""))"),"ROBINS I")</f>
        <v>ROBINS I</v>
      </c>
      <c r="C37" s="4" t="str">
        <f>IFERROR(__xludf.DUMMYFUNCTION("IFS(
$B37=""ROBINS I"", FILTER(IMPORTRANGE(""https://docs.google.com/spreadsheets/d/1kGrh75X1cNR1D7_FcY9zMnHP8iPO4M5RCRjy6nZY0TY/edit#gid=1248694442"",""Table 5: Risk of bias!J4:J175""),  $A37=IMPORTRANGE(""https://docs.google.com/spreadsheets/d/1kGrh75X1"&amp;"cNR1D7_FcY9zMnHP8iPO4M5RCRjy6nZY0TY/edit#gid=1248694442"",""Table 5: Risk of bias!A4:A175"")),
$B37=""RoB 2"", FILTER(IMPORTRANGE(""https://docs.google.com/spreadsheets/d/1kGrh75X1cNR1D7_FcY9zMnHP8iPO4M5RCRjy6nZY0TY/edit#gid=1248694442"",""Table 5: Risk o"&amp;"f bias!R4:R175""), $A37=IMPORTRANGE(""https://docs.google.com/spreadsheets/d/1kGrh75X1cNR1D7_FcY9zMnHP8iPO4M5RCRjy6nZY0TY/edit#gid=1248694442"",""Table 5: Risk of bias!A4:A175""))
)"),"Moderate")</f>
        <v>Moderate</v>
      </c>
      <c r="D37" s="4" t="str">
        <f>IFERROR(__xludf.DUMMYFUNCTION("IFS($B37=""ROBINS I"",FILTER(IMPORTRANGE(""https://docs.google.com/spreadsheets/d/1kGrh75X1cNR1D7_FcY9zMnHP8iPO4M5RCRjy6nZY0TY/edit#gid=1248694442"",""Table 5: Risk of bias!K4:K175""), $A37=IMPORTRANGE(""https://docs.google.com/spreadsheets/d/1kGrh75X1cNR"&amp;"1D7_FcY9zMnHP8iPO4M5RCRjy6nZY0TY/edit#gid=1248694442"",""Table 5: Risk of bias!A4:A175"")),$B37=""RoB 2"",FILTER(IMPORTRANGE(""https://docs.google.com/spreadsheets/d/1kGrh75X1cNR1D7_FcY9zMnHP8iPO4M5RCRjy6nZY0TY/edit#gid=1248694442"",""Table 5: Risk of bia"&amp;"s!S4:S175""), $A37=IMPORTRANGE(""https://docs.google.com/spreadsheets/d/1kGrh75X1cNR1D7_FcY9zMnHP8iPO4M5RCRjy6nZY0TY/edit#gid=1248694442"",""Table 5: Risk of bias!A4:A175"")))"),"Moderate")</f>
        <v>Moderate</v>
      </c>
      <c r="E37" s="4" t="str">
        <f>IFERROR(__xludf.DUMMYFUNCTION("IFS($B37=""ROBINS I"",FILTER(IMPORTRANGE(""https://docs.google.com/spreadsheets/d/1kGrh75X1cNR1D7_FcY9zMnHP8iPO4M5RCRjy6nZY0TY/edit#gid=1248694442"",""Table 5: Risk of bias!L4:L175""), $A37=IMPORTRANGE(""https://docs.google.com/spreadsheets/d/1kGrh75X1cNR"&amp;"1D7_FcY9zMnHP8iPO4M5RCRjy6nZY0TY/edit#gid=1248694442"",""Table 5: Risk of bias!A4:A175"")),$B37=""RoB 2"",FILTER(IMPORTRANGE(""https://docs.google.com/spreadsheets/d/1kGrh75X1cNR1D7_FcY9zMnHP8iPO4M5RCRjy6nZY0TY/edit#gid=1248694442"",""Table 5: Risk of bia"&amp;"s!T4:T175""), $A37=IMPORTRANGE(""https://docs.google.com/spreadsheets/d/1kGrh75X1cNR1D7_FcY9zMnHP8iPO4M5RCRjy6nZY0TY/edit#gid=1248694442"",""Table 5: Risk of bias!A4:A175"")))"),"Low")</f>
        <v>Low</v>
      </c>
      <c r="F37" s="4" t="str">
        <f>IFERROR(__xludf.DUMMYFUNCTION("IFS($B37=""ROBINS I"",FILTER(IMPORTRANGE(""https://docs.google.com/spreadsheets/d/1kGrh75X1cNR1D7_FcY9zMnHP8iPO4M5RCRjy6nZY0TY/edit#gid=1248694442"",""Table 5: Risk of bias!M4:M175""), $A37=IMPORTRANGE(""https://docs.google.com/spreadsheets/d/1kGrh75X1cNR"&amp;"1D7_FcY9zMnHP8iPO4M5RCRjy6nZY0TY/edit#gid=1248694442"",""Table 5: Risk of bias!A4:A175"")),$B37=""RoB 2"",FILTER(IMPORTRANGE(""https://docs.google.com/spreadsheets/d/1kGrh75X1cNR1D7_FcY9zMnHP8iPO4M5RCRjy6nZY0TY/edit#gid=1248694442"",""Table 5: Risk of bia"&amp;"s!U4:U175""), $A37=IMPORTRANGE(""https://docs.google.com/spreadsheets/d/1kGrh75X1cNR1D7_FcY9zMnHP8iPO4M5RCRjy6nZY0TY/edit#gid=1248694442"",""Table 5: Risk of bias!A4:A175"")))"),"Moderate")</f>
        <v>Moderate</v>
      </c>
      <c r="G37" s="4" t="str">
        <f>IFERROR(__xludf.DUMMYFUNCTION("IFS($B37=""ROBINS I"",FILTER(IMPORTRANGE(""https://docs.google.com/spreadsheets/d/1kGrh75X1cNR1D7_FcY9zMnHP8iPO4M5RCRjy6nZY0TY/edit#gid=1248694442"",""Table 5: Risk of bias!N4:N175""), $A37=IMPORTRANGE(""https://docs.google.com/spreadsheets/d/1kGrh75X1cNR"&amp;"1D7_FcY9zMnHP8iPO4M5RCRjy6nZY0TY/edit#gid=1248694442"",""Table 5: Risk of bias!A4:A175"")),$B37=""RoB 2"",FILTER(IMPORTRANGE(""https://docs.google.com/spreadsheets/d/1kGrh75X1cNR1D7_FcY9zMnHP8iPO4M5RCRjy6nZY0TY/edit#gid=1248694442"",""Table 5: Risk of bia"&amp;"s!V4:V175""), $A37=IMPORTRANGE(""https://docs.google.com/spreadsheets/d/1kGrh75X1cNR1D7_FcY9zMnHP8iPO4M5RCRjy6nZY0TY/edit#gid=1248694442"",""Table 5: Risk of bias!A4:A175"")))"),"Low")</f>
        <v>Low</v>
      </c>
      <c r="H37" s="4" t="str">
        <f>IFERROR(__xludf.DUMMYFUNCTION("IFS($B37=""ROBINS I"",FILTER(IMPORTRANGE(""https://docs.google.com/spreadsheets/d/1kGrh75X1cNR1D7_FcY9zMnHP8iPO4M5RCRjy6nZY0TY/edit#gid=1248694442"",""Table 5: Risk of bias!O4:O175""), $A37=IMPORTRANGE(""https://docs.google.com/spreadsheets/d/1kGrh75X1cNR"&amp;"1D7_FcY9zMnHP8iPO4M5RCRjy6nZY0TY/edit#gid=1248694442"",""Table 5: Risk of bias!A4:A175"")),$B37=""RoB 2"",FILTER(IMPORTRANGE(""https://docs.google.com/spreadsheets/d/1kGrh75X1cNR1D7_FcY9zMnHP8iPO4M5RCRjy6nZY0TY/edit#gid=1248694442"",""Table 5: Risk of bia"&amp;"s!W4:W175""), $A37=IMPORTRANGE(""https://docs.google.com/spreadsheets/d/1kGrh75X1cNR1D7_FcY9zMnHP8iPO4M5RCRjy6nZY0TY/edit#gid=1248694442"",""Table 5: Risk of bias!A4:A175"")))"),"Low")</f>
        <v>Low</v>
      </c>
      <c r="I37" s="4" t="str">
        <f>IFERROR(__xludf.DUMMYFUNCTION("FILTER(IMPORTRANGE(""https://docs.google.com/spreadsheets/d/1kGrh75X1cNR1D7_FcY9zMnHP8iPO4M5RCRjy6nZY0TY/edit#gid=1248694442"",""Table 5: Risk of bias!P4:P175""), $A37=IMPORTRANGE(""https://docs.google.com/spreadsheets/d/1kGrh75X1cNR1D7_FcY9zMnHP8iPO4M5RC"&amp;"Rjy6nZY0TY/edit#gid=1248694442"",""Table 5: Risk of bias!A4:A175""))"),"Moderate")</f>
        <v>Moderate</v>
      </c>
      <c r="J37" s="4" t="str">
        <f>IFERROR(__xludf.DUMMYFUNCTION("FILTER(IMPORTRANGE(""https://docs.google.com/spreadsheets/d/1kGrh75X1cNR1D7_FcY9zMnHP8iPO4M5RCRjy6nZY0TY/edit#gid=1248694442"",""Table 5: Risk of bias!Q4:Q175""), $A37=IMPORTRANGE(""https://docs.google.com/spreadsheets/d/1kGrh75X1cNR1D7_FcY9zMnHP8iPO4M5RC"&amp;"Rjy6nZY0TY/edit#gid=1248694442"",""Table 5: Risk of bias!A4:A175""))"),"Moderate")</f>
        <v>Moderate</v>
      </c>
    </row>
    <row r="38">
      <c r="A38" s="4" t="str">
        <f>IFERROR(__xludf.DUMMYFUNCTION("""COMPUTED_VALUE"""),"ID 73")</f>
        <v>ID 73</v>
      </c>
      <c r="B38" s="4" t="str">
        <f>IFERROR(__xludf.DUMMYFUNCTION("FILTER(IMPORTRANGE(""https://docs.google.com/spreadsheets/d/1kGrh75X1cNR1D7_FcY9zMnHP8iPO4M5RCRjy6nZY0TY/edit#gid=1248694442"",""Table 5: Risk of bias!D4:D175""), $A38=IMPORTRANGE(""https://docs.google.com/spreadsheets/d/1kGrh75X1cNR1D7_FcY9zMnHP8iPO4M5RC"&amp;"Rjy6nZY0TY/edit#gid=1248694442"",""Table 5: Risk of bias!A4:A175""))"),"ROBINS I")</f>
        <v>ROBINS I</v>
      </c>
      <c r="C38" s="4" t="str">
        <f>IFERROR(__xludf.DUMMYFUNCTION("IFS(
$B38=""ROBINS I"", FILTER(IMPORTRANGE(""https://docs.google.com/spreadsheets/d/1kGrh75X1cNR1D7_FcY9zMnHP8iPO4M5RCRjy6nZY0TY/edit#gid=1248694442"",""Table 5: Risk of bias!J4:J175""),  $A38=IMPORTRANGE(""https://docs.google.com/spreadsheets/d/1kGrh75X1"&amp;"cNR1D7_FcY9zMnHP8iPO4M5RCRjy6nZY0TY/edit#gid=1248694442"",""Table 5: Risk of bias!A4:A175"")),
$B38=""RoB 2"", FILTER(IMPORTRANGE(""https://docs.google.com/spreadsheets/d/1kGrh75X1cNR1D7_FcY9zMnHP8iPO4M5RCRjy6nZY0TY/edit#gid=1248694442"",""Table 5: Risk o"&amp;"f bias!R4:R175""), $A38=IMPORTRANGE(""https://docs.google.com/spreadsheets/d/1kGrh75X1cNR1D7_FcY9zMnHP8iPO4M5RCRjy6nZY0TY/edit#gid=1248694442"",""Table 5: Risk of bias!A4:A175""))
)"),"Moderate")</f>
        <v>Moderate</v>
      </c>
      <c r="D38" s="4" t="str">
        <f>IFERROR(__xludf.DUMMYFUNCTION("IFS($B38=""ROBINS I"",FILTER(IMPORTRANGE(""https://docs.google.com/spreadsheets/d/1kGrh75X1cNR1D7_FcY9zMnHP8iPO4M5RCRjy6nZY0TY/edit#gid=1248694442"",""Table 5: Risk of bias!K4:K175""), $A38=IMPORTRANGE(""https://docs.google.com/spreadsheets/d/1kGrh75X1cNR"&amp;"1D7_FcY9zMnHP8iPO4M5RCRjy6nZY0TY/edit#gid=1248694442"",""Table 5: Risk of bias!A4:A175"")),$B38=""RoB 2"",FILTER(IMPORTRANGE(""https://docs.google.com/spreadsheets/d/1kGrh75X1cNR1D7_FcY9zMnHP8iPO4M5RCRjy6nZY0TY/edit#gid=1248694442"",""Table 5: Risk of bia"&amp;"s!S4:S175""), $A38=IMPORTRANGE(""https://docs.google.com/spreadsheets/d/1kGrh75X1cNR1D7_FcY9zMnHP8iPO4M5RCRjy6nZY0TY/edit#gid=1248694442"",""Table 5: Risk of bias!A4:A175"")))"),"Moderate")</f>
        <v>Moderate</v>
      </c>
      <c r="E38" s="4" t="str">
        <f>IFERROR(__xludf.DUMMYFUNCTION("IFS($B38=""ROBINS I"",FILTER(IMPORTRANGE(""https://docs.google.com/spreadsheets/d/1kGrh75X1cNR1D7_FcY9zMnHP8iPO4M5RCRjy6nZY0TY/edit#gid=1248694442"",""Table 5: Risk of bias!L4:L175""), $A38=IMPORTRANGE(""https://docs.google.com/spreadsheets/d/1kGrh75X1cNR"&amp;"1D7_FcY9zMnHP8iPO4M5RCRjy6nZY0TY/edit#gid=1248694442"",""Table 5: Risk of bias!A4:A175"")),$B38=""RoB 2"",FILTER(IMPORTRANGE(""https://docs.google.com/spreadsheets/d/1kGrh75X1cNR1D7_FcY9zMnHP8iPO4M5RCRjy6nZY0TY/edit#gid=1248694442"",""Table 5: Risk of bia"&amp;"s!T4:T175""), $A38=IMPORTRANGE(""https://docs.google.com/spreadsheets/d/1kGrh75X1cNR1D7_FcY9zMnHP8iPO4M5RCRjy6nZY0TY/edit#gid=1248694442"",""Table 5: Risk of bias!A4:A175"")))"),"Low")</f>
        <v>Low</v>
      </c>
      <c r="F38" s="4" t="str">
        <f>IFERROR(__xludf.DUMMYFUNCTION("IFS($B38=""ROBINS I"",FILTER(IMPORTRANGE(""https://docs.google.com/spreadsheets/d/1kGrh75X1cNR1D7_FcY9zMnHP8iPO4M5RCRjy6nZY0TY/edit#gid=1248694442"",""Table 5: Risk of bias!M4:M175""), $A38=IMPORTRANGE(""https://docs.google.com/spreadsheets/d/1kGrh75X1cNR"&amp;"1D7_FcY9zMnHP8iPO4M5RCRjy6nZY0TY/edit#gid=1248694442"",""Table 5: Risk of bias!A4:A175"")),$B38=""RoB 2"",FILTER(IMPORTRANGE(""https://docs.google.com/spreadsheets/d/1kGrh75X1cNR1D7_FcY9zMnHP8iPO4M5RCRjy6nZY0TY/edit#gid=1248694442"",""Table 5: Risk of bia"&amp;"s!U4:U175""), $A38=IMPORTRANGE(""https://docs.google.com/spreadsheets/d/1kGrh75X1cNR1D7_FcY9zMnHP8iPO4M5RCRjy6nZY0TY/edit#gid=1248694442"",""Table 5: Risk of bias!A4:A175"")))"),"Low")</f>
        <v>Low</v>
      </c>
      <c r="G38" s="4" t="str">
        <f>IFERROR(__xludf.DUMMYFUNCTION("IFS($B38=""ROBINS I"",FILTER(IMPORTRANGE(""https://docs.google.com/spreadsheets/d/1kGrh75X1cNR1D7_FcY9zMnHP8iPO4M5RCRjy6nZY0TY/edit#gid=1248694442"",""Table 5: Risk of bias!N4:N175""), $A38=IMPORTRANGE(""https://docs.google.com/spreadsheets/d/1kGrh75X1cNR"&amp;"1D7_FcY9zMnHP8iPO4M5RCRjy6nZY0TY/edit#gid=1248694442"",""Table 5: Risk of bias!A4:A175"")),$B38=""RoB 2"",FILTER(IMPORTRANGE(""https://docs.google.com/spreadsheets/d/1kGrh75X1cNR1D7_FcY9zMnHP8iPO4M5RCRjy6nZY0TY/edit#gid=1248694442"",""Table 5: Risk of bia"&amp;"s!V4:V175""), $A38=IMPORTRANGE(""https://docs.google.com/spreadsheets/d/1kGrh75X1cNR1D7_FcY9zMnHP8iPO4M5RCRjy6nZY0TY/edit#gid=1248694442"",""Table 5: Risk of bias!A4:A175"")))"),"Low")</f>
        <v>Low</v>
      </c>
      <c r="H38" s="4" t="str">
        <f>IFERROR(__xludf.DUMMYFUNCTION("IFS($B38=""ROBINS I"",FILTER(IMPORTRANGE(""https://docs.google.com/spreadsheets/d/1kGrh75X1cNR1D7_FcY9zMnHP8iPO4M5RCRjy6nZY0TY/edit#gid=1248694442"",""Table 5: Risk of bias!O4:O175""), $A38=IMPORTRANGE(""https://docs.google.com/spreadsheets/d/1kGrh75X1cNR"&amp;"1D7_FcY9zMnHP8iPO4M5RCRjy6nZY0TY/edit#gid=1248694442"",""Table 5: Risk of bias!A4:A175"")),$B38=""RoB 2"",FILTER(IMPORTRANGE(""https://docs.google.com/spreadsheets/d/1kGrh75X1cNR1D7_FcY9zMnHP8iPO4M5RCRjy6nZY0TY/edit#gid=1248694442"",""Table 5: Risk of bia"&amp;"s!W4:W175""), $A38=IMPORTRANGE(""https://docs.google.com/spreadsheets/d/1kGrh75X1cNR1D7_FcY9zMnHP8iPO4M5RCRjy6nZY0TY/edit#gid=1248694442"",""Table 5: Risk of bias!A4:A175"")))"),"Low")</f>
        <v>Low</v>
      </c>
      <c r="I38" s="4" t="str">
        <f>IFERROR(__xludf.DUMMYFUNCTION("FILTER(IMPORTRANGE(""https://docs.google.com/spreadsheets/d/1kGrh75X1cNR1D7_FcY9zMnHP8iPO4M5RCRjy6nZY0TY/edit#gid=1248694442"",""Table 5: Risk of bias!P4:P175""), $A38=IMPORTRANGE(""https://docs.google.com/spreadsheets/d/1kGrh75X1cNR1D7_FcY9zMnHP8iPO4M5RC"&amp;"Rjy6nZY0TY/edit#gid=1248694442"",""Table 5: Risk of bias!A4:A175""))"),"Moderate")</f>
        <v>Moderate</v>
      </c>
      <c r="J38" s="4" t="str">
        <f>IFERROR(__xludf.DUMMYFUNCTION("FILTER(IMPORTRANGE(""https://docs.google.com/spreadsheets/d/1kGrh75X1cNR1D7_FcY9zMnHP8iPO4M5RCRjy6nZY0TY/edit#gid=1248694442"",""Table 5: Risk of bias!Q4:Q175""), $A38=IMPORTRANGE(""https://docs.google.com/spreadsheets/d/1kGrh75X1cNR1D7_FcY9zMnHP8iPO4M5RC"&amp;"Rjy6nZY0TY/edit#gid=1248694442"",""Table 5: Risk of bias!A4:A175""))"),"Low")</f>
        <v>Low</v>
      </c>
    </row>
    <row r="39">
      <c r="A39" s="4" t="str">
        <f>IFERROR(__xludf.DUMMYFUNCTION("""COMPUTED_VALUE"""),"ID 76")</f>
        <v>ID 76</v>
      </c>
      <c r="B39" s="4" t="str">
        <f>IFERROR(__xludf.DUMMYFUNCTION("FILTER(IMPORTRANGE(""https://docs.google.com/spreadsheets/d/1kGrh75X1cNR1D7_FcY9zMnHP8iPO4M5RCRjy6nZY0TY/edit#gid=1248694442"",""Table 5: Risk of bias!D4:D175""), $A39=IMPORTRANGE(""https://docs.google.com/spreadsheets/d/1kGrh75X1cNR1D7_FcY9zMnHP8iPO4M5RC"&amp;"Rjy6nZY0TY/edit#gid=1248694442"",""Table 5: Risk of bias!A4:A175""))"),"ROBINS I")</f>
        <v>ROBINS I</v>
      </c>
      <c r="C39" s="4" t="str">
        <f>IFERROR(__xludf.DUMMYFUNCTION("IFS(
$B39=""ROBINS I"", FILTER(IMPORTRANGE(""https://docs.google.com/spreadsheets/d/1kGrh75X1cNR1D7_FcY9zMnHP8iPO4M5RCRjy6nZY0TY/edit#gid=1248694442"",""Table 5: Risk of bias!J4:J175""),  $A39=IMPORTRANGE(""https://docs.google.com/spreadsheets/d/1kGrh75X1"&amp;"cNR1D7_FcY9zMnHP8iPO4M5RCRjy6nZY0TY/edit#gid=1248694442"",""Table 5: Risk of bias!A4:A175"")),
$B39=""RoB 2"", FILTER(IMPORTRANGE(""https://docs.google.com/spreadsheets/d/1kGrh75X1cNR1D7_FcY9zMnHP8iPO4M5RCRjy6nZY0TY/edit#gid=1248694442"",""Table 5: Risk o"&amp;"f bias!R4:R175""), $A39=IMPORTRANGE(""https://docs.google.com/spreadsheets/d/1kGrh75X1cNR1D7_FcY9zMnHP8iPO4M5RCRjy6nZY0TY/edit#gid=1248694442"",""Table 5: Risk of bias!A4:A175""))
)"),"Moderate")</f>
        <v>Moderate</v>
      </c>
      <c r="D39" s="4" t="str">
        <f>IFERROR(__xludf.DUMMYFUNCTION("IFS($B39=""ROBINS I"",FILTER(IMPORTRANGE(""https://docs.google.com/spreadsheets/d/1kGrh75X1cNR1D7_FcY9zMnHP8iPO4M5RCRjy6nZY0TY/edit#gid=1248694442"",""Table 5: Risk of bias!K4:K175""), $A39=IMPORTRANGE(""https://docs.google.com/spreadsheets/d/1kGrh75X1cNR"&amp;"1D7_FcY9zMnHP8iPO4M5RCRjy6nZY0TY/edit#gid=1248694442"",""Table 5: Risk of bias!A4:A175"")),$B39=""RoB 2"",FILTER(IMPORTRANGE(""https://docs.google.com/spreadsheets/d/1kGrh75X1cNR1D7_FcY9zMnHP8iPO4M5RCRjy6nZY0TY/edit#gid=1248694442"",""Table 5: Risk of bia"&amp;"s!S4:S175""), $A39=IMPORTRANGE(""https://docs.google.com/spreadsheets/d/1kGrh75X1cNR1D7_FcY9zMnHP8iPO4M5RCRjy6nZY0TY/edit#gid=1248694442"",""Table 5: Risk of bias!A4:A175"")))"),"Moderate")</f>
        <v>Moderate</v>
      </c>
      <c r="E39" s="4" t="str">
        <f>IFERROR(__xludf.DUMMYFUNCTION("IFS($B39=""ROBINS I"",FILTER(IMPORTRANGE(""https://docs.google.com/spreadsheets/d/1kGrh75X1cNR1D7_FcY9zMnHP8iPO4M5RCRjy6nZY0TY/edit#gid=1248694442"",""Table 5: Risk of bias!L4:L175""), $A39=IMPORTRANGE(""https://docs.google.com/spreadsheets/d/1kGrh75X1cNR"&amp;"1D7_FcY9zMnHP8iPO4M5RCRjy6nZY0TY/edit#gid=1248694442"",""Table 5: Risk of bias!A4:A175"")),$B39=""RoB 2"",FILTER(IMPORTRANGE(""https://docs.google.com/spreadsheets/d/1kGrh75X1cNR1D7_FcY9zMnHP8iPO4M5RCRjy6nZY0TY/edit#gid=1248694442"",""Table 5: Risk of bia"&amp;"s!T4:T175""), $A39=IMPORTRANGE(""https://docs.google.com/spreadsheets/d/1kGrh75X1cNR1D7_FcY9zMnHP8iPO4M5RCRjy6nZY0TY/edit#gid=1248694442"",""Table 5: Risk of bias!A4:A175"")))"),"Moderate")</f>
        <v>Moderate</v>
      </c>
      <c r="F39" s="4" t="str">
        <f>IFERROR(__xludf.DUMMYFUNCTION("IFS($B39=""ROBINS I"",FILTER(IMPORTRANGE(""https://docs.google.com/spreadsheets/d/1kGrh75X1cNR1D7_FcY9zMnHP8iPO4M5RCRjy6nZY0TY/edit#gid=1248694442"",""Table 5: Risk of bias!M4:M175""), $A39=IMPORTRANGE(""https://docs.google.com/spreadsheets/d/1kGrh75X1cNR"&amp;"1D7_FcY9zMnHP8iPO4M5RCRjy6nZY0TY/edit#gid=1248694442"",""Table 5: Risk of bias!A4:A175"")),$B39=""RoB 2"",FILTER(IMPORTRANGE(""https://docs.google.com/spreadsheets/d/1kGrh75X1cNR1D7_FcY9zMnHP8iPO4M5RCRjy6nZY0TY/edit#gid=1248694442"",""Table 5: Risk of bia"&amp;"s!U4:U175""), $A39=IMPORTRANGE(""https://docs.google.com/spreadsheets/d/1kGrh75X1cNR1D7_FcY9zMnHP8iPO4M5RCRjy6nZY0TY/edit#gid=1248694442"",""Table 5: Risk of bias!A4:A175"")))"),"Low")</f>
        <v>Low</v>
      </c>
      <c r="G39" s="4" t="str">
        <f>IFERROR(__xludf.DUMMYFUNCTION("IFS($B39=""ROBINS I"",FILTER(IMPORTRANGE(""https://docs.google.com/spreadsheets/d/1kGrh75X1cNR1D7_FcY9zMnHP8iPO4M5RCRjy6nZY0TY/edit#gid=1248694442"",""Table 5: Risk of bias!N4:N175""), $A39=IMPORTRANGE(""https://docs.google.com/spreadsheets/d/1kGrh75X1cNR"&amp;"1D7_FcY9zMnHP8iPO4M5RCRjy6nZY0TY/edit#gid=1248694442"",""Table 5: Risk of bias!A4:A175"")),$B39=""RoB 2"",FILTER(IMPORTRANGE(""https://docs.google.com/spreadsheets/d/1kGrh75X1cNR1D7_FcY9zMnHP8iPO4M5RCRjy6nZY0TY/edit#gid=1248694442"",""Table 5: Risk of bia"&amp;"s!V4:V175""), $A39=IMPORTRANGE(""https://docs.google.com/spreadsheets/d/1kGrh75X1cNR1D7_FcY9zMnHP8iPO4M5RCRjy6nZY0TY/edit#gid=1248694442"",""Table 5: Risk of bias!A4:A175"")))"),"Moderate")</f>
        <v>Moderate</v>
      </c>
      <c r="H39" s="4" t="str">
        <f>IFERROR(__xludf.DUMMYFUNCTION("IFS($B39=""ROBINS I"",FILTER(IMPORTRANGE(""https://docs.google.com/spreadsheets/d/1kGrh75X1cNR1D7_FcY9zMnHP8iPO4M5RCRjy6nZY0TY/edit#gid=1248694442"",""Table 5: Risk of bias!O4:O175""), $A39=IMPORTRANGE(""https://docs.google.com/spreadsheets/d/1kGrh75X1cNR"&amp;"1D7_FcY9zMnHP8iPO4M5RCRjy6nZY0TY/edit#gid=1248694442"",""Table 5: Risk of bias!A4:A175"")),$B39=""RoB 2"",FILTER(IMPORTRANGE(""https://docs.google.com/spreadsheets/d/1kGrh75X1cNR1D7_FcY9zMnHP8iPO4M5RCRjy6nZY0TY/edit#gid=1248694442"",""Table 5: Risk of bia"&amp;"s!W4:W175""), $A39=IMPORTRANGE(""https://docs.google.com/spreadsheets/d/1kGrh75X1cNR1D7_FcY9zMnHP8iPO4M5RCRjy6nZY0TY/edit#gid=1248694442"",""Table 5: Risk of bias!A4:A175"")))"),"Low")</f>
        <v>Low</v>
      </c>
      <c r="I39" s="4" t="str">
        <f>IFERROR(__xludf.DUMMYFUNCTION("FILTER(IMPORTRANGE(""https://docs.google.com/spreadsheets/d/1kGrh75X1cNR1D7_FcY9zMnHP8iPO4M5RCRjy6nZY0TY/edit#gid=1248694442"",""Table 5: Risk of bias!P4:P175""), $A39=IMPORTRANGE(""https://docs.google.com/spreadsheets/d/1kGrh75X1cNR1D7_FcY9zMnHP8iPO4M5RC"&amp;"Rjy6nZY0TY/edit#gid=1248694442"",""Table 5: Risk of bias!A4:A175""))"),"Moderate")</f>
        <v>Moderate</v>
      </c>
      <c r="J39" s="4" t="str">
        <f>IFERROR(__xludf.DUMMYFUNCTION("FILTER(IMPORTRANGE(""https://docs.google.com/spreadsheets/d/1kGrh75X1cNR1D7_FcY9zMnHP8iPO4M5RCRjy6nZY0TY/edit#gid=1248694442"",""Table 5: Risk of bias!Q4:Q175""), $A39=IMPORTRANGE(""https://docs.google.com/spreadsheets/d/1kGrh75X1cNR1D7_FcY9zMnHP8iPO4M5RC"&amp;"Rjy6nZY0TY/edit#gid=1248694442"",""Table 5: Risk of bias!A4:A175""))"),"Moderate")</f>
        <v>Moderate</v>
      </c>
    </row>
    <row r="40">
      <c r="A40" s="4" t="str">
        <f>IFERROR(__xludf.DUMMYFUNCTION("""COMPUTED_VALUE"""),"ID 77")</f>
        <v>ID 77</v>
      </c>
      <c r="B40" s="4" t="str">
        <f>IFERROR(__xludf.DUMMYFUNCTION("FILTER(IMPORTRANGE(""https://docs.google.com/spreadsheets/d/1kGrh75X1cNR1D7_FcY9zMnHP8iPO4M5RCRjy6nZY0TY/edit#gid=1248694442"",""Table 5: Risk of bias!D4:D175""), $A40=IMPORTRANGE(""https://docs.google.com/spreadsheets/d/1kGrh75X1cNR1D7_FcY9zMnHP8iPO4M5RC"&amp;"Rjy6nZY0TY/edit#gid=1248694442"",""Table 5: Risk of bias!A4:A175""))"),"ROBINS I")</f>
        <v>ROBINS I</v>
      </c>
      <c r="C40" s="4" t="str">
        <f>IFERROR(__xludf.DUMMYFUNCTION("IFS(
$B40=""ROBINS I"", FILTER(IMPORTRANGE(""https://docs.google.com/spreadsheets/d/1kGrh75X1cNR1D7_FcY9zMnHP8iPO4M5RCRjy6nZY0TY/edit#gid=1248694442"",""Table 5: Risk of bias!J4:J175""),  $A40=IMPORTRANGE(""https://docs.google.com/spreadsheets/d/1kGrh75X1"&amp;"cNR1D7_FcY9zMnHP8iPO4M5RCRjy6nZY0TY/edit#gid=1248694442"",""Table 5: Risk of bias!A4:A175"")),
$B40=""RoB 2"", FILTER(IMPORTRANGE(""https://docs.google.com/spreadsheets/d/1kGrh75X1cNR1D7_FcY9zMnHP8iPO4M5RCRjy6nZY0TY/edit#gid=1248694442"",""Table 5: Risk o"&amp;"f bias!R4:R175""), $A40=IMPORTRANGE(""https://docs.google.com/spreadsheets/d/1kGrh75X1cNR1D7_FcY9zMnHP8iPO4M5RCRjy6nZY0TY/edit#gid=1248694442"",""Table 5: Risk of bias!A4:A175""))
)"),"Serious")</f>
        <v>Serious</v>
      </c>
      <c r="D40" s="4" t="str">
        <f>IFERROR(__xludf.DUMMYFUNCTION("IFS($B40=""ROBINS I"",FILTER(IMPORTRANGE(""https://docs.google.com/spreadsheets/d/1kGrh75X1cNR1D7_FcY9zMnHP8iPO4M5RCRjy6nZY0TY/edit#gid=1248694442"",""Table 5: Risk of bias!K4:K175""), $A40=IMPORTRANGE(""https://docs.google.com/spreadsheets/d/1kGrh75X1cNR"&amp;"1D7_FcY9zMnHP8iPO4M5RCRjy6nZY0TY/edit#gid=1248694442"",""Table 5: Risk of bias!A4:A175"")),$B40=""RoB 2"",FILTER(IMPORTRANGE(""https://docs.google.com/spreadsheets/d/1kGrh75X1cNR1D7_FcY9zMnHP8iPO4M5RCRjy6nZY0TY/edit#gid=1248694442"",""Table 5: Risk of bia"&amp;"s!S4:S175""), $A40=IMPORTRANGE(""https://docs.google.com/spreadsheets/d/1kGrh75X1cNR1D7_FcY9zMnHP8iPO4M5RCRjy6nZY0TY/edit#gid=1248694442"",""Table 5: Risk of bias!A4:A175"")))"),"Serious")</f>
        <v>Serious</v>
      </c>
      <c r="E40" s="4" t="str">
        <f>IFERROR(__xludf.DUMMYFUNCTION("IFS($B40=""ROBINS I"",FILTER(IMPORTRANGE(""https://docs.google.com/spreadsheets/d/1kGrh75X1cNR1D7_FcY9zMnHP8iPO4M5RCRjy6nZY0TY/edit#gid=1248694442"",""Table 5: Risk of bias!L4:L175""), $A40=IMPORTRANGE(""https://docs.google.com/spreadsheets/d/1kGrh75X1cNR"&amp;"1D7_FcY9zMnHP8iPO4M5RCRjy6nZY0TY/edit#gid=1248694442"",""Table 5: Risk of bias!A4:A175"")),$B40=""RoB 2"",FILTER(IMPORTRANGE(""https://docs.google.com/spreadsheets/d/1kGrh75X1cNR1D7_FcY9zMnHP8iPO4M5RCRjy6nZY0TY/edit#gid=1248694442"",""Table 5: Risk of bia"&amp;"s!T4:T175""), $A40=IMPORTRANGE(""https://docs.google.com/spreadsheets/d/1kGrh75X1cNR1D7_FcY9zMnHP8iPO4M5RCRjy6nZY0TY/edit#gid=1248694442"",""Table 5: Risk of bias!A4:A175"")))"),"Low")</f>
        <v>Low</v>
      </c>
      <c r="F40" s="4" t="str">
        <f>IFERROR(__xludf.DUMMYFUNCTION("IFS($B40=""ROBINS I"",FILTER(IMPORTRANGE(""https://docs.google.com/spreadsheets/d/1kGrh75X1cNR1D7_FcY9zMnHP8iPO4M5RCRjy6nZY0TY/edit#gid=1248694442"",""Table 5: Risk of bias!M4:M175""), $A40=IMPORTRANGE(""https://docs.google.com/spreadsheets/d/1kGrh75X1cNR"&amp;"1D7_FcY9zMnHP8iPO4M5RCRjy6nZY0TY/edit#gid=1248694442"",""Table 5: Risk of bias!A4:A175"")),$B40=""RoB 2"",FILTER(IMPORTRANGE(""https://docs.google.com/spreadsheets/d/1kGrh75X1cNR1D7_FcY9zMnHP8iPO4M5RCRjy6nZY0TY/edit#gid=1248694442"",""Table 5: Risk of bia"&amp;"s!U4:U175""), $A40=IMPORTRANGE(""https://docs.google.com/spreadsheets/d/1kGrh75X1cNR1D7_FcY9zMnHP8iPO4M5RCRjy6nZY0TY/edit#gid=1248694442"",""Table 5: Risk of bias!A4:A175"")))"),"Low")</f>
        <v>Low</v>
      </c>
      <c r="G40" s="4" t="str">
        <f>IFERROR(__xludf.DUMMYFUNCTION("IFS($B40=""ROBINS I"",FILTER(IMPORTRANGE(""https://docs.google.com/spreadsheets/d/1kGrh75X1cNR1D7_FcY9zMnHP8iPO4M5RCRjy6nZY0TY/edit#gid=1248694442"",""Table 5: Risk of bias!N4:N175""), $A40=IMPORTRANGE(""https://docs.google.com/spreadsheets/d/1kGrh75X1cNR"&amp;"1D7_FcY9zMnHP8iPO4M5RCRjy6nZY0TY/edit#gid=1248694442"",""Table 5: Risk of bias!A4:A175"")),$B40=""RoB 2"",FILTER(IMPORTRANGE(""https://docs.google.com/spreadsheets/d/1kGrh75X1cNR1D7_FcY9zMnHP8iPO4M5RCRjy6nZY0TY/edit#gid=1248694442"",""Table 5: Risk of bia"&amp;"s!V4:V175""), $A40=IMPORTRANGE(""https://docs.google.com/spreadsheets/d/1kGrh75X1cNR1D7_FcY9zMnHP8iPO4M5RCRjy6nZY0TY/edit#gid=1248694442"",""Table 5: Risk of bias!A4:A175"")))"),"Low")</f>
        <v>Low</v>
      </c>
      <c r="H40" s="4" t="str">
        <f>IFERROR(__xludf.DUMMYFUNCTION("IFS($B40=""ROBINS I"",FILTER(IMPORTRANGE(""https://docs.google.com/spreadsheets/d/1kGrh75X1cNR1D7_FcY9zMnHP8iPO4M5RCRjy6nZY0TY/edit#gid=1248694442"",""Table 5: Risk of bias!O4:O175""), $A40=IMPORTRANGE(""https://docs.google.com/spreadsheets/d/1kGrh75X1cNR"&amp;"1D7_FcY9zMnHP8iPO4M5RCRjy6nZY0TY/edit#gid=1248694442"",""Table 5: Risk of bias!A4:A175"")),$B40=""RoB 2"",FILTER(IMPORTRANGE(""https://docs.google.com/spreadsheets/d/1kGrh75X1cNR1D7_FcY9zMnHP8iPO4M5RCRjy6nZY0TY/edit#gid=1248694442"",""Table 5: Risk of bia"&amp;"s!W4:W175""), $A40=IMPORTRANGE(""https://docs.google.com/spreadsheets/d/1kGrh75X1cNR1D7_FcY9zMnHP8iPO4M5RCRjy6nZY0TY/edit#gid=1248694442"",""Table 5: Risk of bias!A4:A175"")))"),"Low")</f>
        <v>Low</v>
      </c>
      <c r="I40" s="4" t="str">
        <f>IFERROR(__xludf.DUMMYFUNCTION("FILTER(IMPORTRANGE(""https://docs.google.com/spreadsheets/d/1kGrh75X1cNR1D7_FcY9zMnHP8iPO4M5RCRjy6nZY0TY/edit#gid=1248694442"",""Table 5: Risk of bias!P4:P175""), $A40=IMPORTRANGE(""https://docs.google.com/spreadsheets/d/1kGrh75X1cNR1D7_FcY9zMnHP8iPO4M5RC"&amp;"Rjy6nZY0TY/edit#gid=1248694442"",""Table 5: Risk of bias!A4:A175""))"),"Serious")</f>
        <v>Serious</v>
      </c>
      <c r="J40" s="4" t="str">
        <f>IFERROR(__xludf.DUMMYFUNCTION("FILTER(IMPORTRANGE(""https://docs.google.com/spreadsheets/d/1kGrh75X1cNR1D7_FcY9zMnHP8iPO4M5RCRjy6nZY0TY/edit#gid=1248694442"",""Table 5: Risk of bias!Q4:Q175""), $A40=IMPORTRANGE(""https://docs.google.com/spreadsheets/d/1kGrh75X1cNR1D7_FcY9zMnHP8iPO4M5RC"&amp;"Rjy6nZY0TY/edit#gid=1248694442"",""Table 5: Risk of bias!A4:A175""))"),"Moderate")</f>
        <v>Moderate</v>
      </c>
    </row>
    <row r="41">
      <c r="A41" s="4" t="str">
        <f>IFERROR(__xludf.DUMMYFUNCTION("""COMPUTED_VALUE"""),"ID 83")</f>
        <v>ID 83</v>
      </c>
      <c r="B41" s="4" t="str">
        <f>IFERROR(__xludf.DUMMYFUNCTION("FILTER(IMPORTRANGE(""https://docs.google.com/spreadsheets/d/1kGrh75X1cNR1D7_FcY9zMnHP8iPO4M5RCRjy6nZY0TY/edit#gid=1248694442"",""Table 5: Risk of bias!D4:D175""), $A41=IMPORTRANGE(""https://docs.google.com/spreadsheets/d/1kGrh75X1cNR1D7_FcY9zMnHP8iPO4M5RC"&amp;"Rjy6nZY0TY/edit#gid=1248694442"",""Table 5: Risk of bias!A4:A175""))"),"ROBINS I")</f>
        <v>ROBINS I</v>
      </c>
      <c r="C41" s="4" t="str">
        <f>IFERROR(__xludf.DUMMYFUNCTION("IFS(
$B41=""ROBINS I"", FILTER(IMPORTRANGE(""https://docs.google.com/spreadsheets/d/1kGrh75X1cNR1D7_FcY9zMnHP8iPO4M5RCRjy6nZY0TY/edit#gid=1248694442"",""Table 5: Risk of bias!J4:J175""),  $A41=IMPORTRANGE(""https://docs.google.com/spreadsheets/d/1kGrh75X1"&amp;"cNR1D7_FcY9zMnHP8iPO4M5RCRjy6nZY0TY/edit#gid=1248694442"",""Table 5: Risk of bias!A4:A175"")),
$B41=""RoB 2"", FILTER(IMPORTRANGE(""https://docs.google.com/spreadsheets/d/1kGrh75X1cNR1D7_FcY9zMnHP8iPO4M5RCRjy6nZY0TY/edit#gid=1248694442"",""Table 5: Risk o"&amp;"f bias!R4:R175""), $A41=IMPORTRANGE(""https://docs.google.com/spreadsheets/d/1kGrh75X1cNR1D7_FcY9zMnHP8iPO4M5RCRjy6nZY0TY/edit#gid=1248694442"",""Table 5: Risk of bias!A4:A175""))
)"),"Critical")</f>
        <v>Critical</v>
      </c>
      <c r="D41" s="4" t="str">
        <f>IFERROR(__xludf.DUMMYFUNCTION("IFS($B41=""ROBINS I"",FILTER(IMPORTRANGE(""https://docs.google.com/spreadsheets/d/1kGrh75X1cNR1D7_FcY9zMnHP8iPO4M5RCRjy6nZY0TY/edit#gid=1248694442"",""Table 5: Risk of bias!K4:K175""), $A41=IMPORTRANGE(""https://docs.google.com/spreadsheets/d/1kGrh75X1cNR"&amp;"1D7_FcY9zMnHP8iPO4M5RCRjy6nZY0TY/edit#gid=1248694442"",""Table 5: Risk of bias!A4:A175"")),$B41=""RoB 2"",FILTER(IMPORTRANGE(""https://docs.google.com/spreadsheets/d/1kGrh75X1cNR1D7_FcY9zMnHP8iPO4M5RCRjy6nZY0TY/edit#gid=1248694442"",""Table 5: Risk of bia"&amp;"s!S4:S175""), $A41=IMPORTRANGE(""https://docs.google.com/spreadsheets/d/1kGrh75X1cNR1D7_FcY9zMnHP8iPO4M5RCRjy6nZY0TY/edit#gid=1248694442"",""Table 5: Risk of bias!A4:A175"")))"),"Critical")</f>
        <v>Critical</v>
      </c>
      <c r="E41" s="4" t="str">
        <f>IFERROR(__xludf.DUMMYFUNCTION("IFS($B41=""ROBINS I"",FILTER(IMPORTRANGE(""https://docs.google.com/spreadsheets/d/1kGrh75X1cNR1D7_FcY9zMnHP8iPO4M5RCRjy6nZY0TY/edit#gid=1248694442"",""Table 5: Risk of bias!L4:L175""), $A41=IMPORTRANGE(""https://docs.google.com/spreadsheets/d/1kGrh75X1cNR"&amp;"1D7_FcY9zMnHP8iPO4M5RCRjy6nZY0TY/edit#gid=1248694442"",""Table 5: Risk of bias!A4:A175"")),$B41=""RoB 2"",FILTER(IMPORTRANGE(""https://docs.google.com/spreadsheets/d/1kGrh75X1cNR1D7_FcY9zMnHP8iPO4M5RCRjy6nZY0TY/edit#gid=1248694442"",""Table 5: Risk of bia"&amp;"s!T4:T175""), $A41=IMPORTRANGE(""https://docs.google.com/spreadsheets/d/1kGrh75X1cNR1D7_FcY9zMnHP8iPO4M5RCRjy6nZY0TY/edit#gid=1248694442"",""Table 5: Risk of bias!A4:A175"")))"),"Low")</f>
        <v>Low</v>
      </c>
      <c r="F41" s="4" t="str">
        <f>IFERROR(__xludf.DUMMYFUNCTION("IFS($B41=""ROBINS I"",FILTER(IMPORTRANGE(""https://docs.google.com/spreadsheets/d/1kGrh75X1cNR1D7_FcY9zMnHP8iPO4M5RCRjy6nZY0TY/edit#gid=1248694442"",""Table 5: Risk of bias!M4:M175""), $A41=IMPORTRANGE(""https://docs.google.com/spreadsheets/d/1kGrh75X1cNR"&amp;"1D7_FcY9zMnHP8iPO4M5RCRjy6nZY0TY/edit#gid=1248694442"",""Table 5: Risk of bias!A4:A175"")),$B41=""RoB 2"",FILTER(IMPORTRANGE(""https://docs.google.com/spreadsheets/d/1kGrh75X1cNR1D7_FcY9zMnHP8iPO4M5RCRjy6nZY0TY/edit#gid=1248694442"",""Table 5: Risk of bia"&amp;"s!U4:U175""), $A41=IMPORTRANGE(""https://docs.google.com/spreadsheets/d/1kGrh75X1cNR1D7_FcY9zMnHP8iPO4M5RCRjy6nZY0TY/edit#gid=1248694442"",""Table 5: Risk of bias!A4:A175"")))"),"Critical")</f>
        <v>Critical</v>
      </c>
      <c r="G41" s="4" t="str">
        <f>IFERROR(__xludf.DUMMYFUNCTION("IFS($B41=""ROBINS I"",FILTER(IMPORTRANGE(""https://docs.google.com/spreadsheets/d/1kGrh75X1cNR1D7_FcY9zMnHP8iPO4M5RCRjy6nZY0TY/edit#gid=1248694442"",""Table 5: Risk of bias!N4:N175""), $A41=IMPORTRANGE(""https://docs.google.com/spreadsheets/d/1kGrh75X1cNR"&amp;"1D7_FcY9zMnHP8iPO4M5RCRjy6nZY0TY/edit#gid=1248694442"",""Table 5: Risk of bias!A4:A175"")),$B41=""RoB 2"",FILTER(IMPORTRANGE(""https://docs.google.com/spreadsheets/d/1kGrh75X1cNR1D7_FcY9zMnHP8iPO4M5RCRjy6nZY0TY/edit#gid=1248694442"",""Table 5: Risk of bia"&amp;"s!V4:V175""), $A41=IMPORTRANGE(""https://docs.google.com/spreadsheets/d/1kGrh75X1cNR1D7_FcY9zMnHP8iPO4M5RCRjy6nZY0TY/edit#gid=1248694442"",""Table 5: Risk of bias!A4:A175"")))"),"Low")</f>
        <v>Low</v>
      </c>
      <c r="H41" s="4" t="str">
        <f>IFERROR(__xludf.DUMMYFUNCTION("IFS($B41=""ROBINS I"",FILTER(IMPORTRANGE(""https://docs.google.com/spreadsheets/d/1kGrh75X1cNR1D7_FcY9zMnHP8iPO4M5RCRjy6nZY0TY/edit#gid=1248694442"",""Table 5: Risk of bias!O4:O175""), $A41=IMPORTRANGE(""https://docs.google.com/spreadsheets/d/1kGrh75X1cNR"&amp;"1D7_FcY9zMnHP8iPO4M5RCRjy6nZY0TY/edit#gid=1248694442"",""Table 5: Risk of bias!A4:A175"")),$B41=""RoB 2"",FILTER(IMPORTRANGE(""https://docs.google.com/spreadsheets/d/1kGrh75X1cNR1D7_FcY9zMnHP8iPO4M5RCRjy6nZY0TY/edit#gid=1248694442"",""Table 5: Risk of bia"&amp;"s!W4:W175""), $A41=IMPORTRANGE(""https://docs.google.com/spreadsheets/d/1kGrh75X1cNR1D7_FcY9zMnHP8iPO4M5RCRjy6nZY0TY/edit#gid=1248694442"",""Table 5: Risk of bias!A4:A175"")))"),"Low")</f>
        <v>Low</v>
      </c>
      <c r="I41" s="4" t="str">
        <f>IFERROR(__xludf.DUMMYFUNCTION("FILTER(IMPORTRANGE(""https://docs.google.com/spreadsheets/d/1kGrh75X1cNR1D7_FcY9zMnHP8iPO4M5RCRjy6nZY0TY/edit#gid=1248694442"",""Table 5: Risk of bias!P4:P175""), $A41=IMPORTRANGE(""https://docs.google.com/spreadsheets/d/1kGrh75X1cNR1D7_FcY9zMnHP8iPO4M5RC"&amp;"Rjy6nZY0TY/edit#gid=1248694442"",""Table 5: Risk of bias!A4:A175""))"),"Moderate")</f>
        <v>Moderate</v>
      </c>
      <c r="J41" s="4" t="str">
        <f>IFERROR(__xludf.DUMMYFUNCTION("FILTER(IMPORTRANGE(""https://docs.google.com/spreadsheets/d/1kGrh75X1cNR1D7_FcY9zMnHP8iPO4M5RCRjy6nZY0TY/edit#gid=1248694442"",""Table 5: Risk of bias!Q4:Q175""), $A41=IMPORTRANGE(""https://docs.google.com/spreadsheets/d/1kGrh75X1cNR1D7_FcY9zMnHP8iPO4M5RC"&amp;"Rjy6nZY0TY/edit#gid=1248694442"",""Table 5: Risk of bias!A4:A175""))"),"Low")</f>
        <v>Low</v>
      </c>
    </row>
    <row r="42">
      <c r="A42" s="4" t="str">
        <f>IFERROR(__xludf.DUMMYFUNCTION("""COMPUTED_VALUE"""),"ID 84")</f>
        <v>ID 84</v>
      </c>
      <c r="B42" s="4" t="str">
        <f>IFERROR(__xludf.DUMMYFUNCTION("FILTER(IMPORTRANGE(""https://docs.google.com/spreadsheets/d/1kGrh75X1cNR1D7_FcY9zMnHP8iPO4M5RCRjy6nZY0TY/edit#gid=1248694442"",""Table 5: Risk of bias!D4:D175""), $A42=IMPORTRANGE(""https://docs.google.com/spreadsheets/d/1kGrh75X1cNR1D7_FcY9zMnHP8iPO4M5RC"&amp;"Rjy6nZY0TY/edit#gid=1248694442"",""Table 5: Risk of bias!A4:A175""))"),"ROBINS I")</f>
        <v>ROBINS I</v>
      </c>
      <c r="C42" s="4" t="str">
        <f>IFERROR(__xludf.DUMMYFUNCTION("IFS(
$B42=""ROBINS I"", FILTER(IMPORTRANGE(""https://docs.google.com/spreadsheets/d/1kGrh75X1cNR1D7_FcY9zMnHP8iPO4M5RCRjy6nZY0TY/edit#gid=1248694442"",""Table 5: Risk of bias!J4:J175""),  $A42=IMPORTRANGE(""https://docs.google.com/spreadsheets/d/1kGrh75X1"&amp;"cNR1D7_FcY9zMnHP8iPO4M5RCRjy6nZY0TY/edit#gid=1248694442"",""Table 5: Risk of bias!A4:A175"")),
$B42=""RoB 2"", FILTER(IMPORTRANGE(""https://docs.google.com/spreadsheets/d/1kGrh75X1cNR1D7_FcY9zMnHP8iPO4M5RCRjy6nZY0TY/edit#gid=1248694442"",""Table 5: Risk o"&amp;"f bias!R4:R175""), $A42=IMPORTRANGE(""https://docs.google.com/spreadsheets/d/1kGrh75X1cNR1D7_FcY9zMnHP8iPO4M5RCRjy6nZY0TY/edit#gid=1248694442"",""Table 5: Risk of bias!A4:A175""))
)"),"Moderate")</f>
        <v>Moderate</v>
      </c>
      <c r="D42" s="4" t="str">
        <f>IFERROR(__xludf.DUMMYFUNCTION("IFS($B42=""ROBINS I"",FILTER(IMPORTRANGE(""https://docs.google.com/spreadsheets/d/1kGrh75X1cNR1D7_FcY9zMnHP8iPO4M5RCRjy6nZY0TY/edit#gid=1248694442"",""Table 5: Risk of bias!K4:K175""), $A42=IMPORTRANGE(""https://docs.google.com/spreadsheets/d/1kGrh75X1cNR"&amp;"1D7_FcY9zMnHP8iPO4M5RCRjy6nZY0TY/edit#gid=1248694442"",""Table 5: Risk of bias!A4:A175"")),$B42=""RoB 2"",FILTER(IMPORTRANGE(""https://docs.google.com/spreadsheets/d/1kGrh75X1cNR1D7_FcY9zMnHP8iPO4M5RCRjy6nZY0TY/edit#gid=1248694442"",""Table 5: Risk of bia"&amp;"s!S4:S175""), $A42=IMPORTRANGE(""https://docs.google.com/spreadsheets/d/1kGrh75X1cNR1D7_FcY9zMnHP8iPO4M5RCRjy6nZY0TY/edit#gid=1248694442"",""Table 5: Risk of bias!A4:A175"")))"),"Moderate")</f>
        <v>Moderate</v>
      </c>
      <c r="E42" s="4" t="str">
        <f>IFERROR(__xludf.DUMMYFUNCTION("IFS($B42=""ROBINS I"",FILTER(IMPORTRANGE(""https://docs.google.com/spreadsheets/d/1kGrh75X1cNR1D7_FcY9zMnHP8iPO4M5RCRjy6nZY0TY/edit#gid=1248694442"",""Table 5: Risk of bias!L4:L175""), $A42=IMPORTRANGE(""https://docs.google.com/spreadsheets/d/1kGrh75X1cNR"&amp;"1D7_FcY9zMnHP8iPO4M5RCRjy6nZY0TY/edit#gid=1248694442"",""Table 5: Risk of bias!A4:A175"")),$B42=""RoB 2"",FILTER(IMPORTRANGE(""https://docs.google.com/spreadsheets/d/1kGrh75X1cNR1D7_FcY9zMnHP8iPO4M5RCRjy6nZY0TY/edit#gid=1248694442"",""Table 5: Risk of bia"&amp;"s!T4:T175""), $A42=IMPORTRANGE(""https://docs.google.com/spreadsheets/d/1kGrh75X1cNR1D7_FcY9zMnHP8iPO4M5RCRjy6nZY0TY/edit#gid=1248694442"",""Table 5: Risk of bias!A4:A175"")))"),"Low")</f>
        <v>Low</v>
      </c>
      <c r="F42" s="4" t="str">
        <f>IFERROR(__xludf.DUMMYFUNCTION("IFS($B42=""ROBINS I"",FILTER(IMPORTRANGE(""https://docs.google.com/spreadsheets/d/1kGrh75X1cNR1D7_FcY9zMnHP8iPO4M5RCRjy6nZY0TY/edit#gid=1248694442"",""Table 5: Risk of bias!M4:M175""), $A42=IMPORTRANGE(""https://docs.google.com/spreadsheets/d/1kGrh75X1cNR"&amp;"1D7_FcY9zMnHP8iPO4M5RCRjy6nZY0TY/edit#gid=1248694442"",""Table 5: Risk of bias!A4:A175"")),$B42=""RoB 2"",FILTER(IMPORTRANGE(""https://docs.google.com/spreadsheets/d/1kGrh75X1cNR1D7_FcY9zMnHP8iPO4M5RCRjy6nZY0TY/edit#gid=1248694442"",""Table 5: Risk of bia"&amp;"s!U4:U175""), $A42=IMPORTRANGE(""https://docs.google.com/spreadsheets/d/1kGrh75X1cNR1D7_FcY9zMnHP8iPO4M5RCRjy6nZY0TY/edit#gid=1248694442"",""Table 5: Risk of bias!A4:A175"")))"),"Low")</f>
        <v>Low</v>
      </c>
      <c r="G42" s="4" t="str">
        <f>IFERROR(__xludf.DUMMYFUNCTION("IFS($B42=""ROBINS I"",FILTER(IMPORTRANGE(""https://docs.google.com/spreadsheets/d/1kGrh75X1cNR1D7_FcY9zMnHP8iPO4M5RCRjy6nZY0TY/edit#gid=1248694442"",""Table 5: Risk of bias!N4:N175""), $A42=IMPORTRANGE(""https://docs.google.com/spreadsheets/d/1kGrh75X1cNR"&amp;"1D7_FcY9zMnHP8iPO4M5RCRjy6nZY0TY/edit#gid=1248694442"",""Table 5: Risk of bias!A4:A175"")),$B42=""RoB 2"",FILTER(IMPORTRANGE(""https://docs.google.com/spreadsheets/d/1kGrh75X1cNR1D7_FcY9zMnHP8iPO4M5RCRjy6nZY0TY/edit#gid=1248694442"",""Table 5: Risk of bia"&amp;"s!V4:V175""), $A42=IMPORTRANGE(""https://docs.google.com/spreadsheets/d/1kGrh75X1cNR1D7_FcY9zMnHP8iPO4M5RCRjy6nZY0TY/edit#gid=1248694442"",""Table 5: Risk of bias!A4:A175"")))"),"Low")</f>
        <v>Low</v>
      </c>
      <c r="H42" s="4" t="str">
        <f>IFERROR(__xludf.DUMMYFUNCTION("IFS($B42=""ROBINS I"",FILTER(IMPORTRANGE(""https://docs.google.com/spreadsheets/d/1kGrh75X1cNR1D7_FcY9zMnHP8iPO4M5RCRjy6nZY0TY/edit#gid=1248694442"",""Table 5: Risk of bias!O4:O175""), $A42=IMPORTRANGE(""https://docs.google.com/spreadsheets/d/1kGrh75X1cNR"&amp;"1D7_FcY9zMnHP8iPO4M5RCRjy6nZY0TY/edit#gid=1248694442"",""Table 5: Risk of bias!A4:A175"")),$B42=""RoB 2"",FILTER(IMPORTRANGE(""https://docs.google.com/spreadsheets/d/1kGrh75X1cNR1D7_FcY9zMnHP8iPO4M5RCRjy6nZY0TY/edit#gid=1248694442"",""Table 5: Risk of bia"&amp;"s!W4:W175""), $A42=IMPORTRANGE(""https://docs.google.com/spreadsheets/d/1kGrh75X1cNR1D7_FcY9zMnHP8iPO4M5RCRjy6nZY0TY/edit#gid=1248694442"",""Table 5: Risk of bias!A4:A175"")))"),"Low")</f>
        <v>Low</v>
      </c>
      <c r="I42" s="4" t="str">
        <f>IFERROR(__xludf.DUMMYFUNCTION("FILTER(IMPORTRANGE(""https://docs.google.com/spreadsheets/d/1kGrh75X1cNR1D7_FcY9zMnHP8iPO4M5RCRjy6nZY0TY/edit#gid=1248694442"",""Table 5: Risk of bias!P4:P175""), $A42=IMPORTRANGE(""https://docs.google.com/spreadsheets/d/1kGrh75X1cNR1D7_FcY9zMnHP8iPO4M5RC"&amp;"Rjy6nZY0TY/edit#gid=1248694442"",""Table 5: Risk of bias!A4:A175""))"),"Moderate")</f>
        <v>Moderate</v>
      </c>
      <c r="J42" s="4" t="str">
        <f>IFERROR(__xludf.DUMMYFUNCTION("FILTER(IMPORTRANGE(""https://docs.google.com/spreadsheets/d/1kGrh75X1cNR1D7_FcY9zMnHP8iPO4M5RCRjy6nZY0TY/edit#gid=1248694442"",""Table 5: Risk of bias!Q4:Q175""), $A42=IMPORTRANGE(""https://docs.google.com/spreadsheets/d/1kGrh75X1cNR1D7_FcY9zMnHP8iPO4M5RC"&amp;"Rjy6nZY0TY/edit#gid=1248694442"",""Table 5: Risk of bias!A4:A175""))"),"Low")</f>
        <v>Low</v>
      </c>
    </row>
    <row r="43">
      <c r="A43" s="4" t="str">
        <f>IFERROR(__xludf.DUMMYFUNCTION("""COMPUTED_VALUE"""),"ID 86")</f>
        <v>ID 86</v>
      </c>
      <c r="B43" s="4" t="str">
        <f>IFERROR(__xludf.DUMMYFUNCTION("FILTER(IMPORTRANGE(""https://docs.google.com/spreadsheets/d/1kGrh75X1cNR1D7_FcY9zMnHP8iPO4M5RCRjy6nZY0TY/edit#gid=1248694442"",""Table 5: Risk of bias!D4:D175""), $A43=IMPORTRANGE(""https://docs.google.com/spreadsheets/d/1kGrh75X1cNR1D7_FcY9zMnHP8iPO4M5RC"&amp;"Rjy6nZY0TY/edit#gid=1248694442"",""Table 5: Risk of bias!A4:A175""))"),"ROBINS I")</f>
        <v>ROBINS I</v>
      </c>
      <c r="C43" s="4" t="str">
        <f>IFERROR(__xludf.DUMMYFUNCTION("IFS(
$B43=""ROBINS I"", FILTER(IMPORTRANGE(""https://docs.google.com/spreadsheets/d/1kGrh75X1cNR1D7_FcY9zMnHP8iPO4M5RCRjy6nZY0TY/edit#gid=1248694442"",""Table 5: Risk of bias!J4:J175""),  $A43=IMPORTRANGE(""https://docs.google.com/spreadsheets/d/1kGrh75X1"&amp;"cNR1D7_FcY9zMnHP8iPO4M5RCRjy6nZY0TY/edit#gid=1248694442"",""Table 5: Risk of bias!A4:A175"")),
$B43=""RoB 2"", FILTER(IMPORTRANGE(""https://docs.google.com/spreadsheets/d/1kGrh75X1cNR1D7_FcY9zMnHP8iPO4M5RCRjy6nZY0TY/edit#gid=1248694442"",""Table 5: Risk o"&amp;"f bias!R4:R175""), $A43=IMPORTRANGE(""https://docs.google.com/spreadsheets/d/1kGrh75X1cNR1D7_FcY9zMnHP8iPO4M5RCRjy6nZY0TY/edit#gid=1248694442"",""Table 5: Risk of bias!A4:A175""))
)"),"Moderate")</f>
        <v>Moderate</v>
      </c>
      <c r="D43" s="4" t="str">
        <f>IFERROR(__xludf.DUMMYFUNCTION("IFS($B43=""ROBINS I"",FILTER(IMPORTRANGE(""https://docs.google.com/spreadsheets/d/1kGrh75X1cNR1D7_FcY9zMnHP8iPO4M5RCRjy6nZY0TY/edit#gid=1248694442"",""Table 5: Risk of bias!K4:K175""), $A43=IMPORTRANGE(""https://docs.google.com/spreadsheets/d/1kGrh75X1cNR"&amp;"1D7_FcY9zMnHP8iPO4M5RCRjy6nZY0TY/edit#gid=1248694442"",""Table 5: Risk of bias!A4:A175"")),$B43=""RoB 2"",FILTER(IMPORTRANGE(""https://docs.google.com/spreadsheets/d/1kGrh75X1cNR1D7_FcY9zMnHP8iPO4M5RCRjy6nZY0TY/edit#gid=1248694442"",""Table 5: Risk of bia"&amp;"s!S4:S175""), $A43=IMPORTRANGE(""https://docs.google.com/spreadsheets/d/1kGrh75X1cNR1D7_FcY9zMnHP8iPO4M5RCRjy6nZY0TY/edit#gid=1248694442"",""Table 5: Risk of bias!A4:A175"")))"),"NI")</f>
        <v>NI</v>
      </c>
      <c r="E43" s="4" t="str">
        <f>IFERROR(__xludf.DUMMYFUNCTION("IFS($B43=""ROBINS I"",FILTER(IMPORTRANGE(""https://docs.google.com/spreadsheets/d/1kGrh75X1cNR1D7_FcY9zMnHP8iPO4M5RCRjy6nZY0TY/edit#gid=1248694442"",""Table 5: Risk of bias!L4:L175""), $A43=IMPORTRANGE(""https://docs.google.com/spreadsheets/d/1kGrh75X1cNR"&amp;"1D7_FcY9zMnHP8iPO4M5RCRjy6nZY0TY/edit#gid=1248694442"",""Table 5: Risk of bias!A4:A175"")),$B43=""RoB 2"",FILTER(IMPORTRANGE(""https://docs.google.com/spreadsheets/d/1kGrh75X1cNR1D7_FcY9zMnHP8iPO4M5RCRjy6nZY0TY/edit#gid=1248694442"",""Table 5: Risk of bia"&amp;"s!T4:T175""), $A43=IMPORTRANGE(""https://docs.google.com/spreadsheets/d/1kGrh75X1cNR1D7_FcY9zMnHP8iPO4M5RCRjy6nZY0TY/edit#gid=1248694442"",""Table 5: Risk of bias!A4:A175"")))"),"NI")</f>
        <v>NI</v>
      </c>
      <c r="F43" s="4" t="str">
        <f>IFERROR(__xludf.DUMMYFUNCTION("IFS($B43=""ROBINS I"",FILTER(IMPORTRANGE(""https://docs.google.com/spreadsheets/d/1kGrh75X1cNR1D7_FcY9zMnHP8iPO4M5RCRjy6nZY0TY/edit#gid=1248694442"",""Table 5: Risk of bias!M4:M175""), $A43=IMPORTRANGE(""https://docs.google.com/spreadsheets/d/1kGrh75X1cNR"&amp;"1D7_FcY9zMnHP8iPO4M5RCRjy6nZY0TY/edit#gid=1248694442"",""Table 5: Risk of bias!A4:A175"")),$B43=""RoB 2"",FILTER(IMPORTRANGE(""https://docs.google.com/spreadsheets/d/1kGrh75X1cNR1D7_FcY9zMnHP8iPO4M5RCRjy6nZY0TY/edit#gid=1248694442"",""Table 5: Risk of bia"&amp;"s!U4:U175""), $A43=IMPORTRANGE(""https://docs.google.com/spreadsheets/d/1kGrh75X1cNR1D7_FcY9zMnHP8iPO4M5RCRjy6nZY0TY/edit#gid=1248694442"",""Table 5: Risk of bias!A4:A175"")))"),"Moderate")</f>
        <v>Moderate</v>
      </c>
      <c r="G43" s="4" t="str">
        <f>IFERROR(__xludf.DUMMYFUNCTION("IFS($B43=""ROBINS I"",FILTER(IMPORTRANGE(""https://docs.google.com/spreadsheets/d/1kGrh75X1cNR1D7_FcY9zMnHP8iPO4M5RCRjy6nZY0TY/edit#gid=1248694442"",""Table 5: Risk of bias!N4:N175""), $A43=IMPORTRANGE(""https://docs.google.com/spreadsheets/d/1kGrh75X1cNR"&amp;"1D7_FcY9zMnHP8iPO4M5RCRjy6nZY0TY/edit#gid=1248694442"",""Table 5: Risk of bias!A4:A175"")),$B43=""RoB 2"",FILTER(IMPORTRANGE(""https://docs.google.com/spreadsheets/d/1kGrh75X1cNR1D7_FcY9zMnHP8iPO4M5RCRjy6nZY0TY/edit#gid=1248694442"",""Table 5: Risk of bia"&amp;"s!V4:V175""), $A43=IMPORTRANGE(""https://docs.google.com/spreadsheets/d/1kGrh75X1cNR1D7_FcY9zMnHP8iPO4M5RCRjy6nZY0TY/edit#gid=1248694442"",""Table 5: Risk of bias!A4:A175"")))"),"NI")</f>
        <v>NI</v>
      </c>
      <c r="H43" s="4" t="str">
        <f>IFERROR(__xludf.DUMMYFUNCTION("IFS($B43=""ROBINS I"",FILTER(IMPORTRANGE(""https://docs.google.com/spreadsheets/d/1kGrh75X1cNR1D7_FcY9zMnHP8iPO4M5RCRjy6nZY0TY/edit#gid=1248694442"",""Table 5: Risk of bias!O4:O175""), $A43=IMPORTRANGE(""https://docs.google.com/spreadsheets/d/1kGrh75X1cNR"&amp;"1D7_FcY9zMnHP8iPO4M5RCRjy6nZY0TY/edit#gid=1248694442"",""Table 5: Risk of bias!A4:A175"")),$B43=""RoB 2"",FILTER(IMPORTRANGE(""https://docs.google.com/spreadsheets/d/1kGrh75X1cNR1D7_FcY9zMnHP8iPO4M5RCRjy6nZY0TY/edit#gid=1248694442"",""Table 5: Risk of bia"&amp;"s!W4:W175""), $A43=IMPORTRANGE(""https://docs.google.com/spreadsheets/d/1kGrh75X1cNR1D7_FcY9zMnHP8iPO4M5RCRjy6nZY0TY/edit#gid=1248694442"",""Table 5: Risk of bias!A4:A175"")))"),"Low")</f>
        <v>Low</v>
      </c>
      <c r="I43" s="4" t="str">
        <f>IFERROR(__xludf.DUMMYFUNCTION("FILTER(IMPORTRANGE(""https://docs.google.com/spreadsheets/d/1kGrh75X1cNR1D7_FcY9zMnHP8iPO4M5RCRjy6nZY0TY/edit#gid=1248694442"",""Table 5: Risk of bias!P4:P175""), $A43=IMPORTRANGE(""https://docs.google.com/spreadsheets/d/1kGrh75X1cNR1D7_FcY9zMnHP8iPO4M5RC"&amp;"Rjy6nZY0TY/edit#gid=1248694442"",""Table 5: Risk of bias!A4:A175""))"),"Low")</f>
        <v>Low</v>
      </c>
      <c r="J43" s="4" t="str">
        <f>IFERROR(__xludf.DUMMYFUNCTION("FILTER(IMPORTRANGE(""https://docs.google.com/spreadsheets/d/1kGrh75X1cNR1D7_FcY9zMnHP8iPO4M5RCRjy6nZY0TY/edit#gid=1248694442"",""Table 5: Risk of bias!Q4:Q175""), $A43=IMPORTRANGE(""https://docs.google.com/spreadsheets/d/1kGrh75X1cNR1D7_FcY9zMnHP8iPO4M5RC"&amp;"Rjy6nZY0TY/edit#gid=1248694442"",""Table 5: Risk of bias!A4:A175""))"),"NI")</f>
        <v>NI</v>
      </c>
    </row>
    <row r="44">
      <c r="A44" s="4" t="str">
        <f>IFERROR(__xludf.DUMMYFUNCTION("""COMPUTED_VALUE"""),"ID 88")</f>
        <v>ID 88</v>
      </c>
      <c r="B44" s="4" t="str">
        <f>IFERROR(__xludf.DUMMYFUNCTION("FILTER(IMPORTRANGE(""https://docs.google.com/spreadsheets/d/1kGrh75X1cNR1D7_FcY9zMnHP8iPO4M5RCRjy6nZY0TY/edit#gid=1248694442"",""Table 5: Risk of bias!D4:D175""), $A44=IMPORTRANGE(""https://docs.google.com/spreadsheets/d/1kGrh75X1cNR1D7_FcY9zMnHP8iPO4M5RC"&amp;"Rjy6nZY0TY/edit#gid=1248694442"",""Table 5: Risk of bias!A4:A175""))"),"ROBINS I")</f>
        <v>ROBINS I</v>
      </c>
      <c r="C44" s="4" t="str">
        <f>IFERROR(__xludf.DUMMYFUNCTION("IFS(
$B44=""ROBINS I"", FILTER(IMPORTRANGE(""https://docs.google.com/spreadsheets/d/1kGrh75X1cNR1D7_FcY9zMnHP8iPO4M5RCRjy6nZY0TY/edit#gid=1248694442"",""Table 5: Risk of bias!J4:J175""),  $A44=IMPORTRANGE(""https://docs.google.com/spreadsheets/d/1kGrh75X1"&amp;"cNR1D7_FcY9zMnHP8iPO4M5RCRjy6nZY0TY/edit#gid=1248694442"",""Table 5: Risk of bias!A4:A175"")),
$B44=""RoB 2"", FILTER(IMPORTRANGE(""https://docs.google.com/spreadsheets/d/1kGrh75X1cNR1D7_FcY9zMnHP8iPO4M5RCRjy6nZY0TY/edit#gid=1248694442"",""Table 5: Risk o"&amp;"f bias!R4:R175""), $A44=IMPORTRANGE(""https://docs.google.com/spreadsheets/d/1kGrh75X1cNR1D7_FcY9zMnHP8iPO4M5RCRjy6nZY0TY/edit#gid=1248694442"",""Table 5: Risk of bias!A4:A175""))
)"),"Moderate")</f>
        <v>Moderate</v>
      </c>
      <c r="D44" s="4" t="str">
        <f>IFERROR(__xludf.DUMMYFUNCTION("IFS($B44=""ROBINS I"",FILTER(IMPORTRANGE(""https://docs.google.com/spreadsheets/d/1kGrh75X1cNR1D7_FcY9zMnHP8iPO4M5RCRjy6nZY0TY/edit#gid=1248694442"",""Table 5: Risk of bias!K4:K175""), $A44=IMPORTRANGE(""https://docs.google.com/spreadsheets/d/1kGrh75X1cNR"&amp;"1D7_FcY9zMnHP8iPO4M5RCRjy6nZY0TY/edit#gid=1248694442"",""Table 5: Risk of bias!A4:A175"")),$B44=""RoB 2"",FILTER(IMPORTRANGE(""https://docs.google.com/spreadsheets/d/1kGrh75X1cNR1D7_FcY9zMnHP8iPO4M5RCRjy6nZY0TY/edit#gid=1248694442"",""Table 5: Risk of bia"&amp;"s!S4:S175""), $A44=IMPORTRANGE(""https://docs.google.com/spreadsheets/d/1kGrh75X1cNR1D7_FcY9zMnHP8iPO4M5RCRjy6nZY0TY/edit#gid=1248694442"",""Table 5: Risk of bias!A4:A175"")))"),"NI")</f>
        <v>NI</v>
      </c>
      <c r="E44" s="4" t="str">
        <f>IFERROR(__xludf.DUMMYFUNCTION("IFS($B44=""ROBINS I"",FILTER(IMPORTRANGE(""https://docs.google.com/spreadsheets/d/1kGrh75X1cNR1D7_FcY9zMnHP8iPO4M5RCRjy6nZY0TY/edit#gid=1248694442"",""Table 5: Risk of bias!L4:L175""), $A44=IMPORTRANGE(""https://docs.google.com/spreadsheets/d/1kGrh75X1cNR"&amp;"1D7_FcY9zMnHP8iPO4M5RCRjy6nZY0TY/edit#gid=1248694442"",""Table 5: Risk of bias!A4:A175"")),$B44=""RoB 2"",FILTER(IMPORTRANGE(""https://docs.google.com/spreadsheets/d/1kGrh75X1cNR1D7_FcY9zMnHP8iPO4M5RCRjy6nZY0TY/edit#gid=1248694442"",""Table 5: Risk of bia"&amp;"s!T4:T175""), $A44=IMPORTRANGE(""https://docs.google.com/spreadsheets/d/1kGrh75X1cNR1D7_FcY9zMnHP8iPO4M5RCRjy6nZY0TY/edit#gid=1248694442"",""Table 5: Risk of bias!A4:A175"")))"),"NI")</f>
        <v>NI</v>
      </c>
      <c r="F44" s="4" t="str">
        <f>IFERROR(__xludf.DUMMYFUNCTION("IFS($B44=""ROBINS I"",FILTER(IMPORTRANGE(""https://docs.google.com/spreadsheets/d/1kGrh75X1cNR1D7_FcY9zMnHP8iPO4M5RCRjy6nZY0TY/edit#gid=1248694442"",""Table 5: Risk of bias!M4:M175""), $A44=IMPORTRANGE(""https://docs.google.com/spreadsheets/d/1kGrh75X1cNR"&amp;"1D7_FcY9zMnHP8iPO4M5RCRjy6nZY0TY/edit#gid=1248694442"",""Table 5: Risk of bias!A4:A175"")),$B44=""RoB 2"",FILTER(IMPORTRANGE(""https://docs.google.com/spreadsheets/d/1kGrh75X1cNR1D7_FcY9zMnHP8iPO4M5RCRjy6nZY0TY/edit#gid=1248694442"",""Table 5: Risk of bia"&amp;"s!U4:U175""), $A44=IMPORTRANGE(""https://docs.google.com/spreadsheets/d/1kGrh75X1cNR1D7_FcY9zMnHP8iPO4M5RCRjy6nZY0TY/edit#gid=1248694442"",""Table 5: Risk of bias!A4:A175"")))"),"NI")</f>
        <v>NI</v>
      </c>
      <c r="G44" s="4" t="str">
        <f>IFERROR(__xludf.DUMMYFUNCTION("IFS($B44=""ROBINS I"",FILTER(IMPORTRANGE(""https://docs.google.com/spreadsheets/d/1kGrh75X1cNR1D7_FcY9zMnHP8iPO4M5RCRjy6nZY0TY/edit#gid=1248694442"",""Table 5: Risk of bias!N4:N175""), $A44=IMPORTRANGE(""https://docs.google.com/spreadsheets/d/1kGrh75X1cNR"&amp;"1D7_FcY9zMnHP8iPO4M5RCRjy6nZY0TY/edit#gid=1248694442"",""Table 5: Risk of bias!A4:A175"")),$B44=""RoB 2"",FILTER(IMPORTRANGE(""https://docs.google.com/spreadsheets/d/1kGrh75X1cNR1D7_FcY9zMnHP8iPO4M5RCRjy6nZY0TY/edit#gid=1248694442"",""Table 5: Risk of bia"&amp;"s!V4:V175""), $A44=IMPORTRANGE(""https://docs.google.com/spreadsheets/d/1kGrh75X1cNR1D7_FcY9zMnHP8iPO4M5RCRjy6nZY0TY/edit#gid=1248694442"",""Table 5: Risk of bias!A4:A175"")))"),"Low")</f>
        <v>Low</v>
      </c>
      <c r="H44" s="4" t="str">
        <f>IFERROR(__xludf.DUMMYFUNCTION("IFS($B44=""ROBINS I"",FILTER(IMPORTRANGE(""https://docs.google.com/spreadsheets/d/1kGrh75X1cNR1D7_FcY9zMnHP8iPO4M5RCRjy6nZY0TY/edit#gid=1248694442"",""Table 5: Risk of bias!O4:O175""), $A44=IMPORTRANGE(""https://docs.google.com/spreadsheets/d/1kGrh75X1cNR"&amp;"1D7_FcY9zMnHP8iPO4M5RCRjy6nZY0TY/edit#gid=1248694442"",""Table 5: Risk of bias!A4:A175"")),$B44=""RoB 2"",FILTER(IMPORTRANGE(""https://docs.google.com/spreadsheets/d/1kGrh75X1cNR1D7_FcY9zMnHP8iPO4M5RCRjy6nZY0TY/edit#gid=1248694442"",""Table 5: Risk of bia"&amp;"s!W4:W175""), $A44=IMPORTRANGE(""https://docs.google.com/spreadsheets/d/1kGrh75X1cNR1D7_FcY9zMnHP8iPO4M5RCRjy6nZY0TY/edit#gid=1248694442"",""Table 5: Risk of bias!A4:A175"")))"),"Moderate")</f>
        <v>Moderate</v>
      </c>
      <c r="I44" s="4" t="str">
        <f>IFERROR(__xludf.DUMMYFUNCTION("FILTER(IMPORTRANGE(""https://docs.google.com/spreadsheets/d/1kGrh75X1cNR1D7_FcY9zMnHP8iPO4M5RCRjy6nZY0TY/edit#gid=1248694442"",""Table 5: Risk of bias!P4:P175""), $A44=IMPORTRANGE(""https://docs.google.com/spreadsheets/d/1kGrh75X1cNR1D7_FcY9zMnHP8iPO4M5RC"&amp;"Rjy6nZY0TY/edit#gid=1248694442"",""Table 5: Risk of bias!A4:A175""))"),"NI")</f>
        <v>NI</v>
      </c>
      <c r="J44" s="4" t="str">
        <f>IFERROR(__xludf.DUMMYFUNCTION("FILTER(IMPORTRANGE(""https://docs.google.com/spreadsheets/d/1kGrh75X1cNR1D7_FcY9zMnHP8iPO4M5RCRjy6nZY0TY/edit#gid=1248694442"",""Table 5: Risk of bias!Q4:Q175""), $A44=IMPORTRANGE(""https://docs.google.com/spreadsheets/d/1kGrh75X1cNR1D7_FcY9zMnHP8iPO4M5RC"&amp;"Rjy6nZY0TY/edit#gid=1248694442"",""Table 5: Risk of bias!A4:A175""))"),"Moderate")</f>
        <v>Moderate</v>
      </c>
    </row>
    <row r="45">
      <c r="A45" s="4" t="str">
        <f>IFERROR(__xludf.DUMMYFUNCTION("""COMPUTED_VALUE"""),"ID 89")</f>
        <v>ID 89</v>
      </c>
      <c r="B45" s="4" t="str">
        <f>IFERROR(__xludf.DUMMYFUNCTION("FILTER(IMPORTRANGE(""https://docs.google.com/spreadsheets/d/1kGrh75X1cNR1D7_FcY9zMnHP8iPO4M5RCRjy6nZY0TY/edit#gid=1248694442"",""Table 5: Risk of bias!D4:D175""), $A45=IMPORTRANGE(""https://docs.google.com/spreadsheets/d/1kGrh75X1cNR1D7_FcY9zMnHP8iPO4M5RC"&amp;"Rjy6nZY0TY/edit#gid=1248694442"",""Table 5: Risk of bias!A4:A175""))"),"ROBINS I")</f>
        <v>ROBINS I</v>
      </c>
      <c r="C45" s="4" t="str">
        <f>IFERROR(__xludf.DUMMYFUNCTION("IFS(
$B45=""ROBINS I"", FILTER(IMPORTRANGE(""https://docs.google.com/spreadsheets/d/1kGrh75X1cNR1D7_FcY9zMnHP8iPO4M5RCRjy6nZY0TY/edit#gid=1248694442"",""Table 5: Risk of bias!J4:J175""),  $A45=IMPORTRANGE(""https://docs.google.com/spreadsheets/d/1kGrh75X1"&amp;"cNR1D7_FcY9zMnHP8iPO4M5RCRjy6nZY0TY/edit#gid=1248694442"",""Table 5: Risk of bias!A4:A175"")),
$B45=""RoB 2"", FILTER(IMPORTRANGE(""https://docs.google.com/spreadsheets/d/1kGrh75X1cNR1D7_FcY9zMnHP8iPO4M5RCRjy6nZY0TY/edit#gid=1248694442"",""Table 5: Risk o"&amp;"f bias!R4:R175""), $A45=IMPORTRANGE(""https://docs.google.com/spreadsheets/d/1kGrh75X1cNR1D7_FcY9zMnHP8iPO4M5RCRjy6nZY0TY/edit#gid=1248694442"",""Table 5: Risk of bias!A4:A175""))
)"),"Serious")</f>
        <v>Serious</v>
      </c>
      <c r="D45" s="4" t="str">
        <f>IFERROR(__xludf.DUMMYFUNCTION("IFS($B45=""ROBINS I"",FILTER(IMPORTRANGE(""https://docs.google.com/spreadsheets/d/1kGrh75X1cNR1D7_FcY9zMnHP8iPO4M5RCRjy6nZY0TY/edit#gid=1248694442"",""Table 5: Risk of bias!K4:K175""), $A45=IMPORTRANGE(""https://docs.google.com/spreadsheets/d/1kGrh75X1cNR"&amp;"1D7_FcY9zMnHP8iPO4M5RCRjy6nZY0TY/edit#gid=1248694442"",""Table 5: Risk of bias!A4:A175"")),$B45=""RoB 2"",FILTER(IMPORTRANGE(""https://docs.google.com/spreadsheets/d/1kGrh75X1cNR1D7_FcY9zMnHP8iPO4M5RCRjy6nZY0TY/edit#gid=1248694442"",""Table 5: Risk of bia"&amp;"s!S4:S175""), $A45=IMPORTRANGE(""https://docs.google.com/spreadsheets/d/1kGrh75X1cNR1D7_FcY9zMnHP8iPO4M5RCRjy6nZY0TY/edit#gid=1248694442"",""Table 5: Risk of bias!A4:A175"")))"),"NI")</f>
        <v>NI</v>
      </c>
      <c r="E45" s="4" t="str">
        <f>IFERROR(__xludf.DUMMYFUNCTION("IFS($B45=""ROBINS I"",FILTER(IMPORTRANGE(""https://docs.google.com/spreadsheets/d/1kGrh75X1cNR1D7_FcY9zMnHP8iPO4M5RCRjy6nZY0TY/edit#gid=1248694442"",""Table 5: Risk of bias!L4:L175""), $A45=IMPORTRANGE(""https://docs.google.com/spreadsheets/d/1kGrh75X1cNR"&amp;"1D7_FcY9zMnHP8iPO4M5RCRjy6nZY0TY/edit#gid=1248694442"",""Table 5: Risk of bias!A4:A175"")),$B45=""RoB 2"",FILTER(IMPORTRANGE(""https://docs.google.com/spreadsheets/d/1kGrh75X1cNR1D7_FcY9zMnHP8iPO4M5RCRjy6nZY0TY/edit#gid=1248694442"",""Table 5: Risk of bia"&amp;"s!T4:T175""), $A45=IMPORTRANGE(""https://docs.google.com/spreadsheets/d/1kGrh75X1cNR1D7_FcY9zMnHP8iPO4M5RCRjy6nZY0TY/edit#gid=1248694442"",""Table 5: Risk of bias!A4:A175"")))"),"NI")</f>
        <v>NI</v>
      </c>
      <c r="F45" s="4" t="str">
        <f>IFERROR(__xludf.DUMMYFUNCTION("IFS($B45=""ROBINS I"",FILTER(IMPORTRANGE(""https://docs.google.com/spreadsheets/d/1kGrh75X1cNR1D7_FcY9zMnHP8iPO4M5RCRjy6nZY0TY/edit#gid=1248694442"",""Table 5: Risk of bias!M4:M175""), $A45=IMPORTRANGE(""https://docs.google.com/spreadsheets/d/1kGrh75X1cNR"&amp;"1D7_FcY9zMnHP8iPO4M5RCRjy6nZY0TY/edit#gid=1248694442"",""Table 5: Risk of bias!A4:A175"")),$B45=""RoB 2"",FILTER(IMPORTRANGE(""https://docs.google.com/spreadsheets/d/1kGrh75X1cNR1D7_FcY9zMnHP8iPO4M5RCRjy6nZY0TY/edit#gid=1248694442"",""Table 5: Risk of bia"&amp;"s!U4:U175""), $A45=IMPORTRANGE(""https://docs.google.com/spreadsheets/d/1kGrh75X1cNR1D7_FcY9zMnHP8iPO4M5RCRjy6nZY0TY/edit#gid=1248694442"",""Table 5: Risk of bias!A4:A175"")))"),"Serious")</f>
        <v>Serious</v>
      </c>
      <c r="G45" s="4" t="str">
        <f>IFERROR(__xludf.DUMMYFUNCTION("IFS($B45=""ROBINS I"",FILTER(IMPORTRANGE(""https://docs.google.com/spreadsheets/d/1kGrh75X1cNR1D7_FcY9zMnHP8iPO4M5RCRjy6nZY0TY/edit#gid=1248694442"",""Table 5: Risk of bias!N4:N175""), $A45=IMPORTRANGE(""https://docs.google.com/spreadsheets/d/1kGrh75X1cNR"&amp;"1D7_FcY9zMnHP8iPO4M5RCRjy6nZY0TY/edit#gid=1248694442"",""Table 5: Risk of bias!A4:A175"")),$B45=""RoB 2"",FILTER(IMPORTRANGE(""https://docs.google.com/spreadsheets/d/1kGrh75X1cNR1D7_FcY9zMnHP8iPO4M5RCRjy6nZY0TY/edit#gid=1248694442"",""Table 5: Risk of bia"&amp;"s!V4:V175""), $A45=IMPORTRANGE(""https://docs.google.com/spreadsheets/d/1kGrh75X1cNR1D7_FcY9zMnHP8iPO4M5RCRjy6nZY0TY/edit#gid=1248694442"",""Table 5: Risk of bias!A4:A175"")))"),"NI")</f>
        <v>NI</v>
      </c>
      <c r="H45" s="4" t="str">
        <f>IFERROR(__xludf.DUMMYFUNCTION("IFS($B45=""ROBINS I"",FILTER(IMPORTRANGE(""https://docs.google.com/spreadsheets/d/1kGrh75X1cNR1D7_FcY9zMnHP8iPO4M5RCRjy6nZY0TY/edit#gid=1248694442"",""Table 5: Risk of bias!O4:O175""), $A45=IMPORTRANGE(""https://docs.google.com/spreadsheets/d/1kGrh75X1cNR"&amp;"1D7_FcY9zMnHP8iPO4M5RCRjy6nZY0TY/edit#gid=1248694442"",""Table 5: Risk of bias!A4:A175"")),$B45=""RoB 2"",FILTER(IMPORTRANGE(""https://docs.google.com/spreadsheets/d/1kGrh75X1cNR1D7_FcY9zMnHP8iPO4M5RCRjy6nZY0TY/edit#gid=1248694442"",""Table 5: Risk of bia"&amp;"s!W4:W175""), $A45=IMPORTRANGE(""https://docs.google.com/spreadsheets/d/1kGrh75X1cNR1D7_FcY9zMnHP8iPO4M5RCRjy6nZY0TY/edit#gid=1248694442"",""Table 5: Risk of bias!A4:A175"")))"),"Moderate")</f>
        <v>Moderate</v>
      </c>
      <c r="I45" s="4" t="str">
        <f>IFERROR(__xludf.DUMMYFUNCTION("FILTER(IMPORTRANGE(""https://docs.google.com/spreadsheets/d/1kGrh75X1cNR1D7_FcY9zMnHP8iPO4M5RCRjy6nZY0TY/edit#gid=1248694442"",""Table 5: Risk of bias!P4:P175""), $A45=IMPORTRANGE(""https://docs.google.com/spreadsheets/d/1kGrh75X1cNR1D7_FcY9zMnHP8iPO4M5RC"&amp;"Rjy6nZY0TY/edit#gid=1248694442"",""Table 5: Risk of bias!A4:A175""))"),"NI")</f>
        <v>NI</v>
      </c>
      <c r="J45" s="4" t="str">
        <f>IFERROR(__xludf.DUMMYFUNCTION("FILTER(IMPORTRANGE(""https://docs.google.com/spreadsheets/d/1kGrh75X1cNR1D7_FcY9zMnHP8iPO4M5RCRjy6nZY0TY/edit#gid=1248694442"",""Table 5: Risk of bias!Q4:Q175""), $A45=IMPORTRANGE(""https://docs.google.com/spreadsheets/d/1kGrh75X1cNR1D7_FcY9zMnHP8iPO4M5RC"&amp;"Rjy6nZY0TY/edit#gid=1248694442"",""Table 5: Risk of bias!A4:A175""))"),"NI")</f>
        <v>NI</v>
      </c>
    </row>
    <row r="46">
      <c r="A46" s="4" t="str">
        <f>IFERROR(__xludf.DUMMYFUNCTION("""COMPUTED_VALUE"""),"ID 92")</f>
        <v>ID 92</v>
      </c>
      <c r="B46" s="4" t="str">
        <f>IFERROR(__xludf.DUMMYFUNCTION("FILTER(IMPORTRANGE(""https://docs.google.com/spreadsheets/d/1kGrh75X1cNR1D7_FcY9zMnHP8iPO4M5RCRjy6nZY0TY/edit#gid=1248694442"",""Table 5: Risk of bias!D4:D175""), $A46=IMPORTRANGE(""https://docs.google.com/spreadsheets/d/1kGrh75X1cNR1D7_FcY9zMnHP8iPO4M5RC"&amp;"Rjy6nZY0TY/edit#gid=1248694442"",""Table 5: Risk of bias!A4:A175""))"),"ROBINS I")</f>
        <v>ROBINS I</v>
      </c>
      <c r="C46" s="4" t="str">
        <f>IFERROR(__xludf.DUMMYFUNCTION("IFS(
$B46=""ROBINS I"", FILTER(IMPORTRANGE(""https://docs.google.com/spreadsheets/d/1kGrh75X1cNR1D7_FcY9zMnHP8iPO4M5RCRjy6nZY0TY/edit#gid=1248694442"",""Table 5: Risk of bias!J4:J175""),  $A46=IMPORTRANGE(""https://docs.google.com/spreadsheets/d/1kGrh75X1"&amp;"cNR1D7_FcY9zMnHP8iPO4M5RCRjy6nZY0TY/edit#gid=1248694442"",""Table 5: Risk of bias!A4:A175"")),
$B46=""RoB 2"", FILTER(IMPORTRANGE(""https://docs.google.com/spreadsheets/d/1kGrh75X1cNR1D7_FcY9zMnHP8iPO4M5RCRjy6nZY0TY/edit#gid=1248694442"",""Table 5: Risk o"&amp;"f bias!R4:R175""), $A46=IMPORTRANGE(""https://docs.google.com/spreadsheets/d/1kGrh75X1cNR1D7_FcY9zMnHP8iPO4M5RCRjy6nZY0TY/edit#gid=1248694442"",""Table 5: Risk of bias!A4:A175""))
)"),"Moderate")</f>
        <v>Moderate</v>
      </c>
      <c r="D46" s="4" t="str">
        <f>IFERROR(__xludf.DUMMYFUNCTION("IFS($B46=""ROBINS I"",FILTER(IMPORTRANGE(""https://docs.google.com/spreadsheets/d/1kGrh75X1cNR1D7_FcY9zMnHP8iPO4M5RCRjy6nZY0TY/edit#gid=1248694442"",""Table 5: Risk of bias!K4:K175""), $A46=IMPORTRANGE(""https://docs.google.com/spreadsheets/d/1kGrh75X1cNR"&amp;"1D7_FcY9zMnHP8iPO4M5RCRjy6nZY0TY/edit#gid=1248694442"",""Table 5: Risk of bias!A4:A175"")),$B46=""RoB 2"",FILTER(IMPORTRANGE(""https://docs.google.com/spreadsheets/d/1kGrh75X1cNR1D7_FcY9zMnHP8iPO4M5RCRjy6nZY0TY/edit#gid=1248694442"",""Table 5: Risk of bia"&amp;"s!S4:S175""), $A46=IMPORTRANGE(""https://docs.google.com/spreadsheets/d/1kGrh75X1cNR1D7_FcY9zMnHP8iPO4M5RCRjy6nZY0TY/edit#gid=1248694442"",""Table 5: Risk of bias!A4:A175"")))"),"Low")</f>
        <v>Low</v>
      </c>
      <c r="E46" s="4" t="str">
        <f>IFERROR(__xludf.DUMMYFUNCTION("IFS($B46=""ROBINS I"",FILTER(IMPORTRANGE(""https://docs.google.com/spreadsheets/d/1kGrh75X1cNR1D7_FcY9zMnHP8iPO4M5RCRjy6nZY0TY/edit#gid=1248694442"",""Table 5: Risk of bias!L4:L175""), $A46=IMPORTRANGE(""https://docs.google.com/spreadsheets/d/1kGrh75X1cNR"&amp;"1D7_FcY9zMnHP8iPO4M5RCRjy6nZY0TY/edit#gid=1248694442"",""Table 5: Risk of bias!A4:A175"")),$B46=""RoB 2"",FILTER(IMPORTRANGE(""https://docs.google.com/spreadsheets/d/1kGrh75X1cNR1D7_FcY9zMnHP8iPO4M5RCRjy6nZY0TY/edit#gid=1248694442"",""Table 5: Risk of bia"&amp;"s!T4:T175""), $A46=IMPORTRANGE(""https://docs.google.com/spreadsheets/d/1kGrh75X1cNR1D7_FcY9zMnHP8iPO4M5RCRjy6nZY0TY/edit#gid=1248694442"",""Table 5: Risk of bias!A4:A175"")))"),"Low")</f>
        <v>Low</v>
      </c>
      <c r="F46" s="4" t="str">
        <f>IFERROR(__xludf.DUMMYFUNCTION("IFS($B46=""ROBINS I"",FILTER(IMPORTRANGE(""https://docs.google.com/spreadsheets/d/1kGrh75X1cNR1D7_FcY9zMnHP8iPO4M5RCRjy6nZY0TY/edit#gid=1248694442"",""Table 5: Risk of bias!M4:M175""), $A46=IMPORTRANGE(""https://docs.google.com/spreadsheets/d/1kGrh75X1cNR"&amp;"1D7_FcY9zMnHP8iPO4M5RCRjy6nZY0TY/edit#gid=1248694442"",""Table 5: Risk of bias!A4:A175"")),$B46=""RoB 2"",FILTER(IMPORTRANGE(""https://docs.google.com/spreadsheets/d/1kGrh75X1cNR1D7_FcY9zMnHP8iPO4M5RCRjy6nZY0TY/edit#gid=1248694442"",""Table 5: Risk of bia"&amp;"s!U4:U175""), $A46=IMPORTRANGE(""https://docs.google.com/spreadsheets/d/1kGrh75X1cNR1D7_FcY9zMnHP8iPO4M5RCRjy6nZY0TY/edit#gid=1248694442"",""Table 5: Risk of bias!A4:A175"")))"),"Low")</f>
        <v>Low</v>
      </c>
      <c r="G46" s="4" t="str">
        <f>IFERROR(__xludf.DUMMYFUNCTION("IFS($B46=""ROBINS I"",FILTER(IMPORTRANGE(""https://docs.google.com/spreadsheets/d/1kGrh75X1cNR1D7_FcY9zMnHP8iPO4M5RCRjy6nZY0TY/edit#gid=1248694442"",""Table 5: Risk of bias!N4:N175""), $A46=IMPORTRANGE(""https://docs.google.com/spreadsheets/d/1kGrh75X1cNR"&amp;"1D7_FcY9zMnHP8iPO4M5RCRjy6nZY0TY/edit#gid=1248694442"",""Table 5: Risk of bias!A4:A175"")),$B46=""RoB 2"",FILTER(IMPORTRANGE(""https://docs.google.com/spreadsheets/d/1kGrh75X1cNR1D7_FcY9zMnHP8iPO4M5RCRjy6nZY0TY/edit#gid=1248694442"",""Table 5: Risk of bia"&amp;"s!V4:V175""), $A46=IMPORTRANGE(""https://docs.google.com/spreadsheets/d/1kGrh75X1cNR1D7_FcY9zMnHP8iPO4M5RCRjy6nZY0TY/edit#gid=1248694442"",""Table 5: Risk of bias!A4:A175"")))"),"Low")</f>
        <v>Low</v>
      </c>
      <c r="H46" s="4" t="str">
        <f>IFERROR(__xludf.DUMMYFUNCTION("IFS($B46=""ROBINS I"",FILTER(IMPORTRANGE(""https://docs.google.com/spreadsheets/d/1kGrh75X1cNR1D7_FcY9zMnHP8iPO4M5RCRjy6nZY0TY/edit#gid=1248694442"",""Table 5: Risk of bias!O4:O175""), $A46=IMPORTRANGE(""https://docs.google.com/spreadsheets/d/1kGrh75X1cNR"&amp;"1D7_FcY9zMnHP8iPO4M5RCRjy6nZY0TY/edit#gid=1248694442"",""Table 5: Risk of bias!A4:A175"")),$B46=""RoB 2"",FILTER(IMPORTRANGE(""https://docs.google.com/spreadsheets/d/1kGrh75X1cNR1D7_FcY9zMnHP8iPO4M5RCRjy6nZY0TY/edit#gid=1248694442"",""Table 5: Risk of bia"&amp;"s!W4:W175""), $A46=IMPORTRANGE(""https://docs.google.com/spreadsheets/d/1kGrh75X1cNR1D7_FcY9zMnHP8iPO4M5RCRjy6nZY0TY/edit#gid=1248694442"",""Table 5: Risk of bias!A4:A175"")))"),"Low")</f>
        <v>Low</v>
      </c>
      <c r="I46" s="4" t="str">
        <f>IFERROR(__xludf.DUMMYFUNCTION("FILTER(IMPORTRANGE(""https://docs.google.com/spreadsheets/d/1kGrh75X1cNR1D7_FcY9zMnHP8iPO4M5RCRjy6nZY0TY/edit#gid=1248694442"",""Table 5: Risk of bias!P4:P175""), $A46=IMPORTRANGE(""https://docs.google.com/spreadsheets/d/1kGrh75X1cNR1D7_FcY9zMnHP8iPO4M5RC"&amp;"Rjy6nZY0TY/edit#gid=1248694442"",""Table 5: Risk of bias!A4:A175""))"),"Moderate")</f>
        <v>Moderate</v>
      </c>
      <c r="J46" s="4" t="str">
        <f>IFERROR(__xludf.DUMMYFUNCTION("FILTER(IMPORTRANGE(""https://docs.google.com/spreadsheets/d/1kGrh75X1cNR1D7_FcY9zMnHP8iPO4M5RCRjy6nZY0TY/edit#gid=1248694442"",""Table 5: Risk of bias!Q4:Q175""), $A46=IMPORTRANGE(""https://docs.google.com/spreadsheets/d/1kGrh75X1cNR1D7_FcY9zMnHP8iPO4M5RC"&amp;"Rjy6nZY0TY/edit#gid=1248694442"",""Table 5: Risk of bias!A4:A175""))"),"Low")</f>
        <v>Low</v>
      </c>
    </row>
    <row r="47">
      <c r="A47" s="4" t="str">
        <f>IFERROR(__xludf.DUMMYFUNCTION("""COMPUTED_VALUE"""),"ID 93")</f>
        <v>ID 93</v>
      </c>
      <c r="B47" s="4" t="str">
        <f>IFERROR(__xludf.DUMMYFUNCTION("FILTER(IMPORTRANGE(""https://docs.google.com/spreadsheets/d/1kGrh75X1cNR1D7_FcY9zMnHP8iPO4M5RCRjy6nZY0TY/edit#gid=1248694442"",""Table 5: Risk of bias!D4:D175""), $A47=IMPORTRANGE(""https://docs.google.com/spreadsheets/d/1kGrh75X1cNR1D7_FcY9zMnHP8iPO4M5RC"&amp;"Rjy6nZY0TY/edit#gid=1248694442"",""Table 5: Risk of bias!A4:A175""))"),"ROBINS I")</f>
        <v>ROBINS I</v>
      </c>
      <c r="C47" s="4" t="str">
        <f>IFERROR(__xludf.DUMMYFUNCTION("IFS(
$B47=""ROBINS I"", FILTER(IMPORTRANGE(""https://docs.google.com/spreadsheets/d/1kGrh75X1cNR1D7_FcY9zMnHP8iPO4M5RCRjy6nZY0TY/edit#gid=1248694442"",""Table 5: Risk of bias!J4:J175""),  $A47=IMPORTRANGE(""https://docs.google.com/spreadsheets/d/1kGrh75X1"&amp;"cNR1D7_FcY9zMnHP8iPO4M5RCRjy6nZY0TY/edit#gid=1248694442"",""Table 5: Risk of bias!A4:A175"")),
$B47=""RoB 2"", FILTER(IMPORTRANGE(""https://docs.google.com/spreadsheets/d/1kGrh75X1cNR1D7_FcY9zMnHP8iPO4M5RCRjy6nZY0TY/edit#gid=1248694442"",""Table 5: Risk o"&amp;"f bias!R4:R175""), $A47=IMPORTRANGE(""https://docs.google.com/spreadsheets/d/1kGrh75X1cNR1D7_FcY9zMnHP8iPO4M5RCRjy6nZY0TY/edit#gid=1248694442"",""Table 5: Risk of bias!A4:A175""))
)"),"Critical")</f>
        <v>Critical</v>
      </c>
      <c r="D47" s="4" t="str">
        <f>IFERROR(__xludf.DUMMYFUNCTION("IFS($B47=""ROBINS I"",FILTER(IMPORTRANGE(""https://docs.google.com/spreadsheets/d/1kGrh75X1cNR1D7_FcY9zMnHP8iPO4M5RCRjy6nZY0TY/edit#gid=1248694442"",""Table 5: Risk of bias!K4:K175""), $A47=IMPORTRANGE(""https://docs.google.com/spreadsheets/d/1kGrh75X1cNR"&amp;"1D7_FcY9zMnHP8iPO4M5RCRjy6nZY0TY/edit#gid=1248694442"",""Table 5: Risk of bias!A4:A175"")),$B47=""RoB 2"",FILTER(IMPORTRANGE(""https://docs.google.com/spreadsheets/d/1kGrh75X1cNR1D7_FcY9zMnHP8iPO4M5RCRjy6nZY0TY/edit#gid=1248694442"",""Table 5: Risk of bia"&amp;"s!S4:S175""), $A47=IMPORTRANGE(""https://docs.google.com/spreadsheets/d/1kGrh75X1cNR1D7_FcY9zMnHP8iPO4M5RCRjy6nZY0TY/edit#gid=1248694442"",""Table 5: Risk of bias!A4:A175"")))"),"Critical")</f>
        <v>Critical</v>
      </c>
      <c r="E47" s="4" t="str">
        <f>IFERROR(__xludf.DUMMYFUNCTION("IFS($B47=""ROBINS I"",FILTER(IMPORTRANGE(""https://docs.google.com/spreadsheets/d/1kGrh75X1cNR1D7_FcY9zMnHP8iPO4M5RCRjy6nZY0TY/edit#gid=1248694442"",""Table 5: Risk of bias!L4:L175""), $A47=IMPORTRANGE(""https://docs.google.com/spreadsheets/d/1kGrh75X1cNR"&amp;"1D7_FcY9zMnHP8iPO4M5RCRjy6nZY0TY/edit#gid=1248694442"",""Table 5: Risk of bias!A4:A175"")),$B47=""RoB 2"",FILTER(IMPORTRANGE(""https://docs.google.com/spreadsheets/d/1kGrh75X1cNR1D7_FcY9zMnHP8iPO4M5RCRjy6nZY0TY/edit#gid=1248694442"",""Table 5: Risk of bia"&amp;"s!T4:T175""), $A47=IMPORTRANGE(""https://docs.google.com/spreadsheets/d/1kGrh75X1cNR1D7_FcY9zMnHP8iPO4M5RCRjy6nZY0TY/edit#gid=1248694442"",""Table 5: Risk of bias!A4:A175"")))"),"Moderate")</f>
        <v>Moderate</v>
      </c>
      <c r="F47" s="4" t="str">
        <f>IFERROR(__xludf.DUMMYFUNCTION("IFS($B47=""ROBINS I"",FILTER(IMPORTRANGE(""https://docs.google.com/spreadsheets/d/1kGrh75X1cNR1D7_FcY9zMnHP8iPO4M5RCRjy6nZY0TY/edit#gid=1248694442"",""Table 5: Risk of bias!M4:M175""), $A47=IMPORTRANGE(""https://docs.google.com/spreadsheets/d/1kGrh75X1cNR"&amp;"1D7_FcY9zMnHP8iPO4M5RCRjy6nZY0TY/edit#gid=1248694442"",""Table 5: Risk of bias!A4:A175"")),$B47=""RoB 2"",FILTER(IMPORTRANGE(""https://docs.google.com/spreadsheets/d/1kGrh75X1cNR1D7_FcY9zMnHP8iPO4M5RCRjy6nZY0TY/edit#gid=1248694442"",""Table 5: Risk of bia"&amp;"s!U4:U175""), $A47=IMPORTRANGE(""https://docs.google.com/spreadsheets/d/1kGrh75X1cNR1D7_FcY9zMnHP8iPO4M5RCRjy6nZY0TY/edit#gid=1248694442"",""Table 5: Risk of bias!A4:A175"")))"),"Serious")</f>
        <v>Serious</v>
      </c>
      <c r="G47" s="4" t="str">
        <f>IFERROR(__xludf.DUMMYFUNCTION("IFS($B47=""ROBINS I"",FILTER(IMPORTRANGE(""https://docs.google.com/spreadsheets/d/1kGrh75X1cNR1D7_FcY9zMnHP8iPO4M5RCRjy6nZY0TY/edit#gid=1248694442"",""Table 5: Risk of bias!N4:N175""), $A47=IMPORTRANGE(""https://docs.google.com/spreadsheets/d/1kGrh75X1cNR"&amp;"1D7_FcY9zMnHP8iPO4M5RCRjy6nZY0TY/edit#gid=1248694442"",""Table 5: Risk of bias!A4:A175"")),$B47=""RoB 2"",FILTER(IMPORTRANGE(""https://docs.google.com/spreadsheets/d/1kGrh75X1cNR1D7_FcY9zMnHP8iPO4M5RCRjy6nZY0TY/edit#gid=1248694442"",""Table 5: Risk of bia"&amp;"s!V4:V175""), $A47=IMPORTRANGE(""https://docs.google.com/spreadsheets/d/1kGrh75X1cNR1D7_FcY9zMnHP8iPO4M5RCRjy6nZY0TY/edit#gid=1248694442"",""Table 5: Risk of bias!A4:A175"")))"),"Low")</f>
        <v>Low</v>
      </c>
      <c r="H47" s="4" t="str">
        <f>IFERROR(__xludf.DUMMYFUNCTION("IFS($B47=""ROBINS I"",FILTER(IMPORTRANGE(""https://docs.google.com/spreadsheets/d/1kGrh75X1cNR1D7_FcY9zMnHP8iPO4M5RCRjy6nZY0TY/edit#gid=1248694442"",""Table 5: Risk of bias!O4:O175""), $A47=IMPORTRANGE(""https://docs.google.com/spreadsheets/d/1kGrh75X1cNR"&amp;"1D7_FcY9zMnHP8iPO4M5RCRjy6nZY0TY/edit#gid=1248694442"",""Table 5: Risk of bias!A4:A175"")),$B47=""RoB 2"",FILTER(IMPORTRANGE(""https://docs.google.com/spreadsheets/d/1kGrh75X1cNR1D7_FcY9zMnHP8iPO4M5RCRjy6nZY0TY/edit#gid=1248694442"",""Table 5: Risk of bia"&amp;"s!W4:W175""), $A47=IMPORTRANGE(""https://docs.google.com/spreadsheets/d/1kGrh75X1cNR1D7_FcY9zMnHP8iPO4M5RCRjy6nZY0TY/edit#gid=1248694442"",""Table 5: Risk of bias!A4:A175"")))"),"Low")</f>
        <v>Low</v>
      </c>
      <c r="I47" s="4" t="str">
        <f>IFERROR(__xludf.DUMMYFUNCTION("FILTER(IMPORTRANGE(""https://docs.google.com/spreadsheets/d/1kGrh75X1cNR1D7_FcY9zMnHP8iPO4M5RCRjy6nZY0TY/edit#gid=1248694442"",""Table 5: Risk of bias!P4:P175""), $A47=IMPORTRANGE(""https://docs.google.com/spreadsheets/d/1kGrh75X1cNR1D7_FcY9zMnHP8iPO4M5RC"&amp;"Rjy6nZY0TY/edit#gid=1248694442"",""Table 5: Risk of bias!A4:A175""))"),"Serious")</f>
        <v>Serious</v>
      </c>
      <c r="J47" s="4" t="str">
        <f>IFERROR(__xludf.DUMMYFUNCTION("FILTER(IMPORTRANGE(""https://docs.google.com/spreadsheets/d/1kGrh75X1cNR1D7_FcY9zMnHP8iPO4M5RCRjy6nZY0TY/edit#gid=1248694442"",""Table 5: Risk of bias!Q4:Q175""), $A47=IMPORTRANGE(""https://docs.google.com/spreadsheets/d/1kGrh75X1cNR1D7_FcY9zMnHP8iPO4M5RC"&amp;"Rjy6nZY0TY/edit#gid=1248694442"",""Table 5: Risk of bias!A4:A175""))"),"Serious")</f>
        <v>Serious</v>
      </c>
    </row>
    <row r="48">
      <c r="A48" s="4" t="str">
        <f>IFERROR(__xludf.DUMMYFUNCTION("""COMPUTED_VALUE"""),"ID 94")</f>
        <v>ID 94</v>
      </c>
      <c r="B48" s="4" t="str">
        <f>IFERROR(__xludf.DUMMYFUNCTION("FILTER(IMPORTRANGE(""https://docs.google.com/spreadsheets/d/1kGrh75X1cNR1D7_FcY9zMnHP8iPO4M5RCRjy6nZY0TY/edit#gid=1248694442"",""Table 5: Risk of bias!D4:D175""), $A48=IMPORTRANGE(""https://docs.google.com/spreadsheets/d/1kGrh75X1cNR1D7_FcY9zMnHP8iPO4M5RC"&amp;"Rjy6nZY0TY/edit#gid=1248694442"",""Table 5: Risk of bias!A4:A175""))"),"ROBINS I")</f>
        <v>ROBINS I</v>
      </c>
      <c r="C48" s="4" t="str">
        <f>IFERROR(__xludf.DUMMYFUNCTION("IFS(
$B48=""ROBINS I"", FILTER(IMPORTRANGE(""https://docs.google.com/spreadsheets/d/1kGrh75X1cNR1D7_FcY9zMnHP8iPO4M5RCRjy6nZY0TY/edit#gid=1248694442"",""Table 5: Risk of bias!J4:J175""),  $A48=IMPORTRANGE(""https://docs.google.com/spreadsheets/d/1kGrh75X1"&amp;"cNR1D7_FcY9zMnHP8iPO4M5RCRjy6nZY0TY/edit#gid=1248694442"",""Table 5: Risk of bias!A4:A175"")),
$B48=""RoB 2"", FILTER(IMPORTRANGE(""https://docs.google.com/spreadsheets/d/1kGrh75X1cNR1D7_FcY9zMnHP8iPO4M5RCRjy6nZY0TY/edit#gid=1248694442"",""Table 5: Risk o"&amp;"f bias!R4:R175""), $A48=IMPORTRANGE(""https://docs.google.com/spreadsheets/d/1kGrh75X1cNR1D7_FcY9zMnHP8iPO4M5RCRjy6nZY0TY/edit#gid=1248694442"",""Table 5: Risk of bias!A4:A175""))
)"),"Serious")</f>
        <v>Serious</v>
      </c>
      <c r="D48" s="4" t="str">
        <f>IFERROR(__xludf.DUMMYFUNCTION("IFS($B48=""ROBINS I"",FILTER(IMPORTRANGE(""https://docs.google.com/spreadsheets/d/1kGrh75X1cNR1D7_FcY9zMnHP8iPO4M5RCRjy6nZY0TY/edit#gid=1248694442"",""Table 5: Risk of bias!K4:K175""), $A48=IMPORTRANGE(""https://docs.google.com/spreadsheets/d/1kGrh75X1cNR"&amp;"1D7_FcY9zMnHP8iPO4M5RCRjy6nZY0TY/edit#gid=1248694442"",""Table 5: Risk of bias!A4:A175"")),$B48=""RoB 2"",FILTER(IMPORTRANGE(""https://docs.google.com/spreadsheets/d/1kGrh75X1cNR1D7_FcY9zMnHP8iPO4M5RCRjy6nZY0TY/edit#gid=1248694442"",""Table 5: Risk of bia"&amp;"s!S4:S175""), $A48=IMPORTRANGE(""https://docs.google.com/spreadsheets/d/1kGrh75X1cNR1D7_FcY9zMnHP8iPO4M5RCRjy6nZY0TY/edit#gid=1248694442"",""Table 5: Risk of bias!A4:A175"")))"),"Low")</f>
        <v>Low</v>
      </c>
      <c r="E48" s="4" t="str">
        <f>IFERROR(__xludf.DUMMYFUNCTION("IFS($B48=""ROBINS I"",FILTER(IMPORTRANGE(""https://docs.google.com/spreadsheets/d/1kGrh75X1cNR1D7_FcY9zMnHP8iPO4M5RCRjy6nZY0TY/edit#gid=1248694442"",""Table 5: Risk of bias!L4:L175""), $A48=IMPORTRANGE(""https://docs.google.com/spreadsheets/d/1kGrh75X1cNR"&amp;"1D7_FcY9zMnHP8iPO4M5RCRjy6nZY0TY/edit#gid=1248694442"",""Table 5: Risk of bias!A4:A175"")),$B48=""RoB 2"",FILTER(IMPORTRANGE(""https://docs.google.com/spreadsheets/d/1kGrh75X1cNR1D7_FcY9zMnHP8iPO4M5RCRjy6nZY0TY/edit#gid=1248694442"",""Table 5: Risk of bia"&amp;"s!T4:T175""), $A48=IMPORTRANGE(""https://docs.google.com/spreadsheets/d/1kGrh75X1cNR1D7_FcY9zMnHP8iPO4M5RCRjy6nZY0TY/edit#gid=1248694442"",""Table 5: Risk of bias!A4:A175"")))"),"Serious")</f>
        <v>Serious</v>
      </c>
      <c r="F48" s="4" t="str">
        <f>IFERROR(__xludf.DUMMYFUNCTION("IFS($B48=""ROBINS I"",FILTER(IMPORTRANGE(""https://docs.google.com/spreadsheets/d/1kGrh75X1cNR1D7_FcY9zMnHP8iPO4M5RCRjy6nZY0TY/edit#gid=1248694442"",""Table 5: Risk of bias!M4:M175""), $A48=IMPORTRANGE(""https://docs.google.com/spreadsheets/d/1kGrh75X1cNR"&amp;"1D7_FcY9zMnHP8iPO4M5RCRjy6nZY0TY/edit#gid=1248694442"",""Table 5: Risk of bias!A4:A175"")),$B48=""RoB 2"",FILTER(IMPORTRANGE(""https://docs.google.com/spreadsheets/d/1kGrh75X1cNR1D7_FcY9zMnHP8iPO4M5RCRjy6nZY0TY/edit#gid=1248694442"",""Table 5: Risk of bia"&amp;"s!U4:U175""), $A48=IMPORTRANGE(""https://docs.google.com/spreadsheets/d/1kGrh75X1cNR1D7_FcY9zMnHP8iPO4M5RCRjy6nZY0TY/edit#gid=1248694442"",""Table 5: Risk of bias!A4:A175"")))"),"Low")</f>
        <v>Low</v>
      </c>
      <c r="G48" s="4" t="str">
        <f>IFERROR(__xludf.DUMMYFUNCTION("IFS($B48=""ROBINS I"",FILTER(IMPORTRANGE(""https://docs.google.com/spreadsheets/d/1kGrh75X1cNR1D7_FcY9zMnHP8iPO4M5RCRjy6nZY0TY/edit#gid=1248694442"",""Table 5: Risk of bias!N4:N175""), $A48=IMPORTRANGE(""https://docs.google.com/spreadsheets/d/1kGrh75X1cNR"&amp;"1D7_FcY9zMnHP8iPO4M5RCRjy6nZY0TY/edit#gid=1248694442"",""Table 5: Risk of bias!A4:A175"")),$B48=""RoB 2"",FILTER(IMPORTRANGE(""https://docs.google.com/spreadsheets/d/1kGrh75X1cNR1D7_FcY9zMnHP8iPO4M5RCRjy6nZY0TY/edit#gid=1248694442"",""Table 5: Risk of bia"&amp;"s!V4:V175""), $A48=IMPORTRANGE(""https://docs.google.com/spreadsheets/d/1kGrh75X1cNR1D7_FcY9zMnHP8iPO4M5RCRjy6nZY0TY/edit#gid=1248694442"",""Table 5: Risk of bias!A4:A175"")))"),"Low")</f>
        <v>Low</v>
      </c>
      <c r="H48" s="4" t="str">
        <f>IFERROR(__xludf.DUMMYFUNCTION("IFS($B48=""ROBINS I"",FILTER(IMPORTRANGE(""https://docs.google.com/spreadsheets/d/1kGrh75X1cNR1D7_FcY9zMnHP8iPO4M5RCRjy6nZY0TY/edit#gid=1248694442"",""Table 5: Risk of bias!O4:O175""), $A48=IMPORTRANGE(""https://docs.google.com/spreadsheets/d/1kGrh75X1cNR"&amp;"1D7_FcY9zMnHP8iPO4M5RCRjy6nZY0TY/edit#gid=1248694442"",""Table 5: Risk of bias!A4:A175"")),$B48=""RoB 2"",FILTER(IMPORTRANGE(""https://docs.google.com/spreadsheets/d/1kGrh75X1cNR1D7_FcY9zMnHP8iPO4M5RCRjy6nZY0TY/edit#gid=1248694442"",""Table 5: Risk of bia"&amp;"s!W4:W175""), $A48=IMPORTRANGE(""https://docs.google.com/spreadsheets/d/1kGrh75X1cNR1D7_FcY9zMnHP8iPO4M5RCRjy6nZY0TY/edit#gid=1248694442"",""Table 5: Risk of bias!A4:A175"")))"),"Serious")</f>
        <v>Serious</v>
      </c>
      <c r="I48" s="4" t="str">
        <f>IFERROR(__xludf.DUMMYFUNCTION("FILTER(IMPORTRANGE(""https://docs.google.com/spreadsheets/d/1kGrh75X1cNR1D7_FcY9zMnHP8iPO4M5RCRjy6nZY0TY/edit#gid=1248694442"",""Table 5: Risk of bias!P4:P175""), $A48=IMPORTRANGE(""https://docs.google.com/spreadsheets/d/1kGrh75X1cNR1D7_FcY9zMnHP8iPO4M5RC"&amp;"Rjy6nZY0TY/edit#gid=1248694442"",""Table 5: Risk of bias!A4:A175""))"),"Moderate")</f>
        <v>Moderate</v>
      </c>
      <c r="J48" s="4" t="str">
        <f>IFERROR(__xludf.DUMMYFUNCTION("FILTER(IMPORTRANGE(""https://docs.google.com/spreadsheets/d/1kGrh75X1cNR1D7_FcY9zMnHP8iPO4M5RCRjy6nZY0TY/edit#gid=1248694442"",""Table 5: Risk of bias!Q4:Q175""), $A48=IMPORTRANGE(""https://docs.google.com/spreadsheets/d/1kGrh75X1cNR1D7_FcY9zMnHP8iPO4M5RC"&amp;"Rjy6nZY0TY/edit#gid=1248694442"",""Table 5: Risk of bias!A4:A175""))"),"Low")</f>
        <v>Low</v>
      </c>
    </row>
    <row r="49">
      <c r="A49" s="4" t="str">
        <f>IFERROR(__xludf.DUMMYFUNCTION("""COMPUTED_VALUE"""),"ID 97")</f>
        <v>ID 97</v>
      </c>
      <c r="B49" s="4" t="str">
        <f>IFERROR(__xludf.DUMMYFUNCTION("FILTER(IMPORTRANGE(""https://docs.google.com/spreadsheets/d/1kGrh75X1cNR1D7_FcY9zMnHP8iPO4M5RCRjy6nZY0TY/edit#gid=1248694442"",""Table 5: Risk of bias!D4:D175""), $A49=IMPORTRANGE(""https://docs.google.com/spreadsheets/d/1kGrh75X1cNR1D7_FcY9zMnHP8iPO4M5RC"&amp;"Rjy6nZY0TY/edit#gid=1248694442"",""Table 5: Risk of bias!A4:A175""))"),"ROBINS I")</f>
        <v>ROBINS I</v>
      </c>
      <c r="C49" s="4" t="str">
        <f>IFERROR(__xludf.DUMMYFUNCTION("IFS(
$B49=""ROBINS I"", FILTER(IMPORTRANGE(""https://docs.google.com/spreadsheets/d/1kGrh75X1cNR1D7_FcY9zMnHP8iPO4M5RCRjy6nZY0TY/edit#gid=1248694442"",""Table 5: Risk of bias!J4:J175""),  $A49=IMPORTRANGE(""https://docs.google.com/spreadsheets/d/1kGrh75X1"&amp;"cNR1D7_FcY9zMnHP8iPO4M5RCRjy6nZY0TY/edit#gid=1248694442"",""Table 5: Risk of bias!A4:A175"")),
$B49=""RoB 2"", FILTER(IMPORTRANGE(""https://docs.google.com/spreadsheets/d/1kGrh75X1cNR1D7_FcY9zMnHP8iPO4M5RCRjy6nZY0TY/edit#gid=1248694442"",""Table 5: Risk o"&amp;"f bias!R4:R175""), $A49=IMPORTRANGE(""https://docs.google.com/spreadsheets/d/1kGrh75X1cNR1D7_FcY9zMnHP8iPO4M5RCRjy6nZY0TY/edit#gid=1248694442"",""Table 5: Risk of bias!A4:A175""))
)"),"Critical")</f>
        <v>Critical</v>
      </c>
      <c r="D49" s="4" t="str">
        <f>IFERROR(__xludf.DUMMYFUNCTION("IFS($B49=""ROBINS I"",FILTER(IMPORTRANGE(""https://docs.google.com/spreadsheets/d/1kGrh75X1cNR1D7_FcY9zMnHP8iPO4M5RCRjy6nZY0TY/edit#gid=1248694442"",""Table 5: Risk of bias!K4:K175""), $A49=IMPORTRANGE(""https://docs.google.com/spreadsheets/d/1kGrh75X1cNR"&amp;"1D7_FcY9zMnHP8iPO4M5RCRjy6nZY0TY/edit#gid=1248694442"",""Table 5: Risk of bias!A4:A175"")),$B49=""RoB 2"",FILTER(IMPORTRANGE(""https://docs.google.com/spreadsheets/d/1kGrh75X1cNR1D7_FcY9zMnHP8iPO4M5RCRjy6nZY0TY/edit#gid=1248694442"",""Table 5: Risk of bia"&amp;"s!S4:S175""), $A49=IMPORTRANGE(""https://docs.google.com/spreadsheets/d/1kGrh75X1cNR1D7_FcY9zMnHP8iPO4M5RCRjy6nZY0TY/edit#gid=1248694442"",""Table 5: Risk of bias!A4:A175"")))"),"Serious")</f>
        <v>Serious</v>
      </c>
      <c r="E49" s="4" t="str">
        <f>IFERROR(__xludf.DUMMYFUNCTION("IFS($B49=""ROBINS I"",FILTER(IMPORTRANGE(""https://docs.google.com/spreadsheets/d/1kGrh75X1cNR1D7_FcY9zMnHP8iPO4M5RCRjy6nZY0TY/edit#gid=1248694442"",""Table 5: Risk of bias!L4:L175""), $A49=IMPORTRANGE(""https://docs.google.com/spreadsheets/d/1kGrh75X1cNR"&amp;"1D7_FcY9zMnHP8iPO4M5RCRjy6nZY0TY/edit#gid=1248694442"",""Table 5: Risk of bias!A4:A175"")),$B49=""RoB 2"",FILTER(IMPORTRANGE(""https://docs.google.com/spreadsheets/d/1kGrh75X1cNR1D7_FcY9zMnHP8iPO4M5RCRjy6nZY0TY/edit#gid=1248694442"",""Table 5: Risk of bia"&amp;"s!T4:T175""), $A49=IMPORTRANGE(""https://docs.google.com/spreadsheets/d/1kGrh75X1cNR1D7_FcY9zMnHP8iPO4M5RCRjy6nZY0TY/edit#gid=1248694442"",""Table 5: Risk of bias!A4:A175"")))"),"Serious")</f>
        <v>Serious</v>
      </c>
      <c r="F49" s="4" t="str">
        <f>IFERROR(__xludf.DUMMYFUNCTION("IFS($B49=""ROBINS I"",FILTER(IMPORTRANGE(""https://docs.google.com/spreadsheets/d/1kGrh75X1cNR1D7_FcY9zMnHP8iPO4M5RCRjy6nZY0TY/edit#gid=1248694442"",""Table 5: Risk of bias!M4:M175""), $A49=IMPORTRANGE(""https://docs.google.com/spreadsheets/d/1kGrh75X1cNR"&amp;"1D7_FcY9zMnHP8iPO4M5RCRjy6nZY0TY/edit#gid=1248694442"",""Table 5: Risk of bias!A4:A175"")),$B49=""RoB 2"",FILTER(IMPORTRANGE(""https://docs.google.com/spreadsheets/d/1kGrh75X1cNR1D7_FcY9zMnHP8iPO4M5RCRjy6nZY0TY/edit#gid=1248694442"",""Table 5: Risk of bia"&amp;"s!U4:U175""), $A49=IMPORTRANGE(""https://docs.google.com/spreadsheets/d/1kGrh75X1cNR1D7_FcY9zMnHP8iPO4M5RCRjy6nZY0TY/edit#gid=1248694442"",""Table 5: Risk of bias!A4:A175"")))"),"Moderate")</f>
        <v>Moderate</v>
      </c>
      <c r="G49" s="4" t="str">
        <f>IFERROR(__xludf.DUMMYFUNCTION("IFS($B49=""ROBINS I"",FILTER(IMPORTRANGE(""https://docs.google.com/spreadsheets/d/1kGrh75X1cNR1D7_FcY9zMnHP8iPO4M5RCRjy6nZY0TY/edit#gid=1248694442"",""Table 5: Risk of bias!N4:N175""), $A49=IMPORTRANGE(""https://docs.google.com/spreadsheets/d/1kGrh75X1cNR"&amp;"1D7_FcY9zMnHP8iPO4M5RCRjy6nZY0TY/edit#gid=1248694442"",""Table 5: Risk of bias!A4:A175"")),$B49=""RoB 2"",FILTER(IMPORTRANGE(""https://docs.google.com/spreadsheets/d/1kGrh75X1cNR1D7_FcY9zMnHP8iPO4M5RCRjy6nZY0TY/edit#gid=1248694442"",""Table 5: Risk of bia"&amp;"s!V4:V175""), $A49=IMPORTRANGE(""https://docs.google.com/spreadsheets/d/1kGrh75X1cNR1D7_FcY9zMnHP8iPO4M5RCRjy6nZY0TY/edit#gid=1248694442"",""Table 5: Risk of bias!A4:A175"")))"),"Low")</f>
        <v>Low</v>
      </c>
      <c r="H49" s="4" t="str">
        <f>IFERROR(__xludf.DUMMYFUNCTION("IFS($B49=""ROBINS I"",FILTER(IMPORTRANGE(""https://docs.google.com/spreadsheets/d/1kGrh75X1cNR1D7_FcY9zMnHP8iPO4M5RCRjy6nZY0TY/edit#gid=1248694442"",""Table 5: Risk of bias!O4:O175""), $A49=IMPORTRANGE(""https://docs.google.com/spreadsheets/d/1kGrh75X1cNR"&amp;"1D7_FcY9zMnHP8iPO4M5RCRjy6nZY0TY/edit#gid=1248694442"",""Table 5: Risk of bias!A4:A175"")),$B49=""RoB 2"",FILTER(IMPORTRANGE(""https://docs.google.com/spreadsheets/d/1kGrh75X1cNR1D7_FcY9zMnHP8iPO4M5RCRjy6nZY0TY/edit#gid=1248694442"",""Table 5: Risk of bia"&amp;"s!W4:W175""), $A49=IMPORTRANGE(""https://docs.google.com/spreadsheets/d/1kGrh75X1cNR1D7_FcY9zMnHP8iPO4M5RCRjy6nZY0TY/edit#gid=1248694442"",""Table 5: Risk of bias!A4:A175"")))"),"Low")</f>
        <v>Low</v>
      </c>
      <c r="I49" s="4" t="str">
        <f>IFERROR(__xludf.DUMMYFUNCTION("FILTER(IMPORTRANGE(""https://docs.google.com/spreadsheets/d/1kGrh75X1cNR1D7_FcY9zMnHP8iPO4M5RCRjy6nZY0TY/edit#gid=1248694442"",""Table 5: Risk of bias!P4:P175""), $A49=IMPORTRANGE(""https://docs.google.com/spreadsheets/d/1kGrh75X1cNR1D7_FcY9zMnHP8iPO4M5RC"&amp;"Rjy6nZY0TY/edit#gid=1248694442"",""Table 5: Risk of bias!A4:A175""))"),"Critical")</f>
        <v>Critical</v>
      </c>
      <c r="J49" s="4" t="str">
        <f>IFERROR(__xludf.DUMMYFUNCTION("FILTER(IMPORTRANGE(""https://docs.google.com/spreadsheets/d/1kGrh75X1cNR1D7_FcY9zMnHP8iPO4M5RCRjy6nZY0TY/edit#gid=1248694442"",""Table 5: Risk of bias!Q4:Q175""), $A49=IMPORTRANGE(""https://docs.google.com/spreadsheets/d/1kGrh75X1cNR1D7_FcY9zMnHP8iPO4M5RC"&amp;"Rjy6nZY0TY/edit#gid=1248694442"",""Table 5: Risk of bias!A4:A175""))"),"Low")</f>
        <v>Low</v>
      </c>
    </row>
    <row r="50">
      <c r="A50" s="4" t="str">
        <f>IFERROR(__xludf.DUMMYFUNCTION("""COMPUTED_VALUE"""),"ID 98")</f>
        <v>ID 98</v>
      </c>
      <c r="B50" s="4" t="str">
        <f>IFERROR(__xludf.DUMMYFUNCTION("FILTER(IMPORTRANGE(""https://docs.google.com/spreadsheets/d/1kGrh75X1cNR1D7_FcY9zMnHP8iPO4M5RCRjy6nZY0TY/edit#gid=1248694442"",""Table 5: Risk of bias!D4:D175""), $A50=IMPORTRANGE(""https://docs.google.com/spreadsheets/d/1kGrh75X1cNR1D7_FcY9zMnHP8iPO4M5RC"&amp;"Rjy6nZY0TY/edit#gid=1248694442"",""Table 5: Risk of bias!A4:A175""))"),"ROBINS I")</f>
        <v>ROBINS I</v>
      </c>
      <c r="C50" s="4" t="str">
        <f>IFERROR(__xludf.DUMMYFUNCTION("IFS(
$B50=""ROBINS I"", FILTER(IMPORTRANGE(""https://docs.google.com/spreadsheets/d/1kGrh75X1cNR1D7_FcY9zMnHP8iPO4M5RCRjy6nZY0TY/edit#gid=1248694442"",""Table 5: Risk of bias!J4:J175""),  $A50=IMPORTRANGE(""https://docs.google.com/spreadsheets/d/1kGrh75X1"&amp;"cNR1D7_FcY9zMnHP8iPO4M5RCRjy6nZY0TY/edit#gid=1248694442"",""Table 5: Risk of bias!A4:A175"")),
$B50=""RoB 2"", FILTER(IMPORTRANGE(""https://docs.google.com/spreadsheets/d/1kGrh75X1cNR1D7_FcY9zMnHP8iPO4M5RCRjy6nZY0TY/edit#gid=1248694442"",""Table 5: Risk o"&amp;"f bias!R4:R175""), $A50=IMPORTRANGE(""https://docs.google.com/spreadsheets/d/1kGrh75X1cNR1D7_FcY9zMnHP8iPO4M5RCRjy6nZY0TY/edit#gid=1248694442"",""Table 5: Risk of bias!A4:A175""))
)"),"Low")</f>
        <v>Low</v>
      </c>
      <c r="D50" s="4" t="str">
        <f>IFERROR(__xludf.DUMMYFUNCTION("IFS($B50=""ROBINS I"",FILTER(IMPORTRANGE(""https://docs.google.com/spreadsheets/d/1kGrh75X1cNR1D7_FcY9zMnHP8iPO4M5RCRjy6nZY0TY/edit#gid=1248694442"",""Table 5: Risk of bias!K4:K175""), $A50=IMPORTRANGE(""https://docs.google.com/spreadsheets/d/1kGrh75X1cNR"&amp;"1D7_FcY9zMnHP8iPO4M5RCRjy6nZY0TY/edit#gid=1248694442"",""Table 5: Risk of bias!A4:A175"")),$B50=""RoB 2"",FILTER(IMPORTRANGE(""https://docs.google.com/spreadsheets/d/1kGrh75X1cNR1D7_FcY9zMnHP8iPO4M5RCRjy6nZY0TY/edit#gid=1248694442"",""Table 5: Risk of bia"&amp;"s!S4:S175""), $A50=IMPORTRANGE(""https://docs.google.com/spreadsheets/d/1kGrh75X1cNR1D7_FcY9zMnHP8iPO4M5RCRjy6nZY0TY/edit#gid=1248694442"",""Table 5: Risk of bias!A4:A175"")))"),"Low")</f>
        <v>Low</v>
      </c>
      <c r="E50" s="4" t="str">
        <f>IFERROR(__xludf.DUMMYFUNCTION("IFS($B50=""ROBINS I"",FILTER(IMPORTRANGE(""https://docs.google.com/spreadsheets/d/1kGrh75X1cNR1D7_FcY9zMnHP8iPO4M5RCRjy6nZY0TY/edit#gid=1248694442"",""Table 5: Risk of bias!L4:L175""), $A50=IMPORTRANGE(""https://docs.google.com/spreadsheets/d/1kGrh75X1cNR"&amp;"1D7_FcY9zMnHP8iPO4M5RCRjy6nZY0TY/edit#gid=1248694442"",""Table 5: Risk of bias!A4:A175"")),$B50=""RoB 2"",FILTER(IMPORTRANGE(""https://docs.google.com/spreadsheets/d/1kGrh75X1cNR1D7_FcY9zMnHP8iPO4M5RCRjy6nZY0TY/edit#gid=1248694442"",""Table 5: Risk of bia"&amp;"s!T4:T175""), $A50=IMPORTRANGE(""https://docs.google.com/spreadsheets/d/1kGrh75X1cNR1D7_FcY9zMnHP8iPO4M5RCRjy6nZY0TY/edit#gid=1248694442"",""Table 5: Risk of bias!A4:A175"")))"),"Low")</f>
        <v>Low</v>
      </c>
      <c r="F50" s="4" t="str">
        <f>IFERROR(__xludf.DUMMYFUNCTION("IFS($B50=""ROBINS I"",FILTER(IMPORTRANGE(""https://docs.google.com/spreadsheets/d/1kGrh75X1cNR1D7_FcY9zMnHP8iPO4M5RCRjy6nZY0TY/edit#gid=1248694442"",""Table 5: Risk of bias!M4:M175""), $A50=IMPORTRANGE(""https://docs.google.com/spreadsheets/d/1kGrh75X1cNR"&amp;"1D7_FcY9zMnHP8iPO4M5RCRjy6nZY0TY/edit#gid=1248694442"",""Table 5: Risk of bias!A4:A175"")),$B50=""RoB 2"",FILTER(IMPORTRANGE(""https://docs.google.com/spreadsheets/d/1kGrh75X1cNR1D7_FcY9zMnHP8iPO4M5RCRjy6nZY0TY/edit#gid=1248694442"",""Table 5: Risk of bia"&amp;"s!U4:U175""), $A50=IMPORTRANGE(""https://docs.google.com/spreadsheets/d/1kGrh75X1cNR1D7_FcY9zMnHP8iPO4M5RCRjy6nZY0TY/edit#gid=1248694442"",""Table 5: Risk of bias!A4:A175"")))"),"Low")</f>
        <v>Low</v>
      </c>
      <c r="G50" s="4" t="str">
        <f>IFERROR(__xludf.DUMMYFUNCTION("IFS($B50=""ROBINS I"",FILTER(IMPORTRANGE(""https://docs.google.com/spreadsheets/d/1kGrh75X1cNR1D7_FcY9zMnHP8iPO4M5RCRjy6nZY0TY/edit#gid=1248694442"",""Table 5: Risk of bias!N4:N175""), $A50=IMPORTRANGE(""https://docs.google.com/spreadsheets/d/1kGrh75X1cNR"&amp;"1D7_FcY9zMnHP8iPO4M5RCRjy6nZY0TY/edit#gid=1248694442"",""Table 5: Risk of bias!A4:A175"")),$B50=""RoB 2"",FILTER(IMPORTRANGE(""https://docs.google.com/spreadsheets/d/1kGrh75X1cNR1D7_FcY9zMnHP8iPO4M5RCRjy6nZY0TY/edit#gid=1248694442"",""Table 5: Risk of bia"&amp;"s!V4:V175""), $A50=IMPORTRANGE(""https://docs.google.com/spreadsheets/d/1kGrh75X1cNR1D7_FcY9zMnHP8iPO4M5RCRjy6nZY0TY/edit#gid=1248694442"",""Table 5: Risk of bias!A4:A175"")))"),"Low")</f>
        <v>Low</v>
      </c>
      <c r="H50" s="4" t="str">
        <f>IFERROR(__xludf.DUMMYFUNCTION("IFS($B50=""ROBINS I"",FILTER(IMPORTRANGE(""https://docs.google.com/spreadsheets/d/1kGrh75X1cNR1D7_FcY9zMnHP8iPO4M5RCRjy6nZY0TY/edit#gid=1248694442"",""Table 5: Risk of bias!O4:O175""), $A50=IMPORTRANGE(""https://docs.google.com/spreadsheets/d/1kGrh75X1cNR"&amp;"1D7_FcY9zMnHP8iPO4M5RCRjy6nZY0TY/edit#gid=1248694442"",""Table 5: Risk of bias!A4:A175"")),$B50=""RoB 2"",FILTER(IMPORTRANGE(""https://docs.google.com/spreadsheets/d/1kGrh75X1cNR1D7_FcY9zMnHP8iPO4M5RCRjy6nZY0TY/edit#gid=1248694442"",""Table 5: Risk of bia"&amp;"s!W4:W175""), $A50=IMPORTRANGE(""https://docs.google.com/spreadsheets/d/1kGrh75X1cNR1D7_FcY9zMnHP8iPO4M5RCRjy6nZY0TY/edit#gid=1248694442"",""Table 5: Risk of bias!A4:A175"")))"),"Low")</f>
        <v>Low</v>
      </c>
      <c r="I50" s="4" t="str">
        <f>IFERROR(__xludf.DUMMYFUNCTION("FILTER(IMPORTRANGE(""https://docs.google.com/spreadsheets/d/1kGrh75X1cNR1D7_FcY9zMnHP8iPO4M5RCRjy6nZY0TY/edit#gid=1248694442"",""Table 5: Risk of bias!P4:P175""), $A50=IMPORTRANGE(""https://docs.google.com/spreadsheets/d/1kGrh75X1cNR1D7_FcY9zMnHP8iPO4M5RC"&amp;"Rjy6nZY0TY/edit#gid=1248694442"",""Table 5: Risk of bias!A4:A175""))"),"Low")</f>
        <v>Low</v>
      </c>
      <c r="J50" s="4" t="str">
        <f>IFERROR(__xludf.DUMMYFUNCTION("FILTER(IMPORTRANGE(""https://docs.google.com/spreadsheets/d/1kGrh75X1cNR1D7_FcY9zMnHP8iPO4M5RCRjy6nZY0TY/edit#gid=1248694442"",""Table 5: Risk of bias!Q4:Q175""), $A50=IMPORTRANGE(""https://docs.google.com/spreadsheets/d/1kGrh75X1cNR1D7_FcY9zMnHP8iPO4M5RC"&amp;"Rjy6nZY0TY/edit#gid=1248694442"",""Table 5: Risk of bias!A4:A175""))"),"Low")</f>
        <v>Low</v>
      </c>
    </row>
    <row r="51">
      <c r="A51" s="4" t="str">
        <f>IFERROR(__xludf.DUMMYFUNCTION("""COMPUTED_VALUE"""),"ID 101")</f>
        <v>ID 101</v>
      </c>
      <c r="B51" s="4" t="str">
        <f>IFERROR(__xludf.DUMMYFUNCTION("FILTER(IMPORTRANGE(""https://docs.google.com/spreadsheets/d/1kGrh75X1cNR1D7_FcY9zMnHP8iPO4M5RCRjy6nZY0TY/edit#gid=1248694442"",""Table 5: Risk of bias!D4:D175""), $A51=IMPORTRANGE(""https://docs.google.com/spreadsheets/d/1kGrh75X1cNR1D7_FcY9zMnHP8iPO4M5RC"&amp;"Rjy6nZY0TY/edit#gid=1248694442"",""Table 5: Risk of bias!A4:A175""))"),"ROBINS I")</f>
        <v>ROBINS I</v>
      </c>
      <c r="C51" s="4" t="str">
        <f>IFERROR(__xludf.DUMMYFUNCTION("IFS(
$B51=""ROBINS I"", FILTER(IMPORTRANGE(""https://docs.google.com/spreadsheets/d/1kGrh75X1cNR1D7_FcY9zMnHP8iPO4M5RCRjy6nZY0TY/edit#gid=1248694442"",""Table 5: Risk of bias!J4:J175""),  $A51=IMPORTRANGE(""https://docs.google.com/spreadsheets/d/1kGrh75X1"&amp;"cNR1D7_FcY9zMnHP8iPO4M5RCRjy6nZY0TY/edit#gid=1248694442"",""Table 5: Risk of bias!A4:A175"")),
$B51=""RoB 2"", FILTER(IMPORTRANGE(""https://docs.google.com/spreadsheets/d/1kGrh75X1cNR1D7_FcY9zMnHP8iPO4M5RCRjy6nZY0TY/edit#gid=1248694442"",""Table 5: Risk o"&amp;"f bias!R4:R175""), $A51=IMPORTRANGE(""https://docs.google.com/spreadsheets/d/1kGrh75X1cNR1D7_FcY9zMnHP8iPO4M5RCRjy6nZY0TY/edit#gid=1248694442"",""Table 5: Risk of bias!A4:A175""))
)"),"Moderate")</f>
        <v>Moderate</v>
      </c>
      <c r="D51" s="4" t="str">
        <f>IFERROR(__xludf.DUMMYFUNCTION("IFS($B51=""ROBINS I"",FILTER(IMPORTRANGE(""https://docs.google.com/spreadsheets/d/1kGrh75X1cNR1D7_FcY9zMnHP8iPO4M5RCRjy6nZY0TY/edit#gid=1248694442"",""Table 5: Risk of bias!K4:K175""), $A51=IMPORTRANGE(""https://docs.google.com/spreadsheets/d/1kGrh75X1cNR"&amp;"1D7_FcY9zMnHP8iPO4M5RCRjy6nZY0TY/edit#gid=1248694442"",""Table 5: Risk of bias!A4:A175"")),$B51=""RoB 2"",FILTER(IMPORTRANGE(""https://docs.google.com/spreadsheets/d/1kGrh75X1cNR1D7_FcY9zMnHP8iPO4M5RCRjy6nZY0TY/edit#gid=1248694442"",""Table 5: Risk of bia"&amp;"s!S4:S175""), $A51=IMPORTRANGE(""https://docs.google.com/spreadsheets/d/1kGrh75X1cNR1D7_FcY9zMnHP8iPO4M5RCRjy6nZY0TY/edit#gid=1248694442"",""Table 5: Risk of bias!A4:A175"")))"),"Moderate")</f>
        <v>Moderate</v>
      </c>
      <c r="E51" s="4" t="str">
        <f>IFERROR(__xludf.DUMMYFUNCTION("IFS($B51=""ROBINS I"",FILTER(IMPORTRANGE(""https://docs.google.com/spreadsheets/d/1kGrh75X1cNR1D7_FcY9zMnHP8iPO4M5RCRjy6nZY0TY/edit#gid=1248694442"",""Table 5: Risk of bias!L4:L175""), $A51=IMPORTRANGE(""https://docs.google.com/spreadsheets/d/1kGrh75X1cNR"&amp;"1D7_FcY9zMnHP8iPO4M5RCRjy6nZY0TY/edit#gid=1248694442"",""Table 5: Risk of bias!A4:A175"")),$B51=""RoB 2"",FILTER(IMPORTRANGE(""https://docs.google.com/spreadsheets/d/1kGrh75X1cNR1D7_FcY9zMnHP8iPO4M5RCRjy6nZY0TY/edit#gid=1248694442"",""Table 5: Risk of bia"&amp;"s!T4:T175""), $A51=IMPORTRANGE(""https://docs.google.com/spreadsheets/d/1kGrh75X1cNR1D7_FcY9zMnHP8iPO4M5RCRjy6nZY0TY/edit#gid=1248694442"",""Table 5: Risk of bias!A4:A175"")))"),"Low")</f>
        <v>Low</v>
      </c>
      <c r="F51" s="4" t="str">
        <f>IFERROR(__xludf.DUMMYFUNCTION("IFS($B51=""ROBINS I"",FILTER(IMPORTRANGE(""https://docs.google.com/spreadsheets/d/1kGrh75X1cNR1D7_FcY9zMnHP8iPO4M5RCRjy6nZY0TY/edit#gid=1248694442"",""Table 5: Risk of bias!M4:M175""), $A51=IMPORTRANGE(""https://docs.google.com/spreadsheets/d/1kGrh75X1cNR"&amp;"1D7_FcY9zMnHP8iPO4M5RCRjy6nZY0TY/edit#gid=1248694442"",""Table 5: Risk of bias!A4:A175"")),$B51=""RoB 2"",FILTER(IMPORTRANGE(""https://docs.google.com/spreadsheets/d/1kGrh75X1cNR1D7_FcY9zMnHP8iPO4M5RCRjy6nZY0TY/edit#gid=1248694442"",""Table 5: Risk of bia"&amp;"s!U4:U175""), $A51=IMPORTRANGE(""https://docs.google.com/spreadsheets/d/1kGrh75X1cNR1D7_FcY9zMnHP8iPO4M5RCRjy6nZY0TY/edit#gid=1248694442"",""Table 5: Risk of bias!A4:A175"")))"),"Low")</f>
        <v>Low</v>
      </c>
      <c r="G51" s="4" t="str">
        <f>IFERROR(__xludf.DUMMYFUNCTION("IFS($B51=""ROBINS I"",FILTER(IMPORTRANGE(""https://docs.google.com/spreadsheets/d/1kGrh75X1cNR1D7_FcY9zMnHP8iPO4M5RCRjy6nZY0TY/edit#gid=1248694442"",""Table 5: Risk of bias!N4:N175""), $A51=IMPORTRANGE(""https://docs.google.com/spreadsheets/d/1kGrh75X1cNR"&amp;"1D7_FcY9zMnHP8iPO4M5RCRjy6nZY0TY/edit#gid=1248694442"",""Table 5: Risk of bias!A4:A175"")),$B51=""RoB 2"",FILTER(IMPORTRANGE(""https://docs.google.com/spreadsheets/d/1kGrh75X1cNR1D7_FcY9zMnHP8iPO4M5RCRjy6nZY0TY/edit#gid=1248694442"",""Table 5: Risk of bia"&amp;"s!V4:V175""), $A51=IMPORTRANGE(""https://docs.google.com/spreadsheets/d/1kGrh75X1cNR1D7_FcY9zMnHP8iPO4M5RCRjy6nZY0TY/edit#gid=1248694442"",""Table 5: Risk of bias!A4:A175"")))"),"Low")</f>
        <v>Low</v>
      </c>
      <c r="H51" s="4" t="str">
        <f>IFERROR(__xludf.DUMMYFUNCTION("IFS($B51=""ROBINS I"",FILTER(IMPORTRANGE(""https://docs.google.com/spreadsheets/d/1kGrh75X1cNR1D7_FcY9zMnHP8iPO4M5RCRjy6nZY0TY/edit#gid=1248694442"",""Table 5: Risk of bias!O4:O175""), $A51=IMPORTRANGE(""https://docs.google.com/spreadsheets/d/1kGrh75X1cNR"&amp;"1D7_FcY9zMnHP8iPO4M5RCRjy6nZY0TY/edit#gid=1248694442"",""Table 5: Risk of bias!A4:A175"")),$B51=""RoB 2"",FILTER(IMPORTRANGE(""https://docs.google.com/spreadsheets/d/1kGrh75X1cNR1D7_FcY9zMnHP8iPO4M5RCRjy6nZY0TY/edit#gid=1248694442"",""Table 5: Risk of bia"&amp;"s!W4:W175""), $A51=IMPORTRANGE(""https://docs.google.com/spreadsheets/d/1kGrh75X1cNR1D7_FcY9zMnHP8iPO4M5RCRjy6nZY0TY/edit#gid=1248694442"",""Table 5: Risk of bias!A4:A175"")))"),"Low")</f>
        <v>Low</v>
      </c>
      <c r="I51" s="4" t="str">
        <f>IFERROR(__xludf.DUMMYFUNCTION("FILTER(IMPORTRANGE(""https://docs.google.com/spreadsheets/d/1kGrh75X1cNR1D7_FcY9zMnHP8iPO4M5RCRjy6nZY0TY/edit#gid=1248694442"",""Table 5: Risk of bias!P4:P175""), $A51=IMPORTRANGE(""https://docs.google.com/spreadsheets/d/1kGrh75X1cNR1D7_FcY9zMnHP8iPO4M5RC"&amp;"Rjy6nZY0TY/edit#gid=1248694442"",""Table 5: Risk of bias!A4:A175""))"),"Low")</f>
        <v>Low</v>
      </c>
      <c r="J51" s="4" t="str">
        <f>IFERROR(__xludf.DUMMYFUNCTION("FILTER(IMPORTRANGE(""https://docs.google.com/spreadsheets/d/1kGrh75X1cNR1D7_FcY9zMnHP8iPO4M5RCRjy6nZY0TY/edit#gid=1248694442"",""Table 5: Risk of bias!Q4:Q175""), $A51=IMPORTRANGE(""https://docs.google.com/spreadsheets/d/1kGrh75X1cNR1D7_FcY9zMnHP8iPO4M5RC"&amp;"Rjy6nZY0TY/edit#gid=1248694442"",""Table 5: Risk of bias!A4:A175""))"),"Low")</f>
        <v>Low</v>
      </c>
    </row>
    <row r="52">
      <c r="A52" s="4" t="str">
        <f>IFERROR(__xludf.DUMMYFUNCTION("""COMPUTED_VALUE"""),"ID 102")</f>
        <v>ID 102</v>
      </c>
      <c r="B52" s="4" t="str">
        <f>IFERROR(__xludf.DUMMYFUNCTION("FILTER(IMPORTRANGE(""https://docs.google.com/spreadsheets/d/1kGrh75X1cNR1D7_FcY9zMnHP8iPO4M5RCRjy6nZY0TY/edit#gid=1248694442"",""Table 5: Risk of bias!D4:D175""), $A52=IMPORTRANGE(""https://docs.google.com/spreadsheets/d/1kGrh75X1cNR1D7_FcY9zMnHP8iPO4M5RC"&amp;"Rjy6nZY0TY/edit#gid=1248694442"",""Table 5: Risk of bias!A4:A175""))"),"ROBINS I")</f>
        <v>ROBINS I</v>
      </c>
      <c r="C52" s="4" t="str">
        <f>IFERROR(__xludf.DUMMYFUNCTION("IFS(
$B52=""ROBINS I"", FILTER(IMPORTRANGE(""https://docs.google.com/spreadsheets/d/1kGrh75X1cNR1D7_FcY9zMnHP8iPO4M5RCRjy6nZY0TY/edit#gid=1248694442"",""Table 5: Risk of bias!J4:J175""),  $A52=IMPORTRANGE(""https://docs.google.com/spreadsheets/d/1kGrh75X1"&amp;"cNR1D7_FcY9zMnHP8iPO4M5RCRjy6nZY0TY/edit#gid=1248694442"",""Table 5: Risk of bias!A4:A175"")),
$B52=""RoB 2"", FILTER(IMPORTRANGE(""https://docs.google.com/spreadsheets/d/1kGrh75X1cNR1D7_FcY9zMnHP8iPO4M5RCRjy6nZY0TY/edit#gid=1248694442"",""Table 5: Risk o"&amp;"f bias!R4:R175""), $A52=IMPORTRANGE(""https://docs.google.com/spreadsheets/d/1kGrh75X1cNR1D7_FcY9zMnHP8iPO4M5RCRjy6nZY0TY/edit#gid=1248694442"",""Table 5: Risk of bias!A4:A175""))
)"),"Moderate")</f>
        <v>Moderate</v>
      </c>
      <c r="D52" s="4" t="str">
        <f>IFERROR(__xludf.DUMMYFUNCTION("IFS($B52=""ROBINS I"",FILTER(IMPORTRANGE(""https://docs.google.com/spreadsheets/d/1kGrh75X1cNR1D7_FcY9zMnHP8iPO4M5RCRjy6nZY0TY/edit#gid=1248694442"",""Table 5: Risk of bias!K4:K175""), $A52=IMPORTRANGE(""https://docs.google.com/spreadsheets/d/1kGrh75X1cNR"&amp;"1D7_FcY9zMnHP8iPO4M5RCRjy6nZY0TY/edit#gid=1248694442"",""Table 5: Risk of bias!A4:A175"")),$B52=""RoB 2"",FILTER(IMPORTRANGE(""https://docs.google.com/spreadsheets/d/1kGrh75X1cNR1D7_FcY9zMnHP8iPO4M5RCRjy6nZY0TY/edit#gid=1248694442"",""Table 5: Risk of bia"&amp;"s!S4:S175""), $A52=IMPORTRANGE(""https://docs.google.com/spreadsheets/d/1kGrh75X1cNR1D7_FcY9zMnHP8iPO4M5RCRjy6nZY0TY/edit#gid=1248694442"",""Table 5: Risk of bias!A4:A175"")))"),"Moderate")</f>
        <v>Moderate</v>
      </c>
      <c r="E52" s="4" t="str">
        <f>IFERROR(__xludf.DUMMYFUNCTION("IFS($B52=""ROBINS I"",FILTER(IMPORTRANGE(""https://docs.google.com/spreadsheets/d/1kGrh75X1cNR1D7_FcY9zMnHP8iPO4M5RCRjy6nZY0TY/edit#gid=1248694442"",""Table 5: Risk of bias!L4:L175""), $A52=IMPORTRANGE(""https://docs.google.com/spreadsheets/d/1kGrh75X1cNR"&amp;"1D7_FcY9zMnHP8iPO4M5RCRjy6nZY0TY/edit#gid=1248694442"",""Table 5: Risk of bias!A4:A175"")),$B52=""RoB 2"",FILTER(IMPORTRANGE(""https://docs.google.com/spreadsheets/d/1kGrh75X1cNR1D7_FcY9zMnHP8iPO4M5RCRjy6nZY0TY/edit#gid=1248694442"",""Table 5: Risk of bia"&amp;"s!T4:T175""), $A52=IMPORTRANGE(""https://docs.google.com/spreadsheets/d/1kGrh75X1cNR1D7_FcY9zMnHP8iPO4M5RCRjy6nZY0TY/edit#gid=1248694442"",""Table 5: Risk of bias!A4:A175"")))"),"Low")</f>
        <v>Low</v>
      </c>
      <c r="F52" s="4" t="str">
        <f>IFERROR(__xludf.DUMMYFUNCTION("IFS($B52=""ROBINS I"",FILTER(IMPORTRANGE(""https://docs.google.com/spreadsheets/d/1kGrh75X1cNR1D7_FcY9zMnHP8iPO4M5RCRjy6nZY0TY/edit#gid=1248694442"",""Table 5: Risk of bias!M4:M175""), $A52=IMPORTRANGE(""https://docs.google.com/spreadsheets/d/1kGrh75X1cNR"&amp;"1D7_FcY9zMnHP8iPO4M5RCRjy6nZY0TY/edit#gid=1248694442"",""Table 5: Risk of bias!A4:A175"")),$B52=""RoB 2"",FILTER(IMPORTRANGE(""https://docs.google.com/spreadsheets/d/1kGrh75X1cNR1D7_FcY9zMnHP8iPO4M5RCRjy6nZY0TY/edit#gid=1248694442"",""Table 5: Risk of bia"&amp;"s!U4:U175""), $A52=IMPORTRANGE(""https://docs.google.com/spreadsheets/d/1kGrh75X1cNR1D7_FcY9zMnHP8iPO4M5RCRjy6nZY0TY/edit#gid=1248694442"",""Table 5: Risk of bias!A4:A175"")))"),"Low")</f>
        <v>Low</v>
      </c>
      <c r="G52" s="4" t="str">
        <f>IFERROR(__xludf.DUMMYFUNCTION("IFS($B52=""ROBINS I"",FILTER(IMPORTRANGE(""https://docs.google.com/spreadsheets/d/1kGrh75X1cNR1D7_FcY9zMnHP8iPO4M5RCRjy6nZY0TY/edit#gid=1248694442"",""Table 5: Risk of bias!N4:N175""), $A52=IMPORTRANGE(""https://docs.google.com/spreadsheets/d/1kGrh75X1cNR"&amp;"1D7_FcY9zMnHP8iPO4M5RCRjy6nZY0TY/edit#gid=1248694442"",""Table 5: Risk of bias!A4:A175"")),$B52=""RoB 2"",FILTER(IMPORTRANGE(""https://docs.google.com/spreadsheets/d/1kGrh75X1cNR1D7_FcY9zMnHP8iPO4M5RCRjy6nZY0TY/edit#gid=1248694442"",""Table 5: Risk of bia"&amp;"s!V4:V175""), $A52=IMPORTRANGE(""https://docs.google.com/spreadsheets/d/1kGrh75X1cNR1D7_FcY9zMnHP8iPO4M5RCRjy6nZY0TY/edit#gid=1248694442"",""Table 5: Risk of bias!A4:A175"")))"),"Low")</f>
        <v>Low</v>
      </c>
      <c r="H52" s="4" t="str">
        <f>IFERROR(__xludf.DUMMYFUNCTION("IFS($B52=""ROBINS I"",FILTER(IMPORTRANGE(""https://docs.google.com/spreadsheets/d/1kGrh75X1cNR1D7_FcY9zMnHP8iPO4M5RCRjy6nZY0TY/edit#gid=1248694442"",""Table 5: Risk of bias!O4:O175""), $A52=IMPORTRANGE(""https://docs.google.com/spreadsheets/d/1kGrh75X1cNR"&amp;"1D7_FcY9zMnHP8iPO4M5RCRjy6nZY0TY/edit#gid=1248694442"",""Table 5: Risk of bias!A4:A175"")),$B52=""RoB 2"",FILTER(IMPORTRANGE(""https://docs.google.com/spreadsheets/d/1kGrh75X1cNR1D7_FcY9zMnHP8iPO4M5RCRjy6nZY0TY/edit#gid=1248694442"",""Table 5: Risk of bia"&amp;"s!W4:W175""), $A52=IMPORTRANGE(""https://docs.google.com/spreadsheets/d/1kGrh75X1cNR1D7_FcY9zMnHP8iPO4M5RCRjy6nZY0TY/edit#gid=1248694442"",""Table 5: Risk of bias!A4:A175"")))"),"Low")</f>
        <v>Low</v>
      </c>
      <c r="I52" s="4" t="str">
        <f>IFERROR(__xludf.DUMMYFUNCTION("FILTER(IMPORTRANGE(""https://docs.google.com/spreadsheets/d/1kGrh75X1cNR1D7_FcY9zMnHP8iPO4M5RCRjy6nZY0TY/edit#gid=1248694442"",""Table 5: Risk of bias!P4:P175""), $A52=IMPORTRANGE(""https://docs.google.com/spreadsheets/d/1kGrh75X1cNR1D7_FcY9zMnHP8iPO4M5RC"&amp;"Rjy6nZY0TY/edit#gid=1248694442"",""Table 5: Risk of bias!A4:A175""))"),"Low")</f>
        <v>Low</v>
      </c>
      <c r="J52" s="4" t="str">
        <f>IFERROR(__xludf.DUMMYFUNCTION("FILTER(IMPORTRANGE(""https://docs.google.com/spreadsheets/d/1kGrh75X1cNR1D7_FcY9zMnHP8iPO4M5RCRjy6nZY0TY/edit#gid=1248694442"",""Table 5: Risk of bias!Q4:Q175""), $A52=IMPORTRANGE(""https://docs.google.com/spreadsheets/d/1kGrh75X1cNR1D7_FcY9zMnHP8iPO4M5RC"&amp;"Rjy6nZY0TY/edit#gid=1248694442"",""Table 5: Risk of bias!A4:A175""))"),"Low")</f>
        <v>Low</v>
      </c>
    </row>
    <row r="53">
      <c r="A53" s="4" t="str">
        <f>IFERROR(__xludf.DUMMYFUNCTION("""COMPUTED_VALUE"""),"ID 104")</f>
        <v>ID 104</v>
      </c>
      <c r="B53" s="4" t="str">
        <f>IFERROR(__xludf.DUMMYFUNCTION("FILTER(IMPORTRANGE(""https://docs.google.com/spreadsheets/d/1kGrh75X1cNR1D7_FcY9zMnHP8iPO4M5RCRjy6nZY0TY/edit#gid=1248694442"",""Table 5: Risk of bias!D4:D175""), $A53=IMPORTRANGE(""https://docs.google.com/spreadsheets/d/1kGrh75X1cNR1D7_FcY9zMnHP8iPO4M5RC"&amp;"Rjy6nZY0TY/edit#gid=1248694442"",""Table 5: Risk of bias!A4:A175""))"),"ROBINS I")</f>
        <v>ROBINS I</v>
      </c>
      <c r="C53" s="4" t="str">
        <f>IFERROR(__xludf.DUMMYFUNCTION("IFS(
$B53=""ROBINS I"", FILTER(IMPORTRANGE(""https://docs.google.com/spreadsheets/d/1kGrh75X1cNR1D7_FcY9zMnHP8iPO4M5RCRjy6nZY0TY/edit#gid=1248694442"",""Table 5: Risk of bias!J4:J175""),  $A53=IMPORTRANGE(""https://docs.google.com/spreadsheets/d/1kGrh75X1"&amp;"cNR1D7_FcY9zMnHP8iPO4M5RCRjy6nZY0TY/edit#gid=1248694442"",""Table 5: Risk of bias!A4:A175"")),
$B53=""RoB 2"", FILTER(IMPORTRANGE(""https://docs.google.com/spreadsheets/d/1kGrh75X1cNR1D7_FcY9zMnHP8iPO4M5RCRjy6nZY0TY/edit#gid=1248694442"",""Table 5: Risk o"&amp;"f bias!R4:R175""), $A53=IMPORTRANGE(""https://docs.google.com/spreadsheets/d/1kGrh75X1cNR1D7_FcY9zMnHP8iPO4M5RCRjy6nZY0TY/edit#gid=1248694442"",""Table 5: Risk of bias!A4:A175""))
)"),"Moderate")</f>
        <v>Moderate</v>
      </c>
      <c r="D53" s="4" t="str">
        <f>IFERROR(__xludf.DUMMYFUNCTION("IFS($B53=""ROBINS I"",FILTER(IMPORTRANGE(""https://docs.google.com/spreadsheets/d/1kGrh75X1cNR1D7_FcY9zMnHP8iPO4M5RCRjy6nZY0TY/edit#gid=1248694442"",""Table 5: Risk of bias!K4:K175""), $A53=IMPORTRANGE(""https://docs.google.com/spreadsheets/d/1kGrh75X1cNR"&amp;"1D7_FcY9zMnHP8iPO4M5RCRjy6nZY0TY/edit#gid=1248694442"",""Table 5: Risk of bias!A4:A175"")),$B53=""RoB 2"",FILTER(IMPORTRANGE(""https://docs.google.com/spreadsheets/d/1kGrh75X1cNR1D7_FcY9zMnHP8iPO4M5RCRjy6nZY0TY/edit#gid=1248694442"",""Table 5: Risk of bia"&amp;"s!S4:S175""), $A53=IMPORTRANGE(""https://docs.google.com/spreadsheets/d/1kGrh75X1cNR1D7_FcY9zMnHP8iPO4M5RCRjy6nZY0TY/edit#gid=1248694442"",""Table 5: Risk of bias!A4:A175"")))"),"Moderate")</f>
        <v>Moderate</v>
      </c>
      <c r="E53" s="4" t="str">
        <f>IFERROR(__xludf.DUMMYFUNCTION("IFS($B53=""ROBINS I"",FILTER(IMPORTRANGE(""https://docs.google.com/spreadsheets/d/1kGrh75X1cNR1D7_FcY9zMnHP8iPO4M5RCRjy6nZY0TY/edit#gid=1248694442"",""Table 5: Risk of bias!L4:L175""), $A53=IMPORTRANGE(""https://docs.google.com/spreadsheets/d/1kGrh75X1cNR"&amp;"1D7_FcY9zMnHP8iPO4M5RCRjy6nZY0TY/edit#gid=1248694442"",""Table 5: Risk of bias!A4:A175"")),$B53=""RoB 2"",FILTER(IMPORTRANGE(""https://docs.google.com/spreadsheets/d/1kGrh75X1cNR1D7_FcY9zMnHP8iPO4M5RCRjy6nZY0TY/edit#gid=1248694442"",""Table 5: Risk of bia"&amp;"s!T4:T175""), $A53=IMPORTRANGE(""https://docs.google.com/spreadsheets/d/1kGrh75X1cNR1D7_FcY9zMnHP8iPO4M5RCRjy6nZY0TY/edit#gid=1248694442"",""Table 5: Risk of bias!A4:A175"")))"),"Low")</f>
        <v>Low</v>
      </c>
      <c r="F53" s="4" t="str">
        <f>IFERROR(__xludf.DUMMYFUNCTION("IFS($B53=""ROBINS I"",FILTER(IMPORTRANGE(""https://docs.google.com/spreadsheets/d/1kGrh75X1cNR1D7_FcY9zMnHP8iPO4M5RCRjy6nZY0TY/edit#gid=1248694442"",""Table 5: Risk of bias!M4:M175""), $A53=IMPORTRANGE(""https://docs.google.com/spreadsheets/d/1kGrh75X1cNR"&amp;"1D7_FcY9zMnHP8iPO4M5RCRjy6nZY0TY/edit#gid=1248694442"",""Table 5: Risk of bias!A4:A175"")),$B53=""RoB 2"",FILTER(IMPORTRANGE(""https://docs.google.com/spreadsheets/d/1kGrh75X1cNR1D7_FcY9zMnHP8iPO4M5RCRjy6nZY0TY/edit#gid=1248694442"",""Table 5: Risk of bia"&amp;"s!U4:U175""), $A53=IMPORTRANGE(""https://docs.google.com/spreadsheets/d/1kGrh75X1cNR1D7_FcY9zMnHP8iPO4M5RCRjy6nZY0TY/edit#gid=1248694442"",""Table 5: Risk of bias!A4:A175"")))"),"Moderate")</f>
        <v>Moderate</v>
      </c>
      <c r="G53" s="4" t="str">
        <f>IFERROR(__xludf.DUMMYFUNCTION("IFS($B53=""ROBINS I"",FILTER(IMPORTRANGE(""https://docs.google.com/spreadsheets/d/1kGrh75X1cNR1D7_FcY9zMnHP8iPO4M5RCRjy6nZY0TY/edit#gid=1248694442"",""Table 5: Risk of bias!N4:N175""), $A53=IMPORTRANGE(""https://docs.google.com/spreadsheets/d/1kGrh75X1cNR"&amp;"1D7_FcY9zMnHP8iPO4M5RCRjy6nZY0TY/edit#gid=1248694442"",""Table 5: Risk of bias!A4:A175"")),$B53=""RoB 2"",FILTER(IMPORTRANGE(""https://docs.google.com/spreadsheets/d/1kGrh75X1cNR1D7_FcY9zMnHP8iPO4M5RCRjy6nZY0TY/edit#gid=1248694442"",""Table 5: Risk of bia"&amp;"s!V4:V175""), $A53=IMPORTRANGE(""https://docs.google.com/spreadsheets/d/1kGrh75X1cNR1D7_FcY9zMnHP8iPO4M5RCRjy6nZY0TY/edit#gid=1248694442"",""Table 5: Risk of bias!A4:A175"")))"),"Low")</f>
        <v>Low</v>
      </c>
      <c r="H53" s="4" t="str">
        <f>IFERROR(__xludf.DUMMYFUNCTION("IFS($B53=""ROBINS I"",FILTER(IMPORTRANGE(""https://docs.google.com/spreadsheets/d/1kGrh75X1cNR1D7_FcY9zMnHP8iPO4M5RCRjy6nZY0TY/edit#gid=1248694442"",""Table 5: Risk of bias!O4:O175""), $A53=IMPORTRANGE(""https://docs.google.com/spreadsheets/d/1kGrh75X1cNR"&amp;"1D7_FcY9zMnHP8iPO4M5RCRjy6nZY0TY/edit#gid=1248694442"",""Table 5: Risk of bias!A4:A175"")),$B53=""RoB 2"",FILTER(IMPORTRANGE(""https://docs.google.com/spreadsheets/d/1kGrh75X1cNR1D7_FcY9zMnHP8iPO4M5RCRjy6nZY0TY/edit#gid=1248694442"",""Table 5: Risk of bia"&amp;"s!W4:W175""), $A53=IMPORTRANGE(""https://docs.google.com/spreadsheets/d/1kGrh75X1cNR1D7_FcY9zMnHP8iPO4M5RCRjy6nZY0TY/edit#gid=1248694442"",""Table 5: Risk of bias!A4:A175"")))"),"Low")</f>
        <v>Low</v>
      </c>
      <c r="I53" s="4" t="str">
        <f>IFERROR(__xludf.DUMMYFUNCTION("FILTER(IMPORTRANGE(""https://docs.google.com/spreadsheets/d/1kGrh75X1cNR1D7_FcY9zMnHP8iPO4M5RCRjy6nZY0TY/edit#gid=1248694442"",""Table 5: Risk of bias!P4:P175""), $A53=IMPORTRANGE(""https://docs.google.com/spreadsheets/d/1kGrh75X1cNR1D7_FcY9zMnHP8iPO4M5RC"&amp;"Rjy6nZY0TY/edit#gid=1248694442"",""Table 5: Risk of bias!A4:A175""))"),"Low")</f>
        <v>Low</v>
      </c>
      <c r="J53" s="4" t="str">
        <f>IFERROR(__xludf.DUMMYFUNCTION("FILTER(IMPORTRANGE(""https://docs.google.com/spreadsheets/d/1kGrh75X1cNR1D7_FcY9zMnHP8iPO4M5RCRjy6nZY0TY/edit#gid=1248694442"",""Table 5: Risk of bias!Q4:Q175""), $A53=IMPORTRANGE(""https://docs.google.com/spreadsheets/d/1kGrh75X1cNR1D7_FcY9zMnHP8iPO4M5RC"&amp;"Rjy6nZY0TY/edit#gid=1248694442"",""Table 5: Risk of bias!A4:A175""))"),"Low")</f>
        <v>Low</v>
      </c>
    </row>
    <row r="54">
      <c r="A54" s="4" t="str">
        <f>IFERROR(__xludf.DUMMYFUNCTION("""COMPUTED_VALUE"""),"ID 107")</f>
        <v>ID 107</v>
      </c>
      <c r="B54" s="4" t="str">
        <f>IFERROR(__xludf.DUMMYFUNCTION("FILTER(IMPORTRANGE(""https://docs.google.com/spreadsheets/d/1kGrh75X1cNR1D7_FcY9zMnHP8iPO4M5RCRjy6nZY0TY/edit#gid=1248694442"",""Table 5: Risk of bias!D4:D175""), $A54=IMPORTRANGE(""https://docs.google.com/spreadsheets/d/1kGrh75X1cNR1D7_FcY9zMnHP8iPO4M5RC"&amp;"Rjy6nZY0TY/edit#gid=1248694442"",""Table 5: Risk of bias!A4:A175""))"),"ROBINS I")</f>
        <v>ROBINS I</v>
      </c>
      <c r="C54" s="4" t="str">
        <f>IFERROR(__xludf.DUMMYFUNCTION("IFS(
$B54=""ROBINS I"", FILTER(IMPORTRANGE(""https://docs.google.com/spreadsheets/d/1kGrh75X1cNR1D7_FcY9zMnHP8iPO4M5RCRjy6nZY0TY/edit#gid=1248694442"",""Table 5: Risk of bias!J4:J175""),  $A54=IMPORTRANGE(""https://docs.google.com/spreadsheets/d/1kGrh75X1"&amp;"cNR1D7_FcY9zMnHP8iPO4M5RCRjy6nZY0TY/edit#gid=1248694442"",""Table 5: Risk of bias!A4:A175"")),
$B54=""RoB 2"", FILTER(IMPORTRANGE(""https://docs.google.com/spreadsheets/d/1kGrh75X1cNR1D7_FcY9zMnHP8iPO4M5RCRjy6nZY0TY/edit#gid=1248694442"",""Table 5: Risk o"&amp;"f bias!R4:R175""), $A54=IMPORTRANGE(""https://docs.google.com/spreadsheets/d/1kGrh75X1cNR1D7_FcY9zMnHP8iPO4M5RCRjy6nZY0TY/edit#gid=1248694442"",""Table 5: Risk of bias!A4:A175""))
)"),"Moderate")</f>
        <v>Moderate</v>
      </c>
      <c r="D54" s="4" t="str">
        <f>IFERROR(__xludf.DUMMYFUNCTION("IFS($B54=""ROBINS I"",FILTER(IMPORTRANGE(""https://docs.google.com/spreadsheets/d/1kGrh75X1cNR1D7_FcY9zMnHP8iPO4M5RCRjy6nZY0TY/edit#gid=1248694442"",""Table 5: Risk of bias!K4:K175""), $A54=IMPORTRANGE(""https://docs.google.com/spreadsheets/d/1kGrh75X1cNR"&amp;"1D7_FcY9zMnHP8iPO4M5RCRjy6nZY0TY/edit#gid=1248694442"",""Table 5: Risk of bias!A4:A175"")),$B54=""RoB 2"",FILTER(IMPORTRANGE(""https://docs.google.com/spreadsheets/d/1kGrh75X1cNR1D7_FcY9zMnHP8iPO4M5RCRjy6nZY0TY/edit#gid=1248694442"",""Table 5: Risk of bia"&amp;"s!S4:S175""), $A54=IMPORTRANGE(""https://docs.google.com/spreadsheets/d/1kGrh75X1cNR1D7_FcY9zMnHP8iPO4M5RCRjy6nZY0TY/edit#gid=1248694442"",""Table 5: Risk of bias!A4:A175"")))"),"Moderate")</f>
        <v>Moderate</v>
      </c>
      <c r="E54" s="4" t="str">
        <f>IFERROR(__xludf.DUMMYFUNCTION("IFS($B54=""ROBINS I"",FILTER(IMPORTRANGE(""https://docs.google.com/spreadsheets/d/1kGrh75X1cNR1D7_FcY9zMnHP8iPO4M5RCRjy6nZY0TY/edit#gid=1248694442"",""Table 5: Risk of bias!L4:L175""), $A54=IMPORTRANGE(""https://docs.google.com/spreadsheets/d/1kGrh75X1cNR"&amp;"1D7_FcY9zMnHP8iPO4M5RCRjy6nZY0TY/edit#gid=1248694442"",""Table 5: Risk of bias!A4:A175"")),$B54=""RoB 2"",FILTER(IMPORTRANGE(""https://docs.google.com/spreadsheets/d/1kGrh75X1cNR1D7_FcY9zMnHP8iPO4M5RCRjy6nZY0TY/edit#gid=1248694442"",""Table 5: Risk of bia"&amp;"s!T4:T175""), $A54=IMPORTRANGE(""https://docs.google.com/spreadsheets/d/1kGrh75X1cNR1D7_FcY9zMnHP8iPO4M5RCRjy6nZY0TY/edit#gid=1248694442"",""Table 5: Risk of bias!A4:A175"")))"),"Low")</f>
        <v>Low</v>
      </c>
      <c r="F54" s="4" t="str">
        <f>IFERROR(__xludf.DUMMYFUNCTION("IFS($B54=""ROBINS I"",FILTER(IMPORTRANGE(""https://docs.google.com/spreadsheets/d/1kGrh75X1cNR1D7_FcY9zMnHP8iPO4M5RCRjy6nZY0TY/edit#gid=1248694442"",""Table 5: Risk of bias!M4:M175""), $A54=IMPORTRANGE(""https://docs.google.com/spreadsheets/d/1kGrh75X1cNR"&amp;"1D7_FcY9zMnHP8iPO4M5RCRjy6nZY0TY/edit#gid=1248694442"",""Table 5: Risk of bias!A4:A175"")),$B54=""RoB 2"",FILTER(IMPORTRANGE(""https://docs.google.com/spreadsheets/d/1kGrh75X1cNR1D7_FcY9zMnHP8iPO4M5RCRjy6nZY0TY/edit#gid=1248694442"",""Table 5: Risk of bia"&amp;"s!U4:U175""), $A54=IMPORTRANGE(""https://docs.google.com/spreadsheets/d/1kGrh75X1cNR1D7_FcY9zMnHP8iPO4M5RCRjy6nZY0TY/edit#gid=1248694442"",""Table 5: Risk of bias!A4:A175"")))"),"Moderate")</f>
        <v>Moderate</v>
      </c>
      <c r="G54" s="4" t="str">
        <f>IFERROR(__xludf.DUMMYFUNCTION("IFS($B54=""ROBINS I"",FILTER(IMPORTRANGE(""https://docs.google.com/spreadsheets/d/1kGrh75X1cNR1D7_FcY9zMnHP8iPO4M5RCRjy6nZY0TY/edit#gid=1248694442"",""Table 5: Risk of bias!N4:N175""), $A54=IMPORTRANGE(""https://docs.google.com/spreadsheets/d/1kGrh75X1cNR"&amp;"1D7_FcY9zMnHP8iPO4M5RCRjy6nZY0TY/edit#gid=1248694442"",""Table 5: Risk of bias!A4:A175"")),$B54=""RoB 2"",FILTER(IMPORTRANGE(""https://docs.google.com/spreadsheets/d/1kGrh75X1cNR1D7_FcY9zMnHP8iPO4M5RCRjy6nZY0TY/edit#gid=1248694442"",""Table 5: Risk of bia"&amp;"s!V4:V175""), $A54=IMPORTRANGE(""https://docs.google.com/spreadsheets/d/1kGrh75X1cNR1D7_FcY9zMnHP8iPO4M5RCRjy6nZY0TY/edit#gid=1248694442"",""Table 5: Risk of bias!A4:A175"")))"),"Low")</f>
        <v>Low</v>
      </c>
      <c r="H54" s="4" t="str">
        <f>IFERROR(__xludf.DUMMYFUNCTION("IFS($B54=""ROBINS I"",FILTER(IMPORTRANGE(""https://docs.google.com/spreadsheets/d/1kGrh75X1cNR1D7_FcY9zMnHP8iPO4M5RCRjy6nZY0TY/edit#gid=1248694442"",""Table 5: Risk of bias!O4:O175""), $A54=IMPORTRANGE(""https://docs.google.com/spreadsheets/d/1kGrh75X1cNR"&amp;"1D7_FcY9zMnHP8iPO4M5RCRjy6nZY0TY/edit#gid=1248694442"",""Table 5: Risk of bias!A4:A175"")),$B54=""RoB 2"",FILTER(IMPORTRANGE(""https://docs.google.com/spreadsheets/d/1kGrh75X1cNR1D7_FcY9zMnHP8iPO4M5RCRjy6nZY0TY/edit#gid=1248694442"",""Table 5: Risk of bia"&amp;"s!W4:W175""), $A54=IMPORTRANGE(""https://docs.google.com/spreadsheets/d/1kGrh75X1cNR1D7_FcY9zMnHP8iPO4M5RCRjy6nZY0TY/edit#gid=1248694442"",""Table 5: Risk of bias!A4:A175"")))"),"Low")</f>
        <v>Low</v>
      </c>
      <c r="I54" s="4" t="str">
        <f>IFERROR(__xludf.DUMMYFUNCTION("FILTER(IMPORTRANGE(""https://docs.google.com/spreadsheets/d/1kGrh75X1cNR1D7_FcY9zMnHP8iPO4M5RCRjy6nZY0TY/edit#gid=1248694442"",""Table 5: Risk of bias!P4:P175""), $A54=IMPORTRANGE(""https://docs.google.com/spreadsheets/d/1kGrh75X1cNR1D7_FcY9zMnHP8iPO4M5RC"&amp;"Rjy6nZY0TY/edit#gid=1248694442"",""Table 5: Risk of bias!A4:A175""))"),"Low")</f>
        <v>Low</v>
      </c>
      <c r="J54" s="4" t="str">
        <f>IFERROR(__xludf.DUMMYFUNCTION("FILTER(IMPORTRANGE(""https://docs.google.com/spreadsheets/d/1kGrh75X1cNR1D7_FcY9zMnHP8iPO4M5RCRjy6nZY0TY/edit#gid=1248694442"",""Table 5: Risk of bias!Q4:Q175""), $A54=IMPORTRANGE(""https://docs.google.com/spreadsheets/d/1kGrh75X1cNR1D7_FcY9zMnHP8iPO4M5RC"&amp;"Rjy6nZY0TY/edit#gid=1248694442"",""Table 5: Risk of bias!A4:A175""))"),"Low")</f>
        <v>Low</v>
      </c>
    </row>
    <row r="55">
      <c r="A55" s="4" t="str">
        <f>IFERROR(__xludf.DUMMYFUNCTION("""COMPUTED_VALUE"""),"ID 111")</f>
        <v>ID 111</v>
      </c>
      <c r="B55" s="4" t="str">
        <f>IFERROR(__xludf.DUMMYFUNCTION("FILTER(IMPORTRANGE(""https://docs.google.com/spreadsheets/d/1kGrh75X1cNR1D7_FcY9zMnHP8iPO4M5RCRjy6nZY0TY/edit#gid=1248694442"",""Table 5: Risk of bias!D4:D175""), $A55=IMPORTRANGE(""https://docs.google.com/spreadsheets/d/1kGrh75X1cNR1D7_FcY9zMnHP8iPO4M5RC"&amp;"Rjy6nZY0TY/edit#gid=1248694442"",""Table 5: Risk of bias!A4:A175""))"),"ROBINS I")</f>
        <v>ROBINS I</v>
      </c>
      <c r="C55" s="4" t="str">
        <f>IFERROR(__xludf.DUMMYFUNCTION("IFS(
$B55=""ROBINS I"", FILTER(IMPORTRANGE(""https://docs.google.com/spreadsheets/d/1kGrh75X1cNR1D7_FcY9zMnHP8iPO4M5RCRjy6nZY0TY/edit#gid=1248694442"",""Table 5: Risk of bias!J4:J175""),  $A55=IMPORTRANGE(""https://docs.google.com/spreadsheets/d/1kGrh75X1"&amp;"cNR1D7_FcY9zMnHP8iPO4M5RCRjy6nZY0TY/edit#gid=1248694442"",""Table 5: Risk of bias!A4:A175"")),
$B55=""RoB 2"", FILTER(IMPORTRANGE(""https://docs.google.com/spreadsheets/d/1kGrh75X1cNR1D7_FcY9zMnHP8iPO4M5RCRjy6nZY0TY/edit#gid=1248694442"",""Table 5: Risk o"&amp;"f bias!R4:R175""), $A55=IMPORTRANGE(""https://docs.google.com/spreadsheets/d/1kGrh75X1cNR1D7_FcY9zMnHP8iPO4M5RCRjy6nZY0TY/edit#gid=1248694442"",""Table 5: Risk of bias!A4:A175""))
)"),"Critical")</f>
        <v>Critical</v>
      </c>
      <c r="D55" s="4" t="str">
        <f>IFERROR(__xludf.DUMMYFUNCTION("IFS($B55=""ROBINS I"",FILTER(IMPORTRANGE(""https://docs.google.com/spreadsheets/d/1kGrh75X1cNR1D7_FcY9zMnHP8iPO4M5RCRjy6nZY0TY/edit#gid=1248694442"",""Table 5: Risk of bias!K4:K175""), $A55=IMPORTRANGE(""https://docs.google.com/spreadsheets/d/1kGrh75X1cNR"&amp;"1D7_FcY9zMnHP8iPO4M5RCRjy6nZY0TY/edit#gid=1248694442"",""Table 5: Risk of bias!A4:A175"")),$B55=""RoB 2"",FILTER(IMPORTRANGE(""https://docs.google.com/spreadsheets/d/1kGrh75X1cNR1D7_FcY9zMnHP8iPO4M5RCRjy6nZY0TY/edit#gid=1248694442"",""Table 5: Risk of bia"&amp;"s!S4:S175""), $A55=IMPORTRANGE(""https://docs.google.com/spreadsheets/d/1kGrh75X1cNR1D7_FcY9zMnHP8iPO4M5RCRjy6nZY0TY/edit#gid=1248694442"",""Table 5: Risk of bias!A4:A175"")))"),"Critical")</f>
        <v>Critical</v>
      </c>
      <c r="E55" s="4" t="str">
        <f>IFERROR(__xludf.DUMMYFUNCTION("IFS($B55=""ROBINS I"",FILTER(IMPORTRANGE(""https://docs.google.com/spreadsheets/d/1kGrh75X1cNR1D7_FcY9zMnHP8iPO4M5RCRjy6nZY0TY/edit#gid=1248694442"",""Table 5: Risk of bias!L4:L175""), $A55=IMPORTRANGE(""https://docs.google.com/spreadsheets/d/1kGrh75X1cNR"&amp;"1D7_FcY9zMnHP8iPO4M5RCRjy6nZY0TY/edit#gid=1248694442"",""Table 5: Risk of bias!A4:A175"")),$B55=""RoB 2"",FILTER(IMPORTRANGE(""https://docs.google.com/spreadsheets/d/1kGrh75X1cNR1D7_FcY9zMnHP8iPO4M5RCRjy6nZY0TY/edit#gid=1248694442"",""Table 5: Risk of bia"&amp;"s!T4:T175""), $A55=IMPORTRANGE(""https://docs.google.com/spreadsheets/d/1kGrh75X1cNR1D7_FcY9zMnHP8iPO4M5RCRjy6nZY0TY/edit#gid=1248694442"",""Table 5: Risk of bias!A4:A175"")))"),"Low")</f>
        <v>Low</v>
      </c>
      <c r="F55" s="4" t="str">
        <f>IFERROR(__xludf.DUMMYFUNCTION("IFS($B55=""ROBINS I"",FILTER(IMPORTRANGE(""https://docs.google.com/spreadsheets/d/1kGrh75X1cNR1D7_FcY9zMnHP8iPO4M5RCRjy6nZY0TY/edit#gid=1248694442"",""Table 5: Risk of bias!M4:M175""), $A55=IMPORTRANGE(""https://docs.google.com/spreadsheets/d/1kGrh75X1cNR"&amp;"1D7_FcY9zMnHP8iPO4M5RCRjy6nZY0TY/edit#gid=1248694442"",""Table 5: Risk of bias!A4:A175"")),$B55=""RoB 2"",FILTER(IMPORTRANGE(""https://docs.google.com/spreadsheets/d/1kGrh75X1cNR1D7_FcY9zMnHP8iPO4M5RCRjy6nZY0TY/edit#gid=1248694442"",""Table 5: Risk of bia"&amp;"s!U4:U175""), $A55=IMPORTRANGE(""https://docs.google.com/spreadsheets/d/1kGrh75X1cNR1D7_FcY9zMnHP8iPO4M5RCRjy6nZY0TY/edit#gid=1248694442"",""Table 5: Risk of bias!A4:A175"")))"),"Moderate")</f>
        <v>Moderate</v>
      </c>
      <c r="G55" s="4" t="str">
        <f>IFERROR(__xludf.DUMMYFUNCTION("IFS($B55=""ROBINS I"",FILTER(IMPORTRANGE(""https://docs.google.com/spreadsheets/d/1kGrh75X1cNR1D7_FcY9zMnHP8iPO4M5RCRjy6nZY0TY/edit#gid=1248694442"",""Table 5: Risk of bias!N4:N175""), $A55=IMPORTRANGE(""https://docs.google.com/spreadsheets/d/1kGrh75X1cNR"&amp;"1D7_FcY9zMnHP8iPO4M5RCRjy6nZY0TY/edit#gid=1248694442"",""Table 5: Risk of bias!A4:A175"")),$B55=""RoB 2"",FILTER(IMPORTRANGE(""https://docs.google.com/spreadsheets/d/1kGrh75X1cNR1D7_FcY9zMnHP8iPO4M5RCRjy6nZY0TY/edit#gid=1248694442"",""Table 5: Risk of bia"&amp;"s!V4:V175""), $A55=IMPORTRANGE(""https://docs.google.com/spreadsheets/d/1kGrh75X1cNR1D7_FcY9zMnHP8iPO4M5RCRjy6nZY0TY/edit#gid=1248694442"",""Table 5: Risk of bias!A4:A175"")))"),"Low")</f>
        <v>Low</v>
      </c>
      <c r="H55" s="4" t="str">
        <f>IFERROR(__xludf.DUMMYFUNCTION("IFS($B55=""ROBINS I"",FILTER(IMPORTRANGE(""https://docs.google.com/spreadsheets/d/1kGrh75X1cNR1D7_FcY9zMnHP8iPO4M5RCRjy6nZY0TY/edit#gid=1248694442"",""Table 5: Risk of bias!O4:O175""), $A55=IMPORTRANGE(""https://docs.google.com/spreadsheets/d/1kGrh75X1cNR"&amp;"1D7_FcY9zMnHP8iPO4M5RCRjy6nZY0TY/edit#gid=1248694442"",""Table 5: Risk of bias!A4:A175"")),$B55=""RoB 2"",FILTER(IMPORTRANGE(""https://docs.google.com/spreadsheets/d/1kGrh75X1cNR1D7_FcY9zMnHP8iPO4M5RCRjy6nZY0TY/edit#gid=1248694442"",""Table 5: Risk of bia"&amp;"s!W4:W175""), $A55=IMPORTRANGE(""https://docs.google.com/spreadsheets/d/1kGrh75X1cNR1D7_FcY9zMnHP8iPO4M5RCRjy6nZY0TY/edit#gid=1248694442"",""Table 5: Risk of bias!A4:A175"")))"),"Low")</f>
        <v>Low</v>
      </c>
      <c r="I55" s="4" t="str">
        <f>IFERROR(__xludf.DUMMYFUNCTION("FILTER(IMPORTRANGE(""https://docs.google.com/spreadsheets/d/1kGrh75X1cNR1D7_FcY9zMnHP8iPO4M5RCRjy6nZY0TY/edit#gid=1248694442"",""Table 5: Risk of bias!P4:P175""), $A55=IMPORTRANGE(""https://docs.google.com/spreadsheets/d/1kGrh75X1cNR1D7_FcY9zMnHP8iPO4M5RC"&amp;"Rjy6nZY0TY/edit#gid=1248694442"",""Table 5: Risk of bias!A4:A175""))"),"Serious")</f>
        <v>Serious</v>
      </c>
      <c r="J55" s="4" t="str">
        <f>IFERROR(__xludf.DUMMYFUNCTION("FILTER(IMPORTRANGE(""https://docs.google.com/spreadsheets/d/1kGrh75X1cNR1D7_FcY9zMnHP8iPO4M5RCRjy6nZY0TY/edit#gid=1248694442"",""Table 5: Risk of bias!Q4:Q175""), $A55=IMPORTRANGE(""https://docs.google.com/spreadsheets/d/1kGrh75X1cNR1D7_FcY9zMnHP8iPO4M5RC"&amp;"Rjy6nZY0TY/edit#gid=1248694442"",""Table 5: Risk of bias!A4:A175""))"),"Moderate")</f>
        <v>Moderate</v>
      </c>
    </row>
    <row r="56">
      <c r="A56" s="4" t="str">
        <f>IFERROR(__xludf.DUMMYFUNCTION("""COMPUTED_VALUE"""),"ID 112")</f>
        <v>ID 112</v>
      </c>
      <c r="B56" s="4" t="str">
        <f>IFERROR(__xludf.DUMMYFUNCTION("FILTER(IMPORTRANGE(""https://docs.google.com/spreadsheets/d/1kGrh75X1cNR1D7_FcY9zMnHP8iPO4M5RCRjy6nZY0TY/edit#gid=1248694442"",""Table 5: Risk of bias!D4:D175""), $A56=IMPORTRANGE(""https://docs.google.com/spreadsheets/d/1kGrh75X1cNR1D7_FcY9zMnHP8iPO4M5RC"&amp;"Rjy6nZY0TY/edit#gid=1248694442"",""Table 5: Risk of bias!A4:A175""))"),"ROBINS I")</f>
        <v>ROBINS I</v>
      </c>
      <c r="C56" s="4" t="str">
        <f>IFERROR(__xludf.DUMMYFUNCTION("IFS(
$B56=""ROBINS I"", FILTER(IMPORTRANGE(""https://docs.google.com/spreadsheets/d/1kGrh75X1cNR1D7_FcY9zMnHP8iPO4M5RCRjy6nZY0TY/edit#gid=1248694442"",""Table 5: Risk of bias!J4:J175""),  $A56=IMPORTRANGE(""https://docs.google.com/spreadsheets/d/1kGrh75X1"&amp;"cNR1D7_FcY9zMnHP8iPO4M5RCRjy6nZY0TY/edit#gid=1248694442"",""Table 5: Risk of bias!A4:A175"")),
$B56=""RoB 2"", FILTER(IMPORTRANGE(""https://docs.google.com/spreadsheets/d/1kGrh75X1cNR1D7_FcY9zMnHP8iPO4M5RCRjy6nZY0TY/edit#gid=1248694442"",""Table 5: Risk o"&amp;"f bias!R4:R175""), $A56=IMPORTRANGE(""https://docs.google.com/spreadsheets/d/1kGrh75X1cNR1D7_FcY9zMnHP8iPO4M5RCRjy6nZY0TY/edit#gid=1248694442"",""Table 5: Risk of bias!A4:A175""))
)"),"Moderate")</f>
        <v>Moderate</v>
      </c>
      <c r="D56" s="4" t="str">
        <f>IFERROR(__xludf.DUMMYFUNCTION("IFS($B56=""ROBINS I"",FILTER(IMPORTRANGE(""https://docs.google.com/spreadsheets/d/1kGrh75X1cNR1D7_FcY9zMnHP8iPO4M5RCRjy6nZY0TY/edit#gid=1248694442"",""Table 5: Risk of bias!K4:K175""), $A56=IMPORTRANGE(""https://docs.google.com/spreadsheets/d/1kGrh75X1cNR"&amp;"1D7_FcY9zMnHP8iPO4M5RCRjy6nZY0TY/edit#gid=1248694442"",""Table 5: Risk of bias!A4:A175"")),$B56=""RoB 2"",FILTER(IMPORTRANGE(""https://docs.google.com/spreadsheets/d/1kGrh75X1cNR1D7_FcY9zMnHP8iPO4M5RCRjy6nZY0TY/edit#gid=1248694442"",""Table 5: Risk of bia"&amp;"s!S4:S175""), $A56=IMPORTRANGE(""https://docs.google.com/spreadsheets/d/1kGrh75X1cNR1D7_FcY9zMnHP8iPO4M5RCRjy6nZY0TY/edit#gid=1248694442"",""Table 5: Risk of bias!A4:A175"")))"),"Low")</f>
        <v>Low</v>
      </c>
      <c r="E56" s="4" t="str">
        <f>IFERROR(__xludf.DUMMYFUNCTION("IFS($B56=""ROBINS I"",FILTER(IMPORTRANGE(""https://docs.google.com/spreadsheets/d/1kGrh75X1cNR1D7_FcY9zMnHP8iPO4M5RCRjy6nZY0TY/edit#gid=1248694442"",""Table 5: Risk of bias!L4:L175""), $A56=IMPORTRANGE(""https://docs.google.com/spreadsheets/d/1kGrh75X1cNR"&amp;"1D7_FcY9zMnHP8iPO4M5RCRjy6nZY0TY/edit#gid=1248694442"",""Table 5: Risk of bias!A4:A175"")),$B56=""RoB 2"",FILTER(IMPORTRANGE(""https://docs.google.com/spreadsheets/d/1kGrh75X1cNR1D7_FcY9zMnHP8iPO4M5RCRjy6nZY0TY/edit#gid=1248694442"",""Table 5: Risk of bia"&amp;"s!T4:T175""), $A56=IMPORTRANGE(""https://docs.google.com/spreadsheets/d/1kGrh75X1cNR1D7_FcY9zMnHP8iPO4M5RCRjy6nZY0TY/edit#gid=1248694442"",""Table 5: Risk of bias!A4:A175"")))"),"Low")</f>
        <v>Low</v>
      </c>
      <c r="F56" s="4" t="str">
        <f>IFERROR(__xludf.DUMMYFUNCTION("IFS($B56=""ROBINS I"",FILTER(IMPORTRANGE(""https://docs.google.com/spreadsheets/d/1kGrh75X1cNR1D7_FcY9zMnHP8iPO4M5RCRjy6nZY0TY/edit#gid=1248694442"",""Table 5: Risk of bias!M4:M175""), $A56=IMPORTRANGE(""https://docs.google.com/spreadsheets/d/1kGrh75X1cNR"&amp;"1D7_FcY9zMnHP8iPO4M5RCRjy6nZY0TY/edit#gid=1248694442"",""Table 5: Risk of bias!A4:A175"")),$B56=""RoB 2"",FILTER(IMPORTRANGE(""https://docs.google.com/spreadsheets/d/1kGrh75X1cNR1D7_FcY9zMnHP8iPO4M5RCRjy6nZY0TY/edit#gid=1248694442"",""Table 5: Risk of bia"&amp;"s!U4:U175""), $A56=IMPORTRANGE(""https://docs.google.com/spreadsheets/d/1kGrh75X1cNR1D7_FcY9zMnHP8iPO4M5RCRjy6nZY0TY/edit#gid=1248694442"",""Table 5: Risk of bias!A4:A175"")))"),"Low")</f>
        <v>Low</v>
      </c>
      <c r="G56" s="4" t="str">
        <f>IFERROR(__xludf.DUMMYFUNCTION("IFS($B56=""ROBINS I"",FILTER(IMPORTRANGE(""https://docs.google.com/spreadsheets/d/1kGrh75X1cNR1D7_FcY9zMnHP8iPO4M5RCRjy6nZY0TY/edit#gid=1248694442"",""Table 5: Risk of bias!N4:N175""), $A56=IMPORTRANGE(""https://docs.google.com/spreadsheets/d/1kGrh75X1cNR"&amp;"1D7_FcY9zMnHP8iPO4M5RCRjy6nZY0TY/edit#gid=1248694442"",""Table 5: Risk of bias!A4:A175"")),$B56=""RoB 2"",FILTER(IMPORTRANGE(""https://docs.google.com/spreadsheets/d/1kGrh75X1cNR1D7_FcY9zMnHP8iPO4M5RCRjy6nZY0TY/edit#gid=1248694442"",""Table 5: Risk of bia"&amp;"s!V4:V175""), $A56=IMPORTRANGE(""https://docs.google.com/spreadsheets/d/1kGrh75X1cNR1D7_FcY9zMnHP8iPO4M5RCRjy6nZY0TY/edit#gid=1248694442"",""Table 5: Risk of bias!A4:A175"")))"),"Low")</f>
        <v>Low</v>
      </c>
      <c r="H56" s="4" t="str">
        <f>IFERROR(__xludf.DUMMYFUNCTION("IFS($B56=""ROBINS I"",FILTER(IMPORTRANGE(""https://docs.google.com/spreadsheets/d/1kGrh75X1cNR1D7_FcY9zMnHP8iPO4M5RCRjy6nZY0TY/edit#gid=1248694442"",""Table 5: Risk of bias!O4:O175""), $A56=IMPORTRANGE(""https://docs.google.com/spreadsheets/d/1kGrh75X1cNR"&amp;"1D7_FcY9zMnHP8iPO4M5RCRjy6nZY0TY/edit#gid=1248694442"",""Table 5: Risk of bias!A4:A175"")),$B56=""RoB 2"",FILTER(IMPORTRANGE(""https://docs.google.com/spreadsheets/d/1kGrh75X1cNR1D7_FcY9zMnHP8iPO4M5RCRjy6nZY0TY/edit#gid=1248694442"",""Table 5: Risk of bia"&amp;"s!W4:W175""), $A56=IMPORTRANGE(""https://docs.google.com/spreadsheets/d/1kGrh75X1cNR1D7_FcY9zMnHP8iPO4M5RCRjy6nZY0TY/edit#gid=1248694442"",""Table 5: Risk of bias!A4:A175"")))"),"Low")</f>
        <v>Low</v>
      </c>
      <c r="I56" s="4" t="str">
        <f>IFERROR(__xludf.DUMMYFUNCTION("FILTER(IMPORTRANGE(""https://docs.google.com/spreadsheets/d/1kGrh75X1cNR1D7_FcY9zMnHP8iPO4M5RCRjy6nZY0TY/edit#gid=1248694442"",""Table 5: Risk of bias!P4:P175""), $A56=IMPORTRANGE(""https://docs.google.com/spreadsheets/d/1kGrh75X1cNR1D7_FcY9zMnHP8iPO4M5RC"&amp;"Rjy6nZY0TY/edit#gid=1248694442"",""Table 5: Risk of bias!A4:A175""))"),"Moderate")</f>
        <v>Moderate</v>
      </c>
      <c r="J56" s="4" t="str">
        <f>IFERROR(__xludf.DUMMYFUNCTION("FILTER(IMPORTRANGE(""https://docs.google.com/spreadsheets/d/1kGrh75X1cNR1D7_FcY9zMnHP8iPO4M5RCRjy6nZY0TY/edit#gid=1248694442"",""Table 5: Risk of bias!Q4:Q175""), $A56=IMPORTRANGE(""https://docs.google.com/spreadsheets/d/1kGrh75X1cNR1D7_FcY9zMnHP8iPO4M5RC"&amp;"Rjy6nZY0TY/edit#gid=1248694442"",""Table 5: Risk of bias!A4:A175""))"),"Low")</f>
        <v>Low</v>
      </c>
    </row>
    <row r="57">
      <c r="A57" s="4" t="str">
        <f>IFERROR(__xludf.DUMMYFUNCTION("""COMPUTED_VALUE"""),"ID 117")</f>
        <v>ID 117</v>
      </c>
      <c r="B57" s="4" t="str">
        <f>IFERROR(__xludf.DUMMYFUNCTION("FILTER(IMPORTRANGE(""https://docs.google.com/spreadsheets/d/1kGrh75X1cNR1D7_FcY9zMnHP8iPO4M5RCRjy6nZY0TY/edit#gid=1248694442"",""Table 5: Risk of bias!D4:D175""), $A57=IMPORTRANGE(""https://docs.google.com/spreadsheets/d/1kGrh75X1cNR1D7_FcY9zMnHP8iPO4M5RC"&amp;"Rjy6nZY0TY/edit#gid=1248694442"",""Table 5: Risk of bias!A4:A175""))"),"ROBINS I")</f>
        <v>ROBINS I</v>
      </c>
      <c r="C57" s="4" t="str">
        <f>IFERROR(__xludf.DUMMYFUNCTION("IFS(
$B57=""ROBINS I"", FILTER(IMPORTRANGE(""https://docs.google.com/spreadsheets/d/1kGrh75X1cNR1D7_FcY9zMnHP8iPO4M5RCRjy6nZY0TY/edit#gid=1248694442"",""Table 5: Risk of bias!J4:J175""),  $A57=IMPORTRANGE(""https://docs.google.com/spreadsheets/d/1kGrh75X1"&amp;"cNR1D7_FcY9zMnHP8iPO4M5RCRjy6nZY0TY/edit#gid=1248694442"",""Table 5: Risk of bias!A4:A175"")),
$B57=""RoB 2"", FILTER(IMPORTRANGE(""https://docs.google.com/spreadsheets/d/1kGrh75X1cNR1D7_FcY9zMnHP8iPO4M5RCRjy6nZY0TY/edit#gid=1248694442"",""Table 5: Risk o"&amp;"f bias!R4:R175""), $A57=IMPORTRANGE(""https://docs.google.com/spreadsheets/d/1kGrh75X1cNR1D7_FcY9zMnHP8iPO4M5RCRjy6nZY0TY/edit#gid=1248694442"",""Table 5: Risk of bias!A4:A175""))
)"),"Moderate")</f>
        <v>Moderate</v>
      </c>
      <c r="D57" s="4" t="str">
        <f>IFERROR(__xludf.DUMMYFUNCTION("IFS($B57=""ROBINS I"",FILTER(IMPORTRANGE(""https://docs.google.com/spreadsheets/d/1kGrh75X1cNR1D7_FcY9zMnHP8iPO4M5RCRjy6nZY0TY/edit#gid=1248694442"",""Table 5: Risk of bias!K4:K175""), $A57=IMPORTRANGE(""https://docs.google.com/spreadsheets/d/1kGrh75X1cNR"&amp;"1D7_FcY9zMnHP8iPO4M5RCRjy6nZY0TY/edit#gid=1248694442"",""Table 5: Risk of bias!A4:A175"")),$B57=""RoB 2"",FILTER(IMPORTRANGE(""https://docs.google.com/spreadsheets/d/1kGrh75X1cNR1D7_FcY9zMnHP8iPO4M5RCRjy6nZY0TY/edit#gid=1248694442"",""Table 5: Risk of bia"&amp;"s!S4:S175""), $A57=IMPORTRANGE(""https://docs.google.com/spreadsheets/d/1kGrh75X1cNR1D7_FcY9zMnHP8iPO4M5RCRjy6nZY0TY/edit#gid=1248694442"",""Table 5: Risk of bias!A4:A175"")))"),"Moderate")</f>
        <v>Moderate</v>
      </c>
      <c r="E57" s="4" t="str">
        <f>IFERROR(__xludf.DUMMYFUNCTION("IFS($B57=""ROBINS I"",FILTER(IMPORTRANGE(""https://docs.google.com/spreadsheets/d/1kGrh75X1cNR1D7_FcY9zMnHP8iPO4M5RCRjy6nZY0TY/edit#gid=1248694442"",""Table 5: Risk of bias!L4:L175""), $A57=IMPORTRANGE(""https://docs.google.com/spreadsheets/d/1kGrh75X1cNR"&amp;"1D7_FcY9zMnHP8iPO4M5RCRjy6nZY0TY/edit#gid=1248694442"",""Table 5: Risk of bias!A4:A175"")),$B57=""RoB 2"",FILTER(IMPORTRANGE(""https://docs.google.com/spreadsheets/d/1kGrh75X1cNR1D7_FcY9zMnHP8iPO4M5RCRjy6nZY0TY/edit#gid=1248694442"",""Table 5: Risk of bia"&amp;"s!T4:T175""), $A57=IMPORTRANGE(""https://docs.google.com/spreadsheets/d/1kGrh75X1cNR1D7_FcY9zMnHP8iPO4M5RCRjy6nZY0TY/edit#gid=1248694442"",""Table 5: Risk of bias!A4:A175"")))"),"Low")</f>
        <v>Low</v>
      </c>
      <c r="F57" s="4" t="str">
        <f>IFERROR(__xludf.DUMMYFUNCTION("IFS($B57=""ROBINS I"",FILTER(IMPORTRANGE(""https://docs.google.com/spreadsheets/d/1kGrh75X1cNR1D7_FcY9zMnHP8iPO4M5RCRjy6nZY0TY/edit#gid=1248694442"",""Table 5: Risk of bias!M4:M175""), $A57=IMPORTRANGE(""https://docs.google.com/spreadsheets/d/1kGrh75X1cNR"&amp;"1D7_FcY9zMnHP8iPO4M5RCRjy6nZY0TY/edit#gid=1248694442"",""Table 5: Risk of bias!A4:A175"")),$B57=""RoB 2"",FILTER(IMPORTRANGE(""https://docs.google.com/spreadsheets/d/1kGrh75X1cNR1D7_FcY9zMnHP8iPO4M5RCRjy6nZY0TY/edit#gid=1248694442"",""Table 5: Risk of bia"&amp;"s!U4:U175""), $A57=IMPORTRANGE(""https://docs.google.com/spreadsheets/d/1kGrh75X1cNR1D7_FcY9zMnHP8iPO4M5RCRjy6nZY0TY/edit#gid=1248694442"",""Table 5: Risk of bias!A4:A175"")))"),"Low")</f>
        <v>Low</v>
      </c>
      <c r="G57" s="4" t="str">
        <f>IFERROR(__xludf.DUMMYFUNCTION("IFS($B57=""ROBINS I"",FILTER(IMPORTRANGE(""https://docs.google.com/spreadsheets/d/1kGrh75X1cNR1D7_FcY9zMnHP8iPO4M5RCRjy6nZY0TY/edit#gid=1248694442"",""Table 5: Risk of bias!N4:N175""), $A57=IMPORTRANGE(""https://docs.google.com/spreadsheets/d/1kGrh75X1cNR"&amp;"1D7_FcY9zMnHP8iPO4M5RCRjy6nZY0TY/edit#gid=1248694442"",""Table 5: Risk of bias!A4:A175"")),$B57=""RoB 2"",FILTER(IMPORTRANGE(""https://docs.google.com/spreadsheets/d/1kGrh75X1cNR1D7_FcY9zMnHP8iPO4M5RCRjy6nZY0TY/edit#gid=1248694442"",""Table 5: Risk of bia"&amp;"s!V4:V175""), $A57=IMPORTRANGE(""https://docs.google.com/spreadsheets/d/1kGrh75X1cNR1D7_FcY9zMnHP8iPO4M5RCRjy6nZY0TY/edit#gid=1248694442"",""Table 5: Risk of bias!A4:A175"")))"),"Low")</f>
        <v>Low</v>
      </c>
      <c r="H57" s="4" t="str">
        <f>IFERROR(__xludf.DUMMYFUNCTION("IFS($B57=""ROBINS I"",FILTER(IMPORTRANGE(""https://docs.google.com/spreadsheets/d/1kGrh75X1cNR1D7_FcY9zMnHP8iPO4M5RCRjy6nZY0TY/edit#gid=1248694442"",""Table 5: Risk of bias!O4:O175""), $A57=IMPORTRANGE(""https://docs.google.com/spreadsheets/d/1kGrh75X1cNR"&amp;"1D7_FcY9zMnHP8iPO4M5RCRjy6nZY0TY/edit#gid=1248694442"",""Table 5: Risk of bias!A4:A175"")),$B57=""RoB 2"",FILTER(IMPORTRANGE(""https://docs.google.com/spreadsheets/d/1kGrh75X1cNR1D7_FcY9zMnHP8iPO4M5RCRjy6nZY0TY/edit#gid=1248694442"",""Table 5: Risk of bia"&amp;"s!W4:W175""), $A57=IMPORTRANGE(""https://docs.google.com/spreadsheets/d/1kGrh75X1cNR1D7_FcY9zMnHP8iPO4M5RCRjy6nZY0TY/edit#gid=1248694442"",""Table 5: Risk of bias!A4:A175"")))"),"Low")</f>
        <v>Low</v>
      </c>
      <c r="I57" s="4" t="str">
        <f>IFERROR(__xludf.DUMMYFUNCTION("FILTER(IMPORTRANGE(""https://docs.google.com/spreadsheets/d/1kGrh75X1cNR1D7_FcY9zMnHP8iPO4M5RCRjy6nZY0TY/edit#gid=1248694442"",""Table 5: Risk of bias!P4:P175""), $A57=IMPORTRANGE(""https://docs.google.com/spreadsheets/d/1kGrh75X1cNR1D7_FcY9zMnHP8iPO4M5RC"&amp;"Rjy6nZY0TY/edit#gid=1248694442"",""Table 5: Risk of bias!A4:A175""))"),"Low")</f>
        <v>Low</v>
      </c>
      <c r="J57" s="4" t="str">
        <f>IFERROR(__xludf.DUMMYFUNCTION("FILTER(IMPORTRANGE(""https://docs.google.com/spreadsheets/d/1kGrh75X1cNR1D7_FcY9zMnHP8iPO4M5RCRjy6nZY0TY/edit#gid=1248694442"",""Table 5: Risk of bias!Q4:Q175""), $A57=IMPORTRANGE(""https://docs.google.com/spreadsheets/d/1kGrh75X1cNR1D7_FcY9zMnHP8iPO4M5RC"&amp;"Rjy6nZY0TY/edit#gid=1248694442"",""Table 5: Risk of bias!A4:A175""))"),"Low")</f>
        <v>Low</v>
      </c>
    </row>
    <row r="58">
      <c r="A58" s="4" t="str">
        <f>IFERROR(__xludf.DUMMYFUNCTION("""COMPUTED_VALUE"""),"ID 120")</f>
        <v>ID 120</v>
      </c>
      <c r="B58" s="4" t="str">
        <f>IFERROR(__xludf.DUMMYFUNCTION("FILTER(IMPORTRANGE(""https://docs.google.com/spreadsheets/d/1kGrh75X1cNR1D7_FcY9zMnHP8iPO4M5RCRjy6nZY0TY/edit#gid=1248694442"",""Table 5: Risk of bias!D4:D175""), $A58=IMPORTRANGE(""https://docs.google.com/spreadsheets/d/1kGrh75X1cNR1D7_FcY9zMnHP8iPO4M5RC"&amp;"Rjy6nZY0TY/edit#gid=1248694442"",""Table 5: Risk of bias!A4:A175""))"),"ROBINS I")</f>
        <v>ROBINS I</v>
      </c>
      <c r="C58" s="4" t="str">
        <f>IFERROR(__xludf.DUMMYFUNCTION("IFS(
$B58=""ROBINS I"", FILTER(IMPORTRANGE(""https://docs.google.com/spreadsheets/d/1kGrh75X1cNR1D7_FcY9zMnHP8iPO4M5RCRjy6nZY0TY/edit#gid=1248694442"",""Table 5: Risk of bias!J4:J175""),  $A58=IMPORTRANGE(""https://docs.google.com/spreadsheets/d/1kGrh75X1"&amp;"cNR1D7_FcY9zMnHP8iPO4M5RCRjy6nZY0TY/edit#gid=1248694442"",""Table 5: Risk of bias!A4:A175"")),
$B58=""RoB 2"", FILTER(IMPORTRANGE(""https://docs.google.com/spreadsheets/d/1kGrh75X1cNR1D7_FcY9zMnHP8iPO4M5RCRjy6nZY0TY/edit#gid=1248694442"",""Table 5: Risk o"&amp;"f bias!R4:R175""), $A58=IMPORTRANGE(""https://docs.google.com/spreadsheets/d/1kGrh75X1cNR1D7_FcY9zMnHP8iPO4M5RCRjy6nZY0TY/edit#gid=1248694442"",""Table 5: Risk of bias!A4:A175""))
)"),"Moderate")</f>
        <v>Moderate</v>
      </c>
      <c r="D58" s="4" t="str">
        <f>IFERROR(__xludf.DUMMYFUNCTION("IFS($B58=""ROBINS I"",FILTER(IMPORTRANGE(""https://docs.google.com/spreadsheets/d/1kGrh75X1cNR1D7_FcY9zMnHP8iPO4M5RCRjy6nZY0TY/edit#gid=1248694442"",""Table 5: Risk of bias!K4:K175""), $A58=IMPORTRANGE(""https://docs.google.com/spreadsheets/d/1kGrh75X1cNR"&amp;"1D7_FcY9zMnHP8iPO4M5RCRjy6nZY0TY/edit#gid=1248694442"",""Table 5: Risk of bias!A4:A175"")),$B58=""RoB 2"",FILTER(IMPORTRANGE(""https://docs.google.com/spreadsheets/d/1kGrh75X1cNR1D7_FcY9zMnHP8iPO4M5RCRjy6nZY0TY/edit#gid=1248694442"",""Table 5: Risk of bia"&amp;"s!S4:S175""), $A58=IMPORTRANGE(""https://docs.google.com/spreadsheets/d/1kGrh75X1cNR1D7_FcY9zMnHP8iPO4M5RCRjy6nZY0TY/edit#gid=1248694442"",""Table 5: Risk of bias!A4:A175"")))"),"Low")</f>
        <v>Low</v>
      </c>
      <c r="E58" s="4" t="str">
        <f>IFERROR(__xludf.DUMMYFUNCTION("IFS($B58=""ROBINS I"",FILTER(IMPORTRANGE(""https://docs.google.com/spreadsheets/d/1kGrh75X1cNR1D7_FcY9zMnHP8iPO4M5RCRjy6nZY0TY/edit#gid=1248694442"",""Table 5: Risk of bias!L4:L175""), $A58=IMPORTRANGE(""https://docs.google.com/spreadsheets/d/1kGrh75X1cNR"&amp;"1D7_FcY9zMnHP8iPO4M5RCRjy6nZY0TY/edit#gid=1248694442"",""Table 5: Risk of bias!A4:A175"")),$B58=""RoB 2"",FILTER(IMPORTRANGE(""https://docs.google.com/spreadsheets/d/1kGrh75X1cNR1D7_FcY9zMnHP8iPO4M5RCRjy6nZY0TY/edit#gid=1248694442"",""Table 5: Risk of bia"&amp;"s!T4:T175""), $A58=IMPORTRANGE(""https://docs.google.com/spreadsheets/d/1kGrh75X1cNR1D7_FcY9zMnHP8iPO4M5RCRjy6nZY0TY/edit#gid=1248694442"",""Table 5: Risk of bias!A4:A175"")))"),"Low")</f>
        <v>Low</v>
      </c>
      <c r="F58" s="4" t="str">
        <f>IFERROR(__xludf.DUMMYFUNCTION("IFS($B58=""ROBINS I"",FILTER(IMPORTRANGE(""https://docs.google.com/spreadsheets/d/1kGrh75X1cNR1D7_FcY9zMnHP8iPO4M5RCRjy6nZY0TY/edit#gid=1248694442"",""Table 5: Risk of bias!M4:M175""), $A58=IMPORTRANGE(""https://docs.google.com/spreadsheets/d/1kGrh75X1cNR"&amp;"1D7_FcY9zMnHP8iPO4M5RCRjy6nZY0TY/edit#gid=1248694442"",""Table 5: Risk of bias!A4:A175"")),$B58=""RoB 2"",FILTER(IMPORTRANGE(""https://docs.google.com/spreadsheets/d/1kGrh75X1cNR1D7_FcY9zMnHP8iPO4M5RCRjy6nZY0TY/edit#gid=1248694442"",""Table 5: Risk of bia"&amp;"s!U4:U175""), $A58=IMPORTRANGE(""https://docs.google.com/spreadsheets/d/1kGrh75X1cNR1D7_FcY9zMnHP8iPO4M5RCRjy6nZY0TY/edit#gid=1248694442"",""Table 5: Risk of bias!A4:A175"")))"),"Moderate")</f>
        <v>Moderate</v>
      </c>
      <c r="G58" s="4" t="str">
        <f>IFERROR(__xludf.DUMMYFUNCTION("IFS($B58=""ROBINS I"",FILTER(IMPORTRANGE(""https://docs.google.com/spreadsheets/d/1kGrh75X1cNR1D7_FcY9zMnHP8iPO4M5RCRjy6nZY0TY/edit#gid=1248694442"",""Table 5: Risk of bias!N4:N175""), $A58=IMPORTRANGE(""https://docs.google.com/spreadsheets/d/1kGrh75X1cNR"&amp;"1D7_FcY9zMnHP8iPO4M5RCRjy6nZY0TY/edit#gid=1248694442"",""Table 5: Risk of bias!A4:A175"")),$B58=""RoB 2"",FILTER(IMPORTRANGE(""https://docs.google.com/spreadsheets/d/1kGrh75X1cNR1D7_FcY9zMnHP8iPO4M5RCRjy6nZY0TY/edit#gid=1248694442"",""Table 5: Risk of bia"&amp;"s!V4:V175""), $A58=IMPORTRANGE(""https://docs.google.com/spreadsheets/d/1kGrh75X1cNR1D7_FcY9zMnHP8iPO4M5RCRjy6nZY0TY/edit#gid=1248694442"",""Table 5: Risk of bias!A4:A175"")))"),"Low")</f>
        <v>Low</v>
      </c>
      <c r="H58" s="4" t="str">
        <f>IFERROR(__xludf.DUMMYFUNCTION("IFS($B58=""ROBINS I"",FILTER(IMPORTRANGE(""https://docs.google.com/spreadsheets/d/1kGrh75X1cNR1D7_FcY9zMnHP8iPO4M5RCRjy6nZY0TY/edit#gid=1248694442"",""Table 5: Risk of bias!O4:O175""), $A58=IMPORTRANGE(""https://docs.google.com/spreadsheets/d/1kGrh75X1cNR"&amp;"1D7_FcY9zMnHP8iPO4M5RCRjy6nZY0TY/edit#gid=1248694442"",""Table 5: Risk of bias!A4:A175"")),$B58=""RoB 2"",FILTER(IMPORTRANGE(""https://docs.google.com/spreadsheets/d/1kGrh75X1cNR1D7_FcY9zMnHP8iPO4M5RCRjy6nZY0TY/edit#gid=1248694442"",""Table 5: Risk of bia"&amp;"s!W4:W175""), $A58=IMPORTRANGE(""https://docs.google.com/spreadsheets/d/1kGrh75X1cNR1D7_FcY9zMnHP8iPO4M5RCRjy6nZY0TY/edit#gid=1248694442"",""Table 5: Risk of bias!A4:A175"")))"),"Low")</f>
        <v>Low</v>
      </c>
      <c r="I58" s="4" t="str">
        <f>IFERROR(__xludf.DUMMYFUNCTION("FILTER(IMPORTRANGE(""https://docs.google.com/spreadsheets/d/1kGrh75X1cNR1D7_FcY9zMnHP8iPO4M5RCRjy6nZY0TY/edit#gid=1248694442"",""Table 5: Risk of bias!P4:P175""), $A58=IMPORTRANGE(""https://docs.google.com/spreadsheets/d/1kGrh75X1cNR1D7_FcY9zMnHP8iPO4M5RC"&amp;"Rjy6nZY0TY/edit#gid=1248694442"",""Table 5: Risk of bias!A4:A175""))"),"Moderate")</f>
        <v>Moderate</v>
      </c>
      <c r="J58" s="4" t="str">
        <f>IFERROR(__xludf.DUMMYFUNCTION("FILTER(IMPORTRANGE(""https://docs.google.com/spreadsheets/d/1kGrh75X1cNR1D7_FcY9zMnHP8iPO4M5RCRjy6nZY0TY/edit#gid=1248694442"",""Table 5: Risk of bias!Q4:Q175""), $A58=IMPORTRANGE(""https://docs.google.com/spreadsheets/d/1kGrh75X1cNR1D7_FcY9zMnHP8iPO4M5RC"&amp;"Rjy6nZY0TY/edit#gid=1248694442"",""Table 5: Risk of bias!A4:A175""))"),"Low")</f>
        <v>Low</v>
      </c>
    </row>
    <row r="59">
      <c r="A59" s="4" t="str">
        <f>IFERROR(__xludf.DUMMYFUNCTION("""COMPUTED_VALUE"""),"ID 123")</f>
        <v>ID 123</v>
      </c>
      <c r="B59" s="4" t="str">
        <f>IFERROR(__xludf.DUMMYFUNCTION("FILTER(IMPORTRANGE(""https://docs.google.com/spreadsheets/d/1kGrh75X1cNR1D7_FcY9zMnHP8iPO4M5RCRjy6nZY0TY/edit#gid=1248694442"",""Table 5: Risk of bias!D4:D175""), $A59=IMPORTRANGE(""https://docs.google.com/spreadsheets/d/1kGrh75X1cNR1D7_FcY9zMnHP8iPO4M5RC"&amp;"Rjy6nZY0TY/edit#gid=1248694442"",""Table 5: Risk of bias!A4:A175""))"),"ROBINS I")</f>
        <v>ROBINS I</v>
      </c>
      <c r="C59" s="4" t="str">
        <f>IFERROR(__xludf.DUMMYFUNCTION("IFS(
$B59=""ROBINS I"", FILTER(IMPORTRANGE(""https://docs.google.com/spreadsheets/d/1kGrh75X1cNR1D7_FcY9zMnHP8iPO4M5RCRjy6nZY0TY/edit#gid=1248694442"",""Table 5: Risk of bias!J4:J175""),  $A59=IMPORTRANGE(""https://docs.google.com/spreadsheets/d/1kGrh75X1"&amp;"cNR1D7_FcY9zMnHP8iPO4M5RCRjy6nZY0TY/edit#gid=1248694442"",""Table 5: Risk of bias!A4:A175"")),
$B59=""RoB 2"", FILTER(IMPORTRANGE(""https://docs.google.com/spreadsheets/d/1kGrh75X1cNR1D7_FcY9zMnHP8iPO4M5RCRjy6nZY0TY/edit#gid=1248694442"",""Table 5: Risk o"&amp;"f bias!R4:R175""), $A59=IMPORTRANGE(""https://docs.google.com/spreadsheets/d/1kGrh75X1cNR1D7_FcY9zMnHP8iPO4M5RCRjy6nZY0TY/edit#gid=1248694442"",""Table 5: Risk of bias!A4:A175""))
)"),"Serious")</f>
        <v>Serious</v>
      </c>
      <c r="D59" s="4" t="str">
        <f>IFERROR(__xludf.DUMMYFUNCTION("IFS($B59=""ROBINS I"",FILTER(IMPORTRANGE(""https://docs.google.com/spreadsheets/d/1kGrh75X1cNR1D7_FcY9zMnHP8iPO4M5RCRjy6nZY0TY/edit#gid=1248694442"",""Table 5: Risk of bias!K4:K175""), $A59=IMPORTRANGE(""https://docs.google.com/spreadsheets/d/1kGrh75X1cNR"&amp;"1D7_FcY9zMnHP8iPO4M5RCRjy6nZY0TY/edit#gid=1248694442"",""Table 5: Risk of bias!A4:A175"")),$B59=""RoB 2"",FILTER(IMPORTRANGE(""https://docs.google.com/spreadsheets/d/1kGrh75X1cNR1D7_FcY9zMnHP8iPO4M5RCRjy6nZY0TY/edit#gid=1248694442"",""Table 5: Risk of bia"&amp;"s!S4:S175""), $A59=IMPORTRANGE(""https://docs.google.com/spreadsheets/d/1kGrh75X1cNR1D7_FcY9zMnHP8iPO4M5RCRjy6nZY0TY/edit#gid=1248694442"",""Table 5: Risk of bias!A4:A175"")))"),"Moderate")</f>
        <v>Moderate</v>
      </c>
      <c r="E59" s="4" t="str">
        <f>IFERROR(__xludf.DUMMYFUNCTION("IFS($B59=""ROBINS I"",FILTER(IMPORTRANGE(""https://docs.google.com/spreadsheets/d/1kGrh75X1cNR1D7_FcY9zMnHP8iPO4M5RCRjy6nZY0TY/edit#gid=1248694442"",""Table 5: Risk of bias!L4:L175""), $A59=IMPORTRANGE(""https://docs.google.com/spreadsheets/d/1kGrh75X1cNR"&amp;"1D7_FcY9zMnHP8iPO4M5RCRjy6nZY0TY/edit#gid=1248694442"",""Table 5: Risk of bias!A4:A175"")),$B59=""RoB 2"",FILTER(IMPORTRANGE(""https://docs.google.com/spreadsheets/d/1kGrh75X1cNR1D7_FcY9zMnHP8iPO4M5RCRjy6nZY0TY/edit#gid=1248694442"",""Table 5: Risk of bia"&amp;"s!T4:T175""), $A59=IMPORTRANGE(""https://docs.google.com/spreadsheets/d/1kGrh75X1cNR1D7_FcY9zMnHP8iPO4M5RCRjy6nZY0TY/edit#gid=1248694442"",""Table 5: Risk of bias!A4:A175"")))"),"Low")</f>
        <v>Low</v>
      </c>
      <c r="F59" s="4" t="str">
        <f>IFERROR(__xludf.DUMMYFUNCTION("IFS($B59=""ROBINS I"",FILTER(IMPORTRANGE(""https://docs.google.com/spreadsheets/d/1kGrh75X1cNR1D7_FcY9zMnHP8iPO4M5RCRjy6nZY0TY/edit#gid=1248694442"",""Table 5: Risk of bias!M4:M175""), $A59=IMPORTRANGE(""https://docs.google.com/spreadsheets/d/1kGrh75X1cNR"&amp;"1D7_FcY9zMnHP8iPO4M5RCRjy6nZY0TY/edit#gid=1248694442"",""Table 5: Risk of bias!A4:A175"")),$B59=""RoB 2"",FILTER(IMPORTRANGE(""https://docs.google.com/spreadsheets/d/1kGrh75X1cNR1D7_FcY9zMnHP8iPO4M5RCRjy6nZY0TY/edit#gid=1248694442"",""Table 5: Risk of bia"&amp;"s!U4:U175""), $A59=IMPORTRANGE(""https://docs.google.com/spreadsheets/d/1kGrh75X1cNR1D7_FcY9zMnHP8iPO4M5RCRjy6nZY0TY/edit#gid=1248694442"",""Table 5: Risk of bias!A4:A175"")))"),"Serious")</f>
        <v>Serious</v>
      </c>
      <c r="G59" s="4" t="str">
        <f>IFERROR(__xludf.DUMMYFUNCTION("IFS($B59=""ROBINS I"",FILTER(IMPORTRANGE(""https://docs.google.com/spreadsheets/d/1kGrh75X1cNR1D7_FcY9zMnHP8iPO4M5RCRjy6nZY0TY/edit#gid=1248694442"",""Table 5: Risk of bias!N4:N175""), $A59=IMPORTRANGE(""https://docs.google.com/spreadsheets/d/1kGrh75X1cNR"&amp;"1D7_FcY9zMnHP8iPO4M5RCRjy6nZY0TY/edit#gid=1248694442"",""Table 5: Risk of bias!A4:A175"")),$B59=""RoB 2"",FILTER(IMPORTRANGE(""https://docs.google.com/spreadsheets/d/1kGrh75X1cNR1D7_FcY9zMnHP8iPO4M5RCRjy6nZY0TY/edit#gid=1248694442"",""Table 5: Risk of bia"&amp;"s!V4:V175""), $A59=IMPORTRANGE(""https://docs.google.com/spreadsheets/d/1kGrh75X1cNR1D7_FcY9zMnHP8iPO4M5RCRjy6nZY0TY/edit#gid=1248694442"",""Table 5: Risk of bias!A4:A175"")))"),"Low")</f>
        <v>Low</v>
      </c>
      <c r="H59" s="4" t="str">
        <f>IFERROR(__xludf.DUMMYFUNCTION("IFS($B59=""ROBINS I"",FILTER(IMPORTRANGE(""https://docs.google.com/spreadsheets/d/1kGrh75X1cNR1D7_FcY9zMnHP8iPO4M5RCRjy6nZY0TY/edit#gid=1248694442"",""Table 5: Risk of bias!O4:O175""), $A59=IMPORTRANGE(""https://docs.google.com/spreadsheets/d/1kGrh75X1cNR"&amp;"1D7_FcY9zMnHP8iPO4M5RCRjy6nZY0TY/edit#gid=1248694442"",""Table 5: Risk of bias!A4:A175"")),$B59=""RoB 2"",FILTER(IMPORTRANGE(""https://docs.google.com/spreadsheets/d/1kGrh75X1cNR1D7_FcY9zMnHP8iPO4M5RCRjy6nZY0TY/edit#gid=1248694442"",""Table 5: Risk of bia"&amp;"s!W4:W175""), $A59=IMPORTRANGE(""https://docs.google.com/spreadsheets/d/1kGrh75X1cNR1D7_FcY9zMnHP8iPO4M5RCRjy6nZY0TY/edit#gid=1248694442"",""Table 5: Risk of bias!A4:A175"")))"),"Low")</f>
        <v>Low</v>
      </c>
      <c r="I59" s="4" t="str">
        <f>IFERROR(__xludf.DUMMYFUNCTION("FILTER(IMPORTRANGE(""https://docs.google.com/spreadsheets/d/1kGrh75X1cNR1D7_FcY9zMnHP8iPO4M5RCRjy6nZY0TY/edit#gid=1248694442"",""Table 5: Risk of bias!P4:P175""), $A59=IMPORTRANGE(""https://docs.google.com/spreadsheets/d/1kGrh75X1cNR1D7_FcY9zMnHP8iPO4M5RC"&amp;"Rjy6nZY0TY/edit#gid=1248694442"",""Table 5: Risk of bias!A4:A175""))"),"Moderate")</f>
        <v>Moderate</v>
      </c>
      <c r="J59" s="4" t="str">
        <f>IFERROR(__xludf.DUMMYFUNCTION("FILTER(IMPORTRANGE(""https://docs.google.com/spreadsheets/d/1kGrh75X1cNR1D7_FcY9zMnHP8iPO4M5RCRjy6nZY0TY/edit#gid=1248694442"",""Table 5: Risk of bias!Q4:Q175""), $A59=IMPORTRANGE(""https://docs.google.com/spreadsheets/d/1kGrh75X1cNR1D7_FcY9zMnHP8iPO4M5RC"&amp;"Rjy6nZY0TY/edit#gid=1248694442"",""Table 5: Risk of bias!A4:A175""))"),"Low")</f>
        <v>Low</v>
      </c>
    </row>
    <row r="60">
      <c r="A60" s="4" t="str">
        <f>IFERROR(__xludf.DUMMYFUNCTION("""COMPUTED_VALUE"""),"ID 126")</f>
        <v>ID 126</v>
      </c>
      <c r="B60" s="4" t="str">
        <f>IFERROR(__xludf.DUMMYFUNCTION("FILTER(IMPORTRANGE(""https://docs.google.com/spreadsheets/d/1kGrh75X1cNR1D7_FcY9zMnHP8iPO4M5RCRjy6nZY0TY/edit#gid=1248694442"",""Table 5: Risk of bias!D4:D175""), $A60=IMPORTRANGE(""https://docs.google.com/spreadsheets/d/1kGrh75X1cNR1D7_FcY9zMnHP8iPO4M5RC"&amp;"Rjy6nZY0TY/edit#gid=1248694442"",""Table 5: Risk of bias!A4:A175""))"),"ROBINS I")</f>
        <v>ROBINS I</v>
      </c>
      <c r="C60" s="4" t="str">
        <f>IFERROR(__xludf.DUMMYFUNCTION("IFS(
$B60=""ROBINS I"", FILTER(IMPORTRANGE(""https://docs.google.com/spreadsheets/d/1kGrh75X1cNR1D7_FcY9zMnHP8iPO4M5RCRjy6nZY0TY/edit#gid=1248694442"",""Table 5: Risk of bias!J4:J175""),  $A60=IMPORTRANGE(""https://docs.google.com/spreadsheets/d/1kGrh75X1"&amp;"cNR1D7_FcY9zMnHP8iPO4M5RCRjy6nZY0TY/edit#gid=1248694442"",""Table 5: Risk of bias!A4:A175"")),
$B60=""RoB 2"", FILTER(IMPORTRANGE(""https://docs.google.com/spreadsheets/d/1kGrh75X1cNR1D7_FcY9zMnHP8iPO4M5RCRjy6nZY0TY/edit#gid=1248694442"",""Table 5: Risk o"&amp;"f bias!R4:R175""), $A60=IMPORTRANGE(""https://docs.google.com/spreadsheets/d/1kGrh75X1cNR1D7_FcY9zMnHP8iPO4M5RCRjy6nZY0TY/edit#gid=1248694442"",""Table 5: Risk of bias!A4:A175""))
)"),"Moderate")</f>
        <v>Moderate</v>
      </c>
      <c r="D60" s="4" t="str">
        <f>IFERROR(__xludf.DUMMYFUNCTION("IFS($B60=""ROBINS I"",FILTER(IMPORTRANGE(""https://docs.google.com/spreadsheets/d/1kGrh75X1cNR1D7_FcY9zMnHP8iPO4M5RCRjy6nZY0TY/edit#gid=1248694442"",""Table 5: Risk of bias!K4:K175""), $A60=IMPORTRANGE(""https://docs.google.com/spreadsheets/d/1kGrh75X1cNR"&amp;"1D7_FcY9zMnHP8iPO4M5RCRjy6nZY0TY/edit#gid=1248694442"",""Table 5: Risk of bias!A4:A175"")),$B60=""RoB 2"",FILTER(IMPORTRANGE(""https://docs.google.com/spreadsheets/d/1kGrh75X1cNR1D7_FcY9zMnHP8iPO4M5RCRjy6nZY0TY/edit#gid=1248694442"",""Table 5: Risk of bia"&amp;"s!S4:S175""), $A60=IMPORTRANGE(""https://docs.google.com/spreadsheets/d/1kGrh75X1cNR1D7_FcY9zMnHP8iPO4M5RCRjy6nZY0TY/edit#gid=1248694442"",""Table 5: Risk of bias!A4:A175"")))"),"Moderate")</f>
        <v>Moderate</v>
      </c>
      <c r="E60" s="4" t="str">
        <f>IFERROR(__xludf.DUMMYFUNCTION("IFS($B60=""ROBINS I"",FILTER(IMPORTRANGE(""https://docs.google.com/spreadsheets/d/1kGrh75X1cNR1D7_FcY9zMnHP8iPO4M5RCRjy6nZY0TY/edit#gid=1248694442"",""Table 5: Risk of bias!L4:L175""), $A60=IMPORTRANGE(""https://docs.google.com/spreadsheets/d/1kGrh75X1cNR"&amp;"1D7_FcY9zMnHP8iPO4M5RCRjy6nZY0TY/edit#gid=1248694442"",""Table 5: Risk of bias!A4:A175"")),$B60=""RoB 2"",FILTER(IMPORTRANGE(""https://docs.google.com/spreadsheets/d/1kGrh75X1cNR1D7_FcY9zMnHP8iPO4M5RCRjy6nZY0TY/edit#gid=1248694442"",""Table 5: Risk of bia"&amp;"s!T4:T175""), $A60=IMPORTRANGE(""https://docs.google.com/spreadsheets/d/1kGrh75X1cNR1D7_FcY9zMnHP8iPO4M5RCRjy6nZY0TY/edit#gid=1248694442"",""Table 5: Risk of bias!A4:A175"")))"),"Low")</f>
        <v>Low</v>
      </c>
      <c r="F60" s="4" t="str">
        <f>IFERROR(__xludf.DUMMYFUNCTION("IFS($B60=""ROBINS I"",FILTER(IMPORTRANGE(""https://docs.google.com/spreadsheets/d/1kGrh75X1cNR1D7_FcY9zMnHP8iPO4M5RCRjy6nZY0TY/edit#gid=1248694442"",""Table 5: Risk of bias!M4:M175""), $A60=IMPORTRANGE(""https://docs.google.com/spreadsheets/d/1kGrh75X1cNR"&amp;"1D7_FcY9zMnHP8iPO4M5RCRjy6nZY0TY/edit#gid=1248694442"",""Table 5: Risk of bias!A4:A175"")),$B60=""RoB 2"",FILTER(IMPORTRANGE(""https://docs.google.com/spreadsheets/d/1kGrh75X1cNR1D7_FcY9zMnHP8iPO4M5RCRjy6nZY0TY/edit#gid=1248694442"",""Table 5: Risk of bia"&amp;"s!U4:U175""), $A60=IMPORTRANGE(""https://docs.google.com/spreadsheets/d/1kGrh75X1cNR1D7_FcY9zMnHP8iPO4M5RCRjy6nZY0TY/edit#gid=1248694442"",""Table 5: Risk of bias!A4:A175"")))"),"Low")</f>
        <v>Low</v>
      </c>
      <c r="G60" s="4" t="str">
        <f>IFERROR(__xludf.DUMMYFUNCTION("IFS($B60=""ROBINS I"",FILTER(IMPORTRANGE(""https://docs.google.com/spreadsheets/d/1kGrh75X1cNR1D7_FcY9zMnHP8iPO4M5RCRjy6nZY0TY/edit#gid=1248694442"",""Table 5: Risk of bias!N4:N175""), $A60=IMPORTRANGE(""https://docs.google.com/spreadsheets/d/1kGrh75X1cNR"&amp;"1D7_FcY9zMnHP8iPO4M5RCRjy6nZY0TY/edit#gid=1248694442"",""Table 5: Risk of bias!A4:A175"")),$B60=""RoB 2"",FILTER(IMPORTRANGE(""https://docs.google.com/spreadsheets/d/1kGrh75X1cNR1D7_FcY9zMnHP8iPO4M5RCRjy6nZY0TY/edit#gid=1248694442"",""Table 5: Risk of bia"&amp;"s!V4:V175""), $A60=IMPORTRANGE(""https://docs.google.com/spreadsheets/d/1kGrh75X1cNR1D7_FcY9zMnHP8iPO4M5RCRjy6nZY0TY/edit#gid=1248694442"",""Table 5: Risk of bias!A4:A175"")))"),"Low")</f>
        <v>Low</v>
      </c>
      <c r="H60" s="4" t="str">
        <f>IFERROR(__xludf.DUMMYFUNCTION("IFS($B60=""ROBINS I"",FILTER(IMPORTRANGE(""https://docs.google.com/spreadsheets/d/1kGrh75X1cNR1D7_FcY9zMnHP8iPO4M5RCRjy6nZY0TY/edit#gid=1248694442"",""Table 5: Risk of bias!O4:O175""), $A60=IMPORTRANGE(""https://docs.google.com/spreadsheets/d/1kGrh75X1cNR"&amp;"1D7_FcY9zMnHP8iPO4M5RCRjy6nZY0TY/edit#gid=1248694442"",""Table 5: Risk of bias!A4:A175"")),$B60=""RoB 2"",FILTER(IMPORTRANGE(""https://docs.google.com/spreadsheets/d/1kGrh75X1cNR1D7_FcY9zMnHP8iPO4M5RCRjy6nZY0TY/edit#gid=1248694442"",""Table 5: Risk of bia"&amp;"s!W4:W175""), $A60=IMPORTRANGE(""https://docs.google.com/spreadsheets/d/1kGrh75X1cNR1D7_FcY9zMnHP8iPO4M5RCRjy6nZY0TY/edit#gid=1248694442"",""Table 5: Risk of bias!A4:A175"")))"),"Low")</f>
        <v>Low</v>
      </c>
      <c r="I60" s="4" t="str">
        <f>IFERROR(__xludf.DUMMYFUNCTION("FILTER(IMPORTRANGE(""https://docs.google.com/spreadsheets/d/1kGrh75X1cNR1D7_FcY9zMnHP8iPO4M5RCRjy6nZY0TY/edit#gid=1248694442"",""Table 5: Risk of bias!P4:P175""), $A60=IMPORTRANGE(""https://docs.google.com/spreadsheets/d/1kGrh75X1cNR1D7_FcY9zMnHP8iPO4M5RC"&amp;"Rjy6nZY0TY/edit#gid=1248694442"",""Table 5: Risk of bias!A4:A175""))"),"Low")</f>
        <v>Low</v>
      </c>
      <c r="J60" s="4" t="str">
        <f>IFERROR(__xludf.DUMMYFUNCTION("FILTER(IMPORTRANGE(""https://docs.google.com/spreadsheets/d/1kGrh75X1cNR1D7_FcY9zMnHP8iPO4M5RCRjy6nZY0TY/edit#gid=1248694442"",""Table 5: Risk of bias!Q4:Q175""), $A60=IMPORTRANGE(""https://docs.google.com/spreadsheets/d/1kGrh75X1cNR1D7_FcY9zMnHP8iPO4M5RC"&amp;"Rjy6nZY0TY/edit#gid=1248694442"",""Table 5: Risk of bias!A4:A175""))"),"Moderate")</f>
        <v>Moderate</v>
      </c>
    </row>
    <row r="61">
      <c r="A61" s="4" t="str">
        <f>IFERROR(__xludf.DUMMYFUNCTION("""COMPUTED_VALUE"""),"ID 129")</f>
        <v>ID 129</v>
      </c>
      <c r="B61" s="4" t="str">
        <f>IFERROR(__xludf.DUMMYFUNCTION("FILTER(IMPORTRANGE(""https://docs.google.com/spreadsheets/d/1kGrh75X1cNR1D7_FcY9zMnHP8iPO4M5RCRjy6nZY0TY/edit#gid=1248694442"",""Table 5: Risk of bias!D4:D175""), $A61=IMPORTRANGE(""https://docs.google.com/spreadsheets/d/1kGrh75X1cNR1D7_FcY9zMnHP8iPO4M5RC"&amp;"Rjy6nZY0TY/edit#gid=1248694442"",""Table 5: Risk of bias!A4:A175""))"),"ROBINS I")</f>
        <v>ROBINS I</v>
      </c>
      <c r="C61" s="4" t="str">
        <f>IFERROR(__xludf.DUMMYFUNCTION("IFS(
$B61=""ROBINS I"", FILTER(IMPORTRANGE(""https://docs.google.com/spreadsheets/d/1kGrh75X1cNR1D7_FcY9zMnHP8iPO4M5RCRjy6nZY0TY/edit#gid=1248694442"",""Table 5: Risk of bias!J4:J175""),  $A61=IMPORTRANGE(""https://docs.google.com/spreadsheets/d/1kGrh75X1"&amp;"cNR1D7_FcY9zMnHP8iPO4M5RCRjy6nZY0TY/edit#gid=1248694442"",""Table 5: Risk of bias!A4:A175"")),
$B61=""RoB 2"", FILTER(IMPORTRANGE(""https://docs.google.com/spreadsheets/d/1kGrh75X1cNR1D7_FcY9zMnHP8iPO4M5RCRjy6nZY0TY/edit#gid=1248694442"",""Table 5: Risk o"&amp;"f bias!R4:R175""), $A61=IMPORTRANGE(""https://docs.google.com/spreadsheets/d/1kGrh75X1cNR1D7_FcY9zMnHP8iPO4M5RCRjy6nZY0TY/edit#gid=1248694442"",""Table 5: Risk of bias!A4:A175""))
)"),"NI")</f>
        <v>NI</v>
      </c>
      <c r="D61" s="4" t="str">
        <f>IFERROR(__xludf.DUMMYFUNCTION("IFS($B61=""ROBINS I"",FILTER(IMPORTRANGE(""https://docs.google.com/spreadsheets/d/1kGrh75X1cNR1D7_FcY9zMnHP8iPO4M5RCRjy6nZY0TY/edit#gid=1248694442"",""Table 5: Risk of bias!K4:K175""), $A61=IMPORTRANGE(""https://docs.google.com/spreadsheets/d/1kGrh75X1cNR"&amp;"1D7_FcY9zMnHP8iPO4M5RCRjy6nZY0TY/edit#gid=1248694442"",""Table 5: Risk of bias!A4:A175"")),$B61=""RoB 2"",FILTER(IMPORTRANGE(""https://docs.google.com/spreadsheets/d/1kGrh75X1cNR1D7_FcY9zMnHP8iPO4M5RCRjy6nZY0TY/edit#gid=1248694442"",""Table 5: Risk of bia"&amp;"s!S4:S175""), $A61=IMPORTRANGE(""https://docs.google.com/spreadsheets/d/1kGrh75X1cNR1D7_FcY9zMnHP8iPO4M5RCRjy6nZY0TY/edit#gid=1248694442"",""Table 5: Risk of bias!A4:A175"")))"),"NI")</f>
        <v>NI</v>
      </c>
      <c r="E61" s="4" t="str">
        <f>IFERROR(__xludf.DUMMYFUNCTION("IFS($B61=""ROBINS I"",FILTER(IMPORTRANGE(""https://docs.google.com/spreadsheets/d/1kGrh75X1cNR1D7_FcY9zMnHP8iPO4M5RCRjy6nZY0TY/edit#gid=1248694442"",""Table 5: Risk of bias!L4:L175""), $A61=IMPORTRANGE(""https://docs.google.com/spreadsheets/d/1kGrh75X1cNR"&amp;"1D7_FcY9zMnHP8iPO4M5RCRjy6nZY0TY/edit#gid=1248694442"",""Table 5: Risk of bias!A4:A175"")),$B61=""RoB 2"",FILTER(IMPORTRANGE(""https://docs.google.com/spreadsheets/d/1kGrh75X1cNR1D7_FcY9zMnHP8iPO4M5RCRjy6nZY0TY/edit#gid=1248694442"",""Table 5: Risk of bia"&amp;"s!T4:T175""), $A61=IMPORTRANGE(""https://docs.google.com/spreadsheets/d/1kGrh75X1cNR1D7_FcY9zMnHP8iPO4M5RCRjy6nZY0TY/edit#gid=1248694442"",""Table 5: Risk of bias!A4:A175"")))"),"NI")</f>
        <v>NI</v>
      </c>
      <c r="F61" s="4" t="str">
        <f>IFERROR(__xludf.DUMMYFUNCTION("IFS($B61=""ROBINS I"",FILTER(IMPORTRANGE(""https://docs.google.com/spreadsheets/d/1kGrh75X1cNR1D7_FcY9zMnHP8iPO4M5RCRjy6nZY0TY/edit#gid=1248694442"",""Table 5: Risk of bias!M4:M175""), $A61=IMPORTRANGE(""https://docs.google.com/spreadsheets/d/1kGrh75X1cNR"&amp;"1D7_FcY9zMnHP8iPO4M5RCRjy6nZY0TY/edit#gid=1248694442"",""Table 5: Risk of bias!A4:A175"")),$B61=""RoB 2"",FILTER(IMPORTRANGE(""https://docs.google.com/spreadsheets/d/1kGrh75X1cNR1D7_FcY9zMnHP8iPO4M5RCRjy6nZY0TY/edit#gid=1248694442"",""Table 5: Risk of bia"&amp;"s!U4:U175""), $A61=IMPORTRANGE(""https://docs.google.com/spreadsheets/d/1kGrh75X1cNR1D7_FcY9zMnHP8iPO4M5RCRjy6nZY0TY/edit#gid=1248694442"",""Table 5: Risk of bias!A4:A175"")))"),"NI")</f>
        <v>NI</v>
      </c>
      <c r="G61" s="4" t="str">
        <f>IFERROR(__xludf.DUMMYFUNCTION("IFS($B61=""ROBINS I"",FILTER(IMPORTRANGE(""https://docs.google.com/spreadsheets/d/1kGrh75X1cNR1D7_FcY9zMnHP8iPO4M5RCRjy6nZY0TY/edit#gid=1248694442"",""Table 5: Risk of bias!N4:N175""), $A61=IMPORTRANGE(""https://docs.google.com/spreadsheets/d/1kGrh75X1cNR"&amp;"1D7_FcY9zMnHP8iPO4M5RCRjy6nZY0TY/edit#gid=1248694442"",""Table 5: Risk of bias!A4:A175"")),$B61=""RoB 2"",FILTER(IMPORTRANGE(""https://docs.google.com/spreadsheets/d/1kGrh75X1cNR1D7_FcY9zMnHP8iPO4M5RCRjy6nZY0TY/edit#gid=1248694442"",""Table 5: Risk of bia"&amp;"s!V4:V175""), $A61=IMPORTRANGE(""https://docs.google.com/spreadsheets/d/1kGrh75X1cNR1D7_FcY9zMnHP8iPO4M5RCRjy6nZY0TY/edit#gid=1248694442"",""Table 5: Risk of bias!A4:A175"")))"),"NI")</f>
        <v>NI</v>
      </c>
      <c r="H61" s="4" t="str">
        <f>IFERROR(__xludf.DUMMYFUNCTION("IFS($B61=""ROBINS I"",FILTER(IMPORTRANGE(""https://docs.google.com/spreadsheets/d/1kGrh75X1cNR1D7_FcY9zMnHP8iPO4M5RCRjy6nZY0TY/edit#gid=1248694442"",""Table 5: Risk of bias!O4:O175""), $A61=IMPORTRANGE(""https://docs.google.com/spreadsheets/d/1kGrh75X1cNR"&amp;"1D7_FcY9zMnHP8iPO4M5RCRjy6nZY0TY/edit#gid=1248694442"",""Table 5: Risk of bias!A4:A175"")),$B61=""RoB 2"",FILTER(IMPORTRANGE(""https://docs.google.com/spreadsheets/d/1kGrh75X1cNR1D7_FcY9zMnHP8iPO4M5RCRjy6nZY0TY/edit#gid=1248694442"",""Table 5: Risk of bia"&amp;"s!W4:W175""), $A61=IMPORTRANGE(""https://docs.google.com/spreadsheets/d/1kGrh75X1cNR1D7_FcY9zMnHP8iPO4M5RCRjy6nZY0TY/edit#gid=1248694442"",""Table 5: Risk of bias!A4:A175"")))"),"Low")</f>
        <v>Low</v>
      </c>
      <c r="I61" s="4" t="str">
        <f>IFERROR(__xludf.DUMMYFUNCTION("FILTER(IMPORTRANGE(""https://docs.google.com/spreadsheets/d/1kGrh75X1cNR1D7_FcY9zMnHP8iPO4M5RCRjy6nZY0TY/edit#gid=1248694442"",""Table 5: Risk of bias!P4:P175""), $A61=IMPORTRANGE(""https://docs.google.com/spreadsheets/d/1kGrh75X1cNR1D7_FcY9zMnHP8iPO4M5RC"&amp;"Rjy6nZY0TY/edit#gid=1248694442"",""Table 5: Risk of bias!A4:A175""))"),"Low")</f>
        <v>Low</v>
      </c>
      <c r="J61" s="4" t="str">
        <f>IFERROR(__xludf.DUMMYFUNCTION("FILTER(IMPORTRANGE(""https://docs.google.com/spreadsheets/d/1kGrh75X1cNR1D7_FcY9zMnHP8iPO4M5RCRjy6nZY0TY/edit#gid=1248694442"",""Table 5: Risk of bias!Q4:Q175""), $A61=IMPORTRANGE(""https://docs.google.com/spreadsheets/d/1kGrh75X1cNR1D7_FcY9zMnHP8iPO4M5RC"&amp;"Rjy6nZY0TY/edit#gid=1248694442"",""Table 5: Risk of bias!A4:A175""))"),"Low")</f>
        <v>Low</v>
      </c>
    </row>
    <row r="62">
      <c r="A62" s="4" t="str">
        <f>IFERROR(__xludf.DUMMYFUNCTION("""COMPUTED_VALUE"""),"ID 130")</f>
        <v>ID 130</v>
      </c>
      <c r="B62" s="4" t="str">
        <f>IFERROR(__xludf.DUMMYFUNCTION("FILTER(IMPORTRANGE(""https://docs.google.com/spreadsheets/d/1kGrh75X1cNR1D7_FcY9zMnHP8iPO4M5RCRjy6nZY0TY/edit#gid=1248694442"",""Table 5: Risk of bias!D4:D175""), $A62=IMPORTRANGE(""https://docs.google.com/spreadsheets/d/1kGrh75X1cNR1D7_FcY9zMnHP8iPO4M5RC"&amp;"Rjy6nZY0TY/edit#gid=1248694442"",""Table 5: Risk of bias!A4:A175""))"),"ROBINS I")</f>
        <v>ROBINS I</v>
      </c>
      <c r="C62" s="4" t="str">
        <f>IFERROR(__xludf.DUMMYFUNCTION("IFS(
$B62=""ROBINS I"", FILTER(IMPORTRANGE(""https://docs.google.com/spreadsheets/d/1kGrh75X1cNR1D7_FcY9zMnHP8iPO4M5RCRjy6nZY0TY/edit#gid=1248694442"",""Table 5: Risk of bias!J4:J175""),  $A62=IMPORTRANGE(""https://docs.google.com/spreadsheets/d/1kGrh75X1"&amp;"cNR1D7_FcY9zMnHP8iPO4M5RCRjy6nZY0TY/edit#gid=1248694442"",""Table 5: Risk of bias!A4:A175"")),
$B62=""RoB 2"", FILTER(IMPORTRANGE(""https://docs.google.com/spreadsheets/d/1kGrh75X1cNR1D7_FcY9zMnHP8iPO4M5RCRjy6nZY0TY/edit#gid=1248694442"",""Table 5: Risk o"&amp;"f bias!R4:R175""), $A62=IMPORTRANGE(""https://docs.google.com/spreadsheets/d/1kGrh75X1cNR1D7_FcY9zMnHP8iPO4M5RCRjy6nZY0TY/edit#gid=1248694442"",""Table 5: Risk of bias!A4:A175""))
)"),"Low")</f>
        <v>Low</v>
      </c>
      <c r="D62" s="4" t="str">
        <f>IFERROR(__xludf.DUMMYFUNCTION("IFS($B62=""ROBINS I"",FILTER(IMPORTRANGE(""https://docs.google.com/spreadsheets/d/1kGrh75X1cNR1D7_FcY9zMnHP8iPO4M5RCRjy6nZY0TY/edit#gid=1248694442"",""Table 5: Risk of bias!K4:K175""), $A62=IMPORTRANGE(""https://docs.google.com/spreadsheets/d/1kGrh75X1cNR"&amp;"1D7_FcY9zMnHP8iPO4M5RCRjy6nZY0TY/edit#gid=1248694442"",""Table 5: Risk of bias!A4:A175"")),$B62=""RoB 2"",FILTER(IMPORTRANGE(""https://docs.google.com/spreadsheets/d/1kGrh75X1cNR1D7_FcY9zMnHP8iPO4M5RCRjy6nZY0TY/edit#gid=1248694442"",""Table 5: Risk of bia"&amp;"s!S4:S175""), $A62=IMPORTRANGE(""https://docs.google.com/spreadsheets/d/1kGrh75X1cNR1D7_FcY9zMnHP8iPO4M5RCRjy6nZY0TY/edit#gid=1248694442"",""Table 5: Risk of bias!A4:A175"")))"),"Low")</f>
        <v>Low</v>
      </c>
      <c r="E62" s="4" t="str">
        <f>IFERROR(__xludf.DUMMYFUNCTION("IFS($B62=""ROBINS I"",FILTER(IMPORTRANGE(""https://docs.google.com/spreadsheets/d/1kGrh75X1cNR1D7_FcY9zMnHP8iPO4M5RCRjy6nZY0TY/edit#gid=1248694442"",""Table 5: Risk of bias!L4:L175""), $A62=IMPORTRANGE(""https://docs.google.com/spreadsheets/d/1kGrh75X1cNR"&amp;"1D7_FcY9zMnHP8iPO4M5RCRjy6nZY0TY/edit#gid=1248694442"",""Table 5: Risk of bias!A4:A175"")),$B62=""RoB 2"",FILTER(IMPORTRANGE(""https://docs.google.com/spreadsheets/d/1kGrh75X1cNR1D7_FcY9zMnHP8iPO4M5RCRjy6nZY0TY/edit#gid=1248694442"",""Table 5: Risk of bia"&amp;"s!T4:T175""), $A62=IMPORTRANGE(""https://docs.google.com/spreadsheets/d/1kGrh75X1cNR1D7_FcY9zMnHP8iPO4M5RCRjy6nZY0TY/edit#gid=1248694442"",""Table 5: Risk of bias!A4:A175"")))"),"Low")</f>
        <v>Low</v>
      </c>
      <c r="F62" s="4" t="str">
        <f>IFERROR(__xludf.DUMMYFUNCTION("IFS($B62=""ROBINS I"",FILTER(IMPORTRANGE(""https://docs.google.com/spreadsheets/d/1kGrh75X1cNR1D7_FcY9zMnHP8iPO4M5RCRjy6nZY0TY/edit#gid=1248694442"",""Table 5: Risk of bias!M4:M175""), $A62=IMPORTRANGE(""https://docs.google.com/spreadsheets/d/1kGrh75X1cNR"&amp;"1D7_FcY9zMnHP8iPO4M5RCRjy6nZY0TY/edit#gid=1248694442"",""Table 5: Risk of bias!A4:A175"")),$B62=""RoB 2"",FILTER(IMPORTRANGE(""https://docs.google.com/spreadsheets/d/1kGrh75X1cNR1D7_FcY9zMnHP8iPO4M5RCRjy6nZY0TY/edit#gid=1248694442"",""Table 5: Risk of bia"&amp;"s!U4:U175""), $A62=IMPORTRANGE(""https://docs.google.com/spreadsheets/d/1kGrh75X1cNR1D7_FcY9zMnHP8iPO4M5RCRjy6nZY0TY/edit#gid=1248694442"",""Table 5: Risk of bias!A4:A175"")))"),"Low")</f>
        <v>Low</v>
      </c>
      <c r="G62" s="4" t="str">
        <f>IFERROR(__xludf.DUMMYFUNCTION("IFS($B62=""ROBINS I"",FILTER(IMPORTRANGE(""https://docs.google.com/spreadsheets/d/1kGrh75X1cNR1D7_FcY9zMnHP8iPO4M5RCRjy6nZY0TY/edit#gid=1248694442"",""Table 5: Risk of bias!N4:N175""), $A62=IMPORTRANGE(""https://docs.google.com/spreadsheets/d/1kGrh75X1cNR"&amp;"1D7_FcY9zMnHP8iPO4M5RCRjy6nZY0TY/edit#gid=1248694442"",""Table 5: Risk of bias!A4:A175"")),$B62=""RoB 2"",FILTER(IMPORTRANGE(""https://docs.google.com/spreadsheets/d/1kGrh75X1cNR1D7_FcY9zMnHP8iPO4M5RCRjy6nZY0TY/edit#gid=1248694442"",""Table 5: Risk of bia"&amp;"s!V4:V175""), $A62=IMPORTRANGE(""https://docs.google.com/spreadsheets/d/1kGrh75X1cNR1D7_FcY9zMnHP8iPO4M5RCRjy6nZY0TY/edit#gid=1248694442"",""Table 5: Risk of bias!A4:A175"")))"),"Low")</f>
        <v>Low</v>
      </c>
      <c r="H62" s="4" t="str">
        <f>IFERROR(__xludf.DUMMYFUNCTION("IFS($B62=""ROBINS I"",FILTER(IMPORTRANGE(""https://docs.google.com/spreadsheets/d/1kGrh75X1cNR1D7_FcY9zMnHP8iPO4M5RCRjy6nZY0TY/edit#gid=1248694442"",""Table 5: Risk of bias!O4:O175""), $A62=IMPORTRANGE(""https://docs.google.com/spreadsheets/d/1kGrh75X1cNR"&amp;"1D7_FcY9zMnHP8iPO4M5RCRjy6nZY0TY/edit#gid=1248694442"",""Table 5: Risk of bias!A4:A175"")),$B62=""RoB 2"",FILTER(IMPORTRANGE(""https://docs.google.com/spreadsheets/d/1kGrh75X1cNR1D7_FcY9zMnHP8iPO4M5RCRjy6nZY0TY/edit#gid=1248694442"",""Table 5: Risk of bia"&amp;"s!W4:W175""), $A62=IMPORTRANGE(""https://docs.google.com/spreadsheets/d/1kGrh75X1cNR1D7_FcY9zMnHP8iPO4M5RCRjy6nZY0TY/edit#gid=1248694442"",""Table 5: Risk of bias!A4:A175"")))"),"Low")</f>
        <v>Low</v>
      </c>
      <c r="I62" s="4" t="str">
        <f>IFERROR(__xludf.DUMMYFUNCTION("FILTER(IMPORTRANGE(""https://docs.google.com/spreadsheets/d/1kGrh75X1cNR1D7_FcY9zMnHP8iPO4M5RCRjy6nZY0TY/edit#gid=1248694442"",""Table 5: Risk of bias!P4:P175""), $A62=IMPORTRANGE(""https://docs.google.com/spreadsheets/d/1kGrh75X1cNR1D7_FcY9zMnHP8iPO4M5RC"&amp;"Rjy6nZY0TY/edit#gid=1248694442"",""Table 5: Risk of bias!A4:A175""))"),"Low")</f>
        <v>Low</v>
      </c>
      <c r="J62" s="4" t="str">
        <f>IFERROR(__xludf.DUMMYFUNCTION("FILTER(IMPORTRANGE(""https://docs.google.com/spreadsheets/d/1kGrh75X1cNR1D7_FcY9zMnHP8iPO4M5RCRjy6nZY0TY/edit#gid=1248694442"",""Table 5: Risk of bias!Q4:Q175""), $A62=IMPORTRANGE(""https://docs.google.com/spreadsheets/d/1kGrh75X1cNR1D7_FcY9zMnHP8iPO4M5RC"&amp;"Rjy6nZY0TY/edit#gid=1248694442"",""Table 5: Risk of bias!A4:A175""))"),"Low")</f>
        <v>Low</v>
      </c>
    </row>
    <row r="63">
      <c r="A63" s="4" t="str">
        <f>IFERROR(__xludf.DUMMYFUNCTION("""COMPUTED_VALUE"""),"ID 131")</f>
        <v>ID 131</v>
      </c>
      <c r="B63" s="4" t="str">
        <f>IFERROR(__xludf.DUMMYFUNCTION("FILTER(IMPORTRANGE(""https://docs.google.com/spreadsheets/d/1kGrh75X1cNR1D7_FcY9zMnHP8iPO4M5RCRjy6nZY0TY/edit#gid=1248694442"",""Table 5: Risk of bias!D4:D175""), $A63=IMPORTRANGE(""https://docs.google.com/spreadsheets/d/1kGrh75X1cNR1D7_FcY9zMnHP8iPO4M5RC"&amp;"Rjy6nZY0TY/edit#gid=1248694442"",""Table 5: Risk of bias!A4:A175""))"),"ROBINS I")</f>
        <v>ROBINS I</v>
      </c>
      <c r="C63" s="4" t="str">
        <f>IFERROR(__xludf.DUMMYFUNCTION("IFS(
$B63=""ROBINS I"", FILTER(IMPORTRANGE(""https://docs.google.com/spreadsheets/d/1kGrh75X1cNR1D7_FcY9zMnHP8iPO4M5RCRjy6nZY0TY/edit#gid=1248694442"",""Table 5: Risk of bias!J4:J175""),  $A63=IMPORTRANGE(""https://docs.google.com/spreadsheets/d/1kGrh75X1"&amp;"cNR1D7_FcY9zMnHP8iPO4M5RCRjy6nZY0TY/edit#gid=1248694442"",""Table 5: Risk of bias!A4:A175"")),
$B63=""RoB 2"", FILTER(IMPORTRANGE(""https://docs.google.com/spreadsheets/d/1kGrh75X1cNR1D7_FcY9zMnHP8iPO4M5RCRjy6nZY0TY/edit#gid=1248694442"",""Table 5: Risk o"&amp;"f bias!R4:R175""), $A63=IMPORTRANGE(""https://docs.google.com/spreadsheets/d/1kGrh75X1cNR1D7_FcY9zMnHP8iPO4M5RCRjy6nZY0TY/edit#gid=1248694442"",""Table 5: Risk of bias!A4:A175""))
)"),"Moderate")</f>
        <v>Moderate</v>
      </c>
      <c r="D63" s="4" t="str">
        <f>IFERROR(__xludf.DUMMYFUNCTION("IFS($B63=""ROBINS I"",FILTER(IMPORTRANGE(""https://docs.google.com/spreadsheets/d/1kGrh75X1cNR1D7_FcY9zMnHP8iPO4M5RCRjy6nZY0TY/edit#gid=1248694442"",""Table 5: Risk of bias!K4:K175""), $A63=IMPORTRANGE(""https://docs.google.com/spreadsheets/d/1kGrh75X1cNR"&amp;"1D7_FcY9zMnHP8iPO4M5RCRjy6nZY0TY/edit#gid=1248694442"",""Table 5: Risk of bias!A4:A175"")),$B63=""RoB 2"",FILTER(IMPORTRANGE(""https://docs.google.com/spreadsheets/d/1kGrh75X1cNR1D7_FcY9zMnHP8iPO4M5RCRjy6nZY0TY/edit#gid=1248694442"",""Table 5: Risk of bia"&amp;"s!S4:S175""), $A63=IMPORTRANGE(""https://docs.google.com/spreadsheets/d/1kGrh75X1cNR1D7_FcY9zMnHP8iPO4M5RCRjy6nZY0TY/edit#gid=1248694442"",""Table 5: Risk of bias!A4:A175"")))"),"Moderate")</f>
        <v>Moderate</v>
      </c>
      <c r="E63" s="4" t="str">
        <f>IFERROR(__xludf.DUMMYFUNCTION("IFS($B63=""ROBINS I"",FILTER(IMPORTRANGE(""https://docs.google.com/spreadsheets/d/1kGrh75X1cNR1D7_FcY9zMnHP8iPO4M5RCRjy6nZY0TY/edit#gid=1248694442"",""Table 5: Risk of bias!L4:L175""), $A63=IMPORTRANGE(""https://docs.google.com/spreadsheets/d/1kGrh75X1cNR"&amp;"1D7_FcY9zMnHP8iPO4M5RCRjy6nZY0TY/edit#gid=1248694442"",""Table 5: Risk of bias!A4:A175"")),$B63=""RoB 2"",FILTER(IMPORTRANGE(""https://docs.google.com/spreadsheets/d/1kGrh75X1cNR1D7_FcY9zMnHP8iPO4M5RCRjy6nZY0TY/edit#gid=1248694442"",""Table 5: Risk of bia"&amp;"s!T4:T175""), $A63=IMPORTRANGE(""https://docs.google.com/spreadsheets/d/1kGrh75X1cNR1D7_FcY9zMnHP8iPO4M5RCRjy6nZY0TY/edit#gid=1248694442"",""Table 5: Risk of bias!A4:A175"")))"),"Low")</f>
        <v>Low</v>
      </c>
      <c r="F63" s="4" t="str">
        <f>IFERROR(__xludf.DUMMYFUNCTION("IFS($B63=""ROBINS I"",FILTER(IMPORTRANGE(""https://docs.google.com/spreadsheets/d/1kGrh75X1cNR1D7_FcY9zMnHP8iPO4M5RCRjy6nZY0TY/edit#gid=1248694442"",""Table 5: Risk of bias!M4:M175""), $A63=IMPORTRANGE(""https://docs.google.com/spreadsheets/d/1kGrh75X1cNR"&amp;"1D7_FcY9zMnHP8iPO4M5RCRjy6nZY0TY/edit#gid=1248694442"",""Table 5: Risk of bias!A4:A175"")),$B63=""RoB 2"",FILTER(IMPORTRANGE(""https://docs.google.com/spreadsheets/d/1kGrh75X1cNR1D7_FcY9zMnHP8iPO4M5RCRjy6nZY0TY/edit#gid=1248694442"",""Table 5: Risk of bia"&amp;"s!U4:U175""), $A63=IMPORTRANGE(""https://docs.google.com/spreadsheets/d/1kGrh75X1cNR1D7_FcY9zMnHP8iPO4M5RCRjy6nZY0TY/edit#gid=1248694442"",""Table 5: Risk of bias!A4:A175"")))"),"Moderate")</f>
        <v>Moderate</v>
      </c>
      <c r="G63" s="4" t="str">
        <f>IFERROR(__xludf.DUMMYFUNCTION("IFS($B63=""ROBINS I"",FILTER(IMPORTRANGE(""https://docs.google.com/spreadsheets/d/1kGrh75X1cNR1D7_FcY9zMnHP8iPO4M5RCRjy6nZY0TY/edit#gid=1248694442"",""Table 5: Risk of bias!N4:N175""), $A63=IMPORTRANGE(""https://docs.google.com/spreadsheets/d/1kGrh75X1cNR"&amp;"1D7_FcY9zMnHP8iPO4M5RCRjy6nZY0TY/edit#gid=1248694442"",""Table 5: Risk of bias!A4:A175"")),$B63=""RoB 2"",FILTER(IMPORTRANGE(""https://docs.google.com/spreadsheets/d/1kGrh75X1cNR1D7_FcY9zMnHP8iPO4M5RCRjy6nZY0TY/edit#gid=1248694442"",""Table 5: Risk of bia"&amp;"s!V4:V175""), $A63=IMPORTRANGE(""https://docs.google.com/spreadsheets/d/1kGrh75X1cNR1D7_FcY9zMnHP8iPO4M5RCRjy6nZY0TY/edit#gid=1248694442"",""Table 5: Risk of bias!A4:A175"")))"),"Low")</f>
        <v>Low</v>
      </c>
      <c r="H63" s="4" t="str">
        <f>IFERROR(__xludf.DUMMYFUNCTION("IFS($B63=""ROBINS I"",FILTER(IMPORTRANGE(""https://docs.google.com/spreadsheets/d/1kGrh75X1cNR1D7_FcY9zMnHP8iPO4M5RCRjy6nZY0TY/edit#gid=1248694442"",""Table 5: Risk of bias!O4:O175""), $A63=IMPORTRANGE(""https://docs.google.com/spreadsheets/d/1kGrh75X1cNR"&amp;"1D7_FcY9zMnHP8iPO4M5RCRjy6nZY0TY/edit#gid=1248694442"",""Table 5: Risk of bias!A4:A175"")),$B63=""RoB 2"",FILTER(IMPORTRANGE(""https://docs.google.com/spreadsheets/d/1kGrh75X1cNR1D7_FcY9zMnHP8iPO4M5RCRjy6nZY0TY/edit#gid=1248694442"",""Table 5: Risk of bia"&amp;"s!W4:W175""), $A63=IMPORTRANGE(""https://docs.google.com/spreadsheets/d/1kGrh75X1cNR1D7_FcY9zMnHP8iPO4M5RCRjy6nZY0TY/edit#gid=1248694442"",""Table 5: Risk of bias!A4:A175"")))"),"Low")</f>
        <v>Low</v>
      </c>
      <c r="I63" s="4" t="str">
        <f>IFERROR(__xludf.DUMMYFUNCTION("FILTER(IMPORTRANGE(""https://docs.google.com/spreadsheets/d/1kGrh75X1cNR1D7_FcY9zMnHP8iPO4M5RCRjy6nZY0TY/edit#gid=1248694442"",""Table 5: Risk of bias!P4:P175""), $A63=IMPORTRANGE(""https://docs.google.com/spreadsheets/d/1kGrh75X1cNR1D7_FcY9zMnHP8iPO4M5RC"&amp;"Rjy6nZY0TY/edit#gid=1248694442"",""Table 5: Risk of bias!A4:A175""))"),"Low")</f>
        <v>Low</v>
      </c>
      <c r="J63" s="4" t="str">
        <f>IFERROR(__xludf.DUMMYFUNCTION("FILTER(IMPORTRANGE(""https://docs.google.com/spreadsheets/d/1kGrh75X1cNR1D7_FcY9zMnHP8iPO4M5RCRjy6nZY0TY/edit#gid=1248694442"",""Table 5: Risk of bias!Q4:Q175""), $A63=IMPORTRANGE(""https://docs.google.com/spreadsheets/d/1kGrh75X1cNR1D7_FcY9zMnHP8iPO4M5RC"&amp;"Rjy6nZY0TY/edit#gid=1248694442"",""Table 5: Risk of bias!A4:A175""))"),"Low")</f>
        <v>Low</v>
      </c>
    </row>
    <row r="64">
      <c r="A64" s="4" t="str">
        <f>IFERROR(__xludf.DUMMYFUNCTION("""COMPUTED_VALUE"""),"ID 132")</f>
        <v>ID 132</v>
      </c>
      <c r="B64" s="4" t="str">
        <f>IFERROR(__xludf.DUMMYFUNCTION("FILTER(IMPORTRANGE(""https://docs.google.com/spreadsheets/d/1kGrh75X1cNR1D7_FcY9zMnHP8iPO4M5RCRjy6nZY0TY/edit#gid=1248694442"",""Table 5: Risk of bias!D4:D175""), $A64=IMPORTRANGE(""https://docs.google.com/spreadsheets/d/1kGrh75X1cNR1D7_FcY9zMnHP8iPO4M5RC"&amp;"Rjy6nZY0TY/edit#gid=1248694442"",""Table 5: Risk of bias!A4:A175""))"),"ROBINS I")</f>
        <v>ROBINS I</v>
      </c>
      <c r="C64" s="4" t="str">
        <f>IFERROR(__xludf.DUMMYFUNCTION("IFS(
$B64=""ROBINS I"", FILTER(IMPORTRANGE(""https://docs.google.com/spreadsheets/d/1kGrh75X1cNR1D7_FcY9zMnHP8iPO4M5RCRjy6nZY0TY/edit#gid=1248694442"",""Table 5: Risk of bias!J4:J175""),  $A64=IMPORTRANGE(""https://docs.google.com/spreadsheets/d/1kGrh75X1"&amp;"cNR1D7_FcY9zMnHP8iPO4M5RCRjy6nZY0TY/edit#gid=1248694442"",""Table 5: Risk of bias!A4:A175"")),
$B64=""RoB 2"", FILTER(IMPORTRANGE(""https://docs.google.com/spreadsheets/d/1kGrh75X1cNR1D7_FcY9zMnHP8iPO4M5RCRjy6nZY0TY/edit#gid=1248694442"",""Table 5: Risk o"&amp;"f bias!R4:R175""), $A64=IMPORTRANGE(""https://docs.google.com/spreadsheets/d/1kGrh75X1cNR1D7_FcY9zMnHP8iPO4M5RCRjy6nZY0TY/edit#gid=1248694442"",""Table 5: Risk of bias!A4:A175""))
)"),"Moderate")</f>
        <v>Moderate</v>
      </c>
      <c r="D64" s="4" t="str">
        <f>IFERROR(__xludf.DUMMYFUNCTION("IFS($B64=""ROBINS I"",FILTER(IMPORTRANGE(""https://docs.google.com/spreadsheets/d/1kGrh75X1cNR1D7_FcY9zMnHP8iPO4M5RCRjy6nZY0TY/edit#gid=1248694442"",""Table 5: Risk of bias!K4:K175""), $A64=IMPORTRANGE(""https://docs.google.com/spreadsheets/d/1kGrh75X1cNR"&amp;"1D7_FcY9zMnHP8iPO4M5RCRjy6nZY0TY/edit#gid=1248694442"",""Table 5: Risk of bias!A4:A175"")),$B64=""RoB 2"",FILTER(IMPORTRANGE(""https://docs.google.com/spreadsheets/d/1kGrh75X1cNR1D7_FcY9zMnHP8iPO4M5RCRjy6nZY0TY/edit#gid=1248694442"",""Table 5: Risk of bia"&amp;"s!S4:S175""), $A64=IMPORTRANGE(""https://docs.google.com/spreadsheets/d/1kGrh75X1cNR1D7_FcY9zMnHP8iPO4M5RCRjy6nZY0TY/edit#gid=1248694442"",""Table 5: Risk of bias!A4:A175"")))"),"Low")</f>
        <v>Low</v>
      </c>
      <c r="E64" s="4" t="str">
        <f>IFERROR(__xludf.DUMMYFUNCTION("IFS($B64=""ROBINS I"",FILTER(IMPORTRANGE(""https://docs.google.com/spreadsheets/d/1kGrh75X1cNR1D7_FcY9zMnHP8iPO4M5RCRjy6nZY0TY/edit#gid=1248694442"",""Table 5: Risk of bias!L4:L175""), $A64=IMPORTRANGE(""https://docs.google.com/spreadsheets/d/1kGrh75X1cNR"&amp;"1D7_FcY9zMnHP8iPO4M5RCRjy6nZY0TY/edit#gid=1248694442"",""Table 5: Risk of bias!A4:A175"")),$B64=""RoB 2"",FILTER(IMPORTRANGE(""https://docs.google.com/spreadsheets/d/1kGrh75X1cNR1D7_FcY9zMnHP8iPO4M5RCRjy6nZY0TY/edit#gid=1248694442"",""Table 5: Risk of bia"&amp;"s!T4:T175""), $A64=IMPORTRANGE(""https://docs.google.com/spreadsheets/d/1kGrh75X1cNR1D7_FcY9zMnHP8iPO4M5RCRjy6nZY0TY/edit#gid=1248694442"",""Table 5: Risk of bias!A4:A175"")))"),"Low")</f>
        <v>Low</v>
      </c>
      <c r="F64" s="4" t="str">
        <f>IFERROR(__xludf.DUMMYFUNCTION("IFS($B64=""ROBINS I"",FILTER(IMPORTRANGE(""https://docs.google.com/spreadsheets/d/1kGrh75X1cNR1D7_FcY9zMnHP8iPO4M5RCRjy6nZY0TY/edit#gid=1248694442"",""Table 5: Risk of bias!M4:M175""), $A64=IMPORTRANGE(""https://docs.google.com/spreadsheets/d/1kGrh75X1cNR"&amp;"1D7_FcY9zMnHP8iPO4M5RCRjy6nZY0TY/edit#gid=1248694442"",""Table 5: Risk of bias!A4:A175"")),$B64=""RoB 2"",FILTER(IMPORTRANGE(""https://docs.google.com/spreadsheets/d/1kGrh75X1cNR1D7_FcY9zMnHP8iPO4M5RCRjy6nZY0TY/edit#gid=1248694442"",""Table 5: Risk of bia"&amp;"s!U4:U175""), $A64=IMPORTRANGE(""https://docs.google.com/spreadsheets/d/1kGrh75X1cNR1D7_FcY9zMnHP8iPO4M5RCRjy6nZY0TY/edit#gid=1248694442"",""Table 5: Risk of bias!A4:A175"")))"),"Low")</f>
        <v>Low</v>
      </c>
      <c r="G64" s="4" t="str">
        <f>IFERROR(__xludf.DUMMYFUNCTION("IFS($B64=""ROBINS I"",FILTER(IMPORTRANGE(""https://docs.google.com/spreadsheets/d/1kGrh75X1cNR1D7_FcY9zMnHP8iPO4M5RCRjy6nZY0TY/edit#gid=1248694442"",""Table 5: Risk of bias!N4:N175""), $A64=IMPORTRANGE(""https://docs.google.com/spreadsheets/d/1kGrh75X1cNR"&amp;"1D7_FcY9zMnHP8iPO4M5RCRjy6nZY0TY/edit#gid=1248694442"",""Table 5: Risk of bias!A4:A175"")),$B64=""RoB 2"",FILTER(IMPORTRANGE(""https://docs.google.com/spreadsheets/d/1kGrh75X1cNR1D7_FcY9zMnHP8iPO4M5RCRjy6nZY0TY/edit#gid=1248694442"",""Table 5: Risk of bia"&amp;"s!V4:V175""), $A64=IMPORTRANGE(""https://docs.google.com/spreadsheets/d/1kGrh75X1cNR1D7_FcY9zMnHP8iPO4M5RCRjy6nZY0TY/edit#gid=1248694442"",""Table 5: Risk of bias!A4:A175"")))"),"Low")</f>
        <v>Low</v>
      </c>
      <c r="H64" s="4" t="str">
        <f>IFERROR(__xludf.DUMMYFUNCTION("IFS($B64=""ROBINS I"",FILTER(IMPORTRANGE(""https://docs.google.com/spreadsheets/d/1kGrh75X1cNR1D7_FcY9zMnHP8iPO4M5RCRjy6nZY0TY/edit#gid=1248694442"",""Table 5: Risk of bias!O4:O175""), $A64=IMPORTRANGE(""https://docs.google.com/spreadsheets/d/1kGrh75X1cNR"&amp;"1D7_FcY9zMnHP8iPO4M5RCRjy6nZY0TY/edit#gid=1248694442"",""Table 5: Risk of bias!A4:A175"")),$B64=""RoB 2"",FILTER(IMPORTRANGE(""https://docs.google.com/spreadsheets/d/1kGrh75X1cNR1D7_FcY9zMnHP8iPO4M5RCRjy6nZY0TY/edit#gid=1248694442"",""Table 5: Risk of bia"&amp;"s!W4:W175""), $A64=IMPORTRANGE(""https://docs.google.com/spreadsheets/d/1kGrh75X1cNR1D7_FcY9zMnHP8iPO4M5RCRjy6nZY0TY/edit#gid=1248694442"",""Table 5: Risk of bias!A4:A175"")))"),"Low")</f>
        <v>Low</v>
      </c>
      <c r="I64" s="4" t="str">
        <f>IFERROR(__xludf.DUMMYFUNCTION("FILTER(IMPORTRANGE(""https://docs.google.com/spreadsheets/d/1kGrh75X1cNR1D7_FcY9zMnHP8iPO4M5RCRjy6nZY0TY/edit#gid=1248694442"",""Table 5: Risk of bias!P4:P175""), $A64=IMPORTRANGE(""https://docs.google.com/spreadsheets/d/1kGrh75X1cNR1D7_FcY9zMnHP8iPO4M5RC"&amp;"Rjy6nZY0TY/edit#gid=1248694442"",""Table 5: Risk of bias!A4:A175""))"),"Moderate")</f>
        <v>Moderate</v>
      </c>
      <c r="J64" s="4" t="str">
        <f>IFERROR(__xludf.DUMMYFUNCTION("FILTER(IMPORTRANGE(""https://docs.google.com/spreadsheets/d/1kGrh75X1cNR1D7_FcY9zMnHP8iPO4M5RCRjy6nZY0TY/edit#gid=1248694442"",""Table 5: Risk of bias!Q4:Q175""), $A64=IMPORTRANGE(""https://docs.google.com/spreadsheets/d/1kGrh75X1cNR1D7_FcY9zMnHP8iPO4M5RC"&amp;"Rjy6nZY0TY/edit#gid=1248694442"",""Table 5: Risk of bias!A4:A175""))"),"Low")</f>
        <v>Low</v>
      </c>
    </row>
    <row r="65">
      <c r="A65" s="4" t="str">
        <f>IFERROR(__xludf.DUMMYFUNCTION("""COMPUTED_VALUE"""),"ID 135")</f>
        <v>ID 135</v>
      </c>
      <c r="B65" s="4" t="str">
        <f>IFERROR(__xludf.DUMMYFUNCTION("FILTER(IMPORTRANGE(""https://docs.google.com/spreadsheets/d/1kGrh75X1cNR1D7_FcY9zMnHP8iPO4M5RCRjy6nZY0TY/edit#gid=1248694442"",""Table 5: Risk of bias!D4:D175""), $A65=IMPORTRANGE(""https://docs.google.com/spreadsheets/d/1kGrh75X1cNR1D7_FcY9zMnHP8iPO4M5RC"&amp;"Rjy6nZY0TY/edit#gid=1248694442"",""Table 5: Risk of bias!A4:A175""))"),"ROBINS I")</f>
        <v>ROBINS I</v>
      </c>
      <c r="C65" s="4" t="str">
        <f>IFERROR(__xludf.DUMMYFUNCTION("IFS(
$B65=""ROBINS I"", FILTER(IMPORTRANGE(""https://docs.google.com/spreadsheets/d/1kGrh75X1cNR1D7_FcY9zMnHP8iPO4M5RCRjy6nZY0TY/edit#gid=1248694442"",""Table 5: Risk of bias!J4:J175""),  $A65=IMPORTRANGE(""https://docs.google.com/spreadsheets/d/1kGrh75X1"&amp;"cNR1D7_FcY9zMnHP8iPO4M5RCRjy6nZY0TY/edit#gid=1248694442"",""Table 5: Risk of bias!A4:A175"")),
$B65=""RoB 2"", FILTER(IMPORTRANGE(""https://docs.google.com/spreadsheets/d/1kGrh75X1cNR1D7_FcY9zMnHP8iPO4M5RCRjy6nZY0TY/edit#gid=1248694442"",""Table 5: Risk o"&amp;"f bias!R4:R175""), $A65=IMPORTRANGE(""https://docs.google.com/spreadsheets/d/1kGrh75X1cNR1D7_FcY9zMnHP8iPO4M5RCRjy6nZY0TY/edit#gid=1248694442"",""Table 5: Risk of bias!A4:A175""))
)"),"Critical")</f>
        <v>Critical</v>
      </c>
      <c r="D65" s="4" t="str">
        <f>IFERROR(__xludf.DUMMYFUNCTION("IFS($B65=""ROBINS I"",FILTER(IMPORTRANGE(""https://docs.google.com/spreadsheets/d/1kGrh75X1cNR1D7_FcY9zMnHP8iPO4M5RCRjy6nZY0TY/edit#gid=1248694442"",""Table 5: Risk of bias!K4:K175""), $A65=IMPORTRANGE(""https://docs.google.com/spreadsheets/d/1kGrh75X1cNR"&amp;"1D7_FcY9zMnHP8iPO4M5RCRjy6nZY0TY/edit#gid=1248694442"",""Table 5: Risk of bias!A4:A175"")),$B65=""RoB 2"",FILTER(IMPORTRANGE(""https://docs.google.com/spreadsheets/d/1kGrh75X1cNR1D7_FcY9zMnHP8iPO4M5RCRjy6nZY0TY/edit#gid=1248694442"",""Table 5: Risk of bia"&amp;"s!S4:S175""), $A65=IMPORTRANGE(""https://docs.google.com/spreadsheets/d/1kGrh75X1cNR1D7_FcY9zMnHP8iPO4M5RCRjy6nZY0TY/edit#gid=1248694442"",""Table 5: Risk of bias!A4:A175"")))"),"Critical")</f>
        <v>Critical</v>
      </c>
      <c r="E65" s="4" t="str">
        <f>IFERROR(__xludf.DUMMYFUNCTION("IFS($B65=""ROBINS I"",FILTER(IMPORTRANGE(""https://docs.google.com/spreadsheets/d/1kGrh75X1cNR1D7_FcY9zMnHP8iPO4M5RCRjy6nZY0TY/edit#gid=1248694442"",""Table 5: Risk of bias!L4:L175""), $A65=IMPORTRANGE(""https://docs.google.com/spreadsheets/d/1kGrh75X1cNR"&amp;"1D7_FcY9zMnHP8iPO4M5RCRjy6nZY0TY/edit#gid=1248694442"",""Table 5: Risk of bias!A4:A175"")),$B65=""RoB 2"",FILTER(IMPORTRANGE(""https://docs.google.com/spreadsheets/d/1kGrh75X1cNR1D7_FcY9zMnHP8iPO4M5RCRjy6nZY0TY/edit#gid=1248694442"",""Table 5: Risk of bia"&amp;"s!T4:T175""), $A65=IMPORTRANGE(""https://docs.google.com/spreadsheets/d/1kGrh75X1cNR1D7_FcY9zMnHP8iPO4M5RCRjy6nZY0TY/edit#gid=1248694442"",""Table 5: Risk of bias!A4:A175"")))"),"Low")</f>
        <v>Low</v>
      </c>
      <c r="F65" s="4" t="str">
        <f>IFERROR(__xludf.DUMMYFUNCTION("IFS($B65=""ROBINS I"",FILTER(IMPORTRANGE(""https://docs.google.com/spreadsheets/d/1kGrh75X1cNR1D7_FcY9zMnHP8iPO4M5RCRjy6nZY0TY/edit#gid=1248694442"",""Table 5: Risk of bias!M4:M175""), $A65=IMPORTRANGE(""https://docs.google.com/spreadsheets/d/1kGrh75X1cNR"&amp;"1D7_FcY9zMnHP8iPO4M5RCRjy6nZY0TY/edit#gid=1248694442"",""Table 5: Risk of bias!A4:A175"")),$B65=""RoB 2"",FILTER(IMPORTRANGE(""https://docs.google.com/spreadsheets/d/1kGrh75X1cNR1D7_FcY9zMnHP8iPO4M5RCRjy6nZY0TY/edit#gid=1248694442"",""Table 5: Risk of bia"&amp;"s!U4:U175""), $A65=IMPORTRANGE(""https://docs.google.com/spreadsheets/d/1kGrh75X1cNR1D7_FcY9zMnHP8iPO4M5RCRjy6nZY0TY/edit#gid=1248694442"",""Table 5: Risk of bias!A4:A175"")))"),"Low")</f>
        <v>Low</v>
      </c>
      <c r="G65" s="4" t="str">
        <f>IFERROR(__xludf.DUMMYFUNCTION("IFS($B65=""ROBINS I"",FILTER(IMPORTRANGE(""https://docs.google.com/spreadsheets/d/1kGrh75X1cNR1D7_FcY9zMnHP8iPO4M5RCRjy6nZY0TY/edit#gid=1248694442"",""Table 5: Risk of bias!N4:N175""), $A65=IMPORTRANGE(""https://docs.google.com/spreadsheets/d/1kGrh75X1cNR"&amp;"1D7_FcY9zMnHP8iPO4M5RCRjy6nZY0TY/edit#gid=1248694442"",""Table 5: Risk of bias!A4:A175"")),$B65=""RoB 2"",FILTER(IMPORTRANGE(""https://docs.google.com/spreadsheets/d/1kGrh75X1cNR1D7_FcY9zMnHP8iPO4M5RCRjy6nZY0TY/edit#gid=1248694442"",""Table 5: Risk of bia"&amp;"s!V4:V175""), $A65=IMPORTRANGE(""https://docs.google.com/spreadsheets/d/1kGrh75X1cNR1D7_FcY9zMnHP8iPO4M5RCRjy6nZY0TY/edit#gid=1248694442"",""Table 5: Risk of bias!A4:A175"")))"),"Low")</f>
        <v>Low</v>
      </c>
      <c r="H65" s="4" t="str">
        <f>IFERROR(__xludf.DUMMYFUNCTION("IFS($B65=""ROBINS I"",FILTER(IMPORTRANGE(""https://docs.google.com/spreadsheets/d/1kGrh75X1cNR1D7_FcY9zMnHP8iPO4M5RCRjy6nZY0TY/edit#gid=1248694442"",""Table 5: Risk of bias!O4:O175""), $A65=IMPORTRANGE(""https://docs.google.com/spreadsheets/d/1kGrh75X1cNR"&amp;"1D7_FcY9zMnHP8iPO4M5RCRjy6nZY0TY/edit#gid=1248694442"",""Table 5: Risk of bias!A4:A175"")),$B65=""RoB 2"",FILTER(IMPORTRANGE(""https://docs.google.com/spreadsheets/d/1kGrh75X1cNR1D7_FcY9zMnHP8iPO4M5RCRjy6nZY0TY/edit#gid=1248694442"",""Table 5: Risk of bia"&amp;"s!W4:W175""), $A65=IMPORTRANGE(""https://docs.google.com/spreadsheets/d/1kGrh75X1cNR1D7_FcY9zMnHP8iPO4M5RCRjy6nZY0TY/edit#gid=1248694442"",""Table 5: Risk of bias!A4:A175"")))"),"Low")</f>
        <v>Low</v>
      </c>
      <c r="I65" s="4" t="str">
        <f>IFERROR(__xludf.DUMMYFUNCTION("FILTER(IMPORTRANGE(""https://docs.google.com/spreadsheets/d/1kGrh75X1cNR1D7_FcY9zMnHP8iPO4M5RCRjy6nZY0TY/edit#gid=1248694442"",""Table 5: Risk of bias!P4:P175""), $A65=IMPORTRANGE(""https://docs.google.com/spreadsheets/d/1kGrh75X1cNR1D7_FcY9zMnHP8iPO4M5RC"&amp;"Rjy6nZY0TY/edit#gid=1248694442"",""Table 5: Risk of bias!A4:A175""))"),"Critical")</f>
        <v>Critical</v>
      </c>
      <c r="J65" s="4" t="str">
        <f>IFERROR(__xludf.DUMMYFUNCTION("FILTER(IMPORTRANGE(""https://docs.google.com/spreadsheets/d/1kGrh75X1cNR1D7_FcY9zMnHP8iPO4M5RCRjy6nZY0TY/edit#gid=1248694442"",""Table 5: Risk of bias!Q4:Q175""), $A65=IMPORTRANGE(""https://docs.google.com/spreadsheets/d/1kGrh75X1cNR1D7_FcY9zMnHP8iPO4M5RC"&amp;"Rjy6nZY0TY/edit#gid=1248694442"",""Table 5: Risk of bias!A4:A175""))"),"Low")</f>
        <v>Low</v>
      </c>
    </row>
    <row r="66">
      <c r="A66" s="4" t="str">
        <f>IFERROR(__xludf.DUMMYFUNCTION("""COMPUTED_VALUE"""),"ID 146")</f>
        <v>ID 146</v>
      </c>
      <c r="B66" s="4" t="str">
        <f>IFERROR(__xludf.DUMMYFUNCTION("FILTER(IMPORTRANGE(""https://docs.google.com/spreadsheets/d/1kGrh75X1cNR1D7_FcY9zMnHP8iPO4M5RCRjy6nZY0TY/edit#gid=1248694442"",""Table 5: Risk of bias!D4:D175""), $A66=IMPORTRANGE(""https://docs.google.com/spreadsheets/d/1kGrh75X1cNR1D7_FcY9zMnHP8iPO4M5RC"&amp;"Rjy6nZY0TY/edit#gid=1248694442"",""Table 5: Risk of bias!A4:A175""))"),"RoB 2")</f>
        <v>RoB 2</v>
      </c>
      <c r="C66" s="4" t="str">
        <f>IFERROR(__xludf.DUMMYFUNCTION("IFS(
$B66=""ROBINS I"", FILTER(IMPORTRANGE(""https://docs.google.com/spreadsheets/d/1kGrh75X1cNR1D7_FcY9zMnHP8iPO4M5RCRjy6nZY0TY/edit#gid=1248694442"",""Table 5: Risk of bias!J4:J175""),  $A66=IMPORTRANGE(""https://docs.google.com/spreadsheets/d/1kGrh75X1"&amp;"cNR1D7_FcY9zMnHP8iPO4M5RCRjy6nZY0TY/edit#gid=1248694442"",""Table 5: Risk of bias!A4:A175"")),
$B66=""RoB 2"", FILTER(IMPORTRANGE(""https://docs.google.com/spreadsheets/d/1kGrh75X1cNR1D7_FcY9zMnHP8iPO4M5RCRjy6nZY0TY/edit#gid=1248694442"",""Table 5: Risk o"&amp;"f bias!R4:R175""), $A66=IMPORTRANGE(""https://docs.google.com/spreadsheets/d/1kGrh75X1cNR1D7_FcY9zMnHP8iPO4M5RCRjy6nZY0TY/edit#gid=1248694442"",""Table 5: Risk of bias!A4:A175""))
)"),"Low")</f>
        <v>Low</v>
      </c>
      <c r="D66" s="4" t="str">
        <f>IFERROR(__xludf.DUMMYFUNCTION("IFS($B66=""ROBINS I"",FILTER(IMPORTRANGE(""https://docs.google.com/spreadsheets/d/1kGrh75X1cNR1D7_FcY9zMnHP8iPO4M5RCRjy6nZY0TY/edit#gid=1248694442"",""Table 5: Risk of bias!K4:K175""), $A66=IMPORTRANGE(""https://docs.google.com/spreadsheets/d/1kGrh75X1cNR"&amp;"1D7_FcY9zMnHP8iPO4M5RCRjy6nZY0TY/edit#gid=1248694442"",""Table 5: Risk of bias!A4:A175"")),$B66=""RoB 2"",FILTER(IMPORTRANGE(""https://docs.google.com/spreadsheets/d/1kGrh75X1cNR1D7_FcY9zMnHP8iPO4M5RCRjy6nZY0TY/edit#gid=1248694442"",""Table 5: Risk of bia"&amp;"s!S4:S175""), $A66=IMPORTRANGE(""https://docs.google.com/spreadsheets/d/1kGrh75X1cNR1D7_FcY9zMnHP8iPO4M5RCRjy6nZY0TY/edit#gid=1248694442"",""Table 5: Risk of bias!A4:A175"")))"),"Low")</f>
        <v>Low</v>
      </c>
      <c r="E66" s="4" t="str">
        <f>IFERROR(__xludf.DUMMYFUNCTION("IFS($B66=""ROBINS I"",FILTER(IMPORTRANGE(""https://docs.google.com/spreadsheets/d/1kGrh75X1cNR1D7_FcY9zMnHP8iPO4M5RCRjy6nZY0TY/edit#gid=1248694442"",""Table 5: Risk of bias!L4:L175""), $A66=IMPORTRANGE(""https://docs.google.com/spreadsheets/d/1kGrh75X1cNR"&amp;"1D7_FcY9zMnHP8iPO4M5RCRjy6nZY0TY/edit#gid=1248694442"",""Table 5: Risk of bias!A4:A175"")),$B66=""RoB 2"",FILTER(IMPORTRANGE(""https://docs.google.com/spreadsheets/d/1kGrh75X1cNR1D7_FcY9zMnHP8iPO4M5RCRjy6nZY0TY/edit#gid=1248694442"",""Table 5: Risk of bia"&amp;"s!T4:T175""), $A66=IMPORTRANGE(""https://docs.google.com/spreadsheets/d/1kGrh75X1cNR1D7_FcY9zMnHP8iPO4M5RCRjy6nZY0TY/edit#gid=1248694442"",""Table 5: Risk of bias!A4:A175"")))"),"Low")</f>
        <v>Low</v>
      </c>
      <c r="F66" s="4" t="str">
        <f>IFERROR(__xludf.DUMMYFUNCTION("IFS($B66=""ROBINS I"",FILTER(IMPORTRANGE(""https://docs.google.com/spreadsheets/d/1kGrh75X1cNR1D7_FcY9zMnHP8iPO4M5RCRjy6nZY0TY/edit#gid=1248694442"",""Table 5: Risk of bias!M4:M175""), $A66=IMPORTRANGE(""https://docs.google.com/spreadsheets/d/1kGrh75X1cNR"&amp;"1D7_FcY9zMnHP8iPO4M5RCRjy6nZY0TY/edit#gid=1248694442"",""Table 5: Risk of bias!A4:A175"")),$B66=""RoB 2"",FILTER(IMPORTRANGE(""https://docs.google.com/spreadsheets/d/1kGrh75X1cNR1D7_FcY9zMnHP8iPO4M5RCRjy6nZY0TY/edit#gid=1248694442"",""Table 5: Risk of bia"&amp;"s!U4:U175""), $A66=IMPORTRANGE(""https://docs.google.com/spreadsheets/d/1kGrh75X1cNR1D7_FcY9zMnHP8iPO4M5RCRjy6nZY0TY/edit#gid=1248694442"",""Table 5: Risk of bias!A4:A175"")))"),"Low")</f>
        <v>Low</v>
      </c>
      <c r="G66" s="4" t="str">
        <f>IFERROR(__xludf.DUMMYFUNCTION("IFS($B66=""ROBINS I"",FILTER(IMPORTRANGE(""https://docs.google.com/spreadsheets/d/1kGrh75X1cNR1D7_FcY9zMnHP8iPO4M5RCRjy6nZY0TY/edit#gid=1248694442"",""Table 5: Risk of bias!N4:N175""), $A66=IMPORTRANGE(""https://docs.google.com/spreadsheets/d/1kGrh75X1cNR"&amp;"1D7_FcY9zMnHP8iPO4M5RCRjy6nZY0TY/edit#gid=1248694442"",""Table 5: Risk of bias!A4:A175"")),$B66=""RoB 2"",FILTER(IMPORTRANGE(""https://docs.google.com/spreadsheets/d/1kGrh75X1cNR1D7_FcY9zMnHP8iPO4M5RCRjy6nZY0TY/edit#gid=1248694442"",""Table 5: Risk of bia"&amp;"s!V4:V175""), $A66=IMPORTRANGE(""https://docs.google.com/spreadsheets/d/1kGrh75X1cNR1D7_FcY9zMnHP8iPO4M5RCRjy6nZY0TY/edit#gid=1248694442"",""Table 5: Risk of bias!A4:A175"")))"),"Low")</f>
        <v>Low</v>
      </c>
      <c r="H66" s="4" t="str">
        <f>IFERROR(__xludf.DUMMYFUNCTION("IFS($B66=""ROBINS I"",FILTER(IMPORTRANGE(""https://docs.google.com/spreadsheets/d/1kGrh75X1cNR1D7_FcY9zMnHP8iPO4M5RCRjy6nZY0TY/edit#gid=1248694442"",""Table 5: Risk of bias!O4:O175""), $A66=IMPORTRANGE(""https://docs.google.com/spreadsheets/d/1kGrh75X1cNR"&amp;"1D7_FcY9zMnHP8iPO4M5RCRjy6nZY0TY/edit#gid=1248694442"",""Table 5: Risk of bias!A4:A175"")),$B66=""RoB 2"",FILTER(IMPORTRANGE(""https://docs.google.com/spreadsheets/d/1kGrh75X1cNR1D7_FcY9zMnHP8iPO4M5RCRjy6nZY0TY/edit#gid=1248694442"",""Table 5: Risk of bia"&amp;"s!W4:W175""), $A66=IMPORTRANGE(""https://docs.google.com/spreadsheets/d/1kGrh75X1cNR1D7_FcY9zMnHP8iPO4M5RCRjy6nZY0TY/edit#gid=1248694442"",""Table 5: Risk of bias!A4:A175"")))"),"Low")</f>
        <v>Low</v>
      </c>
      <c r="I66" s="4" t="str">
        <f>IFERROR(__xludf.DUMMYFUNCTION("FILTER(IMPORTRANGE(""https://docs.google.com/spreadsheets/d/1kGrh75X1cNR1D7_FcY9zMnHP8iPO4M5RCRjy6nZY0TY/edit#gid=1248694442"",""Table 5: Risk of bias!P4:P175""), $A66=IMPORTRANGE(""https://docs.google.com/spreadsheets/d/1kGrh75X1cNR1D7_FcY9zMnHP8iPO4M5RC"&amp;"Rjy6nZY0TY/edit#gid=1248694442"",""Table 5: Risk of bias!A4:A175""))"),"Low")</f>
        <v>Low</v>
      </c>
      <c r="J66" s="4" t="str">
        <f>IFERROR(__xludf.DUMMYFUNCTION("FILTER(IMPORTRANGE(""https://docs.google.com/spreadsheets/d/1kGrh75X1cNR1D7_FcY9zMnHP8iPO4M5RCRjy6nZY0TY/edit#gid=1248694442"",""Table 5: Risk of bias!Q4:Q175""), $A66=IMPORTRANGE(""https://docs.google.com/spreadsheets/d/1kGrh75X1cNR1D7_FcY9zMnHP8iPO4M5RC"&amp;"Rjy6nZY0TY/edit#gid=1248694442"",""Table 5: Risk of bias!A4:A175""))"),"Low")</f>
        <v>Low</v>
      </c>
    </row>
    <row r="67">
      <c r="A67" s="4" t="str">
        <f>IFERROR(__xludf.DUMMYFUNCTION("""COMPUTED_VALUE"""),"ID 149")</f>
        <v>ID 149</v>
      </c>
      <c r="B67" s="4" t="str">
        <f>IFERROR(__xludf.DUMMYFUNCTION("FILTER(IMPORTRANGE(""https://docs.google.com/spreadsheets/d/1kGrh75X1cNR1D7_FcY9zMnHP8iPO4M5RCRjy6nZY0TY/edit#gid=1248694442"",""Table 5: Risk of bias!D4:D175""), $A67=IMPORTRANGE(""https://docs.google.com/spreadsheets/d/1kGrh75X1cNR1D7_FcY9zMnHP8iPO4M5RC"&amp;"Rjy6nZY0TY/edit#gid=1248694442"",""Table 5: Risk of bias!A4:A175""))"),"ROBINS I")</f>
        <v>ROBINS I</v>
      </c>
      <c r="C67" s="4" t="str">
        <f>IFERROR(__xludf.DUMMYFUNCTION("IFS(
$B67=""ROBINS I"", FILTER(IMPORTRANGE(""https://docs.google.com/spreadsheets/d/1kGrh75X1cNR1D7_FcY9zMnHP8iPO4M5RCRjy6nZY0TY/edit#gid=1248694442"",""Table 5: Risk of bias!J4:J175""),  $A67=IMPORTRANGE(""https://docs.google.com/spreadsheets/d/1kGrh75X1"&amp;"cNR1D7_FcY9zMnHP8iPO4M5RCRjy6nZY0TY/edit#gid=1248694442"",""Table 5: Risk of bias!A4:A175"")),
$B67=""RoB 2"", FILTER(IMPORTRANGE(""https://docs.google.com/spreadsheets/d/1kGrh75X1cNR1D7_FcY9zMnHP8iPO4M5RCRjy6nZY0TY/edit#gid=1248694442"",""Table 5: Risk o"&amp;"f bias!R4:R175""), $A67=IMPORTRANGE(""https://docs.google.com/spreadsheets/d/1kGrh75X1cNR1D7_FcY9zMnHP8iPO4M5RCRjy6nZY0TY/edit#gid=1248694442"",""Table 5: Risk of bias!A4:A175""))
)"),"Serious")</f>
        <v>Serious</v>
      </c>
      <c r="D67" s="4" t="str">
        <f>IFERROR(__xludf.DUMMYFUNCTION("IFS($B67=""ROBINS I"",FILTER(IMPORTRANGE(""https://docs.google.com/spreadsheets/d/1kGrh75X1cNR1D7_FcY9zMnHP8iPO4M5RCRjy6nZY0TY/edit#gid=1248694442"",""Table 5: Risk of bias!K4:K175""), $A67=IMPORTRANGE(""https://docs.google.com/spreadsheets/d/1kGrh75X1cNR"&amp;"1D7_FcY9zMnHP8iPO4M5RCRjy6nZY0TY/edit#gid=1248694442"",""Table 5: Risk of bias!A4:A175"")),$B67=""RoB 2"",FILTER(IMPORTRANGE(""https://docs.google.com/spreadsheets/d/1kGrh75X1cNR1D7_FcY9zMnHP8iPO4M5RCRjy6nZY0TY/edit#gid=1248694442"",""Table 5: Risk of bia"&amp;"s!S4:S175""), $A67=IMPORTRANGE(""https://docs.google.com/spreadsheets/d/1kGrh75X1cNR1D7_FcY9zMnHP8iPO4M5RCRjy6nZY0TY/edit#gid=1248694442"",""Table 5: Risk of bias!A4:A175"")))"),"Serious")</f>
        <v>Serious</v>
      </c>
      <c r="E67" s="4" t="str">
        <f>IFERROR(__xludf.DUMMYFUNCTION("IFS($B67=""ROBINS I"",FILTER(IMPORTRANGE(""https://docs.google.com/spreadsheets/d/1kGrh75X1cNR1D7_FcY9zMnHP8iPO4M5RCRjy6nZY0TY/edit#gid=1248694442"",""Table 5: Risk of bias!L4:L175""), $A67=IMPORTRANGE(""https://docs.google.com/spreadsheets/d/1kGrh75X1cNR"&amp;"1D7_FcY9zMnHP8iPO4M5RCRjy6nZY0TY/edit#gid=1248694442"",""Table 5: Risk of bias!A4:A175"")),$B67=""RoB 2"",FILTER(IMPORTRANGE(""https://docs.google.com/spreadsheets/d/1kGrh75X1cNR1D7_FcY9zMnHP8iPO4M5RCRjy6nZY0TY/edit#gid=1248694442"",""Table 5: Risk of bia"&amp;"s!T4:T175""), $A67=IMPORTRANGE(""https://docs.google.com/spreadsheets/d/1kGrh75X1cNR1D7_FcY9zMnHP8iPO4M5RCRjy6nZY0TY/edit#gid=1248694442"",""Table 5: Risk of bias!A4:A175"")))"),"Low")</f>
        <v>Low</v>
      </c>
      <c r="F67" s="4" t="str">
        <f>IFERROR(__xludf.DUMMYFUNCTION("IFS($B67=""ROBINS I"",FILTER(IMPORTRANGE(""https://docs.google.com/spreadsheets/d/1kGrh75X1cNR1D7_FcY9zMnHP8iPO4M5RCRjy6nZY0TY/edit#gid=1248694442"",""Table 5: Risk of bias!M4:M175""), $A67=IMPORTRANGE(""https://docs.google.com/spreadsheets/d/1kGrh75X1cNR"&amp;"1D7_FcY9zMnHP8iPO4M5RCRjy6nZY0TY/edit#gid=1248694442"",""Table 5: Risk of bias!A4:A175"")),$B67=""RoB 2"",FILTER(IMPORTRANGE(""https://docs.google.com/spreadsheets/d/1kGrh75X1cNR1D7_FcY9zMnHP8iPO4M5RCRjy6nZY0TY/edit#gid=1248694442"",""Table 5: Risk of bia"&amp;"s!U4:U175""), $A67=IMPORTRANGE(""https://docs.google.com/spreadsheets/d/1kGrh75X1cNR1D7_FcY9zMnHP8iPO4M5RCRjy6nZY0TY/edit#gid=1248694442"",""Table 5: Risk of bias!A4:A175"")))"),"Moderate")</f>
        <v>Moderate</v>
      </c>
      <c r="G67" s="4" t="str">
        <f>IFERROR(__xludf.DUMMYFUNCTION("IFS($B67=""ROBINS I"",FILTER(IMPORTRANGE(""https://docs.google.com/spreadsheets/d/1kGrh75X1cNR1D7_FcY9zMnHP8iPO4M5RCRjy6nZY0TY/edit#gid=1248694442"",""Table 5: Risk of bias!N4:N175""), $A67=IMPORTRANGE(""https://docs.google.com/spreadsheets/d/1kGrh75X1cNR"&amp;"1D7_FcY9zMnHP8iPO4M5RCRjy6nZY0TY/edit#gid=1248694442"",""Table 5: Risk of bias!A4:A175"")),$B67=""RoB 2"",FILTER(IMPORTRANGE(""https://docs.google.com/spreadsheets/d/1kGrh75X1cNR1D7_FcY9zMnHP8iPO4M5RCRjy6nZY0TY/edit#gid=1248694442"",""Table 5: Risk of bia"&amp;"s!V4:V175""), $A67=IMPORTRANGE(""https://docs.google.com/spreadsheets/d/1kGrh75X1cNR1D7_FcY9zMnHP8iPO4M5RCRjy6nZY0TY/edit#gid=1248694442"",""Table 5: Risk of bias!A4:A175"")))"),"Low")</f>
        <v>Low</v>
      </c>
      <c r="H67" s="4" t="str">
        <f>IFERROR(__xludf.DUMMYFUNCTION("IFS($B67=""ROBINS I"",FILTER(IMPORTRANGE(""https://docs.google.com/spreadsheets/d/1kGrh75X1cNR1D7_FcY9zMnHP8iPO4M5RCRjy6nZY0TY/edit#gid=1248694442"",""Table 5: Risk of bias!O4:O175""), $A67=IMPORTRANGE(""https://docs.google.com/spreadsheets/d/1kGrh75X1cNR"&amp;"1D7_FcY9zMnHP8iPO4M5RCRjy6nZY0TY/edit#gid=1248694442"",""Table 5: Risk of bias!A4:A175"")),$B67=""RoB 2"",FILTER(IMPORTRANGE(""https://docs.google.com/spreadsheets/d/1kGrh75X1cNR1D7_FcY9zMnHP8iPO4M5RCRjy6nZY0TY/edit#gid=1248694442"",""Table 5: Risk of bia"&amp;"s!W4:W175""), $A67=IMPORTRANGE(""https://docs.google.com/spreadsheets/d/1kGrh75X1cNR1D7_FcY9zMnHP8iPO4M5RCRjy6nZY0TY/edit#gid=1248694442"",""Table 5: Risk of bias!A4:A175"")))"),"Low")</f>
        <v>Low</v>
      </c>
      <c r="I67" s="4" t="str">
        <f>IFERROR(__xludf.DUMMYFUNCTION("FILTER(IMPORTRANGE(""https://docs.google.com/spreadsheets/d/1kGrh75X1cNR1D7_FcY9zMnHP8iPO4M5RCRjy6nZY0TY/edit#gid=1248694442"",""Table 5: Risk of bias!P4:P175""), $A67=IMPORTRANGE(""https://docs.google.com/spreadsheets/d/1kGrh75X1cNR1D7_FcY9zMnHP8iPO4M5RC"&amp;"Rjy6nZY0TY/edit#gid=1248694442"",""Table 5: Risk of bias!A4:A175""))"),"Moderate")</f>
        <v>Moderate</v>
      </c>
      <c r="J67" s="4" t="str">
        <f>IFERROR(__xludf.DUMMYFUNCTION("FILTER(IMPORTRANGE(""https://docs.google.com/spreadsheets/d/1kGrh75X1cNR1D7_FcY9zMnHP8iPO4M5RCRjy6nZY0TY/edit#gid=1248694442"",""Table 5: Risk of bias!Q4:Q175""), $A67=IMPORTRANGE(""https://docs.google.com/spreadsheets/d/1kGrh75X1cNR1D7_FcY9zMnHP8iPO4M5RC"&amp;"Rjy6nZY0TY/edit#gid=1248694442"",""Table 5: Risk of bias!A4:A175""))"),"Moderate")</f>
        <v>Moderate</v>
      </c>
    </row>
    <row r="68">
      <c r="A68" s="4" t="str">
        <f>IFERROR(__xludf.DUMMYFUNCTION("""COMPUTED_VALUE"""),"ID 151")</f>
        <v>ID 151</v>
      </c>
      <c r="B68" s="4" t="str">
        <f>IFERROR(__xludf.DUMMYFUNCTION("FILTER(IMPORTRANGE(""https://docs.google.com/spreadsheets/d/1kGrh75X1cNR1D7_FcY9zMnHP8iPO4M5RCRjy6nZY0TY/edit#gid=1248694442"",""Table 5: Risk of bias!D4:D175""), $A68=IMPORTRANGE(""https://docs.google.com/spreadsheets/d/1kGrh75X1cNR1D7_FcY9zMnHP8iPO4M5RC"&amp;"Rjy6nZY0TY/edit#gid=1248694442"",""Table 5: Risk of bias!A4:A175""))"),"ROBINS I")</f>
        <v>ROBINS I</v>
      </c>
      <c r="C68" s="4" t="str">
        <f>IFERROR(__xludf.DUMMYFUNCTION("IFS(
$B68=""ROBINS I"", FILTER(IMPORTRANGE(""https://docs.google.com/spreadsheets/d/1kGrh75X1cNR1D7_FcY9zMnHP8iPO4M5RCRjy6nZY0TY/edit#gid=1248694442"",""Table 5: Risk of bias!J4:J175""),  $A68=IMPORTRANGE(""https://docs.google.com/spreadsheets/d/1kGrh75X1"&amp;"cNR1D7_FcY9zMnHP8iPO4M5RCRjy6nZY0TY/edit#gid=1248694442"",""Table 5: Risk of bias!A4:A175"")),
$B68=""RoB 2"", FILTER(IMPORTRANGE(""https://docs.google.com/spreadsheets/d/1kGrh75X1cNR1D7_FcY9zMnHP8iPO4M5RCRjy6nZY0TY/edit#gid=1248694442"",""Table 5: Risk o"&amp;"f bias!R4:R175""), $A68=IMPORTRANGE(""https://docs.google.com/spreadsheets/d/1kGrh75X1cNR1D7_FcY9zMnHP8iPO4M5RCRjy6nZY0TY/edit#gid=1248694442"",""Table 5: Risk of bias!A4:A175""))
)"),"Serious")</f>
        <v>Serious</v>
      </c>
      <c r="D68" s="4" t="str">
        <f>IFERROR(__xludf.DUMMYFUNCTION("IFS($B68=""ROBINS I"",FILTER(IMPORTRANGE(""https://docs.google.com/spreadsheets/d/1kGrh75X1cNR1D7_FcY9zMnHP8iPO4M5RCRjy6nZY0TY/edit#gid=1248694442"",""Table 5: Risk of bias!K4:K175""), $A68=IMPORTRANGE(""https://docs.google.com/spreadsheets/d/1kGrh75X1cNR"&amp;"1D7_FcY9zMnHP8iPO4M5RCRjy6nZY0TY/edit#gid=1248694442"",""Table 5: Risk of bias!A4:A175"")),$B68=""RoB 2"",FILTER(IMPORTRANGE(""https://docs.google.com/spreadsheets/d/1kGrh75X1cNR1D7_FcY9zMnHP8iPO4M5RCRjy6nZY0TY/edit#gid=1248694442"",""Table 5: Risk of bia"&amp;"s!S4:S175""), $A68=IMPORTRANGE(""https://docs.google.com/spreadsheets/d/1kGrh75X1cNR1D7_FcY9zMnHP8iPO4M5RCRjy6nZY0TY/edit#gid=1248694442"",""Table 5: Risk of bias!A4:A175"")))"),"Moderate")</f>
        <v>Moderate</v>
      </c>
      <c r="E68" s="4" t="str">
        <f>IFERROR(__xludf.DUMMYFUNCTION("IFS($B68=""ROBINS I"",FILTER(IMPORTRANGE(""https://docs.google.com/spreadsheets/d/1kGrh75X1cNR1D7_FcY9zMnHP8iPO4M5RCRjy6nZY0TY/edit#gid=1248694442"",""Table 5: Risk of bias!L4:L175""), $A68=IMPORTRANGE(""https://docs.google.com/spreadsheets/d/1kGrh75X1cNR"&amp;"1D7_FcY9zMnHP8iPO4M5RCRjy6nZY0TY/edit#gid=1248694442"",""Table 5: Risk of bias!A4:A175"")),$B68=""RoB 2"",FILTER(IMPORTRANGE(""https://docs.google.com/spreadsheets/d/1kGrh75X1cNR1D7_FcY9zMnHP8iPO4M5RCRjy6nZY0TY/edit#gid=1248694442"",""Table 5: Risk of bia"&amp;"s!T4:T175""), $A68=IMPORTRANGE(""https://docs.google.com/spreadsheets/d/1kGrh75X1cNR1D7_FcY9zMnHP8iPO4M5RCRjy6nZY0TY/edit#gid=1248694442"",""Table 5: Risk of bias!A4:A175"")))"),"Moderate")</f>
        <v>Moderate</v>
      </c>
      <c r="F68" s="4" t="str">
        <f>IFERROR(__xludf.DUMMYFUNCTION("IFS($B68=""ROBINS I"",FILTER(IMPORTRANGE(""https://docs.google.com/spreadsheets/d/1kGrh75X1cNR1D7_FcY9zMnHP8iPO4M5RCRjy6nZY0TY/edit#gid=1248694442"",""Table 5: Risk of bias!M4:M175""), $A68=IMPORTRANGE(""https://docs.google.com/spreadsheets/d/1kGrh75X1cNR"&amp;"1D7_FcY9zMnHP8iPO4M5RCRjy6nZY0TY/edit#gid=1248694442"",""Table 5: Risk of bias!A4:A175"")),$B68=""RoB 2"",FILTER(IMPORTRANGE(""https://docs.google.com/spreadsheets/d/1kGrh75X1cNR1D7_FcY9zMnHP8iPO4M5RCRjy6nZY0TY/edit#gid=1248694442"",""Table 5: Risk of bia"&amp;"s!U4:U175""), $A68=IMPORTRANGE(""https://docs.google.com/spreadsheets/d/1kGrh75X1cNR1D7_FcY9zMnHP8iPO4M5RCRjy6nZY0TY/edit#gid=1248694442"",""Table 5: Risk of bias!A4:A175"")))"),"Moderate")</f>
        <v>Moderate</v>
      </c>
      <c r="G68" s="4" t="str">
        <f>IFERROR(__xludf.DUMMYFUNCTION("IFS($B68=""ROBINS I"",FILTER(IMPORTRANGE(""https://docs.google.com/spreadsheets/d/1kGrh75X1cNR1D7_FcY9zMnHP8iPO4M5RCRjy6nZY0TY/edit#gid=1248694442"",""Table 5: Risk of bias!N4:N175""), $A68=IMPORTRANGE(""https://docs.google.com/spreadsheets/d/1kGrh75X1cNR"&amp;"1D7_FcY9zMnHP8iPO4M5RCRjy6nZY0TY/edit#gid=1248694442"",""Table 5: Risk of bias!A4:A175"")),$B68=""RoB 2"",FILTER(IMPORTRANGE(""https://docs.google.com/spreadsheets/d/1kGrh75X1cNR1D7_FcY9zMnHP8iPO4M5RCRjy6nZY0TY/edit#gid=1248694442"",""Table 5: Risk of bia"&amp;"s!V4:V175""), $A68=IMPORTRANGE(""https://docs.google.com/spreadsheets/d/1kGrh75X1cNR1D7_FcY9zMnHP8iPO4M5RCRjy6nZY0TY/edit#gid=1248694442"",""Table 5: Risk of bias!A4:A175"")))"),"Low")</f>
        <v>Low</v>
      </c>
      <c r="H68" s="4" t="str">
        <f>IFERROR(__xludf.DUMMYFUNCTION("IFS($B68=""ROBINS I"",FILTER(IMPORTRANGE(""https://docs.google.com/spreadsheets/d/1kGrh75X1cNR1D7_FcY9zMnHP8iPO4M5RCRjy6nZY0TY/edit#gid=1248694442"",""Table 5: Risk of bias!O4:O175""), $A68=IMPORTRANGE(""https://docs.google.com/spreadsheets/d/1kGrh75X1cNR"&amp;"1D7_FcY9zMnHP8iPO4M5RCRjy6nZY0TY/edit#gid=1248694442"",""Table 5: Risk of bias!A4:A175"")),$B68=""RoB 2"",FILTER(IMPORTRANGE(""https://docs.google.com/spreadsheets/d/1kGrh75X1cNR1D7_FcY9zMnHP8iPO4M5RCRjy6nZY0TY/edit#gid=1248694442"",""Table 5: Risk of bia"&amp;"s!W4:W175""), $A68=IMPORTRANGE(""https://docs.google.com/spreadsheets/d/1kGrh75X1cNR1D7_FcY9zMnHP8iPO4M5RCRjy6nZY0TY/edit#gid=1248694442"",""Table 5: Risk of bias!A4:A175"")))"),"Low")</f>
        <v>Low</v>
      </c>
      <c r="I68" s="4" t="str">
        <f>IFERROR(__xludf.DUMMYFUNCTION("FILTER(IMPORTRANGE(""https://docs.google.com/spreadsheets/d/1kGrh75X1cNR1D7_FcY9zMnHP8iPO4M5RCRjy6nZY0TY/edit#gid=1248694442"",""Table 5: Risk of bias!P4:P175""), $A68=IMPORTRANGE(""https://docs.google.com/spreadsheets/d/1kGrh75X1cNR1D7_FcY9zMnHP8iPO4M5RC"&amp;"Rjy6nZY0TY/edit#gid=1248694442"",""Table 5: Risk of bias!A4:A175""))"),"Moderate")</f>
        <v>Moderate</v>
      </c>
      <c r="J68" s="4" t="str">
        <f>IFERROR(__xludf.DUMMYFUNCTION("FILTER(IMPORTRANGE(""https://docs.google.com/spreadsheets/d/1kGrh75X1cNR1D7_FcY9zMnHP8iPO4M5RCRjy6nZY0TY/edit#gid=1248694442"",""Table 5: Risk of bias!Q4:Q175""), $A68=IMPORTRANGE(""https://docs.google.com/spreadsheets/d/1kGrh75X1cNR1D7_FcY9zMnHP8iPO4M5RC"&amp;"Rjy6nZY0TY/edit#gid=1248694442"",""Table 5: Risk of bias!A4:A175""))"),"Serious")</f>
        <v>Serious</v>
      </c>
    </row>
    <row r="69">
      <c r="A69" s="4" t="str">
        <f>IFERROR(__xludf.DUMMYFUNCTION("""COMPUTED_VALUE"""),"ID 152")</f>
        <v>ID 152</v>
      </c>
      <c r="B69" s="4" t="str">
        <f>IFERROR(__xludf.DUMMYFUNCTION("FILTER(IMPORTRANGE(""https://docs.google.com/spreadsheets/d/1kGrh75X1cNR1D7_FcY9zMnHP8iPO4M5RCRjy6nZY0TY/edit#gid=1248694442"",""Table 5: Risk of bias!D4:D175""), $A69=IMPORTRANGE(""https://docs.google.com/spreadsheets/d/1kGrh75X1cNR1D7_FcY9zMnHP8iPO4M5RC"&amp;"Rjy6nZY0TY/edit#gid=1248694442"",""Table 5: Risk of bias!A4:A175""))"),"ROBINS I")</f>
        <v>ROBINS I</v>
      </c>
      <c r="C69" s="4" t="str">
        <f>IFERROR(__xludf.DUMMYFUNCTION("IFS(
$B69=""ROBINS I"", FILTER(IMPORTRANGE(""https://docs.google.com/spreadsheets/d/1kGrh75X1cNR1D7_FcY9zMnHP8iPO4M5RCRjy6nZY0TY/edit#gid=1248694442"",""Table 5: Risk of bias!J4:J175""),  $A69=IMPORTRANGE(""https://docs.google.com/spreadsheets/d/1kGrh75X1"&amp;"cNR1D7_FcY9zMnHP8iPO4M5RCRjy6nZY0TY/edit#gid=1248694442"",""Table 5: Risk of bias!A4:A175"")),
$B69=""RoB 2"", FILTER(IMPORTRANGE(""https://docs.google.com/spreadsheets/d/1kGrh75X1cNR1D7_FcY9zMnHP8iPO4M5RCRjy6nZY0TY/edit#gid=1248694442"",""Table 5: Risk o"&amp;"f bias!R4:R175""), $A69=IMPORTRANGE(""https://docs.google.com/spreadsheets/d/1kGrh75X1cNR1D7_FcY9zMnHP8iPO4M5RCRjy6nZY0TY/edit#gid=1248694442"",""Table 5: Risk of bias!A4:A175""))
)"),"Serious")</f>
        <v>Serious</v>
      </c>
      <c r="D69" s="4" t="str">
        <f>IFERROR(__xludf.DUMMYFUNCTION("IFS($B69=""ROBINS I"",FILTER(IMPORTRANGE(""https://docs.google.com/spreadsheets/d/1kGrh75X1cNR1D7_FcY9zMnHP8iPO4M5RCRjy6nZY0TY/edit#gid=1248694442"",""Table 5: Risk of bias!K4:K175""), $A69=IMPORTRANGE(""https://docs.google.com/spreadsheets/d/1kGrh75X1cNR"&amp;"1D7_FcY9zMnHP8iPO4M5RCRjy6nZY0TY/edit#gid=1248694442"",""Table 5: Risk of bias!A4:A175"")),$B69=""RoB 2"",FILTER(IMPORTRANGE(""https://docs.google.com/spreadsheets/d/1kGrh75X1cNR1D7_FcY9zMnHP8iPO4M5RCRjy6nZY0TY/edit#gid=1248694442"",""Table 5: Risk of bia"&amp;"s!S4:S175""), $A69=IMPORTRANGE(""https://docs.google.com/spreadsheets/d/1kGrh75X1cNR1D7_FcY9zMnHP8iPO4M5RCRjy6nZY0TY/edit#gid=1248694442"",""Table 5: Risk of bias!A4:A175"")))"),"Low")</f>
        <v>Low</v>
      </c>
      <c r="E69" s="4" t="str">
        <f>IFERROR(__xludf.DUMMYFUNCTION("IFS($B69=""ROBINS I"",FILTER(IMPORTRANGE(""https://docs.google.com/spreadsheets/d/1kGrh75X1cNR1D7_FcY9zMnHP8iPO4M5RCRjy6nZY0TY/edit#gid=1248694442"",""Table 5: Risk of bias!L4:L175""), $A69=IMPORTRANGE(""https://docs.google.com/spreadsheets/d/1kGrh75X1cNR"&amp;"1D7_FcY9zMnHP8iPO4M5RCRjy6nZY0TY/edit#gid=1248694442"",""Table 5: Risk of bias!A4:A175"")),$B69=""RoB 2"",FILTER(IMPORTRANGE(""https://docs.google.com/spreadsheets/d/1kGrh75X1cNR1D7_FcY9zMnHP8iPO4M5RCRjy6nZY0TY/edit#gid=1248694442"",""Table 5: Risk of bia"&amp;"s!T4:T175""), $A69=IMPORTRANGE(""https://docs.google.com/spreadsheets/d/1kGrh75X1cNR1D7_FcY9zMnHP8iPO4M5RCRjy6nZY0TY/edit#gid=1248694442"",""Table 5: Risk of bias!A4:A175"")))"),"Moderate")</f>
        <v>Moderate</v>
      </c>
      <c r="F69" s="4" t="str">
        <f>IFERROR(__xludf.DUMMYFUNCTION("IFS($B69=""ROBINS I"",FILTER(IMPORTRANGE(""https://docs.google.com/spreadsheets/d/1kGrh75X1cNR1D7_FcY9zMnHP8iPO4M5RCRjy6nZY0TY/edit#gid=1248694442"",""Table 5: Risk of bias!M4:M175""), $A69=IMPORTRANGE(""https://docs.google.com/spreadsheets/d/1kGrh75X1cNR"&amp;"1D7_FcY9zMnHP8iPO4M5RCRjy6nZY0TY/edit#gid=1248694442"",""Table 5: Risk of bias!A4:A175"")),$B69=""RoB 2"",FILTER(IMPORTRANGE(""https://docs.google.com/spreadsheets/d/1kGrh75X1cNR1D7_FcY9zMnHP8iPO4M5RCRjy6nZY0TY/edit#gid=1248694442"",""Table 5: Risk of bia"&amp;"s!U4:U175""), $A69=IMPORTRANGE(""https://docs.google.com/spreadsheets/d/1kGrh75X1cNR1D7_FcY9zMnHP8iPO4M5RCRjy6nZY0TY/edit#gid=1248694442"",""Table 5: Risk of bias!A4:A175"")))"),"Serious")</f>
        <v>Serious</v>
      </c>
      <c r="G69" s="4" t="str">
        <f>IFERROR(__xludf.DUMMYFUNCTION("IFS($B69=""ROBINS I"",FILTER(IMPORTRANGE(""https://docs.google.com/spreadsheets/d/1kGrh75X1cNR1D7_FcY9zMnHP8iPO4M5RCRjy6nZY0TY/edit#gid=1248694442"",""Table 5: Risk of bias!N4:N175""), $A69=IMPORTRANGE(""https://docs.google.com/spreadsheets/d/1kGrh75X1cNR"&amp;"1D7_FcY9zMnHP8iPO4M5RCRjy6nZY0TY/edit#gid=1248694442"",""Table 5: Risk of bias!A4:A175"")),$B69=""RoB 2"",FILTER(IMPORTRANGE(""https://docs.google.com/spreadsheets/d/1kGrh75X1cNR1D7_FcY9zMnHP8iPO4M5RCRjy6nZY0TY/edit#gid=1248694442"",""Table 5: Risk of bia"&amp;"s!V4:V175""), $A69=IMPORTRANGE(""https://docs.google.com/spreadsheets/d/1kGrh75X1cNR1D7_FcY9zMnHP8iPO4M5RCRjy6nZY0TY/edit#gid=1248694442"",""Table 5: Risk of bias!A4:A175"")))"),"Low")</f>
        <v>Low</v>
      </c>
      <c r="H69" s="4" t="str">
        <f>IFERROR(__xludf.DUMMYFUNCTION("IFS($B69=""ROBINS I"",FILTER(IMPORTRANGE(""https://docs.google.com/spreadsheets/d/1kGrh75X1cNR1D7_FcY9zMnHP8iPO4M5RCRjy6nZY0TY/edit#gid=1248694442"",""Table 5: Risk of bias!O4:O175""), $A69=IMPORTRANGE(""https://docs.google.com/spreadsheets/d/1kGrh75X1cNR"&amp;"1D7_FcY9zMnHP8iPO4M5RCRjy6nZY0TY/edit#gid=1248694442"",""Table 5: Risk of bias!A4:A175"")),$B69=""RoB 2"",FILTER(IMPORTRANGE(""https://docs.google.com/spreadsheets/d/1kGrh75X1cNR1D7_FcY9zMnHP8iPO4M5RCRjy6nZY0TY/edit#gid=1248694442"",""Table 5: Risk of bia"&amp;"s!W4:W175""), $A69=IMPORTRANGE(""https://docs.google.com/spreadsheets/d/1kGrh75X1cNR1D7_FcY9zMnHP8iPO4M5RCRjy6nZY0TY/edit#gid=1248694442"",""Table 5: Risk of bias!A4:A175"")))"),"Low")</f>
        <v>Low</v>
      </c>
      <c r="I69" s="4" t="str">
        <f>IFERROR(__xludf.DUMMYFUNCTION("FILTER(IMPORTRANGE(""https://docs.google.com/spreadsheets/d/1kGrh75X1cNR1D7_FcY9zMnHP8iPO4M5RCRjy6nZY0TY/edit#gid=1248694442"",""Table 5: Risk of bias!P4:P175""), $A69=IMPORTRANGE(""https://docs.google.com/spreadsheets/d/1kGrh75X1cNR1D7_FcY9zMnHP8iPO4M5RC"&amp;"Rjy6nZY0TY/edit#gid=1248694442"",""Table 5: Risk of bias!A4:A175""))"),"Moderate")</f>
        <v>Moderate</v>
      </c>
      <c r="J69" s="4" t="str">
        <f>IFERROR(__xludf.DUMMYFUNCTION("FILTER(IMPORTRANGE(""https://docs.google.com/spreadsheets/d/1kGrh75X1cNR1D7_FcY9zMnHP8iPO4M5RCRjy6nZY0TY/edit#gid=1248694442"",""Table 5: Risk of bias!Q4:Q175""), $A69=IMPORTRANGE(""https://docs.google.com/spreadsheets/d/1kGrh75X1cNR1D7_FcY9zMnHP8iPO4M5RC"&amp;"Rjy6nZY0TY/edit#gid=1248694442"",""Table 5: Risk of bias!A4:A175""))"),"Serious")</f>
        <v>Serious</v>
      </c>
    </row>
    <row r="70">
      <c r="A70" s="4" t="str">
        <f>IFERROR(__xludf.DUMMYFUNCTION("""COMPUTED_VALUE"""),"ID 153")</f>
        <v>ID 153</v>
      </c>
      <c r="B70" s="4" t="str">
        <f>IFERROR(__xludf.DUMMYFUNCTION("FILTER(IMPORTRANGE(""https://docs.google.com/spreadsheets/d/1kGrh75X1cNR1D7_FcY9zMnHP8iPO4M5RCRjy6nZY0TY/edit#gid=1248694442"",""Table 5: Risk of bias!D4:D175""), $A70=IMPORTRANGE(""https://docs.google.com/spreadsheets/d/1kGrh75X1cNR1D7_FcY9zMnHP8iPO4M5RC"&amp;"Rjy6nZY0TY/edit#gid=1248694442"",""Table 5: Risk of bias!A4:A175""))"),"ROBINS I")</f>
        <v>ROBINS I</v>
      </c>
      <c r="C70" s="4" t="str">
        <f>IFERROR(__xludf.DUMMYFUNCTION("IFS(
$B70=""ROBINS I"", FILTER(IMPORTRANGE(""https://docs.google.com/spreadsheets/d/1kGrh75X1cNR1D7_FcY9zMnHP8iPO4M5RCRjy6nZY0TY/edit#gid=1248694442"",""Table 5: Risk of bias!J4:J175""),  $A70=IMPORTRANGE(""https://docs.google.com/spreadsheets/d/1kGrh75X1"&amp;"cNR1D7_FcY9zMnHP8iPO4M5RCRjy6nZY0TY/edit#gid=1248694442"",""Table 5: Risk of bias!A4:A175"")),
$B70=""RoB 2"", FILTER(IMPORTRANGE(""https://docs.google.com/spreadsheets/d/1kGrh75X1cNR1D7_FcY9zMnHP8iPO4M5RCRjy6nZY0TY/edit#gid=1248694442"",""Table 5: Risk o"&amp;"f bias!R4:R175""), $A70=IMPORTRANGE(""https://docs.google.com/spreadsheets/d/1kGrh75X1cNR1D7_FcY9zMnHP8iPO4M5RCRjy6nZY0TY/edit#gid=1248694442"",""Table 5: Risk of bias!A4:A175""))
)"),"Serious")</f>
        <v>Serious</v>
      </c>
      <c r="D70" s="4" t="str">
        <f>IFERROR(__xludf.DUMMYFUNCTION("IFS($B70=""ROBINS I"",FILTER(IMPORTRANGE(""https://docs.google.com/spreadsheets/d/1kGrh75X1cNR1D7_FcY9zMnHP8iPO4M5RCRjy6nZY0TY/edit#gid=1248694442"",""Table 5: Risk of bias!K4:K175""), $A70=IMPORTRANGE(""https://docs.google.com/spreadsheets/d/1kGrh75X1cNR"&amp;"1D7_FcY9zMnHP8iPO4M5RCRjy6nZY0TY/edit#gid=1248694442"",""Table 5: Risk of bias!A4:A175"")),$B70=""RoB 2"",FILTER(IMPORTRANGE(""https://docs.google.com/spreadsheets/d/1kGrh75X1cNR1D7_FcY9zMnHP8iPO4M5RCRjy6nZY0TY/edit#gid=1248694442"",""Table 5: Risk of bia"&amp;"s!S4:S175""), $A70=IMPORTRANGE(""https://docs.google.com/spreadsheets/d/1kGrh75X1cNR1D7_FcY9zMnHP8iPO4M5RCRjy6nZY0TY/edit#gid=1248694442"",""Table 5: Risk of bias!A4:A175"")))"),"Low")</f>
        <v>Low</v>
      </c>
      <c r="E70" s="4" t="str">
        <f>IFERROR(__xludf.DUMMYFUNCTION("IFS($B70=""ROBINS I"",FILTER(IMPORTRANGE(""https://docs.google.com/spreadsheets/d/1kGrh75X1cNR1D7_FcY9zMnHP8iPO4M5RCRjy6nZY0TY/edit#gid=1248694442"",""Table 5: Risk of bias!L4:L175""), $A70=IMPORTRANGE(""https://docs.google.com/spreadsheets/d/1kGrh75X1cNR"&amp;"1D7_FcY9zMnHP8iPO4M5RCRjy6nZY0TY/edit#gid=1248694442"",""Table 5: Risk of bias!A4:A175"")),$B70=""RoB 2"",FILTER(IMPORTRANGE(""https://docs.google.com/spreadsheets/d/1kGrh75X1cNR1D7_FcY9zMnHP8iPO4M5RCRjy6nZY0TY/edit#gid=1248694442"",""Table 5: Risk of bia"&amp;"s!T4:T175""), $A70=IMPORTRANGE(""https://docs.google.com/spreadsheets/d/1kGrh75X1cNR1D7_FcY9zMnHP8iPO4M5RCRjy6nZY0TY/edit#gid=1248694442"",""Table 5: Risk of bias!A4:A175"")))"),"Serious")</f>
        <v>Serious</v>
      </c>
      <c r="F70" s="4" t="str">
        <f>IFERROR(__xludf.DUMMYFUNCTION("IFS($B70=""ROBINS I"",FILTER(IMPORTRANGE(""https://docs.google.com/spreadsheets/d/1kGrh75X1cNR1D7_FcY9zMnHP8iPO4M5RCRjy6nZY0TY/edit#gid=1248694442"",""Table 5: Risk of bias!M4:M175""), $A70=IMPORTRANGE(""https://docs.google.com/spreadsheets/d/1kGrh75X1cNR"&amp;"1D7_FcY9zMnHP8iPO4M5RCRjy6nZY0TY/edit#gid=1248694442"",""Table 5: Risk of bias!A4:A175"")),$B70=""RoB 2"",FILTER(IMPORTRANGE(""https://docs.google.com/spreadsheets/d/1kGrh75X1cNR1D7_FcY9zMnHP8iPO4M5RCRjy6nZY0TY/edit#gid=1248694442"",""Table 5: Risk of bia"&amp;"s!U4:U175""), $A70=IMPORTRANGE(""https://docs.google.com/spreadsheets/d/1kGrh75X1cNR1D7_FcY9zMnHP8iPO4M5RCRjy6nZY0TY/edit#gid=1248694442"",""Table 5: Risk of bias!A4:A175"")))"),"Serious")</f>
        <v>Serious</v>
      </c>
      <c r="G70" s="4" t="str">
        <f>IFERROR(__xludf.DUMMYFUNCTION("IFS($B70=""ROBINS I"",FILTER(IMPORTRANGE(""https://docs.google.com/spreadsheets/d/1kGrh75X1cNR1D7_FcY9zMnHP8iPO4M5RCRjy6nZY0TY/edit#gid=1248694442"",""Table 5: Risk of bias!N4:N175""), $A70=IMPORTRANGE(""https://docs.google.com/spreadsheets/d/1kGrh75X1cNR"&amp;"1D7_FcY9zMnHP8iPO4M5RCRjy6nZY0TY/edit#gid=1248694442"",""Table 5: Risk of bias!A4:A175"")),$B70=""RoB 2"",FILTER(IMPORTRANGE(""https://docs.google.com/spreadsheets/d/1kGrh75X1cNR1D7_FcY9zMnHP8iPO4M5RCRjy6nZY0TY/edit#gid=1248694442"",""Table 5: Risk of bia"&amp;"s!V4:V175""), $A70=IMPORTRANGE(""https://docs.google.com/spreadsheets/d/1kGrh75X1cNR1D7_FcY9zMnHP8iPO4M5RCRjy6nZY0TY/edit#gid=1248694442"",""Table 5: Risk of bias!A4:A175"")))"),"Low")</f>
        <v>Low</v>
      </c>
      <c r="H70" s="4" t="str">
        <f>IFERROR(__xludf.DUMMYFUNCTION("IFS($B70=""ROBINS I"",FILTER(IMPORTRANGE(""https://docs.google.com/spreadsheets/d/1kGrh75X1cNR1D7_FcY9zMnHP8iPO4M5RCRjy6nZY0TY/edit#gid=1248694442"",""Table 5: Risk of bias!O4:O175""), $A70=IMPORTRANGE(""https://docs.google.com/spreadsheets/d/1kGrh75X1cNR"&amp;"1D7_FcY9zMnHP8iPO4M5RCRjy6nZY0TY/edit#gid=1248694442"",""Table 5: Risk of bias!A4:A175"")),$B70=""RoB 2"",FILTER(IMPORTRANGE(""https://docs.google.com/spreadsheets/d/1kGrh75X1cNR1D7_FcY9zMnHP8iPO4M5RCRjy6nZY0TY/edit#gid=1248694442"",""Table 5: Risk of bia"&amp;"s!W4:W175""), $A70=IMPORTRANGE(""https://docs.google.com/spreadsheets/d/1kGrh75X1cNR1D7_FcY9zMnHP8iPO4M5RCRjy6nZY0TY/edit#gid=1248694442"",""Table 5: Risk of bias!A4:A175"")))"),"Low")</f>
        <v>Low</v>
      </c>
      <c r="I70" s="4" t="str">
        <f>IFERROR(__xludf.DUMMYFUNCTION("FILTER(IMPORTRANGE(""https://docs.google.com/spreadsheets/d/1kGrh75X1cNR1D7_FcY9zMnHP8iPO4M5RCRjy6nZY0TY/edit#gid=1248694442"",""Table 5: Risk of bias!P4:P175""), $A70=IMPORTRANGE(""https://docs.google.com/spreadsheets/d/1kGrh75X1cNR1D7_FcY9zMnHP8iPO4M5RC"&amp;"Rjy6nZY0TY/edit#gid=1248694442"",""Table 5: Risk of bias!A4:A175""))"),"Moderate")</f>
        <v>Moderate</v>
      </c>
      <c r="J70" s="4" t="str">
        <f>IFERROR(__xludf.DUMMYFUNCTION("FILTER(IMPORTRANGE(""https://docs.google.com/spreadsheets/d/1kGrh75X1cNR1D7_FcY9zMnHP8iPO4M5RCRjy6nZY0TY/edit#gid=1248694442"",""Table 5: Risk of bias!Q4:Q175""), $A70=IMPORTRANGE(""https://docs.google.com/spreadsheets/d/1kGrh75X1cNR1D7_FcY9zMnHP8iPO4M5RC"&amp;"Rjy6nZY0TY/edit#gid=1248694442"",""Table 5: Risk of bias!A4:A175""))"),"Moderate")</f>
        <v>Moderate</v>
      </c>
    </row>
    <row r="71">
      <c r="A71" s="4" t="str">
        <f>IFERROR(__xludf.DUMMYFUNCTION("""COMPUTED_VALUE"""),"ID 154")</f>
        <v>ID 154</v>
      </c>
      <c r="B71" s="4" t="str">
        <f>IFERROR(__xludf.DUMMYFUNCTION("FILTER(IMPORTRANGE(""https://docs.google.com/spreadsheets/d/1kGrh75X1cNR1D7_FcY9zMnHP8iPO4M5RCRjy6nZY0TY/edit#gid=1248694442"",""Table 5: Risk of bias!D4:D175""), $A71=IMPORTRANGE(""https://docs.google.com/spreadsheets/d/1kGrh75X1cNR1D7_FcY9zMnHP8iPO4M5RC"&amp;"Rjy6nZY0TY/edit#gid=1248694442"",""Table 5: Risk of bias!A4:A175""))"),"ROBINS I")</f>
        <v>ROBINS I</v>
      </c>
      <c r="C71" s="4" t="str">
        <f>IFERROR(__xludf.DUMMYFUNCTION("IFS(
$B71=""ROBINS I"", FILTER(IMPORTRANGE(""https://docs.google.com/spreadsheets/d/1kGrh75X1cNR1D7_FcY9zMnHP8iPO4M5RCRjy6nZY0TY/edit#gid=1248694442"",""Table 5: Risk of bias!J4:J175""),  $A71=IMPORTRANGE(""https://docs.google.com/spreadsheets/d/1kGrh75X1"&amp;"cNR1D7_FcY9zMnHP8iPO4M5RCRjy6nZY0TY/edit#gid=1248694442"",""Table 5: Risk of bias!A4:A175"")),
$B71=""RoB 2"", FILTER(IMPORTRANGE(""https://docs.google.com/spreadsheets/d/1kGrh75X1cNR1D7_FcY9zMnHP8iPO4M5RCRjy6nZY0TY/edit#gid=1248694442"",""Table 5: Risk o"&amp;"f bias!R4:R175""), $A71=IMPORTRANGE(""https://docs.google.com/spreadsheets/d/1kGrh75X1cNR1D7_FcY9zMnHP8iPO4M5RCRjy6nZY0TY/edit#gid=1248694442"",""Table 5: Risk of bias!A4:A175""))
)"),"Serious")</f>
        <v>Serious</v>
      </c>
      <c r="D71" s="4" t="str">
        <f>IFERROR(__xludf.DUMMYFUNCTION("IFS($B71=""ROBINS I"",FILTER(IMPORTRANGE(""https://docs.google.com/spreadsheets/d/1kGrh75X1cNR1D7_FcY9zMnHP8iPO4M5RCRjy6nZY0TY/edit#gid=1248694442"",""Table 5: Risk of bias!K4:K175""), $A71=IMPORTRANGE(""https://docs.google.com/spreadsheets/d/1kGrh75X1cNR"&amp;"1D7_FcY9zMnHP8iPO4M5RCRjy6nZY0TY/edit#gid=1248694442"",""Table 5: Risk of bias!A4:A175"")),$B71=""RoB 2"",FILTER(IMPORTRANGE(""https://docs.google.com/spreadsheets/d/1kGrh75X1cNR1D7_FcY9zMnHP8iPO4M5RCRjy6nZY0TY/edit#gid=1248694442"",""Table 5: Risk of bia"&amp;"s!S4:S175""), $A71=IMPORTRANGE(""https://docs.google.com/spreadsheets/d/1kGrh75X1cNR1D7_FcY9zMnHP8iPO4M5RCRjy6nZY0TY/edit#gid=1248694442"",""Table 5: Risk of bias!A4:A175"")))"),"Low")</f>
        <v>Low</v>
      </c>
      <c r="E71" s="4" t="str">
        <f>IFERROR(__xludf.DUMMYFUNCTION("IFS($B71=""ROBINS I"",FILTER(IMPORTRANGE(""https://docs.google.com/spreadsheets/d/1kGrh75X1cNR1D7_FcY9zMnHP8iPO4M5RCRjy6nZY0TY/edit#gid=1248694442"",""Table 5: Risk of bias!L4:L175""), $A71=IMPORTRANGE(""https://docs.google.com/spreadsheets/d/1kGrh75X1cNR"&amp;"1D7_FcY9zMnHP8iPO4M5RCRjy6nZY0TY/edit#gid=1248694442"",""Table 5: Risk of bias!A4:A175"")),$B71=""RoB 2"",FILTER(IMPORTRANGE(""https://docs.google.com/spreadsheets/d/1kGrh75X1cNR1D7_FcY9zMnHP8iPO4M5RCRjy6nZY0TY/edit#gid=1248694442"",""Table 5: Risk of bia"&amp;"s!T4:T175""), $A71=IMPORTRANGE(""https://docs.google.com/spreadsheets/d/1kGrh75X1cNR1D7_FcY9zMnHP8iPO4M5RCRjy6nZY0TY/edit#gid=1248694442"",""Table 5: Risk of bias!A4:A175"")))"),"Low")</f>
        <v>Low</v>
      </c>
      <c r="F71" s="4" t="str">
        <f>IFERROR(__xludf.DUMMYFUNCTION("IFS($B71=""ROBINS I"",FILTER(IMPORTRANGE(""https://docs.google.com/spreadsheets/d/1kGrh75X1cNR1D7_FcY9zMnHP8iPO4M5RCRjy6nZY0TY/edit#gid=1248694442"",""Table 5: Risk of bias!M4:M175""), $A71=IMPORTRANGE(""https://docs.google.com/spreadsheets/d/1kGrh75X1cNR"&amp;"1D7_FcY9zMnHP8iPO4M5RCRjy6nZY0TY/edit#gid=1248694442"",""Table 5: Risk of bias!A4:A175"")),$B71=""RoB 2"",FILTER(IMPORTRANGE(""https://docs.google.com/spreadsheets/d/1kGrh75X1cNR1D7_FcY9zMnHP8iPO4M5RCRjy6nZY0TY/edit#gid=1248694442"",""Table 5: Risk of bia"&amp;"s!U4:U175""), $A71=IMPORTRANGE(""https://docs.google.com/spreadsheets/d/1kGrh75X1cNR1D7_FcY9zMnHP8iPO4M5RCRjy6nZY0TY/edit#gid=1248694442"",""Table 5: Risk of bias!A4:A175"")))"),"Moderate")</f>
        <v>Moderate</v>
      </c>
      <c r="G71" s="4" t="str">
        <f>IFERROR(__xludf.DUMMYFUNCTION("IFS($B71=""ROBINS I"",FILTER(IMPORTRANGE(""https://docs.google.com/spreadsheets/d/1kGrh75X1cNR1D7_FcY9zMnHP8iPO4M5RCRjy6nZY0TY/edit#gid=1248694442"",""Table 5: Risk of bias!N4:N175""), $A71=IMPORTRANGE(""https://docs.google.com/spreadsheets/d/1kGrh75X1cNR"&amp;"1D7_FcY9zMnHP8iPO4M5RCRjy6nZY0TY/edit#gid=1248694442"",""Table 5: Risk of bias!A4:A175"")),$B71=""RoB 2"",FILTER(IMPORTRANGE(""https://docs.google.com/spreadsheets/d/1kGrh75X1cNR1D7_FcY9zMnHP8iPO4M5RCRjy6nZY0TY/edit#gid=1248694442"",""Table 5: Risk of bia"&amp;"s!V4:V175""), $A71=IMPORTRANGE(""https://docs.google.com/spreadsheets/d/1kGrh75X1cNR1D7_FcY9zMnHP8iPO4M5RCRjy6nZY0TY/edit#gid=1248694442"",""Table 5: Risk of bias!A4:A175"")))"),"Low")</f>
        <v>Low</v>
      </c>
      <c r="H71" s="4" t="str">
        <f>IFERROR(__xludf.DUMMYFUNCTION("IFS($B71=""ROBINS I"",FILTER(IMPORTRANGE(""https://docs.google.com/spreadsheets/d/1kGrh75X1cNR1D7_FcY9zMnHP8iPO4M5RCRjy6nZY0TY/edit#gid=1248694442"",""Table 5: Risk of bias!O4:O175""), $A71=IMPORTRANGE(""https://docs.google.com/spreadsheets/d/1kGrh75X1cNR"&amp;"1D7_FcY9zMnHP8iPO4M5RCRjy6nZY0TY/edit#gid=1248694442"",""Table 5: Risk of bias!A4:A175"")),$B71=""RoB 2"",FILTER(IMPORTRANGE(""https://docs.google.com/spreadsheets/d/1kGrh75X1cNR1D7_FcY9zMnHP8iPO4M5RCRjy6nZY0TY/edit#gid=1248694442"",""Table 5: Risk of bia"&amp;"s!W4:W175""), $A71=IMPORTRANGE(""https://docs.google.com/spreadsheets/d/1kGrh75X1cNR1D7_FcY9zMnHP8iPO4M5RCRjy6nZY0TY/edit#gid=1248694442"",""Table 5: Risk of bias!A4:A175"")))"),"Low")</f>
        <v>Low</v>
      </c>
      <c r="I71" s="4" t="str">
        <f>IFERROR(__xludf.DUMMYFUNCTION("FILTER(IMPORTRANGE(""https://docs.google.com/spreadsheets/d/1kGrh75X1cNR1D7_FcY9zMnHP8iPO4M5RCRjy6nZY0TY/edit#gid=1248694442"",""Table 5: Risk of bias!P4:P175""), $A71=IMPORTRANGE(""https://docs.google.com/spreadsheets/d/1kGrh75X1cNR1D7_FcY9zMnHP8iPO4M5RC"&amp;"Rjy6nZY0TY/edit#gid=1248694442"",""Table 5: Risk of bias!A4:A175""))"),"Moderate")</f>
        <v>Moderate</v>
      </c>
      <c r="J71" s="4" t="str">
        <f>IFERROR(__xludf.DUMMYFUNCTION("FILTER(IMPORTRANGE(""https://docs.google.com/spreadsheets/d/1kGrh75X1cNR1D7_FcY9zMnHP8iPO4M5RCRjy6nZY0TY/edit#gid=1248694442"",""Table 5: Risk of bias!Q4:Q175""), $A71=IMPORTRANGE(""https://docs.google.com/spreadsheets/d/1kGrh75X1cNR1D7_FcY9zMnHP8iPO4M5RC"&amp;"Rjy6nZY0TY/edit#gid=1248694442"",""Table 5: Risk of bias!A4:A175""))"),"Serious")</f>
        <v>Serious</v>
      </c>
    </row>
    <row r="72">
      <c r="A72" s="4" t="str">
        <f>IFERROR(__xludf.DUMMYFUNCTION("""COMPUTED_VALUE"""),"ID 157")</f>
        <v>ID 157</v>
      </c>
      <c r="B72" s="4" t="str">
        <f>IFERROR(__xludf.DUMMYFUNCTION("FILTER(IMPORTRANGE(""https://docs.google.com/spreadsheets/d/1kGrh75X1cNR1D7_FcY9zMnHP8iPO4M5RCRjy6nZY0TY/edit#gid=1248694442"",""Table 5: Risk of bias!D4:D175""), $A72=IMPORTRANGE(""https://docs.google.com/spreadsheets/d/1kGrh75X1cNR1D7_FcY9zMnHP8iPO4M5RC"&amp;"Rjy6nZY0TY/edit#gid=1248694442"",""Table 5: Risk of bias!A4:A175""))"),"ROBINS I")</f>
        <v>ROBINS I</v>
      </c>
      <c r="C72" s="4" t="str">
        <f>IFERROR(__xludf.DUMMYFUNCTION("IFS(
$B72=""ROBINS I"", FILTER(IMPORTRANGE(""https://docs.google.com/spreadsheets/d/1kGrh75X1cNR1D7_FcY9zMnHP8iPO4M5RCRjy6nZY0TY/edit#gid=1248694442"",""Table 5: Risk of bias!J4:J175""),  $A72=IMPORTRANGE(""https://docs.google.com/spreadsheets/d/1kGrh75X1"&amp;"cNR1D7_FcY9zMnHP8iPO4M5RCRjy6nZY0TY/edit#gid=1248694442"",""Table 5: Risk of bias!A4:A175"")),
$B72=""RoB 2"", FILTER(IMPORTRANGE(""https://docs.google.com/spreadsheets/d/1kGrh75X1cNR1D7_FcY9zMnHP8iPO4M5RCRjy6nZY0TY/edit#gid=1248694442"",""Table 5: Risk o"&amp;"f bias!R4:R175""), $A72=IMPORTRANGE(""https://docs.google.com/spreadsheets/d/1kGrh75X1cNR1D7_FcY9zMnHP8iPO4M5RCRjy6nZY0TY/edit#gid=1248694442"",""Table 5: Risk of bias!A4:A175""))
)"),"Critical")</f>
        <v>Critical</v>
      </c>
      <c r="D72" s="4" t="str">
        <f>IFERROR(__xludf.DUMMYFUNCTION("IFS($B72=""ROBINS I"",FILTER(IMPORTRANGE(""https://docs.google.com/spreadsheets/d/1kGrh75X1cNR1D7_FcY9zMnHP8iPO4M5RCRjy6nZY0TY/edit#gid=1248694442"",""Table 5: Risk of bias!K4:K175""), $A72=IMPORTRANGE(""https://docs.google.com/spreadsheets/d/1kGrh75X1cNR"&amp;"1D7_FcY9zMnHP8iPO4M5RCRjy6nZY0TY/edit#gid=1248694442"",""Table 5: Risk of bias!A4:A175"")),$B72=""RoB 2"",FILTER(IMPORTRANGE(""https://docs.google.com/spreadsheets/d/1kGrh75X1cNR1D7_FcY9zMnHP8iPO4M5RCRjy6nZY0TY/edit#gid=1248694442"",""Table 5: Risk of bia"&amp;"s!S4:S175""), $A72=IMPORTRANGE(""https://docs.google.com/spreadsheets/d/1kGrh75X1cNR1D7_FcY9zMnHP8iPO4M5RCRjy6nZY0TY/edit#gid=1248694442"",""Table 5: Risk of bias!A4:A175"")))"),"Critical")</f>
        <v>Critical</v>
      </c>
      <c r="E72" s="4" t="str">
        <f>IFERROR(__xludf.DUMMYFUNCTION("IFS($B72=""ROBINS I"",FILTER(IMPORTRANGE(""https://docs.google.com/spreadsheets/d/1kGrh75X1cNR1D7_FcY9zMnHP8iPO4M5RCRjy6nZY0TY/edit#gid=1248694442"",""Table 5: Risk of bias!L4:L175""), $A72=IMPORTRANGE(""https://docs.google.com/spreadsheets/d/1kGrh75X1cNR"&amp;"1D7_FcY9zMnHP8iPO4M5RCRjy6nZY0TY/edit#gid=1248694442"",""Table 5: Risk of bias!A4:A175"")),$B72=""RoB 2"",FILTER(IMPORTRANGE(""https://docs.google.com/spreadsheets/d/1kGrh75X1cNR1D7_FcY9zMnHP8iPO4M5RCRjy6nZY0TY/edit#gid=1248694442"",""Table 5: Risk of bia"&amp;"s!T4:T175""), $A72=IMPORTRANGE(""https://docs.google.com/spreadsheets/d/1kGrh75X1cNR1D7_FcY9zMnHP8iPO4M5RCRjy6nZY0TY/edit#gid=1248694442"",""Table 5: Risk of bias!A4:A175"")))"),"Low")</f>
        <v>Low</v>
      </c>
      <c r="F72" s="4" t="str">
        <f>IFERROR(__xludf.DUMMYFUNCTION("IFS($B72=""ROBINS I"",FILTER(IMPORTRANGE(""https://docs.google.com/spreadsheets/d/1kGrh75X1cNR1D7_FcY9zMnHP8iPO4M5RCRjy6nZY0TY/edit#gid=1248694442"",""Table 5: Risk of bias!M4:M175""), $A72=IMPORTRANGE(""https://docs.google.com/spreadsheets/d/1kGrh75X1cNR"&amp;"1D7_FcY9zMnHP8iPO4M5RCRjy6nZY0TY/edit#gid=1248694442"",""Table 5: Risk of bias!A4:A175"")),$B72=""RoB 2"",FILTER(IMPORTRANGE(""https://docs.google.com/spreadsheets/d/1kGrh75X1cNR1D7_FcY9zMnHP8iPO4M5RCRjy6nZY0TY/edit#gid=1248694442"",""Table 5: Risk of bia"&amp;"s!U4:U175""), $A72=IMPORTRANGE(""https://docs.google.com/spreadsheets/d/1kGrh75X1cNR1D7_FcY9zMnHP8iPO4M5RCRjy6nZY0TY/edit#gid=1248694442"",""Table 5: Risk of bias!A4:A175"")))"),"Moderate")</f>
        <v>Moderate</v>
      </c>
      <c r="G72" s="4" t="str">
        <f>IFERROR(__xludf.DUMMYFUNCTION("IFS($B72=""ROBINS I"",FILTER(IMPORTRANGE(""https://docs.google.com/spreadsheets/d/1kGrh75X1cNR1D7_FcY9zMnHP8iPO4M5RCRjy6nZY0TY/edit#gid=1248694442"",""Table 5: Risk of bias!N4:N175""), $A72=IMPORTRANGE(""https://docs.google.com/spreadsheets/d/1kGrh75X1cNR"&amp;"1D7_FcY9zMnHP8iPO4M5RCRjy6nZY0TY/edit#gid=1248694442"",""Table 5: Risk of bias!A4:A175"")),$B72=""RoB 2"",FILTER(IMPORTRANGE(""https://docs.google.com/spreadsheets/d/1kGrh75X1cNR1D7_FcY9zMnHP8iPO4M5RCRjy6nZY0TY/edit#gid=1248694442"",""Table 5: Risk of bia"&amp;"s!V4:V175""), $A72=IMPORTRANGE(""https://docs.google.com/spreadsheets/d/1kGrh75X1cNR1D7_FcY9zMnHP8iPO4M5RCRjy6nZY0TY/edit#gid=1248694442"",""Table 5: Risk of bias!A4:A175"")))"),"Low")</f>
        <v>Low</v>
      </c>
      <c r="H72" s="4" t="str">
        <f>IFERROR(__xludf.DUMMYFUNCTION("IFS($B72=""ROBINS I"",FILTER(IMPORTRANGE(""https://docs.google.com/spreadsheets/d/1kGrh75X1cNR1D7_FcY9zMnHP8iPO4M5RCRjy6nZY0TY/edit#gid=1248694442"",""Table 5: Risk of bias!O4:O175""), $A72=IMPORTRANGE(""https://docs.google.com/spreadsheets/d/1kGrh75X1cNR"&amp;"1D7_FcY9zMnHP8iPO4M5RCRjy6nZY0TY/edit#gid=1248694442"",""Table 5: Risk of bias!A4:A175"")),$B72=""RoB 2"",FILTER(IMPORTRANGE(""https://docs.google.com/spreadsheets/d/1kGrh75X1cNR1D7_FcY9zMnHP8iPO4M5RCRjy6nZY0TY/edit#gid=1248694442"",""Table 5: Risk of bia"&amp;"s!W4:W175""), $A72=IMPORTRANGE(""https://docs.google.com/spreadsheets/d/1kGrh75X1cNR1D7_FcY9zMnHP8iPO4M5RCRjy6nZY0TY/edit#gid=1248694442"",""Table 5: Risk of bias!A4:A175"")))"),"Low")</f>
        <v>Low</v>
      </c>
      <c r="I72" s="4" t="str">
        <f>IFERROR(__xludf.DUMMYFUNCTION("FILTER(IMPORTRANGE(""https://docs.google.com/spreadsheets/d/1kGrh75X1cNR1D7_FcY9zMnHP8iPO4M5RCRjy6nZY0TY/edit#gid=1248694442"",""Table 5: Risk of bias!P4:P175""), $A72=IMPORTRANGE(""https://docs.google.com/spreadsheets/d/1kGrh75X1cNR1D7_FcY9zMnHP8iPO4M5RC"&amp;"Rjy6nZY0TY/edit#gid=1248694442"",""Table 5: Risk of bias!A4:A175""))"),"Moderate")</f>
        <v>Moderate</v>
      </c>
      <c r="J72" s="4" t="str">
        <f>IFERROR(__xludf.DUMMYFUNCTION("FILTER(IMPORTRANGE(""https://docs.google.com/spreadsheets/d/1kGrh75X1cNR1D7_FcY9zMnHP8iPO4M5RCRjy6nZY0TY/edit#gid=1248694442"",""Table 5: Risk of bias!Q4:Q175""), $A72=IMPORTRANGE(""https://docs.google.com/spreadsheets/d/1kGrh75X1cNR1D7_FcY9zMnHP8iPO4M5RC"&amp;"Rjy6nZY0TY/edit#gid=1248694442"",""Table 5: Risk of bias!A4:A175""))"),"Low")</f>
        <v>Low</v>
      </c>
    </row>
    <row r="73">
      <c r="A73" s="4" t="str">
        <f>IFERROR(__xludf.DUMMYFUNCTION("""COMPUTED_VALUE"""),"ID 159")</f>
        <v>ID 159</v>
      </c>
      <c r="B73" s="4" t="str">
        <f>IFERROR(__xludf.DUMMYFUNCTION("FILTER(IMPORTRANGE(""https://docs.google.com/spreadsheets/d/1kGrh75X1cNR1D7_FcY9zMnHP8iPO4M5RCRjy6nZY0TY/edit#gid=1248694442"",""Table 5: Risk of bias!D4:D175""), $A73=IMPORTRANGE(""https://docs.google.com/spreadsheets/d/1kGrh75X1cNR1D7_FcY9zMnHP8iPO4M5RC"&amp;"Rjy6nZY0TY/edit#gid=1248694442"",""Table 5: Risk of bias!A4:A175""))"),"ROBINS I")</f>
        <v>ROBINS I</v>
      </c>
      <c r="C73" s="4" t="str">
        <f>IFERROR(__xludf.DUMMYFUNCTION("IFS(
$B73=""ROBINS I"", FILTER(IMPORTRANGE(""https://docs.google.com/spreadsheets/d/1kGrh75X1cNR1D7_FcY9zMnHP8iPO4M5RCRjy6nZY0TY/edit#gid=1248694442"",""Table 5: Risk of bias!J4:J175""),  $A73=IMPORTRANGE(""https://docs.google.com/spreadsheets/d/1kGrh75X1"&amp;"cNR1D7_FcY9zMnHP8iPO4M5RCRjy6nZY0TY/edit#gid=1248694442"",""Table 5: Risk of bias!A4:A175"")),
$B73=""RoB 2"", FILTER(IMPORTRANGE(""https://docs.google.com/spreadsheets/d/1kGrh75X1cNR1D7_FcY9zMnHP8iPO4M5RCRjy6nZY0TY/edit#gid=1248694442"",""Table 5: Risk o"&amp;"f bias!R4:R175""), $A73=IMPORTRANGE(""https://docs.google.com/spreadsheets/d/1kGrh75X1cNR1D7_FcY9zMnHP8iPO4M5RCRjy6nZY0TY/edit#gid=1248694442"",""Table 5: Risk of bias!A4:A175""))
)"),"Moderate")</f>
        <v>Moderate</v>
      </c>
      <c r="D73" s="4" t="str">
        <f>IFERROR(__xludf.DUMMYFUNCTION("IFS($B73=""ROBINS I"",FILTER(IMPORTRANGE(""https://docs.google.com/spreadsheets/d/1kGrh75X1cNR1D7_FcY9zMnHP8iPO4M5RCRjy6nZY0TY/edit#gid=1248694442"",""Table 5: Risk of bias!K4:K175""), $A73=IMPORTRANGE(""https://docs.google.com/spreadsheets/d/1kGrh75X1cNR"&amp;"1D7_FcY9zMnHP8iPO4M5RCRjy6nZY0TY/edit#gid=1248694442"",""Table 5: Risk of bias!A4:A175"")),$B73=""RoB 2"",FILTER(IMPORTRANGE(""https://docs.google.com/spreadsheets/d/1kGrh75X1cNR1D7_FcY9zMnHP8iPO4M5RCRjy6nZY0TY/edit#gid=1248694442"",""Table 5: Risk of bia"&amp;"s!S4:S175""), $A73=IMPORTRANGE(""https://docs.google.com/spreadsheets/d/1kGrh75X1cNR1D7_FcY9zMnHP8iPO4M5RCRjy6nZY0TY/edit#gid=1248694442"",""Table 5: Risk of bias!A4:A175"")))"),"Low")</f>
        <v>Low</v>
      </c>
      <c r="E73" s="4" t="str">
        <f>IFERROR(__xludf.DUMMYFUNCTION("IFS($B73=""ROBINS I"",FILTER(IMPORTRANGE(""https://docs.google.com/spreadsheets/d/1kGrh75X1cNR1D7_FcY9zMnHP8iPO4M5RCRjy6nZY0TY/edit#gid=1248694442"",""Table 5: Risk of bias!L4:L175""), $A73=IMPORTRANGE(""https://docs.google.com/spreadsheets/d/1kGrh75X1cNR"&amp;"1D7_FcY9zMnHP8iPO4M5RCRjy6nZY0TY/edit#gid=1248694442"",""Table 5: Risk of bias!A4:A175"")),$B73=""RoB 2"",FILTER(IMPORTRANGE(""https://docs.google.com/spreadsheets/d/1kGrh75X1cNR1D7_FcY9zMnHP8iPO4M5RCRjy6nZY0TY/edit#gid=1248694442"",""Table 5: Risk of bia"&amp;"s!T4:T175""), $A73=IMPORTRANGE(""https://docs.google.com/spreadsheets/d/1kGrh75X1cNR1D7_FcY9zMnHP8iPO4M5RCRjy6nZY0TY/edit#gid=1248694442"",""Table 5: Risk of bias!A4:A175"")))"),"Moderate")</f>
        <v>Moderate</v>
      </c>
      <c r="F73" s="4" t="str">
        <f>IFERROR(__xludf.DUMMYFUNCTION("IFS($B73=""ROBINS I"",FILTER(IMPORTRANGE(""https://docs.google.com/spreadsheets/d/1kGrh75X1cNR1D7_FcY9zMnHP8iPO4M5RCRjy6nZY0TY/edit#gid=1248694442"",""Table 5: Risk of bias!M4:M175""), $A73=IMPORTRANGE(""https://docs.google.com/spreadsheets/d/1kGrh75X1cNR"&amp;"1D7_FcY9zMnHP8iPO4M5RCRjy6nZY0TY/edit#gid=1248694442"",""Table 5: Risk of bias!A4:A175"")),$B73=""RoB 2"",FILTER(IMPORTRANGE(""https://docs.google.com/spreadsheets/d/1kGrh75X1cNR1D7_FcY9zMnHP8iPO4M5RCRjy6nZY0TY/edit#gid=1248694442"",""Table 5: Risk of bia"&amp;"s!U4:U175""), $A73=IMPORTRANGE(""https://docs.google.com/spreadsheets/d/1kGrh75X1cNR1D7_FcY9zMnHP8iPO4M5RCRjy6nZY0TY/edit#gid=1248694442"",""Table 5: Risk of bias!A4:A175"")))"),"Moderate")</f>
        <v>Moderate</v>
      </c>
      <c r="G73" s="4" t="str">
        <f>IFERROR(__xludf.DUMMYFUNCTION("IFS($B73=""ROBINS I"",FILTER(IMPORTRANGE(""https://docs.google.com/spreadsheets/d/1kGrh75X1cNR1D7_FcY9zMnHP8iPO4M5RCRjy6nZY0TY/edit#gid=1248694442"",""Table 5: Risk of bias!N4:N175""), $A73=IMPORTRANGE(""https://docs.google.com/spreadsheets/d/1kGrh75X1cNR"&amp;"1D7_FcY9zMnHP8iPO4M5RCRjy6nZY0TY/edit#gid=1248694442"",""Table 5: Risk of bias!A4:A175"")),$B73=""RoB 2"",FILTER(IMPORTRANGE(""https://docs.google.com/spreadsheets/d/1kGrh75X1cNR1D7_FcY9zMnHP8iPO4M5RCRjy6nZY0TY/edit#gid=1248694442"",""Table 5: Risk of bia"&amp;"s!V4:V175""), $A73=IMPORTRANGE(""https://docs.google.com/spreadsheets/d/1kGrh75X1cNR1D7_FcY9zMnHP8iPO4M5RCRjy6nZY0TY/edit#gid=1248694442"",""Table 5: Risk of bias!A4:A175"")))"),"Low")</f>
        <v>Low</v>
      </c>
      <c r="H73" s="4" t="str">
        <f>IFERROR(__xludf.DUMMYFUNCTION("IFS($B73=""ROBINS I"",FILTER(IMPORTRANGE(""https://docs.google.com/spreadsheets/d/1kGrh75X1cNR1D7_FcY9zMnHP8iPO4M5RCRjy6nZY0TY/edit#gid=1248694442"",""Table 5: Risk of bias!O4:O175""), $A73=IMPORTRANGE(""https://docs.google.com/spreadsheets/d/1kGrh75X1cNR"&amp;"1D7_FcY9zMnHP8iPO4M5RCRjy6nZY0TY/edit#gid=1248694442"",""Table 5: Risk of bias!A4:A175"")),$B73=""RoB 2"",FILTER(IMPORTRANGE(""https://docs.google.com/spreadsheets/d/1kGrh75X1cNR1D7_FcY9zMnHP8iPO4M5RCRjy6nZY0TY/edit#gid=1248694442"",""Table 5: Risk of bia"&amp;"s!W4:W175""), $A73=IMPORTRANGE(""https://docs.google.com/spreadsheets/d/1kGrh75X1cNR1D7_FcY9zMnHP8iPO4M5RCRjy6nZY0TY/edit#gid=1248694442"",""Table 5: Risk of bias!A4:A175"")))"),"Low")</f>
        <v>Low</v>
      </c>
      <c r="I73" s="4" t="str">
        <f>IFERROR(__xludf.DUMMYFUNCTION("FILTER(IMPORTRANGE(""https://docs.google.com/spreadsheets/d/1kGrh75X1cNR1D7_FcY9zMnHP8iPO4M5RCRjy6nZY0TY/edit#gid=1248694442"",""Table 5: Risk of bias!P4:P175""), $A73=IMPORTRANGE(""https://docs.google.com/spreadsheets/d/1kGrh75X1cNR1D7_FcY9zMnHP8iPO4M5RC"&amp;"Rjy6nZY0TY/edit#gid=1248694442"",""Table 5: Risk of bias!A4:A175""))"),"Moderate")</f>
        <v>Moderate</v>
      </c>
      <c r="J73" s="4" t="str">
        <f>IFERROR(__xludf.DUMMYFUNCTION("FILTER(IMPORTRANGE(""https://docs.google.com/spreadsheets/d/1kGrh75X1cNR1D7_FcY9zMnHP8iPO4M5RCRjy6nZY0TY/edit#gid=1248694442"",""Table 5: Risk of bias!Q4:Q175""), $A73=IMPORTRANGE(""https://docs.google.com/spreadsheets/d/1kGrh75X1cNR1D7_FcY9zMnHP8iPO4M5RC"&amp;"Rjy6nZY0TY/edit#gid=1248694442"",""Table 5: Risk of bias!A4:A175""))"),"Low")</f>
        <v>Low</v>
      </c>
    </row>
    <row r="74">
      <c r="A74" s="4" t="str">
        <f>IFERROR(__xludf.DUMMYFUNCTION("""COMPUTED_VALUE"""),"ID 160")</f>
        <v>ID 160</v>
      </c>
      <c r="B74" s="4" t="str">
        <f>IFERROR(__xludf.DUMMYFUNCTION("FILTER(IMPORTRANGE(""https://docs.google.com/spreadsheets/d/1kGrh75X1cNR1D7_FcY9zMnHP8iPO4M5RCRjy6nZY0TY/edit#gid=1248694442"",""Table 5: Risk of bias!D4:D175""), $A74=IMPORTRANGE(""https://docs.google.com/spreadsheets/d/1kGrh75X1cNR1D7_FcY9zMnHP8iPO4M5RC"&amp;"Rjy6nZY0TY/edit#gid=1248694442"",""Table 5: Risk of bias!A4:A175""))"),"ROBINS I")</f>
        <v>ROBINS I</v>
      </c>
      <c r="C74" s="4" t="str">
        <f>IFERROR(__xludf.DUMMYFUNCTION("IFS(
$B74=""ROBINS I"", FILTER(IMPORTRANGE(""https://docs.google.com/spreadsheets/d/1kGrh75X1cNR1D7_FcY9zMnHP8iPO4M5RCRjy6nZY0TY/edit#gid=1248694442"",""Table 5: Risk of bias!J4:J175""),  $A74=IMPORTRANGE(""https://docs.google.com/spreadsheets/d/1kGrh75X1"&amp;"cNR1D7_FcY9zMnHP8iPO4M5RCRjy6nZY0TY/edit#gid=1248694442"",""Table 5: Risk of bias!A4:A175"")),
$B74=""RoB 2"", FILTER(IMPORTRANGE(""https://docs.google.com/spreadsheets/d/1kGrh75X1cNR1D7_FcY9zMnHP8iPO4M5RCRjy6nZY0TY/edit#gid=1248694442"",""Table 5: Risk o"&amp;"f bias!R4:R175""), $A74=IMPORTRANGE(""https://docs.google.com/spreadsheets/d/1kGrh75X1cNR1D7_FcY9zMnHP8iPO4M5RCRjy6nZY0TY/edit#gid=1248694442"",""Table 5: Risk of bias!A4:A175""))
)"),"Serious")</f>
        <v>Serious</v>
      </c>
      <c r="D74" s="4" t="str">
        <f>IFERROR(__xludf.DUMMYFUNCTION("IFS($B74=""ROBINS I"",FILTER(IMPORTRANGE(""https://docs.google.com/spreadsheets/d/1kGrh75X1cNR1D7_FcY9zMnHP8iPO4M5RCRjy6nZY0TY/edit#gid=1248694442"",""Table 5: Risk of bias!K4:K175""), $A74=IMPORTRANGE(""https://docs.google.com/spreadsheets/d/1kGrh75X1cNR"&amp;"1D7_FcY9zMnHP8iPO4M5RCRjy6nZY0TY/edit#gid=1248694442"",""Table 5: Risk of bias!A4:A175"")),$B74=""RoB 2"",FILTER(IMPORTRANGE(""https://docs.google.com/spreadsheets/d/1kGrh75X1cNR1D7_FcY9zMnHP8iPO4M5RCRjy6nZY0TY/edit#gid=1248694442"",""Table 5: Risk of bia"&amp;"s!S4:S175""), $A74=IMPORTRANGE(""https://docs.google.com/spreadsheets/d/1kGrh75X1cNR1D7_FcY9zMnHP8iPO4M5RCRjy6nZY0TY/edit#gid=1248694442"",""Table 5: Risk of bias!A4:A175"")))"),"Moderate")</f>
        <v>Moderate</v>
      </c>
      <c r="E74" s="4" t="str">
        <f>IFERROR(__xludf.DUMMYFUNCTION("IFS($B74=""ROBINS I"",FILTER(IMPORTRANGE(""https://docs.google.com/spreadsheets/d/1kGrh75X1cNR1D7_FcY9zMnHP8iPO4M5RCRjy6nZY0TY/edit#gid=1248694442"",""Table 5: Risk of bias!L4:L175""), $A74=IMPORTRANGE(""https://docs.google.com/spreadsheets/d/1kGrh75X1cNR"&amp;"1D7_FcY9zMnHP8iPO4M5RCRjy6nZY0TY/edit#gid=1248694442"",""Table 5: Risk of bias!A4:A175"")),$B74=""RoB 2"",FILTER(IMPORTRANGE(""https://docs.google.com/spreadsheets/d/1kGrh75X1cNR1D7_FcY9zMnHP8iPO4M5RCRjy6nZY0TY/edit#gid=1248694442"",""Table 5: Risk of bia"&amp;"s!T4:T175""), $A74=IMPORTRANGE(""https://docs.google.com/spreadsheets/d/1kGrh75X1cNR1D7_FcY9zMnHP8iPO4M5RCRjy6nZY0TY/edit#gid=1248694442"",""Table 5: Risk of bias!A4:A175"")))"),"Moderate")</f>
        <v>Moderate</v>
      </c>
      <c r="F74" s="4" t="str">
        <f>IFERROR(__xludf.DUMMYFUNCTION("IFS($B74=""ROBINS I"",FILTER(IMPORTRANGE(""https://docs.google.com/spreadsheets/d/1kGrh75X1cNR1D7_FcY9zMnHP8iPO4M5RCRjy6nZY0TY/edit#gid=1248694442"",""Table 5: Risk of bias!M4:M175""), $A74=IMPORTRANGE(""https://docs.google.com/spreadsheets/d/1kGrh75X1cNR"&amp;"1D7_FcY9zMnHP8iPO4M5RCRjy6nZY0TY/edit#gid=1248694442"",""Table 5: Risk of bias!A4:A175"")),$B74=""RoB 2"",FILTER(IMPORTRANGE(""https://docs.google.com/spreadsheets/d/1kGrh75X1cNR1D7_FcY9zMnHP8iPO4M5RCRjy6nZY0TY/edit#gid=1248694442"",""Table 5: Risk of bia"&amp;"s!U4:U175""), $A74=IMPORTRANGE(""https://docs.google.com/spreadsheets/d/1kGrh75X1cNR1D7_FcY9zMnHP8iPO4M5RCRjy6nZY0TY/edit#gid=1248694442"",""Table 5: Risk of bias!A4:A175"")))"),"Serious")</f>
        <v>Serious</v>
      </c>
      <c r="G74" s="4" t="str">
        <f>IFERROR(__xludf.DUMMYFUNCTION("IFS($B74=""ROBINS I"",FILTER(IMPORTRANGE(""https://docs.google.com/spreadsheets/d/1kGrh75X1cNR1D7_FcY9zMnHP8iPO4M5RCRjy6nZY0TY/edit#gid=1248694442"",""Table 5: Risk of bias!N4:N175""), $A74=IMPORTRANGE(""https://docs.google.com/spreadsheets/d/1kGrh75X1cNR"&amp;"1D7_FcY9zMnHP8iPO4M5RCRjy6nZY0TY/edit#gid=1248694442"",""Table 5: Risk of bias!A4:A175"")),$B74=""RoB 2"",FILTER(IMPORTRANGE(""https://docs.google.com/spreadsheets/d/1kGrh75X1cNR1D7_FcY9zMnHP8iPO4M5RCRjy6nZY0TY/edit#gid=1248694442"",""Table 5: Risk of bia"&amp;"s!V4:V175""), $A74=IMPORTRANGE(""https://docs.google.com/spreadsheets/d/1kGrh75X1cNR1D7_FcY9zMnHP8iPO4M5RCRjy6nZY0TY/edit#gid=1248694442"",""Table 5: Risk of bias!A4:A175"")))"),"Low")</f>
        <v>Low</v>
      </c>
      <c r="H74" s="4" t="str">
        <f>IFERROR(__xludf.DUMMYFUNCTION("IFS($B74=""ROBINS I"",FILTER(IMPORTRANGE(""https://docs.google.com/spreadsheets/d/1kGrh75X1cNR1D7_FcY9zMnHP8iPO4M5RCRjy6nZY0TY/edit#gid=1248694442"",""Table 5: Risk of bias!O4:O175""), $A74=IMPORTRANGE(""https://docs.google.com/spreadsheets/d/1kGrh75X1cNR"&amp;"1D7_FcY9zMnHP8iPO4M5RCRjy6nZY0TY/edit#gid=1248694442"",""Table 5: Risk of bias!A4:A175"")),$B74=""RoB 2"",FILTER(IMPORTRANGE(""https://docs.google.com/spreadsheets/d/1kGrh75X1cNR1D7_FcY9zMnHP8iPO4M5RCRjy6nZY0TY/edit#gid=1248694442"",""Table 5: Risk of bia"&amp;"s!W4:W175""), $A74=IMPORTRANGE(""https://docs.google.com/spreadsheets/d/1kGrh75X1cNR1D7_FcY9zMnHP8iPO4M5RCRjy6nZY0TY/edit#gid=1248694442"",""Table 5: Risk of bias!A4:A175"")))"),"Low")</f>
        <v>Low</v>
      </c>
      <c r="I74" s="4" t="str">
        <f>IFERROR(__xludf.DUMMYFUNCTION("FILTER(IMPORTRANGE(""https://docs.google.com/spreadsheets/d/1kGrh75X1cNR1D7_FcY9zMnHP8iPO4M5RCRjy6nZY0TY/edit#gid=1248694442"",""Table 5: Risk of bias!P4:P175""), $A74=IMPORTRANGE(""https://docs.google.com/spreadsheets/d/1kGrh75X1cNR1D7_FcY9zMnHP8iPO4M5RC"&amp;"Rjy6nZY0TY/edit#gid=1248694442"",""Table 5: Risk of bias!A4:A175""))"),"Moderate")</f>
        <v>Moderate</v>
      </c>
      <c r="J74" s="4" t="str">
        <f>IFERROR(__xludf.DUMMYFUNCTION("FILTER(IMPORTRANGE(""https://docs.google.com/spreadsheets/d/1kGrh75X1cNR1D7_FcY9zMnHP8iPO4M5RCRjy6nZY0TY/edit#gid=1248694442"",""Table 5: Risk of bias!Q4:Q175""), $A74=IMPORTRANGE(""https://docs.google.com/spreadsheets/d/1kGrh75X1cNR1D7_FcY9zMnHP8iPO4M5RC"&amp;"Rjy6nZY0TY/edit#gid=1248694442"",""Table 5: Risk of bias!A4:A175""))"),"Low")</f>
        <v>Low</v>
      </c>
    </row>
    <row r="75">
      <c r="A75" s="4" t="str">
        <f>IFERROR(__xludf.DUMMYFUNCTION("""COMPUTED_VALUE"""),"ID 161")</f>
        <v>ID 161</v>
      </c>
      <c r="B75" s="4" t="str">
        <f>IFERROR(__xludf.DUMMYFUNCTION("FILTER(IMPORTRANGE(""https://docs.google.com/spreadsheets/d/1kGrh75X1cNR1D7_FcY9zMnHP8iPO4M5RCRjy6nZY0TY/edit#gid=1248694442"",""Table 5: Risk of bias!D4:D175""), $A75=IMPORTRANGE(""https://docs.google.com/spreadsheets/d/1kGrh75X1cNR1D7_FcY9zMnHP8iPO4M5RC"&amp;"Rjy6nZY0TY/edit#gid=1248694442"",""Table 5: Risk of bias!A4:A175""))"),"ROBINS I")</f>
        <v>ROBINS I</v>
      </c>
      <c r="C75" s="4" t="str">
        <f>IFERROR(__xludf.DUMMYFUNCTION("IFS(
$B75=""ROBINS I"", FILTER(IMPORTRANGE(""https://docs.google.com/spreadsheets/d/1kGrh75X1cNR1D7_FcY9zMnHP8iPO4M5RCRjy6nZY0TY/edit#gid=1248694442"",""Table 5: Risk of bias!J4:J175""),  $A75=IMPORTRANGE(""https://docs.google.com/spreadsheets/d/1kGrh75X1"&amp;"cNR1D7_FcY9zMnHP8iPO4M5RCRjy6nZY0TY/edit#gid=1248694442"",""Table 5: Risk of bias!A4:A175"")),
$B75=""RoB 2"", FILTER(IMPORTRANGE(""https://docs.google.com/spreadsheets/d/1kGrh75X1cNR1D7_FcY9zMnHP8iPO4M5RCRjy6nZY0TY/edit#gid=1248694442"",""Table 5: Risk o"&amp;"f bias!R4:R175""), $A75=IMPORTRANGE(""https://docs.google.com/spreadsheets/d/1kGrh75X1cNR1D7_FcY9zMnHP8iPO4M5RCRjy6nZY0TY/edit#gid=1248694442"",""Table 5: Risk of bias!A4:A175""))
)"),"Moderate")</f>
        <v>Moderate</v>
      </c>
      <c r="D75" s="4" t="str">
        <f>IFERROR(__xludf.DUMMYFUNCTION("IFS($B75=""ROBINS I"",FILTER(IMPORTRANGE(""https://docs.google.com/spreadsheets/d/1kGrh75X1cNR1D7_FcY9zMnHP8iPO4M5RCRjy6nZY0TY/edit#gid=1248694442"",""Table 5: Risk of bias!K4:K175""), $A75=IMPORTRANGE(""https://docs.google.com/spreadsheets/d/1kGrh75X1cNR"&amp;"1D7_FcY9zMnHP8iPO4M5RCRjy6nZY0TY/edit#gid=1248694442"",""Table 5: Risk of bias!A4:A175"")),$B75=""RoB 2"",FILTER(IMPORTRANGE(""https://docs.google.com/spreadsheets/d/1kGrh75X1cNR1D7_FcY9zMnHP8iPO4M5RCRjy6nZY0TY/edit#gid=1248694442"",""Table 5: Risk of bia"&amp;"s!S4:S175""), $A75=IMPORTRANGE(""https://docs.google.com/spreadsheets/d/1kGrh75X1cNR1D7_FcY9zMnHP8iPO4M5RCRjy6nZY0TY/edit#gid=1248694442"",""Table 5: Risk of bias!A4:A175"")))"),"Low")</f>
        <v>Low</v>
      </c>
      <c r="E75" s="4" t="str">
        <f>IFERROR(__xludf.DUMMYFUNCTION("IFS($B75=""ROBINS I"",FILTER(IMPORTRANGE(""https://docs.google.com/spreadsheets/d/1kGrh75X1cNR1D7_FcY9zMnHP8iPO4M5RCRjy6nZY0TY/edit#gid=1248694442"",""Table 5: Risk of bias!L4:L175""), $A75=IMPORTRANGE(""https://docs.google.com/spreadsheets/d/1kGrh75X1cNR"&amp;"1D7_FcY9zMnHP8iPO4M5RCRjy6nZY0TY/edit#gid=1248694442"",""Table 5: Risk of bias!A4:A175"")),$B75=""RoB 2"",FILTER(IMPORTRANGE(""https://docs.google.com/spreadsheets/d/1kGrh75X1cNR1D7_FcY9zMnHP8iPO4M5RCRjy6nZY0TY/edit#gid=1248694442"",""Table 5: Risk of bia"&amp;"s!T4:T175""), $A75=IMPORTRANGE(""https://docs.google.com/spreadsheets/d/1kGrh75X1cNR1D7_FcY9zMnHP8iPO4M5RCRjy6nZY0TY/edit#gid=1248694442"",""Table 5: Risk of bias!A4:A175"")))"),"Moderate")</f>
        <v>Moderate</v>
      </c>
      <c r="F75" s="4" t="str">
        <f>IFERROR(__xludf.DUMMYFUNCTION("IFS($B75=""ROBINS I"",FILTER(IMPORTRANGE(""https://docs.google.com/spreadsheets/d/1kGrh75X1cNR1D7_FcY9zMnHP8iPO4M5RCRjy6nZY0TY/edit#gid=1248694442"",""Table 5: Risk of bias!M4:M175""), $A75=IMPORTRANGE(""https://docs.google.com/spreadsheets/d/1kGrh75X1cNR"&amp;"1D7_FcY9zMnHP8iPO4M5RCRjy6nZY0TY/edit#gid=1248694442"",""Table 5: Risk of bias!A4:A175"")),$B75=""RoB 2"",FILTER(IMPORTRANGE(""https://docs.google.com/spreadsheets/d/1kGrh75X1cNR1D7_FcY9zMnHP8iPO4M5RCRjy6nZY0TY/edit#gid=1248694442"",""Table 5: Risk of bia"&amp;"s!U4:U175""), $A75=IMPORTRANGE(""https://docs.google.com/spreadsheets/d/1kGrh75X1cNR1D7_FcY9zMnHP8iPO4M5RCRjy6nZY0TY/edit#gid=1248694442"",""Table 5: Risk of bias!A4:A175"")))"),"Low")</f>
        <v>Low</v>
      </c>
      <c r="G75" s="4" t="str">
        <f>IFERROR(__xludf.DUMMYFUNCTION("IFS($B75=""ROBINS I"",FILTER(IMPORTRANGE(""https://docs.google.com/spreadsheets/d/1kGrh75X1cNR1D7_FcY9zMnHP8iPO4M5RCRjy6nZY0TY/edit#gid=1248694442"",""Table 5: Risk of bias!N4:N175""), $A75=IMPORTRANGE(""https://docs.google.com/spreadsheets/d/1kGrh75X1cNR"&amp;"1D7_FcY9zMnHP8iPO4M5RCRjy6nZY0TY/edit#gid=1248694442"",""Table 5: Risk of bias!A4:A175"")),$B75=""RoB 2"",FILTER(IMPORTRANGE(""https://docs.google.com/spreadsheets/d/1kGrh75X1cNR1D7_FcY9zMnHP8iPO4M5RCRjy6nZY0TY/edit#gid=1248694442"",""Table 5: Risk of bia"&amp;"s!V4:V175""), $A75=IMPORTRANGE(""https://docs.google.com/spreadsheets/d/1kGrh75X1cNR1D7_FcY9zMnHP8iPO4M5RCRjy6nZY0TY/edit#gid=1248694442"",""Table 5: Risk of bias!A4:A175"")))"),"Low")</f>
        <v>Low</v>
      </c>
      <c r="H75" s="4" t="str">
        <f>IFERROR(__xludf.DUMMYFUNCTION("IFS($B75=""ROBINS I"",FILTER(IMPORTRANGE(""https://docs.google.com/spreadsheets/d/1kGrh75X1cNR1D7_FcY9zMnHP8iPO4M5RCRjy6nZY0TY/edit#gid=1248694442"",""Table 5: Risk of bias!O4:O175""), $A75=IMPORTRANGE(""https://docs.google.com/spreadsheets/d/1kGrh75X1cNR"&amp;"1D7_FcY9zMnHP8iPO4M5RCRjy6nZY0TY/edit#gid=1248694442"",""Table 5: Risk of bias!A4:A175"")),$B75=""RoB 2"",FILTER(IMPORTRANGE(""https://docs.google.com/spreadsheets/d/1kGrh75X1cNR1D7_FcY9zMnHP8iPO4M5RCRjy6nZY0TY/edit#gid=1248694442"",""Table 5: Risk of bia"&amp;"s!W4:W175""), $A75=IMPORTRANGE(""https://docs.google.com/spreadsheets/d/1kGrh75X1cNR1D7_FcY9zMnHP8iPO4M5RCRjy6nZY0TY/edit#gid=1248694442"",""Table 5: Risk of bias!A4:A175"")))"),"Low")</f>
        <v>Low</v>
      </c>
      <c r="I75" s="4" t="str">
        <f>IFERROR(__xludf.DUMMYFUNCTION("FILTER(IMPORTRANGE(""https://docs.google.com/spreadsheets/d/1kGrh75X1cNR1D7_FcY9zMnHP8iPO4M5RCRjy6nZY0TY/edit#gid=1248694442"",""Table 5: Risk of bias!P4:P175""), $A75=IMPORTRANGE(""https://docs.google.com/spreadsheets/d/1kGrh75X1cNR1D7_FcY9zMnHP8iPO4M5RC"&amp;"Rjy6nZY0TY/edit#gid=1248694442"",""Table 5: Risk of bias!A4:A175""))"),"Low")</f>
        <v>Low</v>
      </c>
      <c r="J75" s="4" t="str">
        <f>IFERROR(__xludf.DUMMYFUNCTION("FILTER(IMPORTRANGE(""https://docs.google.com/spreadsheets/d/1kGrh75X1cNR1D7_FcY9zMnHP8iPO4M5RCRjy6nZY0TY/edit#gid=1248694442"",""Table 5: Risk of bias!Q4:Q175""), $A75=IMPORTRANGE(""https://docs.google.com/spreadsheets/d/1kGrh75X1cNR1D7_FcY9zMnHP8iPO4M5RC"&amp;"Rjy6nZY0TY/edit#gid=1248694442"",""Table 5: Risk of bias!A4:A175""))"),"Low")</f>
        <v>Low</v>
      </c>
    </row>
    <row r="76">
      <c r="A76" s="4" t="str">
        <f>IFERROR(__xludf.DUMMYFUNCTION("""COMPUTED_VALUE"""),"ID 162")</f>
        <v>ID 162</v>
      </c>
      <c r="B76" s="4" t="str">
        <f>IFERROR(__xludf.DUMMYFUNCTION("FILTER(IMPORTRANGE(""https://docs.google.com/spreadsheets/d/1kGrh75X1cNR1D7_FcY9zMnHP8iPO4M5RCRjy6nZY0TY/edit#gid=1248694442"",""Table 5: Risk of bias!D4:D175""), $A76=IMPORTRANGE(""https://docs.google.com/spreadsheets/d/1kGrh75X1cNR1D7_FcY9zMnHP8iPO4M5RC"&amp;"Rjy6nZY0TY/edit#gid=1248694442"",""Table 5: Risk of bias!A4:A175""))"),"ROBINS I")</f>
        <v>ROBINS I</v>
      </c>
      <c r="C76" s="4" t="str">
        <f>IFERROR(__xludf.DUMMYFUNCTION("IFS(
$B76=""ROBINS I"", FILTER(IMPORTRANGE(""https://docs.google.com/spreadsheets/d/1kGrh75X1cNR1D7_FcY9zMnHP8iPO4M5RCRjy6nZY0TY/edit#gid=1248694442"",""Table 5: Risk of bias!J4:J175""),  $A76=IMPORTRANGE(""https://docs.google.com/spreadsheets/d/1kGrh75X1"&amp;"cNR1D7_FcY9zMnHP8iPO4M5RCRjy6nZY0TY/edit#gid=1248694442"",""Table 5: Risk of bias!A4:A175"")),
$B76=""RoB 2"", FILTER(IMPORTRANGE(""https://docs.google.com/spreadsheets/d/1kGrh75X1cNR1D7_FcY9zMnHP8iPO4M5RCRjy6nZY0TY/edit#gid=1248694442"",""Table 5: Risk o"&amp;"f bias!R4:R175""), $A76=IMPORTRANGE(""https://docs.google.com/spreadsheets/d/1kGrh75X1cNR1D7_FcY9zMnHP8iPO4M5RCRjy6nZY0TY/edit#gid=1248694442"",""Table 5: Risk of bias!A4:A175""))
)"),"Moderate")</f>
        <v>Moderate</v>
      </c>
      <c r="D76" s="4" t="str">
        <f>IFERROR(__xludf.DUMMYFUNCTION("IFS($B76=""ROBINS I"",FILTER(IMPORTRANGE(""https://docs.google.com/spreadsheets/d/1kGrh75X1cNR1D7_FcY9zMnHP8iPO4M5RCRjy6nZY0TY/edit#gid=1248694442"",""Table 5: Risk of bias!K4:K175""), $A76=IMPORTRANGE(""https://docs.google.com/spreadsheets/d/1kGrh75X1cNR"&amp;"1D7_FcY9zMnHP8iPO4M5RCRjy6nZY0TY/edit#gid=1248694442"",""Table 5: Risk of bias!A4:A175"")),$B76=""RoB 2"",FILTER(IMPORTRANGE(""https://docs.google.com/spreadsheets/d/1kGrh75X1cNR1D7_FcY9zMnHP8iPO4M5RCRjy6nZY0TY/edit#gid=1248694442"",""Table 5: Risk of bia"&amp;"s!S4:S175""), $A76=IMPORTRANGE(""https://docs.google.com/spreadsheets/d/1kGrh75X1cNR1D7_FcY9zMnHP8iPO4M5RCRjy6nZY0TY/edit#gid=1248694442"",""Table 5: Risk of bias!A4:A175"")))"),"Low")</f>
        <v>Low</v>
      </c>
      <c r="E76" s="4" t="str">
        <f>IFERROR(__xludf.DUMMYFUNCTION("IFS($B76=""ROBINS I"",FILTER(IMPORTRANGE(""https://docs.google.com/spreadsheets/d/1kGrh75X1cNR1D7_FcY9zMnHP8iPO4M5RCRjy6nZY0TY/edit#gid=1248694442"",""Table 5: Risk of bias!L4:L175""), $A76=IMPORTRANGE(""https://docs.google.com/spreadsheets/d/1kGrh75X1cNR"&amp;"1D7_FcY9zMnHP8iPO4M5RCRjy6nZY0TY/edit#gid=1248694442"",""Table 5: Risk of bias!A4:A175"")),$B76=""RoB 2"",FILTER(IMPORTRANGE(""https://docs.google.com/spreadsheets/d/1kGrh75X1cNR1D7_FcY9zMnHP8iPO4M5RCRjy6nZY0TY/edit#gid=1248694442"",""Table 5: Risk of bia"&amp;"s!T4:T175""), $A76=IMPORTRANGE(""https://docs.google.com/spreadsheets/d/1kGrh75X1cNR1D7_FcY9zMnHP8iPO4M5RCRjy6nZY0TY/edit#gid=1248694442"",""Table 5: Risk of bias!A4:A175"")))"),"Moderate")</f>
        <v>Moderate</v>
      </c>
      <c r="F76" s="4" t="str">
        <f>IFERROR(__xludf.DUMMYFUNCTION("IFS($B76=""ROBINS I"",FILTER(IMPORTRANGE(""https://docs.google.com/spreadsheets/d/1kGrh75X1cNR1D7_FcY9zMnHP8iPO4M5RCRjy6nZY0TY/edit#gid=1248694442"",""Table 5: Risk of bias!M4:M175""), $A76=IMPORTRANGE(""https://docs.google.com/spreadsheets/d/1kGrh75X1cNR"&amp;"1D7_FcY9zMnHP8iPO4M5RCRjy6nZY0TY/edit#gid=1248694442"",""Table 5: Risk of bias!A4:A175"")),$B76=""RoB 2"",FILTER(IMPORTRANGE(""https://docs.google.com/spreadsheets/d/1kGrh75X1cNR1D7_FcY9zMnHP8iPO4M5RCRjy6nZY0TY/edit#gid=1248694442"",""Table 5: Risk of bia"&amp;"s!U4:U175""), $A76=IMPORTRANGE(""https://docs.google.com/spreadsheets/d/1kGrh75X1cNR1D7_FcY9zMnHP8iPO4M5RCRjy6nZY0TY/edit#gid=1248694442"",""Table 5: Risk of bias!A4:A175"")))"),"Low")</f>
        <v>Low</v>
      </c>
      <c r="G76" s="4" t="str">
        <f>IFERROR(__xludf.DUMMYFUNCTION("IFS($B76=""ROBINS I"",FILTER(IMPORTRANGE(""https://docs.google.com/spreadsheets/d/1kGrh75X1cNR1D7_FcY9zMnHP8iPO4M5RCRjy6nZY0TY/edit#gid=1248694442"",""Table 5: Risk of bias!N4:N175""), $A76=IMPORTRANGE(""https://docs.google.com/spreadsheets/d/1kGrh75X1cNR"&amp;"1D7_FcY9zMnHP8iPO4M5RCRjy6nZY0TY/edit#gid=1248694442"",""Table 5: Risk of bias!A4:A175"")),$B76=""RoB 2"",FILTER(IMPORTRANGE(""https://docs.google.com/spreadsheets/d/1kGrh75X1cNR1D7_FcY9zMnHP8iPO4M5RCRjy6nZY0TY/edit#gid=1248694442"",""Table 5: Risk of bia"&amp;"s!V4:V175""), $A76=IMPORTRANGE(""https://docs.google.com/spreadsheets/d/1kGrh75X1cNR1D7_FcY9zMnHP8iPO4M5RCRjy6nZY0TY/edit#gid=1248694442"",""Table 5: Risk of bias!A4:A175"")))"),"Low")</f>
        <v>Low</v>
      </c>
      <c r="H76" s="4" t="str">
        <f>IFERROR(__xludf.DUMMYFUNCTION("IFS($B76=""ROBINS I"",FILTER(IMPORTRANGE(""https://docs.google.com/spreadsheets/d/1kGrh75X1cNR1D7_FcY9zMnHP8iPO4M5RCRjy6nZY0TY/edit#gid=1248694442"",""Table 5: Risk of bias!O4:O175""), $A76=IMPORTRANGE(""https://docs.google.com/spreadsheets/d/1kGrh75X1cNR"&amp;"1D7_FcY9zMnHP8iPO4M5RCRjy6nZY0TY/edit#gid=1248694442"",""Table 5: Risk of bias!A4:A175"")),$B76=""RoB 2"",FILTER(IMPORTRANGE(""https://docs.google.com/spreadsheets/d/1kGrh75X1cNR1D7_FcY9zMnHP8iPO4M5RCRjy6nZY0TY/edit#gid=1248694442"",""Table 5: Risk of bia"&amp;"s!W4:W175""), $A76=IMPORTRANGE(""https://docs.google.com/spreadsheets/d/1kGrh75X1cNR1D7_FcY9zMnHP8iPO4M5RCRjy6nZY0TY/edit#gid=1248694442"",""Table 5: Risk of bias!A4:A175"")))"),"Low")</f>
        <v>Low</v>
      </c>
      <c r="I76" s="4" t="str">
        <f>IFERROR(__xludf.DUMMYFUNCTION("FILTER(IMPORTRANGE(""https://docs.google.com/spreadsheets/d/1kGrh75X1cNR1D7_FcY9zMnHP8iPO4M5RCRjy6nZY0TY/edit#gid=1248694442"",""Table 5: Risk of bias!P4:P175""), $A76=IMPORTRANGE(""https://docs.google.com/spreadsheets/d/1kGrh75X1cNR1D7_FcY9zMnHP8iPO4M5RC"&amp;"Rjy6nZY0TY/edit#gid=1248694442"",""Table 5: Risk of bias!A4:A175""))"),"Moderate")</f>
        <v>Moderate</v>
      </c>
      <c r="J76" s="4" t="str">
        <f>IFERROR(__xludf.DUMMYFUNCTION("FILTER(IMPORTRANGE(""https://docs.google.com/spreadsheets/d/1kGrh75X1cNR1D7_FcY9zMnHP8iPO4M5RCRjy6nZY0TY/edit#gid=1248694442"",""Table 5: Risk of bias!Q4:Q175""), $A76=IMPORTRANGE(""https://docs.google.com/spreadsheets/d/1kGrh75X1cNR1D7_FcY9zMnHP8iPO4M5RC"&amp;"Rjy6nZY0TY/edit#gid=1248694442"",""Table 5: Risk of bias!A4:A175""))"),"Low")</f>
        <v>Low</v>
      </c>
    </row>
    <row r="77">
      <c r="A77" s="4" t="str">
        <f>IFERROR(__xludf.DUMMYFUNCTION("""COMPUTED_VALUE"""),"ID 163")</f>
        <v>ID 163</v>
      </c>
      <c r="B77" s="4" t="str">
        <f>IFERROR(__xludf.DUMMYFUNCTION("FILTER(IMPORTRANGE(""https://docs.google.com/spreadsheets/d/1kGrh75X1cNR1D7_FcY9zMnHP8iPO4M5RCRjy6nZY0TY/edit#gid=1248694442"",""Table 5: Risk of bias!D4:D175""), $A77=IMPORTRANGE(""https://docs.google.com/spreadsheets/d/1kGrh75X1cNR1D7_FcY9zMnHP8iPO4M5RC"&amp;"Rjy6nZY0TY/edit#gid=1248694442"",""Table 5: Risk of bias!A4:A175""))"),"ROBINS I")</f>
        <v>ROBINS I</v>
      </c>
      <c r="C77" s="4" t="str">
        <f>IFERROR(__xludf.DUMMYFUNCTION("IFS(
$B77=""ROBINS I"", FILTER(IMPORTRANGE(""https://docs.google.com/spreadsheets/d/1kGrh75X1cNR1D7_FcY9zMnHP8iPO4M5RCRjy6nZY0TY/edit#gid=1248694442"",""Table 5: Risk of bias!J4:J175""),  $A77=IMPORTRANGE(""https://docs.google.com/spreadsheets/d/1kGrh75X1"&amp;"cNR1D7_FcY9zMnHP8iPO4M5RCRjy6nZY0TY/edit#gid=1248694442"",""Table 5: Risk of bias!A4:A175"")),
$B77=""RoB 2"", FILTER(IMPORTRANGE(""https://docs.google.com/spreadsheets/d/1kGrh75X1cNR1D7_FcY9zMnHP8iPO4M5RCRjy6nZY0TY/edit#gid=1248694442"",""Table 5: Risk o"&amp;"f bias!R4:R175""), $A77=IMPORTRANGE(""https://docs.google.com/spreadsheets/d/1kGrh75X1cNR1D7_FcY9zMnHP8iPO4M5RCRjy6nZY0TY/edit#gid=1248694442"",""Table 5: Risk of bias!A4:A175""))
)"),"Moderate")</f>
        <v>Moderate</v>
      </c>
      <c r="D77" s="4" t="str">
        <f>IFERROR(__xludf.DUMMYFUNCTION("IFS($B77=""ROBINS I"",FILTER(IMPORTRANGE(""https://docs.google.com/spreadsheets/d/1kGrh75X1cNR1D7_FcY9zMnHP8iPO4M5RCRjy6nZY0TY/edit#gid=1248694442"",""Table 5: Risk of bias!K4:K175""), $A77=IMPORTRANGE(""https://docs.google.com/spreadsheets/d/1kGrh75X1cNR"&amp;"1D7_FcY9zMnHP8iPO4M5RCRjy6nZY0TY/edit#gid=1248694442"",""Table 5: Risk of bias!A4:A175"")),$B77=""RoB 2"",FILTER(IMPORTRANGE(""https://docs.google.com/spreadsheets/d/1kGrh75X1cNR1D7_FcY9zMnHP8iPO4M5RCRjy6nZY0TY/edit#gid=1248694442"",""Table 5: Risk of bia"&amp;"s!S4:S175""), $A77=IMPORTRANGE(""https://docs.google.com/spreadsheets/d/1kGrh75X1cNR1D7_FcY9zMnHP8iPO4M5RCRjy6nZY0TY/edit#gid=1248694442"",""Table 5: Risk of bias!A4:A175"")))"),"Moderate")</f>
        <v>Moderate</v>
      </c>
      <c r="E77" s="4" t="str">
        <f>IFERROR(__xludf.DUMMYFUNCTION("IFS($B77=""ROBINS I"",FILTER(IMPORTRANGE(""https://docs.google.com/spreadsheets/d/1kGrh75X1cNR1D7_FcY9zMnHP8iPO4M5RCRjy6nZY0TY/edit#gid=1248694442"",""Table 5: Risk of bias!L4:L175""), $A77=IMPORTRANGE(""https://docs.google.com/spreadsheets/d/1kGrh75X1cNR"&amp;"1D7_FcY9zMnHP8iPO4M5RCRjy6nZY0TY/edit#gid=1248694442"",""Table 5: Risk of bias!A4:A175"")),$B77=""RoB 2"",FILTER(IMPORTRANGE(""https://docs.google.com/spreadsheets/d/1kGrh75X1cNR1D7_FcY9zMnHP8iPO4M5RCRjy6nZY0TY/edit#gid=1248694442"",""Table 5: Risk of bia"&amp;"s!T4:T175""), $A77=IMPORTRANGE(""https://docs.google.com/spreadsheets/d/1kGrh75X1cNR1D7_FcY9zMnHP8iPO4M5RCRjy6nZY0TY/edit#gid=1248694442"",""Table 5: Risk of bias!A4:A175"")))"),"Moderate")</f>
        <v>Moderate</v>
      </c>
      <c r="F77" s="4" t="str">
        <f>IFERROR(__xludf.DUMMYFUNCTION("IFS($B77=""ROBINS I"",FILTER(IMPORTRANGE(""https://docs.google.com/spreadsheets/d/1kGrh75X1cNR1D7_FcY9zMnHP8iPO4M5RCRjy6nZY0TY/edit#gid=1248694442"",""Table 5: Risk of bias!M4:M175""), $A77=IMPORTRANGE(""https://docs.google.com/spreadsheets/d/1kGrh75X1cNR"&amp;"1D7_FcY9zMnHP8iPO4M5RCRjy6nZY0TY/edit#gid=1248694442"",""Table 5: Risk of bias!A4:A175"")),$B77=""RoB 2"",FILTER(IMPORTRANGE(""https://docs.google.com/spreadsheets/d/1kGrh75X1cNR1D7_FcY9zMnHP8iPO4M5RCRjy6nZY0TY/edit#gid=1248694442"",""Table 5: Risk of bia"&amp;"s!U4:U175""), $A77=IMPORTRANGE(""https://docs.google.com/spreadsheets/d/1kGrh75X1cNR1D7_FcY9zMnHP8iPO4M5RCRjy6nZY0TY/edit#gid=1248694442"",""Table 5: Risk of bias!A4:A175"")))"),"Moderate")</f>
        <v>Moderate</v>
      </c>
      <c r="G77" s="4" t="str">
        <f>IFERROR(__xludf.DUMMYFUNCTION("IFS($B77=""ROBINS I"",FILTER(IMPORTRANGE(""https://docs.google.com/spreadsheets/d/1kGrh75X1cNR1D7_FcY9zMnHP8iPO4M5RCRjy6nZY0TY/edit#gid=1248694442"",""Table 5: Risk of bias!N4:N175""), $A77=IMPORTRANGE(""https://docs.google.com/spreadsheets/d/1kGrh75X1cNR"&amp;"1D7_FcY9zMnHP8iPO4M5RCRjy6nZY0TY/edit#gid=1248694442"",""Table 5: Risk of bias!A4:A175"")),$B77=""RoB 2"",FILTER(IMPORTRANGE(""https://docs.google.com/spreadsheets/d/1kGrh75X1cNR1D7_FcY9zMnHP8iPO4M5RCRjy6nZY0TY/edit#gid=1248694442"",""Table 5: Risk of bia"&amp;"s!V4:V175""), $A77=IMPORTRANGE(""https://docs.google.com/spreadsheets/d/1kGrh75X1cNR1D7_FcY9zMnHP8iPO4M5RCRjy6nZY0TY/edit#gid=1248694442"",""Table 5: Risk of bias!A4:A175"")))"),"Low")</f>
        <v>Low</v>
      </c>
      <c r="H77" s="4" t="str">
        <f>IFERROR(__xludf.DUMMYFUNCTION("IFS($B77=""ROBINS I"",FILTER(IMPORTRANGE(""https://docs.google.com/spreadsheets/d/1kGrh75X1cNR1D7_FcY9zMnHP8iPO4M5RCRjy6nZY0TY/edit#gid=1248694442"",""Table 5: Risk of bias!O4:O175""), $A77=IMPORTRANGE(""https://docs.google.com/spreadsheets/d/1kGrh75X1cNR"&amp;"1D7_FcY9zMnHP8iPO4M5RCRjy6nZY0TY/edit#gid=1248694442"",""Table 5: Risk of bias!A4:A175"")),$B77=""RoB 2"",FILTER(IMPORTRANGE(""https://docs.google.com/spreadsheets/d/1kGrh75X1cNR1D7_FcY9zMnHP8iPO4M5RCRjy6nZY0TY/edit#gid=1248694442"",""Table 5: Risk of bia"&amp;"s!W4:W175""), $A77=IMPORTRANGE(""https://docs.google.com/spreadsheets/d/1kGrh75X1cNR1D7_FcY9zMnHP8iPO4M5RCRjy6nZY0TY/edit#gid=1248694442"",""Table 5: Risk of bias!A4:A175"")))"),"Low")</f>
        <v>Low</v>
      </c>
      <c r="I77" s="4" t="str">
        <f>IFERROR(__xludf.DUMMYFUNCTION("FILTER(IMPORTRANGE(""https://docs.google.com/spreadsheets/d/1kGrh75X1cNR1D7_FcY9zMnHP8iPO4M5RCRjy6nZY0TY/edit#gid=1248694442"",""Table 5: Risk of bias!P4:P175""), $A77=IMPORTRANGE(""https://docs.google.com/spreadsheets/d/1kGrh75X1cNR1D7_FcY9zMnHP8iPO4M5RC"&amp;"Rjy6nZY0TY/edit#gid=1248694442"",""Table 5: Risk of bias!A4:A175""))"),"Moderate")</f>
        <v>Moderate</v>
      </c>
      <c r="J77" s="4" t="str">
        <f>IFERROR(__xludf.DUMMYFUNCTION("FILTER(IMPORTRANGE(""https://docs.google.com/spreadsheets/d/1kGrh75X1cNR1D7_FcY9zMnHP8iPO4M5RCRjy6nZY0TY/edit#gid=1248694442"",""Table 5: Risk of bias!Q4:Q175""), $A77=IMPORTRANGE(""https://docs.google.com/spreadsheets/d/1kGrh75X1cNR1D7_FcY9zMnHP8iPO4M5RC"&amp;"Rjy6nZY0TY/edit#gid=1248694442"",""Table 5: Risk of bias!A4:A175""))"),"Low")</f>
        <v>Low</v>
      </c>
    </row>
    <row r="78">
      <c r="A78" s="4" t="str">
        <f>IFERROR(__xludf.DUMMYFUNCTION("""COMPUTED_VALUE"""),"ID 164")</f>
        <v>ID 164</v>
      </c>
      <c r="B78" s="4" t="str">
        <f>IFERROR(__xludf.DUMMYFUNCTION("FILTER(IMPORTRANGE(""https://docs.google.com/spreadsheets/d/1kGrh75X1cNR1D7_FcY9zMnHP8iPO4M5RCRjy6nZY0TY/edit#gid=1248694442"",""Table 5: Risk of bias!D4:D175""), $A78=IMPORTRANGE(""https://docs.google.com/spreadsheets/d/1kGrh75X1cNR1D7_FcY9zMnHP8iPO4M5RC"&amp;"Rjy6nZY0TY/edit#gid=1248694442"",""Table 5: Risk of bias!A4:A175""))"),"ROBINS I")</f>
        <v>ROBINS I</v>
      </c>
      <c r="C78" s="4" t="str">
        <f>IFERROR(__xludf.DUMMYFUNCTION("IFS(
$B78=""ROBINS I"", FILTER(IMPORTRANGE(""https://docs.google.com/spreadsheets/d/1kGrh75X1cNR1D7_FcY9zMnHP8iPO4M5RCRjy6nZY0TY/edit#gid=1248694442"",""Table 5: Risk of bias!J4:J175""),  $A78=IMPORTRANGE(""https://docs.google.com/spreadsheets/d/1kGrh75X1"&amp;"cNR1D7_FcY9zMnHP8iPO4M5RCRjy6nZY0TY/edit#gid=1248694442"",""Table 5: Risk of bias!A4:A175"")),
$B78=""RoB 2"", FILTER(IMPORTRANGE(""https://docs.google.com/spreadsheets/d/1kGrh75X1cNR1D7_FcY9zMnHP8iPO4M5RCRjy6nZY0TY/edit#gid=1248694442"",""Table 5: Risk o"&amp;"f bias!R4:R175""), $A78=IMPORTRANGE(""https://docs.google.com/spreadsheets/d/1kGrh75X1cNR1D7_FcY9zMnHP8iPO4M5RCRjy6nZY0TY/edit#gid=1248694442"",""Table 5: Risk of bias!A4:A175""))
)"),"Serious")</f>
        <v>Serious</v>
      </c>
      <c r="D78" s="4" t="str">
        <f>IFERROR(__xludf.DUMMYFUNCTION("IFS($B78=""ROBINS I"",FILTER(IMPORTRANGE(""https://docs.google.com/spreadsheets/d/1kGrh75X1cNR1D7_FcY9zMnHP8iPO4M5RCRjy6nZY0TY/edit#gid=1248694442"",""Table 5: Risk of bias!K4:K175""), $A78=IMPORTRANGE(""https://docs.google.com/spreadsheets/d/1kGrh75X1cNR"&amp;"1D7_FcY9zMnHP8iPO4M5RCRjy6nZY0TY/edit#gid=1248694442"",""Table 5: Risk of bias!A4:A175"")),$B78=""RoB 2"",FILTER(IMPORTRANGE(""https://docs.google.com/spreadsheets/d/1kGrh75X1cNR1D7_FcY9zMnHP8iPO4M5RCRjy6nZY0TY/edit#gid=1248694442"",""Table 5: Risk of bia"&amp;"s!S4:S175""), $A78=IMPORTRANGE(""https://docs.google.com/spreadsheets/d/1kGrh75X1cNR1D7_FcY9zMnHP8iPO4M5RCRjy6nZY0TY/edit#gid=1248694442"",""Table 5: Risk of bias!A4:A175"")))"),"Serious")</f>
        <v>Serious</v>
      </c>
      <c r="E78" s="4" t="str">
        <f>IFERROR(__xludf.DUMMYFUNCTION("IFS($B78=""ROBINS I"",FILTER(IMPORTRANGE(""https://docs.google.com/spreadsheets/d/1kGrh75X1cNR1D7_FcY9zMnHP8iPO4M5RCRjy6nZY0TY/edit#gid=1248694442"",""Table 5: Risk of bias!L4:L175""), $A78=IMPORTRANGE(""https://docs.google.com/spreadsheets/d/1kGrh75X1cNR"&amp;"1D7_FcY9zMnHP8iPO4M5RCRjy6nZY0TY/edit#gid=1248694442"",""Table 5: Risk of bias!A4:A175"")),$B78=""RoB 2"",FILTER(IMPORTRANGE(""https://docs.google.com/spreadsheets/d/1kGrh75X1cNR1D7_FcY9zMnHP8iPO4M5RCRjy6nZY0TY/edit#gid=1248694442"",""Table 5: Risk of bia"&amp;"s!T4:T175""), $A78=IMPORTRANGE(""https://docs.google.com/spreadsheets/d/1kGrh75X1cNR1D7_FcY9zMnHP8iPO4M5RCRjy6nZY0TY/edit#gid=1248694442"",""Table 5: Risk of bias!A4:A175"")))"),"Moderate")</f>
        <v>Moderate</v>
      </c>
      <c r="F78" s="4" t="str">
        <f>IFERROR(__xludf.DUMMYFUNCTION("IFS($B78=""ROBINS I"",FILTER(IMPORTRANGE(""https://docs.google.com/spreadsheets/d/1kGrh75X1cNR1D7_FcY9zMnHP8iPO4M5RCRjy6nZY0TY/edit#gid=1248694442"",""Table 5: Risk of bias!M4:M175""), $A78=IMPORTRANGE(""https://docs.google.com/spreadsheets/d/1kGrh75X1cNR"&amp;"1D7_FcY9zMnHP8iPO4M5RCRjy6nZY0TY/edit#gid=1248694442"",""Table 5: Risk of bias!A4:A175"")),$B78=""RoB 2"",FILTER(IMPORTRANGE(""https://docs.google.com/spreadsheets/d/1kGrh75X1cNR1D7_FcY9zMnHP8iPO4M5RCRjy6nZY0TY/edit#gid=1248694442"",""Table 5: Risk of bia"&amp;"s!U4:U175""), $A78=IMPORTRANGE(""https://docs.google.com/spreadsheets/d/1kGrh75X1cNR1D7_FcY9zMnHP8iPO4M5RCRjy6nZY0TY/edit#gid=1248694442"",""Table 5: Risk of bias!A4:A175"")))"),"Low")</f>
        <v>Low</v>
      </c>
      <c r="G78" s="4" t="str">
        <f>IFERROR(__xludf.DUMMYFUNCTION("IFS($B78=""ROBINS I"",FILTER(IMPORTRANGE(""https://docs.google.com/spreadsheets/d/1kGrh75X1cNR1D7_FcY9zMnHP8iPO4M5RCRjy6nZY0TY/edit#gid=1248694442"",""Table 5: Risk of bias!N4:N175""), $A78=IMPORTRANGE(""https://docs.google.com/spreadsheets/d/1kGrh75X1cNR"&amp;"1D7_FcY9zMnHP8iPO4M5RCRjy6nZY0TY/edit#gid=1248694442"",""Table 5: Risk of bias!A4:A175"")),$B78=""RoB 2"",FILTER(IMPORTRANGE(""https://docs.google.com/spreadsheets/d/1kGrh75X1cNR1D7_FcY9zMnHP8iPO4M5RCRjy6nZY0TY/edit#gid=1248694442"",""Table 5: Risk of bia"&amp;"s!V4:V175""), $A78=IMPORTRANGE(""https://docs.google.com/spreadsheets/d/1kGrh75X1cNR1D7_FcY9zMnHP8iPO4M5RCRjy6nZY0TY/edit#gid=1248694442"",""Table 5: Risk of bias!A4:A175"")))"),"Low")</f>
        <v>Low</v>
      </c>
      <c r="H78" s="4" t="str">
        <f>IFERROR(__xludf.DUMMYFUNCTION("IFS($B78=""ROBINS I"",FILTER(IMPORTRANGE(""https://docs.google.com/spreadsheets/d/1kGrh75X1cNR1D7_FcY9zMnHP8iPO4M5RCRjy6nZY0TY/edit#gid=1248694442"",""Table 5: Risk of bias!O4:O175""), $A78=IMPORTRANGE(""https://docs.google.com/spreadsheets/d/1kGrh75X1cNR"&amp;"1D7_FcY9zMnHP8iPO4M5RCRjy6nZY0TY/edit#gid=1248694442"",""Table 5: Risk of bias!A4:A175"")),$B78=""RoB 2"",FILTER(IMPORTRANGE(""https://docs.google.com/spreadsheets/d/1kGrh75X1cNR1D7_FcY9zMnHP8iPO4M5RCRjy6nZY0TY/edit#gid=1248694442"",""Table 5: Risk of bia"&amp;"s!W4:W175""), $A78=IMPORTRANGE(""https://docs.google.com/spreadsheets/d/1kGrh75X1cNR1D7_FcY9zMnHP8iPO4M5RCRjy6nZY0TY/edit#gid=1248694442"",""Table 5: Risk of bias!A4:A175"")))"),"Serious")</f>
        <v>Serious</v>
      </c>
      <c r="I78" s="4" t="str">
        <f>IFERROR(__xludf.DUMMYFUNCTION("FILTER(IMPORTRANGE(""https://docs.google.com/spreadsheets/d/1kGrh75X1cNR1D7_FcY9zMnHP8iPO4M5RCRjy6nZY0TY/edit#gid=1248694442"",""Table 5: Risk of bias!P4:P175""), $A78=IMPORTRANGE(""https://docs.google.com/spreadsheets/d/1kGrh75X1cNR1D7_FcY9zMnHP8iPO4M5RC"&amp;"Rjy6nZY0TY/edit#gid=1248694442"",""Table 5: Risk of bias!A4:A175""))"),"Moderate")</f>
        <v>Moderate</v>
      </c>
      <c r="J78" s="4" t="str">
        <f>IFERROR(__xludf.DUMMYFUNCTION("FILTER(IMPORTRANGE(""https://docs.google.com/spreadsheets/d/1kGrh75X1cNR1D7_FcY9zMnHP8iPO4M5RCRjy6nZY0TY/edit#gid=1248694442"",""Table 5: Risk of bias!Q4:Q175""), $A78=IMPORTRANGE(""https://docs.google.com/spreadsheets/d/1kGrh75X1cNR1D7_FcY9zMnHP8iPO4M5RC"&amp;"Rjy6nZY0TY/edit#gid=1248694442"",""Table 5: Risk of bias!A4:A175""))"),"Low")</f>
        <v>Low</v>
      </c>
    </row>
    <row r="79">
      <c r="A79" s="4" t="str">
        <f>IFERROR(__xludf.DUMMYFUNCTION("""COMPUTED_VALUE"""),"ID 165")</f>
        <v>ID 165</v>
      </c>
      <c r="B79" s="4" t="str">
        <f>IFERROR(__xludf.DUMMYFUNCTION("FILTER(IMPORTRANGE(""https://docs.google.com/spreadsheets/d/1kGrh75X1cNR1D7_FcY9zMnHP8iPO4M5RCRjy6nZY0TY/edit#gid=1248694442"",""Table 5: Risk of bias!D4:D175""), $A79=IMPORTRANGE(""https://docs.google.com/spreadsheets/d/1kGrh75X1cNR1D7_FcY9zMnHP8iPO4M5RC"&amp;"Rjy6nZY0TY/edit#gid=1248694442"",""Table 5: Risk of bias!A4:A175""))"),"ROBINS I")</f>
        <v>ROBINS I</v>
      </c>
      <c r="C79" s="4" t="str">
        <f>IFERROR(__xludf.DUMMYFUNCTION("IFS(
$B79=""ROBINS I"", FILTER(IMPORTRANGE(""https://docs.google.com/spreadsheets/d/1kGrh75X1cNR1D7_FcY9zMnHP8iPO4M5RCRjy6nZY0TY/edit#gid=1248694442"",""Table 5: Risk of bias!J4:J175""),  $A79=IMPORTRANGE(""https://docs.google.com/spreadsheets/d/1kGrh75X1"&amp;"cNR1D7_FcY9zMnHP8iPO4M5RCRjy6nZY0TY/edit#gid=1248694442"",""Table 5: Risk of bias!A4:A175"")),
$B79=""RoB 2"", FILTER(IMPORTRANGE(""https://docs.google.com/spreadsheets/d/1kGrh75X1cNR1D7_FcY9zMnHP8iPO4M5RCRjy6nZY0TY/edit#gid=1248694442"",""Table 5: Risk o"&amp;"f bias!R4:R175""), $A79=IMPORTRANGE(""https://docs.google.com/spreadsheets/d/1kGrh75X1cNR1D7_FcY9zMnHP8iPO4M5RCRjy6nZY0TY/edit#gid=1248694442"",""Table 5: Risk of bias!A4:A175""))
)"),"Critical")</f>
        <v>Critical</v>
      </c>
      <c r="D79" s="4" t="str">
        <f>IFERROR(__xludf.DUMMYFUNCTION("IFS($B79=""ROBINS I"",FILTER(IMPORTRANGE(""https://docs.google.com/spreadsheets/d/1kGrh75X1cNR1D7_FcY9zMnHP8iPO4M5RCRjy6nZY0TY/edit#gid=1248694442"",""Table 5: Risk of bias!K4:K175""), $A79=IMPORTRANGE(""https://docs.google.com/spreadsheets/d/1kGrh75X1cNR"&amp;"1D7_FcY9zMnHP8iPO4M5RCRjy6nZY0TY/edit#gid=1248694442"",""Table 5: Risk of bias!A4:A175"")),$B79=""RoB 2"",FILTER(IMPORTRANGE(""https://docs.google.com/spreadsheets/d/1kGrh75X1cNR1D7_FcY9zMnHP8iPO4M5RCRjy6nZY0TY/edit#gid=1248694442"",""Table 5: Risk of bia"&amp;"s!S4:S175""), $A79=IMPORTRANGE(""https://docs.google.com/spreadsheets/d/1kGrh75X1cNR1D7_FcY9zMnHP8iPO4M5RCRjy6nZY0TY/edit#gid=1248694442"",""Table 5: Risk of bias!A4:A175"")))"),"Critical")</f>
        <v>Critical</v>
      </c>
      <c r="E79" s="4" t="str">
        <f>IFERROR(__xludf.DUMMYFUNCTION("IFS($B79=""ROBINS I"",FILTER(IMPORTRANGE(""https://docs.google.com/spreadsheets/d/1kGrh75X1cNR1D7_FcY9zMnHP8iPO4M5RCRjy6nZY0TY/edit#gid=1248694442"",""Table 5: Risk of bias!L4:L175""), $A79=IMPORTRANGE(""https://docs.google.com/spreadsheets/d/1kGrh75X1cNR"&amp;"1D7_FcY9zMnHP8iPO4M5RCRjy6nZY0TY/edit#gid=1248694442"",""Table 5: Risk of bias!A4:A175"")),$B79=""RoB 2"",FILTER(IMPORTRANGE(""https://docs.google.com/spreadsheets/d/1kGrh75X1cNR1D7_FcY9zMnHP8iPO4M5RCRjy6nZY0TY/edit#gid=1248694442"",""Table 5: Risk of bia"&amp;"s!T4:T175""), $A79=IMPORTRANGE(""https://docs.google.com/spreadsheets/d/1kGrh75X1cNR1D7_FcY9zMnHP8iPO4M5RCRjy6nZY0TY/edit#gid=1248694442"",""Table 5: Risk of bias!A4:A175"")))"),"Low")</f>
        <v>Low</v>
      </c>
      <c r="F79" s="4" t="str">
        <f>IFERROR(__xludf.DUMMYFUNCTION("IFS($B79=""ROBINS I"",FILTER(IMPORTRANGE(""https://docs.google.com/spreadsheets/d/1kGrh75X1cNR1D7_FcY9zMnHP8iPO4M5RCRjy6nZY0TY/edit#gid=1248694442"",""Table 5: Risk of bias!M4:M175""), $A79=IMPORTRANGE(""https://docs.google.com/spreadsheets/d/1kGrh75X1cNR"&amp;"1D7_FcY9zMnHP8iPO4M5RCRjy6nZY0TY/edit#gid=1248694442"",""Table 5: Risk of bias!A4:A175"")),$B79=""RoB 2"",FILTER(IMPORTRANGE(""https://docs.google.com/spreadsheets/d/1kGrh75X1cNR1D7_FcY9zMnHP8iPO4M5RCRjy6nZY0TY/edit#gid=1248694442"",""Table 5: Risk of bia"&amp;"s!U4:U175""), $A79=IMPORTRANGE(""https://docs.google.com/spreadsheets/d/1kGrh75X1cNR1D7_FcY9zMnHP8iPO4M5RCRjy6nZY0TY/edit#gid=1248694442"",""Table 5: Risk of bias!A4:A175"")))"),"Serious")</f>
        <v>Serious</v>
      </c>
      <c r="G79" s="4" t="str">
        <f>IFERROR(__xludf.DUMMYFUNCTION("IFS($B79=""ROBINS I"",FILTER(IMPORTRANGE(""https://docs.google.com/spreadsheets/d/1kGrh75X1cNR1D7_FcY9zMnHP8iPO4M5RCRjy6nZY0TY/edit#gid=1248694442"",""Table 5: Risk of bias!N4:N175""), $A79=IMPORTRANGE(""https://docs.google.com/spreadsheets/d/1kGrh75X1cNR"&amp;"1D7_FcY9zMnHP8iPO4M5RCRjy6nZY0TY/edit#gid=1248694442"",""Table 5: Risk of bias!A4:A175"")),$B79=""RoB 2"",FILTER(IMPORTRANGE(""https://docs.google.com/spreadsheets/d/1kGrh75X1cNR1D7_FcY9zMnHP8iPO4M5RCRjy6nZY0TY/edit#gid=1248694442"",""Table 5: Risk of bia"&amp;"s!V4:V175""), $A79=IMPORTRANGE(""https://docs.google.com/spreadsheets/d/1kGrh75X1cNR1D7_FcY9zMnHP8iPO4M5RCRjy6nZY0TY/edit#gid=1248694442"",""Table 5: Risk of bias!A4:A175"")))"),"Low")</f>
        <v>Low</v>
      </c>
      <c r="H79" s="4" t="str">
        <f>IFERROR(__xludf.DUMMYFUNCTION("IFS($B79=""ROBINS I"",FILTER(IMPORTRANGE(""https://docs.google.com/spreadsheets/d/1kGrh75X1cNR1D7_FcY9zMnHP8iPO4M5RCRjy6nZY0TY/edit#gid=1248694442"",""Table 5: Risk of bias!O4:O175""), $A79=IMPORTRANGE(""https://docs.google.com/spreadsheets/d/1kGrh75X1cNR"&amp;"1D7_FcY9zMnHP8iPO4M5RCRjy6nZY0TY/edit#gid=1248694442"",""Table 5: Risk of bias!A4:A175"")),$B79=""RoB 2"",FILTER(IMPORTRANGE(""https://docs.google.com/spreadsheets/d/1kGrh75X1cNR1D7_FcY9zMnHP8iPO4M5RCRjy6nZY0TY/edit#gid=1248694442"",""Table 5: Risk of bia"&amp;"s!W4:W175""), $A79=IMPORTRANGE(""https://docs.google.com/spreadsheets/d/1kGrh75X1cNR1D7_FcY9zMnHP8iPO4M5RCRjy6nZY0TY/edit#gid=1248694442"",""Table 5: Risk of bias!A4:A175"")))"),"Low")</f>
        <v>Low</v>
      </c>
      <c r="I79" s="4" t="str">
        <f>IFERROR(__xludf.DUMMYFUNCTION("FILTER(IMPORTRANGE(""https://docs.google.com/spreadsheets/d/1kGrh75X1cNR1D7_FcY9zMnHP8iPO4M5RCRjy6nZY0TY/edit#gid=1248694442"",""Table 5: Risk of bias!P4:P175""), $A79=IMPORTRANGE(""https://docs.google.com/spreadsheets/d/1kGrh75X1cNR1D7_FcY9zMnHP8iPO4M5RC"&amp;"Rjy6nZY0TY/edit#gid=1248694442"",""Table 5: Risk of bias!A4:A175""))"),"Moderate")</f>
        <v>Moderate</v>
      </c>
      <c r="J79" s="4" t="str">
        <f>IFERROR(__xludf.DUMMYFUNCTION("FILTER(IMPORTRANGE(""https://docs.google.com/spreadsheets/d/1kGrh75X1cNR1D7_FcY9zMnHP8iPO4M5RCRjy6nZY0TY/edit#gid=1248694442"",""Table 5: Risk of bias!Q4:Q175""), $A79=IMPORTRANGE(""https://docs.google.com/spreadsheets/d/1kGrh75X1cNR1D7_FcY9zMnHP8iPO4M5RC"&amp;"Rjy6nZY0TY/edit#gid=1248694442"",""Table 5: Risk of bias!A4:A175""))"),"Low")</f>
        <v>Low</v>
      </c>
    </row>
    <row r="80">
      <c r="A80" s="4" t="str">
        <f>IFERROR(__xludf.DUMMYFUNCTION("""COMPUTED_VALUE"""),"ID 166")</f>
        <v>ID 166</v>
      </c>
      <c r="B80" s="4" t="str">
        <f>IFERROR(__xludf.DUMMYFUNCTION("FILTER(IMPORTRANGE(""https://docs.google.com/spreadsheets/d/1kGrh75X1cNR1D7_FcY9zMnHP8iPO4M5RCRjy6nZY0TY/edit#gid=1248694442"",""Table 5: Risk of bias!D4:D175""), $A80=IMPORTRANGE(""https://docs.google.com/spreadsheets/d/1kGrh75X1cNR1D7_FcY9zMnHP8iPO4M5RC"&amp;"Rjy6nZY0TY/edit#gid=1248694442"",""Table 5: Risk of bias!A4:A175""))"),"ROBINS I")</f>
        <v>ROBINS I</v>
      </c>
      <c r="C80" s="4" t="str">
        <f>IFERROR(__xludf.DUMMYFUNCTION("IFS(
$B80=""ROBINS I"", FILTER(IMPORTRANGE(""https://docs.google.com/spreadsheets/d/1kGrh75X1cNR1D7_FcY9zMnHP8iPO4M5RCRjy6nZY0TY/edit#gid=1248694442"",""Table 5: Risk of bias!J4:J175""),  $A80=IMPORTRANGE(""https://docs.google.com/spreadsheets/d/1kGrh75X1"&amp;"cNR1D7_FcY9zMnHP8iPO4M5RCRjy6nZY0TY/edit#gid=1248694442"",""Table 5: Risk of bias!A4:A175"")),
$B80=""RoB 2"", FILTER(IMPORTRANGE(""https://docs.google.com/spreadsheets/d/1kGrh75X1cNR1D7_FcY9zMnHP8iPO4M5RCRjy6nZY0TY/edit#gid=1248694442"",""Table 5: Risk o"&amp;"f bias!R4:R175""), $A80=IMPORTRANGE(""https://docs.google.com/spreadsheets/d/1kGrh75X1cNR1D7_FcY9zMnHP8iPO4M5RCRjy6nZY0TY/edit#gid=1248694442"",""Table 5: Risk of bias!A4:A175""))
)"),"Moderate")</f>
        <v>Moderate</v>
      </c>
      <c r="D80" s="4" t="str">
        <f>IFERROR(__xludf.DUMMYFUNCTION("IFS($B80=""ROBINS I"",FILTER(IMPORTRANGE(""https://docs.google.com/spreadsheets/d/1kGrh75X1cNR1D7_FcY9zMnHP8iPO4M5RCRjy6nZY0TY/edit#gid=1248694442"",""Table 5: Risk of bias!K4:K175""), $A80=IMPORTRANGE(""https://docs.google.com/spreadsheets/d/1kGrh75X1cNR"&amp;"1D7_FcY9zMnHP8iPO4M5RCRjy6nZY0TY/edit#gid=1248694442"",""Table 5: Risk of bias!A4:A175"")),$B80=""RoB 2"",FILTER(IMPORTRANGE(""https://docs.google.com/spreadsheets/d/1kGrh75X1cNR1D7_FcY9zMnHP8iPO4M5RCRjy6nZY0TY/edit#gid=1248694442"",""Table 5: Risk of bia"&amp;"s!S4:S175""), $A80=IMPORTRANGE(""https://docs.google.com/spreadsheets/d/1kGrh75X1cNR1D7_FcY9zMnHP8iPO4M5RCRjy6nZY0TY/edit#gid=1248694442"",""Table 5: Risk of bias!A4:A175"")))"),"Moderate")</f>
        <v>Moderate</v>
      </c>
      <c r="E80" s="4" t="str">
        <f>IFERROR(__xludf.DUMMYFUNCTION("IFS($B80=""ROBINS I"",FILTER(IMPORTRANGE(""https://docs.google.com/spreadsheets/d/1kGrh75X1cNR1D7_FcY9zMnHP8iPO4M5RCRjy6nZY0TY/edit#gid=1248694442"",""Table 5: Risk of bias!L4:L175""), $A80=IMPORTRANGE(""https://docs.google.com/spreadsheets/d/1kGrh75X1cNR"&amp;"1D7_FcY9zMnHP8iPO4M5RCRjy6nZY0TY/edit#gid=1248694442"",""Table 5: Risk of bias!A4:A175"")),$B80=""RoB 2"",FILTER(IMPORTRANGE(""https://docs.google.com/spreadsheets/d/1kGrh75X1cNR1D7_FcY9zMnHP8iPO4M5RCRjy6nZY0TY/edit#gid=1248694442"",""Table 5: Risk of bia"&amp;"s!T4:T175""), $A80=IMPORTRANGE(""https://docs.google.com/spreadsheets/d/1kGrh75X1cNR1D7_FcY9zMnHP8iPO4M5RCRjy6nZY0TY/edit#gid=1248694442"",""Table 5: Risk of bias!A4:A175"")))"),"Moderate")</f>
        <v>Moderate</v>
      </c>
      <c r="F80" s="4" t="str">
        <f>IFERROR(__xludf.DUMMYFUNCTION("IFS($B80=""ROBINS I"",FILTER(IMPORTRANGE(""https://docs.google.com/spreadsheets/d/1kGrh75X1cNR1D7_FcY9zMnHP8iPO4M5RCRjy6nZY0TY/edit#gid=1248694442"",""Table 5: Risk of bias!M4:M175""), $A80=IMPORTRANGE(""https://docs.google.com/spreadsheets/d/1kGrh75X1cNR"&amp;"1D7_FcY9zMnHP8iPO4M5RCRjy6nZY0TY/edit#gid=1248694442"",""Table 5: Risk of bias!A4:A175"")),$B80=""RoB 2"",FILTER(IMPORTRANGE(""https://docs.google.com/spreadsheets/d/1kGrh75X1cNR1D7_FcY9zMnHP8iPO4M5RCRjy6nZY0TY/edit#gid=1248694442"",""Table 5: Risk of bia"&amp;"s!U4:U175""), $A80=IMPORTRANGE(""https://docs.google.com/spreadsheets/d/1kGrh75X1cNR1D7_FcY9zMnHP8iPO4M5RCRjy6nZY0TY/edit#gid=1248694442"",""Table 5: Risk of bias!A4:A175"")))"),"Moderate")</f>
        <v>Moderate</v>
      </c>
      <c r="G80" s="4" t="str">
        <f>IFERROR(__xludf.DUMMYFUNCTION("IFS($B80=""ROBINS I"",FILTER(IMPORTRANGE(""https://docs.google.com/spreadsheets/d/1kGrh75X1cNR1D7_FcY9zMnHP8iPO4M5RCRjy6nZY0TY/edit#gid=1248694442"",""Table 5: Risk of bias!N4:N175""), $A80=IMPORTRANGE(""https://docs.google.com/spreadsheets/d/1kGrh75X1cNR"&amp;"1D7_FcY9zMnHP8iPO4M5RCRjy6nZY0TY/edit#gid=1248694442"",""Table 5: Risk of bias!A4:A175"")),$B80=""RoB 2"",FILTER(IMPORTRANGE(""https://docs.google.com/spreadsheets/d/1kGrh75X1cNR1D7_FcY9zMnHP8iPO4M5RCRjy6nZY0TY/edit#gid=1248694442"",""Table 5: Risk of bia"&amp;"s!V4:V175""), $A80=IMPORTRANGE(""https://docs.google.com/spreadsheets/d/1kGrh75X1cNR1D7_FcY9zMnHP8iPO4M5RCRjy6nZY0TY/edit#gid=1248694442"",""Table 5: Risk of bias!A4:A175"")))"),"Low")</f>
        <v>Low</v>
      </c>
      <c r="H80" s="4" t="str">
        <f>IFERROR(__xludf.DUMMYFUNCTION("IFS($B80=""ROBINS I"",FILTER(IMPORTRANGE(""https://docs.google.com/spreadsheets/d/1kGrh75X1cNR1D7_FcY9zMnHP8iPO4M5RCRjy6nZY0TY/edit#gid=1248694442"",""Table 5: Risk of bias!O4:O175""), $A80=IMPORTRANGE(""https://docs.google.com/spreadsheets/d/1kGrh75X1cNR"&amp;"1D7_FcY9zMnHP8iPO4M5RCRjy6nZY0TY/edit#gid=1248694442"",""Table 5: Risk of bias!A4:A175"")),$B80=""RoB 2"",FILTER(IMPORTRANGE(""https://docs.google.com/spreadsheets/d/1kGrh75X1cNR1D7_FcY9zMnHP8iPO4M5RCRjy6nZY0TY/edit#gid=1248694442"",""Table 5: Risk of bia"&amp;"s!W4:W175""), $A80=IMPORTRANGE(""https://docs.google.com/spreadsheets/d/1kGrh75X1cNR1D7_FcY9zMnHP8iPO4M5RCRjy6nZY0TY/edit#gid=1248694442"",""Table 5: Risk of bias!A4:A175"")))"),"Low")</f>
        <v>Low</v>
      </c>
      <c r="I80" s="4" t="str">
        <f>IFERROR(__xludf.DUMMYFUNCTION("FILTER(IMPORTRANGE(""https://docs.google.com/spreadsheets/d/1kGrh75X1cNR1D7_FcY9zMnHP8iPO4M5RCRjy6nZY0TY/edit#gid=1248694442"",""Table 5: Risk of bias!P4:P175""), $A80=IMPORTRANGE(""https://docs.google.com/spreadsheets/d/1kGrh75X1cNR1D7_FcY9zMnHP8iPO4M5RC"&amp;"Rjy6nZY0TY/edit#gid=1248694442"",""Table 5: Risk of bias!A4:A175""))"),"Low")</f>
        <v>Low</v>
      </c>
      <c r="J80" s="4" t="str">
        <f>IFERROR(__xludf.DUMMYFUNCTION("FILTER(IMPORTRANGE(""https://docs.google.com/spreadsheets/d/1kGrh75X1cNR1D7_FcY9zMnHP8iPO4M5RCRjy6nZY0TY/edit#gid=1248694442"",""Table 5: Risk of bias!Q4:Q175""), $A80=IMPORTRANGE(""https://docs.google.com/spreadsheets/d/1kGrh75X1cNR1D7_FcY9zMnHP8iPO4M5RC"&amp;"Rjy6nZY0TY/edit#gid=1248694442"",""Table 5: Risk of bias!A4:A175""))"),"Low")</f>
        <v>Low</v>
      </c>
    </row>
    <row r="81">
      <c r="A81" s="4" t="str">
        <f>IFERROR(__xludf.DUMMYFUNCTION("""COMPUTED_VALUE"""),"ID 167")</f>
        <v>ID 167</v>
      </c>
      <c r="B81" s="4" t="str">
        <f>IFERROR(__xludf.DUMMYFUNCTION("FILTER(IMPORTRANGE(""https://docs.google.com/spreadsheets/d/1kGrh75X1cNR1D7_FcY9zMnHP8iPO4M5RCRjy6nZY0TY/edit#gid=1248694442"",""Table 5: Risk of bias!D4:D175""), $A81=IMPORTRANGE(""https://docs.google.com/spreadsheets/d/1kGrh75X1cNR1D7_FcY9zMnHP8iPO4M5RC"&amp;"Rjy6nZY0TY/edit#gid=1248694442"",""Table 5: Risk of bias!A4:A175""))"),"ROBINS I")</f>
        <v>ROBINS I</v>
      </c>
      <c r="C81" s="4" t="str">
        <f>IFERROR(__xludf.DUMMYFUNCTION("IFS(
$B81=""ROBINS I"", FILTER(IMPORTRANGE(""https://docs.google.com/spreadsheets/d/1kGrh75X1cNR1D7_FcY9zMnHP8iPO4M5RCRjy6nZY0TY/edit#gid=1248694442"",""Table 5: Risk of bias!J4:J175""),  $A81=IMPORTRANGE(""https://docs.google.com/spreadsheets/d/1kGrh75X1"&amp;"cNR1D7_FcY9zMnHP8iPO4M5RCRjy6nZY0TY/edit#gid=1248694442"",""Table 5: Risk of bias!A4:A175"")),
$B81=""RoB 2"", FILTER(IMPORTRANGE(""https://docs.google.com/spreadsheets/d/1kGrh75X1cNR1D7_FcY9zMnHP8iPO4M5RCRjy6nZY0TY/edit#gid=1248694442"",""Table 5: Risk o"&amp;"f bias!R4:R175""), $A81=IMPORTRANGE(""https://docs.google.com/spreadsheets/d/1kGrh75X1cNR1D7_FcY9zMnHP8iPO4M5RCRjy6nZY0TY/edit#gid=1248694442"",""Table 5: Risk of bias!A4:A175""))
)"),"Moderate")</f>
        <v>Moderate</v>
      </c>
      <c r="D81" s="4" t="str">
        <f>IFERROR(__xludf.DUMMYFUNCTION("IFS($B81=""ROBINS I"",FILTER(IMPORTRANGE(""https://docs.google.com/spreadsheets/d/1kGrh75X1cNR1D7_FcY9zMnHP8iPO4M5RCRjy6nZY0TY/edit#gid=1248694442"",""Table 5: Risk of bias!K4:K175""), $A81=IMPORTRANGE(""https://docs.google.com/spreadsheets/d/1kGrh75X1cNR"&amp;"1D7_FcY9zMnHP8iPO4M5RCRjy6nZY0TY/edit#gid=1248694442"",""Table 5: Risk of bias!A4:A175"")),$B81=""RoB 2"",FILTER(IMPORTRANGE(""https://docs.google.com/spreadsheets/d/1kGrh75X1cNR1D7_FcY9zMnHP8iPO4M5RCRjy6nZY0TY/edit#gid=1248694442"",""Table 5: Risk of bia"&amp;"s!S4:S175""), $A81=IMPORTRANGE(""https://docs.google.com/spreadsheets/d/1kGrh75X1cNR1D7_FcY9zMnHP8iPO4M5RCRjy6nZY0TY/edit#gid=1248694442"",""Table 5: Risk of bias!A4:A175"")))"),"Moderate")</f>
        <v>Moderate</v>
      </c>
      <c r="E81" s="4" t="str">
        <f>IFERROR(__xludf.DUMMYFUNCTION("IFS($B81=""ROBINS I"",FILTER(IMPORTRANGE(""https://docs.google.com/spreadsheets/d/1kGrh75X1cNR1D7_FcY9zMnHP8iPO4M5RCRjy6nZY0TY/edit#gid=1248694442"",""Table 5: Risk of bias!L4:L175""), $A81=IMPORTRANGE(""https://docs.google.com/spreadsheets/d/1kGrh75X1cNR"&amp;"1D7_FcY9zMnHP8iPO4M5RCRjy6nZY0TY/edit#gid=1248694442"",""Table 5: Risk of bias!A4:A175"")),$B81=""RoB 2"",FILTER(IMPORTRANGE(""https://docs.google.com/spreadsheets/d/1kGrh75X1cNR1D7_FcY9zMnHP8iPO4M5RCRjy6nZY0TY/edit#gid=1248694442"",""Table 5: Risk of bia"&amp;"s!T4:T175""), $A81=IMPORTRANGE(""https://docs.google.com/spreadsheets/d/1kGrh75X1cNR1D7_FcY9zMnHP8iPO4M5RCRjy6nZY0TY/edit#gid=1248694442"",""Table 5: Risk of bias!A4:A175"")))"),"Moderate")</f>
        <v>Moderate</v>
      </c>
      <c r="F81" s="4" t="str">
        <f>IFERROR(__xludf.DUMMYFUNCTION("IFS($B81=""ROBINS I"",FILTER(IMPORTRANGE(""https://docs.google.com/spreadsheets/d/1kGrh75X1cNR1D7_FcY9zMnHP8iPO4M5RCRjy6nZY0TY/edit#gid=1248694442"",""Table 5: Risk of bias!M4:M175""), $A81=IMPORTRANGE(""https://docs.google.com/spreadsheets/d/1kGrh75X1cNR"&amp;"1D7_FcY9zMnHP8iPO4M5RCRjy6nZY0TY/edit#gid=1248694442"",""Table 5: Risk of bias!A4:A175"")),$B81=""RoB 2"",FILTER(IMPORTRANGE(""https://docs.google.com/spreadsheets/d/1kGrh75X1cNR1D7_FcY9zMnHP8iPO4M5RCRjy6nZY0TY/edit#gid=1248694442"",""Table 5: Risk of bia"&amp;"s!U4:U175""), $A81=IMPORTRANGE(""https://docs.google.com/spreadsheets/d/1kGrh75X1cNR1D7_FcY9zMnHP8iPO4M5RCRjy6nZY0TY/edit#gid=1248694442"",""Table 5: Risk of bias!A4:A175"")))"),"Low")</f>
        <v>Low</v>
      </c>
      <c r="G81" s="4" t="str">
        <f>IFERROR(__xludf.DUMMYFUNCTION("IFS($B81=""ROBINS I"",FILTER(IMPORTRANGE(""https://docs.google.com/spreadsheets/d/1kGrh75X1cNR1D7_FcY9zMnHP8iPO4M5RCRjy6nZY0TY/edit#gid=1248694442"",""Table 5: Risk of bias!N4:N175""), $A81=IMPORTRANGE(""https://docs.google.com/spreadsheets/d/1kGrh75X1cNR"&amp;"1D7_FcY9zMnHP8iPO4M5RCRjy6nZY0TY/edit#gid=1248694442"",""Table 5: Risk of bias!A4:A175"")),$B81=""RoB 2"",FILTER(IMPORTRANGE(""https://docs.google.com/spreadsheets/d/1kGrh75X1cNR1D7_FcY9zMnHP8iPO4M5RCRjy6nZY0TY/edit#gid=1248694442"",""Table 5: Risk of bia"&amp;"s!V4:V175""), $A81=IMPORTRANGE(""https://docs.google.com/spreadsheets/d/1kGrh75X1cNR1D7_FcY9zMnHP8iPO4M5RCRjy6nZY0TY/edit#gid=1248694442"",""Table 5: Risk of bias!A4:A175"")))"),"Low")</f>
        <v>Low</v>
      </c>
      <c r="H81" s="4" t="str">
        <f>IFERROR(__xludf.DUMMYFUNCTION("IFS($B81=""ROBINS I"",FILTER(IMPORTRANGE(""https://docs.google.com/spreadsheets/d/1kGrh75X1cNR1D7_FcY9zMnHP8iPO4M5RCRjy6nZY0TY/edit#gid=1248694442"",""Table 5: Risk of bias!O4:O175""), $A81=IMPORTRANGE(""https://docs.google.com/spreadsheets/d/1kGrh75X1cNR"&amp;"1D7_FcY9zMnHP8iPO4M5RCRjy6nZY0TY/edit#gid=1248694442"",""Table 5: Risk of bias!A4:A175"")),$B81=""RoB 2"",FILTER(IMPORTRANGE(""https://docs.google.com/spreadsheets/d/1kGrh75X1cNR1D7_FcY9zMnHP8iPO4M5RCRjy6nZY0TY/edit#gid=1248694442"",""Table 5: Risk of bia"&amp;"s!W4:W175""), $A81=IMPORTRANGE(""https://docs.google.com/spreadsheets/d/1kGrh75X1cNR1D7_FcY9zMnHP8iPO4M5RCRjy6nZY0TY/edit#gid=1248694442"",""Table 5: Risk of bias!A4:A175"")))"),"Low")</f>
        <v>Low</v>
      </c>
      <c r="I81" s="4" t="str">
        <f>IFERROR(__xludf.DUMMYFUNCTION("FILTER(IMPORTRANGE(""https://docs.google.com/spreadsheets/d/1kGrh75X1cNR1D7_FcY9zMnHP8iPO4M5RCRjy6nZY0TY/edit#gid=1248694442"",""Table 5: Risk of bias!P4:P175""), $A81=IMPORTRANGE(""https://docs.google.com/spreadsheets/d/1kGrh75X1cNR1D7_FcY9zMnHP8iPO4M5RC"&amp;"Rjy6nZY0TY/edit#gid=1248694442"",""Table 5: Risk of bias!A4:A175""))"),"Low")</f>
        <v>Low</v>
      </c>
      <c r="J81" s="4" t="str">
        <f>IFERROR(__xludf.DUMMYFUNCTION("FILTER(IMPORTRANGE(""https://docs.google.com/spreadsheets/d/1kGrh75X1cNR1D7_FcY9zMnHP8iPO4M5RCRjy6nZY0TY/edit#gid=1248694442"",""Table 5: Risk of bias!Q4:Q175""), $A81=IMPORTRANGE(""https://docs.google.com/spreadsheets/d/1kGrh75X1cNR1D7_FcY9zMnHP8iPO4M5RC"&amp;"Rjy6nZY0TY/edit#gid=1248694442"",""Table 5: Risk of bias!A4:A175""))"),"Low")</f>
        <v>Low</v>
      </c>
    </row>
    <row r="82">
      <c r="A82" s="4" t="str">
        <f>IFERROR(__xludf.DUMMYFUNCTION("""COMPUTED_VALUE"""),"ID 168")</f>
        <v>ID 168</v>
      </c>
      <c r="B82" s="4" t="str">
        <f>IFERROR(__xludf.DUMMYFUNCTION("FILTER(IMPORTRANGE(""https://docs.google.com/spreadsheets/d/1kGrh75X1cNR1D7_FcY9zMnHP8iPO4M5RCRjy6nZY0TY/edit#gid=1248694442"",""Table 5: Risk of bias!D4:D175""), $A82=IMPORTRANGE(""https://docs.google.com/spreadsheets/d/1kGrh75X1cNR1D7_FcY9zMnHP8iPO4M5RC"&amp;"Rjy6nZY0TY/edit#gid=1248694442"",""Table 5: Risk of bias!A4:A175""))"),"ROBINS I")</f>
        <v>ROBINS I</v>
      </c>
      <c r="C82" s="4" t="str">
        <f>IFERROR(__xludf.DUMMYFUNCTION("IFS(
$B82=""ROBINS I"", FILTER(IMPORTRANGE(""https://docs.google.com/spreadsheets/d/1kGrh75X1cNR1D7_FcY9zMnHP8iPO4M5RCRjy6nZY0TY/edit#gid=1248694442"",""Table 5: Risk of bias!J4:J175""),  $A82=IMPORTRANGE(""https://docs.google.com/spreadsheets/d/1kGrh75X1"&amp;"cNR1D7_FcY9zMnHP8iPO4M5RCRjy6nZY0TY/edit#gid=1248694442"",""Table 5: Risk of bias!A4:A175"")),
$B82=""RoB 2"", FILTER(IMPORTRANGE(""https://docs.google.com/spreadsheets/d/1kGrh75X1cNR1D7_FcY9zMnHP8iPO4M5RCRjy6nZY0TY/edit#gid=1248694442"",""Table 5: Risk o"&amp;"f bias!R4:R175""), $A82=IMPORTRANGE(""https://docs.google.com/spreadsheets/d/1kGrh75X1cNR1D7_FcY9zMnHP8iPO4M5RCRjy6nZY0TY/edit#gid=1248694442"",""Table 5: Risk of bias!A4:A175""))
)"),"Moderate")</f>
        <v>Moderate</v>
      </c>
      <c r="D82" s="4" t="str">
        <f>IFERROR(__xludf.DUMMYFUNCTION("IFS($B82=""ROBINS I"",FILTER(IMPORTRANGE(""https://docs.google.com/spreadsheets/d/1kGrh75X1cNR1D7_FcY9zMnHP8iPO4M5RCRjy6nZY0TY/edit#gid=1248694442"",""Table 5: Risk of bias!K4:K175""), $A82=IMPORTRANGE(""https://docs.google.com/spreadsheets/d/1kGrh75X1cNR"&amp;"1D7_FcY9zMnHP8iPO4M5RCRjy6nZY0TY/edit#gid=1248694442"",""Table 5: Risk of bias!A4:A175"")),$B82=""RoB 2"",FILTER(IMPORTRANGE(""https://docs.google.com/spreadsheets/d/1kGrh75X1cNR1D7_FcY9zMnHP8iPO4M5RCRjy6nZY0TY/edit#gid=1248694442"",""Table 5: Risk of bia"&amp;"s!S4:S175""), $A82=IMPORTRANGE(""https://docs.google.com/spreadsheets/d/1kGrh75X1cNR1D7_FcY9zMnHP8iPO4M5RCRjy6nZY0TY/edit#gid=1248694442"",""Table 5: Risk of bias!A4:A175"")))"),"Moderate")</f>
        <v>Moderate</v>
      </c>
      <c r="E82" s="4" t="str">
        <f>IFERROR(__xludf.DUMMYFUNCTION("IFS($B82=""ROBINS I"",FILTER(IMPORTRANGE(""https://docs.google.com/spreadsheets/d/1kGrh75X1cNR1D7_FcY9zMnHP8iPO4M5RCRjy6nZY0TY/edit#gid=1248694442"",""Table 5: Risk of bias!L4:L175""), $A82=IMPORTRANGE(""https://docs.google.com/spreadsheets/d/1kGrh75X1cNR"&amp;"1D7_FcY9zMnHP8iPO4M5RCRjy6nZY0TY/edit#gid=1248694442"",""Table 5: Risk of bias!A4:A175"")),$B82=""RoB 2"",FILTER(IMPORTRANGE(""https://docs.google.com/spreadsheets/d/1kGrh75X1cNR1D7_FcY9zMnHP8iPO4M5RCRjy6nZY0TY/edit#gid=1248694442"",""Table 5: Risk of bia"&amp;"s!T4:T175""), $A82=IMPORTRANGE(""https://docs.google.com/spreadsheets/d/1kGrh75X1cNR1D7_FcY9zMnHP8iPO4M5RCRjy6nZY0TY/edit#gid=1248694442"",""Table 5: Risk of bias!A4:A175"")))"),"Moderate")</f>
        <v>Moderate</v>
      </c>
      <c r="F82" s="4" t="str">
        <f>IFERROR(__xludf.DUMMYFUNCTION("IFS($B82=""ROBINS I"",FILTER(IMPORTRANGE(""https://docs.google.com/spreadsheets/d/1kGrh75X1cNR1D7_FcY9zMnHP8iPO4M5RCRjy6nZY0TY/edit#gid=1248694442"",""Table 5: Risk of bias!M4:M175""), $A82=IMPORTRANGE(""https://docs.google.com/spreadsheets/d/1kGrh75X1cNR"&amp;"1D7_FcY9zMnHP8iPO4M5RCRjy6nZY0TY/edit#gid=1248694442"",""Table 5: Risk of bias!A4:A175"")),$B82=""RoB 2"",FILTER(IMPORTRANGE(""https://docs.google.com/spreadsheets/d/1kGrh75X1cNR1D7_FcY9zMnHP8iPO4M5RCRjy6nZY0TY/edit#gid=1248694442"",""Table 5: Risk of bia"&amp;"s!U4:U175""), $A82=IMPORTRANGE(""https://docs.google.com/spreadsheets/d/1kGrh75X1cNR1D7_FcY9zMnHP8iPO4M5RCRjy6nZY0TY/edit#gid=1248694442"",""Table 5: Risk of bias!A4:A175"")))"),"Low")</f>
        <v>Low</v>
      </c>
      <c r="G82" s="4" t="str">
        <f>IFERROR(__xludf.DUMMYFUNCTION("IFS($B82=""ROBINS I"",FILTER(IMPORTRANGE(""https://docs.google.com/spreadsheets/d/1kGrh75X1cNR1D7_FcY9zMnHP8iPO4M5RCRjy6nZY0TY/edit#gid=1248694442"",""Table 5: Risk of bias!N4:N175""), $A82=IMPORTRANGE(""https://docs.google.com/spreadsheets/d/1kGrh75X1cNR"&amp;"1D7_FcY9zMnHP8iPO4M5RCRjy6nZY0TY/edit#gid=1248694442"",""Table 5: Risk of bias!A4:A175"")),$B82=""RoB 2"",FILTER(IMPORTRANGE(""https://docs.google.com/spreadsheets/d/1kGrh75X1cNR1D7_FcY9zMnHP8iPO4M5RCRjy6nZY0TY/edit#gid=1248694442"",""Table 5: Risk of bia"&amp;"s!V4:V175""), $A82=IMPORTRANGE(""https://docs.google.com/spreadsheets/d/1kGrh75X1cNR1D7_FcY9zMnHP8iPO4M5RCRjy6nZY0TY/edit#gid=1248694442"",""Table 5: Risk of bias!A4:A175"")))"),"Low")</f>
        <v>Low</v>
      </c>
      <c r="H82" s="4" t="str">
        <f>IFERROR(__xludf.DUMMYFUNCTION("IFS($B82=""ROBINS I"",FILTER(IMPORTRANGE(""https://docs.google.com/spreadsheets/d/1kGrh75X1cNR1D7_FcY9zMnHP8iPO4M5RCRjy6nZY0TY/edit#gid=1248694442"",""Table 5: Risk of bias!O4:O175""), $A82=IMPORTRANGE(""https://docs.google.com/spreadsheets/d/1kGrh75X1cNR"&amp;"1D7_FcY9zMnHP8iPO4M5RCRjy6nZY0TY/edit#gid=1248694442"",""Table 5: Risk of bias!A4:A175"")),$B82=""RoB 2"",FILTER(IMPORTRANGE(""https://docs.google.com/spreadsheets/d/1kGrh75X1cNR1D7_FcY9zMnHP8iPO4M5RCRjy6nZY0TY/edit#gid=1248694442"",""Table 5: Risk of bia"&amp;"s!W4:W175""), $A82=IMPORTRANGE(""https://docs.google.com/spreadsheets/d/1kGrh75X1cNR1D7_FcY9zMnHP8iPO4M5RCRjy6nZY0TY/edit#gid=1248694442"",""Table 5: Risk of bias!A4:A175"")))"),"Low")</f>
        <v>Low</v>
      </c>
      <c r="I82" s="4" t="str">
        <f>IFERROR(__xludf.DUMMYFUNCTION("FILTER(IMPORTRANGE(""https://docs.google.com/spreadsheets/d/1kGrh75X1cNR1D7_FcY9zMnHP8iPO4M5RCRjy6nZY0TY/edit#gid=1248694442"",""Table 5: Risk of bias!P4:P175""), $A82=IMPORTRANGE(""https://docs.google.com/spreadsheets/d/1kGrh75X1cNR1D7_FcY9zMnHP8iPO4M5RC"&amp;"Rjy6nZY0TY/edit#gid=1248694442"",""Table 5: Risk of bias!A4:A175""))"),"Low")</f>
        <v>Low</v>
      </c>
      <c r="J82" s="4" t="str">
        <f>IFERROR(__xludf.DUMMYFUNCTION("FILTER(IMPORTRANGE(""https://docs.google.com/spreadsheets/d/1kGrh75X1cNR1D7_FcY9zMnHP8iPO4M5RCRjy6nZY0TY/edit#gid=1248694442"",""Table 5: Risk of bias!Q4:Q175""), $A82=IMPORTRANGE(""https://docs.google.com/spreadsheets/d/1kGrh75X1cNR1D7_FcY9zMnHP8iPO4M5RC"&amp;"Rjy6nZY0TY/edit#gid=1248694442"",""Table 5: Risk of bias!A4:A175""))"),"Low")</f>
        <v>Low</v>
      </c>
    </row>
    <row r="83">
      <c r="A83" s="4" t="str">
        <f>IFERROR(__xludf.DUMMYFUNCTION("""COMPUTED_VALUE"""),"ID 169")</f>
        <v>ID 169</v>
      </c>
      <c r="B83" s="4" t="str">
        <f>IFERROR(__xludf.DUMMYFUNCTION("FILTER(IMPORTRANGE(""https://docs.google.com/spreadsheets/d/1kGrh75X1cNR1D7_FcY9zMnHP8iPO4M5RCRjy6nZY0TY/edit#gid=1248694442"",""Table 5: Risk of bias!D4:D175""), $A83=IMPORTRANGE(""https://docs.google.com/spreadsheets/d/1kGrh75X1cNR1D7_FcY9zMnHP8iPO4M5RC"&amp;"Rjy6nZY0TY/edit#gid=1248694442"",""Table 5: Risk of bias!A4:A175""))"),"ROBINS I")</f>
        <v>ROBINS I</v>
      </c>
      <c r="C83" s="4" t="str">
        <f>IFERROR(__xludf.DUMMYFUNCTION("IFS(
$B83=""ROBINS I"", FILTER(IMPORTRANGE(""https://docs.google.com/spreadsheets/d/1kGrh75X1cNR1D7_FcY9zMnHP8iPO4M5RCRjy6nZY0TY/edit#gid=1248694442"",""Table 5: Risk of bias!J4:J175""),  $A83=IMPORTRANGE(""https://docs.google.com/spreadsheets/d/1kGrh75X1"&amp;"cNR1D7_FcY9zMnHP8iPO4M5RCRjy6nZY0TY/edit#gid=1248694442"",""Table 5: Risk of bias!A4:A175"")),
$B83=""RoB 2"", FILTER(IMPORTRANGE(""https://docs.google.com/spreadsheets/d/1kGrh75X1cNR1D7_FcY9zMnHP8iPO4M5RCRjy6nZY0TY/edit#gid=1248694442"",""Table 5: Risk o"&amp;"f bias!R4:R175""), $A83=IMPORTRANGE(""https://docs.google.com/spreadsheets/d/1kGrh75X1cNR1D7_FcY9zMnHP8iPO4M5RCRjy6nZY0TY/edit#gid=1248694442"",""Table 5: Risk of bias!A4:A175""))
)"),"Moderate")</f>
        <v>Moderate</v>
      </c>
      <c r="D83" s="4" t="str">
        <f>IFERROR(__xludf.DUMMYFUNCTION("IFS($B83=""ROBINS I"",FILTER(IMPORTRANGE(""https://docs.google.com/spreadsheets/d/1kGrh75X1cNR1D7_FcY9zMnHP8iPO4M5RCRjy6nZY0TY/edit#gid=1248694442"",""Table 5: Risk of bias!K4:K175""), $A83=IMPORTRANGE(""https://docs.google.com/spreadsheets/d/1kGrh75X1cNR"&amp;"1D7_FcY9zMnHP8iPO4M5RCRjy6nZY0TY/edit#gid=1248694442"",""Table 5: Risk of bias!A4:A175"")),$B83=""RoB 2"",FILTER(IMPORTRANGE(""https://docs.google.com/spreadsheets/d/1kGrh75X1cNR1D7_FcY9zMnHP8iPO4M5RCRjy6nZY0TY/edit#gid=1248694442"",""Table 5: Risk of bia"&amp;"s!S4:S175""), $A83=IMPORTRANGE(""https://docs.google.com/spreadsheets/d/1kGrh75X1cNR1D7_FcY9zMnHP8iPO4M5RCRjy6nZY0TY/edit#gid=1248694442"",""Table 5: Risk of bias!A4:A175"")))"),"Moderate")</f>
        <v>Moderate</v>
      </c>
      <c r="E83" s="4" t="str">
        <f>IFERROR(__xludf.DUMMYFUNCTION("IFS($B83=""ROBINS I"",FILTER(IMPORTRANGE(""https://docs.google.com/spreadsheets/d/1kGrh75X1cNR1D7_FcY9zMnHP8iPO4M5RCRjy6nZY0TY/edit#gid=1248694442"",""Table 5: Risk of bias!L4:L175""), $A83=IMPORTRANGE(""https://docs.google.com/spreadsheets/d/1kGrh75X1cNR"&amp;"1D7_FcY9zMnHP8iPO4M5RCRjy6nZY0TY/edit#gid=1248694442"",""Table 5: Risk of bias!A4:A175"")),$B83=""RoB 2"",FILTER(IMPORTRANGE(""https://docs.google.com/spreadsheets/d/1kGrh75X1cNR1D7_FcY9zMnHP8iPO4M5RCRjy6nZY0TY/edit#gid=1248694442"",""Table 5: Risk of bia"&amp;"s!T4:T175""), $A83=IMPORTRANGE(""https://docs.google.com/spreadsheets/d/1kGrh75X1cNR1D7_FcY9zMnHP8iPO4M5RCRjy6nZY0TY/edit#gid=1248694442"",""Table 5: Risk of bias!A4:A175"")))"),"Low")</f>
        <v>Low</v>
      </c>
      <c r="F83" s="4" t="str">
        <f>IFERROR(__xludf.DUMMYFUNCTION("IFS($B83=""ROBINS I"",FILTER(IMPORTRANGE(""https://docs.google.com/spreadsheets/d/1kGrh75X1cNR1D7_FcY9zMnHP8iPO4M5RCRjy6nZY0TY/edit#gid=1248694442"",""Table 5: Risk of bias!M4:M175""), $A83=IMPORTRANGE(""https://docs.google.com/spreadsheets/d/1kGrh75X1cNR"&amp;"1D7_FcY9zMnHP8iPO4M5RCRjy6nZY0TY/edit#gid=1248694442"",""Table 5: Risk of bias!A4:A175"")),$B83=""RoB 2"",FILTER(IMPORTRANGE(""https://docs.google.com/spreadsheets/d/1kGrh75X1cNR1D7_FcY9zMnHP8iPO4M5RCRjy6nZY0TY/edit#gid=1248694442"",""Table 5: Risk of bia"&amp;"s!U4:U175""), $A83=IMPORTRANGE(""https://docs.google.com/spreadsheets/d/1kGrh75X1cNR1D7_FcY9zMnHP8iPO4M5RCRjy6nZY0TY/edit#gid=1248694442"",""Table 5: Risk of bias!A4:A175"")))"),"Low")</f>
        <v>Low</v>
      </c>
      <c r="G83" s="4" t="str">
        <f>IFERROR(__xludf.DUMMYFUNCTION("IFS($B83=""ROBINS I"",FILTER(IMPORTRANGE(""https://docs.google.com/spreadsheets/d/1kGrh75X1cNR1D7_FcY9zMnHP8iPO4M5RCRjy6nZY0TY/edit#gid=1248694442"",""Table 5: Risk of bias!N4:N175""), $A83=IMPORTRANGE(""https://docs.google.com/spreadsheets/d/1kGrh75X1cNR"&amp;"1D7_FcY9zMnHP8iPO4M5RCRjy6nZY0TY/edit#gid=1248694442"",""Table 5: Risk of bias!A4:A175"")),$B83=""RoB 2"",FILTER(IMPORTRANGE(""https://docs.google.com/spreadsheets/d/1kGrh75X1cNR1D7_FcY9zMnHP8iPO4M5RCRjy6nZY0TY/edit#gid=1248694442"",""Table 5: Risk of bia"&amp;"s!V4:V175""), $A83=IMPORTRANGE(""https://docs.google.com/spreadsheets/d/1kGrh75X1cNR1D7_FcY9zMnHP8iPO4M5RCRjy6nZY0TY/edit#gid=1248694442"",""Table 5: Risk of bias!A4:A175"")))"),"Low")</f>
        <v>Low</v>
      </c>
      <c r="H83" s="4" t="str">
        <f>IFERROR(__xludf.DUMMYFUNCTION("IFS($B83=""ROBINS I"",FILTER(IMPORTRANGE(""https://docs.google.com/spreadsheets/d/1kGrh75X1cNR1D7_FcY9zMnHP8iPO4M5RCRjy6nZY0TY/edit#gid=1248694442"",""Table 5: Risk of bias!O4:O175""), $A83=IMPORTRANGE(""https://docs.google.com/spreadsheets/d/1kGrh75X1cNR"&amp;"1D7_FcY9zMnHP8iPO4M5RCRjy6nZY0TY/edit#gid=1248694442"",""Table 5: Risk of bias!A4:A175"")),$B83=""RoB 2"",FILTER(IMPORTRANGE(""https://docs.google.com/spreadsheets/d/1kGrh75X1cNR1D7_FcY9zMnHP8iPO4M5RCRjy6nZY0TY/edit#gid=1248694442"",""Table 5: Risk of bia"&amp;"s!W4:W175""), $A83=IMPORTRANGE(""https://docs.google.com/spreadsheets/d/1kGrh75X1cNR1D7_FcY9zMnHP8iPO4M5RCRjy6nZY0TY/edit#gid=1248694442"",""Table 5: Risk of bias!A4:A175"")))"),"Low")</f>
        <v>Low</v>
      </c>
      <c r="I83" s="4" t="str">
        <f>IFERROR(__xludf.DUMMYFUNCTION("FILTER(IMPORTRANGE(""https://docs.google.com/spreadsheets/d/1kGrh75X1cNR1D7_FcY9zMnHP8iPO4M5RCRjy6nZY0TY/edit#gid=1248694442"",""Table 5: Risk of bias!P4:P175""), $A83=IMPORTRANGE(""https://docs.google.com/spreadsheets/d/1kGrh75X1cNR1D7_FcY9zMnHP8iPO4M5RC"&amp;"Rjy6nZY0TY/edit#gid=1248694442"",""Table 5: Risk of bias!A4:A175""))"),"Moderate")</f>
        <v>Moderate</v>
      </c>
      <c r="J83" s="4" t="str">
        <f>IFERROR(__xludf.DUMMYFUNCTION("FILTER(IMPORTRANGE(""https://docs.google.com/spreadsheets/d/1kGrh75X1cNR1D7_FcY9zMnHP8iPO4M5RCRjy6nZY0TY/edit#gid=1248694442"",""Table 5: Risk of bias!Q4:Q175""), $A83=IMPORTRANGE(""https://docs.google.com/spreadsheets/d/1kGrh75X1cNR1D7_FcY9zMnHP8iPO4M5RC"&amp;"Rjy6nZY0TY/edit#gid=1248694442"",""Table 5: Risk of bias!A4:A175""))"),"Low")</f>
        <v>Low</v>
      </c>
    </row>
    <row r="84">
      <c r="A84" s="4" t="str">
        <f>IFERROR(__xludf.DUMMYFUNCTION("""COMPUTED_VALUE"""),"ID 170")</f>
        <v>ID 170</v>
      </c>
      <c r="B84" s="4" t="str">
        <f>IFERROR(__xludf.DUMMYFUNCTION("FILTER(IMPORTRANGE(""https://docs.google.com/spreadsheets/d/1kGrh75X1cNR1D7_FcY9zMnHP8iPO4M5RCRjy6nZY0TY/edit#gid=1248694442"",""Table 5: Risk of bias!D4:D175""), $A84=IMPORTRANGE(""https://docs.google.com/spreadsheets/d/1kGrh75X1cNR1D7_FcY9zMnHP8iPO4M5RC"&amp;"Rjy6nZY0TY/edit#gid=1248694442"",""Table 5: Risk of bias!A4:A175""))"),"ROBINS I")</f>
        <v>ROBINS I</v>
      </c>
      <c r="C84" s="4" t="str">
        <f>IFERROR(__xludf.DUMMYFUNCTION("IFS(
$B84=""ROBINS I"", FILTER(IMPORTRANGE(""https://docs.google.com/spreadsheets/d/1kGrh75X1cNR1D7_FcY9zMnHP8iPO4M5RCRjy6nZY0TY/edit#gid=1248694442"",""Table 5: Risk of bias!J4:J175""),  $A84=IMPORTRANGE(""https://docs.google.com/spreadsheets/d/1kGrh75X1"&amp;"cNR1D7_FcY9zMnHP8iPO4M5RCRjy6nZY0TY/edit#gid=1248694442"",""Table 5: Risk of bias!A4:A175"")),
$B84=""RoB 2"", FILTER(IMPORTRANGE(""https://docs.google.com/spreadsheets/d/1kGrh75X1cNR1D7_FcY9zMnHP8iPO4M5RCRjy6nZY0TY/edit#gid=1248694442"",""Table 5: Risk o"&amp;"f bias!R4:R175""), $A84=IMPORTRANGE(""https://docs.google.com/spreadsheets/d/1kGrh75X1cNR1D7_FcY9zMnHP8iPO4M5RCRjy6nZY0TY/edit#gid=1248694442"",""Table 5: Risk of bias!A4:A175""))
)"),"Moderate")</f>
        <v>Moderate</v>
      </c>
      <c r="D84" s="4" t="str">
        <f>IFERROR(__xludf.DUMMYFUNCTION("IFS($B84=""ROBINS I"",FILTER(IMPORTRANGE(""https://docs.google.com/spreadsheets/d/1kGrh75X1cNR1D7_FcY9zMnHP8iPO4M5RCRjy6nZY0TY/edit#gid=1248694442"",""Table 5: Risk of bias!K4:K175""), $A84=IMPORTRANGE(""https://docs.google.com/spreadsheets/d/1kGrh75X1cNR"&amp;"1D7_FcY9zMnHP8iPO4M5RCRjy6nZY0TY/edit#gid=1248694442"",""Table 5: Risk of bias!A4:A175"")),$B84=""RoB 2"",FILTER(IMPORTRANGE(""https://docs.google.com/spreadsheets/d/1kGrh75X1cNR1D7_FcY9zMnHP8iPO4M5RCRjy6nZY0TY/edit#gid=1248694442"",""Table 5: Risk of bia"&amp;"s!S4:S175""), $A84=IMPORTRANGE(""https://docs.google.com/spreadsheets/d/1kGrh75X1cNR1D7_FcY9zMnHP8iPO4M5RCRjy6nZY0TY/edit#gid=1248694442"",""Table 5: Risk of bias!A4:A175"")))"),"Moderate")</f>
        <v>Moderate</v>
      </c>
      <c r="E84" s="4" t="str">
        <f>IFERROR(__xludf.DUMMYFUNCTION("IFS($B84=""ROBINS I"",FILTER(IMPORTRANGE(""https://docs.google.com/spreadsheets/d/1kGrh75X1cNR1D7_FcY9zMnHP8iPO4M5RCRjy6nZY0TY/edit#gid=1248694442"",""Table 5: Risk of bias!L4:L175""), $A84=IMPORTRANGE(""https://docs.google.com/spreadsheets/d/1kGrh75X1cNR"&amp;"1D7_FcY9zMnHP8iPO4M5RCRjy6nZY0TY/edit#gid=1248694442"",""Table 5: Risk of bias!A4:A175"")),$B84=""RoB 2"",FILTER(IMPORTRANGE(""https://docs.google.com/spreadsheets/d/1kGrh75X1cNR1D7_FcY9zMnHP8iPO4M5RCRjy6nZY0TY/edit#gid=1248694442"",""Table 5: Risk of bia"&amp;"s!T4:T175""), $A84=IMPORTRANGE(""https://docs.google.com/spreadsheets/d/1kGrh75X1cNR1D7_FcY9zMnHP8iPO4M5RCRjy6nZY0TY/edit#gid=1248694442"",""Table 5: Risk of bias!A4:A175"")))"),"Low")</f>
        <v>Low</v>
      </c>
      <c r="F84" s="4" t="str">
        <f>IFERROR(__xludf.DUMMYFUNCTION("IFS($B84=""ROBINS I"",FILTER(IMPORTRANGE(""https://docs.google.com/spreadsheets/d/1kGrh75X1cNR1D7_FcY9zMnHP8iPO4M5RCRjy6nZY0TY/edit#gid=1248694442"",""Table 5: Risk of bias!M4:M175""), $A84=IMPORTRANGE(""https://docs.google.com/spreadsheets/d/1kGrh75X1cNR"&amp;"1D7_FcY9zMnHP8iPO4M5RCRjy6nZY0TY/edit#gid=1248694442"",""Table 5: Risk of bias!A4:A175"")),$B84=""RoB 2"",FILTER(IMPORTRANGE(""https://docs.google.com/spreadsheets/d/1kGrh75X1cNR1D7_FcY9zMnHP8iPO4M5RCRjy6nZY0TY/edit#gid=1248694442"",""Table 5: Risk of bia"&amp;"s!U4:U175""), $A84=IMPORTRANGE(""https://docs.google.com/spreadsheets/d/1kGrh75X1cNR1D7_FcY9zMnHP8iPO4M5RCRjy6nZY0TY/edit#gid=1248694442"",""Table 5: Risk of bias!A4:A175"")))"),"Low")</f>
        <v>Low</v>
      </c>
      <c r="G84" s="4" t="str">
        <f>IFERROR(__xludf.DUMMYFUNCTION("IFS($B84=""ROBINS I"",FILTER(IMPORTRANGE(""https://docs.google.com/spreadsheets/d/1kGrh75X1cNR1D7_FcY9zMnHP8iPO4M5RCRjy6nZY0TY/edit#gid=1248694442"",""Table 5: Risk of bias!N4:N175""), $A84=IMPORTRANGE(""https://docs.google.com/spreadsheets/d/1kGrh75X1cNR"&amp;"1D7_FcY9zMnHP8iPO4M5RCRjy6nZY0TY/edit#gid=1248694442"",""Table 5: Risk of bias!A4:A175"")),$B84=""RoB 2"",FILTER(IMPORTRANGE(""https://docs.google.com/spreadsheets/d/1kGrh75X1cNR1D7_FcY9zMnHP8iPO4M5RCRjy6nZY0TY/edit#gid=1248694442"",""Table 5: Risk of bia"&amp;"s!V4:V175""), $A84=IMPORTRANGE(""https://docs.google.com/spreadsheets/d/1kGrh75X1cNR1D7_FcY9zMnHP8iPO4M5RCRjy6nZY0TY/edit#gid=1248694442"",""Table 5: Risk of bias!A4:A175"")))"),"Low")</f>
        <v>Low</v>
      </c>
      <c r="H84" s="4" t="str">
        <f>IFERROR(__xludf.DUMMYFUNCTION("IFS($B84=""ROBINS I"",FILTER(IMPORTRANGE(""https://docs.google.com/spreadsheets/d/1kGrh75X1cNR1D7_FcY9zMnHP8iPO4M5RCRjy6nZY0TY/edit#gid=1248694442"",""Table 5: Risk of bias!O4:O175""), $A84=IMPORTRANGE(""https://docs.google.com/spreadsheets/d/1kGrh75X1cNR"&amp;"1D7_FcY9zMnHP8iPO4M5RCRjy6nZY0TY/edit#gid=1248694442"",""Table 5: Risk of bias!A4:A175"")),$B84=""RoB 2"",FILTER(IMPORTRANGE(""https://docs.google.com/spreadsheets/d/1kGrh75X1cNR1D7_FcY9zMnHP8iPO4M5RCRjy6nZY0TY/edit#gid=1248694442"",""Table 5: Risk of bia"&amp;"s!W4:W175""), $A84=IMPORTRANGE(""https://docs.google.com/spreadsheets/d/1kGrh75X1cNR1D7_FcY9zMnHP8iPO4M5RCRjy6nZY0TY/edit#gid=1248694442"",""Table 5: Risk of bias!A4:A175"")))"),"Low")</f>
        <v>Low</v>
      </c>
      <c r="I84" s="4" t="str">
        <f>IFERROR(__xludf.DUMMYFUNCTION("FILTER(IMPORTRANGE(""https://docs.google.com/spreadsheets/d/1kGrh75X1cNR1D7_FcY9zMnHP8iPO4M5RCRjy6nZY0TY/edit#gid=1248694442"",""Table 5: Risk of bias!P4:P175""), $A84=IMPORTRANGE(""https://docs.google.com/spreadsheets/d/1kGrh75X1cNR1D7_FcY9zMnHP8iPO4M5RC"&amp;"Rjy6nZY0TY/edit#gid=1248694442"",""Table 5: Risk of bias!A4:A175""))"),"Low")</f>
        <v>Low</v>
      </c>
      <c r="J84" s="4" t="str">
        <f>IFERROR(__xludf.DUMMYFUNCTION("FILTER(IMPORTRANGE(""https://docs.google.com/spreadsheets/d/1kGrh75X1cNR1D7_FcY9zMnHP8iPO4M5RCRjy6nZY0TY/edit#gid=1248694442"",""Table 5: Risk of bias!Q4:Q175""), $A84=IMPORTRANGE(""https://docs.google.com/spreadsheets/d/1kGrh75X1cNR1D7_FcY9zMnHP8iPO4M5RC"&amp;"Rjy6nZY0TY/edit#gid=1248694442"",""Table 5: Risk of bias!A4:A175""))"),"Low")</f>
        <v>Low</v>
      </c>
    </row>
    <row r="85">
      <c r="A85" s="4" t="str">
        <f>IFERROR(__xludf.DUMMYFUNCTION("""COMPUTED_VALUE"""),"ID 172")</f>
        <v>ID 172</v>
      </c>
      <c r="B85" s="4" t="str">
        <f>IFERROR(__xludf.DUMMYFUNCTION("FILTER(IMPORTRANGE(""https://docs.google.com/spreadsheets/d/1kGrh75X1cNR1D7_FcY9zMnHP8iPO4M5RCRjy6nZY0TY/edit#gid=1248694442"",""Table 5: Risk of bias!D4:D175""), $A85=IMPORTRANGE(""https://docs.google.com/spreadsheets/d/1kGrh75X1cNR1D7_FcY9zMnHP8iPO4M5RC"&amp;"Rjy6nZY0TY/edit#gid=1248694442"",""Table 5: Risk of bias!A4:A175""))"),"ROBINS I")</f>
        <v>ROBINS I</v>
      </c>
      <c r="C85" s="4" t="str">
        <f>IFERROR(__xludf.DUMMYFUNCTION("IFS(
$B85=""ROBINS I"", FILTER(IMPORTRANGE(""https://docs.google.com/spreadsheets/d/1kGrh75X1cNR1D7_FcY9zMnHP8iPO4M5RCRjy6nZY0TY/edit#gid=1248694442"",""Table 5: Risk of bias!J4:J175""),  $A85=IMPORTRANGE(""https://docs.google.com/spreadsheets/d/1kGrh75X1"&amp;"cNR1D7_FcY9zMnHP8iPO4M5RCRjy6nZY0TY/edit#gid=1248694442"",""Table 5: Risk of bias!A4:A175"")),
$B85=""RoB 2"", FILTER(IMPORTRANGE(""https://docs.google.com/spreadsheets/d/1kGrh75X1cNR1D7_FcY9zMnHP8iPO4M5RCRjy6nZY0TY/edit#gid=1248694442"",""Table 5: Risk o"&amp;"f bias!R4:R175""), $A85=IMPORTRANGE(""https://docs.google.com/spreadsheets/d/1kGrh75X1cNR1D7_FcY9zMnHP8iPO4M5RCRjy6nZY0TY/edit#gid=1248694442"",""Table 5: Risk of bias!A4:A175""))
)"),"Moderate")</f>
        <v>Moderate</v>
      </c>
      <c r="D85" s="4" t="str">
        <f>IFERROR(__xludf.DUMMYFUNCTION("IFS($B85=""ROBINS I"",FILTER(IMPORTRANGE(""https://docs.google.com/spreadsheets/d/1kGrh75X1cNR1D7_FcY9zMnHP8iPO4M5RCRjy6nZY0TY/edit#gid=1248694442"",""Table 5: Risk of bias!K4:K175""), $A85=IMPORTRANGE(""https://docs.google.com/spreadsheets/d/1kGrh75X1cNR"&amp;"1D7_FcY9zMnHP8iPO4M5RCRjy6nZY0TY/edit#gid=1248694442"",""Table 5: Risk of bias!A4:A175"")),$B85=""RoB 2"",FILTER(IMPORTRANGE(""https://docs.google.com/spreadsheets/d/1kGrh75X1cNR1D7_FcY9zMnHP8iPO4M5RCRjy6nZY0TY/edit#gid=1248694442"",""Table 5: Risk of bia"&amp;"s!S4:S175""), $A85=IMPORTRANGE(""https://docs.google.com/spreadsheets/d/1kGrh75X1cNR1D7_FcY9zMnHP8iPO4M5RCRjy6nZY0TY/edit#gid=1248694442"",""Table 5: Risk of bias!A4:A175"")))"),"Moderate")</f>
        <v>Moderate</v>
      </c>
      <c r="E85" s="4" t="str">
        <f>IFERROR(__xludf.DUMMYFUNCTION("IFS($B85=""ROBINS I"",FILTER(IMPORTRANGE(""https://docs.google.com/spreadsheets/d/1kGrh75X1cNR1D7_FcY9zMnHP8iPO4M5RCRjy6nZY0TY/edit#gid=1248694442"",""Table 5: Risk of bias!L4:L175""), $A85=IMPORTRANGE(""https://docs.google.com/spreadsheets/d/1kGrh75X1cNR"&amp;"1D7_FcY9zMnHP8iPO4M5RCRjy6nZY0TY/edit#gid=1248694442"",""Table 5: Risk of bias!A4:A175"")),$B85=""RoB 2"",FILTER(IMPORTRANGE(""https://docs.google.com/spreadsheets/d/1kGrh75X1cNR1D7_FcY9zMnHP8iPO4M5RCRjy6nZY0TY/edit#gid=1248694442"",""Table 5: Risk of bia"&amp;"s!T4:T175""), $A85=IMPORTRANGE(""https://docs.google.com/spreadsheets/d/1kGrh75X1cNR1D7_FcY9zMnHP8iPO4M5RCRjy6nZY0TY/edit#gid=1248694442"",""Table 5: Risk of bias!A4:A175"")))"),"Low")</f>
        <v>Low</v>
      </c>
      <c r="F85" s="4" t="str">
        <f>IFERROR(__xludf.DUMMYFUNCTION("IFS($B85=""ROBINS I"",FILTER(IMPORTRANGE(""https://docs.google.com/spreadsheets/d/1kGrh75X1cNR1D7_FcY9zMnHP8iPO4M5RCRjy6nZY0TY/edit#gid=1248694442"",""Table 5: Risk of bias!M4:M175""), $A85=IMPORTRANGE(""https://docs.google.com/spreadsheets/d/1kGrh75X1cNR"&amp;"1D7_FcY9zMnHP8iPO4M5RCRjy6nZY0TY/edit#gid=1248694442"",""Table 5: Risk of bias!A4:A175"")),$B85=""RoB 2"",FILTER(IMPORTRANGE(""https://docs.google.com/spreadsheets/d/1kGrh75X1cNR1D7_FcY9zMnHP8iPO4M5RCRjy6nZY0TY/edit#gid=1248694442"",""Table 5: Risk of bia"&amp;"s!U4:U175""), $A85=IMPORTRANGE(""https://docs.google.com/spreadsheets/d/1kGrh75X1cNR1D7_FcY9zMnHP8iPO4M5RCRjy6nZY0TY/edit#gid=1248694442"",""Table 5: Risk of bias!A4:A175"")))"),"Low")</f>
        <v>Low</v>
      </c>
      <c r="G85" s="4" t="str">
        <f>IFERROR(__xludf.DUMMYFUNCTION("IFS($B85=""ROBINS I"",FILTER(IMPORTRANGE(""https://docs.google.com/spreadsheets/d/1kGrh75X1cNR1D7_FcY9zMnHP8iPO4M5RCRjy6nZY0TY/edit#gid=1248694442"",""Table 5: Risk of bias!N4:N175""), $A85=IMPORTRANGE(""https://docs.google.com/spreadsheets/d/1kGrh75X1cNR"&amp;"1D7_FcY9zMnHP8iPO4M5RCRjy6nZY0TY/edit#gid=1248694442"",""Table 5: Risk of bias!A4:A175"")),$B85=""RoB 2"",FILTER(IMPORTRANGE(""https://docs.google.com/spreadsheets/d/1kGrh75X1cNR1D7_FcY9zMnHP8iPO4M5RCRjy6nZY0TY/edit#gid=1248694442"",""Table 5: Risk of bia"&amp;"s!V4:V175""), $A85=IMPORTRANGE(""https://docs.google.com/spreadsheets/d/1kGrh75X1cNR1D7_FcY9zMnHP8iPO4M5RCRjy6nZY0TY/edit#gid=1248694442"",""Table 5: Risk of bias!A4:A175"")))"),"Low")</f>
        <v>Low</v>
      </c>
      <c r="H85" s="4" t="str">
        <f>IFERROR(__xludf.DUMMYFUNCTION("IFS($B85=""ROBINS I"",FILTER(IMPORTRANGE(""https://docs.google.com/spreadsheets/d/1kGrh75X1cNR1D7_FcY9zMnHP8iPO4M5RCRjy6nZY0TY/edit#gid=1248694442"",""Table 5: Risk of bias!O4:O175""), $A85=IMPORTRANGE(""https://docs.google.com/spreadsheets/d/1kGrh75X1cNR"&amp;"1D7_FcY9zMnHP8iPO4M5RCRjy6nZY0TY/edit#gid=1248694442"",""Table 5: Risk of bias!A4:A175"")),$B85=""RoB 2"",FILTER(IMPORTRANGE(""https://docs.google.com/spreadsheets/d/1kGrh75X1cNR1D7_FcY9zMnHP8iPO4M5RCRjy6nZY0TY/edit#gid=1248694442"",""Table 5: Risk of bia"&amp;"s!W4:W175""), $A85=IMPORTRANGE(""https://docs.google.com/spreadsheets/d/1kGrh75X1cNR1D7_FcY9zMnHP8iPO4M5RCRjy6nZY0TY/edit#gid=1248694442"",""Table 5: Risk of bias!A4:A175"")))"),"Low")</f>
        <v>Low</v>
      </c>
      <c r="I85" s="4" t="str">
        <f>IFERROR(__xludf.DUMMYFUNCTION("FILTER(IMPORTRANGE(""https://docs.google.com/spreadsheets/d/1kGrh75X1cNR1D7_FcY9zMnHP8iPO4M5RCRjy6nZY0TY/edit#gid=1248694442"",""Table 5: Risk of bias!P4:P175""), $A85=IMPORTRANGE(""https://docs.google.com/spreadsheets/d/1kGrh75X1cNR1D7_FcY9zMnHP8iPO4M5RC"&amp;"Rjy6nZY0TY/edit#gid=1248694442"",""Table 5: Risk of bias!A4:A175""))"),"Low")</f>
        <v>Low</v>
      </c>
      <c r="J85" s="4" t="str">
        <f>IFERROR(__xludf.DUMMYFUNCTION("FILTER(IMPORTRANGE(""https://docs.google.com/spreadsheets/d/1kGrh75X1cNR1D7_FcY9zMnHP8iPO4M5RCRjy6nZY0TY/edit#gid=1248694442"",""Table 5: Risk of bias!Q4:Q175""), $A85=IMPORTRANGE(""https://docs.google.com/spreadsheets/d/1kGrh75X1cNR1D7_FcY9zMnHP8iPO4M5RC"&amp;"Rjy6nZY0TY/edit#gid=1248694442"",""Table 5: Risk of bias!A4:A175""))"),"Low")</f>
        <v>Low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3.75"/>
    <col customWidth="1" min="12" max="12" width="14.38"/>
    <col customWidth="1" min="13" max="13" width="19.13"/>
    <col customWidth="1" min="14" max="14" width="27.88"/>
    <col customWidth="1" min="18" max="19" width="17.0"/>
    <col customWidth="1" min="20" max="20" width="17.75"/>
    <col customWidth="1" min="21" max="21" width="16.88"/>
  </cols>
  <sheetData>
    <row r="1">
      <c r="A1" s="1" t="s">
        <v>134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I1" s="17" t="s">
        <v>250</v>
      </c>
      <c r="J1" s="17" t="s">
        <v>251</v>
      </c>
      <c r="K1" s="17" t="s">
        <v>252</v>
      </c>
      <c r="L1" s="2" t="s">
        <v>253</v>
      </c>
      <c r="M1" s="1" t="s">
        <v>254</v>
      </c>
      <c r="N1" s="1" t="s">
        <v>255</v>
      </c>
      <c r="O1" s="18" t="s">
        <v>256</v>
      </c>
      <c r="P1" s="18" t="s">
        <v>257</v>
      </c>
      <c r="Q1" s="18" t="s">
        <v>258</v>
      </c>
      <c r="R1" s="1" t="s">
        <v>259</v>
      </c>
      <c r="S1" s="1" t="s">
        <v>260</v>
      </c>
      <c r="T1" s="1" t="s">
        <v>261</v>
      </c>
      <c r="U1" s="1" t="s">
        <v>262</v>
      </c>
      <c r="V1" s="1" t="s">
        <v>263</v>
      </c>
      <c r="W1" s="1" t="s">
        <v>264</v>
      </c>
      <c r="X1" s="1" t="s">
        <v>265</v>
      </c>
    </row>
    <row r="2">
      <c r="A2" s="4" t="str">
        <f>IFERROR(__xludf.DUMMYFUNCTION("FILTER(IMPORTRANGE(""https://docs.google.com/spreadsheets/d/1kGrh75X1cNR1D7_FcY9zMnHP8iPO4M5RCRjy6nZY0TY/edit#gid=1248694442"",""Table 1: Study characteristics!A4:A175""),IMPORTRANGE(""https://docs.google.com/spreadsheets/d/1kGrh75X1cNR1D7_FcY9zMnHP8iPO4M"&amp;"5RCRjy6nZY0TY/edit#gid=1248694442"",""Table 1: Study characteristics!D4:D175"")=""Passed"")"),"ID 1")</f>
        <v>ID 1</v>
      </c>
      <c r="B2" s="14">
        <f>IFERROR(__xludf.DUMMYFUNCTION("IFNA(FILTER(IMPORTRANGE(""https://docs.google.com/spreadsheets/d/1kGrh75X1cNR1D7_FcY9zMnHP8iPO4M5RCRjy6nZY0TY/edit#gid=1248694442"",""Table 2: MMC!D5:D114""), $A2=IMPORTRANGE(""https://docs.google.com/spreadsheets/d/1kGrh75X1cNR1D7_FcY9zMnHP8iPO4M5RCRjy6n"&amp;"ZY0TY/edit#gid=1248694442"",""Table 2: MMC!A5:A114"")),"""")"),2.0)</f>
        <v>2</v>
      </c>
      <c r="C2" s="14" t="str">
        <f>IFERROR(__xludf.DUMMYFUNCTION("IFNA(FILTER(IMPORTRANGE(""https://docs.google.com/spreadsheets/d/1kGrh75X1cNR1D7_FcY9zMnHP8iPO4M5RCRjy6nZY0TY/edit#gid=1248694442"",""Table 2: MMC!E5:E114""), $A2=IMPORTRANGE(""https://docs.google.com/spreadsheets/d/1kGrh75X1cNR1D7_FcY9zMnHP8iPO4M5RCRjy6n"&amp;"ZY0TY/edit#gid=1248694442"",""Table 2: MMC!A5:A114"")),"""")"),"")</f>
        <v/>
      </c>
      <c r="D2" s="14">
        <f>IFERROR(__xludf.DUMMYFUNCTION("IFNA(FILTER(IMPORTRANGE(""https://docs.google.com/spreadsheets/d/1kGrh75X1cNR1D7_FcY9zMnHP8iPO4M5RCRjy6nZY0TY/edit#gid=1248694442"",""Table 2: MMC!F5:F114""), $A2=IMPORTRANGE(""https://docs.google.com/spreadsheets/d/1kGrh75X1cNR1D7_FcY9zMnHP8iPO4M5RCRjy6n"&amp;"ZY0TY/edit#gid=1248694442"",""Table 2: MMC!A5:A114"")),"""")"),6.0)</f>
        <v>6</v>
      </c>
      <c r="E2" s="14">
        <f>IFERROR(__xludf.DUMMYFUNCTION("IFNA(FILTER(IMPORTRANGE(""https://docs.google.com/spreadsheets/d/1kGrh75X1cNR1D7_FcY9zMnHP8iPO4M5RCRjy6nZY0TY/edit#gid=1248694442"",""Table 2: MMC!G5:G114""), $A2=IMPORTRANGE(""https://docs.google.com/spreadsheets/d/1kGrh75X1cNR1D7_FcY9zMnHP8iPO4M5RCRjy6n"&amp;"ZY0TY/edit#gid=1248694442"",""Table 2: MMC!A5:A114"")),"""")"),26.0)</f>
        <v>26</v>
      </c>
      <c r="F2" s="14">
        <f>IFERROR(__xludf.DUMMYFUNCTION("IFNA(FILTER(IMPORTRANGE(""https://docs.google.com/spreadsheets/d/1kGrh75X1cNR1D7_FcY9zMnHP8iPO4M5RCRjy6nZY0TY/edit#gid=1248694442"",""Table 2: MMC!H5:H114""), $A2=IMPORTRANGE(""https://docs.google.com/spreadsheets/d/1kGrh75X1cNR1D7_FcY9zMnHP8iPO4M5RCRjy6n"&amp;"ZY0TY/edit#gid=1248694442"",""Table 2: MMC!A5:A114"")),"""")"),21.0)</f>
        <v>21</v>
      </c>
      <c r="G2" s="14" t="str">
        <f>IFERROR(__xludf.DUMMYFUNCTION("IFNA(FILTER(IMPORTRANGE(""https://docs.google.com/spreadsheets/d/1kGrh75X1cNR1D7_FcY9zMnHP8iPO4M5RCRjy6nZY0TY/edit#gid=1248694442"",""Table 2: MMC!I5:I114""), $A2=IMPORTRANGE(""https://docs.google.com/spreadsheets/d/1kGrh75X1cNR1D7_FcY9zMnHP8iPO4M5RCRjy6n"&amp;"ZY0TY/edit#gid=1248694442"",""Table 2: MMC!A5:A114"")),"""")"),"")</f>
        <v/>
      </c>
      <c r="H2" s="14" t="str">
        <f>IFERROR(__xludf.DUMMYFUNCTION("IFNA(FILTER(IMPORTRANGE(""https://docs.google.com/spreadsheets/d/1kGrh75X1cNR1D7_FcY9zMnHP8iPO4M5RCRjy6nZY0TY/edit#gid=1248694442"",""Table 2: MMC!J5:J114""), $A2=IMPORTRANGE(""https://docs.google.com/spreadsheets/d/1kGrh75X1cNR1D7_FcY9zMnHP8iPO4M5RCRjy6n"&amp;"ZY0TY/edit#gid=1248694442"",""Table 2: MMC!A5:A114"")),"""")"),"post-natal")</f>
        <v>post-natal</v>
      </c>
      <c r="I2" s="14">
        <f>IFERROR(__xludf.DUMMYFUNCTION("IFNA(FILTER(IMPORTRANGE(""https://docs.google.com/spreadsheets/d/1kGrh75X1cNR1D7_FcY9zMnHP8iPO4M5RCRjy6nZY0TY/edit#gid=1248694442"",""Table 2: MMC!M5:M114""), $A2=IMPORTRANGE(""https://docs.google.com/spreadsheets/d/1kGrh75X1cNR1D7_FcY9zMnHP8iPO4M5RCRjy6n"&amp;"ZY0TY/edit#gid=1248694442"",""Table 2: MMC!A5:A114"")),"""")"),2.0)</f>
        <v>2</v>
      </c>
      <c r="J2" s="14" t="str">
        <f>IFERROR(__xludf.DUMMYFUNCTION("IFNA(FILTER(IMPORTRANGE(""https://docs.google.com/spreadsheets/d/1kGrh75X1cNR1D7_FcY9zMnHP8iPO4M5RCRjy6nZY0TY/edit#gid=1248694442"",""Table 2: MMC!Q5:Q114""), $A2=IMPORTRANGE(""https://docs.google.com/spreadsheets/d/1kGrh75X1cNR1D7_FcY9zMnHP8iPO4M5RCRjy6n"&amp;"ZY0TY/edit#gid=1248694442"",""Table 2: MMC!A5:A114"")),"""")"),"")</f>
        <v/>
      </c>
      <c r="K2" s="14">
        <f>IFERROR(__xludf.DUMMYFUNCTION("IFNA(FILTER(IMPORTRANGE(""https://docs.google.com/spreadsheets/d/1kGrh75X1cNR1D7_FcY9zMnHP8iPO4M5RCRjy6nZY0TY/edit#gid=1248694442"",""Table 2: MMC!R5:R114""), $A2=IMPORTRANGE(""https://docs.google.com/spreadsheets/d/1kGrh75X1cNR1D7_FcY9zMnHP8iPO4M5RCRjy6n"&amp;"ZY0TY/edit#gid=1248694442"",""Table 2: MMC!A5:A114"")),"""")"),6.0)</f>
        <v>6</v>
      </c>
      <c r="L2" s="14" t="str">
        <f>IFERROR(__xludf.DUMMYFUNCTION("IFNA(FILTER(IMPORTRANGE(""https://docs.google.com/spreadsheets/d/1kGrh75X1cNR1D7_FcY9zMnHP8iPO4M5RCRjy6nZY0TY/edit#gid=1248694442"",""Table 2: MMC!S5:S114""), $A2=IMPORTRANGE(""https://docs.google.com/spreadsheets/d/1kGrh75X1cNR1D7_FcY9zMnHP8iPO4M5RCRjy6n"&amp;"ZY0TY/edit#gid=1248694442"",""Table 2: MMC!A5:A114"")),"""")"),"")</f>
        <v/>
      </c>
      <c r="M2" s="14" t="str">
        <f>IFERROR(__xludf.DUMMYFUNCTION("IFNA(FILTER(IMPORTRANGE(""https://docs.google.com/spreadsheets/d/1kGrh75X1cNR1D7_FcY9zMnHP8iPO4M5RCRjy6nZY0TY/edit#gid=1248694442"",""Table 3: 1st-line HC!D5:D111""), $A2=IMPORTRANGE(""https://docs.google.com/spreadsheets/d/1kGrh75X1cNR1D7_FcY9zMnHP8iPO4M"&amp;"5RCRjy6nZY0TY/edit#gid=1248694442"",""Table 3: 1st-line HC!A5:A111"")),"""")"),"")</f>
        <v/>
      </c>
      <c r="N2" s="14" t="str">
        <f>IFERROR(__xludf.DUMMYFUNCTION("IFNA(FILTER(IMPORTRANGE(""https://docs.google.com/spreadsheets/d/1kGrh75X1cNR1D7_FcY9zMnHP8iPO4M5RCRjy6nZY0TY/edit#gid=1248694442"",""Table 3: 1st-line HC!E5:E111""), $A2=IMPORTRANGE(""https://docs.google.com/spreadsheets/d/1kGrh75X1cNR1D7_FcY9zMnHP8iPO4M"&amp;"5RCRjy6nZY0TY/edit#gid=1248694442"",""Table 3: 1st-line HC!A5:A111"")),"""")"),"")</f>
        <v/>
      </c>
      <c r="O2" s="14" t="str">
        <f>IFERROR(__xludf.DUMMYFUNCTION("IFNA(FILTER(IMPORTRANGE(""https://docs.google.com/spreadsheets/d/1kGrh75X1cNR1D7_FcY9zMnHP8iPO4M5RCRjy6nZY0TY/edit#gid=1248694442"",""Table 3: 1st-line HC!K5:K111""), $A2=IMPORTRANGE(""https://docs.google.com/spreadsheets/d/1kGrh75X1cNR1D7_FcY9zMnHP8iPO4M"&amp;"5RCRjy6nZY0TY/edit#gid=1248694442"",""Table 3: 1st-line HC!A5:A111"")),"""")"),"")</f>
        <v/>
      </c>
      <c r="P2" s="14" t="str">
        <f>IFERROR(__xludf.DUMMYFUNCTION("IFNA(FILTER(IMPORTRANGE(""https://docs.google.com/spreadsheets/d/1kGrh75X1cNR1D7_FcY9zMnHP8iPO4M5RCRjy6nZY0TY/edit#gid=1248694442"",""Table 3: 1st-line HC!L5:L111""), $A2=IMPORTRANGE(""https://docs.google.com/spreadsheets/d/1kGrh75X1cNR1D7_FcY9zMnHP8iPO4M"&amp;"5RCRjy6nZY0TY/edit#gid=1248694442"",""Table 3: 1st-line HC!A5:A111"")),"""")"),"")</f>
        <v/>
      </c>
      <c r="Q2" s="14" t="str">
        <f>IFERROR(__xludf.DUMMYFUNCTION("IFNA(FILTER(IMPORTRANGE(""https://docs.google.com/spreadsheets/d/1kGrh75X1cNR1D7_FcY9zMnHP8iPO4M5RCRjy6nZY0TY/edit#gid=1248694442"",""Table 3: 1st-line HC!M5:M111""), $A2=IMPORTRANGE(""https://docs.google.com/spreadsheets/d/1kGrh75X1cNR1D7_FcY9zMnHP8iPO4M"&amp;"5RCRjy6nZY0TY/edit#gid=1248694442"",""Table 3: 1st-line HC!A5:A111"")),"""")"),"")</f>
        <v/>
      </c>
      <c r="R2" s="14" t="str">
        <f>IFERROR(__xludf.DUMMYFUNCTION("IFNA(FILTER(IMPORTRANGE(""https://docs.google.com/spreadsheets/d/1kGrh75X1cNR1D7_FcY9zMnHP8iPO4M5RCRjy6nZY0TY/edit#gid=1248694442"",""Table 3: 1st-line HC!N5:N111""), $A2=IMPORTRANGE(""https://docs.google.com/spreadsheets/d/1kGrh75X1cNR1D7_FcY9zMnHP8iPO4M"&amp;"5RCRjy6nZY0TY/edit#gid=1248694442"",""Table 3: 1st-line HC!A5:A111"")),"""")"),"")</f>
        <v/>
      </c>
      <c r="S2" s="14" t="str">
        <f>IFERROR(__xludf.DUMMYFUNCTION("IFNA(FILTER(IMPORTRANGE(""https://docs.google.com/spreadsheets/d/1kGrh75X1cNR1D7_FcY9zMnHP8iPO4M5RCRjy6nZY0TY/edit#gid=1248694442"",""Table 3: 1st-line HC!T5:T111""), $A2=IMPORTRANGE(""https://docs.google.com/spreadsheets/d/1kGrh75X1cNR1D7_FcY9zMnHP8iPO4M"&amp;"5RCRjy6nZY0TY/edit#gid=1248694442"",""Table 3: 1st-line HC!A5:A111"")),"""")"),"")</f>
        <v/>
      </c>
      <c r="T2" s="14" t="str">
        <f>IFERROR(__xludf.DUMMYFUNCTION("IFNA(FILTER(IMPORTRANGE(""https://docs.google.com/spreadsheets/d/1kGrh75X1cNR1D7_FcY9zMnHP8iPO4M5RCRjy6nZY0TY/edit#gid=1248694442"",""Table 3: 1st-line HC!U5:U111""), $A2=IMPORTRANGE(""https://docs.google.com/spreadsheets/d/1kGrh75X1cNR1D7_FcY9zMnHP8iPO4M"&amp;"5RCRjy6nZY0TY/edit#gid=1248694442"",""Table 3: 1st-line HC!A5:A111"")),"""")"),"")</f>
        <v/>
      </c>
      <c r="U2" s="14" t="str">
        <f>IFERROR(__xludf.DUMMYFUNCTION("IFNA(FILTER(IMPORTRANGE(""https://docs.google.com/spreadsheets/d/1kGrh75X1cNR1D7_FcY9zMnHP8iPO4M5RCRjy6nZY0TY/edit#gid=1248694442"",""Table 3: 1st-line HC!V5:V111""), $A2=IMPORTRANGE(""https://docs.google.com/spreadsheets/d/1kGrh75X1cNR1D7_FcY9zMnHP8iPO4M"&amp;"5RCRjy6nZY0TY/edit#gid=1248694442"",""Table 3: 1st-line HC!A5:A111"")),"""")"),"")</f>
        <v/>
      </c>
      <c r="V2" s="14">
        <f>IFERROR(__xludf.DUMMYFUNCTION("IFNA(FILTER(IMPORTRANGE(""https://docs.google.com/spreadsheets/d/1kGrh75X1cNR1D7_FcY9zMnHP8iPO4M5RCRjy6nZY0TY/edit#gid=1248694442"",""Table 3: 1st-line HC!AE5:AE111""), $A2=IMPORTRANGE(""https://docs.google.com/spreadsheets/d/1kGrh75X1cNR1D7_FcY9zMnHP8iPO"&amp;"4M5RCRjy6nZY0TY/edit#gid=1248694442"",""Table 3: 1st-line HC!A5:A111"")),"""")"),2.0)</f>
        <v>2</v>
      </c>
      <c r="W2" s="14" t="str">
        <f>IFERROR(__xludf.DUMMYFUNCTION("IFNA(FILTER(IMPORTRANGE(""https://docs.google.com/spreadsheets/d/1kGrh75X1cNR1D7_FcY9zMnHP8iPO4M5RCRjy6nZY0TY/edit#gid=1248694442"",""Table 3: 1st-line HC!AG5:AG111""), $A2=IMPORTRANGE(""https://docs.google.com/spreadsheets/d/1kGrh75X1cNR1D7_FcY9zMnHP8iPO"&amp;"4M5RCRjy6nZY0TY/edit#gid=1248694442"",""Table 3: 1st-line HC!A5:A111"")),"""")"),"")</f>
        <v/>
      </c>
      <c r="X2" s="14" t="str">
        <f>IFERROR(__xludf.DUMMYFUNCTION("IFNA(FILTER(IMPORTRANGE(""https://docs.google.com/spreadsheets/d/1kGrh75X1cNR1D7_FcY9zMnHP8iPO4M5RCRjy6nZY0TY/edit#gid=1248694442"",""Table 3: 1st-line HC!AI5:AI111""), $A2=IMPORTRANGE(""https://docs.google.com/spreadsheets/d/1kGrh75X1cNR1D7_FcY9zMnHP8iPO"&amp;"4M5RCRjy6nZY0TY/edit#gid=1248694442"",""Table 3: 1st-line HC!A5:A111"")),"""")"),"Mean is 22 days")</f>
        <v>Mean is 22 days</v>
      </c>
    </row>
    <row r="3">
      <c r="A3" s="4" t="str">
        <f>IFERROR(__xludf.DUMMYFUNCTION("""COMPUTED_VALUE"""),"ID 4")</f>
        <v>ID 4</v>
      </c>
      <c r="B3" s="14" t="str">
        <f>IFERROR(__xludf.DUMMYFUNCTION("IFNA(FILTER(IMPORTRANGE(""https://docs.google.com/spreadsheets/d/1kGrh75X1cNR1D7_FcY9zMnHP8iPO4M5RCRjy6nZY0TY/edit#gid=1248694442"",""Table 2: MMC!D5:D114""), $A3=IMPORTRANGE(""https://docs.google.com/spreadsheets/d/1kGrh75X1cNR1D7_FcY9zMnHP8iPO4M5RCRjy6n"&amp;"ZY0TY/edit#gid=1248694442"",""Table 2: MMC!A5:A114"")),"""")"),"")</f>
        <v/>
      </c>
      <c r="C3" s="14" t="str">
        <f>IFERROR(__xludf.DUMMYFUNCTION("IFNA(FILTER(IMPORTRANGE(""https://docs.google.com/spreadsheets/d/1kGrh75X1cNR1D7_FcY9zMnHP8iPO4M5RCRjy6nZY0TY/edit#gid=1248694442"",""Table 2: MMC!E5:E114""), $A3=IMPORTRANGE(""https://docs.google.com/spreadsheets/d/1kGrh75X1cNR1D7_FcY9zMnHP8iPO4M5RCRjy6n"&amp;"ZY0TY/edit#gid=1248694442"",""Table 2: MMC!A5:A114"")),"""")"),"")</f>
        <v/>
      </c>
      <c r="D3" s="14" t="str">
        <f>IFERROR(__xludf.DUMMYFUNCTION("IFNA(FILTER(IMPORTRANGE(""https://docs.google.com/spreadsheets/d/1kGrh75X1cNR1D7_FcY9zMnHP8iPO4M5RCRjy6nZY0TY/edit#gid=1248694442"",""Table 2: MMC!F5:F114""), $A3=IMPORTRANGE(""https://docs.google.com/spreadsheets/d/1kGrh75X1cNR1D7_FcY9zMnHP8iPO4M5RCRjy6n"&amp;"ZY0TY/edit#gid=1248694442"",""Table 2: MMC!A5:A114"")),"""")"),"")</f>
        <v/>
      </c>
      <c r="E3" s="14" t="str">
        <f>IFERROR(__xludf.DUMMYFUNCTION("IFNA(FILTER(IMPORTRANGE(""https://docs.google.com/spreadsheets/d/1kGrh75X1cNR1D7_FcY9zMnHP8iPO4M5RCRjy6nZY0TY/edit#gid=1248694442"",""Table 2: MMC!G5:G114""), $A3=IMPORTRANGE(""https://docs.google.com/spreadsheets/d/1kGrh75X1cNR1D7_FcY9zMnHP8iPO4M5RCRjy6n"&amp;"ZY0TY/edit#gid=1248694442"",""Table 2: MMC!A5:A114"")),"""")"),"")</f>
        <v/>
      </c>
      <c r="F3" s="14" t="str">
        <f>IFERROR(__xludf.DUMMYFUNCTION("IFNA(FILTER(IMPORTRANGE(""https://docs.google.com/spreadsheets/d/1kGrh75X1cNR1D7_FcY9zMnHP8iPO4M5RCRjy6nZY0TY/edit#gid=1248694442"",""Table 2: MMC!H5:H114""), $A3=IMPORTRANGE(""https://docs.google.com/spreadsheets/d/1kGrh75X1cNR1D7_FcY9zMnHP8iPO4M5RCRjy6n"&amp;"ZY0TY/edit#gid=1248694442"",""Table 2: MMC!A5:A114"")),"""")"),"")</f>
        <v/>
      </c>
      <c r="G3" s="14" t="str">
        <f>IFERROR(__xludf.DUMMYFUNCTION("IFNA(FILTER(IMPORTRANGE(""https://docs.google.com/spreadsheets/d/1kGrh75X1cNR1D7_FcY9zMnHP8iPO4M5RCRjy6nZY0TY/edit#gid=1248694442"",""Table 2: MMC!I5:I114""), $A3=IMPORTRANGE(""https://docs.google.com/spreadsheets/d/1kGrh75X1cNR1D7_FcY9zMnHP8iPO4M5RCRjy6n"&amp;"ZY0TY/edit#gid=1248694442"",""Table 2: MMC!A5:A114"")),"""")"),"")</f>
        <v/>
      </c>
      <c r="H3" s="14" t="str">
        <f>IFERROR(__xludf.DUMMYFUNCTION("IFNA(FILTER(IMPORTRANGE(""https://docs.google.com/spreadsheets/d/1kGrh75X1cNR1D7_FcY9zMnHP8iPO4M5RCRjy6nZY0TY/edit#gid=1248694442"",""Table 2: MMC!J5:J114""), $A3=IMPORTRANGE(""https://docs.google.com/spreadsheets/d/1kGrh75X1cNR1D7_FcY9zMnHP8iPO4M5RCRjy6n"&amp;"ZY0TY/edit#gid=1248694442"",""Table 2: MMC!A5:A114"")),"""")"),"")</f>
        <v/>
      </c>
      <c r="I3" s="14" t="str">
        <f>IFERROR(__xludf.DUMMYFUNCTION("IFNA(FILTER(IMPORTRANGE(""https://docs.google.com/spreadsheets/d/1kGrh75X1cNR1D7_FcY9zMnHP8iPO4M5RCRjy6nZY0TY/edit#gid=1248694442"",""Table 2: MMC!M5:M114""), $A3=IMPORTRANGE(""https://docs.google.com/spreadsheets/d/1kGrh75X1cNR1D7_FcY9zMnHP8iPO4M5RCRjy6n"&amp;"ZY0TY/edit#gid=1248694442"",""Table 2: MMC!A5:A114"")),"""")"),"")</f>
        <v/>
      </c>
      <c r="J3" s="14" t="str">
        <f>IFERROR(__xludf.DUMMYFUNCTION("IFNA(FILTER(IMPORTRANGE(""https://docs.google.com/spreadsheets/d/1kGrh75X1cNR1D7_FcY9zMnHP8iPO4M5RCRjy6nZY0TY/edit#gid=1248694442"",""Table 2: MMC!Q5:Q114""), $A3=IMPORTRANGE(""https://docs.google.com/spreadsheets/d/1kGrh75X1cNR1D7_FcY9zMnHP8iPO4M5RCRjy6n"&amp;"ZY0TY/edit#gid=1248694442"",""Table 2: MMC!A5:A114"")),"""")"),"")</f>
        <v/>
      </c>
      <c r="K3" s="14" t="str">
        <f>IFERROR(__xludf.DUMMYFUNCTION("IFNA(FILTER(IMPORTRANGE(""https://docs.google.com/spreadsheets/d/1kGrh75X1cNR1D7_FcY9zMnHP8iPO4M5RCRjy6nZY0TY/edit#gid=1248694442"",""Table 2: MMC!R5:R114""), $A3=IMPORTRANGE(""https://docs.google.com/spreadsheets/d/1kGrh75X1cNR1D7_FcY9zMnHP8iPO4M5RCRjy6n"&amp;"ZY0TY/edit#gid=1248694442"",""Table 2: MMC!A5:A114"")),"""")"),"")</f>
        <v/>
      </c>
      <c r="L3" s="14" t="str">
        <f>IFERROR(__xludf.DUMMYFUNCTION("IFNA(FILTER(IMPORTRANGE(""https://docs.google.com/spreadsheets/d/1kGrh75X1cNR1D7_FcY9zMnHP8iPO4M5RCRjy6nZY0TY/edit#gid=1248694442"",""Table 2: MMC!S5:S114""), $A3=IMPORTRANGE(""https://docs.google.com/spreadsheets/d/1kGrh75X1cNR1D7_FcY9zMnHP8iPO4M5RCRjy6n"&amp;"ZY0TY/edit#gid=1248694442"",""Table 2: MMC!A5:A114"")),"""")"),"")</f>
        <v/>
      </c>
      <c r="M3" s="14" t="str">
        <f>IFERROR(__xludf.DUMMYFUNCTION("IFNA(FILTER(IMPORTRANGE(""https://docs.google.com/spreadsheets/d/1kGrh75X1cNR1D7_FcY9zMnHP8iPO4M5RCRjy6nZY0TY/edit#gid=1248694442"",""Table 3: 1st-line HC!D5:D111""), $A3=IMPORTRANGE(""https://docs.google.com/spreadsheets/d/1kGrh75X1cNR1D7_FcY9zMnHP8iPO4M"&amp;"5RCRjy6nZY0TY/edit#gid=1248694442"",""Table 3: 1st-line HC!A5:A111"")),"""")"),"")</f>
        <v/>
      </c>
      <c r="N3" s="14" t="str">
        <f>IFERROR(__xludf.DUMMYFUNCTION("IFNA(FILTER(IMPORTRANGE(""https://docs.google.com/spreadsheets/d/1kGrh75X1cNR1D7_FcY9zMnHP8iPO4M5RCRjy6nZY0TY/edit#gid=1248694442"",""Table 3: 1st-line HC!E5:E111""), $A3=IMPORTRANGE(""https://docs.google.com/spreadsheets/d/1kGrh75X1cNR1D7_FcY9zMnHP8iPO4M"&amp;"5RCRjy6nZY0TY/edit#gid=1248694442"",""Table 3: 1st-line HC!A5:A111"")),"""")"),"")</f>
        <v/>
      </c>
      <c r="O3" s="14" t="str">
        <f>IFERROR(__xludf.DUMMYFUNCTION("IFNA(FILTER(IMPORTRANGE(""https://docs.google.com/spreadsheets/d/1kGrh75X1cNR1D7_FcY9zMnHP8iPO4M5RCRjy6nZY0TY/edit#gid=1248694442"",""Table 3: 1st-line HC!K5:K111""), $A3=IMPORTRANGE(""https://docs.google.com/spreadsheets/d/1kGrh75X1cNR1D7_FcY9zMnHP8iPO4M"&amp;"5RCRjy6nZY0TY/edit#gid=1248694442"",""Table 3: 1st-line HC!A5:A111"")),"""")"),"")</f>
        <v/>
      </c>
      <c r="P3" s="14" t="str">
        <f>IFERROR(__xludf.DUMMYFUNCTION("IFNA(FILTER(IMPORTRANGE(""https://docs.google.com/spreadsheets/d/1kGrh75X1cNR1D7_FcY9zMnHP8iPO4M5RCRjy6nZY0TY/edit#gid=1248694442"",""Table 3: 1st-line HC!L5:L111""), $A3=IMPORTRANGE(""https://docs.google.com/spreadsheets/d/1kGrh75X1cNR1D7_FcY9zMnHP8iPO4M"&amp;"5RCRjy6nZY0TY/edit#gid=1248694442"",""Table 3: 1st-line HC!A5:A111"")),"""")"),"")</f>
        <v/>
      </c>
      <c r="Q3" s="14" t="str">
        <f>IFERROR(__xludf.DUMMYFUNCTION("IFNA(FILTER(IMPORTRANGE(""https://docs.google.com/spreadsheets/d/1kGrh75X1cNR1D7_FcY9zMnHP8iPO4M5RCRjy6nZY0TY/edit#gid=1248694442"",""Table 3: 1st-line HC!M5:M111""), $A3=IMPORTRANGE(""https://docs.google.com/spreadsheets/d/1kGrh75X1cNR1D7_FcY9zMnHP8iPO4M"&amp;"5RCRjy6nZY0TY/edit#gid=1248694442"",""Table 3: 1st-line HC!A5:A111"")),"""")"),"")</f>
        <v/>
      </c>
      <c r="R3" s="14" t="str">
        <f>IFERROR(__xludf.DUMMYFUNCTION("IFNA(FILTER(IMPORTRANGE(""https://docs.google.com/spreadsheets/d/1kGrh75X1cNR1D7_FcY9zMnHP8iPO4M5RCRjy6nZY0TY/edit#gid=1248694442"",""Table 3: 1st-line HC!N5:N111""), $A3=IMPORTRANGE(""https://docs.google.com/spreadsheets/d/1kGrh75X1cNR1D7_FcY9zMnHP8iPO4M"&amp;"5RCRjy6nZY0TY/edit#gid=1248694442"",""Table 3: 1st-line HC!A5:A111"")),"""")"),"")</f>
        <v/>
      </c>
      <c r="S3" s="14" t="str">
        <f>IFERROR(__xludf.DUMMYFUNCTION("IFNA(FILTER(IMPORTRANGE(""https://docs.google.com/spreadsheets/d/1kGrh75X1cNR1D7_FcY9zMnHP8iPO4M5RCRjy6nZY0TY/edit#gid=1248694442"",""Table 3: 1st-line HC!T5:T111""), $A3=IMPORTRANGE(""https://docs.google.com/spreadsheets/d/1kGrh75X1cNR1D7_FcY9zMnHP8iPO4M"&amp;"5RCRjy6nZY0TY/edit#gid=1248694442"",""Table 3: 1st-line HC!A5:A111"")),"""")"),"")</f>
        <v/>
      </c>
      <c r="T3" s="14" t="str">
        <f>IFERROR(__xludf.DUMMYFUNCTION("IFNA(FILTER(IMPORTRANGE(""https://docs.google.com/spreadsheets/d/1kGrh75X1cNR1D7_FcY9zMnHP8iPO4M5RCRjy6nZY0TY/edit#gid=1248694442"",""Table 3: 1st-line HC!U5:U111""), $A3=IMPORTRANGE(""https://docs.google.com/spreadsheets/d/1kGrh75X1cNR1D7_FcY9zMnHP8iPO4M"&amp;"5RCRjy6nZY0TY/edit#gid=1248694442"",""Table 3: 1st-line HC!A5:A111"")),"""")"),"")</f>
        <v/>
      </c>
      <c r="U3" s="14" t="str">
        <f>IFERROR(__xludf.DUMMYFUNCTION("IFNA(FILTER(IMPORTRANGE(""https://docs.google.com/spreadsheets/d/1kGrh75X1cNR1D7_FcY9zMnHP8iPO4M5RCRjy6nZY0TY/edit#gid=1248694442"",""Table 3: 1st-line HC!V5:V111""), $A3=IMPORTRANGE(""https://docs.google.com/spreadsheets/d/1kGrh75X1cNR1D7_FcY9zMnHP8iPO4M"&amp;"5RCRjy6nZY0TY/edit#gid=1248694442"",""Table 3: 1st-line HC!A5:A111"")),"""")"),"")</f>
        <v/>
      </c>
      <c r="V3" s="14" t="str">
        <f>IFERROR(__xludf.DUMMYFUNCTION("IFNA(FILTER(IMPORTRANGE(""https://docs.google.com/spreadsheets/d/1kGrh75X1cNR1D7_FcY9zMnHP8iPO4M5RCRjy6nZY0TY/edit#gid=1248694442"",""Table 3: 1st-line HC!AE5:AE111""), $A3=IMPORTRANGE(""https://docs.google.com/spreadsheets/d/1kGrh75X1cNR1D7_FcY9zMnHP8iPO"&amp;"4M5RCRjy6nZY0TY/edit#gid=1248694442"",""Table 3: 1st-line HC!A5:A111"")),"""")"),"")</f>
        <v/>
      </c>
      <c r="W3" s="14" t="str">
        <f>IFERROR(__xludf.DUMMYFUNCTION("IFNA(FILTER(IMPORTRANGE(""https://docs.google.com/spreadsheets/d/1kGrh75X1cNR1D7_FcY9zMnHP8iPO4M5RCRjy6nZY0TY/edit#gid=1248694442"",""Table 3: 1st-line HC!AG5:AG111""), $A3=IMPORTRANGE(""https://docs.google.com/spreadsheets/d/1kGrh75X1cNR1D7_FcY9zMnHP8iPO"&amp;"4M5RCRjy6nZY0TY/edit#gid=1248694442"",""Table 3: 1st-line HC!A5:A111"")),"""")"),"")</f>
        <v/>
      </c>
      <c r="X3" s="14" t="str">
        <f>IFERROR(__xludf.DUMMYFUNCTION("IFNA(FILTER(IMPORTRANGE(""https://docs.google.com/spreadsheets/d/1kGrh75X1cNR1D7_FcY9zMnHP8iPO4M5RCRjy6nZY0TY/edit#gid=1248694442"",""Table 3: 1st-line HC!AI5:AI111""), $A3=IMPORTRANGE(""https://docs.google.com/spreadsheets/d/1kGrh75X1cNR1D7_FcY9zMnHP8iPO"&amp;"4M5RCRjy6nZY0TY/edit#gid=1248694442"",""Table 3: 1st-line HC!A5:A111"")),"""")"),"")</f>
        <v/>
      </c>
    </row>
    <row r="4">
      <c r="A4" s="4" t="str">
        <f>IFERROR(__xludf.DUMMYFUNCTION("""COMPUTED_VALUE"""),"ID 5")</f>
        <v>ID 5</v>
      </c>
      <c r="B4" s="14" t="str">
        <f>IFERROR(__xludf.DUMMYFUNCTION("IFNA(FILTER(IMPORTRANGE(""https://docs.google.com/spreadsheets/d/1kGrh75X1cNR1D7_FcY9zMnHP8iPO4M5RCRjy6nZY0TY/edit#gid=1248694442"",""Table 2: MMC!D5:D114""), $A4=IMPORTRANGE(""https://docs.google.com/spreadsheets/d/1kGrh75X1cNR1D7_FcY9zMnHP8iPO4M5RCRjy6n"&amp;"ZY0TY/edit#gid=1248694442"",""Table 2: MMC!A5:A114"")),"""")"),"")</f>
        <v/>
      </c>
      <c r="C4" s="14" t="str">
        <f>IFERROR(__xludf.DUMMYFUNCTION("IFNA(FILTER(IMPORTRANGE(""https://docs.google.com/spreadsheets/d/1kGrh75X1cNR1D7_FcY9zMnHP8iPO4M5RCRjy6nZY0TY/edit#gid=1248694442"",""Table 2: MMC!E5:E114""), $A4=IMPORTRANGE(""https://docs.google.com/spreadsheets/d/1kGrh75X1cNR1D7_FcY9zMnHP8iPO4M5RCRjy6n"&amp;"ZY0TY/edit#gid=1248694442"",""Table 2: MMC!A5:A114"")),"""")"),"")</f>
        <v/>
      </c>
      <c r="D4" s="14" t="str">
        <f>IFERROR(__xludf.DUMMYFUNCTION("IFNA(FILTER(IMPORTRANGE(""https://docs.google.com/spreadsheets/d/1kGrh75X1cNR1D7_FcY9zMnHP8iPO4M5RCRjy6nZY0TY/edit#gid=1248694442"",""Table 2: MMC!F5:F114""), $A4=IMPORTRANGE(""https://docs.google.com/spreadsheets/d/1kGrh75X1cNR1D7_FcY9zMnHP8iPO4M5RCRjy6n"&amp;"ZY0TY/edit#gid=1248694442"",""Table 2: MMC!A5:A114"")),"""")"),"")</f>
        <v/>
      </c>
      <c r="E4" s="14" t="str">
        <f>IFERROR(__xludf.DUMMYFUNCTION("IFNA(FILTER(IMPORTRANGE(""https://docs.google.com/spreadsheets/d/1kGrh75X1cNR1D7_FcY9zMnHP8iPO4M5RCRjy6nZY0TY/edit#gid=1248694442"",""Table 2: MMC!G5:G114""), $A4=IMPORTRANGE(""https://docs.google.com/spreadsheets/d/1kGrh75X1cNR1D7_FcY9zMnHP8iPO4M5RCRjy6n"&amp;"ZY0TY/edit#gid=1248694442"",""Table 2: MMC!A5:A114"")),"""")"),"")</f>
        <v/>
      </c>
      <c r="F4" s="14" t="str">
        <f>IFERROR(__xludf.DUMMYFUNCTION("IFNA(FILTER(IMPORTRANGE(""https://docs.google.com/spreadsheets/d/1kGrh75X1cNR1D7_FcY9zMnHP8iPO4M5RCRjy6nZY0TY/edit#gid=1248694442"",""Table 2: MMC!H5:H114""), $A4=IMPORTRANGE(""https://docs.google.com/spreadsheets/d/1kGrh75X1cNR1D7_FcY9zMnHP8iPO4M5RCRjy6n"&amp;"ZY0TY/edit#gid=1248694442"",""Table 2: MMC!A5:A114"")),"""")"),"")</f>
        <v/>
      </c>
      <c r="G4" s="14" t="str">
        <f>IFERROR(__xludf.DUMMYFUNCTION("IFNA(FILTER(IMPORTRANGE(""https://docs.google.com/spreadsheets/d/1kGrh75X1cNR1D7_FcY9zMnHP8iPO4M5RCRjy6nZY0TY/edit#gid=1248694442"",""Table 2: MMC!I5:I114""), $A4=IMPORTRANGE(""https://docs.google.com/spreadsheets/d/1kGrh75X1cNR1D7_FcY9zMnHP8iPO4M5RCRjy6n"&amp;"ZY0TY/edit#gid=1248694442"",""Table 2: MMC!A5:A114"")),"""")"),"")</f>
        <v/>
      </c>
      <c r="H4" s="14" t="str">
        <f>IFERROR(__xludf.DUMMYFUNCTION("IFNA(FILTER(IMPORTRANGE(""https://docs.google.com/spreadsheets/d/1kGrh75X1cNR1D7_FcY9zMnHP8iPO4M5RCRjy6nZY0TY/edit#gid=1248694442"",""Table 2: MMC!J5:J114""), $A4=IMPORTRANGE(""https://docs.google.com/spreadsheets/d/1kGrh75X1cNR1D7_FcY9zMnHP8iPO4M5RCRjy6n"&amp;"ZY0TY/edit#gid=1248694442"",""Table 2: MMC!A5:A114"")),"""")"),"post-natal")</f>
        <v>post-natal</v>
      </c>
      <c r="I4" s="14" t="str">
        <f>IFERROR(__xludf.DUMMYFUNCTION("IFNA(FILTER(IMPORTRANGE(""https://docs.google.com/spreadsheets/d/1kGrh75X1cNR1D7_FcY9zMnHP8iPO4M5RCRjy6nZY0TY/edit#gid=1248694442"",""Table 2: MMC!M5:M114""), $A4=IMPORTRANGE(""https://docs.google.com/spreadsheets/d/1kGrh75X1cNR1D7_FcY9zMnHP8iPO4M5RCRjy6n"&amp;"ZY0TY/edit#gid=1248694442"",""Table 2: MMC!A5:A114"")),"""")"),"")</f>
        <v/>
      </c>
      <c r="J4" s="14">
        <f>IFERROR(__xludf.DUMMYFUNCTION("IFNA(FILTER(IMPORTRANGE(""https://docs.google.com/spreadsheets/d/1kGrh75X1cNR1D7_FcY9zMnHP8iPO4M5RCRjy6nZY0TY/edit#gid=1248694442"",""Table 2: MMC!Q5:Q114""), $A4=IMPORTRANGE(""https://docs.google.com/spreadsheets/d/1kGrh75X1cNR1D7_FcY9zMnHP8iPO4M5RCRjy6n"&amp;"ZY0TY/edit#gid=1248694442"",""Table 2: MMC!A5:A114"")),"""")"),0.0)</f>
        <v>0</v>
      </c>
      <c r="K4" s="14">
        <f>IFERROR(__xludf.DUMMYFUNCTION("IFNA(FILTER(IMPORTRANGE(""https://docs.google.com/spreadsheets/d/1kGrh75X1cNR1D7_FcY9zMnHP8iPO4M5RCRjy6nZY0TY/edit#gid=1248694442"",""Table 2: MMC!R5:R114""), $A4=IMPORTRANGE(""https://docs.google.com/spreadsheets/d/1kGrh75X1cNR1D7_FcY9zMnHP8iPO4M5RCRjy6n"&amp;"ZY0TY/edit#gid=1248694442"",""Table 2: MMC!A5:A114"")),"""")"),0.0)</f>
        <v>0</v>
      </c>
      <c r="L4" s="14" t="str">
        <f>IFERROR(__xludf.DUMMYFUNCTION("IFNA(FILTER(IMPORTRANGE(""https://docs.google.com/spreadsheets/d/1kGrh75X1cNR1D7_FcY9zMnHP8iPO4M5RCRjy6nZY0TY/edit#gid=1248694442"",""Table 2: MMC!S5:S114""), $A4=IMPORTRANGE(""https://docs.google.com/spreadsheets/d/1kGrh75X1cNR1D7_FcY9zMnHP8iPO4M5RCRjy6n"&amp;"ZY0TY/edit#gid=1248694442"",""Table 2: MMC!A5:A114"")),"""")"),"")</f>
        <v/>
      </c>
      <c r="M4" s="14" t="str">
        <f>IFERROR(__xludf.DUMMYFUNCTION("IFNA(FILTER(IMPORTRANGE(""https://docs.google.com/spreadsheets/d/1kGrh75X1cNR1D7_FcY9zMnHP8iPO4M5RCRjy6nZY0TY/edit#gid=1248694442"",""Table 3: 1st-line HC!D5:D111""), $A4=IMPORTRANGE(""https://docs.google.com/spreadsheets/d/1kGrh75X1cNR1D7_FcY9zMnHP8iPO4M"&amp;"5RCRjy6nZY0TY/edit#gid=1248694442"",""Table 3: 1st-line HC!A5:A111"")),"""")"),"")</f>
        <v/>
      </c>
      <c r="N4" s="14" t="str">
        <f>IFERROR(__xludf.DUMMYFUNCTION("IFNA(FILTER(IMPORTRANGE(""https://docs.google.com/spreadsheets/d/1kGrh75X1cNR1D7_FcY9zMnHP8iPO4M5RCRjy6nZY0TY/edit#gid=1248694442"",""Table 3: 1st-line HC!E5:E111""), $A4=IMPORTRANGE(""https://docs.google.com/spreadsheets/d/1kGrh75X1cNR1D7_FcY9zMnHP8iPO4M"&amp;"5RCRjy6nZY0TY/edit#gid=1248694442"",""Table 3: 1st-line HC!A5:A111"")),"""")"),"")</f>
        <v/>
      </c>
      <c r="O4" s="14" t="str">
        <f>IFERROR(__xludf.DUMMYFUNCTION("IFNA(FILTER(IMPORTRANGE(""https://docs.google.com/spreadsheets/d/1kGrh75X1cNR1D7_FcY9zMnHP8iPO4M5RCRjy6nZY0TY/edit#gid=1248694442"",""Table 3: 1st-line HC!K5:K111""), $A4=IMPORTRANGE(""https://docs.google.com/spreadsheets/d/1kGrh75X1cNR1D7_FcY9zMnHP8iPO4M"&amp;"5RCRjy6nZY0TY/edit#gid=1248694442"",""Table 3: 1st-line HC!A5:A111"")),"""")"),"")</f>
        <v/>
      </c>
      <c r="P4" s="14" t="str">
        <f>IFERROR(__xludf.DUMMYFUNCTION("IFNA(FILTER(IMPORTRANGE(""https://docs.google.com/spreadsheets/d/1kGrh75X1cNR1D7_FcY9zMnHP8iPO4M5RCRjy6nZY0TY/edit#gid=1248694442"",""Table 3: 1st-line HC!L5:L111""), $A4=IMPORTRANGE(""https://docs.google.com/spreadsheets/d/1kGrh75X1cNR1D7_FcY9zMnHP8iPO4M"&amp;"5RCRjy6nZY0TY/edit#gid=1248694442"",""Table 3: 1st-line HC!A5:A111"")),"""")"),"")</f>
        <v/>
      </c>
      <c r="Q4" s="14">
        <f>IFERROR(__xludf.DUMMYFUNCTION("IFNA(FILTER(IMPORTRANGE(""https://docs.google.com/spreadsheets/d/1kGrh75X1cNR1D7_FcY9zMnHP8iPO4M5RCRjy6nZY0TY/edit#gid=1248694442"",""Table 3: 1st-line HC!M5:M111""), $A4=IMPORTRANGE(""https://docs.google.com/spreadsheets/d/1kGrh75X1cNR1D7_FcY9zMnHP8iPO4M"&amp;"5RCRjy6nZY0TY/edit#gid=1248694442"",""Table 3: 1st-line HC!A5:A111"")),"""")"),25.0)</f>
        <v>25</v>
      </c>
      <c r="R4" s="14" t="str">
        <f>IFERROR(__xludf.DUMMYFUNCTION("IFNA(FILTER(IMPORTRANGE(""https://docs.google.com/spreadsheets/d/1kGrh75X1cNR1D7_FcY9zMnHP8iPO4M5RCRjy6nZY0TY/edit#gid=1248694442"",""Table 3: 1st-line HC!N5:N111""), $A4=IMPORTRANGE(""https://docs.google.com/spreadsheets/d/1kGrh75X1cNR1D7_FcY9zMnHP8iPO4M"&amp;"5RCRjy6nZY0TY/edit#gid=1248694442"",""Table 3: 1st-line HC!A5:A111"")),"""")"),"")</f>
        <v/>
      </c>
      <c r="S4" s="14" t="str">
        <f>IFERROR(__xludf.DUMMYFUNCTION("IFNA(FILTER(IMPORTRANGE(""https://docs.google.com/spreadsheets/d/1kGrh75X1cNR1D7_FcY9zMnHP8iPO4M5RCRjy6nZY0TY/edit#gid=1248694442"",""Table 3: 1st-line HC!T5:T111""), $A4=IMPORTRANGE(""https://docs.google.com/spreadsheets/d/1kGrh75X1cNR1D7_FcY9zMnHP8iPO4M"&amp;"5RCRjy6nZY0TY/edit#gid=1248694442"",""Table 3: 1st-line HC!A5:A111"")),"""")"),"")</f>
        <v/>
      </c>
      <c r="T4" s="14" t="str">
        <f>IFERROR(__xludf.DUMMYFUNCTION("IFNA(FILTER(IMPORTRANGE(""https://docs.google.com/spreadsheets/d/1kGrh75X1cNR1D7_FcY9zMnHP8iPO4M5RCRjy6nZY0TY/edit#gid=1248694442"",""Table 3: 1st-line HC!U5:U111""), $A4=IMPORTRANGE(""https://docs.google.com/spreadsheets/d/1kGrh75X1cNR1D7_FcY9zMnHP8iPO4M"&amp;"5RCRjy6nZY0TY/edit#gid=1248694442"",""Table 3: 1st-line HC!A5:A111"")),"""")"),"")</f>
        <v/>
      </c>
      <c r="U4" s="14" t="str">
        <f>IFERROR(__xludf.DUMMYFUNCTION("IFNA(FILTER(IMPORTRANGE(""https://docs.google.com/spreadsheets/d/1kGrh75X1cNR1D7_FcY9zMnHP8iPO4M5RCRjy6nZY0TY/edit#gid=1248694442"",""Table 3: 1st-line HC!V5:V111""), $A4=IMPORTRANGE(""https://docs.google.com/spreadsheets/d/1kGrh75X1cNR1D7_FcY9zMnHP8iPO4M"&amp;"5RCRjy6nZY0TY/edit#gid=1248694442"",""Table 3: 1st-line HC!A5:A111"")),"""")"),"")</f>
        <v/>
      </c>
      <c r="V4" s="14" t="str">
        <f>IFERROR(__xludf.DUMMYFUNCTION("IFNA(FILTER(IMPORTRANGE(""https://docs.google.com/spreadsheets/d/1kGrh75X1cNR1D7_FcY9zMnHP8iPO4M5RCRjy6nZY0TY/edit#gid=1248694442"",""Table 3: 1st-line HC!AE5:AE111""), $A4=IMPORTRANGE(""https://docs.google.com/spreadsheets/d/1kGrh75X1cNR1D7_FcY9zMnHP8iPO"&amp;"4M5RCRjy6nZY0TY/edit#gid=1248694442"",""Table 3: 1st-line HC!A5:A111"")),"""")"),"")</f>
        <v/>
      </c>
      <c r="W4" s="14" t="str">
        <f>IFERROR(__xludf.DUMMYFUNCTION("IFNA(FILTER(IMPORTRANGE(""https://docs.google.com/spreadsheets/d/1kGrh75X1cNR1D7_FcY9zMnHP8iPO4M5RCRjy6nZY0TY/edit#gid=1248694442"",""Table 3: 1st-line HC!AG5:AG111""), $A4=IMPORTRANGE(""https://docs.google.com/spreadsheets/d/1kGrh75X1cNR1D7_FcY9zMnHP8iPO"&amp;"4M5RCRjy6nZY0TY/edit#gid=1248694442"",""Table 3: 1st-line HC!A5:A111"")),"""")"),"")</f>
        <v/>
      </c>
      <c r="X4" s="14" t="str">
        <f>IFERROR(__xludf.DUMMYFUNCTION("IFNA(FILTER(IMPORTRANGE(""https://docs.google.com/spreadsheets/d/1kGrh75X1cNR1D7_FcY9zMnHP8iPO4M5RCRjy6nZY0TY/edit#gid=1248694442"",""Table 3: 1st-line HC!AI5:AI111""), $A4=IMPORTRANGE(""https://docs.google.com/spreadsheets/d/1kGrh75X1cNR1D7_FcY9zMnHP8iPO"&amp;"4M5RCRjy6nZY0TY/edit#gid=1248694442"",""Table 3: 1st-line HC!A5:A111"")),"""")"),"")</f>
        <v/>
      </c>
    </row>
    <row r="5">
      <c r="A5" s="4" t="str">
        <f>IFERROR(__xludf.DUMMYFUNCTION("""COMPUTED_VALUE"""),"ID 6")</f>
        <v>ID 6</v>
      </c>
      <c r="B5" s="14" t="str">
        <f>IFERROR(__xludf.DUMMYFUNCTION("IFNA(FILTER(IMPORTRANGE(""https://docs.google.com/spreadsheets/d/1kGrh75X1cNR1D7_FcY9zMnHP8iPO4M5RCRjy6nZY0TY/edit#gid=1248694442"",""Table 2: MMC!D5:D114""), $A5=IMPORTRANGE(""https://docs.google.com/spreadsheets/d/1kGrh75X1cNR1D7_FcY9zMnHP8iPO4M5RCRjy6n"&amp;"ZY0TY/edit#gid=1248694442"",""Table 2: MMC!A5:A114"")),"""")"),"")</f>
        <v/>
      </c>
      <c r="C5" s="14" t="str">
        <f>IFERROR(__xludf.DUMMYFUNCTION("IFNA(FILTER(IMPORTRANGE(""https://docs.google.com/spreadsheets/d/1kGrh75X1cNR1D7_FcY9zMnHP8iPO4M5RCRjy6nZY0TY/edit#gid=1248694442"",""Table 2: MMC!E5:E114""), $A5=IMPORTRANGE(""https://docs.google.com/spreadsheets/d/1kGrh75X1cNR1D7_FcY9zMnHP8iPO4M5RCRjy6n"&amp;"ZY0TY/edit#gid=1248694442"",""Table 2: MMC!A5:A114"")),"""")"),"")</f>
        <v/>
      </c>
      <c r="D5" s="14" t="str">
        <f>IFERROR(__xludf.DUMMYFUNCTION("IFNA(FILTER(IMPORTRANGE(""https://docs.google.com/spreadsheets/d/1kGrh75X1cNR1D7_FcY9zMnHP8iPO4M5RCRjy6nZY0TY/edit#gid=1248694442"",""Table 2: MMC!F5:F114""), $A5=IMPORTRANGE(""https://docs.google.com/spreadsheets/d/1kGrh75X1cNR1D7_FcY9zMnHP8iPO4M5RCRjy6n"&amp;"ZY0TY/edit#gid=1248694442"",""Table 2: MMC!A5:A114"")),"""")"),"")</f>
        <v/>
      </c>
      <c r="E5" s="14" t="str">
        <f>IFERROR(__xludf.DUMMYFUNCTION("IFNA(FILTER(IMPORTRANGE(""https://docs.google.com/spreadsheets/d/1kGrh75X1cNR1D7_FcY9zMnHP8iPO4M5RCRjy6nZY0TY/edit#gid=1248694442"",""Table 2: MMC!G5:G114""), $A5=IMPORTRANGE(""https://docs.google.com/spreadsheets/d/1kGrh75X1cNR1D7_FcY9zMnHP8iPO4M5RCRjy6n"&amp;"ZY0TY/edit#gid=1248694442"",""Table 2: MMC!A5:A114"")),"""")"),"")</f>
        <v/>
      </c>
      <c r="F5" s="14" t="str">
        <f>IFERROR(__xludf.DUMMYFUNCTION("IFNA(FILTER(IMPORTRANGE(""https://docs.google.com/spreadsheets/d/1kGrh75X1cNR1D7_FcY9zMnHP8iPO4M5RCRjy6nZY0TY/edit#gid=1248694442"",""Table 2: MMC!H5:H114""), $A5=IMPORTRANGE(""https://docs.google.com/spreadsheets/d/1kGrh75X1cNR1D7_FcY9zMnHP8iPO4M5RCRjy6n"&amp;"ZY0TY/edit#gid=1248694442"",""Table 2: MMC!A5:A114"")),"""")"),"")</f>
        <v/>
      </c>
      <c r="G5" s="14" t="str">
        <f>IFERROR(__xludf.DUMMYFUNCTION("IFNA(FILTER(IMPORTRANGE(""https://docs.google.com/spreadsheets/d/1kGrh75X1cNR1D7_FcY9zMnHP8iPO4M5RCRjy6nZY0TY/edit#gid=1248694442"",""Table 2: MMC!I5:I114""), $A5=IMPORTRANGE(""https://docs.google.com/spreadsheets/d/1kGrh75X1cNR1D7_FcY9zMnHP8iPO4M5RCRjy6n"&amp;"ZY0TY/edit#gid=1248694442"",""Table 2: MMC!A5:A114"")),"""")"),"")</f>
        <v/>
      </c>
      <c r="H5" s="14" t="str">
        <f>IFERROR(__xludf.DUMMYFUNCTION("IFNA(FILTER(IMPORTRANGE(""https://docs.google.com/spreadsheets/d/1kGrh75X1cNR1D7_FcY9zMnHP8iPO4M5RCRjy6nZY0TY/edit#gid=1248694442"",""Table 2: MMC!J5:J114""), $A5=IMPORTRANGE(""https://docs.google.com/spreadsheets/d/1kGrh75X1cNR1D7_FcY9zMnHP8iPO4M5RCRjy6n"&amp;"ZY0TY/edit#gid=1248694442"",""Table 2: MMC!A5:A114"")),"""")"),"")</f>
        <v/>
      </c>
      <c r="I5" s="14" t="str">
        <f>IFERROR(__xludf.DUMMYFUNCTION("IFNA(FILTER(IMPORTRANGE(""https://docs.google.com/spreadsheets/d/1kGrh75X1cNR1D7_FcY9zMnHP8iPO4M5RCRjy6nZY0TY/edit#gid=1248694442"",""Table 2: MMC!M5:M114""), $A5=IMPORTRANGE(""https://docs.google.com/spreadsheets/d/1kGrh75X1cNR1D7_FcY9zMnHP8iPO4M5RCRjy6n"&amp;"ZY0TY/edit#gid=1248694442"",""Table 2: MMC!A5:A114"")),"""")"),"")</f>
        <v/>
      </c>
      <c r="J5" s="14" t="str">
        <f>IFERROR(__xludf.DUMMYFUNCTION("IFNA(FILTER(IMPORTRANGE(""https://docs.google.com/spreadsheets/d/1kGrh75X1cNR1D7_FcY9zMnHP8iPO4M5RCRjy6nZY0TY/edit#gid=1248694442"",""Table 2: MMC!Q5:Q114""), $A5=IMPORTRANGE(""https://docs.google.com/spreadsheets/d/1kGrh75X1cNR1D7_FcY9zMnHP8iPO4M5RCRjy6n"&amp;"ZY0TY/edit#gid=1248694442"",""Table 2: MMC!A5:A114"")),"""")"),"")</f>
        <v/>
      </c>
      <c r="K5" s="14" t="str">
        <f>IFERROR(__xludf.DUMMYFUNCTION("IFNA(FILTER(IMPORTRANGE(""https://docs.google.com/spreadsheets/d/1kGrh75X1cNR1D7_FcY9zMnHP8iPO4M5RCRjy6nZY0TY/edit#gid=1248694442"",""Table 2: MMC!R5:R114""), $A5=IMPORTRANGE(""https://docs.google.com/spreadsheets/d/1kGrh75X1cNR1D7_FcY9zMnHP8iPO4M5RCRjy6n"&amp;"ZY0TY/edit#gid=1248694442"",""Table 2: MMC!A5:A114"")),"""")"),"")</f>
        <v/>
      </c>
      <c r="L5" s="14" t="str">
        <f>IFERROR(__xludf.DUMMYFUNCTION("IFNA(FILTER(IMPORTRANGE(""https://docs.google.com/spreadsheets/d/1kGrh75X1cNR1D7_FcY9zMnHP8iPO4M5RCRjy6nZY0TY/edit#gid=1248694442"",""Table 2: MMC!S5:S114""), $A5=IMPORTRANGE(""https://docs.google.com/spreadsheets/d/1kGrh75X1cNR1D7_FcY9zMnHP8iPO4M5RCRjy6n"&amp;"ZY0TY/edit#gid=1248694442"",""Table 2: MMC!A5:A114"")),"""")"),"")</f>
        <v/>
      </c>
      <c r="M5" s="14" t="str">
        <f>IFERROR(__xludf.DUMMYFUNCTION("IFNA(FILTER(IMPORTRANGE(""https://docs.google.com/spreadsheets/d/1kGrh75X1cNR1D7_FcY9zMnHP8iPO4M5RCRjy6nZY0TY/edit#gid=1248694442"",""Table 3: 1st-line HC!D5:D111""), $A5=IMPORTRANGE(""https://docs.google.com/spreadsheets/d/1kGrh75X1cNR1D7_FcY9zMnHP8iPO4M"&amp;"5RCRjy6nZY0TY/edit#gid=1248694442"",""Table 3: 1st-line HC!A5:A111"")),"""")"),"")</f>
        <v/>
      </c>
      <c r="N5" s="14" t="str">
        <f>IFERROR(__xludf.DUMMYFUNCTION("IFNA(FILTER(IMPORTRANGE(""https://docs.google.com/spreadsheets/d/1kGrh75X1cNR1D7_FcY9zMnHP8iPO4M5RCRjy6nZY0TY/edit#gid=1248694442"",""Table 3: 1st-line HC!E5:E111""), $A5=IMPORTRANGE(""https://docs.google.com/spreadsheets/d/1kGrh75X1cNR1D7_FcY9zMnHP8iPO4M"&amp;"5RCRjy6nZY0TY/edit#gid=1248694442"",""Table 3: 1st-line HC!A5:A111"")),"""")"),"")</f>
        <v/>
      </c>
      <c r="O5" s="14" t="str">
        <f>IFERROR(__xludf.DUMMYFUNCTION("IFNA(FILTER(IMPORTRANGE(""https://docs.google.com/spreadsheets/d/1kGrh75X1cNR1D7_FcY9zMnHP8iPO4M5RCRjy6nZY0TY/edit#gid=1248694442"",""Table 3: 1st-line HC!K5:K111""), $A5=IMPORTRANGE(""https://docs.google.com/spreadsheets/d/1kGrh75X1cNR1D7_FcY9zMnHP8iPO4M"&amp;"5RCRjy6nZY0TY/edit#gid=1248694442"",""Table 3: 1st-line HC!A5:A111"")),"""")"),"")</f>
        <v/>
      </c>
      <c r="P5" s="14" t="str">
        <f>IFERROR(__xludf.DUMMYFUNCTION("IFNA(FILTER(IMPORTRANGE(""https://docs.google.com/spreadsheets/d/1kGrh75X1cNR1D7_FcY9zMnHP8iPO4M5RCRjy6nZY0TY/edit#gid=1248694442"",""Table 3: 1st-line HC!L5:L111""), $A5=IMPORTRANGE(""https://docs.google.com/spreadsheets/d/1kGrh75X1cNR1D7_FcY9zMnHP8iPO4M"&amp;"5RCRjy6nZY0TY/edit#gid=1248694442"",""Table 3: 1st-line HC!A5:A111"")),"""")"),"")</f>
        <v/>
      </c>
      <c r="Q5" s="14" t="str">
        <f>IFERROR(__xludf.DUMMYFUNCTION("IFNA(FILTER(IMPORTRANGE(""https://docs.google.com/spreadsheets/d/1kGrh75X1cNR1D7_FcY9zMnHP8iPO4M5RCRjy6nZY0TY/edit#gid=1248694442"",""Table 3: 1st-line HC!M5:M111""), $A5=IMPORTRANGE(""https://docs.google.com/spreadsheets/d/1kGrh75X1cNR1D7_FcY9zMnHP8iPO4M"&amp;"5RCRjy6nZY0TY/edit#gid=1248694442"",""Table 3: 1st-line HC!A5:A111"")),"""")"),"")</f>
        <v/>
      </c>
      <c r="R5" s="14" t="str">
        <f>IFERROR(__xludf.DUMMYFUNCTION("IFNA(FILTER(IMPORTRANGE(""https://docs.google.com/spreadsheets/d/1kGrh75X1cNR1D7_FcY9zMnHP8iPO4M5RCRjy6nZY0TY/edit#gid=1248694442"",""Table 3: 1st-line HC!N5:N111""), $A5=IMPORTRANGE(""https://docs.google.com/spreadsheets/d/1kGrh75X1cNR1D7_FcY9zMnHP8iPO4M"&amp;"5RCRjy6nZY0TY/edit#gid=1248694442"",""Table 3: 1st-line HC!A5:A111"")),"""")"),"")</f>
        <v/>
      </c>
      <c r="S5" s="14" t="str">
        <f>IFERROR(__xludf.DUMMYFUNCTION("IFNA(FILTER(IMPORTRANGE(""https://docs.google.com/spreadsheets/d/1kGrh75X1cNR1D7_FcY9zMnHP8iPO4M5RCRjy6nZY0TY/edit#gid=1248694442"",""Table 3: 1st-line HC!T5:T111""), $A5=IMPORTRANGE(""https://docs.google.com/spreadsheets/d/1kGrh75X1cNR1D7_FcY9zMnHP8iPO4M"&amp;"5RCRjy6nZY0TY/edit#gid=1248694442"",""Table 3: 1st-line HC!A5:A111"")),"""")"),"")</f>
        <v/>
      </c>
      <c r="T5" s="14" t="str">
        <f>IFERROR(__xludf.DUMMYFUNCTION("IFNA(FILTER(IMPORTRANGE(""https://docs.google.com/spreadsheets/d/1kGrh75X1cNR1D7_FcY9zMnHP8iPO4M5RCRjy6nZY0TY/edit#gid=1248694442"",""Table 3: 1st-line HC!U5:U111""), $A5=IMPORTRANGE(""https://docs.google.com/spreadsheets/d/1kGrh75X1cNR1D7_FcY9zMnHP8iPO4M"&amp;"5RCRjy6nZY0TY/edit#gid=1248694442"",""Table 3: 1st-line HC!A5:A111"")),"""")"),"")</f>
        <v/>
      </c>
      <c r="U5" s="14" t="str">
        <f>IFERROR(__xludf.DUMMYFUNCTION("IFNA(FILTER(IMPORTRANGE(""https://docs.google.com/spreadsheets/d/1kGrh75X1cNR1D7_FcY9zMnHP8iPO4M5RCRjy6nZY0TY/edit#gid=1248694442"",""Table 3: 1st-line HC!V5:V111""), $A5=IMPORTRANGE(""https://docs.google.com/spreadsheets/d/1kGrh75X1cNR1D7_FcY9zMnHP8iPO4M"&amp;"5RCRjy6nZY0TY/edit#gid=1248694442"",""Table 3: 1st-line HC!A5:A111"")),"""")"),"")</f>
        <v/>
      </c>
      <c r="V5" s="14">
        <f>IFERROR(__xludf.DUMMYFUNCTION("IFNA(FILTER(IMPORTRANGE(""https://docs.google.com/spreadsheets/d/1kGrh75X1cNR1D7_FcY9zMnHP8iPO4M5RCRjy6nZY0TY/edit#gid=1248694442"",""Table 3: 1st-line HC!AE5:AE111""), $A5=IMPORTRANGE(""https://docs.google.com/spreadsheets/d/1kGrh75X1cNR1D7_FcY9zMnHP8iPO"&amp;"4M5RCRjy6nZY0TY/edit#gid=1248694442"",""Table 3: 1st-line HC!A5:A111"")),"""")"),12.4)</f>
        <v>12.4</v>
      </c>
      <c r="W5" s="14" t="str">
        <f>IFERROR(__xludf.DUMMYFUNCTION("IFNA(FILTER(IMPORTRANGE(""https://docs.google.com/spreadsheets/d/1kGrh75X1cNR1D7_FcY9zMnHP8iPO4M5RCRjy6nZY0TY/edit#gid=1248694442"",""Table 3: 1st-line HC!AG5:AG111""), $A5=IMPORTRANGE(""https://docs.google.com/spreadsheets/d/1kGrh75X1cNR1D7_FcY9zMnHP8iPO"&amp;"4M5RCRjy6nZY0TY/edit#gid=1248694442"",""Table 3: 1st-line HC!A5:A111"")),"""")"),"")</f>
        <v/>
      </c>
      <c r="X5" s="14" t="str">
        <f>IFERROR(__xludf.DUMMYFUNCTION("IFNA(FILTER(IMPORTRANGE(""https://docs.google.com/spreadsheets/d/1kGrh75X1cNR1D7_FcY9zMnHP8iPO4M5RCRjy6nZY0TY/edit#gid=1248694442"",""Table 3: 1st-line HC!AI5:AI111""), $A5=IMPORTRANGE(""https://docs.google.com/spreadsheets/d/1kGrh75X1cNR1D7_FcY9zMnHP8iPO"&amp;"4M5RCRjy6nZY0TY/edit#gid=1248694442"",""Table 3: 1st-line HC!A5:A111"")),"""")"),"3-54.43")</f>
        <v>3-54.43</v>
      </c>
    </row>
    <row r="6">
      <c r="A6" s="4" t="str">
        <f>IFERROR(__xludf.DUMMYFUNCTION("""COMPUTED_VALUE"""),"ID 8")</f>
        <v>ID 8</v>
      </c>
      <c r="B6" s="14">
        <f>IFERROR(__xludf.DUMMYFUNCTION("IFNA(FILTER(IMPORTRANGE(""https://docs.google.com/spreadsheets/d/1kGrh75X1cNR1D7_FcY9zMnHP8iPO4M5RCRjy6nZY0TY/edit#gid=1248694442"",""Table 2: MMC!D5:D114""), $A6=IMPORTRANGE(""https://docs.google.com/spreadsheets/d/1kGrh75X1cNR1D7_FcY9zMnHP8iPO4M5RCRjy6n"&amp;"ZY0TY/edit#gid=1248694442"",""Table 2: MMC!A5:A114"")),"""")"),1.0)</f>
        <v>1</v>
      </c>
      <c r="C6" s="14" t="str">
        <f>IFERROR(__xludf.DUMMYFUNCTION("IFNA(FILTER(IMPORTRANGE(""https://docs.google.com/spreadsheets/d/1kGrh75X1cNR1D7_FcY9zMnHP8iPO4M5RCRjy6nZY0TY/edit#gid=1248694442"",""Table 2: MMC!E5:E114""), $A6=IMPORTRANGE(""https://docs.google.com/spreadsheets/d/1kGrh75X1cNR1D7_FcY9zMnHP8iPO4M5RCRjy6n"&amp;"ZY0TY/edit#gid=1248694442"",""Table 2: MMC!A5:A114"")),"""")"),"")</f>
        <v/>
      </c>
      <c r="D6" s="14">
        <f>IFERROR(__xludf.DUMMYFUNCTION("IFNA(FILTER(IMPORTRANGE(""https://docs.google.com/spreadsheets/d/1kGrh75X1cNR1D7_FcY9zMnHP8iPO4M5RCRjy6nZY0TY/edit#gid=1248694442"",""Table 2: MMC!F5:F114""), $A6=IMPORTRANGE(""https://docs.google.com/spreadsheets/d/1kGrh75X1cNR1D7_FcY9zMnHP8iPO4M5RCRjy6n"&amp;"ZY0TY/edit#gid=1248694442"",""Table 2: MMC!A5:A114"")),"""")"),1.0)</f>
        <v>1</v>
      </c>
      <c r="E6" s="14">
        <f>IFERROR(__xludf.DUMMYFUNCTION("IFNA(FILTER(IMPORTRANGE(""https://docs.google.com/spreadsheets/d/1kGrh75X1cNR1D7_FcY9zMnHP8iPO4M5RCRjy6nZY0TY/edit#gid=1248694442"",""Table 2: MMC!G5:G114""), $A6=IMPORTRANGE(""https://docs.google.com/spreadsheets/d/1kGrh75X1cNR1D7_FcY9zMnHP8iPO4M5RCRjy6n"&amp;"ZY0TY/edit#gid=1248694442"",""Table 2: MMC!A5:A114"")),"""")"),8.0)</f>
        <v>8</v>
      </c>
      <c r="F6" s="14">
        <f>IFERROR(__xludf.DUMMYFUNCTION("IFNA(FILTER(IMPORTRANGE(""https://docs.google.com/spreadsheets/d/1kGrh75X1cNR1D7_FcY9zMnHP8iPO4M5RCRjy6nZY0TY/edit#gid=1248694442"",""Table 2: MMC!H5:H114""), $A6=IMPORTRANGE(""https://docs.google.com/spreadsheets/d/1kGrh75X1cNR1D7_FcY9zMnHP8iPO4M5RCRjy6n"&amp;"ZY0TY/edit#gid=1248694442"",""Table 2: MMC!A5:A114"")),"""")"),2.0)</f>
        <v>2</v>
      </c>
      <c r="G6" s="14" t="str">
        <f>IFERROR(__xludf.DUMMYFUNCTION("IFNA(FILTER(IMPORTRANGE(""https://docs.google.com/spreadsheets/d/1kGrh75X1cNR1D7_FcY9zMnHP8iPO4M5RCRjy6nZY0TY/edit#gid=1248694442"",""Table 2: MMC!I5:I114""), $A6=IMPORTRANGE(""https://docs.google.com/spreadsheets/d/1kGrh75X1cNR1D7_FcY9zMnHP8iPO4M5RCRjy6n"&amp;"ZY0TY/edit#gid=1248694442"",""Table 2: MMC!A5:A114"")),"""")"),"")</f>
        <v/>
      </c>
      <c r="H6" s="14" t="str">
        <f>IFERROR(__xludf.DUMMYFUNCTION("IFNA(FILTER(IMPORTRANGE(""https://docs.google.com/spreadsheets/d/1kGrh75X1cNR1D7_FcY9zMnHP8iPO4M5RCRjy6nZY0TY/edit#gid=1248694442"",""Table 2: MMC!J5:J114""), $A6=IMPORTRANGE(""https://docs.google.com/spreadsheets/d/1kGrh75X1cNR1D7_FcY9zMnHP8iPO4M5RCRjy6n"&amp;"ZY0TY/edit#gid=1248694442"",""Table 2: MMC!A5:A114"")),"""")"),"post-natal")</f>
        <v>post-natal</v>
      </c>
      <c r="I6" s="14" t="str">
        <f>IFERROR(__xludf.DUMMYFUNCTION("IFNA(FILTER(IMPORTRANGE(""https://docs.google.com/spreadsheets/d/1kGrh75X1cNR1D7_FcY9zMnHP8iPO4M5RCRjy6nZY0TY/edit#gid=1248694442"",""Table 2: MMC!M5:M114""), $A6=IMPORTRANGE(""https://docs.google.com/spreadsheets/d/1kGrh75X1cNR1D7_FcY9zMnHP8iPO4M5RCRjy6n"&amp;"ZY0TY/edit#gid=1248694442"",""Table 2: MMC!A5:A114"")),"""")"),"")</f>
        <v/>
      </c>
      <c r="J6" s="14" t="str">
        <f>IFERROR(__xludf.DUMMYFUNCTION("IFNA(FILTER(IMPORTRANGE(""https://docs.google.com/spreadsheets/d/1kGrh75X1cNR1D7_FcY9zMnHP8iPO4M5RCRjy6nZY0TY/edit#gid=1248694442"",""Table 2: MMC!Q5:Q114""), $A6=IMPORTRANGE(""https://docs.google.com/spreadsheets/d/1kGrh75X1cNR1D7_FcY9zMnHP8iPO4M5RCRjy6n"&amp;"ZY0TY/edit#gid=1248694442"",""Table 2: MMC!A5:A114"")),"""")"),"")</f>
        <v/>
      </c>
      <c r="K6" s="14" t="str">
        <f>IFERROR(__xludf.DUMMYFUNCTION("IFNA(FILTER(IMPORTRANGE(""https://docs.google.com/spreadsheets/d/1kGrh75X1cNR1D7_FcY9zMnHP8iPO4M5RCRjy6nZY0TY/edit#gid=1248694442"",""Table 2: MMC!R5:R114""), $A6=IMPORTRANGE(""https://docs.google.com/spreadsheets/d/1kGrh75X1cNR1D7_FcY9zMnHP8iPO4M5RCRjy6n"&amp;"ZY0TY/edit#gid=1248694442"",""Table 2: MMC!A5:A114"")),"""")"),"")</f>
        <v/>
      </c>
      <c r="L6" s="14" t="str">
        <f>IFERROR(__xludf.DUMMYFUNCTION("IFNA(FILTER(IMPORTRANGE(""https://docs.google.com/spreadsheets/d/1kGrh75X1cNR1D7_FcY9zMnHP8iPO4M5RCRjy6nZY0TY/edit#gid=1248694442"",""Table 2: MMC!S5:S114""), $A6=IMPORTRANGE(""https://docs.google.com/spreadsheets/d/1kGrh75X1cNR1D7_FcY9zMnHP8iPO4M5RCRjy6n"&amp;"ZY0TY/edit#gid=1248694442"",""Table 2: MMC!A5:A114"")),"""")"),"")</f>
        <v/>
      </c>
      <c r="M6" s="14" t="str">
        <f>IFERROR(__xludf.DUMMYFUNCTION("IFNA(FILTER(IMPORTRANGE(""https://docs.google.com/spreadsheets/d/1kGrh75X1cNR1D7_FcY9zMnHP8iPO4M5RCRjy6nZY0TY/edit#gid=1248694442"",""Table 3: 1st-line HC!D5:D111""), $A6=IMPORTRANGE(""https://docs.google.com/spreadsheets/d/1kGrh75X1cNR1D7_FcY9zMnHP8iPO4M"&amp;"5RCRjy6nZY0TY/edit#gid=1248694442"",""Table 3: 1st-line HC!A5:A111"")),"""")"),"")</f>
        <v/>
      </c>
      <c r="N6" s="14">
        <f>IFERROR(__xludf.DUMMYFUNCTION("IFNA(FILTER(IMPORTRANGE(""https://docs.google.com/spreadsheets/d/1kGrh75X1cNR1D7_FcY9zMnHP8iPO4M5RCRjy6nZY0TY/edit#gid=1248694442"",""Table 3: 1st-line HC!E5:E111""), $A6=IMPORTRANGE(""https://docs.google.com/spreadsheets/d/1kGrh75X1cNR1D7_FcY9zMnHP8iPO4M"&amp;"5RCRjy6nZY0TY/edit#gid=1248694442"",""Table 3: 1st-line HC!A5:A111"")),"""")"),50.0)</f>
        <v>50</v>
      </c>
      <c r="O6" s="14">
        <f>IFERROR(__xludf.DUMMYFUNCTION("IFNA(FILTER(IMPORTRANGE(""https://docs.google.com/spreadsheets/d/1kGrh75X1cNR1D7_FcY9zMnHP8iPO4M5RCRjy6nZY0TY/edit#gid=1248694442"",""Table 3: 1st-line HC!K5:K111""), $A6=IMPORTRANGE(""https://docs.google.com/spreadsheets/d/1kGrh75X1cNR1D7_FcY9zMnHP8iPO4M"&amp;"5RCRjy6nZY0TY/edit#gid=1248694442"",""Table 3: 1st-line HC!A5:A111"")),"""")"),12.0)</f>
        <v>12</v>
      </c>
      <c r="P6" s="14">
        <f>IFERROR(__xludf.DUMMYFUNCTION("IFNA(FILTER(IMPORTRANGE(""https://docs.google.com/spreadsheets/d/1kGrh75X1cNR1D7_FcY9zMnHP8iPO4M5RCRjy6nZY0TY/edit#gid=1248694442"",""Table 3: 1st-line HC!L5:L111""), $A6=IMPORTRANGE(""https://docs.google.com/spreadsheets/d/1kGrh75X1cNR1D7_FcY9zMnHP8iPO4M"&amp;"5RCRjy6nZY0TY/edit#gid=1248694442"",""Table 3: 1st-line HC!A5:A111"")),"""")"),12.0)</f>
        <v>12</v>
      </c>
      <c r="Q6" s="14" t="str">
        <f>IFERROR(__xludf.DUMMYFUNCTION("IFNA(FILTER(IMPORTRANGE(""https://docs.google.com/spreadsheets/d/1kGrh75X1cNR1D7_FcY9zMnHP8iPO4M5RCRjy6nZY0TY/edit#gid=1248694442"",""Table 3: 1st-line HC!M5:M111""), $A6=IMPORTRANGE(""https://docs.google.com/spreadsheets/d/1kGrh75X1cNR1D7_FcY9zMnHP8iPO4M"&amp;"5RCRjy6nZY0TY/edit#gid=1248694442"",""Table 3: 1st-line HC!A5:A111"")),"""")"),"")</f>
        <v/>
      </c>
      <c r="R6" s="14">
        <f>IFERROR(__xludf.DUMMYFUNCTION("IFNA(FILTER(IMPORTRANGE(""https://docs.google.com/spreadsheets/d/1kGrh75X1cNR1D7_FcY9zMnHP8iPO4M5RCRjy6nZY0TY/edit#gid=1248694442"",""Table 3: 1st-line HC!N5:N111""), $A6=IMPORTRANGE(""https://docs.google.com/spreadsheets/d/1kGrh75X1cNR1D7_FcY9zMnHP8iPO4M"&amp;"5RCRjy6nZY0TY/edit#gid=1248694442"",""Table 3: 1st-line HC!A5:A111"")),"""")"),10.0)</f>
        <v>10</v>
      </c>
      <c r="S6" s="14" t="str">
        <f>IFERROR(__xludf.DUMMYFUNCTION("IFNA(FILTER(IMPORTRANGE(""https://docs.google.com/spreadsheets/d/1kGrh75X1cNR1D7_FcY9zMnHP8iPO4M5RCRjy6nZY0TY/edit#gid=1248694442"",""Table 3: 1st-line HC!T5:T111""), $A6=IMPORTRANGE(""https://docs.google.com/spreadsheets/d/1kGrh75X1cNR1D7_FcY9zMnHP8iPO4M"&amp;"5RCRjy6nZY0TY/edit#gid=1248694442"",""Table 3: 1st-line HC!A5:A111"")),"""")"),"")</f>
        <v/>
      </c>
      <c r="T6" s="14" t="str">
        <f>IFERROR(__xludf.DUMMYFUNCTION("IFNA(FILTER(IMPORTRANGE(""https://docs.google.com/spreadsheets/d/1kGrh75X1cNR1D7_FcY9zMnHP8iPO4M5RCRjy6nZY0TY/edit#gid=1248694442"",""Table 3: 1st-line HC!U5:U111""), $A6=IMPORTRANGE(""https://docs.google.com/spreadsheets/d/1kGrh75X1cNR1D7_FcY9zMnHP8iPO4M"&amp;"5RCRjy6nZY0TY/edit#gid=1248694442"",""Table 3: 1st-line HC!A5:A111"")),"""")"),"")</f>
        <v/>
      </c>
      <c r="U6" s="14" t="str">
        <f>IFERROR(__xludf.DUMMYFUNCTION("IFNA(FILTER(IMPORTRANGE(""https://docs.google.com/spreadsheets/d/1kGrh75X1cNR1D7_FcY9zMnHP8iPO4M5RCRjy6nZY0TY/edit#gid=1248694442"",""Table 3: 1st-line HC!V5:V111""), $A6=IMPORTRANGE(""https://docs.google.com/spreadsheets/d/1kGrh75X1cNR1D7_FcY9zMnHP8iPO4M"&amp;"5RCRjy6nZY0TY/edit#gid=1248694442"",""Table 3: 1st-line HC!A5:A111"")),"""")"),"")</f>
        <v/>
      </c>
      <c r="V6" s="14" t="str">
        <f>IFERROR(__xludf.DUMMYFUNCTION("IFNA(FILTER(IMPORTRANGE(""https://docs.google.com/spreadsheets/d/1kGrh75X1cNR1D7_FcY9zMnHP8iPO4M5RCRjy6nZY0TY/edit#gid=1248694442"",""Table 3: 1st-line HC!AE5:AE111""), $A6=IMPORTRANGE(""https://docs.google.com/spreadsheets/d/1kGrh75X1cNR1D7_FcY9zMnHP8iPO"&amp;"4M5RCRjy6nZY0TY/edit#gid=1248694442"",""Table 3: 1st-line HC!A5:A111"")),"""")"),"")</f>
        <v/>
      </c>
      <c r="W6" s="14" t="str">
        <f>IFERROR(__xludf.DUMMYFUNCTION("IFNA(FILTER(IMPORTRANGE(""https://docs.google.com/spreadsheets/d/1kGrh75X1cNR1D7_FcY9zMnHP8iPO4M5RCRjy6nZY0TY/edit#gid=1248694442"",""Table 3: 1st-line HC!AG5:AG111""), $A6=IMPORTRANGE(""https://docs.google.com/spreadsheets/d/1kGrh75X1cNR1D7_FcY9zMnHP8iPO"&amp;"4M5RCRjy6nZY0TY/edit#gid=1248694442"",""Table 3: 1st-line HC!A5:A111"")),"""")"),"")</f>
        <v/>
      </c>
      <c r="X6" s="14">
        <f>IFERROR(__xludf.DUMMYFUNCTION("IFNA(FILTER(IMPORTRANGE(""https://docs.google.com/spreadsheets/d/1kGrh75X1cNR1D7_FcY9zMnHP8iPO4M5RCRjy6nZY0TY/edit#gid=1248694442"",""Table 3: 1st-line HC!AI5:AI111""), $A6=IMPORTRANGE(""https://docs.google.com/spreadsheets/d/1kGrh75X1cNR1D7_FcY9zMnHP8iPO"&amp;"4M5RCRjy6nZY0TY/edit#gid=1248694442"",""Table 3: 1st-line HC!A5:A111"")),"""")"),52.0)</f>
        <v>52</v>
      </c>
    </row>
    <row r="7">
      <c r="A7" s="4" t="str">
        <f>IFERROR(__xludf.DUMMYFUNCTION("""COMPUTED_VALUE"""),"ID 9")</f>
        <v>ID 9</v>
      </c>
      <c r="B7" s="14" t="str">
        <f>IFERROR(__xludf.DUMMYFUNCTION("IFNA(FILTER(IMPORTRANGE(""https://docs.google.com/spreadsheets/d/1kGrh75X1cNR1D7_FcY9zMnHP8iPO4M5RCRjy6nZY0TY/edit#gid=1248694442"",""Table 2: MMC!D5:D114""), $A7=IMPORTRANGE(""https://docs.google.com/spreadsheets/d/1kGrh75X1cNR1D7_FcY9zMnHP8iPO4M5RCRjy6n"&amp;"ZY0TY/edit#gid=1248694442"",""Table 2: MMC!A5:A114"")),"""")"),"")</f>
        <v/>
      </c>
      <c r="C7" s="14" t="str">
        <f>IFERROR(__xludf.DUMMYFUNCTION("IFNA(FILTER(IMPORTRANGE(""https://docs.google.com/spreadsheets/d/1kGrh75X1cNR1D7_FcY9zMnHP8iPO4M5RCRjy6nZY0TY/edit#gid=1248694442"",""Table 2: MMC!E5:E114""), $A7=IMPORTRANGE(""https://docs.google.com/spreadsheets/d/1kGrh75X1cNR1D7_FcY9zMnHP8iPO4M5RCRjy6n"&amp;"ZY0TY/edit#gid=1248694442"",""Table 2: MMC!A5:A114"")),"""")"),"")</f>
        <v/>
      </c>
      <c r="D7" s="14" t="str">
        <f>IFERROR(__xludf.DUMMYFUNCTION("IFNA(FILTER(IMPORTRANGE(""https://docs.google.com/spreadsheets/d/1kGrh75X1cNR1D7_FcY9zMnHP8iPO4M5RCRjy6nZY0TY/edit#gid=1248694442"",""Table 2: MMC!F5:F114""), $A7=IMPORTRANGE(""https://docs.google.com/spreadsheets/d/1kGrh75X1cNR1D7_FcY9zMnHP8iPO4M5RCRjy6n"&amp;"ZY0TY/edit#gid=1248694442"",""Table 2: MMC!A5:A114"")),"""")"),"")</f>
        <v/>
      </c>
      <c r="E7" s="14" t="str">
        <f>IFERROR(__xludf.DUMMYFUNCTION("IFNA(FILTER(IMPORTRANGE(""https://docs.google.com/spreadsheets/d/1kGrh75X1cNR1D7_FcY9zMnHP8iPO4M5RCRjy6nZY0TY/edit#gid=1248694442"",""Table 2: MMC!G5:G114""), $A7=IMPORTRANGE(""https://docs.google.com/spreadsheets/d/1kGrh75X1cNR1D7_FcY9zMnHP8iPO4M5RCRjy6n"&amp;"ZY0TY/edit#gid=1248694442"",""Table 2: MMC!A5:A114"")),"""")"),"")</f>
        <v/>
      </c>
      <c r="F7" s="14">
        <f>IFERROR(__xludf.DUMMYFUNCTION("IFNA(FILTER(IMPORTRANGE(""https://docs.google.com/spreadsheets/d/1kGrh75X1cNR1D7_FcY9zMnHP8iPO4M5RCRjy6nZY0TY/edit#gid=1248694442"",""Table 2: MMC!H5:H114""), $A7=IMPORTRANGE(""https://docs.google.com/spreadsheets/d/1kGrh75X1cNR1D7_FcY9zMnHP8iPO4M5RCRjy6n"&amp;"ZY0TY/edit#gid=1248694442"",""Table 2: MMC!A5:A114"")),"""")"),984.0)</f>
        <v>984</v>
      </c>
      <c r="G7" s="14">
        <f>IFERROR(__xludf.DUMMYFUNCTION("IFNA(FILTER(IMPORTRANGE(""https://docs.google.com/spreadsheets/d/1kGrh75X1cNR1D7_FcY9zMnHP8iPO4M5RCRjy6nZY0TY/edit#gid=1248694442"",""Table 2: MMC!I5:I114""), $A7=IMPORTRANGE(""https://docs.google.com/spreadsheets/d/1kGrh75X1cNR1D7_FcY9zMnHP8iPO4M5RCRjy6n"&amp;"ZY0TY/edit#gid=1248694442"",""Table 2: MMC!A5:A114"")),"""")"),271.0)</f>
        <v>271</v>
      </c>
      <c r="H7" s="14" t="str">
        <f>IFERROR(__xludf.DUMMYFUNCTION("IFNA(FILTER(IMPORTRANGE(""https://docs.google.com/spreadsheets/d/1kGrh75X1cNR1D7_FcY9zMnHP8iPO4M5RCRjy6nZY0TY/edit#gid=1248694442"",""Table 2: MMC!J5:J114""), $A7=IMPORTRANGE(""https://docs.google.com/spreadsheets/d/1kGrh75X1cNR1D7_FcY9zMnHP8iPO4M5RCRjy6n"&amp;"ZY0TY/edit#gid=1248694442"",""Table 2: MMC!A5:A114"")),"""")"),"post-natal")</f>
        <v>post-natal</v>
      </c>
      <c r="I7" s="14" t="str">
        <f>IFERROR(__xludf.DUMMYFUNCTION("IFNA(FILTER(IMPORTRANGE(""https://docs.google.com/spreadsheets/d/1kGrh75X1cNR1D7_FcY9zMnHP8iPO4M5RCRjy6nZY0TY/edit#gid=1248694442"",""Table 2: MMC!M5:M114""), $A7=IMPORTRANGE(""https://docs.google.com/spreadsheets/d/1kGrh75X1cNR1D7_FcY9zMnHP8iPO4M5RCRjy6n"&amp;"ZY0TY/edit#gid=1248694442"",""Table 2: MMC!A5:A114"")),"""")"),"")</f>
        <v/>
      </c>
      <c r="J7" s="14" t="str">
        <f>IFERROR(__xludf.DUMMYFUNCTION("IFNA(FILTER(IMPORTRANGE(""https://docs.google.com/spreadsheets/d/1kGrh75X1cNR1D7_FcY9zMnHP8iPO4M5RCRjy6nZY0TY/edit#gid=1248694442"",""Table 2: MMC!Q5:Q114""), $A7=IMPORTRANGE(""https://docs.google.com/spreadsheets/d/1kGrh75X1cNR1D7_FcY9zMnHP8iPO4M5RCRjy6n"&amp;"ZY0TY/edit#gid=1248694442"",""Table 2: MMC!A5:A114"")),"""")"),"")</f>
        <v/>
      </c>
      <c r="K7" s="14" t="str">
        <f>IFERROR(__xludf.DUMMYFUNCTION("IFNA(FILTER(IMPORTRANGE(""https://docs.google.com/spreadsheets/d/1kGrh75X1cNR1D7_FcY9zMnHP8iPO4M5RCRjy6nZY0TY/edit#gid=1248694442"",""Table 2: MMC!R5:R114""), $A7=IMPORTRANGE(""https://docs.google.com/spreadsheets/d/1kGrh75X1cNR1D7_FcY9zMnHP8iPO4M5RCRjy6n"&amp;"ZY0TY/edit#gid=1248694442"",""Table 2: MMC!A5:A114"")),"""")"),"")</f>
        <v/>
      </c>
      <c r="L7" s="14" t="str">
        <f>IFERROR(__xludf.DUMMYFUNCTION("IFNA(FILTER(IMPORTRANGE(""https://docs.google.com/spreadsheets/d/1kGrh75X1cNR1D7_FcY9zMnHP8iPO4M5RCRjy6nZY0TY/edit#gid=1248694442"",""Table 2: MMC!S5:S114""), $A7=IMPORTRANGE(""https://docs.google.com/spreadsheets/d/1kGrh75X1cNR1D7_FcY9zMnHP8iPO4M5RCRjy6n"&amp;"ZY0TY/edit#gid=1248694442"",""Table 2: MMC!A5:A114"")),"""")"),"")</f>
        <v/>
      </c>
      <c r="M7" s="14" t="str">
        <f>IFERROR(__xludf.DUMMYFUNCTION("IFNA(FILTER(IMPORTRANGE(""https://docs.google.com/spreadsheets/d/1kGrh75X1cNR1D7_FcY9zMnHP8iPO4M5RCRjy6nZY0TY/edit#gid=1248694442"",""Table 3: 1st-line HC!D5:D111""), $A7=IMPORTRANGE(""https://docs.google.com/spreadsheets/d/1kGrh75X1cNR1D7_FcY9zMnHP8iPO4M"&amp;"5RCRjy6nZY0TY/edit#gid=1248694442"",""Table 3: 1st-line HC!A5:A111"")),"""")"),"")</f>
        <v/>
      </c>
      <c r="N7" s="14" t="str">
        <f>IFERROR(__xludf.DUMMYFUNCTION("IFNA(FILTER(IMPORTRANGE(""https://docs.google.com/spreadsheets/d/1kGrh75X1cNR1D7_FcY9zMnHP8iPO4M5RCRjy6nZY0TY/edit#gid=1248694442"",""Table 3: 1st-line HC!E5:E111""), $A7=IMPORTRANGE(""https://docs.google.com/spreadsheets/d/1kGrh75X1cNR1D7_FcY9zMnHP8iPO4M"&amp;"5RCRjy6nZY0TY/edit#gid=1248694442"",""Table 3: 1st-line HC!A5:A111"")),"""")"),"")</f>
        <v/>
      </c>
      <c r="O7" s="14" t="str">
        <f>IFERROR(__xludf.DUMMYFUNCTION("IFNA(FILTER(IMPORTRANGE(""https://docs.google.com/spreadsheets/d/1kGrh75X1cNR1D7_FcY9zMnHP8iPO4M5RCRjy6nZY0TY/edit#gid=1248694442"",""Table 3: 1st-line HC!K5:K111""), $A7=IMPORTRANGE(""https://docs.google.com/spreadsheets/d/1kGrh75X1cNR1D7_FcY9zMnHP8iPO4M"&amp;"5RCRjy6nZY0TY/edit#gid=1248694442"",""Table 3: 1st-line HC!A5:A111"")),"""")"),"")</f>
        <v/>
      </c>
      <c r="P7" s="14" t="str">
        <f>IFERROR(__xludf.DUMMYFUNCTION("IFNA(FILTER(IMPORTRANGE(""https://docs.google.com/spreadsheets/d/1kGrh75X1cNR1D7_FcY9zMnHP8iPO4M5RCRjy6nZY0TY/edit#gid=1248694442"",""Table 3: 1st-line HC!L5:L111""), $A7=IMPORTRANGE(""https://docs.google.com/spreadsheets/d/1kGrh75X1cNR1D7_FcY9zMnHP8iPO4M"&amp;"5RCRjy6nZY0TY/edit#gid=1248694442"",""Table 3: 1st-line HC!A5:A111"")),"""")"),"")</f>
        <v/>
      </c>
      <c r="Q7" s="14" t="str">
        <f>IFERROR(__xludf.DUMMYFUNCTION("IFNA(FILTER(IMPORTRANGE(""https://docs.google.com/spreadsheets/d/1kGrh75X1cNR1D7_FcY9zMnHP8iPO4M5RCRjy6nZY0TY/edit#gid=1248694442"",""Table 3: 1st-line HC!M5:M111""), $A7=IMPORTRANGE(""https://docs.google.com/spreadsheets/d/1kGrh75X1cNR1D7_FcY9zMnHP8iPO4M"&amp;"5RCRjy6nZY0TY/edit#gid=1248694442"",""Table 3: 1st-line HC!A5:A111"")),"""")"),"")</f>
        <v/>
      </c>
      <c r="R7" s="14" t="str">
        <f>IFERROR(__xludf.DUMMYFUNCTION("IFNA(FILTER(IMPORTRANGE(""https://docs.google.com/spreadsheets/d/1kGrh75X1cNR1D7_FcY9zMnHP8iPO4M5RCRjy6nZY0TY/edit#gid=1248694442"",""Table 3: 1st-line HC!N5:N111""), $A7=IMPORTRANGE(""https://docs.google.com/spreadsheets/d/1kGrh75X1cNR1D7_FcY9zMnHP8iPO4M"&amp;"5RCRjy6nZY0TY/edit#gid=1248694442"",""Table 3: 1st-line HC!A5:A111"")),"""")"),"")</f>
        <v/>
      </c>
      <c r="S7" s="14" t="str">
        <f>IFERROR(__xludf.DUMMYFUNCTION("IFNA(FILTER(IMPORTRANGE(""https://docs.google.com/spreadsheets/d/1kGrh75X1cNR1D7_FcY9zMnHP8iPO4M5RCRjy6nZY0TY/edit#gid=1248694442"",""Table 3: 1st-line HC!T5:T111""), $A7=IMPORTRANGE(""https://docs.google.com/spreadsheets/d/1kGrh75X1cNR1D7_FcY9zMnHP8iPO4M"&amp;"5RCRjy6nZY0TY/edit#gid=1248694442"",""Table 3: 1st-line HC!A5:A111"")),"""")"),"")</f>
        <v/>
      </c>
      <c r="T7" s="14" t="str">
        <f>IFERROR(__xludf.DUMMYFUNCTION("IFNA(FILTER(IMPORTRANGE(""https://docs.google.com/spreadsheets/d/1kGrh75X1cNR1D7_FcY9zMnHP8iPO4M5RCRjy6nZY0TY/edit#gid=1248694442"",""Table 3: 1st-line HC!U5:U111""), $A7=IMPORTRANGE(""https://docs.google.com/spreadsheets/d/1kGrh75X1cNR1D7_FcY9zMnHP8iPO4M"&amp;"5RCRjy6nZY0TY/edit#gid=1248694442"",""Table 3: 1st-line HC!A5:A111"")),"""")"),"")</f>
        <v/>
      </c>
      <c r="U7" s="14" t="str">
        <f>IFERROR(__xludf.DUMMYFUNCTION("IFNA(FILTER(IMPORTRANGE(""https://docs.google.com/spreadsheets/d/1kGrh75X1cNR1D7_FcY9zMnHP8iPO4M5RCRjy6nZY0TY/edit#gid=1248694442"",""Table 3: 1st-line HC!V5:V111""), $A7=IMPORTRANGE(""https://docs.google.com/spreadsheets/d/1kGrh75X1cNR1D7_FcY9zMnHP8iPO4M"&amp;"5RCRjy6nZY0TY/edit#gid=1248694442"",""Table 3: 1st-line HC!A5:A111"")),"""")"),"")</f>
        <v/>
      </c>
      <c r="V7" s="14" t="str">
        <f>IFERROR(__xludf.DUMMYFUNCTION("IFNA(FILTER(IMPORTRANGE(""https://docs.google.com/spreadsheets/d/1kGrh75X1cNR1D7_FcY9zMnHP8iPO4M5RCRjy6nZY0TY/edit#gid=1248694442"",""Table 3: 1st-line HC!AE5:AE111""), $A7=IMPORTRANGE(""https://docs.google.com/spreadsheets/d/1kGrh75X1cNR1D7_FcY9zMnHP8iPO"&amp;"4M5RCRjy6nZY0TY/edit#gid=1248694442"",""Table 3: 1st-line HC!A5:A111"")),"""")"),"")</f>
        <v/>
      </c>
      <c r="W7" s="14" t="str">
        <f>IFERROR(__xludf.DUMMYFUNCTION("IFNA(FILTER(IMPORTRANGE(""https://docs.google.com/spreadsheets/d/1kGrh75X1cNR1D7_FcY9zMnHP8iPO4M5RCRjy6nZY0TY/edit#gid=1248694442"",""Table 3: 1st-line HC!AG5:AG111""), $A7=IMPORTRANGE(""https://docs.google.com/spreadsheets/d/1kGrh75X1cNR1D7_FcY9zMnHP8iPO"&amp;"4M5RCRjy6nZY0TY/edit#gid=1248694442"",""Table 3: 1st-line HC!A5:A111"")),"""")"),"")</f>
        <v/>
      </c>
      <c r="X7" s="14" t="str">
        <f>IFERROR(__xludf.DUMMYFUNCTION("IFNA(FILTER(IMPORTRANGE(""https://docs.google.com/spreadsheets/d/1kGrh75X1cNR1D7_FcY9zMnHP8iPO4M5RCRjy6nZY0TY/edit#gid=1248694442"",""Table 3: 1st-line HC!AI5:AI111""), $A7=IMPORTRANGE(""https://docs.google.com/spreadsheets/d/1kGrh75X1cNR1D7_FcY9zMnHP8iPO"&amp;"4M5RCRjy6nZY0TY/edit#gid=1248694442"",""Table 3: 1st-line HC!A5:A111"")),"""")"),"")</f>
        <v/>
      </c>
    </row>
    <row r="8">
      <c r="A8" s="4" t="str">
        <f>IFERROR(__xludf.DUMMYFUNCTION("""COMPUTED_VALUE"""),"ID 10")</f>
        <v>ID 10</v>
      </c>
      <c r="B8" s="14" t="str">
        <f>IFERROR(__xludf.DUMMYFUNCTION("IFNA(FILTER(IMPORTRANGE(""https://docs.google.com/spreadsheets/d/1kGrh75X1cNR1D7_FcY9zMnHP8iPO4M5RCRjy6nZY0TY/edit#gid=1248694442"",""Table 2: MMC!D5:D114""), $A8=IMPORTRANGE(""https://docs.google.com/spreadsheets/d/1kGrh75X1cNR1D7_FcY9zMnHP8iPO4M5RCRjy6n"&amp;"ZY0TY/edit#gid=1248694442"",""Table 2: MMC!A5:A114"")),"""")"),"")</f>
        <v/>
      </c>
      <c r="C8" s="14" t="str">
        <f>IFERROR(__xludf.DUMMYFUNCTION("IFNA(FILTER(IMPORTRANGE(""https://docs.google.com/spreadsheets/d/1kGrh75X1cNR1D7_FcY9zMnHP8iPO4M5RCRjy6nZY0TY/edit#gid=1248694442"",""Table 2: MMC!E5:E114""), $A8=IMPORTRANGE(""https://docs.google.com/spreadsheets/d/1kGrh75X1cNR1D7_FcY9zMnHP8iPO4M5RCRjy6n"&amp;"ZY0TY/edit#gid=1248694442"",""Table 2: MMC!A5:A114"")),"""")"),"")</f>
        <v/>
      </c>
      <c r="D8" s="14" t="str">
        <f>IFERROR(__xludf.DUMMYFUNCTION("IFNA(FILTER(IMPORTRANGE(""https://docs.google.com/spreadsheets/d/1kGrh75X1cNR1D7_FcY9zMnHP8iPO4M5RCRjy6nZY0TY/edit#gid=1248694442"",""Table 2: MMC!F5:F114""), $A8=IMPORTRANGE(""https://docs.google.com/spreadsheets/d/1kGrh75X1cNR1D7_FcY9zMnHP8iPO4M5RCRjy6n"&amp;"ZY0TY/edit#gid=1248694442"",""Table 2: MMC!A5:A114"")),"""")"),"")</f>
        <v/>
      </c>
      <c r="E8" s="14" t="str">
        <f>IFERROR(__xludf.DUMMYFUNCTION("IFNA(FILTER(IMPORTRANGE(""https://docs.google.com/spreadsheets/d/1kGrh75X1cNR1D7_FcY9zMnHP8iPO4M5RCRjy6nZY0TY/edit#gid=1248694442"",""Table 2: MMC!G5:G114""), $A8=IMPORTRANGE(""https://docs.google.com/spreadsheets/d/1kGrh75X1cNR1D7_FcY9zMnHP8iPO4M5RCRjy6n"&amp;"ZY0TY/edit#gid=1248694442"",""Table 2: MMC!A5:A114"")),"""")"),"")</f>
        <v/>
      </c>
      <c r="F8" s="14" t="str">
        <f>IFERROR(__xludf.DUMMYFUNCTION("IFNA(FILTER(IMPORTRANGE(""https://docs.google.com/spreadsheets/d/1kGrh75X1cNR1D7_FcY9zMnHP8iPO4M5RCRjy6nZY0TY/edit#gid=1248694442"",""Table 2: MMC!H5:H114""), $A8=IMPORTRANGE(""https://docs.google.com/spreadsheets/d/1kGrh75X1cNR1D7_FcY9zMnHP8iPO4M5RCRjy6n"&amp;"ZY0TY/edit#gid=1248694442"",""Table 2: MMC!A5:A114"")),"""")"),"")</f>
        <v/>
      </c>
      <c r="G8" s="14" t="str">
        <f>IFERROR(__xludf.DUMMYFUNCTION("IFNA(FILTER(IMPORTRANGE(""https://docs.google.com/spreadsheets/d/1kGrh75X1cNR1D7_FcY9zMnHP8iPO4M5RCRjy6nZY0TY/edit#gid=1248694442"",""Table 2: MMC!I5:I114""), $A8=IMPORTRANGE(""https://docs.google.com/spreadsheets/d/1kGrh75X1cNR1D7_FcY9zMnHP8iPO4M5RCRjy6n"&amp;"ZY0TY/edit#gid=1248694442"",""Table 2: MMC!A5:A114"")),"""")"),"")</f>
        <v/>
      </c>
      <c r="H8" s="14" t="str">
        <f>IFERROR(__xludf.DUMMYFUNCTION("IFNA(FILTER(IMPORTRANGE(""https://docs.google.com/spreadsheets/d/1kGrh75X1cNR1D7_FcY9zMnHP8iPO4M5RCRjy6nZY0TY/edit#gid=1248694442"",""Table 2: MMC!J5:J114""), $A8=IMPORTRANGE(""https://docs.google.com/spreadsheets/d/1kGrh75X1cNR1D7_FcY9zMnHP8iPO4M5RCRjy6n"&amp;"ZY0TY/edit#gid=1248694442"",""Table 2: MMC!A5:A114"")),"""")"),"post-natal")</f>
        <v>post-natal</v>
      </c>
      <c r="I8" s="14" t="str">
        <f>IFERROR(__xludf.DUMMYFUNCTION("IFNA(FILTER(IMPORTRANGE(""https://docs.google.com/spreadsheets/d/1kGrh75X1cNR1D7_FcY9zMnHP8iPO4M5RCRjy6nZY0TY/edit#gid=1248694442"",""Table 2: MMC!M5:M114""), $A8=IMPORTRANGE(""https://docs.google.com/spreadsheets/d/1kGrh75X1cNR1D7_FcY9zMnHP8iPO4M5RCRjy6n"&amp;"ZY0TY/edit#gid=1248694442"",""Table 2: MMC!A5:A114"")),"""")"),"")</f>
        <v/>
      </c>
      <c r="J8" s="14" t="str">
        <f>IFERROR(__xludf.DUMMYFUNCTION("IFNA(FILTER(IMPORTRANGE(""https://docs.google.com/spreadsheets/d/1kGrh75X1cNR1D7_FcY9zMnHP8iPO4M5RCRjy6nZY0TY/edit#gid=1248694442"",""Table 2: MMC!Q5:Q114""), $A8=IMPORTRANGE(""https://docs.google.com/spreadsheets/d/1kGrh75X1cNR1D7_FcY9zMnHP8iPO4M5RCRjy6n"&amp;"ZY0TY/edit#gid=1248694442"",""Table 2: MMC!A5:A114"")),"""")"),"")</f>
        <v/>
      </c>
      <c r="K8" s="14" t="str">
        <f>IFERROR(__xludf.DUMMYFUNCTION("IFNA(FILTER(IMPORTRANGE(""https://docs.google.com/spreadsheets/d/1kGrh75X1cNR1D7_FcY9zMnHP8iPO4M5RCRjy6nZY0TY/edit#gid=1248694442"",""Table 2: MMC!R5:R114""), $A8=IMPORTRANGE(""https://docs.google.com/spreadsheets/d/1kGrh75X1cNR1D7_FcY9zMnHP8iPO4M5RCRjy6n"&amp;"ZY0TY/edit#gid=1248694442"",""Table 2: MMC!A5:A114"")),"""")"),"")</f>
        <v/>
      </c>
      <c r="L8" s="14" t="str">
        <f>IFERROR(__xludf.DUMMYFUNCTION("IFNA(FILTER(IMPORTRANGE(""https://docs.google.com/spreadsheets/d/1kGrh75X1cNR1D7_FcY9zMnHP8iPO4M5RCRjy6nZY0TY/edit#gid=1248694442"",""Table 2: MMC!S5:S114""), $A8=IMPORTRANGE(""https://docs.google.com/spreadsheets/d/1kGrh75X1cNR1D7_FcY9zMnHP8iPO4M5RCRjy6n"&amp;"ZY0TY/edit#gid=1248694442"",""Table 2: MMC!A5:A114"")),"""")"),"")</f>
        <v/>
      </c>
      <c r="M8" s="14" t="str">
        <f>IFERROR(__xludf.DUMMYFUNCTION("IFNA(FILTER(IMPORTRANGE(""https://docs.google.com/spreadsheets/d/1kGrh75X1cNR1D7_FcY9zMnHP8iPO4M5RCRjy6nZY0TY/edit#gid=1248694442"",""Table 3: 1st-line HC!D5:D111""), $A8=IMPORTRANGE(""https://docs.google.com/spreadsheets/d/1kGrh75X1cNR1D7_FcY9zMnHP8iPO4M"&amp;"5RCRjy6nZY0TY/edit#gid=1248694442"",""Table 3: 1st-line HC!A5:A111"")),"""")"),"")</f>
        <v/>
      </c>
      <c r="N8" s="14" t="str">
        <f>IFERROR(__xludf.DUMMYFUNCTION("IFNA(FILTER(IMPORTRANGE(""https://docs.google.com/spreadsheets/d/1kGrh75X1cNR1D7_FcY9zMnHP8iPO4M5RCRjy6nZY0TY/edit#gid=1248694442"",""Table 3: 1st-line HC!E5:E111""), $A8=IMPORTRANGE(""https://docs.google.com/spreadsheets/d/1kGrh75X1cNR1D7_FcY9zMnHP8iPO4M"&amp;"5RCRjy6nZY0TY/edit#gid=1248694442"",""Table 3: 1st-line HC!A5:A111"")),"""")"),"")</f>
        <v/>
      </c>
      <c r="O8" s="14" t="str">
        <f>IFERROR(__xludf.DUMMYFUNCTION("IFNA(FILTER(IMPORTRANGE(""https://docs.google.com/spreadsheets/d/1kGrh75X1cNR1D7_FcY9zMnHP8iPO4M5RCRjy6nZY0TY/edit#gid=1248694442"",""Table 3: 1st-line HC!K5:K111""), $A8=IMPORTRANGE(""https://docs.google.com/spreadsheets/d/1kGrh75X1cNR1D7_FcY9zMnHP8iPO4M"&amp;"5RCRjy6nZY0TY/edit#gid=1248694442"",""Table 3: 1st-line HC!A5:A111"")),"""")"),"")</f>
        <v/>
      </c>
      <c r="P8" s="14" t="str">
        <f>IFERROR(__xludf.DUMMYFUNCTION("IFNA(FILTER(IMPORTRANGE(""https://docs.google.com/spreadsheets/d/1kGrh75X1cNR1D7_FcY9zMnHP8iPO4M5RCRjy6nZY0TY/edit#gid=1248694442"",""Table 3: 1st-line HC!L5:L111""), $A8=IMPORTRANGE(""https://docs.google.com/spreadsheets/d/1kGrh75X1cNR1D7_FcY9zMnHP8iPO4M"&amp;"5RCRjy6nZY0TY/edit#gid=1248694442"",""Table 3: 1st-line HC!A5:A111"")),"""")"),"")</f>
        <v/>
      </c>
      <c r="Q8" s="14" t="str">
        <f>IFERROR(__xludf.DUMMYFUNCTION("IFNA(FILTER(IMPORTRANGE(""https://docs.google.com/spreadsheets/d/1kGrh75X1cNR1D7_FcY9zMnHP8iPO4M5RCRjy6nZY0TY/edit#gid=1248694442"",""Table 3: 1st-line HC!M5:M111""), $A8=IMPORTRANGE(""https://docs.google.com/spreadsheets/d/1kGrh75X1cNR1D7_FcY9zMnHP8iPO4M"&amp;"5RCRjy6nZY0TY/edit#gid=1248694442"",""Table 3: 1st-line HC!A5:A111"")),"""")"),"")</f>
        <v/>
      </c>
      <c r="R8" s="14" t="str">
        <f>IFERROR(__xludf.DUMMYFUNCTION("IFNA(FILTER(IMPORTRANGE(""https://docs.google.com/spreadsheets/d/1kGrh75X1cNR1D7_FcY9zMnHP8iPO4M5RCRjy6nZY0TY/edit#gid=1248694442"",""Table 3: 1st-line HC!N5:N111""), $A8=IMPORTRANGE(""https://docs.google.com/spreadsheets/d/1kGrh75X1cNR1D7_FcY9zMnHP8iPO4M"&amp;"5RCRjy6nZY0TY/edit#gid=1248694442"",""Table 3: 1st-line HC!A5:A111"")),"""")"),"")</f>
        <v/>
      </c>
      <c r="S8" s="14" t="str">
        <f>IFERROR(__xludf.DUMMYFUNCTION("IFNA(FILTER(IMPORTRANGE(""https://docs.google.com/spreadsheets/d/1kGrh75X1cNR1D7_FcY9zMnHP8iPO4M5RCRjy6nZY0TY/edit#gid=1248694442"",""Table 3: 1st-line HC!T5:T111""), $A8=IMPORTRANGE(""https://docs.google.com/spreadsheets/d/1kGrh75X1cNR1D7_FcY9zMnHP8iPO4M"&amp;"5RCRjy6nZY0TY/edit#gid=1248694442"",""Table 3: 1st-line HC!A5:A111"")),"""")"),"")</f>
        <v/>
      </c>
      <c r="T8" s="14" t="str">
        <f>IFERROR(__xludf.DUMMYFUNCTION("IFNA(FILTER(IMPORTRANGE(""https://docs.google.com/spreadsheets/d/1kGrh75X1cNR1D7_FcY9zMnHP8iPO4M5RCRjy6nZY0TY/edit#gid=1248694442"",""Table 3: 1st-line HC!U5:U111""), $A8=IMPORTRANGE(""https://docs.google.com/spreadsheets/d/1kGrh75X1cNR1D7_FcY9zMnHP8iPO4M"&amp;"5RCRjy6nZY0TY/edit#gid=1248694442"",""Table 3: 1st-line HC!A5:A111"")),"""")"),"")</f>
        <v/>
      </c>
      <c r="U8" s="14" t="str">
        <f>IFERROR(__xludf.DUMMYFUNCTION("IFNA(FILTER(IMPORTRANGE(""https://docs.google.com/spreadsheets/d/1kGrh75X1cNR1D7_FcY9zMnHP8iPO4M5RCRjy6nZY0TY/edit#gid=1248694442"",""Table 3: 1st-line HC!V5:V111""), $A8=IMPORTRANGE(""https://docs.google.com/spreadsheets/d/1kGrh75X1cNR1D7_FcY9zMnHP8iPO4M"&amp;"5RCRjy6nZY0TY/edit#gid=1248694442"",""Table 3: 1st-line HC!A5:A111"")),"""")"),"")</f>
        <v/>
      </c>
      <c r="V8" s="14" t="str">
        <f>IFERROR(__xludf.DUMMYFUNCTION("IFNA(FILTER(IMPORTRANGE(""https://docs.google.com/spreadsheets/d/1kGrh75X1cNR1D7_FcY9zMnHP8iPO4M5RCRjy6nZY0TY/edit#gid=1248694442"",""Table 3: 1st-line HC!AE5:AE111""), $A8=IMPORTRANGE(""https://docs.google.com/spreadsheets/d/1kGrh75X1cNR1D7_FcY9zMnHP8iPO"&amp;"4M5RCRjy6nZY0TY/edit#gid=1248694442"",""Table 3: 1st-line HC!A5:A111"")),"""")"),"")</f>
        <v/>
      </c>
      <c r="W8" s="14" t="str">
        <f>IFERROR(__xludf.DUMMYFUNCTION("IFNA(FILTER(IMPORTRANGE(""https://docs.google.com/spreadsheets/d/1kGrh75X1cNR1D7_FcY9zMnHP8iPO4M5RCRjy6nZY0TY/edit#gid=1248694442"",""Table 3: 1st-line HC!AG5:AG111""), $A8=IMPORTRANGE(""https://docs.google.com/spreadsheets/d/1kGrh75X1cNR1D7_FcY9zMnHP8iPO"&amp;"4M5RCRjy6nZY0TY/edit#gid=1248694442"",""Table 3: 1st-line HC!A5:A111"")),"""")"),"")</f>
        <v/>
      </c>
      <c r="X8" s="14" t="str">
        <f>IFERROR(__xludf.DUMMYFUNCTION("IFNA(FILTER(IMPORTRANGE(""https://docs.google.com/spreadsheets/d/1kGrh75X1cNR1D7_FcY9zMnHP8iPO4M5RCRjy6nZY0TY/edit#gid=1248694442"",""Table 3: 1st-line HC!AI5:AI111""), $A8=IMPORTRANGE(""https://docs.google.com/spreadsheets/d/1kGrh75X1cNR1D7_FcY9zMnHP8iPO"&amp;"4M5RCRjy6nZY0TY/edit#gid=1248694442"",""Table 3: 1st-line HC!A5:A111"")),"""")"),"104-572")</f>
        <v>104-572</v>
      </c>
    </row>
    <row r="9">
      <c r="A9" s="4" t="str">
        <f>IFERROR(__xludf.DUMMYFUNCTION("""COMPUTED_VALUE"""),"ID 11")</f>
        <v>ID 11</v>
      </c>
      <c r="B9" s="14">
        <f>IFERROR(__xludf.DUMMYFUNCTION("IFNA(FILTER(IMPORTRANGE(""https://docs.google.com/spreadsheets/d/1kGrh75X1cNR1D7_FcY9zMnHP8iPO4M5RCRjy6nZY0TY/edit#gid=1248694442"",""Table 2: MMC!D5:D114""), $A9=IMPORTRANGE(""https://docs.google.com/spreadsheets/d/1kGrh75X1cNR1D7_FcY9zMnHP8iPO4M5RCRjy6n"&amp;"ZY0TY/edit#gid=1248694442"",""Table 2: MMC!A5:A114"")),"""")"),0.0)</f>
        <v>0</v>
      </c>
      <c r="C9" s="14">
        <f>IFERROR(__xludf.DUMMYFUNCTION("IFNA(FILTER(IMPORTRANGE(""https://docs.google.com/spreadsheets/d/1kGrh75X1cNR1D7_FcY9zMnHP8iPO4M5RCRjy6nZY0TY/edit#gid=1248694442"",""Table 2: MMC!E5:E114""), $A9=IMPORTRANGE(""https://docs.google.com/spreadsheets/d/1kGrh75X1cNR1D7_FcY9zMnHP8iPO4M5RCRjy6n"&amp;"ZY0TY/edit#gid=1248694442"",""Table 2: MMC!A5:A114"")),"""")"),1.0)</f>
        <v>1</v>
      </c>
      <c r="D9" s="14">
        <f>IFERROR(__xludf.DUMMYFUNCTION("IFNA(FILTER(IMPORTRANGE(""https://docs.google.com/spreadsheets/d/1kGrh75X1cNR1D7_FcY9zMnHP8iPO4M5RCRjy6nZY0TY/edit#gid=1248694442"",""Table 2: MMC!F5:F114""), $A9=IMPORTRANGE(""https://docs.google.com/spreadsheets/d/1kGrh75X1cNR1D7_FcY9zMnHP8iPO4M5RCRjy6n"&amp;"ZY0TY/edit#gid=1248694442"",""Table 2: MMC!A5:A114"")),"""")"),0.0)</f>
        <v>0</v>
      </c>
      <c r="E9" s="14">
        <f>IFERROR(__xludf.DUMMYFUNCTION("IFNA(FILTER(IMPORTRANGE(""https://docs.google.com/spreadsheets/d/1kGrh75X1cNR1D7_FcY9zMnHP8iPO4M5RCRjy6nZY0TY/edit#gid=1248694442"",""Table 2: MMC!G5:G114""), $A9=IMPORTRANGE(""https://docs.google.com/spreadsheets/d/1kGrh75X1cNR1D7_FcY9zMnHP8iPO4M5RCRjy6n"&amp;"ZY0TY/edit#gid=1248694442"",""Table 2: MMC!A5:A114"")),"""")"),1.0)</f>
        <v>1</v>
      </c>
      <c r="F9" s="14">
        <f>IFERROR(__xludf.DUMMYFUNCTION("IFNA(FILTER(IMPORTRANGE(""https://docs.google.com/spreadsheets/d/1kGrh75X1cNR1D7_FcY9zMnHP8iPO4M5RCRjy6nZY0TY/edit#gid=1248694442"",""Table 2: MMC!H5:H114""), $A9=IMPORTRANGE(""https://docs.google.com/spreadsheets/d/1kGrh75X1cNR1D7_FcY9zMnHP8iPO4M5RCRjy6n"&amp;"ZY0TY/edit#gid=1248694442"",""Table 2: MMC!A5:A114"")),"""")"),0.0)</f>
        <v>0</v>
      </c>
      <c r="G9" s="14">
        <f>IFERROR(__xludf.DUMMYFUNCTION("IFNA(FILTER(IMPORTRANGE(""https://docs.google.com/spreadsheets/d/1kGrh75X1cNR1D7_FcY9zMnHP8iPO4M5RCRjy6nZY0TY/edit#gid=1248694442"",""Table 2: MMC!I5:I114""), $A9=IMPORTRANGE(""https://docs.google.com/spreadsheets/d/1kGrh75X1cNR1D7_FcY9zMnHP8iPO4M5RCRjy6n"&amp;"ZY0TY/edit#gid=1248694442"",""Table 2: MMC!A5:A114"")),"""")"),0.0)</f>
        <v>0</v>
      </c>
      <c r="H9" s="14" t="str">
        <f>IFERROR(__xludf.DUMMYFUNCTION("IFNA(FILTER(IMPORTRANGE(""https://docs.google.com/spreadsheets/d/1kGrh75X1cNR1D7_FcY9zMnHP8iPO4M5RCRjy6nZY0TY/edit#gid=1248694442"",""Table 2: MMC!J5:J114""), $A9=IMPORTRANGE(""https://docs.google.com/spreadsheets/d/1kGrh75X1cNR1D7_FcY9zMnHP8iPO4M5RCRjy6n"&amp;"ZY0TY/edit#gid=1248694442"",""Table 2: MMC!A5:A114"")),"""")"),"post-natal")</f>
        <v>post-natal</v>
      </c>
      <c r="I9" s="14" t="str">
        <f>IFERROR(__xludf.DUMMYFUNCTION("IFNA(FILTER(IMPORTRANGE(""https://docs.google.com/spreadsheets/d/1kGrh75X1cNR1D7_FcY9zMnHP8iPO4M5RCRjy6nZY0TY/edit#gid=1248694442"",""Table 2: MMC!M5:M114""), $A9=IMPORTRANGE(""https://docs.google.com/spreadsheets/d/1kGrh75X1cNR1D7_FcY9zMnHP8iPO4M5RCRjy6n"&amp;"ZY0TY/edit#gid=1248694442"",""Table 2: MMC!A5:A114"")),"""")"),"")</f>
        <v/>
      </c>
      <c r="J9" s="14" t="str">
        <f>IFERROR(__xludf.DUMMYFUNCTION("IFNA(FILTER(IMPORTRANGE(""https://docs.google.com/spreadsheets/d/1kGrh75X1cNR1D7_FcY9zMnHP8iPO4M5RCRjy6nZY0TY/edit#gid=1248694442"",""Table 2: MMC!Q5:Q114""), $A9=IMPORTRANGE(""https://docs.google.com/spreadsheets/d/1kGrh75X1cNR1D7_FcY9zMnHP8iPO4M5RCRjy6n"&amp;"ZY0TY/edit#gid=1248694442"",""Table 2: MMC!A5:A114"")),"""")"),"")</f>
        <v/>
      </c>
      <c r="K9" s="14" t="str">
        <f>IFERROR(__xludf.DUMMYFUNCTION("IFNA(FILTER(IMPORTRANGE(""https://docs.google.com/spreadsheets/d/1kGrh75X1cNR1D7_FcY9zMnHP8iPO4M5RCRjy6nZY0TY/edit#gid=1248694442"",""Table 2: MMC!R5:R114""), $A9=IMPORTRANGE(""https://docs.google.com/spreadsheets/d/1kGrh75X1cNR1D7_FcY9zMnHP8iPO4M5RCRjy6n"&amp;"ZY0TY/edit#gid=1248694442"",""Table 2: MMC!A5:A114"")),"""")"),"")</f>
        <v/>
      </c>
      <c r="L9" s="14" t="str">
        <f>IFERROR(__xludf.DUMMYFUNCTION("IFNA(FILTER(IMPORTRANGE(""https://docs.google.com/spreadsheets/d/1kGrh75X1cNR1D7_FcY9zMnHP8iPO4M5RCRjy6nZY0TY/edit#gid=1248694442"",""Table 2: MMC!S5:S114""), $A9=IMPORTRANGE(""https://docs.google.com/spreadsheets/d/1kGrh75X1cNR1D7_FcY9zMnHP8iPO4M5RCRjy6n"&amp;"ZY0TY/edit#gid=1248694442"",""Table 2: MMC!A5:A114"")),"""")"),"None reported")</f>
        <v>None reported</v>
      </c>
      <c r="M9" s="14" t="str">
        <f>IFERROR(__xludf.DUMMYFUNCTION("IFNA(FILTER(IMPORTRANGE(""https://docs.google.com/spreadsheets/d/1kGrh75X1cNR1D7_FcY9zMnHP8iPO4M5RCRjy6nZY0TY/edit#gid=1248694442"",""Table 3: 1st-line HC!D5:D111""), $A9=IMPORTRANGE(""https://docs.google.com/spreadsheets/d/1kGrh75X1cNR1D7_FcY9zMnHP8iPO4M"&amp;"5RCRjy6nZY0TY/edit#gid=1248694442"",""Table 3: 1st-line HC!A5:A111"")),"""")"),"")</f>
        <v/>
      </c>
      <c r="N9" s="14">
        <f>IFERROR(__xludf.DUMMYFUNCTION("IFNA(FILTER(IMPORTRANGE(""https://docs.google.com/spreadsheets/d/1kGrh75X1cNR1D7_FcY9zMnHP8iPO4M5RCRjy6nZY0TY/edit#gid=1248694442"",""Table 3: 1st-line HC!E5:E111""), $A9=IMPORTRANGE(""https://docs.google.com/spreadsheets/d/1kGrh75X1cNR1D7_FcY9zMnHP8iPO4M"&amp;"5RCRjy6nZY0TY/edit#gid=1248694442"",""Table 3: 1st-line HC!A5:A111"")),"""")"),150.0)</f>
        <v>150</v>
      </c>
      <c r="O9" s="14">
        <f>IFERROR(__xludf.DUMMYFUNCTION("IFNA(FILTER(IMPORTRANGE(""https://docs.google.com/spreadsheets/d/1kGrh75X1cNR1D7_FcY9zMnHP8iPO4M5RCRjy6nZY0TY/edit#gid=1248694442"",""Table 3: 1st-line HC!K5:K111""), $A9=IMPORTRANGE(""https://docs.google.com/spreadsheets/d/1kGrh75X1cNR1D7_FcY9zMnHP8iPO4M"&amp;"5RCRjy6nZY0TY/edit#gid=1248694442"",""Table 3: 1st-line HC!A5:A111"")),"""")"),2.0)</f>
        <v>2</v>
      </c>
      <c r="P9" s="14">
        <f>IFERROR(__xludf.DUMMYFUNCTION("IFNA(FILTER(IMPORTRANGE(""https://docs.google.com/spreadsheets/d/1kGrh75X1cNR1D7_FcY9zMnHP8iPO4M5RCRjy6nZY0TY/edit#gid=1248694442"",""Table 3: 1st-line HC!L5:L111""), $A9=IMPORTRANGE(""https://docs.google.com/spreadsheets/d/1kGrh75X1cNR1D7_FcY9zMnHP8iPO4M"&amp;"5RCRjy6nZY0TY/edit#gid=1248694442"",""Table 3: 1st-line HC!A5:A111"")),"""")"),2.0)</f>
        <v>2</v>
      </c>
      <c r="Q9" s="14" t="str">
        <f>IFERROR(__xludf.DUMMYFUNCTION("IFNA(FILTER(IMPORTRANGE(""https://docs.google.com/spreadsheets/d/1kGrh75X1cNR1D7_FcY9zMnHP8iPO4M5RCRjy6nZY0TY/edit#gid=1248694442"",""Table 3: 1st-line HC!M5:M111""), $A9=IMPORTRANGE(""https://docs.google.com/spreadsheets/d/1kGrh75X1cNR1D7_FcY9zMnHP8iPO4M"&amp;"5RCRjy6nZY0TY/edit#gid=1248694442"",""Table 3: 1st-line HC!A5:A111"")),"""")"),"")</f>
        <v/>
      </c>
      <c r="R9" s="14" t="str">
        <f>IFERROR(__xludf.DUMMYFUNCTION("IFNA(FILTER(IMPORTRANGE(""https://docs.google.com/spreadsheets/d/1kGrh75X1cNR1D7_FcY9zMnHP8iPO4M5RCRjy6nZY0TY/edit#gid=1248694442"",""Table 3: 1st-line HC!N5:N111""), $A9=IMPORTRANGE(""https://docs.google.com/spreadsheets/d/1kGrh75X1cNR1D7_FcY9zMnHP8iPO4M"&amp;"5RCRjy6nZY0TY/edit#gid=1248694442"",""Table 3: 1st-line HC!A5:A111"")),"""")"),"")</f>
        <v/>
      </c>
      <c r="S9" s="14" t="str">
        <f>IFERROR(__xludf.DUMMYFUNCTION("IFNA(FILTER(IMPORTRANGE(""https://docs.google.com/spreadsheets/d/1kGrh75X1cNR1D7_FcY9zMnHP8iPO4M5RCRjy6nZY0TY/edit#gid=1248694442"",""Table 3: 1st-line HC!T5:T111""), $A9=IMPORTRANGE(""https://docs.google.com/spreadsheets/d/1kGrh75X1cNR1D7_FcY9zMnHP8iPO4M"&amp;"5RCRjy6nZY0TY/edit#gid=1248694442"",""Table 3: 1st-line HC!A5:A111"")),"""")"),"")</f>
        <v/>
      </c>
      <c r="T9" s="14" t="str">
        <f>IFERROR(__xludf.DUMMYFUNCTION("IFNA(FILTER(IMPORTRANGE(""https://docs.google.com/spreadsheets/d/1kGrh75X1cNR1D7_FcY9zMnHP8iPO4M5RCRjy6nZY0TY/edit#gid=1248694442"",""Table 3: 1st-line HC!U5:U111""), $A9=IMPORTRANGE(""https://docs.google.com/spreadsheets/d/1kGrh75X1cNR1D7_FcY9zMnHP8iPO4M"&amp;"5RCRjy6nZY0TY/edit#gid=1248694442"",""Table 3: 1st-line HC!A5:A111"")),"""")"),"")</f>
        <v/>
      </c>
      <c r="U9" s="14" t="str">
        <f>IFERROR(__xludf.DUMMYFUNCTION("IFNA(FILTER(IMPORTRANGE(""https://docs.google.com/spreadsheets/d/1kGrh75X1cNR1D7_FcY9zMnHP8iPO4M5RCRjy6nZY0TY/edit#gid=1248694442"",""Table 3: 1st-line HC!V5:V111""), $A9=IMPORTRANGE(""https://docs.google.com/spreadsheets/d/1kGrh75X1cNR1D7_FcY9zMnHP8iPO4M"&amp;"5RCRjy6nZY0TY/edit#gid=1248694442"",""Table 3: 1st-line HC!A5:A111"")),"""")"),"")</f>
        <v/>
      </c>
      <c r="V9" s="14" t="str">
        <f>IFERROR(__xludf.DUMMYFUNCTION("IFNA(FILTER(IMPORTRANGE(""https://docs.google.com/spreadsheets/d/1kGrh75X1cNR1D7_FcY9zMnHP8iPO4M5RCRjy6nZY0TY/edit#gid=1248694442"",""Table 3: 1st-line HC!AE5:AE111""), $A9=IMPORTRANGE(""https://docs.google.com/spreadsheets/d/1kGrh75X1cNR1D7_FcY9zMnHP8iPO"&amp;"4M5RCRjy6nZY0TY/edit#gid=1248694442"",""Table 3: 1st-line HC!A5:A111"")),"""")"),"")</f>
        <v/>
      </c>
      <c r="W9" s="14" t="str">
        <f>IFERROR(__xludf.DUMMYFUNCTION("IFNA(FILTER(IMPORTRANGE(""https://docs.google.com/spreadsheets/d/1kGrh75X1cNR1D7_FcY9zMnHP8iPO4M5RCRjy6nZY0TY/edit#gid=1248694442"",""Table 3: 1st-line HC!AG5:AG111""), $A9=IMPORTRANGE(""https://docs.google.com/spreadsheets/d/1kGrh75X1cNR1D7_FcY9zMnHP8iPO"&amp;"4M5RCRjy6nZY0TY/edit#gid=1248694442"",""Table 3: 1st-line HC!A5:A111"")),"""")"),"")</f>
        <v/>
      </c>
      <c r="X9" s="14" t="str">
        <f>IFERROR(__xludf.DUMMYFUNCTION("IFNA(FILTER(IMPORTRANGE(""https://docs.google.com/spreadsheets/d/1kGrh75X1cNR1D7_FcY9zMnHP8iPO4M5RCRjy6nZY0TY/edit#gid=1248694442"",""Table 3: 1st-line HC!AI5:AI111""), $A9=IMPORTRANGE(""https://docs.google.com/spreadsheets/d/1kGrh75X1cNR1D7_FcY9zMnHP8iPO"&amp;"4M5RCRjy6nZY0TY/edit#gid=1248694442"",""Table 3: 1st-line HC!A5:A111"")),"""")"),"")</f>
        <v/>
      </c>
    </row>
    <row r="10">
      <c r="A10" s="4" t="str">
        <f>IFERROR(__xludf.DUMMYFUNCTION("""COMPUTED_VALUE"""),"ID 14")</f>
        <v>ID 14</v>
      </c>
      <c r="B10" s="14" t="str">
        <f>IFERROR(__xludf.DUMMYFUNCTION("IFNA(FILTER(IMPORTRANGE(""https://docs.google.com/spreadsheets/d/1kGrh75X1cNR1D7_FcY9zMnHP8iPO4M5RCRjy6nZY0TY/edit#gid=1248694442"",""Table 2: MMC!D5:D114""), $A10=IMPORTRANGE(""https://docs.google.com/spreadsheets/d/1kGrh75X1cNR1D7_FcY9zMnHP8iPO4M5RCRjy6"&amp;"nZY0TY/edit#gid=1248694442"",""Table 2: MMC!A5:A114"")),"""")"),"")</f>
        <v/>
      </c>
      <c r="C10" s="14" t="str">
        <f>IFERROR(__xludf.DUMMYFUNCTION("IFNA(FILTER(IMPORTRANGE(""https://docs.google.com/spreadsheets/d/1kGrh75X1cNR1D7_FcY9zMnHP8iPO4M5RCRjy6nZY0TY/edit#gid=1248694442"",""Table 2: MMC!E5:E114""), $A10=IMPORTRANGE(""https://docs.google.com/spreadsheets/d/1kGrh75X1cNR1D7_FcY9zMnHP8iPO4M5RCRjy6"&amp;"nZY0TY/edit#gid=1248694442"",""Table 2: MMC!A5:A114"")),"""")"),"")</f>
        <v/>
      </c>
      <c r="D10" s="14" t="str">
        <f>IFERROR(__xludf.DUMMYFUNCTION("IFNA(FILTER(IMPORTRANGE(""https://docs.google.com/spreadsheets/d/1kGrh75X1cNR1D7_FcY9zMnHP8iPO4M5RCRjy6nZY0TY/edit#gid=1248694442"",""Table 2: MMC!F5:F114""), $A10=IMPORTRANGE(""https://docs.google.com/spreadsheets/d/1kGrh75X1cNR1D7_FcY9zMnHP8iPO4M5RCRjy6"&amp;"nZY0TY/edit#gid=1248694442"",""Table 2: MMC!A5:A114"")),"""")"),"")</f>
        <v/>
      </c>
      <c r="E10" s="14" t="str">
        <f>IFERROR(__xludf.DUMMYFUNCTION("IFNA(FILTER(IMPORTRANGE(""https://docs.google.com/spreadsheets/d/1kGrh75X1cNR1D7_FcY9zMnHP8iPO4M5RCRjy6nZY0TY/edit#gid=1248694442"",""Table 2: MMC!G5:G114""), $A10=IMPORTRANGE(""https://docs.google.com/spreadsheets/d/1kGrh75X1cNR1D7_FcY9zMnHP8iPO4M5RCRjy6"&amp;"nZY0TY/edit#gid=1248694442"",""Table 2: MMC!A5:A114"")),"""")"),"")</f>
        <v/>
      </c>
      <c r="F10" s="14" t="str">
        <f>IFERROR(__xludf.DUMMYFUNCTION("IFNA(FILTER(IMPORTRANGE(""https://docs.google.com/spreadsheets/d/1kGrh75X1cNR1D7_FcY9zMnHP8iPO4M5RCRjy6nZY0TY/edit#gid=1248694442"",""Table 2: MMC!H5:H114""), $A10=IMPORTRANGE(""https://docs.google.com/spreadsheets/d/1kGrh75X1cNR1D7_FcY9zMnHP8iPO4M5RCRjy6"&amp;"nZY0TY/edit#gid=1248694442"",""Table 2: MMC!A5:A114"")),"""")"),"")</f>
        <v/>
      </c>
      <c r="G10" s="14" t="str">
        <f>IFERROR(__xludf.DUMMYFUNCTION("IFNA(FILTER(IMPORTRANGE(""https://docs.google.com/spreadsheets/d/1kGrh75X1cNR1D7_FcY9zMnHP8iPO4M5RCRjy6nZY0TY/edit#gid=1248694442"",""Table 2: MMC!I5:I114""), $A10=IMPORTRANGE(""https://docs.google.com/spreadsheets/d/1kGrh75X1cNR1D7_FcY9zMnHP8iPO4M5RCRjy6"&amp;"nZY0TY/edit#gid=1248694442"",""Table 2: MMC!A5:A114"")),"""")"),"")</f>
        <v/>
      </c>
      <c r="H10" s="14" t="str">
        <f>IFERROR(__xludf.DUMMYFUNCTION("IFNA(FILTER(IMPORTRANGE(""https://docs.google.com/spreadsheets/d/1kGrh75X1cNR1D7_FcY9zMnHP8iPO4M5RCRjy6nZY0TY/edit#gid=1248694442"",""Table 2: MMC!J5:J114""), $A10=IMPORTRANGE(""https://docs.google.com/spreadsheets/d/1kGrh75X1cNR1D7_FcY9zMnHP8iPO4M5RCRjy6"&amp;"nZY0TY/edit#gid=1248694442"",""Table 2: MMC!A5:A114"")),"""")"),"post-natal")</f>
        <v>post-natal</v>
      </c>
      <c r="I10" s="14">
        <f>IFERROR(__xludf.DUMMYFUNCTION("IFNA(FILTER(IMPORTRANGE(""https://docs.google.com/spreadsheets/d/1kGrh75X1cNR1D7_FcY9zMnHP8iPO4M5RCRjy6nZY0TY/edit#gid=1248694442"",""Table 2: MMC!M5:M114""), $A10=IMPORTRANGE(""https://docs.google.com/spreadsheets/d/1kGrh75X1cNR1D7_FcY9zMnHP8iPO4M5RCRjy6"&amp;"nZY0TY/edit#gid=1248694442"",""Table 2: MMC!A5:A114"")),"""")"),45.0)</f>
        <v>45</v>
      </c>
      <c r="J10" s="14" t="str">
        <f>IFERROR(__xludf.DUMMYFUNCTION("IFNA(FILTER(IMPORTRANGE(""https://docs.google.com/spreadsheets/d/1kGrh75X1cNR1D7_FcY9zMnHP8iPO4M5RCRjy6nZY0TY/edit#gid=1248694442"",""Table 2: MMC!Q5:Q114""), $A10=IMPORTRANGE(""https://docs.google.com/spreadsheets/d/1kGrh75X1cNR1D7_FcY9zMnHP8iPO4M5RCRjy6"&amp;"nZY0TY/edit#gid=1248694442"",""Table 2: MMC!A5:A114"")),"""")"),"")</f>
        <v/>
      </c>
      <c r="K10" s="14" t="str">
        <f>IFERROR(__xludf.DUMMYFUNCTION("IFNA(FILTER(IMPORTRANGE(""https://docs.google.com/spreadsheets/d/1kGrh75X1cNR1D7_FcY9zMnHP8iPO4M5RCRjy6nZY0TY/edit#gid=1248694442"",""Table 2: MMC!R5:R114""), $A10=IMPORTRANGE(""https://docs.google.com/spreadsheets/d/1kGrh75X1cNR1D7_FcY9zMnHP8iPO4M5RCRjy6"&amp;"nZY0TY/edit#gid=1248694442"",""Table 2: MMC!A5:A114"")),"""")"),"")</f>
        <v/>
      </c>
      <c r="L10" s="14" t="str">
        <f>IFERROR(__xludf.DUMMYFUNCTION("IFNA(FILTER(IMPORTRANGE(""https://docs.google.com/spreadsheets/d/1kGrh75X1cNR1D7_FcY9zMnHP8iPO4M5RCRjy6nZY0TY/edit#gid=1248694442"",""Table 2: MMC!S5:S114""), $A10=IMPORTRANGE(""https://docs.google.com/spreadsheets/d/1kGrh75X1cNR1D7_FcY9zMnHP8iPO4M5RCRjy6"&amp;"nZY0TY/edit#gid=1248694442"",""Table 2: MMC!A5:A114"")),"""")"),"None reported")</f>
        <v>None reported</v>
      </c>
      <c r="M10" s="14" t="str">
        <f>IFERROR(__xludf.DUMMYFUNCTION("IFNA(FILTER(IMPORTRANGE(""https://docs.google.com/spreadsheets/d/1kGrh75X1cNR1D7_FcY9zMnHP8iPO4M5RCRjy6nZY0TY/edit#gid=1248694442"",""Table 3: 1st-line HC!D5:D111""), $A10=IMPORTRANGE(""https://docs.google.com/spreadsheets/d/1kGrh75X1cNR1D7_FcY9zMnHP8iPO4"&amp;"M5RCRjy6nZY0TY/edit#gid=1248694442"",""Table 3: 1st-line HC!A5:A111"")),"""")"),"")</f>
        <v/>
      </c>
      <c r="N10" s="14" t="str">
        <f>IFERROR(__xludf.DUMMYFUNCTION("IFNA(FILTER(IMPORTRANGE(""https://docs.google.com/spreadsheets/d/1kGrh75X1cNR1D7_FcY9zMnHP8iPO4M5RCRjy6nZY0TY/edit#gid=1248694442"",""Table 3: 1st-line HC!E5:E111""), $A10=IMPORTRANGE(""https://docs.google.com/spreadsheets/d/1kGrh75X1cNR1D7_FcY9zMnHP8iPO4"&amp;"M5RCRjy6nZY0TY/edit#gid=1248694442"",""Table 3: 1st-line HC!A5:A111"")),"""")"),"")</f>
        <v/>
      </c>
      <c r="O10" s="14" t="str">
        <f>IFERROR(__xludf.DUMMYFUNCTION("IFNA(FILTER(IMPORTRANGE(""https://docs.google.com/spreadsheets/d/1kGrh75X1cNR1D7_FcY9zMnHP8iPO4M5RCRjy6nZY0TY/edit#gid=1248694442"",""Table 3: 1st-line HC!K5:K111""), $A10=IMPORTRANGE(""https://docs.google.com/spreadsheets/d/1kGrh75X1cNR1D7_FcY9zMnHP8iPO4"&amp;"M5RCRjy6nZY0TY/edit#gid=1248694442"",""Table 3: 1st-line HC!A5:A111"")),"""")"),"")</f>
        <v/>
      </c>
      <c r="P10" s="14" t="str">
        <f>IFERROR(__xludf.DUMMYFUNCTION("IFNA(FILTER(IMPORTRANGE(""https://docs.google.com/spreadsheets/d/1kGrh75X1cNR1D7_FcY9zMnHP8iPO4M5RCRjy6nZY0TY/edit#gid=1248694442"",""Table 3: 1st-line HC!L5:L111""), $A10=IMPORTRANGE(""https://docs.google.com/spreadsheets/d/1kGrh75X1cNR1D7_FcY9zMnHP8iPO4"&amp;"M5RCRjy6nZY0TY/edit#gid=1248694442"",""Table 3: 1st-line HC!A5:A111"")),"""")"),"")</f>
        <v/>
      </c>
      <c r="Q10" s="14" t="str">
        <f>IFERROR(__xludf.DUMMYFUNCTION("IFNA(FILTER(IMPORTRANGE(""https://docs.google.com/spreadsheets/d/1kGrh75X1cNR1D7_FcY9zMnHP8iPO4M5RCRjy6nZY0TY/edit#gid=1248694442"",""Table 3: 1st-line HC!M5:M111""), $A10=IMPORTRANGE(""https://docs.google.com/spreadsheets/d/1kGrh75X1cNR1D7_FcY9zMnHP8iPO4"&amp;"M5RCRjy6nZY0TY/edit#gid=1248694442"",""Table 3: 1st-line HC!A5:A111"")),"""")"),"")</f>
        <v/>
      </c>
      <c r="R10" s="14" t="str">
        <f>IFERROR(__xludf.DUMMYFUNCTION("IFNA(FILTER(IMPORTRANGE(""https://docs.google.com/spreadsheets/d/1kGrh75X1cNR1D7_FcY9zMnHP8iPO4M5RCRjy6nZY0TY/edit#gid=1248694442"",""Table 3: 1st-line HC!N5:N111""), $A10=IMPORTRANGE(""https://docs.google.com/spreadsheets/d/1kGrh75X1cNR1D7_FcY9zMnHP8iPO4"&amp;"M5RCRjy6nZY0TY/edit#gid=1248694442"",""Table 3: 1st-line HC!A5:A111"")),"""")"),"")</f>
        <v/>
      </c>
      <c r="S10" s="14" t="str">
        <f>IFERROR(__xludf.DUMMYFUNCTION("IFNA(FILTER(IMPORTRANGE(""https://docs.google.com/spreadsheets/d/1kGrh75X1cNR1D7_FcY9zMnHP8iPO4M5RCRjy6nZY0TY/edit#gid=1248694442"",""Table 3: 1st-line HC!T5:T111""), $A10=IMPORTRANGE(""https://docs.google.com/spreadsheets/d/1kGrh75X1cNR1D7_FcY9zMnHP8iPO4"&amp;"M5RCRjy6nZY0TY/edit#gid=1248694442"",""Table 3: 1st-line HC!A5:A111"")),"""")"),"")</f>
        <v/>
      </c>
      <c r="T10" s="14" t="str">
        <f>IFERROR(__xludf.DUMMYFUNCTION("IFNA(FILTER(IMPORTRANGE(""https://docs.google.com/spreadsheets/d/1kGrh75X1cNR1D7_FcY9zMnHP8iPO4M5RCRjy6nZY0TY/edit#gid=1248694442"",""Table 3: 1st-line HC!U5:U111""), $A10=IMPORTRANGE(""https://docs.google.com/spreadsheets/d/1kGrh75X1cNR1D7_FcY9zMnHP8iPO4"&amp;"M5RCRjy6nZY0TY/edit#gid=1248694442"",""Table 3: 1st-line HC!A5:A111"")),"""")"),"")</f>
        <v/>
      </c>
      <c r="U10" s="14" t="str">
        <f>IFERROR(__xludf.DUMMYFUNCTION("IFNA(FILTER(IMPORTRANGE(""https://docs.google.com/spreadsheets/d/1kGrh75X1cNR1D7_FcY9zMnHP8iPO4M5RCRjy6nZY0TY/edit#gid=1248694442"",""Table 3: 1st-line HC!V5:V111""), $A10=IMPORTRANGE(""https://docs.google.com/spreadsheets/d/1kGrh75X1cNR1D7_FcY9zMnHP8iPO4"&amp;"M5RCRjy6nZY0TY/edit#gid=1248694442"",""Table 3: 1st-line HC!A5:A111"")),"""")"),"")</f>
        <v/>
      </c>
      <c r="V10" s="14" t="str">
        <f>IFERROR(__xludf.DUMMYFUNCTION("IFNA(FILTER(IMPORTRANGE(""https://docs.google.com/spreadsheets/d/1kGrh75X1cNR1D7_FcY9zMnHP8iPO4M5RCRjy6nZY0TY/edit#gid=1248694442"",""Table 3: 1st-line HC!AE5:AE111""), $A10=IMPORTRANGE(""https://docs.google.com/spreadsheets/d/1kGrh75X1cNR1D7_FcY9zMnHP8iP"&amp;"O4M5RCRjy6nZY0TY/edit#gid=1248694442"",""Table 3: 1st-line HC!A5:A111"")),"""")"),"")</f>
        <v/>
      </c>
      <c r="W10" s="14" t="str">
        <f>IFERROR(__xludf.DUMMYFUNCTION("IFNA(FILTER(IMPORTRANGE(""https://docs.google.com/spreadsheets/d/1kGrh75X1cNR1D7_FcY9zMnHP8iPO4M5RCRjy6nZY0TY/edit#gid=1248694442"",""Table 3: 1st-line HC!AG5:AG111""), $A10=IMPORTRANGE(""https://docs.google.com/spreadsheets/d/1kGrh75X1cNR1D7_FcY9zMnHP8iP"&amp;"O4M5RCRjy6nZY0TY/edit#gid=1248694442"",""Table 3: 1st-line HC!A5:A111"")),"""")"),"")</f>
        <v/>
      </c>
      <c r="X10" s="14" t="str">
        <f>IFERROR(__xludf.DUMMYFUNCTION("IFNA(FILTER(IMPORTRANGE(""https://docs.google.com/spreadsheets/d/1kGrh75X1cNR1D7_FcY9zMnHP8iPO4M5RCRjy6nZY0TY/edit#gid=1248694442"",""Table 3: 1st-line HC!AI5:AI111""), $A10=IMPORTRANGE(""https://docs.google.com/spreadsheets/d/1kGrh75X1cNR1D7_FcY9zMnHP8iP"&amp;"O4M5RCRjy6nZY0TY/edit#gid=1248694442"",""Table 3: 1st-line HC!A5:A111"")),"""")"),"")</f>
        <v/>
      </c>
    </row>
    <row r="11">
      <c r="A11" s="4" t="str">
        <f>IFERROR(__xludf.DUMMYFUNCTION("""COMPUTED_VALUE"""),"ID 15")</f>
        <v>ID 15</v>
      </c>
      <c r="B11" s="14" t="str">
        <f>IFERROR(__xludf.DUMMYFUNCTION("IFNA(FILTER(IMPORTRANGE(""https://docs.google.com/spreadsheets/d/1kGrh75X1cNR1D7_FcY9zMnHP8iPO4M5RCRjy6nZY0TY/edit#gid=1248694442"",""Table 2: MMC!D5:D114""), $A11=IMPORTRANGE(""https://docs.google.com/spreadsheets/d/1kGrh75X1cNR1D7_FcY9zMnHP8iPO4M5RCRjy6"&amp;"nZY0TY/edit#gid=1248694442"",""Table 2: MMC!A5:A114"")),"""")"),"")</f>
        <v/>
      </c>
      <c r="C11" s="14" t="str">
        <f>IFERROR(__xludf.DUMMYFUNCTION("IFNA(FILTER(IMPORTRANGE(""https://docs.google.com/spreadsheets/d/1kGrh75X1cNR1D7_FcY9zMnHP8iPO4M5RCRjy6nZY0TY/edit#gid=1248694442"",""Table 2: MMC!E5:E114""), $A11=IMPORTRANGE(""https://docs.google.com/spreadsheets/d/1kGrh75X1cNR1D7_FcY9zMnHP8iPO4M5RCRjy6"&amp;"nZY0TY/edit#gid=1248694442"",""Table 2: MMC!A5:A114"")),"""")"),"")</f>
        <v/>
      </c>
      <c r="D11" s="14" t="str">
        <f>IFERROR(__xludf.DUMMYFUNCTION("IFNA(FILTER(IMPORTRANGE(""https://docs.google.com/spreadsheets/d/1kGrh75X1cNR1D7_FcY9zMnHP8iPO4M5RCRjy6nZY0TY/edit#gid=1248694442"",""Table 2: MMC!F5:F114""), $A11=IMPORTRANGE(""https://docs.google.com/spreadsheets/d/1kGrh75X1cNR1D7_FcY9zMnHP8iPO4M5RCRjy6"&amp;"nZY0TY/edit#gid=1248694442"",""Table 2: MMC!A5:A114"")),"""")"),"")</f>
        <v/>
      </c>
      <c r="E11" s="14" t="str">
        <f>IFERROR(__xludf.DUMMYFUNCTION("IFNA(FILTER(IMPORTRANGE(""https://docs.google.com/spreadsheets/d/1kGrh75X1cNR1D7_FcY9zMnHP8iPO4M5RCRjy6nZY0TY/edit#gid=1248694442"",""Table 2: MMC!G5:G114""), $A11=IMPORTRANGE(""https://docs.google.com/spreadsheets/d/1kGrh75X1cNR1D7_FcY9zMnHP8iPO4M5RCRjy6"&amp;"nZY0TY/edit#gid=1248694442"",""Table 2: MMC!A5:A114"")),"""")"),"")</f>
        <v/>
      </c>
      <c r="F11" s="14" t="str">
        <f>IFERROR(__xludf.DUMMYFUNCTION("IFNA(FILTER(IMPORTRANGE(""https://docs.google.com/spreadsheets/d/1kGrh75X1cNR1D7_FcY9zMnHP8iPO4M5RCRjy6nZY0TY/edit#gid=1248694442"",""Table 2: MMC!H5:H114""), $A11=IMPORTRANGE(""https://docs.google.com/spreadsheets/d/1kGrh75X1cNR1D7_FcY9zMnHP8iPO4M5RCRjy6"&amp;"nZY0TY/edit#gid=1248694442"",""Table 2: MMC!A5:A114"")),"""")"),"")</f>
        <v/>
      </c>
      <c r="G11" s="14" t="str">
        <f>IFERROR(__xludf.DUMMYFUNCTION("IFNA(FILTER(IMPORTRANGE(""https://docs.google.com/spreadsheets/d/1kGrh75X1cNR1D7_FcY9zMnHP8iPO4M5RCRjy6nZY0TY/edit#gid=1248694442"",""Table 2: MMC!I5:I114""), $A11=IMPORTRANGE(""https://docs.google.com/spreadsheets/d/1kGrh75X1cNR1D7_FcY9zMnHP8iPO4M5RCRjy6"&amp;"nZY0TY/edit#gid=1248694442"",""Table 2: MMC!A5:A114"")),"""")"),"")</f>
        <v/>
      </c>
      <c r="H11" s="14" t="str">
        <f>IFERROR(__xludf.DUMMYFUNCTION("IFNA(FILTER(IMPORTRANGE(""https://docs.google.com/spreadsheets/d/1kGrh75X1cNR1D7_FcY9zMnHP8iPO4M5RCRjy6nZY0TY/edit#gid=1248694442"",""Table 2: MMC!J5:J114""), $A11=IMPORTRANGE(""https://docs.google.com/spreadsheets/d/1kGrh75X1cNR1D7_FcY9zMnHP8iPO4M5RCRjy6"&amp;"nZY0TY/edit#gid=1248694442"",""Table 2: MMC!A5:A114"")),"""")"),"post-natal")</f>
        <v>post-natal</v>
      </c>
      <c r="I11" s="14">
        <f>IFERROR(__xludf.DUMMYFUNCTION("IFNA(FILTER(IMPORTRANGE(""https://docs.google.com/spreadsheets/d/1kGrh75X1cNR1D7_FcY9zMnHP8iPO4M5RCRjy6nZY0TY/edit#gid=1248694442"",""Table 2: MMC!M5:M114""), $A11=IMPORTRANGE(""https://docs.google.com/spreadsheets/d/1kGrh75X1cNR1D7_FcY9zMnHP8iPO4M5RCRjy6"&amp;"nZY0TY/edit#gid=1248694442"",""Table 2: MMC!A5:A114"")),"""")"),7.5)</f>
        <v>7.5</v>
      </c>
      <c r="J11" s="14" t="str">
        <f>IFERROR(__xludf.DUMMYFUNCTION("IFNA(FILTER(IMPORTRANGE(""https://docs.google.com/spreadsheets/d/1kGrh75X1cNR1D7_FcY9zMnHP8iPO4M5RCRjy6nZY0TY/edit#gid=1248694442"",""Table 2: MMC!Q5:Q114""), $A11=IMPORTRANGE(""https://docs.google.com/spreadsheets/d/1kGrh75X1cNR1D7_FcY9zMnHP8iPO4M5RCRjy6"&amp;"nZY0TY/edit#gid=1248694442"",""Table 2: MMC!A5:A114"")),"""")"),"")</f>
        <v/>
      </c>
      <c r="K11" s="14" t="str">
        <f>IFERROR(__xludf.DUMMYFUNCTION("IFNA(FILTER(IMPORTRANGE(""https://docs.google.com/spreadsheets/d/1kGrh75X1cNR1D7_FcY9zMnHP8iPO4M5RCRjy6nZY0TY/edit#gid=1248694442"",""Table 2: MMC!R5:R114""), $A11=IMPORTRANGE(""https://docs.google.com/spreadsheets/d/1kGrh75X1cNR1D7_FcY9zMnHP8iPO4M5RCRjy6"&amp;"nZY0TY/edit#gid=1248694442"",""Table 2: MMC!A5:A114"")),"""")"),"")</f>
        <v/>
      </c>
      <c r="L11" s="14" t="str">
        <f>IFERROR(__xludf.DUMMYFUNCTION("IFNA(FILTER(IMPORTRANGE(""https://docs.google.com/spreadsheets/d/1kGrh75X1cNR1D7_FcY9zMnHP8iPO4M5RCRjy6nZY0TY/edit#gid=1248694442"",""Table 2: MMC!S5:S114""), $A11=IMPORTRANGE(""https://docs.google.com/spreadsheets/d/1kGrh75X1cNR1D7_FcY9zMnHP8iPO4M5RCRjy6"&amp;"nZY0TY/edit#gid=1248694442"",""Table 2: MMC!A5:A114"")),"""")"),"None reported")</f>
        <v>None reported</v>
      </c>
      <c r="M11" s="14" t="str">
        <f>IFERROR(__xludf.DUMMYFUNCTION("IFNA(FILTER(IMPORTRANGE(""https://docs.google.com/spreadsheets/d/1kGrh75X1cNR1D7_FcY9zMnHP8iPO4M5RCRjy6nZY0TY/edit#gid=1248694442"",""Table 3: 1st-line HC!D5:D111""), $A11=IMPORTRANGE(""https://docs.google.com/spreadsheets/d/1kGrh75X1cNR1D7_FcY9zMnHP8iPO4"&amp;"M5RCRjy6nZY0TY/edit#gid=1248694442"",""Table 3: 1st-line HC!A5:A111"")),"""")"),"")</f>
        <v/>
      </c>
      <c r="N11" s="14">
        <f>IFERROR(__xludf.DUMMYFUNCTION("IFNA(FILTER(IMPORTRANGE(""https://docs.google.com/spreadsheets/d/1kGrh75X1cNR1D7_FcY9zMnHP8iPO4M5RCRjy6nZY0TY/edit#gid=1248694442"",""Table 3: 1st-line HC!E5:E111""), $A11=IMPORTRANGE(""https://docs.google.com/spreadsheets/d/1kGrh75X1cNR1D7_FcY9zMnHP8iPO4"&amp;"M5RCRjy6nZY0TY/edit#gid=1248694442"",""Table 3: 1st-line HC!A5:A111"")),"""")"),7.5)</f>
        <v>7.5</v>
      </c>
      <c r="O11" s="14" t="str">
        <f>IFERROR(__xludf.DUMMYFUNCTION("IFNA(FILTER(IMPORTRANGE(""https://docs.google.com/spreadsheets/d/1kGrh75X1cNR1D7_FcY9zMnHP8iPO4M5RCRjy6nZY0TY/edit#gid=1248694442"",""Table 3: 1st-line HC!K5:K111""), $A11=IMPORTRANGE(""https://docs.google.com/spreadsheets/d/1kGrh75X1cNR1D7_FcY9zMnHP8iPO4"&amp;"M5RCRjy6nZY0TY/edit#gid=1248694442"",""Table 3: 1st-line HC!A5:A111"")),"""")"),"")</f>
        <v/>
      </c>
      <c r="P11" s="14" t="str">
        <f>IFERROR(__xludf.DUMMYFUNCTION("IFNA(FILTER(IMPORTRANGE(""https://docs.google.com/spreadsheets/d/1kGrh75X1cNR1D7_FcY9zMnHP8iPO4M5RCRjy6nZY0TY/edit#gid=1248694442"",""Table 3: 1st-line HC!L5:L111""), $A11=IMPORTRANGE(""https://docs.google.com/spreadsheets/d/1kGrh75X1cNR1D7_FcY9zMnHP8iPO4"&amp;"M5RCRjy6nZY0TY/edit#gid=1248694442"",""Table 3: 1st-line HC!A5:A111"")),"""")"),"")</f>
        <v/>
      </c>
      <c r="Q11" s="14" t="str">
        <f>IFERROR(__xludf.DUMMYFUNCTION("IFNA(FILTER(IMPORTRANGE(""https://docs.google.com/spreadsheets/d/1kGrh75X1cNR1D7_FcY9zMnHP8iPO4M5RCRjy6nZY0TY/edit#gid=1248694442"",""Table 3: 1st-line HC!M5:M111""), $A11=IMPORTRANGE(""https://docs.google.com/spreadsheets/d/1kGrh75X1cNR1D7_FcY9zMnHP8iPO4"&amp;"M5RCRjy6nZY0TY/edit#gid=1248694442"",""Table 3: 1st-line HC!A5:A111"")),"""")"),"")</f>
        <v/>
      </c>
      <c r="R11" s="14" t="str">
        <f>IFERROR(__xludf.DUMMYFUNCTION("IFNA(FILTER(IMPORTRANGE(""https://docs.google.com/spreadsheets/d/1kGrh75X1cNR1D7_FcY9zMnHP8iPO4M5RCRjy6nZY0TY/edit#gid=1248694442"",""Table 3: 1st-line HC!N5:N111""), $A11=IMPORTRANGE(""https://docs.google.com/spreadsheets/d/1kGrh75X1cNR1D7_FcY9zMnHP8iPO4"&amp;"M5RCRjy6nZY0TY/edit#gid=1248694442"",""Table 3: 1st-line HC!A5:A111"")),"""")"),"")</f>
        <v/>
      </c>
      <c r="S11" s="14" t="str">
        <f>IFERROR(__xludf.DUMMYFUNCTION("IFNA(FILTER(IMPORTRANGE(""https://docs.google.com/spreadsheets/d/1kGrh75X1cNR1D7_FcY9zMnHP8iPO4M5RCRjy6nZY0TY/edit#gid=1248694442"",""Table 3: 1st-line HC!T5:T111""), $A11=IMPORTRANGE(""https://docs.google.com/spreadsheets/d/1kGrh75X1cNR1D7_FcY9zMnHP8iPO4"&amp;"M5RCRjy6nZY0TY/edit#gid=1248694442"",""Table 3: 1st-line HC!A5:A111"")),"""")"),"")</f>
        <v/>
      </c>
      <c r="T11" s="14" t="str">
        <f>IFERROR(__xludf.DUMMYFUNCTION("IFNA(FILTER(IMPORTRANGE(""https://docs.google.com/spreadsheets/d/1kGrh75X1cNR1D7_FcY9zMnHP8iPO4M5RCRjy6nZY0TY/edit#gid=1248694442"",""Table 3: 1st-line HC!U5:U111""), $A11=IMPORTRANGE(""https://docs.google.com/spreadsheets/d/1kGrh75X1cNR1D7_FcY9zMnHP8iPO4"&amp;"M5RCRjy6nZY0TY/edit#gid=1248694442"",""Table 3: 1st-line HC!A5:A111"")),"""")"),"")</f>
        <v/>
      </c>
      <c r="U11" s="14" t="str">
        <f>IFERROR(__xludf.DUMMYFUNCTION("IFNA(FILTER(IMPORTRANGE(""https://docs.google.com/spreadsheets/d/1kGrh75X1cNR1D7_FcY9zMnHP8iPO4M5RCRjy6nZY0TY/edit#gid=1248694442"",""Table 3: 1st-line HC!V5:V111""), $A11=IMPORTRANGE(""https://docs.google.com/spreadsheets/d/1kGrh75X1cNR1D7_FcY9zMnHP8iPO4"&amp;"M5RCRjy6nZY0TY/edit#gid=1248694442"",""Table 3: 1st-line HC!A5:A111"")),"""")"),"")</f>
        <v/>
      </c>
      <c r="V11" s="14" t="str">
        <f>IFERROR(__xludf.DUMMYFUNCTION("IFNA(FILTER(IMPORTRANGE(""https://docs.google.com/spreadsheets/d/1kGrh75X1cNR1D7_FcY9zMnHP8iPO4M5RCRjy6nZY0TY/edit#gid=1248694442"",""Table 3: 1st-line HC!AE5:AE111""), $A11=IMPORTRANGE(""https://docs.google.com/spreadsheets/d/1kGrh75X1cNR1D7_FcY9zMnHP8iP"&amp;"O4M5RCRjy6nZY0TY/edit#gid=1248694442"",""Table 3: 1st-line HC!A5:A111"")),"""")"),"")</f>
        <v/>
      </c>
      <c r="W11" s="14" t="str">
        <f>IFERROR(__xludf.DUMMYFUNCTION("IFNA(FILTER(IMPORTRANGE(""https://docs.google.com/spreadsheets/d/1kGrh75X1cNR1D7_FcY9zMnHP8iPO4M5RCRjy6nZY0TY/edit#gid=1248694442"",""Table 3: 1st-line HC!AG5:AG111""), $A11=IMPORTRANGE(""https://docs.google.com/spreadsheets/d/1kGrh75X1cNR1D7_FcY9zMnHP8iP"&amp;"O4M5RCRjy6nZY0TY/edit#gid=1248694442"",""Table 3: 1st-line HC!A5:A111"")),"""")"),"")</f>
        <v/>
      </c>
      <c r="X11" s="14" t="str">
        <f>IFERROR(__xludf.DUMMYFUNCTION("IFNA(FILTER(IMPORTRANGE(""https://docs.google.com/spreadsheets/d/1kGrh75X1cNR1D7_FcY9zMnHP8iPO4M5RCRjy6nZY0TY/edit#gid=1248694442"",""Table 3: 1st-line HC!AI5:AI111""), $A11=IMPORTRANGE(""https://docs.google.com/spreadsheets/d/1kGrh75X1cNR1D7_FcY9zMnHP8iP"&amp;"O4M5RCRjy6nZY0TY/edit#gid=1248694442"",""Table 3: 1st-line HC!A5:A111"")),"""")"),"")</f>
        <v/>
      </c>
    </row>
    <row r="12">
      <c r="A12" s="4" t="str">
        <f>IFERROR(__xludf.DUMMYFUNCTION("""COMPUTED_VALUE"""),"ID 18")</f>
        <v>ID 18</v>
      </c>
      <c r="B12" s="14" t="str">
        <f>IFERROR(__xludf.DUMMYFUNCTION("IFNA(FILTER(IMPORTRANGE(""https://docs.google.com/spreadsheets/d/1kGrh75X1cNR1D7_FcY9zMnHP8iPO4M5RCRjy6nZY0TY/edit#gid=1248694442"",""Table 2: MMC!D5:D114""), $A12=IMPORTRANGE(""https://docs.google.com/spreadsheets/d/1kGrh75X1cNR1D7_FcY9zMnHP8iPO4M5RCRjy6"&amp;"nZY0TY/edit#gid=1248694442"",""Table 2: MMC!A5:A114"")),"""")"),"")</f>
        <v/>
      </c>
      <c r="C12" s="14" t="str">
        <f>IFERROR(__xludf.DUMMYFUNCTION("IFNA(FILTER(IMPORTRANGE(""https://docs.google.com/spreadsheets/d/1kGrh75X1cNR1D7_FcY9zMnHP8iPO4M5RCRjy6nZY0TY/edit#gid=1248694442"",""Table 2: MMC!E5:E114""), $A12=IMPORTRANGE(""https://docs.google.com/spreadsheets/d/1kGrh75X1cNR1D7_FcY9zMnHP8iPO4M5RCRjy6"&amp;"nZY0TY/edit#gid=1248694442"",""Table 2: MMC!A5:A114"")),"""")"),"")</f>
        <v/>
      </c>
      <c r="D12" s="14" t="str">
        <f>IFERROR(__xludf.DUMMYFUNCTION("IFNA(FILTER(IMPORTRANGE(""https://docs.google.com/spreadsheets/d/1kGrh75X1cNR1D7_FcY9zMnHP8iPO4M5RCRjy6nZY0TY/edit#gid=1248694442"",""Table 2: MMC!F5:F114""), $A12=IMPORTRANGE(""https://docs.google.com/spreadsheets/d/1kGrh75X1cNR1D7_FcY9zMnHP8iPO4M5RCRjy6"&amp;"nZY0TY/edit#gid=1248694442"",""Table 2: MMC!A5:A114"")),"""")"),"")</f>
        <v/>
      </c>
      <c r="E12" s="14" t="str">
        <f>IFERROR(__xludf.DUMMYFUNCTION("IFNA(FILTER(IMPORTRANGE(""https://docs.google.com/spreadsheets/d/1kGrh75X1cNR1D7_FcY9zMnHP8iPO4M5RCRjy6nZY0TY/edit#gid=1248694442"",""Table 2: MMC!G5:G114""), $A12=IMPORTRANGE(""https://docs.google.com/spreadsheets/d/1kGrh75X1cNR1D7_FcY9zMnHP8iPO4M5RCRjy6"&amp;"nZY0TY/edit#gid=1248694442"",""Table 2: MMC!A5:A114"")),"""")"),"")</f>
        <v/>
      </c>
      <c r="F12" s="14" t="str">
        <f>IFERROR(__xludf.DUMMYFUNCTION("IFNA(FILTER(IMPORTRANGE(""https://docs.google.com/spreadsheets/d/1kGrh75X1cNR1D7_FcY9zMnHP8iPO4M5RCRjy6nZY0TY/edit#gid=1248694442"",""Table 2: MMC!H5:H114""), $A12=IMPORTRANGE(""https://docs.google.com/spreadsheets/d/1kGrh75X1cNR1D7_FcY9zMnHP8iPO4M5RCRjy6"&amp;"nZY0TY/edit#gid=1248694442"",""Table 2: MMC!A5:A114"")),"""")"),"")</f>
        <v/>
      </c>
      <c r="G12" s="14" t="str">
        <f>IFERROR(__xludf.DUMMYFUNCTION("IFNA(FILTER(IMPORTRANGE(""https://docs.google.com/spreadsheets/d/1kGrh75X1cNR1D7_FcY9zMnHP8iPO4M5RCRjy6nZY0TY/edit#gid=1248694442"",""Table 2: MMC!I5:I114""), $A12=IMPORTRANGE(""https://docs.google.com/spreadsheets/d/1kGrh75X1cNR1D7_FcY9zMnHP8iPO4M5RCRjy6"&amp;"nZY0TY/edit#gid=1248694442"",""Table 2: MMC!A5:A114"")),"""")"),"")</f>
        <v/>
      </c>
      <c r="H12" s="14" t="str">
        <f>IFERROR(__xludf.DUMMYFUNCTION("IFNA(FILTER(IMPORTRANGE(""https://docs.google.com/spreadsheets/d/1kGrh75X1cNR1D7_FcY9zMnHP8iPO4M5RCRjy6nZY0TY/edit#gid=1248694442"",""Table 2: MMC!J5:J114""), $A12=IMPORTRANGE(""https://docs.google.com/spreadsheets/d/1kGrh75X1cNR1D7_FcY9zMnHP8iPO4M5RCRjy6"&amp;"nZY0TY/edit#gid=1248694442"",""Table 2: MMC!A5:A114"")),"""")"),"")</f>
        <v/>
      </c>
      <c r="I12" s="14" t="str">
        <f>IFERROR(__xludf.DUMMYFUNCTION("IFNA(FILTER(IMPORTRANGE(""https://docs.google.com/spreadsheets/d/1kGrh75X1cNR1D7_FcY9zMnHP8iPO4M5RCRjy6nZY0TY/edit#gid=1248694442"",""Table 2: MMC!M5:M114""), $A12=IMPORTRANGE(""https://docs.google.com/spreadsheets/d/1kGrh75X1cNR1D7_FcY9zMnHP8iPO4M5RCRjy6"&amp;"nZY0TY/edit#gid=1248694442"",""Table 2: MMC!A5:A114"")),"""")"),"")</f>
        <v/>
      </c>
      <c r="J12" s="14" t="str">
        <f>IFERROR(__xludf.DUMMYFUNCTION("IFNA(FILTER(IMPORTRANGE(""https://docs.google.com/spreadsheets/d/1kGrh75X1cNR1D7_FcY9zMnHP8iPO4M5RCRjy6nZY0TY/edit#gid=1248694442"",""Table 2: MMC!Q5:Q114""), $A12=IMPORTRANGE(""https://docs.google.com/spreadsheets/d/1kGrh75X1cNR1D7_FcY9zMnHP8iPO4M5RCRjy6"&amp;"nZY0TY/edit#gid=1248694442"",""Table 2: MMC!A5:A114"")),"""")"),"")</f>
        <v/>
      </c>
      <c r="K12" s="14" t="str">
        <f>IFERROR(__xludf.DUMMYFUNCTION("IFNA(FILTER(IMPORTRANGE(""https://docs.google.com/spreadsheets/d/1kGrh75X1cNR1D7_FcY9zMnHP8iPO4M5RCRjy6nZY0TY/edit#gid=1248694442"",""Table 2: MMC!R5:R114""), $A12=IMPORTRANGE(""https://docs.google.com/spreadsheets/d/1kGrh75X1cNR1D7_FcY9zMnHP8iPO4M5RCRjy6"&amp;"nZY0TY/edit#gid=1248694442"",""Table 2: MMC!A5:A114"")),"""")"),"")</f>
        <v/>
      </c>
      <c r="L12" s="14" t="str">
        <f>IFERROR(__xludf.DUMMYFUNCTION("IFNA(FILTER(IMPORTRANGE(""https://docs.google.com/spreadsheets/d/1kGrh75X1cNR1D7_FcY9zMnHP8iPO4M5RCRjy6nZY0TY/edit#gid=1248694442"",""Table 2: MMC!S5:S114""), $A12=IMPORTRANGE(""https://docs.google.com/spreadsheets/d/1kGrh75X1cNR1D7_FcY9zMnHP8iPO4M5RCRjy6"&amp;"nZY0TY/edit#gid=1248694442"",""Table 2: MMC!A5:A114"")),"""")"),"")</f>
        <v/>
      </c>
      <c r="M12" s="14" t="str">
        <f>IFERROR(__xludf.DUMMYFUNCTION("IFNA(FILTER(IMPORTRANGE(""https://docs.google.com/spreadsheets/d/1kGrh75X1cNR1D7_FcY9zMnHP8iPO4M5RCRjy6nZY0TY/edit#gid=1248694442"",""Table 3: 1st-line HC!D5:D111""), $A12=IMPORTRANGE(""https://docs.google.com/spreadsheets/d/1kGrh75X1cNR1D7_FcY9zMnHP8iPO4"&amp;"M5RCRjy6nZY0TY/edit#gid=1248694442"",""Table 3: 1st-line HC!A5:A111"")),"""")"),"")</f>
        <v/>
      </c>
      <c r="N12" s="14" t="str">
        <f>IFERROR(__xludf.DUMMYFUNCTION("IFNA(FILTER(IMPORTRANGE(""https://docs.google.com/spreadsheets/d/1kGrh75X1cNR1D7_FcY9zMnHP8iPO4M5RCRjy6nZY0TY/edit#gid=1248694442"",""Table 3: 1st-line HC!E5:E111""), $A12=IMPORTRANGE(""https://docs.google.com/spreadsheets/d/1kGrh75X1cNR1D7_FcY9zMnHP8iPO4"&amp;"M5RCRjy6nZY0TY/edit#gid=1248694442"",""Table 3: 1st-line HC!A5:A111"")),"""")"),"")</f>
        <v/>
      </c>
      <c r="O12" s="14" t="str">
        <f>IFERROR(__xludf.DUMMYFUNCTION("IFNA(FILTER(IMPORTRANGE(""https://docs.google.com/spreadsheets/d/1kGrh75X1cNR1D7_FcY9zMnHP8iPO4M5RCRjy6nZY0TY/edit#gid=1248694442"",""Table 3: 1st-line HC!K5:K111""), $A12=IMPORTRANGE(""https://docs.google.com/spreadsheets/d/1kGrh75X1cNR1D7_FcY9zMnHP8iPO4"&amp;"M5RCRjy6nZY0TY/edit#gid=1248694442"",""Table 3: 1st-line HC!A5:A111"")),"""")"),"")</f>
        <v/>
      </c>
      <c r="P12" s="14" t="str">
        <f>IFERROR(__xludf.DUMMYFUNCTION("IFNA(FILTER(IMPORTRANGE(""https://docs.google.com/spreadsheets/d/1kGrh75X1cNR1D7_FcY9zMnHP8iPO4M5RCRjy6nZY0TY/edit#gid=1248694442"",""Table 3: 1st-line HC!L5:L111""), $A12=IMPORTRANGE(""https://docs.google.com/spreadsheets/d/1kGrh75X1cNR1D7_FcY9zMnHP8iPO4"&amp;"M5RCRjy6nZY0TY/edit#gid=1248694442"",""Table 3: 1st-line HC!A5:A111"")),"""")"),"")</f>
        <v/>
      </c>
      <c r="Q12" s="14" t="str">
        <f>IFERROR(__xludf.DUMMYFUNCTION("IFNA(FILTER(IMPORTRANGE(""https://docs.google.com/spreadsheets/d/1kGrh75X1cNR1D7_FcY9zMnHP8iPO4M5RCRjy6nZY0TY/edit#gid=1248694442"",""Table 3: 1st-line HC!M5:M111""), $A12=IMPORTRANGE(""https://docs.google.com/spreadsheets/d/1kGrh75X1cNR1D7_FcY9zMnHP8iPO4"&amp;"M5RCRjy6nZY0TY/edit#gid=1248694442"",""Table 3: 1st-line HC!A5:A111"")),"""")"),"")</f>
        <v/>
      </c>
      <c r="R12" s="14" t="str">
        <f>IFERROR(__xludf.DUMMYFUNCTION("IFNA(FILTER(IMPORTRANGE(""https://docs.google.com/spreadsheets/d/1kGrh75X1cNR1D7_FcY9zMnHP8iPO4M5RCRjy6nZY0TY/edit#gid=1248694442"",""Table 3: 1st-line HC!N5:N111""), $A12=IMPORTRANGE(""https://docs.google.com/spreadsheets/d/1kGrh75X1cNR1D7_FcY9zMnHP8iPO4"&amp;"M5RCRjy6nZY0TY/edit#gid=1248694442"",""Table 3: 1st-line HC!A5:A111"")),"""")"),"")</f>
        <v/>
      </c>
      <c r="S12" s="14" t="str">
        <f>IFERROR(__xludf.DUMMYFUNCTION("IFNA(FILTER(IMPORTRANGE(""https://docs.google.com/spreadsheets/d/1kGrh75X1cNR1D7_FcY9zMnHP8iPO4M5RCRjy6nZY0TY/edit#gid=1248694442"",""Table 3: 1st-line HC!T5:T111""), $A12=IMPORTRANGE(""https://docs.google.com/spreadsheets/d/1kGrh75X1cNR1D7_FcY9zMnHP8iPO4"&amp;"M5RCRjy6nZY0TY/edit#gid=1248694442"",""Table 3: 1st-line HC!A5:A111"")),"""")"),"")</f>
        <v/>
      </c>
      <c r="T12" s="14" t="str">
        <f>IFERROR(__xludf.DUMMYFUNCTION("IFNA(FILTER(IMPORTRANGE(""https://docs.google.com/spreadsheets/d/1kGrh75X1cNR1D7_FcY9zMnHP8iPO4M5RCRjy6nZY0TY/edit#gid=1248694442"",""Table 3: 1st-line HC!U5:U111""), $A12=IMPORTRANGE(""https://docs.google.com/spreadsheets/d/1kGrh75X1cNR1D7_FcY9zMnHP8iPO4"&amp;"M5RCRjy6nZY0TY/edit#gid=1248694442"",""Table 3: 1st-line HC!A5:A111"")),"""")"),"")</f>
        <v/>
      </c>
      <c r="U12" s="14" t="str">
        <f>IFERROR(__xludf.DUMMYFUNCTION("IFNA(FILTER(IMPORTRANGE(""https://docs.google.com/spreadsheets/d/1kGrh75X1cNR1D7_FcY9zMnHP8iPO4M5RCRjy6nZY0TY/edit#gid=1248694442"",""Table 3: 1st-line HC!V5:V111""), $A12=IMPORTRANGE(""https://docs.google.com/spreadsheets/d/1kGrh75X1cNR1D7_FcY9zMnHP8iPO4"&amp;"M5RCRjy6nZY0TY/edit#gid=1248694442"",""Table 3: 1st-line HC!A5:A111"")),"""")"),"")</f>
        <v/>
      </c>
      <c r="V12" s="14" t="str">
        <f>IFERROR(__xludf.DUMMYFUNCTION("IFNA(FILTER(IMPORTRANGE(""https://docs.google.com/spreadsheets/d/1kGrh75X1cNR1D7_FcY9zMnHP8iPO4M5RCRjy6nZY0TY/edit#gid=1248694442"",""Table 3: 1st-line HC!AE5:AE111""), $A12=IMPORTRANGE(""https://docs.google.com/spreadsheets/d/1kGrh75X1cNR1D7_FcY9zMnHP8iP"&amp;"O4M5RCRjy6nZY0TY/edit#gid=1248694442"",""Table 3: 1st-line HC!A5:A111"")),"""")"),"")</f>
        <v/>
      </c>
      <c r="W12" s="14" t="str">
        <f>IFERROR(__xludf.DUMMYFUNCTION("IFNA(FILTER(IMPORTRANGE(""https://docs.google.com/spreadsheets/d/1kGrh75X1cNR1D7_FcY9zMnHP8iPO4M5RCRjy6nZY0TY/edit#gid=1248694442"",""Table 3: 1st-line HC!AG5:AG111""), $A12=IMPORTRANGE(""https://docs.google.com/spreadsheets/d/1kGrh75X1cNR1D7_FcY9zMnHP8iP"&amp;"O4M5RCRjy6nZY0TY/edit#gid=1248694442"",""Table 3: 1st-line HC!A5:A111"")),"""")"),"")</f>
        <v/>
      </c>
      <c r="X12" s="14" t="str">
        <f>IFERROR(__xludf.DUMMYFUNCTION("IFNA(FILTER(IMPORTRANGE(""https://docs.google.com/spreadsheets/d/1kGrh75X1cNR1D7_FcY9zMnHP8iPO4M5RCRjy6nZY0TY/edit#gid=1248694442"",""Table 3: 1st-line HC!AI5:AI111""), $A12=IMPORTRANGE(""https://docs.google.com/spreadsheets/d/1kGrh75X1cNR1D7_FcY9zMnHP8iP"&amp;"O4M5RCRjy6nZY0TY/edit#gid=1248694442"",""Table 3: 1st-line HC!A5:A111"")),"""")"),"1-520")</f>
        <v>1-520</v>
      </c>
    </row>
    <row r="13">
      <c r="A13" s="4" t="str">
        <f>IFERROR(__xludf.DUMMYFUNCTION("""COMPUTED_VALUE"""),"ID 20")</f>
        <v>ID 20</v>
      </c>
      <c r="B13" s="14">
        <f>IFERROR(__xludf.DUMMYFUNCTION("IFNA(FILTER(IMPORTRANGE(""https://docs.google.com/spreadsheets/d/1kGrh75X1cNR1D7_FcY9zMnHP8iPO4M5RCRjy6nZY0TY/edit#gid=1248694442"",""Table 2: MMC!D5:D114""), $A13=IMPORTRANGE(""https://docs.google.com/spreadsheets/d/1kGrh75X1cNR1D7_FcY9zMnHP8iPO4M5RCRjy6"&amp;"nZY0TY/edit#gid=1248694442"",""Table 2: MMC!A5:A114"")),"""")"),8.0)</f>
        <v>8</v>
      </c>
      <c r="C13" s="14" t="str">
        <f>IFERROR(__xludf.DUMMYFUNCTION("IFNA(FILTER(IMPORTRANGE(""https://docs.google.com/spreadsheets/d/1kGrh75X1cNR1D7_FcY9zMnHP8iPO4M5RCRjy6nZY0TY/edit#gid=1248694442"",""Table 2: MMC!E5:E114""), $A13=IMPORTRANGE(""https://docs.google.com/spreadsheets/d/1kGrh75X1cNR1D7_FcY9zMnHP8iPO4M5RCRjy6"&amp;"nZY0TY/edit#gid=1248694442"",""Table 2: MMC!A5:A114"")),"""")"),"")</f>
        <v/>
      </c>
      <c r="D13" s="14" t="str">
        <f>IFERROR(__xludf.DUMMYFUNCTION("IFNA(FILTER(IMPORTRANGE(""https://docs.google.com/spreadsheets/d/1kGrh75X1cNR1D7_FcY9zMnHP8iPO4M5RCRjy6nZY0TY/edit#gid=1248694442"",""Table 2: MMC!F5:F114""), $A13=IMPORTRANGE(""https://docs.google.com/spreadsheets/d/1kGrh75X1cNR1D7_FcY9zMnHP8iPO4M5RCRjy6"&amp;"nZY0TY/edit#gid=1248694442"",""Table 2: MMC!A5:A114"")),"""")"),"")</f>
        <v/>
      </c>
      <c r="E13" s="14" t="str">
        <f>IFERROR(__xludf.DUMMYFUNCTION("IFNA(FILTER(IMPORTRANGE(""https://docs.google.com/spreadsheets/d/1kGrh75X1cNR1D7_FcY9zMnHP8iPO4M5RCRjy6nZY0TY/edit#gid=1248694442"",""Table 2: MMC!G5:G114""), $A13=IMPORTRANGE(""https://docs.google.com/spreadsheets/d/1kGrh75X1cNR1D7_FcY9zMnHP8iPO4M5RCRjy6"&amp;"nZY0TY/edit#gid=1248694442"",""Table 2: MMC!A5:A114"")),"""")"),"")</f>
        <v/>
      </c>
      <c r="F13" s="14" t="str">
        <f>IFERROR(__xludf.DUMMYFUNCTION("IFNA(FILTER(IMPORTRANGE(""https://docs.google.com/spreadsheets/d/1kGrh75X1cNR1D7_FcY9zMnHP8iPO4M5RCRjy6nZY0TY/edit#gid=1248694442"",""Table 2: MMC!H5:H114""), $A13=IMPORTRANGE(""https://docs.google.com/spreadsheets/d/1kGrh75X1cNR1D7_FcY9zMnHP8iPO4M5RCRjy6"&amp;"nZY0TY/edit#gid=1248694442"",""Table 2: MMC!A5:A114"")),"""")"),"")</f>
        <v/>
      </c>
      <c r="G13" s="14">
        <f>IFERROR(__xludf.DUMMYFUNCTION("IFNA(FILTER(IMPORTRANGE(""https://docs.google.com/spreadsheets/d/1kGrh75X1cNR1D7_FcY9zMnHP8iPO4M5RCRjy6nZY0TY/edit#gid=1248694442"",""Table 2: MMC!I5:I114""), $A13=IMPORTRANGE(""https://docs.google.com/spreadsheets/d/1kGrh75X1cNR1D7_FcY9zMnHP8iPO4M5RCRjy6"&amp;"nZY0TY/edit#gid=1248694442"",""Table 2: MMC!A5:A114"")),"""")"),1.0)</f>
        <v>1</v>
      </c>
      <c r="H13" s="14" t="str">
        <f>IFERROR(__xludf.DUMMYFUNCTION("IFNA(FILTER(IMPORTRANGE(""https://docs.google.com/spreadsheets/d/1kGrh75X1cNR1D7_FcY9zMnHP8iPO4M5RCRjy6nZY0TY/edit#gid=1248694442"",""Table 2: MMC!J5:J114""), $A13=IMPORTRANGE(""https://docs.google.com/spreadsheets/d/1kGrh75X1cNR1D7_FcY9zMnHP8iPO4M5RCRjy6"&amp;"nZY0TY/edit#gid=1248694442"",""Table 2: MMC!A5:A114"")),"""")"),"post-natal")</f>
        <v>post-natal</v>
      </c>
      <c r="I13" s="14" t="str">
        <f>IFERROR(__xludf.DUMMYFUNCTION("IFNA(FILTER(IMPORTRANGE(""https://docs.google.com/spreadsheets/d/1kGrh75X1cNR1D7_FcY9zMnHP8iPO4M5RCRjy6nZY0TY/edit#gid=1248694442"",""Table 2: MMC!M5:M114""), $A13=IMPORTRANGE(""https://docs.google.com/spreadsheets/d/1kGrh75X1cNR1D7_FcY9zMnHP8iPO4M5RCRjy6"&amp;"nZY0TY/edit#gid=1248694442"",""Table 2: MMC!A5:A114"")),"""")"),"")</f>
        <v/>
      </c>
      <c r="J13" s="14" t="str">
        <f>IFERROR(__xludf.DUMMYFUNCTION("IFNA(FILTER(IMPORTRANGE(""https://docs.google.com/spreadsheets/d/1kGrh75X1cNR1D7_FcY9zMnHP8iPO4M5RCRjy6nZY0TY/edit#gid=1248694442"",""Table 2: MMC!Q5:Q114""), $A13=IMPORTRANGE(""https://docs.google.com/spreadsheets/d/1kGrh75X1cNR1D7_FcY9zMnHP8iPO4M5RCRjy6"&amp;"nZY0TY/edit#gid=1248694442"",""Table 2: MMC!A5:A114"")),"""")"),"")</f>
        <v/>
      </c>
      <c r="K13" s="14" t="str">
        <f>IFERROR(__xludf.DUMMYFUNCTION("IFNA(FILTER(IMPORTRANGE(""https://docs.google.com/spreadsheets/d/1kGrh75X1cNR1D7_FcY9zMnHP8iPO4M5RCRjy6nZY0TY/edit#gid=1248694442"",""Table 2: MMC!R5:R114""), $A13=IMPORTRANGE(""https://docs.google.com/spreadsheets/d/1kGrh75X1cNR1D7_FcY9zMnHP8iPO4M5RCRjy6"&amp;"nZY0TY/edit#gid=1248694442"",""Table 2: MMC!A5:A114"")),"""")"),"")</f>
        <v/>
      </c>
      <c r="L13" s="14" t="str">
        <f>IFERROR(__xludf.DUMMYFUNCTION("IFNA(FILTER(IMPORTRANGE(""https://docs.google.com/spreadsheets/d/1kGrh75X1cNR1D7_FcY9zMnHP8iPO4M5RCRjy6nZY0TY/edit#gid=1248694442"",""Table 2: MMC!S5:S114""), $A13=IMPORTRANGE(""https://docs.google.com/spreadsheets/d/1kGrh75X1cNR1D7_FcY9zMnHP8iPO4M5RCRjy6"&amp;"nZY0TY/edit#gid=1248694442"",""Table 2: MMC!A5:A114"")),"""")"),"")</f>
        <v/>
      </c>
      <c r="M13" s="14" t="str">
        <f>IFERROR(__xludf.DUMMYFUNCTION("IFNA(FILTER(IMPORTRANGE(""https://docs.google.com/spreadsheets/d/1kGrh75X1cNR1D7_FcY9zMnHP8iPO4M5RCRjy6nZY0TY/edit#gid=1248694442"",""Table 3: 1st-line HC!D5:D111""), $A13=IMPORTRANGE(""https://docs.google.com/spreadsheets/d/1kGrh75X1cNR1D7_FcY9zMnHP8iPO4"&amp;"M5RCRjy6nZY0TY/edit#gid=1248694442"",""Table 3: 1st-line HC!A5:A111"")),"""")"),"")</f>
        <v/>
      </c>
      <c r="N13" s="14" t="str">
        <f>IFERROR(__xludf.DUMMYFUNCTION("IFNA(FILTER(IMPORTRANGE(""https://docs.google.com/spreadsheets/d/1kGrh75X1cNR1D7_FcY9zMnHP8iPO4M5RCRjy6nZY0TY/edit#gid=1248694442"",""Table 3: 1st-line HC!E5:E111""), $A13=IMPORTRANGE(""https://docs.google.com/spreadsheets/d/1kGrh75X1cNR1D7_FcY9zMnHP8iPO4"&amp;"M5RCRjy6nZY0TY/edit#gid=1248694442"",""Table 3: 1st-line HC!A5:A111"")),"""")"),"")</f>
        <v/>
      </c>
      <c r="O13" s="14" t="str">
        <f>IFERROR(__xludf.DUMMYFUNCTION("IFNA(FILTER(IMPORTRANGE(""https://docs.google.com/spreadsheets/d/1kGrh75X1cNR1D7_FcY9zMnHP8iPO4M5RCRjy6nZY0TY/edit#gid=1248694442"",""Table 3: 1st-line HC!K5:K111""), $A13=IMPORTRANGE(""https://docs.google.com/spreadsheets/d/1kGrh75X1cNR1D7_FcY9zMnHP8iPO4"&amp;"M5RCRjy6nZY0TY/edit#gid=1248694442"",""Table 3: 1st-line HC!A5:A111"")),"""")"),"")</f>
        <v/>
      </c>
      <c r="P13" s="14" t="str">
        <f>IFERROR(__xludf.DUMMYFUNCTION("IFNA(FILTER(IMPORTRANGE(""https://docs.google.com/spreadsheets/d/1kGrh75X1cNR1D7_FcY9zMnHP8iPO4M5RCRjy6nZY0TY/edit#gid=1248694442"",""Table 3: 1st-line HC!L5:L111""), $A13=IMPORTRANGE(""https://docs.google.com/spreadsheets/d/1kGrh75X1cNR1D7_FcY9zMnHP8iPO4"&amp;"M5RCRjy6nZY0TY/edit#gid=1248694442"",""Table 3: 1st-line HC!A5:A111"")),"""")"),"")</f>
        <v/>
      </c>
      <c r="Q13" s="14" t="str">
        <f>IFERROR(__xludf.DUMMYFUNCTION("IFNA(FILTER(IMPORTRANGE(""https://docs.google.com/spreadsheets/d/1kGrh75X1cNR1D7_FcY9zMnHP8iPO4M5RCRjy6nZY0TY/edit#gid=1248694442"",""Table 3: 1st-line HC!M5:M111""), $A13=IMPORTRANGE(""https://docs.google.com/spreadsheets/d/1kGrh75X1cNR1D7_FcY9zMnHP8iPO4"&amp;"M5RCRjy6nZY0TY/edit#gid=1248694442"",""Table 3: 1st-line HC!A5:A111"")),"""")"),"")</f>
        <v/>
      </c>
      <c r="R13" s="14" t="str">
        <f>IFERROR(__xludf.DUMMYFUNCTION("IFNA(FILTER(IMPORTRANGE(""https://docs.google.com/spreadsheets/d/1kGrh75X1cNR1D7_FcY9zMnHP8iPO4M5RCRjy6nZY0TY/edit#gid=1248694442"",""Table 3: 1st-line HC!N5:N111""), $A13=IMPORTRANGE(""https://docs.google.com/spreadsheets/d/1kGrh75X1cNR1D7_FcY9zMnHP8iPO4"&amp;"M5RCRjy6nZY0TY/edit#gid=1248694442"",""Table 3: 1st-line HC!A5:A111"")),"""")"),"")</f>
        <v/>
      </c>
      <c r="S13" s="14" t="str">
        <f>IFERROR(__xludf.DUMMYFUNCTION("IFNA(FILTER(IMPORTRANGE(""https://docs.google.com/spreadsheets/d/1kGrh75X1cNR1D7_FcY9zMnHP8iPO4M5RCRjy6nZY0TY/edit#gid=1248694442"",""Table 3: 1st-line HC!T5:T111""), $A13=IMPORTRANGE(""https://docs.google.com/spreadsheets/d/1kGrh75X1cNR1D7_FcY9zMnHP8iPO4"&amp;"M5RCRjy6nZY0TY/edit#gid=1248694442"",""Table 3: 1st-line HC!A5:A111"")),"""")"),"")</f>
        <v/>
      </c>
      <c r="T13" s="14" t="str">
        <f>IFERROR(__xludf.DUMMYFUNCTION("IFNA(FILTER(IMPORTRANGE(""https://docs.google.com/spreadsheets/d/1kGrh75X1cNR1D7_FcY9zMnHP8iPO4M5RCRjy6nZY0TY/edit#gid=1248694442"",""Table 3: 1st-line HC!U5:U111""), $A13=IMPORTRANGE(""https://docs.google.com/spreadsheets/d/1kGrh75X1cNR1D7_FcY9zMnHP8iPO4"&amp;"M5RCRjy6nZY0TY/edit#gid=1248694442"",""Table 3: 1st-line HC!A5:A111"")),"""")"),"")</f>
        <v/>
      </c>
      <c r="U13" s="14" t="str">
        <f>IFERROR(__xludf.DUMMYFUNCTION("IFNA(FILTER(IMPORTRANGE(""https://docs.google.com/spreadsheets/d/1kGrh75X1cNR1D7_FcY9zMnHP8iPO4M5RCRjy6nZY0TY/edit#gid=1248694442"",""Table 3: 1st-line HC!V5:V111""), $A13=IMPORTRANGE(""https://docs.google.com/spreadsheets/d/1kGrh75X1cNR1D7_FcY9zMnHP8iPO4"&amp;"M5RCRjy6nZY0TY/edit#gid=1248694442"",""Table 3: 1st-line HC!A5:A111"")),"""")"),"")</f>
        <v/>
      </c>
      <c r="V13" s="14" t="str">
        <f>IFERROR(__xludf.DUMMYFUNCTION("IFNA(FILTER(IMPORTRANGE(""https://docs.google.com/spreadsheets/d/1kGrh75X1cNR1D7_FcY9zMnHP8iPO4M5RCRjy6nZY0TY/edit#gid=1248694442"",""Table 3: 1st-line HC!AE5:AE111""), $A13=IMPORTRANGE(""https://docs.google.com/spreadsheets/d/1kGrh75X1cNR1D7_FcY9zMnHP8iP"&amp;"O4M5RCRjy6nZY0TY/edit#gid=1248694442"",""Table 3: 1st-line HC!A5:A111"")),"""")"),"")</f>
        <v/>
      </c>
      <c r="W13" s="14" t="str">
        <f>IFERROR(__xludf.DUMMYFUNCTION("IFNA(FILTER(IMPORTRANGE(""https://docs.google.com/spreadsheets/d/1kGrh75X1cNR1D7_FcY9zMnHP8iPO4M5RCRjy6nZY0TY/edit#gid=1248694442"",""Table 3: 1st-line HC!AG5:AG111""), $A13=IMPORTRANGE(""https://docs.google.com/spreadsheets/d/1kGrh75X1cNR1D7_FcY9zMnHP8iP"&amp;"O4M5RCRjy6nZY0TY/edit#gid=1248694442"",""Table 3: 1st-line HC!A5:A111"")),"""")"),"")</f>
        <v/>
      </c>
      <c r="X13" s="14" t="str">
        <f>IFERROR(__xludf.DUMMYFUNCTION("IFNA(FILTER(IMPORTRANGE(""https://docs.google.com/spreadsheets/d/1kGrh75X1cNR1D7_FcY9zMnHP8iPO4M5RCRjy6nZY0TY/edit#gid=1248694442"",""Table 3: 1st-line HC!AI5:AI111""), $A13=IMPORTRANGE(""https://docs.google.com/spreadsheets/d/1kGrh75X1cNR1D7_FcY9zMnHP8iP"&amp;"O4M5RCRjy6nZY0TY/edit#gid=1248694442"",""Table 3: 1st-line HC!A5:A111"")),"""")"),"156.43 (104.29-260.71)")</f>
        <v>156.43 (104.29-260.71)</v>
      </c>
    </row>
    <row r="14">
      <c r="A14" s="4" t="str">
        <f>IFERROR(__xludf.DUMMYFUNCTION("""COMPUTED_VALUE"""),"ID 22")</f>
        <v>ID 22</v>
      </c>
      <c r="B14" s="14">
        <f>IFERROR(__xludf.DUMMYFUNCTION("IFNA(FILTER(IMPORTRANGE(""https://docs.google.com/spreadsheets/d/1kGrh75X1cNR1D7_FcY9zMnHP8iPO4M5RCRjy6nZY0TY/edit#gid=1248694442"",""Table 2: MMC!D5:D114""), $A14=IMPORTRANGE(""https://docs.google.com/spreadsheets/d/1kGrh75X1cNR1D7_FcY9zMnHP8iPO4M5RCRjy6"&amp;"nZY0TY/edit#gid=1248694442"",""Table 2: MMC!A5:A114"")),"""")"),2.0)</f>
        <v>2</v>
      </c>
      <c r="C14" s="14" t="str">
        <f>IFERROR(__xludf.DUMMYFUNCTION("IFNA(FILTER(IMPORTRANGE(""https://docs.google.com/spreadsheets/d/1kGrh75X1cNR1D7_FcY9zMnHP8iPO4M5RCRjy6nZY0TY/edit#gid=1248694442"",""Table 2: MMC!E5:E114""), $A14=IMPORTRANGE(""https://docs.google.com/spreadsheets/d/1kGrh75X1cNR1D7_FcY9zMnHP8iPO4M5RCRjy6"&amp;"nZY0TY/edit#gid=1248694442"",""Table 2: MMC!A5:A114"")),"""")"),"")</f>
        <v/>
      </c>
      <c r="D14" s="14" t="str">
        <f>IFERROR(__xludf.DUMMYFUNCTION("IFNA(FILTER(IMPORTRANGE(""https://docs.google.com/spreadsheets/d/1kGrh75X1cNR1D7_FcY9zMnHP8iPO4M5RCRjy6nZY0TY/edit#gid=1248694442"",""Table 2: MMC!F5:F114""), $A14=IMPORTRANGE(""https://docs.google.com/spreadsheets/d/1kGrh75X1cNR1D7_FcY9zMnHP8iPO4M5RCRjy6"&amp;"nZY0TY/edit#gid=1248694442"",""Table 2: MMC!A5:A114"")),"""")"),"")</f>
        <v/>
      </c>
      <c r="E14" s="14" t="str">
        <f>IFERROR(__xludf.DUMMYFUNCTION("IFNA(FILTER(IMPORTRANGE(""https://docs.google.com/spreadsheets/d/1kGrh75X1cNR1D7_FcY9zMnHP8iPO4M5RCRjy6nZY0TY/edit#gid=1248694442"",""Table 2: MMC!G5:G114""), $A14=IMPORTRANGE(""https://docs.google.com/spreadsheets/d/1kGrh75X1cNR1D7_FcY9zMnHP8iPO4M5RCRjy6"&amp;"nZY0TY/edit#gid=1248694442"",""Table 2: MMC!A5:A114"")),"""")"),"")</f>
        <v/>
      </c>
      <c r="F14" s="14">
        <f>IFERROR(__xludf.DUMMYFUNCTION("IFNA(FILTER(IMPORTRANGE(""https://docs.google.com/spreadsheets/d/1kGrh75X1cNR1D7_FcY9zMnHP8iPO4M5RCRjy6nZY0TY/edit#gid=1248694442"",""Table 2: MMC!H5:H114""), $A14=IMPORTRANGE(""https://docs.google.com/spreadsheets/d/1kGrh75X1cNR1D7_FcY9zMnHP8iPO4M5RCRjy6"&amp;"nZY0TY/edit#gid=1248694442"",""Table 2: MMC!A5:A114"")),"""")"),25.0)</f>
        <v>25</v>
      </c>
      <c r="G14" s="14" t="str">
        <f>IFERROR(__xludf.DUMMYFUNCTION("IFNA(FILTER(IMPORTRANGE(""https://docs.google.com/spreadsheets/d/1kGrh75X1cNR1D7_FcY9zMnHP8iPO4M5RCRjy6nZY0TY/edit#gid=1248694442"",""Table 2: MMC!I5:I114""), $A14=IMPORTRANGE(""https://docs.google.com/spreadsheets/d/1kGrh75X1cNR1D7_FcY9zMnHP8iPO4M5RCRjy6"&amp;"nZY0TY/edit#gid=1248694442"",""Table 2: MMC!A5:A114"")),"""")"),"")</f>
        <v/>
      </c>
      <c r="H14" s="14" t="str">
        <f>IFERROR(__xludf.DUMMYFUNCTION("IFNA(FILTER(IMPORTRANGE(""https://docs.google.com/spreadsheets/d/1kGrh75X1cNR1D7_FcY9zMnHP8iPO4M5RCRjy6nZY0TY/edit#gid=1248694442"",""Table 2: MMC!J5:J114""), $A14=IMPORTRANGE(""https://docs.google.com/spreadsheets/d/1kGrh75X1cNR1D7_FcY9zMnHP8iPO4M5RCRjy6"&amp;"nZY0TY/edit#gid=1248694442"",""Table 2: MMC!A5:A114"")),"""")"),"post-natal")</f>
        <v>post-natal</v>
      </c>
      <c r="I14" s="14">
        <f>IFERROR(__xludf.DUMMYFUNCTION("IFNA(FILTER(IMPORTRANGE(""https://docs.google.com/spreadsheets/d/1kGrh75X1cNR1D7_FcY9zMnHP8iPO4M5RCRjy6nZY0TY/edit#gid=1248694442"",""Table 2: MMC!M5:M114""), $A14=IMPORTRANGE(""https://docs.google.com/spreadsheets/d/1kGrh75X1cNR1D7_FcY9zMnHP8iPO4M5RCRjy6"&amp;"nZY0TY/edit#gid=1248694442"",""Table 2: MMC!A5:A114"")),"""")"),16.84)</f>
        <v>16.84</v>
      </c>
      <c r="J14" s="14" t="str">
        <f>IFERROR(__xludf.DUMMYFUNCTION("IFNA(FILTER(IMPORTRANGE(""https://docs.google.com/spreadsheets/d/1kGrh75X1cNR1D7_FcY9zMnHP8iPO4M5RCRjy6nZY0TY/edit#gid=1248694442"",""Table 2: MMC!Q5:Q114""), $A14=IMPORTRANGE(""https://docs.google.com/spreadsheets/d/1kGrh75X1cNR1D7_FcY9zMnHP8iPO4M5RCRjy6"&amp;"nZY0TY/edit#gid=1248694442"",""Table 2: MMC!A5:A114"")),"""")"),"")</f>
        <v/>
      </c>
      <c r="K14" s="14" t="str">
        <f>IFERROR(__xludf.DUMMYFUNCTION("IFNA(FILTER(IMPORTRANGE(""https://docs.google.com/spreadsheets/d/1kGrh75X1cNR1D7_FcY9zMnHP8iPO4M5RCRjy6nZY0TY/edit#gid=1248694442"",""Table 2: MMC!R5:R114""), $A14=IMPORTRANGE(""https://docs.google.com/spreadsheets/d/1kGrh75X1cNR1D7_FcY9zMnHP8iPO4M5RCRjy6"&amp;"nZY0TY/edit#gid=1248694442"",""Table 2: MMC!A5:A114"")),"""")"),"")</f>
        <v/>
      </c>
      <c r="L14" s="14" t="str">
        <f>IFERROR(__xludf.DUMMYFUNCTION("IFNA(FILTER(IMPORTRANGE(""https://docs.google.com/spreadsheets/d/1kGrh75X1cNR1D7_FcY9zMnHP8iPO4M5RCRjy6nZY0TY/edit#gid=1248694442"",""Table 2: MMC!S5:S114""), $A14=IMPORTRANGE(""https://docs.google.com/spreadsheets/d/1kGrh75X1cNR1D7_FcY9zMnHP8iPO4M5RCRjy6"&amp;"nZY0TY/edit#gid=1248694442"",""Table 2: MMC!A5:A114"")),"""")"),"")</f>
        <v/>
      </c>
      <c r="M14" s="14" t="str">
        <f>IFERROR(__xludf.DUMMYFUNCTION("IFNA(FILTER(IMPORTRANGE(""https://docs.google.com/spreadsheets/d/1kGrh75X1cNR1D7_FcY9zMnHP8iPO4M5RCRjy6nZY0TY/edit#gid=1248694442"",""Table 3: 1st-line HC!D5:D111""), $A14=IMPORTRANGE(""https://docs.google.com/spreadsheets/d/1kGrh75X1cNR1D7_FcY9zMnHP8iPO4"&amp;"M5RCRjy6nZY0TY/edit#gid=1248694442"",""Table 3: 1st-line HC!A5:A111"")),"""")"),"")</f>
        <v/>
      </c>
      <c r="N14" s="14" t="str">
        <f>IFERROR(__xludf.DUMMYFUNCTION("IFNA(FILTER(IMPORTRANGE(""https://docs.google.com/spreadsheets/d/1kGrh75X1cNR1D7_FcY9zMnHP8iPO4M5RCRjy6nZY0TY/edit#gid=1248694442"",""Table 3: 1st-line HC!E5:E111""), $A14=IMPORTRANGE(""https://docs.google.com/spreadsheets/d/1kGrh75X1cNR1D7_FcY9zMnHP8iPO4"&amp;"M5RCRjy6nZY0TY/edit#gid=1248694442"",""Table 3: 1st-line HC!A5:A111"")),"""")"),"")</f>
        <v/>
      </c>
      <c r="O14" s="14">
        <f>IFERROR(__xludf.DUMMYFUNCTION("IFNA(FILTER(IMPORTRANGE(""https://docs.google.com/spreadsheets/d/1kGrh75X1cNR1D7_FcY9zMnHP8iPO4M5RCRjy6nZY0TY/edit#gid=1248694442"",""Table 3: 1st-line HC!K5:K111""), $A14=IMPORTRANGE(""https://docs.google.com/spreadsheets/d/1kGrh75X1cNR1D7_FcY9zMnHP8iPO4"&amp;"M5RCRjy6nZY0TY/edit#gid=1248694442"",""Table 3: 1st-line HC!A5:A111"")),"""")"),27.0)</f>
        <v>27</v>
      </c>
      <c r="P14" s="14" t="str">
        <f>IFERROR(__xludf.DUMMYFUNCTION("IFNA(FILTER(IMPORTRANGE(""https://docs.google.com/spreadsheets/d/1kGrh75X1cNR1D7_FcY9zMnHP8iPO4M5RCRjy6nZY0TY/edit#gid=1248694442"",""Table 3: 1st-line HC!L5:L111""), $A14=IMPORTRANGE(""https://docs.google.com/spreadsheets/d/1kGrh75X1cNR1D7_FcY9zMnHP8iPO4"&amp;"M5RCRjy6nZY0TY/edit#gid=1248694442"",""Table 3: 1st-line HC!A5:A111"")),"""")"),"")</f>
        <v/>
      </c>
      <c r="Q14" s="14">
        <f>IFERROR(__xludf.DUMMYFUNCTION("IFNA(FILTER(IMPORTRANGE(""https://docs.google.com/spreadsheets/d/1kGrh75X1cNR1D7_FcY9zMnHP8iPO4M5RCRjy6nZY0TY/edit#gid=1248694442"",""Table 3: 1st-line HC!M5:M111""), $A14=IMPORTRANGE(""https://docs.google.com/spreadsheets/d/1kGrh75X1cNR1D7_FcY9zMnHP8iPO4"&amp;"M5RCRjy6nZY0TY/edit#gid=1248694442"",""Table 3: 1st-line HC!A5:A111"")),"""")"),12.0)</f>
        <v>12</v>
      </c>
      <c r="R14" s="14" t="str">
        <f>IFERROR(__xludf.DUMMYFUNCTION("IFNA(FILTER(IMPORTRANGE(""https://docs.google.com/spreadsheets/d/1kGrh75X1cNR1D7_FcY9zMnHP8iPO4M5RCRjy6nZY0TY/edit#gid=1248694442"",""Table 3: 1st-line HC!N5:N111""), $A14=IMPORTRANGE(""https://docs.google.com/spreadsheets/d/1kGrh75X1cNR1D7_FcY9zMnHP8iPO4"&amp;"M5RCRjy6nZY0TY/edit#gid=1248694442"",""Table 3: 1st-line HC!A5:A111"")),"""")"),"")</f>
        <v/>
      </c>
      <c r="S14" s="14" t="str">
        <f>IFERROR(__xludf.DUMMYFUNCTION("IFNA(FILTER(IMPORTRANGE(""https://docs.google.com/spreadsheets/d/1kGrh75X1cNR1D7_FcY9zMnHP8iPO4M5RCRjy6nZY0TY/edit#gid=1248694442"",""Table 3: 1st-line HC!T5:T111""), $A14=IMPORTRANGE(""https://docs.google.com/spreadsheets/d/1kGrh75X1cNR1D7_FcY9zMnHP8iPO4"&amp;"M5RCRjy6nZY0TY/edit#gid=1248694442"",""Table 3: 1st-line HC!A5:A111"")),"""")"),"")</f>
        <v/>
      </c>
      <c r="T14" s="14" t="str">
        <f>IFERROR(__xludf.DUMMYFUNCTION("IFNA(FILTER(IMPORTRANGE(""https://docs.google.com/spreadsheets/d/1kGrh75X1cNR1D7_FcY9zMnHP8iPO4M5RCRjy6nZY0TY/edit#gid=1248694442"",""Table 3: 1st-line HC!U5:U111""), $A14=IMPORTRANGE(""https://docs.google.com/spreadsheets/d/1kGrh75X1cNR1D7_FcY9zMnHP8iPO4"&amp;"M5RCRjy6nZY0TY/edit#gid=1248694442"",""Table 3: 1st-line HC!A5:A111"")),"""")"),"")</f>
        <v/>
      </c>
      <c r="U14" s="14" t="str">
        <f>IFERROR(__xludf.DUMMYFUNCTION("IFNA(FILTER(IMPORTRANGE(""https://docs.google.com/spreadsheets/d/1kGrh75X1cNR1D7_FcY9zMnHP8iPO4M5RCRjy6nZY0TY/edit#gid=1248694442"",""Table 3: 1st-line HC!V5:V111""), $A14=IMPORTRANGE(""https://docs.google.com/spreadsheets/d/1kGrh75X1cNR1D7_FcY9zMnHP8iPO4"&amp;"M5RCRjy6nZY0TY/edit#gid=1248694442"",""Table 3: 1st-line HC!A5:A111"")),"""")"),"")</f>
        <v/>
      </c>
      <c r="V14" s="14" t="str">
        <f>IFERROR(__xludf.DUMMYFUNCTION("IFNA(FILTER(IMPORTRANGE(""https://docs.google.com/spreadsheets/d/1kGrh75X1cNR1D7_FcY9zMnHP8iPO4M5RCRjy6nZY0TY/edit#gid=1248694442"",""Table 3: 1st-line HC!AE5:AE111""), $A14=IMPORTRANGE(""https://docs.google.com/spreadsheets/d/1kGrh75X1cNR1D7_FcY9zMnHP8iP"&amp;"O4M5RCRjy6nZY0TY/edit#gid=1248694442"",""Table 3: 1st-line HC!A5:A111"")),"""")"),"")</f>
        <v/>
      </c>
      <c r="W14" s="14" t="str">
        <f>IFERROR(__xludf.DUMMYFUNCTION("IFNA(FILTER(IMPORTRANGE(""https://docs.google.com/spreadsheets/d/1kGrh75X1cNR1D7_FcY9zMnHP8iPO4M5RCRjy6nZY0TY/edit#gid=1248694442"",""Table 3: 1st-line HC!AG5:AG111""), $A14=IMPORTRANGE(""https://docs.google.com/spreadsheets/d/1kGrh75X1cNR1D7_FcY9zMnHP8iP"&amp;"O4M5RCRjy6nZY0TY/edit#gid=1248694442"",""Table 3: 1st-line HC!A5:A111"")),"""")"),"")</f>
        <v/>
      </c>
      <c r="X14" s="14" t="str">
        <f>IFERROR(__xludf.DUMMYFUNCTION("IFNA(FILTER(IMPORTRANGE(""https://docs.google.com/spreadsheets/d/1kGrh75X1cNR1D7_FcY9zMnHP8iPO4M5RCRjy6nZY0TY/edit#gid=1248694442"",""Table 3: 1st-line HC!AI5:AI111""), $A14=IMPORTRANGE(""https://docs.google.com/spreadsheets/d/1kGrh75X1cNR1D7_FcY9zMnHP8iP"&amp;"O4M5RCRjy6nZY0TY/edit#gid=1248694442"",""Table 3: 1st-line HC!A5:A111"")),"""")"),"")</f>
        <v/>
      </c>
    </row>
    <row r="15">
      <c r="A15" s="4" t="str">
        <f>IFERROR(__xludf.DUMMYFUNCTION("""COMPUTED_VALUE"""),"ID 23")</f>
        <v>ID 23</v>
      </c>
      <c r="B15" s="14" t="str">
        <f>IFERROR(__xludf.DUMMYFUNCTION("IFNA(FILTER(IMPORTRANGE(""https://docs.google.com/spreadsheets/d/1kGrh75X1cNR1D7_FcY9zMnHP8iPO4M5RCRjy6nZY0TY/edit#gid=1248694442"",""Table 2: MMC!D5:D114""), $A15=IMPORTRANGE(""https://docs.google.com/spreadsheets/d/1kGrh75X1cNR1D7_FcY9zMnHP8iPO4M5RCRjy6"&amp;"nZY0TY/edit#gid=1248694442"",""Table 2: MMC!A5:A114"")),"""")"),"")</f>
        <v/>
      </c>
      <c r="C15" s="14" t="str">
        <f>IFERROR(__xludf.DUMMYFUNCTION("IFNA(FILTER(IMPORTRANGE(""https://docs.google.com/spreadsheets/d/1kGrh75X1cNR1D7_FcY9zMnHP8iPO4M5RCRjy6nZY0TY/edit#gid=1248694442"",""Table 2: MMC!E5:E114""), $A15=IMPORTRANGE(""https://docs.google.com/spreadsheets/d/1kGrh75X1cNR1D7_FcY9zMnHP8iPO4M5RCRjy6"&amp;"nZY0TY/edit#gid=1248694442"",""Table 2: MMC!A5:A114"")),"""")"),"")</f>
        <v/>
      </c>
      <c r="D15" s="14" t="str">
        <f>IFERROR(__xludf.DUMMYFUNCTION("IFNA(FILTER(IMPORTRANGE(""https://docs.google.com/spreadsheets/d/1kGrh75X1cNR1D7_FcY9zMnHP8iPO4M5RCRjy6nZY0TY/edit#gid=1248694442"",""Table 2: MMC!F5:F114""), $A15=IMPORTRANGE(""https://docs.google.com/spreadsheets/d/1kGrh75X1cNR1D7_FcY9zMnHP8iPO4M5RCRjy6"&amp;"nZY0TY/edit#gid=1248694442"",""Table 2: MMC!A5:A114"")),"""")"),"")</f>
        <v/>
      </c>
      <c r="E15" s="14" t="str">
        <f>IFERROR(__xludf.DUMMYFUNCTION("IFNA(FILTER(IMPORTRANGE(""https://docs.google.com/spreadsheets/d/1kGrh75X1cNR1D7_FcY9zMnHP8iPO4M5RCRjy6nZY0TY/edit#gid=1248694442"",""Table 2: MMC!G5:G114""), $A15=IMPORTRANGE(""https://docs.google.com/spreadsheets/d/1kGrh75X1cNR1D7_FcY9zMnHP8iPO4M5RCRjy6"&amp;"nZY0TY/edit#gid=1248694442"",""Table 2: MMC!A5:A114"")),"""")"),"")</f>
        <v/>
      </c>
      <c r="F15" s="14" t="str">
        <f>IFERROR(__xludf.DUMMYFUNCTION("IFNA(FILTER(IMPORTRANGE(""https://docs.google.com/spreadsheets/d/1kGrh75X1cNR1D7_FcY9zMnHP8iPO4M5RCRjy6nZY0TY/edit#gid=1248694442"",""Table 2: MMC!H5:H114""), $A15=IMPORTRANGE(""https://docs.google.com/spreadsheets/d/1kGrh75X1cNR1D7_FcY9zMnHP8iPO4M5RCRjy6"&amp;"nZY0TY/edit#gid=1248694442"",""Table 2: MMC!A5:A114"")),"""")"),"")</f>
        <v/>
      </c>
      <c r="G15" s="14" t="str">
        <f>IFERROR(__xludf.DUMMYFUNCTION("IFNA(FILTER(IMPORTRANGE(""https://docs.google.com/spreadsheets/d/1kGrh75X1cNR1D7_FcY9zMnHP8iPO4M5RCRjy6nZY0TY/edit#gid=1248694442"",""Table 2: MMC!I5:I114""), $A15=IMPORTRANGE(""https://docs.google.com/spreadsheets/d/1kGrh75X1cNR1D7_FcY9zMnHP8iPO4M5RCRjy6"&amp;"nZY0TY/edit#gid=1248694442"",""Table 2: MMC!A5:A114"")),"""")"),"")</f>
        <v/>
      </c>
      <c r="H15" s="14" t="str">
        <f>IFERROR(__xludf.DUMMYFUNCTION("IFNA(FILTER(IMPORTRANGE(""https://docs.google.com/spreadsheets/d/1kGrh75X1cNR1D7_FcY9zMnHP8iPO4M5RCRjy6nZY0TY/edit#gid=1248694442"",""Table 2: MMC!J5:J114""), $A15=IMPORTRANGE(""https://docs.google.com/spreadsheets/d/1kGrh75X1cNR1D7_FcY9zMnHP8iPO4M5RCRjy6"&amp;"nZY0TY/edit#gid=1248694442"",""Table 2: MMC!A5:A114"")),"""")"),"post-natal")</f>
        <v>post-natal</v>
      </c>
      <c r="I15" s="14" t="str">
        <f>IFERROR(__xludf.DUMMYFUNCTION("IFNA(FILTER(IMPORTRANGE(""https://docs.google.com/spreadsheets/d/1kGrh75X1cNR1D7_FcY9zMnHP8iPO4M5RCRjy6nZY0TY/edit#gid=1248694442"",""Table 2: MMC!M5:M114""), $A15=IMPORTRANGE(""https://docs.google.com/spreadsheets/d/1kGrh75X1cNR1D7_FcY9zMnHP8iPO4M5RCRjy6"&amp;"nZY0TY/edit#gid=1248694442"",""Table 2: MMC!A5:A114"")),"""")"),"")</f>
        <v/>
      </c>
      <c r="J15" s="14" t="str">
        <f>IFERROR(__xludf.DUMMYFUNCTION("IFNA(FILTER(IMPORTRANGE(""https://docs.google.com/spreadsheets/d/1kGrh75X1cNR1D7_FcY9zMnHP8iPO4M5RCRjy6nZY0TY/edit#gid=1248694442"",""Table 2: MMC!Q5:Q114""), $A15=IMPORTRANGE(""https://docs.google.com/spreadsheets/d/1kGrh75X1cNR1D7_FcY9zMnHP8iPO4M5RCRjy6"&amp;"nZY0TY/edit#gid=1248694442"",""Table 2: MMC!A5:A114"")),"""")"),"")</f>
        <v/>
      </c>
      <c r="K15" s="14" t="str">
        <f>IFERROR(__xludf.DUMMYFUNCTION("IFNA(FILTER(IMPORTRANGE(""https://docs.google.com/spreadsheets/d/1kGrh75X1cNR1D7_FcY9zMnHP8iPO4M5RCRjy6nZY0TY/edit#gid=1248694442"",""Table 2: MMC!R5:R114""), $A15=IMPORTRANGE(""https://docs.google.com/spreadsheets/d/1kGrh75X1cNR1D7_FcY9zMnHP8iPO4M5RCRjy6"&amp;"nZY0TY/edit#gid=1248694442"",""Table 2: MMC!A5:A114"")),"""")"),"")</f>
        <v/>
      </c>
      <c r="L15" s="14" t="str">
        <f>IFERROR(__xludf.DUMMYFUNCTION("IFNA(FILTER(IMPORTRANGE(""https://docs.google.com/spreadsheets/d/1kGrh75X1cNR1D7_FcY9zMnHP8iPO4M5RCRjy6nZY0TY/edit#gid=1248694442"",""Table 2: MMC!S5:S114""), $A15=IMPORTRANGE(""https://docs.google.com/spreadsheets/d/1kGrh75X1cNR1D7_FcY9zMnHP8iPO4M5RCRjy6"&amp;"nZY0TY/edit#gid=1248694442"",""Table 2: MMC!A5:A114"")),"""")"),"")</f>
        <v/>
      </c>
      <c r="M15" s="14" t="str">
        <f>IFERROR(__xludf.DUMMYFUNCTION("IFNA(FILTER(IMPORTRANGE(""https://docs.google.com/spreadsheets/d/1kGrh75X1cNR1D7_FcY9zMnHP8iPO4M5RCRjy6nZY0TY/edit#gid=1248694442"",""Table 3: 1st-line HC!D5:D111""), $A15=IMPORTRANGE(""https://docs.google.com/spreadsheets/d/1kGrh75X1cNR1D7_FcY9zMnHP8iPO4"&amp;"M5RCRjy6nZY0TY/edit#gid=1248694442"",""Table 3: 1st-line HC!A5:A111"")),"""")"),"")</f>
        <v/>
      </c>
      <c r="N15" s="14" t="str">
        <f>IFERROR(__xludf.DUMMYFUNCTION("IFNA(FILTER(IMPORTRANGE(""https://docs.google.com/spreadsheets/d/1kGrh75X1cNR1D7_FcY9zMnHP8iPO4M5RCRjy6nZY0TY/edit#gid=1248694442"",""Table 3: 1st-line HC!E5:E111""), $A15=IMPORTRANGE(""https://docs.google.com/spreadsheets/d/1kGrh75X1cNR1D7_FcY9zMnHP8iPO4"&amp;"M5RCRjy6nZY0TY/edit#gid=1248694442"",""Table 3: 1st-line HC!A5:A111"")),"""")"),"")</f>
        <v/>
      </c>
      <c r="O15" s="14">
        <f>IFERROR(__xludf.DUMMYFUNCTION("IFNA(FILTER(IMPORTRANGE(""https://docs.google.com/spreadsheets/d/1kGrh75X1cNR1D7_FcY9zMnHP8iPO4M5RCRjy6nZY0TY/edit#gid=1248694442"",""Table 3: 1st-line HC!K5:K111""), $A15=IMPORTRANGE(""https://docs.google.com/spreadsheets/d/1kGrh75X1cNR1D7_FcY9zMnHP8iPO4"&amp;"M5RCRjy6nZY0TY/edit#gid=1248694442"",""Table 3: 1st-line HC!A5:A111"")),"""")"),30.0)</f>
        <v>30</v>
      </c>
      <c r="P15" s="14" t="str">
        <f>IFERROR(__xludf.DUMMYFUNCTION("IFNA(FILTER(IMPORTRANGE(""https://docs.google.com/spreadsheets/d/1kGrh75X1cNR1D7_FcY9zMnHP8iPO4M5RCRjy6nZY0TY/edit#gid=1248694442"",""Table 3: 1st-line HC!L5:L111""), $A15=IMPORTRANGE(""https://docs.google.com/spreadsheets/d/1kGrh75X1cNR1D7_FcY9zMnHP8iPO4"&amp;"M5RCRjy6nZY0TY/edit#gid=1248694442"",""Table 3: 1st-line HC!A5:A111"")),"""")"),"")</f>
        <v/>
      </c>
      <c r="Q15" s="14" t="str">
        <f>IFERROR(__xludf.DUMMYFUNCTION("IFNA(FILTER(IMPORTRANGE(""https://docs.google.com/spreadsheets/d/1kGrh75X1cNR1D7_FcY9zMnHP8iPO4M5RCRjy6nZY0TY/edit#gid=1248694442"",""Table 3: 1st-line HC!M5:M111""), $A15=IMPORTRANGE(""https://docs.google.com/spreadsheets/d/1kGrh75X1cNR1D7_FcY9zMnHP8iPO4"&amp;"M5RCRjy6nZY0TY/edit#gid=1248694442"",""Table 3: 1st-line HC!A5:A111"")),"""")"),"")</f>
        <v/>
      </c>
      <c r="R15" s="14" t="str">
        <f>IFERROR(__xludf.DUMMYFUNCTION("IFNA(FILTER(IMPORTRANGE(""https://docs.google.com/spreadsheets/d/1kGrh75X1cNR1D7_FcY9zMnHP8iPO4M5RCRjy6nZY0TY/edit#gid=1248694442"",""Table 3: 1st-line HC!N5:N111""), $A15=IMPORTRANGE(""https://docs.google.com/spreadsheets/d/1kGrh75X1cNR1D7_FcY9zMnHP8iPO4"&amp;"M5RCRjy6nZY0TY/edit#gid=1248694442"",""Table 3: 1st-line HC!A5:A111"")),"""")"),"")</f>
        <v/>
      </c>
      <c r="S15" s="14" t="str">
        <f>IFERROR(__xludf.DUMMYFUNCTION("IFNA(FILTER(IMPORTRANGE(""https://docs.google.com/spreadsheets/d/1kGrh75X1cNR1D7_FcY9zMnHP8iPO4M5RCRjy6nZY0TY/edit#gid=1248694442"",""Table 3: 1st-line HC!T5:T111""), $A15=IMPORTRANGE(""https://docs.google.com/spreadsheets/d/1kGrh75X1cNR1D7_FcY9zMnHP8iPO4"&amp;"M5RCRjy6nZY0TY/edit#gid=1248694442"",""Table 3: 1st-line HC!A5:A111"")),"""")"),"")</f>
        <v/>
      </c>
      <c r="T15" s="14" t="str">
        <f>IFERROR(__xludf.DUMMYFUNCTION("IFNA(FILTER(IMPORTRANGE(""https://docs.google.com/spreadsheets/d/1kGrh75X1cNR1D7_FcY9zMnHP8iPO4M5RCRjy6nZY0TY/edit#gid=1248694442"",""Table 3: 1st-line HC!U5:U111""), $A15=IMPORTRANGE(""https://docs.google.com/spreadsheets/d/1kGrh75X1cNR1D7_FcY9zMnHP8iPO4"&amp;"M5RCRjy6nZY0TY/edit#gid=1248694442"",""Table 3: 1st-line HC!A5:A111"")),"""")"),"")</f>
        <v/>
      </c>
      <c r="U15" s="14" t="str">
        <f>IFERROR(__xludf.DUMMYFUNCTION("IFNA(FILTER(IMPORTRANGE(""https://docs.google.com/spreadsheets/d/1kGrh75X1cNR1D7_FcY9zMnHP8iPO4M5RCRjy6nZY0TY/edit#gid=1248694442"",""Table 3: 1st-line HC!V5:V111""), $A15=IMPORTRANGE(""https://docs.google.com/spreadsheets/d/1kGrh75X1cNR1D7_FcY9zMnHP8iPO4"&amp;"M5RCRjy6nZY0TY/edit#gid=1248694442"",""Table 3: 1st-line HC!A5:A111"")),"""")"),"")</f>
        <v/>
      </c>
      <c r="V15" s="14" t="str">
        <f>IFERROR(__xludf.DUMMYFUNCTION("IFNA(FILTER(IMPORTRANGE(""https://docs.google.com/spreadsheets/d/1kGrh75X1cNR1D7_FcY9zMnHP8iPO4M5RCRjy6nZY0TY/edit#gid=1248694442"",""Table 3: 1st-line HC!AE5:AE111""), $A15=IMPORTRANGE(""https://docs.google.com/spreadsheets/d/1kGrh75X1cNR1D7_FcY9zMnHP8iP"&amp;"O4M5RCRjy6nZY0TY/edit#gid=1248694442"",""Table 3: 1st-line HC!A5:A111"")),"""")"),"")</f>
        <v/>
      </c>
      <c r="W15" s="14" t="str">
        <f>IFERROR(__xludf.DUMMYFUNCTION("IFNA(FILTER(IMPORTRANGE(""https://docs.google.com/spreadsheets/d/1kGrh75X1cNR1D7_FcY9zMnHP8iPO4M5RCRjy6nZY0TY/edit#gid=1248694442"",""Table 3: 1st-line HC!AG5:AG111""), $A15=IMPORTRANGE(""https://docs.google.com/spreadsheets/d/1kGrh75X1cNR1D7_FcY9zMnHP8iP"&amp;"O4M5RCRjy6nZY0TY/edit#gid=1248694442"",""Table 3: 1st-line HC!A5:A111"")),"""")"),"")</f>
        <v/>
      </c>
      <c r="X15" s="14" t="str">
        <f>IFERROR(__xludf.DUMMYFUNCTION("IFNA(FILTER(IMPORTRANGE(""https://docs.google.com/spreadsheets/d/1kGrh75X1cNR1D7_FcY9zMnHP8iPO4M5RCRjy6nZY0TY/edit#gid=1248694442"",""Table 3: 1st-line HC!AI5:AI111""), $A15=IMPORTRANGE(""https://docs.google.com/spreadsheets/d/1kGrh75X1cNR1D7_FcY9zMnHP8iP"&amp;"O4M5RCRjy6nZY0TY/edit#gid=1248694442"",""Table 3: 1st-line HC!A5:A111"")),"""")"),"")</f>
        <v/>
      </c>
    </row>
    <row r="16">
      <c r="A16" s="4" t="str">
        <f>IFERROR(__xludf.DUMMYFUNCTION("""COMPUTED_VALUE"""),"ID 24")</f>
        <v>ID 24</v>
      </c>
      <c r="B16" s="14" t="str">
        <f>IFERROR(__xludf.DUMMYFUNCTION("IFNA(FILTER(IMPORTRANGE(""https://docs.google.com/spreadsheets/d/1kGrh75X1cNR1D7_FcY9zMnHP8iPO4M5RCRjy6nZY0TY/edit#gid=1248694442"",""Table 2: MMC!D5:D114""), $A16=IMPORTRANGE(""https://docs.google.com/spreadsheets/d/1kGrh75X1cNR1D7_FcY9zMnHP8iPO4M5RCRjy6"&amp;"nZY0TY/edit#gid=1248694442"",""Table 2: MMC!A5:A114"")),"""")"),"")</f>
        <v/>
      </c>
      <c r="C16" s="14" t="str">
        <f>IFERROR(__xludf.DUMMYFUNCTION("IFNA(FILTER(IMPORTRANGE(""https://docs.google.com/spreadsheets/d/1kGrh75X1cNR1D7_FcY9zMnHP8iPO4M5RCRjy6nZY0TY/edit#gid=1248694442"",""Table 2: MMC!E5:E114""), $A16=IMPORTRANGE(""https://docs.google.com/spreadsheets/d/1kGrh75X1cNR1D7_FcY9zMnHP8iPO4M5RCRjy6"&amp;"nZY0TY/edit#gid=1248694442"",""Table 2: MMC!A5:A114"")),"""")"),"")</f>
        <v/>
      </c>
      <c r="D16" s="14" t="str">
        <f>IFERROR(__xludf.DUMMYFUNCTION("IFNA(FILTER(IMPORTRANGE(""https://docs.google.com/spreadsheets/d/1kGrh75X1cNR1D7_FcY9zMnHP8iPO4M5RCRjy6nZY0TY/edit#gid=1248694442"",""Table 2: MMC!F5:F114""), $A16=IMPORTRANGE(""https://docs.google.com/spreadsheets/d/1kGrh75X1cNR1D7_FcY9zMnHP8iPO4M5RCRjy6"&amp;"nZY0TY/edit#gid=1248694442"",""Table 2: MMC!A5:A114"")),"""")"),"")</f>
        <v/>
      </c>
      <c r="E16" s="14" t="str">
        <f>IFERROR(__xludf.DUMMYFUNCTION("IFNA(FILTER(IMPORTRANGE(""https://docs.google.com/spreadsheets/d/1kGrh75X1cNR1D7_FcY9zMnHP8iPO4M5RCRjy6nZY0TY/edit#gid=1248694442"",""Table 2: MMC!G5:G114""), $A16=IMPORTRANGE(""https://docs.google.com/spreadsheets/d/1kGrh75X1cNR1D7_FcY9zMnHP8iPO4M5RCRjy6"&amp;"nZY0TY/edit#gid=1248694442"",""Table 2: MMC!A5:A114"")),"""")"),"")</f>
        <v/>
      </c>
      <c r="F16" s="14" t="str">
        <f>IFERROR(__xludf.DUMMYFUNCTION("IFNA(FILTER(IMPORTRANGE(""https://docs.google.com/spreadsheets/d/1kGrh75X1cNR1D7_FcY9zMnHP8iPO4M5RCRjy6nZY0TY/edit#gid=1248694442"",""Table 2: MMC!H5:H114""), $A16=IMPORTRANGE(""https://docs.google.com/spreadsheets/d/1kGrh75X1cNR1D7_FcY9zMnHP8iPO4M5RCRjy6"&amp;"nZY0TY/edit#gid=1248694442"",""Table 2: MMC!A5:A114"")),"""")"),"")</f>
        <v/>
      </c>
      <c r="G16" s="14" t="str">
        <f>IFERROR(__xludf.DUMMYFUNCTION("IFNA(FILTER(IMPORTRANGE(""https://docs.google.com/spreadsheets/d/1kGrh75X1cNR1D7_FcY9zMnHP8iPO4M5RCRjy6nZY0TY/edit#gid=1248694442"",""Table 2: MMC!I5:I114""), $A16=IMPORTRANGE(""https://docs.google.com/spreadsheets/d/1kGrh75X1cNR1D7_FcY9zMnHP8iPO4M5RCRjy6"&amp;"nZY0TY/edit#gid=1248694442"",""Table 2: MMC!A5:A114"")),"""")"),"")</f>
        <v/>
      </c>
      <c r="H16" s="14" t="str">
        <f>IFERROR(__xludf.DUMMYFUNCTION("IFNA(FILTER(IMPORTRANGE(""https://docs.google.com/spreadsheets/d/1kGrh75X1cNR1D7_FcY9zMnHP8iPO4M5RCRjy6nZY0TY/edit#gid=1248694442"",""Table 2: MMC!J5:J114""), $A16=IMPORTRANGE(""https://docs.google.com/spreadsheets/d/1kGrh75X1cNR1D7_FcY9zMnHP8iPO4M5RCRjy6"&amp;"nZY0TY/edit#gid=1248694442"",""Table 2: MMC!A5:A114"")),"""")"),"post-natal")</f>
        <v>post-natal</v>
      </c>
      <c r="I16" s="14" t="str">
        <f>IFERROR(__xludf.DUMMYFUNCTION("IFNA(FILTER(IMPORTRANGE(""https://docs.google.com/spreadsheets/d/1kGrh75X1cNR1D7_FcY9zMnHP8iPO4M5RCRjy6nZY0TY/edit#gid=1248694442"",""Table 2: MMC!M5:M114""), $A16=IMPORTRANGE(""https://docs.google.com/spreadsheets/d/1kGrh75X1cNR1D7_FcY9zMnHP8iPO4M5RCRjy6"&amp;"nZY0TY/edit#gid=1248694442"",""Table 2: MMC!A5:A114"")),"""")"),"")</f>
        <v/>
      </c>
      <c r="J16" s="14" t="str">
        <f>IFERROR(__xludf.DUMMYFUNCTION("IFNA(FILTER(IMPORTRANGE(""https://docs.google.com/spreadsheets/d/1kGrh75X1cNR1D7_FcY9zMnHP8iPO4M5RCRjy6nZY0TY/edit#gid=1248694442"",""Table 2: MMC!Q5:Q114""), $A16=IMPORTRANGE(""https://docs.google.com/spreadsheets/d/1kGrh75X1cNR1D7_FcY9zMnHP8iPO4M5RCRjy6"&amp;"nZY0TY/edit#gid=1248694442"",""Table 2: MMC!A5:A114"")),"""")"),"")</f>
        <v/>
      </c>
      <c r="K16" s="14" t="str">
        <f>IFERROR(__xludf.DUMMYFUNCTION("IFNA(FILTER(IMPORTRANGE(""https://docs.google.com/spreadsheets/d/1kGrh75X1cNR1D7_FcY9zMnHP8iPO4M5RCRjy6nZY0TY/edit#gid=1248694442"",""Table 2: MMC!R5:R114""), $A16=IMPORTRANGE(""https://docs.google.com/spreadsheets/d/1kGrh75X1cNR1D7_FcY9zMnHP8iPO4M5RCRjy6"&amp;"nZY0TY/edit#gid=1248694442"",""Table 2: MMC!A5:A114"")),"""")"),"")</f>
        <v/>
      </c>
      <c r="L16" s="14" t="str">
        <f>IFERROR(__xludf.DUMMYFUNCTION("IFNA(FILTER(IMPORTRANGE(""https://docs.google.com/spreadsheets/d/1kGrh75X1cNR1D7_FcY9zMnHP8iPO4M5RCRjy6nZY0TY/edit#gid=1248694442"",""Table 2: MMC!S5:S114""), $A16=IMPORTRANGE(""https://docs.google.com/spreadsheets/d/1kGrh75X1cNR1D7_FcY9zMnHP8iPO4M5RCRjy6"&amp;"nZY0TY/edit#gid=1248694442"",""Table 2: MMC!A5:A114"")),"""")"),"")</f>
        <v/>
      </c>
      <c r="M16" s="14" t="str">
        <f>IFERROR(__xludf.DUMMYFUNCTION("IFNA(FILTER(IMPORTRANGE(""https://docs.google.com/spreadsheets/d/1kGrh75X1cNR1D7_FcY9zMnHP8iPO4M5RCRjy6nZY0TY/edit#gid=1248694442"",""Table 3: 1st-line HC!D5:D111""), $A16=IMPORTRANGE(""https://docs.google.com/spreadsheets/d/1kGrh75X1cNR1D7_FcY9zMnHP8iPO4"&amp;"M5RCRjy6nZY0TY/edit#gid=1248694442"",""Table 3: 1st-line HC!A5:A111"")),"""")"),"")</f>
        <v/>
      </c>
      <c r="N16" s="14" t="str">
        <f>IFERROR(__xludf.DUMMYFUNCTION("IFNA(FILTER(IMPORTRANGE(""https://docs.google.com/spreadsheets/d/1kGrh75X1cNR1D7_FcY9zMnHP8iPO4M5RCRjy6nZY0TY/edit#gid=1248694442"",""Table 3: 1st-line HC!E5:E111""), $A16=IMPORTRANGE(""https://docs.google.com/spreadsheets/d/1kGrh75X1cNR1D7_FcY9zMnHP8iPO4"&amp;"M5RCRjy6nZY0TY/edit#gid=1248694442"",""Table 3: 1st-line HC!A5:A111"")),"""")"),"")</f>
        <v/>
      </c>
      <c r="O16" s="14" t="str">
        <f>IFERROR(__xludf.DUMMYFUNCTION("IFNA(FILTER(IMPORTRANGE(""https://docs.google.com/spreadsheets/d/1kGrh75X1cNR1D7_FcY9zMnHP8iPO4M5RCRjy6nZY0TY/edit#gid=1248694442"",""Table 3: 1st-line HC!K5:K111""), $A16=IMPORTRANGE(""https://docs.google.com/spreadsheets/d/1kGrh75X1cNR1D7_FcY9zMnHP8iPO4"&amp;"M5RCRjy6nZY0TY/edit#gid=1248694442"",""Table 3: 1st-line HC!A5:A111"")),"""")"),"")</f>
        <v/>
      </c>
      <c r="P16" s="14" t="str">
        <f>IFERROR(__xludf.DUMMYFUNCTION("IFNA(FILTER(IMPORTRANGE(""https://docs.google.com/spreadsheets/d/1kGrh75X1cNR1D7_FcY9zMnHP8iPO4M5RCRjy6nZY0TY/edit#gid=1248694442"",""Table 3: 1st-line HC!L5:L111""), $A16=IMPORTRANGE(""https://docs.google.com/spreadsheets/d/1kGrh75X1cNR1D7_FcY9zMnHP8iPO4"&amp;"M5RCRjy6nZY0TY/edit#gid=1248694442"",""Table 3: 1st-line HC!A5:A111"")),"""")"),"")</f>
        <v/>
      </c>
      <c r="Q16" s="14" t="str">
        <f>IFERROR(__xludf.DUMMYFUNCTION("IFNA(FILTER(IMPORTRANGE(""https://docs.google.com/spreadsheets/d/1kGrh75X1cNR1D7_FcY9zMnHP8iPO4M5RCRjy6nZY0TY/edit#gid=1248694442"",""Table 3: 1st-line HC!M5:M111""), $A16=IMPORTRANGE(""https://docs.google.com/spreadsheets/d/1kGrh75X1cNR1D7_FcY9zMnHP8iPO4"&amp;"M5RCRjy6nZY0TY/edit#gid=1248694442"",""Table 3: 1st-line HC!A5:A111"")),"""")"),"")</f>
        <v/>
      </c>
      <c r="R16" s="14" t="str">
        <f>IFERROR(__xludf.DUMMYFUNCTION("IFNA(FILTER(IMPORTRANGE(""https://docs.google.com/spreadsheets/d/1kGrh75X1cNR1D7_FcY9zMnHP8iPO4M5RCRjy6nZY0TY/edit#gid=1248694442"",""Table 3: 1st-line HC!N5:N111""), $A16=IMPORTRANGE(""https://docs.google.com/spreadsheets/d/1kGrh75X1cNR1D7_FcY9zMnHP8iPO4"&amp;"M5RCRjy6nZY0TY/edit#gid=1248694442"",""Table 3: 1st-line HC!A5:A111"")),"""")"),"")</f>
        <v/>
      </c>
      <c r="S16" s="14">
        <f>IFERROR(__xludf.DUMMYFUNCTION("IFNA(FILTER(IMPORTRANGE(""https://docs.google.com/spreadsheets/d/1kGrh75X1cNR1D7_FcY9zMnHP8iPO4M5RCRjy6nZY0TY/edit#gid=1248694442"",""Table 3: 1st-line HC!T5:T111""), $A16=IMPORTRANGE(""https://docs.google.com/spreadsheets/d/1kGrh75X1cNR1D7_FcY9zMnHP8iPO4"&amp;"M5RCRjy6nZY0TY/edit#gid=1248694442"",""Table 3: 1st-line HC!A5:A111"")),"""")"),2.0)</f>
        <v>2</v>
      </c>
      <c r="T16" s="14">
        <f>IFERROR(__xludf.DUMMYFUNCTION("IFNA(FILTER(IMPORTRANGE(""https://docs.google.com/spreadsheets/d/1kGrh75X1cNR1D7_FcY9zMnHP8iPO4M5RCRjy6nZY0TY/edit#gid=1248694442"",""Table 3: 1st-line HC!U5:U111""), $A16=IMPORTRANGE(""https://docs.google.com/spreadsheets/d/1kGrh75X1cNR1D7_FcY9zMnHP8iPO4"&amp;"M5RCRjy6nZY0TY/edit#gid=1248694442"",""Table 3: 1st-line HC!A5:A111"")),"""")"),2.0)</f>
        <v>2</v>
      </c>
      <c r="U16" s="14" t="str">
        <f>IFERROR(__xludf.DUMMYFUNCTION("IFNA(FILTER(IMPORTRANGE(""https://docs.google.com/spreadsheets/d/1kGrh75X1cNR1D7_FcY9zMnHP8iPO4M5RCRjy6nZY0TY/edit#gid=1248694442"",""Table 3: 1st-line HC!V5:V111""), $A16=IMPORTRANGE(""https://docs.google.com/spreadsheets/d/1kGrh75X1cNR1D7_FcY9zMnHP8iPO4"&amp;"M5RCRjy6nZY0TY/edit#gid=1248694442"",""Table 3: 1st-line HC!A5:A111"")),"""")"),"")</f>
        <v/>
      </c>
      <c r="V16" s="14" t="str">
        <f>IFERROR(__xludf.DUMMYFUNCTION("IFNA(FILTER(IMPORTRANGE(""https://docs.google.com/spreadsheets/d/1kGrh75X1cNR1D7_FcY9zMnHP8iPO4M5RCRjy6nZY0TY/edit#gid=1248694442"",""Table 3: 1st-line HC!AE5:AE111""), $A16=IMPORTRANGE(""https://docs.google.com/spreadsheets/d/1kGrh75X1cNR1D7_FcY9zMnHP8iP"&amp;"O4M5RCRjy6nZY0TY/edit#gid=1248694442"",""Table 3: 1st-line HC!A5:A111"")),"""")"),"")</f>
        <v/>
      </c>
      <c r="W16" s="14" t="str">
        <f>IFERROR(__xludf.DUMMYFUNCTION("IFNA(FILTER(IMPORTRANGE(""https://docs.google.com/spreadsheets/d/1kGrh75X1cNR1D7_FcY9zMnHP8iPO4M5RCRjy6nZY0TY/edit#gid=1248694442"",""Table 3: 1st-line HC!AG5:AG111""), $A16=IMPORTRANGE(""https://docs.google.com/spreadsheets/d/1kGrh75X1cNR1D7_FcY9zMnHP8iP"&amp;"O4M5RCRjy6nZY0TY/edit#gid=1248694442"",""Table 3: 1st-line HC!A5:A111"")),"""")"),"")</f>
        <v/>
      </c>
      <c r="X16" s="14" t="str">
        <f>IFERROR(__xludf.DUMMYFUNCTION("IFNA(FILTER(IMPORTRANGE(""https://docs.google.com/spreadsheets/d/1kGrh75X1cNR1D7_FcY9zMnHP8iPO4M5RCRjy6nZY0TY/edit#gid=1248694442"",""Table 3: 1st-line HC!AI5:AI111""), $A16=IMPORTRANGE(""https://docs.google.com/spreadsheets/d/1kGrh75X1cNR1D7_FcY9zMnHP8iP"&amp;"O4M5RCRjy6nZY0TY/edit#gid=1248694442"",""Table 3: 1st-line HC!A5:A111"")),"""")"),"")</f>
        <v/>
      </c>
    </row>
    <row r="17">
      <c r="A17" s="4" t="str">
        <f>IFERROR(__xludf.DUMMYFUNCTION("""COMPUTED_VALUE"""),"ID 27")</f>
        <v>ID 27</v>
      </c>
      <c r="B17" s="14" t="str">
        <f>IFERROR(__xludf.DUMMYFUNCTION("IFNA(FILTER(IMPORTRANGE(""https://docs.google.com/spreadsheets/d/1kGrh75X1cNR1D7_FcY9zMnHP8iPO4M5RCRjy6nZY0TY/edit#gid=1248694442"",""Table 2: MMC!D5:D114""), $A17=IMPORTRANGE(""https://docs.google.com/spreadsheets/d/1kGrh75X1cNR1D7_FcY9zMnHP8iPO4M5RCRjy6"&amp;"nZY0TY/edit#gid=1248694442"",""Table 2: MMC!A5:A114"")),"""")"),"")</f>
        <v/>
      </c>
      <c r="C17" s="14" t="str">
        <f>IFERROR(__xludf.DUMMYFUNCTION("IFNA(FILTER(IMPORTRANGE(""https://docs.google.com/spreadsheets/d/1kGrh75X1cNR1D7_FcY9zMnHP8iPO4M5RCRjy6nZY0TY/edit#gid=1248694442"",""Table 2: MMC!E5:E114""), $A17=IMPORTRANGE(""https://docs.google.com/spreadsheets/d/1kGrh75X1cNR1D7_FcY9zMnHP8iPO4M5RCRjy6"&amp;"nZY0TY/edit#gid=1248694442"",""Table 2: MMC!A5:A114"")),"""")"),"")</f>
        <v/>
      </c>
      <c r="D17" s="14" t="str">
        <f>IFERROR(__xludf.DUMMYFUNCTION("IFNA(FILTER(IMPORTRANGE(""https://docs.google.com/spreadsheets/d/1kGrh75X1cNR1D7_FcY9zMnHP8iPO4M5RCRjy6nZY0TY/edit#gid=1248694442"",""Table 2: MMC!F5:F114""), $A17=IMPORTRANGE(""https://docs.google.com/spreadsheets/d/1kGrh75X1cNR1D7_FcY9zMnHP8iPO4M5RCRjy6"&amp;"nZY0TY/edit#gid=1248694442"",""Table 2: MMC!A5:A114"")),"""")"),"")</f>
        <v/>
      </c>
      <c r="E17" s="14" t="str">
        <f>IFERROR(__xludf.DUMMYFUNCTION("IFNA(FILTER(IMPORTRANGE(""https://docs.google.com/spreadsheets/d/1kGrh75X1cNR1D7_FcY9zMnHP8iPO4M5RCRjy6nZY0TY/edit#gid=1248694442"",""Table 2: MMC!G5:G114""), $A17=IMPORTRANGE(""https://docs.google.com/spreadsheets/d/1kGrh75X1cNR1D7_FcY9zMnHP8iPO4M5RCRjy6"&amp;"nZY0TY/edit#gid=1248694442"",""Table 2: MMC!A5:A114"")),"""")"),"")</f>
        <v/>
      </c>
      <c r="F17" s="14" t="str">
        <f>IFERROR(__xludf.DUMMYFUNCTION("IFNA(FILTER(IMPORTRANGE(""https://docs.google.com/spreadsheets/d/1kGrh75X1cNR1D7_FcY9zMnHP8iPO4M5RCRjy6nZY0TY/edit#gid=1248694442"",""Table 2: MMC!H5:H114""), $A17=IMPORTRANGE(""https://docs.google.com/spreadsheets/d/1kGrh75X1cNR1D7_FcY9zMnHP8iPO4M5RCRjy6"&amp;"nZY0TY/edit#gid=1248694442"",""Table 2: MMC!A5:A114"")),"""")"),"")</f>
        <v/>
      </c>
      <c r="G17" s="14" t="str">
        <f>IFERROR(__xludf.DUMMYFUNCTION("IFNA(FILTER(IMPORTRANGE(""https://docs.google.com/spreadsheets/d/1kGrh75X1cNR1D7_FcY9zMnHP8iPO4M5RCRjy6nZY0TY/edit#gid=1248694442"",""Table 2: MMC!I5:I114""), $A17=IMPORTRANGE(""https://docs.google.com/spreadsheets/d/1kGrh75X1cNR1D7_FcY9zMnHP8iPO4M5RCRjy6"&amp;"nZY0TY/edit#gid=1248694442"",""Table 2: MMC!A5:A114"")),"""")"),"")</f>
        <v/>
      </c>
      <c r="H17" s="14" t="str">
        <f>IFERROR(__xludf.DUMMYFUNCTION("IFNA(FILTER(IMPORTRANGE(""https://docs.google.com/spreadsheets/d/1kGrh75X1cNR1D7_FcY9zMnHP8iPO4M5RCRjy6nZY0TY/edit#gid=1248694442"",""Table 2: MMC!J5:J114""), $A17=IMPORTRANGE(""https://docs.google.com/spreadsheets/d/1kGrh75X1cNR1D7_FcY9zMnHP8iPO4M5RCRjy6"&amp;"nZY0TY/edit#gid=1248694442"",""Table 2: MMC!A5:A114"")),"""")"),"")</f>
        <v/>
      </c>
      <c r="I17" s="14" t="str">
        <f>IFERROR(__xludf.DUMMYFUNCTION("IFNA(FILTER(IMPORTRANGE(""https://docs.google.com/spreadsheets/d/1kGrh75X1cNR1D7_FcY9zMnHP8iPO4M5RCRjy6nZY0TY/edit#gid=1248694442"",""Table 2: MMC!M5:M114""), $A17=IMPORTRANGE(""https://docs.google.com/spreadsheets/d/1kGrh75X1cNR1D7_FcY9zMnHP8iPO4M5RCRjy6"&amp;"nZY0TY/edit#gid=1248694442"",""Table 2: MMC!A5:A114"")),"""")"),"")</f>
        <v/>
      </c>
      <c r="J17" s="14" t="str">
        <f>IFERROR(__xludf.DUMMYFUNCTION("IFNA(FILTER(IMPORTRANGE(""https://docs.google.com/spreadsheets/d/1kGrh75X1cNR1D7_FcY9zMnHP8iPO4M5RCRjy6nZY0TY/edit#gid=1248694442"",""Table 2: MMC!Q5:Q114""), $A17=IMPORTRANGE(""https://docs.google.com/spreadsheets/d/1kGrh75X1cNR1D7_FcY9zMnHP8iPO4M5RCRjy6"&amp;"nZY0TY/edit#gid=1248694442"",""Table 2: MMC!A5:A114"")),"""")"),"")</f>
        <v/>
      </c>
      <c r="K17" s="14" t="str">
        <f>IFERROR(__xludf.DUMMYFUNCTION("IFNA(FILTER(IMPORTRANGE(""https://docs.google.com/spreadsheets/d/1kGrh75X1cNR1D7_FcY9zMnHP8iPO4M5RCRjy6nZY0TY/edit#gid=1248694442"",""Table 2: MMC!R5:R114""), $A17=IMPORTRANGE(""https://docs.google.com/spreadsheets/d/1kGrh75X1cNR1D7_FcY9zMnHP8iPO4M5RCRjy6"&amp;"nZY0TY/edit#gid=1248694442"",""Table 2: MMC!A5:A114"")),"""")"),"")</f>
        <v/>
      </c>
      <c r="L17" s="14" t="str">
        <f>IFERROR(__xludf.DUMMYFUNCTION("IFNA(FILTER(IMPORTRANGE(""https://docs.google.com/spreadsheets/d/1kGrh75X1cNR1D7_FcY9zMnHP8iPO4M5RCRjy6nZY0TY/edit#gid=1248694442"",""Table 2: MMC!S5:S114""), $A17=IMPORTRANGE(""https://docs.google.com/spreadsheets/d/1kGrh75X1cNR1D7_FcY9zMnHP8iPO4M5RCRjy6"&amp;"nZY0TY/edit#gid=1248694442"",""Table 2: MMC!A5:A114"")),"""")"),"")</f>
        <v/>
      </c>
      <c r="M17" s="14" t="str">
        <f>IFERROR(__xludf.DUMMYFUNCTION("IFNA(FILTER(IMPORTRANGE(""https://docs.google.com/spreadsheets/d/1kGrh75X1cNR1D7_FcY9zMnHP8iPO4M5RCRjy6nZY0TY/edit#gid=1248694442"",""Table 3: 1st-line HC!D5:D111""), $A17=IMPORTRANGE(""https://docs.google.com/spreadsheets/d/1kGrh75X1cNR1D7_FcY9zMnHP8iPO4"&amp;"M5RCRjy6nZY0TY/edit#gid=1248694442"",""Table 3: 1st-line HC!A5:A111"")),"""")"),"")</f>
        <v/>
      </c>
      <c r="N17" s="14" t="str">
        <f>IFERROR(__xludf.DUMMYFUNCTION("IFNA(FILTER(IMPORTRANGE(""https://docs.google.com/spreadsheets/d/1kGrh75X1cNR1D7_FcY9zMnHP8iPO4M5RCRjy6nZY0TY/edit#gid=1248694442"",""Table 3: 1st-line HC!E5:E111""), $A17=IMPORTRANGE(""https://docs.google.com/spreadsheets/d/1kGrh75X1cNR1D7_FcY9zMnHP8iPO4"&amp;"M5RCRjy6nZY0TY/edit#gid=1248694442"",""Table 3: 1st-line HC!A5:A111"")),"""")"),"")</f>
        <v/>
      </c>
      <c r="O17" s="14" t="str">
        <f>IFERROR(__xludf.DUMMYFUNCTION("IFNA(FILTER(IMPORTRANGE(""https://docs.google.com/spreadsheets/d/1kGrh75X1cNR1D7_FcY9zMnHP8iPO4M5RCRjy6nZY0TY/edit#gid=1248694442"",""Table 3: 1st-line HC!K5:K111""), $A17=IMPORTRANGE(""https://docs.google.com/spreadsheets/d/1kGrh75X1cNR1D7_FcY9zMnHP8iPO4"&amp;"M5RCRjy6nZY0TY/edit#gid=1248694442"",""Table 3: 1st-line HC!A5:A111"")),"""")"),"")</f>
        <v/>
      </c>
      <c r="P17" s="14" t="str">
        <f>IFERROR(__xludf.DUMMYFUNCTION("IFNA(FILTER(IMPORTRANGE(""https://docs.google.com/spreadsheets/d/1kGrh75X1cNR1D7_FcY9zMnHP8iPO4M5RCRjy6nZY0TY/edit#gid=1248694442"",""Table 3: 1st-line HC!L5:L111""), $A17=IMPORTRANGE(""https://docs.google.com/spreadsheets/d/1kGrh75X1cNR1D7_FcY9zMnHP8iPO4"&amp;"M5RCRjy6nZY0TY/edit#gid=1248694442"",""Table 3: 1st-line HC!A5:A111"")),"""")"),"")</f>
        <v/>
      </c>
      <c r="Q17" s="14" t="str">
        <f>IFERROR(__xludf.DUMMYFUNCTION("IFNA(FILTER(IMPORTRANGE(""https://docs.google.com/spreadsheets/d/1kGrh75X1cNR1D7_FcY9zMnHP8iPO4M5RCRjy6nZY0TY/edit#gid=1248694442"",""Table 3: 1st-line HC!M5:M111""), $A17=IMPORTRANGE(""https://docs.google.com/spreadsheets/d/1kGrh75X1cNR1D7_FcY9zMnHP8iPO4"&amp;"M5RCRjy6nZY0TY/edit#gid=1248694442"",""Table 3: 1st-line HC!A5:A111"")),"""")"),"")</f>
        <v/>
      </c>
      <c r="R17" s="14" t="str">
        <f>IFERROR(__xludf.DUMMYFUNCTION("IFNA(FILTER(IMPORTRANGE(""https://docs.google.com/spreadsheets/d/1kGrh75X1cNR1D7_FcY9zMnHP8iPO4M5RCRjy6nZY0TY/edit#gid=1248694442"",""Table 3: 1st-line HC!N5:N111""), $A17=IMPORTRANGE(""https://docs.google.com/spreadsheets/d/1kGrh75X1cNR1D7_FcY9zMnHP8iPO4"&amp;"M5RCRjy6nZY0TY/edit#gid=1248694442"",""Table 3: 1st-line HC!A5:A111"")),"""")"),"")</f>
        <v/>
      </c>
      <c r="S17" s="14" t="str">
        <f>IFERROR(__xludf.DUMMYFUNCTION("IFNA(FILTER(IMPORTRANGE(""https://docs.google.com/spreadsheets/d/1kGrh75X1cNR1D7_FcY9zMnHP8iPO4M5RCRjy6nZY0TY/edit#gid=1248694442"",""Table 3: 1st-line HC!T5:T111""), $A17=IMPORTRANGE(""https://docs.google.com/spreadsheets/d/1kGrh75X1cNR1D7_FcY9zMnHP8iPO4"&amp;"M5RCRjy6nZY0TY/edit#gid=1248694442"",""Table 3: 1st-line HC!A5:A111"")),"""")"),"")</f>
        <v/>
      </c>
      <c r="T17" s="14">
        <f>IFERROR(__xludf.DUMMYFUNCTION("IFNA(FILTER(IMPORTRANGE(""https://docs.google.com/spreadsheets/d/1kGrh75X1cNR1D7_FcY9zMnHP8iPO4M5RCRjy6nZY0TY/edit#gid=1248694442"",""Table 3: 1st-line HC!U5:U111""), $A17=IMPORTRANGE(""https://docs.google.com/spreadsheets/d/1kGrh75X1cNR1D7_FcY9zMnHP8iPO4"&amp;"M5RCRjy6nZY0TY/edit#gid=1248694442"",""Table 3: 1st-line HC!A5:A111"")),"""")"),4.0)</f>
        <v>4</v>
      </c>
      <c r="U17" s="14" t="str">
        <f>IFERROR(__xludf.DUMMYFUNCTION("IFNA(FILTER(IMPORTRANGE(""https://docs.google.com/spreadsheets/d/1kGrh75X1cNR1D7_FcY9zMnHP8iPO4M5RCRjy6nZY0TY/edit#gid=1248694442"",""Table 3: 1st-line HC!V5:V111""), $A17=IMPORTRANGE(""https://docs.google.com/spreadsheets/d/1kGrh75X1cNR1D7_FcY9zMnHP8iPO4"&amp;"M5RCRjy6nZY0TY/edit#gid=1248694442"",""Table 3: 1st-line HC!A5:A111"")),"""")"),"")</f>
        <v/>
      </c>
      <c r="V17" s="14">
        <f>IFERROR(__xludf.DUMMYFUNCTION("IFNA(FILTER(IMPORTRANGE(""https://docs.google.com/spreadsheets/d/1kGrh75X1cNR1D7_FcY9zMnHP8iPO4M5RCRjy6nZY0TY/edit#gid=1248694442"",""Table 3: 1st-line HC!AE5:AE111""), $A17=IMPORTRANGE(""https://docs.google.com/spreadsheets/d/1kGrh75X1cNR1D7_FcY9zMnHP8iP"&amp;"O4M5RCRjy6nZY0TY/edit#gid=1248694442"",""Table 3: 1st-line HC!A5:A111"")),"""")"),90.0)</f>
        <v>90</v>
      </c>
      <c r="W17" s="14" t="str">
        <f>IFERROR(__xludf.DUMMYFUNCTION("IFNA(FILTER(IMPORTRANGE(""https://docs.google.com/spreadsheets/d/1kGrh75X1cNR1D7_FcY9zMnHP8iPO4M5RCRjy6nZY0TY/edit#gid=1248694442"",""Table 3: 1st-line HC!AG5:AG111""), $A17=IMPORTRANGE(""https://docs.google.com/spreadsheets/d/1kGrh75X1cNR1D7_FcY9zMnHP8iP"&amp;"O4M5RCRjy6nZY0TY/edit#gid=1248694442"",""Table 3: 1st-line HC!A5:A111"")),"""")"),"")</f>
        <v/>
      </c>
      <c r="X17" s="14">
        <f>IFERROR(__xludf.DUMMYFUNCTION("IFNA(FILTER(IMPORTRANGE(""https://docs.google.com/spreadsheets/d/1kGrh75X1cNR1D7_FcY9zMnHP8iPO4M5RCRjy6nZY0TY/edit#gid=1248694442"",""Table 3: 1st-line HC!AI5:AI111""), $A17=IMPORTRANGE(""https://docs.google.com/spreadsheets/d/1kGrh75X1cNR1D7_FcY9zMnHP8iP"&amp;"O4M5RCRjy6nZY0TY/edit#gid=1248694442"",""Table 3: 1st-line HC!A5:A111"")),"""")"),76.0)</f>
        <v>76</v>
      </c>
    </row>
    <row r="18">
      <c r="A18" s="4" t="str">
        <f>IFERROR(__xludf.DUMMYFUNCTION("""COMPUTED_VALUE"""),"ID 28")</f>
        <v>ID 28</v>
      </c>
      <c r="B18" s="14" t="str">
        <f>IFERROR(__xludf.DUMMYFUNCTION("IFNA(FILTER(IMPORTRANGE(""https://docs.google.com/spreadsheets/d/1kGrh75X1cNR1D7_FcY9zMnHP8iPO4M5RCRjy6nZY0TY/edit#gid=1248694442"",""Table 2: MMC!D5:D114""), $A18=IMPORTRANGE(""https://docs.google.com/spreadsheets/d/1kGrh75X1cNR1D7_FcY9zMnHP8iPO4M5RCRjy6"&amp;"nZY0TY/edit#gid=1248694442"",""Table 2: MMC!A5:A114"")),"""")"),"")</f>
        <v/>
      </c>
      <c r="C18" s="14" t="str">
        <f>IFERROR(__xludf.DUMMYFUNCTION("IFNA(FILTER(IMPORTRANGE(""https://docs.google.com/spreadsheets/d/1kGrh75X1cNR1D7_FcY9zMnHP8iPO4M5RCRjy6nZY0TY/edit#gid=1248694442"",""Table 2: MMC!E5:E114""), $A18=IMPORTRANGE(""https://docs.google.com/spreadsheets/d/1kGrh75X1cNR1D7_FcY9zMnHP8iPO4M5RCRjy6"&amp;"nZY0TY/edit#gid=1248694442"",""Table 2: MMC!A5:A114"")),"""")"),"")</f>
        <v/>
      </c>
      <c r="D18" s="14" t="str">
        <f>IFERROR(__xludf.DUMMYFUNCTION("IFNA(FILTER(IMPORTRANGE(""https://docs.google.com/spreadsheets/d/1kGrh75X1cNR1D7_FcY9zMnHP8iPO4M5RCRjy6nZY0TY/edit#gid=1248694442"",""Table 2: MMC!F5:F114""), $A18=IMPORTRANGE(""https://docs.google.com/spreadsheets/d/1kGrh75X1cNR1D7_FcY9zMnHP8iPO4M5RCRjy6"&amp;"nZY0TY/edit#gid=1248694442"",""Table 2: MMC!A5:A114"")),"""")"),"")</f>
        <v/>
      </c>
      <c r="E18" s="14" t="str">
        <f>IFERROR(__xludf.DUMMYFUNCTION("IFNA(FILTER(IMPORTRANGE(""https://docs.google.com/spreadsheets/d/1kGrh75X1cNR1D7_FcY9zMnHP8iPO4M5RCRjy6nZY0TY/edit#gid=1248694442"",""Table 2: MMC!G5:G114""), $A18=IMPORTRANGE(""https://docs.google.com/spreadsheets/d/1kGrh75X1cNR1D7_FcY9zMnHP8iPO4M5RCRjy6"&amp;"nZY0TY/edit#gid=1248694442"",""Table 2: MMC!A5:A114"")),"""")"),"")</f>
        <v/>
      </c>
      <c r="F18" s="14" t="str">
        <f>IFERROR(__xludf.DUMMYFUNCTION("IFNA(FILTER(IMPORTRANGE(""https://docs.google.com/spreadsheets/d/1kGrh75X1cNR1D7_FcY9zMnHP8iPO4M5RCRjy6nZY0TY/edit#gid=1248694442"",""Table 2: MMC!H5:H114""), $A18=IMPORTRANGE(""https://docs.google.com/spreadsheets/d/1kGrh75X1cNR1D7_FcY9zMnHP8iPO4M5RCRjy6"&amp;"nZY0TY/edit#gid=1248694442"",""Table 2: MMC!A5:A114"")),"""")"),"")</f>
        <v/>
      </c>
      <c r="G18" s="14" t="str">
        <f>IFERROR(__xludf.DUMMYFUNCTION("IFNA(FILTER(IMPORTRANGE(""https://docs.google.com/spreadsheets/d/1kGrh75X1cNR1D7_FcY9zMnHP8iPO4M5RCRjy6nZY0TY/edit#gid=1248694442"",""Table 2: MMC!I5:I114""), $A18=IMPORTRANGE(""https://docs.google.com/spreadsheets/d/1kGrh75X1cNR1D7_FcY9zMnHP8iPO4M5RCRjy6"&amp;"nZY0TY/edit#gid=1248694442"",""Table 2: MMC!A5:A114"")),"""")"),"")</f>
        <v/>
      </c>
      <c r="H18" s="14" t="str">
        <f>IFERROR(__xludf.DUMMYFUNCTION("IFNA(FILTER(IMPORTRANGE(""https://docs.google.com/spreadsheets/d/1kGrh75X1cNR1D7_FcY9zMnHP8iPO4M5RCRjy6nZY0TY/edit#gid=1248694442"",""Table 2: MMC!J5:J114""), $A18=IMPORTRANGE(""https://docs.google.com/spreadsheets/d/1kGrh75X1cNR1D7_FcY9zMnHP8iPO4M5RCRjy6"&amp;"nZY0TY/edit#gid=1248694442"",""Table 2: MMC!A5:A114"")),"""")"),"")</f>
        <v/>
      </c>
      <c r="I18" s="14" t="str">
        <f>IFERROR(__xludf.DUMMYFUNCTION("IFNA(FILTER(IMPORTRANGE(""https://docs.google.com/spreadsheets/d/1kGrh75X1cNR1D7_FcY9zMnHP8iPO4M5RCRjy6nZY0TY/edit#gid=1248694442"",""Table 2: MMC!M5:M114""), $A18=IMPORTRANGE(""https://docs.google.com/spreadsheets/d/1kGrh75X1cNR1D7_FcY9zMnHP8iPO4M5RCRjy6"&amp;"nZY0TY/edit#gid=1248694442"",""Table 2: MMC!A5:A114"")),"""")"),"")</f>
        <v/>
      </c>
      <c r="J18" s="14" t="str">
        <f>IFERROR(__xludf.DUMMYFUNCTION("IFNA(FILTER(IMPORTRANGE(""https://docs.google.com/spreadsheets/d/1kGrh75X1cNR1D7_FcY9zMnHP8iPO4M5RCRjy6nZY0TY/edit#gid=1248694442"",""Table 2: MMC!Q5:Q114""), $A18=IMPORTRANGE(""https://docs.google.com/spreadsheets/d/1kGrh75X1cNR1D7_FcY9zMnHP8iPO4M5RCRjy6"&amp;"nZY0TY/edit#gid=1248694442"",""Table 2: MMC!A5:A114"")),"""")"),"")</f>
        <v/>
      </c>
      <c r="K18" s="14" t="str">
        <f>IFERROR(__xludf.DUMMYFUNCTION("IFNA(FILTER(IMPORTRANGE(""https://docs.google.com/spreadsheets/d/1kGrh75X1cNR1D7_FcY9zMnHP8iPO4M5RCRjy6nZY0TY/edit#gid=1248694442"",""Table 2: MMC!R5:R114""), $A18=IMPORTRANGE(""https://docs.google.com/spreadsheets/d/1kGrh75X1cNR1D7_FcY9zMnHP8iPO4M5RCRjy6"&amp;"nZY0TY/edit#gid=1248694442"",""Table 2: MMC!A5:A114"")),"""")"),"")</f>
        <v/>
      </c>
      <c r="L18" s="14" t="str">
        <f>IFERROR(__xludf.DUMMYFUNCTION("IFNA(FILTER(IMPORTRANGE(""https://docs.google.com/spreadsheets/d/1kGrh75X1cNR1D7_FcY9zMnHP8iPO4M5RCRjy6nZY0TY/edit#gid=1248694442"",""Table 2: MMC!S5:S114""), $A18=IMPORTRANGE(""https://docs.google.com/spreadsheets/d/1kGrh75X1cNR1D7_FcY9zMnHP8iPO4M5RCRjy6"&amp;"nZY0TY/edit#gid=1248694442"",""Table 2: MMC!A5:A114"")),"""")"),"")</f>
        <v/>
      </c>
      <c r="M18" s="14" t="str">
        <f>IFERROR(__xludf.DUMMYFUNCTION("IFNA(FILTER(IMPORTRANGE(""https://docs.google.com/spreadsheets/d/1kGrh75X1cNR1D7_FcY9zMnHP8iPO4M5RCRjy6nZY0TY/edit#gid=1248694442"",""Table 3: 1st-line HC!D5:D111""), $A18=IMPORTRANGE(""https://docs.google.com/spreadsheets/d/1kGrh75X1cNR1D7_FcY9zMnHP8iPO4"&amp;"M5RCRjy6nZY0TY/edit#gid=1248694442"",""Table 3: 1st-line HC!A5:A111"")),"""")"),"")</f>
        <v/>
      </c>
      <c r="N18" s="14" t="str">
        <f>IFERROR(__xludf.DUMMYFUNCTION("IFNA(FILTER(IMPORTRANGE(""https://docs.google.com/spreadsheets/d/1kGrh75X1cNR1D7_FcY9zMnHP8iPO4M5RCRjy6nZY0TY/edit#gid=1248694442"",""Table 3: 1st-line HC!E5:E111""), $A18=IMPORTRANGE(""https://docs.google.com/spreadsheets/d/1kGrh75X1cNR1D7_FcY9zMnHP8iPO4"&amp;"M5RCRjy6nZY0TY/edit#gid=1248694442"",""Table 3: 1st-line HC!A5:A111"")),"""")"),"")</f>
        <v/>
      </c>
      <c r="O18" s="14" t="str">
        <f>IFERROR(__xludf.DUMMYFUNCTION("IFNA(FILTER(IMPORTRANGE(""https://docs.google.com/spreadsheets/d/1kGrh75X1cNR1D7_FcY9zMnHP8iPO4M5RCRjy6nZY0TY/edit#gid=1248694442"",""Table 3: 1st-line HC!K5:K111""), $A18=IMPORTRANGE(""https://docs.google.com/spreadsheets/d/1kGrh75X1cNR1D7_FcY9zMnHP8iPO4"&amp;"M5RCRjy6nZY0TY/edit#gid=1248694442"",""Table 3: 1st-line HC!A5:A111"")),"""")"),"")</f>
        <v/>
      </c>
      <c r="P18" s="14" t="str">
        <f>IFERROR(__xludf.DUMMYFUNCTION("IFNA(FILTER(IMPORTRANGE(""https://docs.google.com/spreadsheets/d/1kGrh75X1cNR1D7_FcY9zMnHP8iPO4M5RCRjy6nZY0TY/edit#gid=1248694442"",""Table 3: 1st-line HC!L5:L111""), $A18=IMPORTRANGE(""https://docs.google.com/spreadsheets/d/1kGrh75X1cNR1D7_FcY9zMnHP8iPO4"&amp;"M5RCRjy6nZY0TY/edit#gid=1248694442"",""Table 3: 1st-line HC!A5:A111"")),"""")"),"")</f>
        <v/>
      </c>
      <c r="Q18" s="14" t="str">
        <f>IFERROR(__xludf.DUMMYFUNCTION("IFNA(FILTER(IMPORTRANGE(""https://docs.google.com/spreadsheets/d/1kGrh75X1cNR1D7_FcY9zMnHP8iPO4M5RCRjy6nZY0TY/edit#gid=1248694442"",""Table 3: 1st-line HC!M5:M111""), $A18=IMPORTRANGE(""https://docs.google.com/spreadsheets/d/1kGrh75X1cNR1D7_FcY9zMnHP8iPO4"&amp;"M5RCRjy6nZY0TY/edit#gid=1248694442"",""Table 3: 1st-line HC!A5:A111"")),"""")"),"")</f>
        <v/>
      </c>
      <c r="R18" s="14" t="str">
        <f>IFERROR(__xludf.DUMMYFUNCTION("IFNA(FILTER(IMPORTRANGE(""https://docs.google.com/spreadsheets/d/1kGrh75X1cNR1D7_FcY9zMnHP8iPO4M5RCRjy6nZY0TY/edit#gid=1248694442"",""Table 3: 1st-line HC!N5:N111""), $A18=IMPORTRANGE(""https://docs.google.com/spreadsheets/d/1kGrh75X1cNR1D7_FcY9zMnHP8iPO4"&amp;"M5RCRjy6nZY0TY/edit#gid=1248694442"",""Table 3: 1st-line HC!A5:A111"")),"""")"),"")</f>
        <v/>
      </c>
      <c r="S18" s="14" t="str">
        <f>IFERROR(__xludf.DUMMYFUNCTION("IFNA(FILTER(IMPORTRANGE(""https://docs.google.com/spreadsheets/d/1kGrh75X1cNR1D7_FcY9zMnHP8iPO4M5RCRjy6nZY0TY/edit#gid=1248694442"",""Table 3: 1st-line HC!T5:T111""), $A18=IMPORTRANGE(""https://docs.google.com/spreadsheets/d/1kGrh75X1cNR1D7_FcY9zMnHP8iPO4"&amp;"M5RCRjy6nZY0TY/edit#gid=1248694442"",""Table 3: 1st-line HC!A5:A111"")),"""")"),"")</f>
        <v/>
      </c>
      <c r="T18" s="14" t="str">
        <f>IFERROR(__xludf.DUMMYFUNCTION("IFNA(FILTER(IMPORTRANGE(""https://docs.google.com/spreadsheets/d/1kGrh75X1cNR1D7_FcY9zMnHP8iPO4M5RCRjy6nZY0TY/edit#gid=1248694442"",""Table 3: 1st-line HC!U5:U111""), $A18=IMPORTRANGE(""https://docs.google.com/spreadsheets/d/1kGrh75X1cNR1D7_FcY9zMnHP8iPO4"&amp;"M5RCRjy6nZY0TY/edit#gid=1248694442"",""Table 3: 1st-line HC!A5:A111"")),"""")"),"")</f>
        <v/>
      </c>
      <c r="U18" s="14" t="str">
        <f>IFERROR(__xludf.DUMMYFUNCTION("IFNA(FILTER(IMPORTRANGE(""https://docs.google.com/spreadsheets/d/1kGrh75X1cNR1D7_FcY9zMnHP8iPO4M5RCRjy6nZY0TY/edit#gid=1248694442"",""Table 3: 1st-line HC!V5:V111""), $A18=IMPORTRANGE(""https://docs.google.com/spreadsheets/d/1kGrh75X1cNR1D7_FcY9zMnHP8iPO4"&amp;"M5RCRjy6nZY0TY/edit#gid=1248694442"",""Table 3: 1st-line HC!A5:A111"")),"""")"),"")</f>
        <v/>
      </c>
      <c r="V18" s="14" t="str">
        <f>IFERROR(__xludf.DUMMYFUNCTION("IFNA(FILTER(IMPORTRANGE(""https://docs.google.com/spreadsheets/d/1kGrh75X1cNR1D7_FcY9zMnHP8iPO4M5RCRjy6nZY0TY/edit#gid=1248694442"",""Table 3: 1st-line HC!AE5:AE111""), $A18=IMPORTRANGE(""https://docs.google.com/spreadsheets/d/1kGrh75X1cNR1D7_FcY9zMnHP8iP"&amp;"O4M5RCRjy6nZY0TY/edit#gid=1248694442"",""Table 3: 1st-line HC!A5:A111"")),"""")"),"")</f>
        <v/>
      </c>
      <c r="W18" s="14" t="str">
        <f>IFERROR(__xludf.DUMMYFUNCTION("IFNA(FILTER(IMPORTRANGE(""https://docs.google.com/spreadsheets/d/1kGrh75X1cNR1D7_FcY9zMnHP8iPO4M5RCRjy6nZY0TY/edit#gid=1248694442"",""Table 3: 1st-line HC!AG5:AG111""), $A18=IMPORTRANGE(""https://docs.google.com/spreadsheets/d/1kGrh75X1cNR1D7_FcY9zMnHP8iP"&amp;"O4M5RCRjy6nZY0TY/edit#gid=1248694442"",""Table 3: 1st-line HC!A5:A111"")),"""")"),"")</f>
        <v/>
      </c>
      <c r="X18" s="14" t="str">
        <f>IFERROR(__xludf.DUMMYFUNCTION("IFNA(FILTER(IMPORTRANGE(""https://docs.google.com/spreadsheets/d/1kGrh75X1cNR1D7_FcY9zMnHP8iPO4M5RCRjy6nZY0TY/edit#gid=1248694442"",""Table 3: 1st-line HC!AI5:AI111""), $A18=IMPORTRANGE(""https://docs.google.com/spreadsheets/d/1kGrh75X1cNR1D7_FcY9zMnHP8iP"&amp;"O4M5RCRjy6nZY0TY/edit#gid=1248694442"",""Table 3: 1st-line HC!A5:A111"")),"""")"),"52-416")</f>
        <v>52-416</v>
      </c>
    </row>
    <row r="19">
      <c r="A19" s="4" t="str">
        <f>IFERROR(__xludf.DUMMYFUNCTION("""COMPUTED_VALUE"""),"ID 31")</f>
        <v>ID 31</v>
      </c>
      <c r="B19" s="14" t="str">
        <f>IFERROR(__xludf.DUMMYFUNCTION("IFNA(FILTER(IMPORTRANGE(""https://docs.google.com/spreadsheets/d/1kGrh75X1cNR1D7_FcY9zMnHP8iPO4M5RCRjy6nZY0TY/edit#gid=1248694442"",""Table 2: MMC!D5:D114""), $A19=IMPORTRANGE(""https://docs.google.com/spreadsheets/d/1kGrh75X1cNR1D7_FcY9zMnHP8iPO4M5RCRjy6"&amp;"nZY0TY/edit#gid=1248694442"",""Table 2: MMC!A5:A114"")),"""")"),"")</f>
        <v/>
      </c>
      <c r="C19" s="14" t="str">
        <f>IFERROR(__xludf.DUMMYFUNCTION("IFNA(FILTER(IMPORTRANGE(""https://docs.google.com/spreadsheets/d/1kGrh75X1cNR1D7_FcY9zMnHP8iPO4M5RCRjy6nZY0TY/edit#gid=1248694442"",""Table 2: MMC!E5:E114""), $A19=IMPORTRANGE(""https://docs.google.com/spreadsheets/d/1kGrh75X1cNR1D7_FcY9zMnHP8iPO4M5RCRjy6"&amp;"nZY0TY/edit#gid=1248694442"",""Table 2: MMC!A5:A114"")),"""")"),"")</f>
        <v/>
      </c>
      <c r="D19" s="14" t="str">
        <f>IFERROR(__xludf.DUMMYFUNCTION("IFNA(FILTER(IMPORTRANGE(""https://docs.google.com/spreadsheets/d/1kGrh75X1cNR1D7_FcY9zMnHP8iPO4M5RCRjy6nZY0TY/edit#gid=1248694442"",""Table 2: MMC!F5:F114""), $A19=IMPORTRANGE(""https://docs.google.com/spreadsheets/d/1kGrh75X1cNR1D7_FcY9zMnHP8iPO4M5RCRjy6"&amp;"nZY0TY/edit#gid=1248694442"",""Table 2: MMC!A5:A114"")),"""")"),"")</f>
        <v/>
      </c>
      <c r="E19" s="14" t="str">
        <f>IFERROR(__xludf.DUMMYFUNCTION("IFNA(FILTER(IMPORTRANGE(""https://docs.google.com/spreadsheets/d/1kGrh75X1cNR1D7_FcY9zMnHP8iPO4M5RCRjy6nZY0TY/edit#gid=1248694442"",""Table 2: MMC!G5:G114""), $A19=IMPORTRANGE(""https://docs.google.com/spreadsheets/d/1kGrh75X1cNR1D7_FcY9zMnHP8iPO4M5RCRjy6"&amp;"nZY0TY/edit#gid=1248694442"",""Table 2: MMC!A5:A114"")),"""")"),"")</f>
        <v/>
      </c>
      <c r="F19" s="14" t="str">
        <f>IFERROR(__xludf.DUMMYFUNCTION("IFNA(FILTER(IMPORTRANGE(""https://docs.google.com/spreadsheets/d/1kGrh75X1cNR1D7_FcY9zMnHP8iPO4M5RCRjy6nZY0TY/edit#gid=1248694442"",""Table 2: MMC!H5:H114""), $A19=IMPORTRANGE(""https://docs.google.com/spreadsheets/d/1kGrh75X1cNR1D7_FcY9zMnHP8iPO4M5RCRjy6"&amp;"nZY0TY/edit#gid=1248694442"",""Table 2: MMC!A5:A114"")),"""")"),"")</f>
        <v/>
      </c>
      <c r="G19" s="14" t="str">
        <f>IFERROR(__xludf.DUMMYFUNCTION("IFNA(FILTER(IMPORTRANGE(""https://docs.google.com/spreadsheets/d/1kGrh75X1cNR1D7_FcY9zMnHP8iPO4M5RCRjy6nZY0TY/edit#gid=1248694442"",""Table 2: MMC!I5:I114""), $A19=IMPORTRANGE(""https://docs.google.com/spreadsheets/d/1kGrh75X1cNR1D7_FcY9zMnHP8iPO4M5RCRjy6"&amp;"nZY0TY/edit#gid=1248694442"",""Table 2: MMC!A5:A114"")),"""")"),"")</f>
        <v/>
      </c>
      <c r="H19" s="14" t="str">
        <f>IFERROR(__xludf.DUMMYFUNCTION("IFNA(FILTER(IMPORTRANGE(""https://docs.google.com/spreadsheets/d/1kGrh75X1cNR1D7_FcY9zMnHP8iPO4M5RCRjy6nZY0TY/edit#gid=1248694442"",""Table 2: MMC!J5:J114""), $A19=IMPORTRANGE(""https://docs.google.com/spreadsheets/d/1kGrh75X1cNR1D7_FcY9zMnHP8iPO4M5RCRjy6"&amp;"nZY0TY/edit#gid=1248694442"",""Table 2: MMC!A5:A114"")),"""")"),"post-natal")</f>
        <v>post-natal</v>
      </c>
      <c r="I19" s="14" t="str">
        <f>IFERROR(__xludf.DUMMYFUNCTION("IFNA(FILTER(IMPORTRANGE(""https://docs.google.com/spreadsheets/d/1kGrh75X1cNR1D7_FcY9zMnHP8iPO4M5RCRjy6nZY0TY/edit#gid=1248694442"",""Table 2: MMC!M5:M114""), $A19=IMPORTRANGE(""https://docs.google.com/spreadsheets/d/1kGrh75X1cNR1D7_FcY9zMnHP8iPO4M5RCRjy6"&amp;"nZY0TY/edit#gid=1248694442"",""Table 2: MMC!A5:A114"")),"""")"),"")</f>
        <v/>
      </c>
      <c r="J19" s="14" t="str">
        <f>IFERROR(__xludf.DUMMYFUNCTION("IFNA(FILTER(IMPORTRANGE(""https://docs.google.com/spreadsheets/d/1kGrh75X1cNR1D7_FcY9zMnHP8iPO4M5RCRjy6nZY0TY/edit#gid=1248694442"",""Table 2: MMC!Q5:Q114""), $A19=IMPORTRANGE(""https://docs.google.com/spreadsheets/d/1kGrh75X1cNR1D7_FcY9zMnHP8iPO4M5RCRjy6"&amp;"nZY0TY/edit#gid=1248694442"",""Table 2: MMC!A5:A114"")),"""")"),"")</f>
        <v/>
      </c>
      <c r="K19" s="14" t="str">
        <f>IFERROR(__xludf.DUMMYFUNCTION("IFNA(FILTER(IMPORTRANGE(""https://docs.google.com/spreadsheets/d/1kGrh75X1cNR1D7_FcY9zMnHP8iPO4M5RCRjy6nZY0TY/edit#gid=1248694442"",""Table 2: MMC!R5:R114""), $A19=IMPORTRANGE(""https://docs.google.com/spreadsheets/d/1kGrh75X1cNR1D7_FcY9zMnHP8iPO4M5RCRjy6"&amp;"nZY0TY/edit#gid=1248694442"",""Table 2: MMC!A5:A114"")),"""")"),"")</f>
        <v/>
      </c>
      <c r="L19" s="14" t="str">
        <f>IFERROR(__xludf.DUMMYFUNCTION("IFNA(FILTER(IMPORTRANGE(""https://docs.google.com/spreadsheets/d/1kGrh75X1cNR1D7_FcY9zMnHP8iPO4M5RCRjy6nZY0TY/edit#gid=1248694442"",""Table 2: MMC!S5:S114""), $A19=IMPORTRANGE(""https://docs.google.com/spreadsheets/d/1kGrh75X1cNR1D7_FcY9zMnHP8iPO4M5RCRjy6"&amp;"nZY0TY/edit#gid=1248694442"",""Table 2: MMC!A5:A114"")),"""")"),"")</f>
        <v/>
      </c>
      <c r="M19" s="14" t="str">
        <f>IFERROR(__xludf.DUMMYFUNCTION("IFNA(FILTER(IMPORTRANGE(""https://docs.google.com/spreadsheets/d/1kGrh75X1cNR1D7_FcY9zMnHP8iPO4M5RCRjy6nZY0TY/edit#gid=1248694442"",""Table 3: 1st-line HC!D5:D111""), $A19=IMPORTRANGE(""https://docs.google.com/spreadsheets/d/1kGrh75X1cNR1D7_FcY9zMnHP8iPO4"&amp;"M5RCRjy6nZY0TY/edit#gid=1248694442"",""Table 3: 1st-line HC!A5:A111"")),"""")"),"")</f>
        <v/>
      </c>
      <c r="N19" s="14" t="str">
        <f>IFERROR(__xludf.DUMMYFUNCTION("IFNA(FILTER(IMPORTRANGE(""https://docs.google.com/spreadsheets/d/1kGrh75X1cNR1D7_FcY9zMnHP8iPO4M5RCRjy6nZY0TY/edit#gid=1248694442"",""Table 3: 1st-line HC!E5:E111""), $A19=IMPORTRANGE(""https://docs.google.com/spreadsheets/d/1kGrh75X1cNR1D7_FcY9zMnHP8iPO4"&amp;"M5RCRjy6nZY0TY/edit#gid=1248694442"",""Table 3: 1st-line HC!A5:A111"")),"""")"),"")</f>
        <v/>
      </c>
      <c r="O19" s="14" t="str">
        <f>IFERROR(__xludf.DUMMYFUNCTION("IFNA(FILTER(IMPORTRANGE(""https://docs.google.com/spreadsheets/d/1kGrh75X1cNR1D7_FcY9zMnHP8iPO4M5RCRjy6nZY0TY/edit#gid=1248694442"",""Table 3: 1st-line HC!K5:K111""), $A19=IMPORTRANGE(""https://docs.google.com/spreadsheets/d/1kGrh75X1cNR1D7_FcY9zMnHP8iPO4"&amp;"M5RCRjy6nZY0TY/edit#gid=1248694442"",""Table 3: 1st-line HC!A5:A111"")),"""")"),"")</f>
        <v/>
      </c>
      <c r="P19" s="14" t="str">
        <f>IFERROR(__xludf.DUMMYFUNCTION("IFNA(FILTER(IMPORTRANGE(""https://docs.google.com/spreadsheets/d/1kGrh75X1cNR1D7_FcY9zMnHP8iPO4M5RCRjy6nZY0TY/edit#gid=1248694442"",""Table 3: 1st-line HC!L5:L111""), $A19=IMPORTRANGE(""https://docs.google.com/spreadsheets/d/1kGrh75X1cNR1D7_FcY9zMnHP8iPO4"&amp;"M5RCRjy6nZY0TY/edit#gid=1248694442"",""Table 3: 1st-line HC!A5:A111"")),"""")"),"")</f>
        <v/>
      </c>
      <c r="Q19" s="14" t="str">
        <f>IFERROR(__xludf.DUMMYFUNCTION("IFNA(FILTER(IMPORTRANGE(""https://docs.google.com/spreadsheets/d/1kGrh75X1cNR1D7_FcY9zMnHP8iPO4M5RCRjy6nZY0TY/edit#gid=1248694442"",""Table 3: 1st-line HC!M5:M111""), $A19=IMPORTRANGE(""https://docs.google.com/spreadsheets/d/1kGrh75X1cNR1D7_FcY9zMnHP8iPO4"&amp;"M5RCRjy6nZY0TY/edit#gid=1248694442"",""Table 3: 1st-line HC!A5:A111"")),"""")"),"")</f>
        <v/>
      </c>
      <c r="R19" s="14" t="str">
        <f>IFERROR(__xludf.DUMMYFUNCTION("IFNA(FILTER(IMPORTRANGE(""https://docs.google.com/spreadsheets/d/1kGrh75X1cNR1D7_FcY9zMnHP8iPO4M5RCRjy6nZY0TY/edit#gid=1248694442"",""Table 3: 1st-line HC!N5:N111""), $A19=IMPORTRANGE(""https://docs.google.com/spreadsheets/d/1kGrh75X1cNR1D7_FcY9zMnHP8iPO4"&amp;"M5RCRjy6nZY0TY/edit#gid=1248694442"",""Table 3: 1st-line HC!A5:A111"")),"""")"),"")</f>
        <v/>
      </c>
      <c r="S19" s="14" t="str">
        <f>IFERROR(__xludf.DUMMYFUNCTION("IFNA(FILTER(IMPORTRANGE(""https://docs.google.com/spreadsheets/d/1kGrh75X1cNR1D7_FcY9zMnHP8iPO4M5RCRjy6nZY0TY/edit#gid=1248694442"",""Table 3: 1st-line HC!T5:T111""), $A19=IMPORTRANGE(""https://docs.google.com/spreadsheets/d/1kGrh75X1cNR1D7_FcY9zMnHP8iPO4"&amp;"M5RCRjy6nZY0TY/edit#gid=1248694442"",""Table 3: 1st-line HC!A5:A111"")),"""")"),"")</f>
        <v/>
      </c>
      <c r="T19" s="14" t="str">
        <f>IFERROR(__xludf.DUMMYFUNCTION("IFNA(FILTER(IMPORTRANGE(""https://docs.google.com/spreadsheets/d/1kGrh75X1cNR1D7_FcY9zMnHP8iPO4M5RCRjy6nZY0TY/edit#gid=1248694442"",""Table 3: 1st-line HC!U5:U111""), $A19=IMPORTRANGE(""https://docs.google.com/spreadsheets/d/1kGrh75X1cNR1D7_FcY9zMnHP8iPO4"&amp;"M5RCRjy6nZY0TY/edit#gid=1248694442"",""Table 3: 1st-line HC!A5:A111"")),"""")"),"")</f>
        <v/>
      </c>
      <c r="U19" s="14" t="str">
        <f>IFERROR(__xludf.DUMMYFUNCTION("IFNA(FILTER(IMPORTRANGE(""https://docs.google.com/spreadsheets/d/1kGrh75X1cNR1D7_FcY9zMnHP8iPO4M5RCRjy6nZY0TY/edit#gid=1248694442"",""Table 3: 1st-line HC!V5:V111""), $A19=IMPORTRANGE(""https://docs.google.com/spreadsheets/d/1kGrh75X1cNR1D7_FcY9zMnHP8iPO4"&amp;"M5RCRjy6nZY0TY/edit#gid=1248694442"",""Table 3: 1st-line HC!A5:A111"")),"""")"),"")</f>
        <v/>
      </c>
      <c r="V19" s="14" t="str">
        <f>IFERROR(__xludf.DUMMYFUNCTION("IFNA(FILTER(IMPORTRANGE(""https://docs.google.com/spreadsheets/d/1kGrh75X1cNR1D7_FcY9zMnHP8iPO4M5RCRjy6nZY0TY/edit#gid=1248694442"",""Table 3: 1st-line HC!AE5:AE111""), $A19=IMPORTRANGE(""https://docs.google.com/spreadsheets/d/1kGrh75X1cNR1D7_FcY9zMnHP8iP"&amp;"O4M5RCRjy6nZY0TY/edit#gid=1248694442"",""Table 3: 1st-line HC!A5:A111"")),"""")"),"")</f>
        <v/>
      </c>
      <c r="W19" s="14" t="str">
        <f>IFERROR(__xludf.DUMMYFUNCTION("IFNA(FILTER(IMPORTRANGE(""https://docs.google.com/spreadsheets/d/1kGrh75X1cNR1D7_FcY9zMnHP8iPO4M5RCRjy6nZY0TY/edit#gid=1248694442"",""Table 3: 1st-line HC!AG5:AG111""), $A19=IMPORTRANGE(""https://docs.google.com/spreadsheets/d/1kGrh75X1cNR1D7_FcY9zMnHP8iP"&amp;"O4M5RCRjy6nZY0TY/edit#gid=1248694442"",""Table 3: 1st-line HC!A5:A111"")),"""")"),"")</f>
        <v/>
      </c>
      <c r="X19" s="14">
        <f>IFERROR(__xludf.DUMMYFUNCTION("IFNA(FILTER(IMPORTRANGE(""https://docs.google.com/spreadsheets/d/1kGrh75X1cNR1D7_FcY9zMnHP8iPO4M5RCRjy6nZY0TY/edit#gid=1248694442"",""Table 3: 1st-line HC!AI5:AI111""), $A19=IMPORTRANGE(""https://docs.google.com/spreadsheets/d/1kGrh75X1cNR1D7_FcY9zMnHP8iP"&amp;"O4M5RCRjy6nZY0TY/edit#gid=1248694442"",""Table 3: 1st-line HC!A5:A111"")),"""")"),26.0)</f>
        <v>26</v>
      </c>
    </row>
    <row r="20">
      <c r="A20" s="4" t="str">
        <f>IFERROR(__xludf.DUMMYFUNCTION("""COMPUTED_VALUE"""),"ID 32")</f>
        <v>ID 32</v>
      </c>
      <c r="B20" s="14" t="str">
        <f>IFERROR(__xludf.DUMMYFUNCTION("IFNA(FILTER(IMPORTRANGE(""https://docs.google.com/spreadsheets/d/1kGrh75X1cNR1D7_FcY9zMnHP8iPO4M5RCRjy6nZY0TY/edit#gid=1248694442"",""Table 2: MMC!D5:D114""), $A20=IMPORTRANGE(""https://docs.google.com/spreadsheets/d/1kGrh75X1cNR1D7_FcY9zMnHP8iPO4M5RCRjy6"&amp;"nZY0TY/edit#gid=1248694442"",""Table 2: MMC!A5:A114"")),"""")"),"")</f>
        <v/>
      </c>
      <c r="C20" s="14" t="str">
        <f>IFERROR(__xludf.DUMMYFUNCTION("IFNA(FILTER(IMPORTRANGE(""https://docs.google.com/spreadsheets/d/1kGrh75X1cNR1D7_FcY9zMnHP8iPO4M5RCRjy6nZY0TY/edit#gid=1248694442"",""Table 2: MMC!E5:E114""), $A20=IMPORTRANGE(""https://docs.google.com/spreadsheets/d/1kGrh75X1cNR1D7_FcY9zMnHP8iPO4M5RCRjy6"&amp;"nZY0TY/edit#gid=1248694442"",""Table 2: MMC!A5:A114"")),"""")"),"")</f>
        <v/>
      </c>
      <c r="D20" s="14" t="str">
        <f>IFERROR(__xludf.DUMMYFUNCTION("IFNA(FILTER(IMPORTRANGE(""https://docs.google.com/spreadsheets/d/1kGrh75X1cNR1D7_FcY9zMnHP8iPO4M5RCRjy6nZY0TY/edit#gid=1248694442"",""Table 2: MMC!F5:F114""), $A20=IMPORTRANGE(""https://docs.google.com/spreadsheets/d/1kGrh75X1cNR1D7_FcY9zMnHP8iPO4M5RCRjy6"&amp;"nZY0TY/edit#gid=1248694442"",""Table 2: MMC!A5:A114"")),"""")"),"")</f>
        <v/>
      </c>
      <c r="E20" s="14" t="str">
        <f>IFERROR(__xludf.DUMMYFUNCTION("IFNA(FILTER(IMPORTRANGE(""https://docs.google.com/spreadsheets/d/1kGrh75X1cNR1D7_FcY9zMnHP8iPO4M5RCRjy6nZY0TY/edit#gid=1248694442"",""Table 2: MMC!G5:G114""), $A20=IMPORTRANGE(""https://docs.google.com/spreadsheets/d/1kGrh75X1cNR1D7_FcY9zMnHP8iPO4M5RCRjy6"&amp;"nZY0TY/edit#gid=1248694442"",""Table 2: MMC!A5:A114"")),"""")"),"")</f>
        <v/>
      </c>
      <c r="F20" s="14" t="str">
        <f>IFERROR(__xludf.DUMMYFUNCTION("IFNA(FILTER(IMPORTRANGE(""https://docs.google.com/spreadsheets/d/1kGrh75X1cNR1D7_FcY9zMnHP8iPO4M5RCRjy6nZY0TY/edit#gid=1248694442"",""Table 2: MMC!H5:H114""), $A20=IMPORTRANGE(""https://docs.google.com/spreadsheets/d/1kGrh75X1cNR1D7_FcY9zMnHP8iPO4M5RCRjy6"&amp;"nZY0TY/edit#gid=1248694442"",""Table 2: MMC!A5:A114"")),"""")"),"")</f>
        <v/>
      </c>
      <c r="G20" s="14" t="str">
        <f>IFERROR(__xludf.DUMMYFUNCTION("IFNA(FILTER(IMPORTRANGE(""https://docs.google.com/spreadsheets/d/1kGrh75X1cNR1D7_FcY9zMnHP8iPO4M5RCRjy6nZY0TY/edit#gid=1248694442"",""Table 2: MMC!I5:I114""), $A20=IMPORTRANGE(""https://docs.google.com/spreadsheets/d/1kGrh75X1cNR1D7_FcY9zMnHP8iPO4M5RCRjy6"&amp;"nZY0TY/edit#gid=1248694442"",""Table 2: MMC!A5:A114"")),"""")"),"")</f>
        <v/>
      </c>
      <c r="H20" s="14" t="str">
        <f>IFERROR(__xludf.DUMMYFUNCTION("IFNA(FILTER(IMPORTRANGE(""https://docs.google.com/spreadsheets/d/1kGrh75X1cNR1D7_FcY9zMnHP8iPO4M5RCRjy6nZY0TY/edit#gid=1248694442"",""Table 2: MMC!J5:J114""), $A20=IMPORTRANGE(""https://docs.google.com/spreadsheets/d/1kGrh75X1cNR1D7_FcY9zMnHP8iPO4M5RCRjy6"&amp;"nZY0TY/edit#gid=1248694442"",""Table 2: MMC!A5:A114"")),"""")"),"post-natal")</f>
        <v>post-natal</v>
      </c>
      <c r="I20" s="14" t="str">
        <f>IFERROR(__xludf.DUMMYFUNCTION("IFNA(FILTER(IMPORTRANGE(""https://docs.google.com/spreadsheets/d/1kGrh75X1cNR1D7_FcY9zMnHP8iPO4M5RCRjy6nZY0TY/edit#gid=1248694442"",""Table 2: MMC!M5:M114""), $A20=IMPORTRANGE(""https://docs.google.com/spreadsheets/d/1kGrh75X1cNR1D7_FcY9zMnHP8iPO4M5RCRjy6"&amp;"nZY0TY/edit#gid=1248694442"",""Table 2: MMC!A5:A114"")),"""")"),"")</f>
        <v/>
      </c>
      <c r="J20" s="14" t="str">
        <f>IFERROR(__xludf.DUMMYFUNCTION("IFNA(FILTER(IMPORTRANGE(""https://docs.google.com/spreadsheets/d/1kGrh75X1cNR1D7_FcY9zMnHP8iPO4M5RCRjy6nZY0TY/edit#gid=1248694442"",""Table 2: MMC!Q5:Q114""), $A20=IMPORTRANGE(""https://docs.google.com/spreadsheets/d/1kGrh75X1cNR1D7_FcY9zMnHP8iPO4M5RCRjy6"&amp;"nZY0TY/edit#gid=1248694442"",""Table 2: MMC!A5:A114"")),"""")"),"")</f>
        <v/>
      </c>
      <c r="K20" s="14" t="str">
        <f>IFERROR(__xludf.DUMMYFUNCTION("IFNA(FILTER(IMPORTRANGE(""https://docs.google.com/spreadsheets/d/1kGrh75X1cNR1D7_FcY9zMnHP8iPO4M5RCRjy6nZY0TY/edit#gid=1248694442"",""Table 2: MMC!R5:R114""), $A20=IMPORTRANGE(""https://docs.google.com/spreadsheets/d/1kGrh75X1cNR1D7_FcY9zMnHP8iPO4M5RCRjy6"&amp;"nZY0TY/edit#gid=1248694442"",""Table 2: MMC!A5:A114"")),"""")"),"")</f>
        <v/>
      </c>
      <c r="L20" s="14" t="str">
        <f>IFERROR(__xludf.DUMMYFUNCTION("IFNA(FILTER(IMPORTRANGE(""https://docs.google.com/spreadsheets/d/1kGrh75X1cNR1D7_FcY9zMnHP8iPO4M5RCRjy6nZY0TY/edit#gid=1248694442"",""Table 2: MMC!S5:S114""), $A20=IMPORTRANGE(""https://docs.google.com/spreadsheets/d/1kGrh75X1cNR1D7_FcY9zMnHP8iPO4M5RCRjy6"&amp;"nZY0TY/edit#gid=1248694442"",""Table 2: MMC!A5:A114"")),"""")"),"")</f>
        <v/>
      </c>
      <c r="M20" s="14" t="str">
        <f>IFERROR(__xludf.DUMMYFUNCTION("IFNA(FILTER(IMPORTRANGE(""https://docs.google.com/spreadsheets/d/1kGrh75X1cNR1D7_FcY9zMnHP8iPO4M5RCRjy6nZY0TY/edit#gid=1248694442"",""Table 3: 1st-line HC!D5:D111""), $A20=IMPORTRANGE(""https://docs.google.com/spreadsheets/d/1kGrh75X1cNR1D7_FcY9zMnHP8iPO4"&amp;"M5RCRjy6nZY0TY/edit#gid=1248694442"",""Table 3: 1st-line HC!A5:A111"")),"""")"),"")</f>
        <v/>
      </c>
      <c r="N20" s="14" t="str">
        <f>IFERROR(__xludf.DUMMYFUNCTION("IFNA(FILTER(IMPORTRANGE(""https://docs.google.com/spreadsheets/d/1kGrh75X1cNR1D7_FcY9zMnHP8iPO4M5RCRjy6nZY0TY/edit#gid=1248694442"",""Table 3: 1st-line HC!E5:E111""), $A20=IMPORTRANGE(""https://docs.google.com/spreadsheets/d/1kGrh75X1cNR1D7_FcY9zMnHP8iPO4"&amp;"M5RCRjy6nZY0TY/edit#gid=1248694442"",""Table 3: 1st-line HC!A5:A111"")),"""")"),"")</f>
        <v/>
      </c>
      <c r="O20" s="14" t="str">
        <f>IFERROR(__xludf.DUMMYFUNCTION("IFNA(FILTER(IMPORTRANGE(""https://docs.google.com/spreadsheets/d/1kGrh75X1cNR1D7_FcY9zMnHP8iPO4M5RCRjy6nZY0TY/edit#gid=1248694442"",""Table 3: 1st-line HC!K5:K111""), $A20=IMPORTRANGE(""https://docs.google.com/spreadsheets/d/1kGrh75X1cNR1D7_FcY9zMnHP8iPO4"&amp;"M5RCRjy6nZY0TY/edit#gid=1248694442"",""Table 3: 1st-line HC!A5:A111"")),"""")"),"")</f>
        <v/>
      </c>
      <c r="P20" s="14" t="str">
        <f>IFERROR(__xludf.DUMMYFUNCTION("IFNA(FILTER(IMPORTRANGE(""https://docs.google.com/spreadsheets/d/1kGrh75X1cNR1D7_FcY9zMnHP8iPO4M5RCRjy6nZY0TY/edit#gid=1248694442"",""Table 3: 1st-line HC!L5:L111""), $A20=IMPORTRANGE(""https://docs.google.com/spreadsheets/d/1kGrh75X1cNR1D7_FcY9zMnHP8iPO4"&amp;"M5RCRjy6nZY0TY/edit#gid=1248694442"",""Table 3: 1st-line HC!A5:A111"")),"""")"),"")</f>
        <v/>
      </c>
      <c r="Q20" s="14" t="str">
        <f>IFERROR(__xludf.DUMMYFUNCTION("IFNA(FILTER(IMPORTRANGE(""https://docs.google.com/spreadsheets/d/1kGrh75X1cNR1D7_FcY9zMnHP8iPO4M5RCRjy6nZY0TY/edit#gid=1248694442"",""Table 3: 1st-line HC!M5:M111""), $A20=IMPORTRANGE(""https://docs.google.com/spreadsheets/d/1kGrh75X1cNR1D7_FcY9zMnHP8iPO4"&amp;"M5RCRjy6nZY0TY/edit#gid=1248694442"",""Table 3: 1st-line HC!A5:A111"")),"""")"),"")</f>
        <v/>
      </c>
      <c r="R20" s="14" t="str">
        <f>IFERROR(__xludf.DUMMYFUNCTION("IFNA(FILTER(IMPORTRANGE(""https://docs.google.com/spreadsheets/d/1kGrh75X1cNR1D7_FcY9zMnHP8iPO4M5RCRjy6nZY0TY/edit#gid=1248694442"",""Table 3: 1st-line HC!N5:N111""), $A20=IMPORTRANGE(""https://docs.google.com/spreadsheets/d/1kGrh75X1cNR1D7_FcY9zMnHP8iPO4"&amp;"M5RCRjy6nZY0TY/edit#gid=1248694442"",""Table 3: 1st-line HC!A5:A111"")),"""")"),"")</f>
        <v/>
      </c>
      <c r="S20" s="14" t="str">
        <f>IFERROR(__xludf.DUMMYFUNCTION("IFNA(FILTER(IMPORTRANGE(""https://docs.google.com/spreadsheets/d/1kGrh75X1cNR1D7_FcY9zMnHP8iPO4M5RCRjy6nZY0TY/edit#gid=1248694442"",""Table 3: 1st-line HC!T5:T111""), $A20=IMPORTRANGE(""https://docs.google.com/spreadsheets/d/1kGrh75X1cNR1D7_FcY9zMnHP8iPO4"&amp;"M5RCRjy6nZY0TY/edit#gid=1248694442"",""Table 3: 1st-line HC!A5:A111"")),"""")"),"")</f>
        <v/>
      </c>
      <c r="T20" s="14" t="str">
        <f>IFERROR(__xludf.DUMMYFUNCTION("IFNA(FILTER(IMPORTRANGE(""https://docs.google.com/spreadsheets/d/1kGrh75X1cNR1D7_FcY9zMnHP8iPO4M5RCRjy6nZY0TY/edit#gid=1248694442"",""Table 3: 1st-line HC!U5:U111""), $A20=IMPORTRANGE(""https://docs.google.com/spreadsheets/d/1kGrh75X1cNR1D7_FcY9zMnHP8iPO4"&amp;"M5RCRjy6nZY0TY/edit#gid=1248694442"",""Table 3: 1st-line HC!A5:A111"")),"""")"),"")</f>
        <v/>
      </c>
      <c r="U20" s="14" t="str">
        <f>IFERROR(__xludf.DUMMYFUNCTION("IFNA(FILTER(IMPORTRANGE(""https://docs.google.com/spreadsheets/d/1kGrh75X1cNR1D7_FcY9zMnHP8iPO4M5RCRjy6nZY0TY/edit#gid=1248694442"",""Table 3: 1st-line HC!V5:V111""), $A20=IMPORTRANGE(""https://docs.google.com/spreadsheets/d/1kGrh75X1cNR1D7_FcY9zMnHP8iPO4"&amp;"M5RCRjy6nZY0TY/edit#gid=1248694442"",""Table 3: 1st-line HC!A5:A111"")),"""")"),"")</f>
        <v/>
      </c>
      <c r="V20" s="14" t="str">
        <f>IFERROR(__xludf.DUMMYFUNCTION("IFNA(FILTER(IMPORTRANGE(""https://docs.google.com/spreadsheets/d/1kGrh75X1cNR1D7_FcY9zMnHP8iPO4M5RCRjy6nZY0TY/edit#gid=1248694442"",""Table 3: 1st-line HC!AE5:AE111""), $A20=IMPORTRANGE(""https://docs.google.com/spreadsheets/d/1kGrh75X1cNR1D7_FcY9zMnHP8iP"&amp;"O4M5RCRjy6nZY0TY/edit#gid=1248694442"",""Table 3: 1st-line HC!A5:A111"")),"""")"),"")</f>
        <v/>
      </c>
      <c r="W20" s="14" t="str">
        <f>IFERROR(__xludf.DUMMYFUNCTION("IFNA(FILTER(IMPORTRANGE(""https://docs.google.com/spreadsheets/d/1kGrh75X1cNR1D7_FcY9zMnHP8iPO4M5RCRjy6nZY0TY/edit#gid=1248694442"",""Table 3: 1st-line HC!AG5:AG111""), $A20=IMPORTRANGE(""https://docs.google.com/spreadsheets/d/1kGrh75X1cNR1D7_FcY9zMnHP8iP"&amp;"O4M5RCRjy6nZY0TY/edit#gid=1248694442"",""Table 3: 1st-line HC!A5:A111"")),"""")"),"")</f>
        <v/>
      </c>
      <c r="X20" s="14" t="str">
        <f>IFERROR(__xludf.DUMMYFUNCTION("IFNA(FILTER(IMPORTRANGE(""https://docs.google.com/spreadsheets/d/1kGrh75X1cNR1D7_FcY9zMnHP8iPO4M5RCRjy6nZY0TY/edit#gid=1248694442"",""Table 3: 1st-line HC!AI5:AI111""), $A20=IMPORTRANGE(""https://docs.google.com/spreadsheets/d/1kGrh75X1cNR1D7_FcY9zMnHP8iP"&amp;"O4M5RCRjy6nZY0TY/edit#gid=1248694442"",""Table 3: 1st-line HC!A5:A111"")),"""")"),"&gt;40 weeks")</f>
        <v>&gt;40 weeks</v>
      </c>
    </row>
    <row r="21">
      <c r="A21" s="4" t="str">
        <f>IFERROR(__xludf.DUMMYFUNCTION("""COMPUTED_VALUE"""),"ID 35")</f>
        <v>ID 35</v>
      </c>
      <c r="B21" s="14" t="str">
        <f>IFERROR(__xludf.DUMMYFUNCTION("IFNA(FILTER(IMPORTRANGE(""https://docs.google.com/spreadsheets/d/1kGrh75X1cNR1D7_FcY9zMnHP8iPO4M5RCRjy6nZY0TY/edit#gid=1248694442"",""Table 2: MMC!D5:D114""), $A21=IMPORTRANGE(""https://docs.google.com/spreadsheets/d/1kGrh75X1cNR1D7_FcY9zMnHP8iPO4M5RCRjy6"&amp;"nZY0TY/edit#gid=1248694442"",""Table 2: MMC!A5:A114"")),"""")"),"")</f>
        <v/>
      </c>
      <c r="C21" s="14">
        <f>IFERROR(__xludf.DUMMYFUNCTION("IFNA(FILTER(IMPORTRANGE(""https://docs.google.com/spreadsheets/d/1kGrh75X1cNR1D7_FcY9zMnHP8iPO4M5RCRjy6nZY0TY/edit#gid=1248694442"",""Table 2: MMC!E5:E114""), $A21=IMPORTRANGE(""https://docs.google.com/spreadsheets/d/1kGrh75X1cNR1D7_FcY9zMnHP8iPO4M5RCRjy6"&amp;"nZY0TY/edit#gid=1248694442"",""Table 2: MMC!A5:A114"")),"""")"),26.0)</f>
        <v>26</v>
      </c>
      <c r="D21" s="14" t="str">
        <f>IFERROR(__xludf.DUMMYFUNCTION("IFNA(FILTER(IMPORTRANGE(""https://docs.google.com/spreadsheets/d/1kGrh75X1cNR1D7_FcY9zMnHP8iPO4M5RCRjy6nZY0TY/edit#gid=1248694442"",""Table 2: MMC!F5:F114""), $A21=IMPORTRANGE(""https://docs.google.com/spreadsheets/d/1kGrh75X1cNR1D7_FcY9zMnHP8iPO4M5RCRjy6"&amp;"nZY0TY/edit#gid=1248694442"",""Table 2: MMC!A5:A114"")),"""")"),"")</f>
        <v/>
      </c>
      <c r="E21" s="14">
        <f>IFERROR(__xludf.DUMMYFUNCTION("IFNA(FILTER(IMPORTRANGE(""https://docs.google.com/spreadsheets/d/1kGrh75X1cNR1D7_FcY9zMnHP8iPO4M5RCRjy6nZY0TY/edit#gid=1248694442"",""Table 2: MMC!G5:G114""), $A21=IMPORTRANGE(""https://docs.google.com/spreadsheets/d/1kGrh75X1cNR1D7_FcY9zMnHP8iPO4M5RCRjy6"&amp;"nZY0TY/edit#gid=1248694442"",""Table 2: MMC!A5:A114"")),"""")"),116.0)</f>
        <v>116</v>
      </c>
      <c r="F21" s="14" t="str">
        <f>IFERROR(__xludf.DUMMYFUNCTION("IFNA(FILTER(IMPORTRANGE(""https://docs.google.com/spreadsheets/d/1kGrh75X1cNR1D7_FcY9zMnHP8iPO4M5RCRjy6nZY0TY/edit#gid=1248694442"",""Table 2: MMC!H5:H114""), $A21=IMPORTRANGE(""https://docs.google.com/spreadsheets/d/1kGrh75X1cNR1D7_FcY9zMnHP8iPO4M5RCRjy6"&amp;"nZY0TY/edit#gid=1248694442"",""Table 2: MMC!A5:A114"")),"""")"),"")</f>
        <v/>
      </c>
      <c r="G21" s="14">
        <f>IFERROR(__xludf.DUMMYFUNCTION("IFNA(FILTER(IMPORTRANGE(""https://docs.google.com/spreadsheets/d/1kGrh75X1cNR1D7_FcY9zMnHP8iPO4M5RCRjy6nZY0TY/edit#gid=1248694442"",""Table 2: MMC!I5:I114""), $A21=IMPORTRANGE(""https://docs.google.com/spreadsheets/d/1kGrh75X1cNR1D7_FcY9zMnHP8iPO4M5RCRjy6"&amp;"nZY0TY/edit#gid=1248694442"",""Table 2: MMC!A5:A114"")),"""")"),2.0)</f>
        <v>2</v>
      </c>
      <c r="H21" s="14" t="str">
        <f>IFERROR(__xludf.DUMMYFUNCTION("IFNA(FILTER(IMPORTRANGE(""https://docs.google.com/spreadsheets/d/1kGrh75X1cNR1D7_FcY9zMnHP8iPO4M5RCRjy6nZY0TY/edit#gid=1248694442"",""Table 2: MMC!J5:J114""), $A21=IMPORTRANGE(""https://docs.google.com/spreadsheets/d/1kGrh75X1cNR1D7_FcY9zMnHP8iPO4M5RCRjy6"&amp;"nZY0TY/edit#gid=1248694442"",""Table 2: MMC!A5:A114"")),"""")"),"post-natal")</f>
        <v>post-natal</v>
      </c>
      <c r="I21" s="14" t="str">
        <f>IFERROR(__xludf.DUMMYFUNCTION("IFNA(FILTER(IMPORTRANGE(""https://docs.google.com/spreadsheets/d/1kGrh75X1cNR1D7_FcY9zMnHP8iPO4M5RCRjy6nZY0TY/edit#gid=1248694442"",""Table 2: MMC!M5:M114""), $A21=IMPORTRANGE(""https://docs.google.com/spreadsheets/d/1kGrh75X1cNR1D7_FcY9zMnHP8iPO4M5RCRjy6"&amp;"nZY0TY/edit#gid=1248694442"",""Table 2: MMC!A5:A114"")),"""")"),"")</f>
        <v/>
      </c>
      <c r="J21" s="14" t="str">
        <f>IFERROR(__xludf.DUMMYFUNCTION("IFNA(FILTER(IMPORTRANGE(""https://docs.google.com/spreadsheets/d/1kGrh75X1cNR1D7_FcY9zMnHP8iPO4M5RCRjy6nZY0TY/edit#gid=1248694442"",""Table 2: MMC!Q5:Q114""), $A21=IMPORTRANGE(""https://docs.google.com/spreadsheets/d/1kGrh75X1cNR1D7_FcY9zMnHP8iPO4M5RCRjy6"&amp;"nZY0TY/edit#gid=1248694442"",""Table 2: MMC!A5:A114"")),"""")"),"")</f>
        <v/>
      </c>
      <c r="K21" s="14">
        <f>IFERROR(__xludf.DUMMYFUNCTION("IFNA(FILTER(IMPORTRANGE(""https://docs.google.com/spreadsheets/d/1kGrh75X1cNR1D7_FcY9zMnHP8iPO4M5RCRjy6nZY0TY/edit#gid=1248694442"",""Table 2: MMC!R5:R114""), $A21=IMPORTRANGE(""https://docs.google.com/spreadsheets/d/1kGrh75X1cNR1D7_FcY9zMnHP8iPO4M5RCRjy6"&amp;"nZY0TY/edit#gid=1248694442"",""Table 2: MMC!A5:A114"")),"""")"),4.0)</f>
        <v>4</v>
      </c>
      <c r="L21" s="14" t="str">
        <f>IFERROR(__xludf.DUMMYFUNCTION("IFNA(FILTER(IMPORTRANGE(""https://docs.google.com/spreadsheets/d/1kGrh75X1cNR1D7_FcY9zMnHP8iPO4M5RCRjy6nZY0TY/edit#gid=1248694442"",""Table 2: MMC!S5:S114""), $A21=IMPORTRANGE(""https://docs.google.com/spreadsheets/d/1kGrh75X1cNR1D7_FcY9zMnHP8iPO4M5RCRjy6"&amp;"nZY0TY/edit#gid=1248694442"",""Table 2: MMC!A5:A114"")),"""")"),"9 infants died. 4 of them within the first month of lives and the rest beyond. The deaths were due to CNS infection especially ventriculitis")</f>
        <v>9 infants died. 4 of them within the first month of lives and the rest beyond. The deaths were due to CNS infection especially ventriculitis</v>
      </c>
      <c r="M21" s="14" t="str">
        <f>IFERROR(__xludf.DUMMYFUNCTION("IFNA(FILTER(IMPORTRANGE(""https://docs.google.com/spreadsheets/d/1kGrh75X1cNR1D7_FcY9zMnHP8iPO4M5RCRjy6nZY0TY/edit#gid=1248694442"",""Table 3: 1st-line HC!D5:D111""), $A21=IMPORTRANGE(""https://docs.google.com/spreadsheets/d/1kGrh75X1cNR1D7_FcY9zMnHP8iPO4"&amp;"M5RCRjy6nZY0TY/edit#gid=1248694442"",""Table 3: 1st-line HC!A5:A111"")),"""")"),"")</f>
        <v/>
      </c>
      <c r="N21" s="14">
        <f>IFERROR(__xludf.DUMMYFUNCTION("IFNA(FILTER(IMPORTRANGE(""https://docs.google.com/spreadsheets/d/1kGrh75X1cNR1D7_FcY9zMnHP8iPO4M5RCRjy6nZY0TY/edit#gid=1248694442"",""Table 3: 1st-line HC!E5:E111""), $A21=IMPORTRANGE(""https://docs.google.com/spreadsheets/d/1kGrh75X1cNR1D7_FcY9zMnHP8iPO4"&amp;"M5RCRjy6nZY0TY/edit#gid=1248694442"",""Table 3: 1st-line HC!A5:A111"")),"""")"),144.0)</f>
        <v>144</v>
      </c>
      <c r="O21" s="14">
        <f>IFERROR(__xludf.DUMMYFUNCTION("IFNA(FILTER(IMPORTRANGE(""https://docs.google.com/spreadsheets/d/1kGrh75X1cNR1D7_FcY9zMnHP8iPO4M5RCRjy6nZY0TY/edit#gid=1248694442"",""Table 3: 1st-line HC!K5:K111""), $A21=IMPORTRANGE(""https://docs.google.com/spreadsheets/d/1kGrh75X1cNR1D7_FcY9zMnHP8iPO4"&amp;"M5RCRjy6nZY0TY/edit#gid=1248694442"",""Table 3: 1st-line HC!A5:A111"")),"""")"),144.0)</f>
        <v>144</v>
      </c>
      <c r="P21" s="14">
        <f>IFERROR(__xludf.DUMMYFUNCTION("IFNA(FILTER(IMPORTRANGE(""https://docs.google.com/spreadsheets/d/1kGrh75X1cNR1D7_FcY9zMnHP8iPO4M5RCRjy6nZY0TY/edit#gid=1248694442"",""Table 3: 1st-line HC!L5:L111""), $A21=IMPORTRANGE(""https://docs.google.com/spreadsheets/d/1kGrh75X1cNR1D7_FcY9zMnHP8iPO4"&amp;"M5RCRjy6nZY0TY/edit#gid=1248694442"",""Table 3: 1st-line HC!A5:A111"")),"""")"),144.0)</f>
        <v>144</v>
      </c>
      <c r="Q21" s="14" t="str">
        <f>IFERROR(__xludf.DUMMYFUNCTION("IFNA(FILTER(IMPORTRANGE(""https://docs.google.com/spreadsheets/d/1kGrh75X1cNR1D7_FcY9zMnHP8iPO4M5RCRjy6nZY0TY/edit#gid=1248694442"",""Table 3: 1st-line HC!M5:M111""), $A21=IMPORTRANGE(""https://docs.google.com/spreadsheets/d/1kGrh75X1cNR1D7_FcY9zMnHP8iPO4"&amp;"M5RCRjy6nZY0TY/edit#gid=1248694442"",""Table 3: 1st-line HC!A5:A111"")),"""")"),"")</f>
        <v/>
      </c>
      <c r="R21" s="14" t="str">
        <f>IFERROR(__xludf.DUMMYFUNCTION("IFNA(FILTER(IMPORTRANGE(""https://docs.google.com/spreadsheets/d/1kGrh75X1cNR1D7_FcY9zMnHP8iPO4M5RCRjy6nZY0TY/edit#gid=1248694442"",""Table 3: 1st-line HC!N5:N111""), $A21=IMPORTRANGE(""https://docs.google.com/spreadsheets/d/1kGrh75X1cNR1D7_FcY9zMnHP8iPO4"&amp;"M5RCRjy6nZY0TY/edit#gid=1248694442"",""Table 3: 1st-line HC!A5:A111"")),"""")"),"")</f>
        <v/>
      </c>
      <c r="S21" s="14" t="str">
        <f>IFERROR(__xludf.DUMMYFUNCTION("IFNA(FILTER(IMPORTRANGE(""https://docs.google.com/spreadsheets/d/1kGrh75X1cNR1D7_FcY9zMnHP8iPO4M5RCRjy6nZY0TY/edit#gid=1248694442"",""Table 3: 1st-line HC!T5:T111""), $A21=IMPORTRANGE(""https://docs.google.com/spreadsheets/d/1kGrh75X1cNR1D7_FcY9zMnHP8iPO4"&amp;"M5RCRjy6nZY0TY/edit#gid=1248694442"",""Table 3: 1st-line HC!A5:A111"")),"""")"),"")</f>
        <v/>
      </c>
      <c r="T21" s="14" t="str">
        <f>IFERROR(__xludf.DUMMYFUNCTION("IFNA(FILTER(IMPORTRANGE(""https://docs.google.com/spreadsheets/d/1kGrh75X1cNR1D7_FcY9zMnHP8iPO4M5RCRjy6nZY0TY/edit#gid=1248694442"",""Table 3: 1st-line HC!U5:U111""), $A21=IMPORTRANGE(""https://docs.google.com/spreadsheets/d/1kGrh75X1cNR1D7_FcY9zMnHP8iPO4"&amp;"M5RCRjy6nZY0TY/edit#gid=1248694442"",""Table 3: 1st-line HC!A5:A111"")),"""")"),"")</f>
        <v/>
      </c>
      <c r="U21" s="14" t="str">
        <f>IFERROR(__xludf.DUMMYFUNCTION("IFNA(FILTER(IMPORTRANGE(""https://docs.google.com/spreadsheets/d/1kGrh75X1cNR1D7_FcY9zMnHP8iPO4M5RCRjy6nZY0TY/edit#gid=1248694442"",""Table 3: 1st-line HC!V5:V111""), $A21=IMPORTRANGE(""https://docs.google.com/spreadsheets/d/1kGrh75X1cNR1D7_FcY9zMnHP8iPO4"&amp;"M5RCRjy6nZY0TY/edit#gid=1248694442"",""Table 3: 1st-line HC!A5:A111"")),"""")"),"")</f>
        <v/>
      </c>
      <c r="V21" s="14" t="str">
        <f>IFERROR(__xludf.DUMMYFUNCTION("IFNA(FILTER(IMPORTRANGE(""https://docs.google.com/spreadsheets/d/1kGrh75X1cNR1D7_FcY9zMnHP8iPO4M5RCRjy6nZY0TY/edit#gid=1248694442"",""Table 3: 1st-line HC!AE5:AE111""), $A21=IMPORTRANGE(""https://docs.google.com/spreadsheets/d/1kGrh75X1cNR1D7_FcY9zMnHP8iP"&amp;"O4M5RCRjy6nZY0TY/edit#gid=1248694442"",""Table 3: 1st-line HC!A5:A111"")),"""")"),"")</f>
        <v/>
      </c>
      <c r="W21" s="14" t="str">
        <f>IFERROR(__xludf.DUMMYFUNCTION("IFNA(FILTER(IMPORTRANGE(""https://docs.google.com/spreadsheets/d/1kGrh75X1cNR1D7_FcY9zMnHP8iPO4M5RCRjy6nZY0TY/edit#gid=1248694442"",""Table 3: 1st-line HC!AG5:AG111""), $A21=IMPORTRANGE(""https://docs.google.com/spreadsheets/d/1kGrh75X1cNR1D7_FcY9zMnHP8iP"&amp;"O4M5RCRjy6nZY0TY/edit#gid=1248694442"",""Table 3: 1st-line HC!A5:A111"")),"""")"),"")</f>
        <v/>
      </c>
      <c r="X21" s="14" t="str">
        <f>IFERROR(__xludf.DUMMYFUNCTION("IFNA(FILTER(IMPORTRANGE(""https://docs.google.com/spreadsheets/d/1kGrh75X1cNR1D7_FcY9zMnHP8iPO4M5RCRjy6nZY0TY/edit#gid=1248694442"",""Table 3: 1st-line HC!AI5:AI111""), $A21=IMPORTRANGE(""https://docs.google.com/spreadsheets/d/1kGrh75X1cNR1D7_FcY9zMnHP8iP"&amp;"O4M5RCRjy6nZY0TY/edit#gid=1248694442"",""Table 3: 1st-line HC!A5:A111"")),"""")"),"")</f>
        <v/>
      </c>
    </row>
    <row r="22">
      <c r="A22" s="4" t="str">
        <f>IFERROR(__xludf.DUMMYFUNCTION("""COMPUTED_VALUE"""),"ID 36")</f>
        <v>ID 36</v>
      </c>
      <c r="B22" s="14" t="str">
        <f>IFERROR(__xludf.DUMMYFUNCTION("IFNA(FILTER(IMPORTRANGE(""https://docs.google.com/spreadsheets/d/1kGrh75X1cNR1D7_FcY9zMnHP8iPO4M5RCRjy6nZY0TY/edit#gid=1248694442"",""Table 2: MMC!D5:D114""), $A22=IMPORTRANGE(""https://docs.google.com/spreadsheets/d/1kGrh75X1cNR1D7_FcY9zMnHP8iPO4M5RCRjy6"&amp;"nZY0TY/edit#gid=1248694442"",""Table 2: MMC!A5:A114"")),"""")"),"")</f>
        <v/>
      </c>
      <c r="C22" s="14" t="str">
        <f>IFERROR(__xludf.DUMMYFUNCTION("IFNA(FILTER(IMPORTRANGE(""https://docs.google.com/spreadsheets/d/1kGrh75X1cNR1D7_FcY9zMnHP8iPO4M5RCRjy6nZY0TY/edit#gid=1248694442"",""Table 2: MMC!E5:E114""), $A22=IMPORTRANGE(""https://docs.google.com/spreadsheets/d/1kGrh75X1cNR1D7_FcY9zMnHP8iPO4M5RCRjy6"&amp;"nZY0TY/edit#gid=1248694442"",""Table 2: MMC!A5:A114"")),"""")"),"")</f>
        <v/>
      </c>
      <c r="D22" s="14" t="str">
        <f>IFERROR(__xludf.DUMMYFUNCTION("IFNA(FILTER(IMPORTRANGE(""https://docs.google.com/spreadsheets/d/1kGrh75X1cNR1D7_FcY9zMnHP8iPO4M5RCRjy6nZY0TY/edit#gid=1248694442"",""Table 2: MMC!F5:F114""), $A22=IMPORTRANGE(""https://docs.google.com/spreadsheets/d/1kGrh75X1cNR1D7_FcY9zMnHP8iPO4M5RCRjy6"&amp;"nZY0TY/edit#gid=1248694442"",""Table 2: MMC!A5:A114"")),"""")"),"")</f>
        <v/>
      </c>
      <c r="E22" s="14" t="str">
        <f>IFERROR(__xludf.DUMMYFUNCTION("IFNA(FILTER(IMPORTRANGE(""https://docs.google.com/spreadsheets/d/1kGrh75X1cNR1D7_FcY9zMnHP8iPO4M5RCRjy6nZY0TY/edit#gid=1248694442"",""Table 2: MMC!G5:G114""), $A22=IMPORTRANGE(""https://docs.google.com/spreadsheets/d/1kGrh75X1cNR1D7_FcY9zMnHP8iPO4M5RCRjy6"&amp;"nZY0TY/edit#gid=1248694442"",""Table 2: MMC!A5:A114"")),"""")"),"")</f>
        <v/>
      </c>
      <c r="F22" s="14" t="str">
        <f>IFERROR(__xludf.DUMMYFUNCTION("IFNA(FILTER(IMPORTRANGE(""https://docs.google.com/spreadsheets/d/1kGrh75X1cNR1D7_FcY9zMnHP8iPO4M5RCRjy6nZY0TY/edit#gid=1248694442"",""Table 2: MMC!H5:H114""), $A22=IMPORTRANGE(""https://docs.google.com/spreadsheets/d/1kGrh75X1cNR1D7_FcY9zMnHP8iPO4M5RCRjy6"&amp;"nZY0TY/edit#gid=1248694442"",""Table 2: MMC!A5:A114"")),"""")"),"")</f>
        <v/>
      </c>
      <c r="G22" s="14" t="str">
        <f>IFERROR(__xludf.DUMMYFUNCTION("IFNA(FILTER(IMPORTRANGE(""https://docs.google.com/spreadsheets/d/1kGrh75X1cNR1D7_FcY9zMnHP8iPO4M5RCRjy6nZY0TY/edit#gid=1248694442"",""Table 2: MMC!I5:I114""), $A22=IMPORTRANGE(""https://docs.google.com/spreadsheets/d/1kGrh75X1cNR1D7_FcY9zMnHP8iPO4M5RCRjy6"&amp;"nZY0TY/edit#gid=1248694442"",""Table 2: MMC!A5:A114"")),"""")"),"")</f>
        <v/>
      </c>
      <c r="H22" s="14" t="str">
        <f>IFERROR(__xludf.DUMMYFUNCTION("IFNA(FILTER(IMPORTRANGE(""https://docs.google.com/spreadsheets/d/1kGrh75X1cNR1D7_FcY9zMnHP8iPO4M5RCRjy6nZY0TY/edit#gid=1248694442"",""Table 2: MMC!J5:J114""), $A22=IMPORTRANGE(""https://docs.google.com/spreadsheets/d/1kGrh75X1cNR1D7_FcY9zMnHP8iPO4M5RCRjy6"&amp;"nZY0TY/edit#gid=1248694442"",""Table 2: MMC!A5:A114"")),"""")"),"post-natal")</f>
        <v>post-natal</v>
      </c>
      <c r="I22" s="14" t="str">
        <f>IFERROR(__xludf.DUMMYFUNCTION("IFNA(FILTER(IMPORTRANGE(""https://docs.google.com/spreadsheets/d/1kGrh75X1cNR1D7_FcY9zMnHP8iPO4M5RCRjy6nZY0TY/edit#gid=1248694442"",""Table 2: MMC!M5:M114""), $A22=IMPORTRANGE(""https://docs.google.com/spreadsheets/d/1kGrh75X1cNR1D7_FcY9zMnHP8iPO4M5RCRjy6"&amp;"nZY0TY/edit#gid=1248694442"",""Table 2: MMC!A5:A114"")),"""")"),"")</f>
        <v/>
      </c>
      <c r="J22" s="14">
        <f>IFERROR(__xludf.DUMMYFUNCTION("IFNA(FILTER(IMPORTRANGE(""https://docs.google.com/spreadsheets/d/1kGrh75X1cNR1D7_FcY9zMnHP8iPO4M5RCRjy6nZY0TY/edit#gid=1248694442"",""Table 2: MMC!Q5:Q114""), $A22=IMPORTRANGE(""https://docs.google.com/spreadsheets/d/1kGrh75X1cNR1D7_FcY9zMnHP8iPO4M5RCRjy6"&amp;"nZY0TY/edit#gid=1248694442"",""Table 2: MMC!A5:A114"")),"""")"),0.0)</f>
        <v>0</v>
      </c>
      <c r="K22" s="14" t="str">
        <f>IFERROR(__xludf.DUMMYFUNCTION("IFNA(FILTER(IMPORTRANGE(""https://docs.google.com/spreadsheets/d/1kGrh75X1cNR1D7_FcY9zMnHP8iPO4M5RCRjy6nZY0TY/edit#gid=1248694442"",""Table 2: MMC!R5:R114""), $A22=IMPORTRANGE(""https://docs.google.com/spreadsheets/d/1kGrh75X1cNR1D7_FcY9zMnHP8iPO4M5RCRjy6"&amp;"nZY0TY/edit#gid=1248694442"",""Table 2: MMC!A5:A114"")),"""")"),"")</f>
        <v/>
      </c>
      <c r="L22" s="14" t="str">
        <f>IFERROR(__xludf.DUMMYFUNCTION("IFNA(FILTER(IMPORTRANGE(""https://docs.google.com/spreadsheets/d/1kGrh75X1cNR1D7_FcY9zMnHP8iPO4M5RCRjy6nZY0TY/edit#gid=1248694442"",""Table 2: MMC!S5:S114""), $A22=IMPORTRANGE(""https://docs.google.com/spreadsheets/d/1kGrh75X1cNR1D7_FcY9zMnHP8iPO4M5RCRjy6"&amp;"nZY0TY/edit#gid=1248694442"",""Table 2: MMC!A5:A114"")),"""")"),"")</f>
        <v/>
      </c>
      <c r="M22" s="14" t="str">
        <f>IFERROR(__xludf.DUMMYFUNCTION("IFNA(FILTER(IMPORTRANGE(""https://docs.google.com/spreadsheets/d/1kGrh75X1cNR1D7_FcY9zMnHP8iPO4M5RCRjy6nZY0TY/edit#gid=1248694442"",""Table 3: 1st-line HC!D5:D111""), $A22=IMPORTRANGE(""https://docs.google.com/spreadsheets/d/1kGrh75X1cNR1D7_FcY9zMnHP8iPO4"&amp;"M5RCRjy6nZY0TY/edit#gid=1248694442"",""Table 3: 1st-line HC!A5:A111"")),"""")"),"")</f>
        <v/>
      </c>
      <c r="N22" s="14" t="str">
        <f>IFERROR(__xludf.DUMMYFUNCTION("IFNA(FILTER(IMPORTRANGE(""https://docs.google.com/spreadsheets/d/1kGrh75X1cNR1D7_FcY9zMnHP8iPO4M5RCRjy6nZY0TY/edit#gid=1248694442"",""Table 3: 1st-line HC!E5:E111""), $A22=IMPORTRANGE(""https://docs.google.com/spreadsheets/d/1kGrh75X1cNR1D7_FcY9zMnHP8iPO4"&amp;"M5RCRjy6nZY0TY/edit#gid=1248694442"",""Table 3: 1st-line HC!A5:A111"")),"""")"),"")</f>
        <v/>
      </c>
      <c r="O22" s="14" t="str">
        <f>IFERROR(__xludf.DUMMYFUNCTION("IFNA(FILTER(IMPORTRANGE(""https://docs.google.com/spreadsheets/d/1kGrh75X1cNR1D7_FcY9zMnHP8iPO4M5RCRjy6nZY0TY/edit#gid=1248694442"",""Table 3: 1st-line HC!K5:K111""), $A22=IMPORTRANGE(""https://docs.google.com/spreadsheets/d/1kGrh75X1cNR1D7_FcY9zMnHP8iPO4"&amp;"M5RCRjy6nZY0TY/edit#gid=1248694442"",""Table 3: 1st-line HC!A5:A111"")),"""")"),"")</f>
        <v/>
      </c>
      <c r="P22" s="14" t="str">
        <f>IFERROR(__xludf.DUMMYFUNCTION("IFNA(FILTER(IMPORTRANGE(""https://docs.google.com/spreadsheets/d/1kGrh75X1cNR1D7_FcY9zMnHP8iPO4M5RCRjy6nZY0TY/edit#gid=1248694442"",""Table 3: 1st-line HC!L5:L111""), $A22=IMPORTRANGE(""https://docs.google.com/spreadsheets/d/1kGrh75X1cNR1D7_FcY9zMnHP8iPO4"&amp;"M5RCRjy6nZY0TY/edit#gid=1248694442"",""Table 3: 1st-line HC!A5:A111"")),"""")"),"")</f>
        <v/>
      </c>
      <c r="Q22" s="14" t="str">
        <f>IFERROR(__xludf.DUMMYFUNCTION("IFNA(FILTER(IMPORTRANGE(""https://docs.google.com/spreadsheets/d/1kGrh75X1cNR1D7_FcY9zMnHP8iPO4M5RCRjy6nZY0TY/edit#gid=1248694442"",""Table 3: 1st-line HC!M5:M111""), $A22=IMPORTRANGE(""https://docs.google.com/spreadsheets/d/1kGrh75X1cNR1D7_FcY9zMnHP8iPO4"&amp;"M5RCRjy6nZY0TY/edit#gid=1248694442"",""Table 3: 1st-line HC!A5:A111"")),"""")"),"")</f>
        <v/>
      </c>
      <c r="R22" s="14" t="str">
        <f>IFERROR(__xludf.DUMMYFUNCTION("IFNA(FILTER(IMPORTRANGE(""https://docs.google.com/spreadsheets/d/1kGrh75X1cNR1D7_FcY9zMnHP8iPO4M5RCRjy6nZY0TY/edit#gid=1248694442"",""Table 3: 1st-line HC!N5:N111""), $A22=IMPORTRANGE(""https://docs.google.com/spreadsheets/d/1kGrh75X1cNR1D7_FcY9zMnHP8iPO4"&amp;"M5RCRjy6nZY0TY/edit#gid=1248694442"",""Table 3: 1st-line HC!A5:A111"")),"""")"),"")</f>
        <v/>
      </c>
      <c r="S22" s="14" t="str">
        <f>IFERROR(__xludf.DUMMYFUNCTION("IFNA(FILTER(IMPORTRANGE(""https://docs.google.com/spreadsheets/d/1kGrh75X1cNR1D7_FcY9zMnHP8iPO4M5RCRjy6nZY0TY/edit#gid=1248694442"",""Table 3: 1st-line HC!T5:T111""), $A22=IMPORTRANGE(""https://docs.google.com/spreadsheets/d/1kGrh75X1cNR1D7_FcY9zMnHP8iPO4"&amp;"M5RCRjy6nZY0TY/edit#gid=1248694442"",""Table 3: 1st-line HC!A5:A111"")),"""")"),"")</f>
        <v/>
      </c>
      <c r="T22" s="14" t="str">
        <f>IFERROR(__xludf.DUMMYFUNCTION("IFNA(FILTER(IMPORTRANGE(""https://docs.google.com/spreadsheets/d/1kGrh75X1cNR1D7_FcY9zMnHP8iPO4M5RCRjy6nZY0TY/edit#gid=1248694442"",""Table 3: 1st-line HC!U5:U111""), $A22=IMPORTRANGE(""https://docs.google.com/spreadsheets/d/1kGrh75X1cNR1D7_FcY9zMnHP8iPO4"&amp;"M5RCRjy6nZY0TY/edit#gid=1248694442"",""Table 3: 1st-line HC!A5:A111"")),"""")"),"")</f>
        <v/>
      </c>
      <c r="U22" s="14" t="str">
        <f>IFERROR(__xludf.DUMMYFUNCTION("IFNA(FILTER(IMPORTRANGE(""https://docs.google.com/spreadsheets/d/1kGrh75X1cNR1D7_FcY9zMnHP8iPO4M5RCRjy6nZY0TY/edit#gid=1248694442"",""Table 3: 1st-line HC!V5:V111""), $A22=IMPORTRANGE(""https://docs.google.com/spreadsheets/d/1kGrh75X1cNR1D7_FcY9zMnHP8iPO4"&amp;"M5RCRjy6nZY0TY/edit#gid=1248694442"",""Table 3: 1st-line HC!A5:A111"")),"""")"),"")</f>
        <v/>
      </c>
      <c r="V22" s="14" t="str">
        <f>IFERROR(__xludf.DUMMYFUNCTION("IFNA(FILTER(IMPORTRANGE(""https://docs.google.com/spreadsheets/d/1kGrh75X1cNR1D7_FcY9zMnHP8iPO4M5RCRjy6nZY0TY/edit#gid=1248694442"",""Table 3: 1st-line HC!AE5:AE111""), $A22=IMPORTRANGE(""https://docs.google.com/spreadsheets/d/1kGrh75X1cNR1D7_FcY9zMnHP8iP"&amp;"O4M5RCRjy6nZY0TY/edit#gid=1248694442"",""Table 3: 1st-line HC!A5:A111"")),"""")"),"")</f>
        <v/>
      </c>
      <c r="W22" s="14" t="str">
        <f>IFERROR(__xludf.DUMMYFUNCTION("IFNA(FILTER(IMPORTRANGE(""https://docs.google.com/spreadsheets/d/1kGrh75X1cNR1D7_FcY9zMnHP8iPO4M5RCRjy6nZY0TY/edit#gid=1248694442"",""Table 3: 1st-line HC!AG5:AG111""), $A22=IMPORTRANGE(""https://docs.google.com/spreadsheets/d/1kGrh75X1cNR1D7_FcY9zMnHP8iP"&amp;"O4M5RCRjy6nZY0TY/edit#gid=1248694442"",""Table 3: 1st-line HC!A5:A111"")),"""")"),"")</f>
        <v/>
      </c>
      <c r="X22" s="14">
        <f>IFERROR(__xludf.DUMMYFUNCTION("IFNA(FILTER(IMPORTRANGE(""https://docs.google.com/spreadsheets/d/1kGrh75X1cNR1D7_FcY9zMnHP8iPO4M5RCRjy6nZY0TY/edit#gid=1248694442"",""Table 3: 1st-line HC!AI5:AI111""), $A22=IMPORTRANGE(""https://docs.google.com/spreadsheets/d/1kGrh75X1cNR1D7_FcY9zMnHP8iP"&amp;"O4M5RCRjy6nZY0TY/edit#gid=1248694442"",""Table 3: 1st-line HC!A5:A111"")),"""")"),24.0)</f>
        <v>24</v>
      </c>
    </row>
    <row r="23">
      <c r="A23" s="4" t="str">
        <f>IFERROR(__xludf.DUMMYFUNCTION("""COMPUTED_VALUE"""),"ID 37")</f>
        <v>ID 37</v>
      </c>
      <c r="B23" s="14" t="str">
        <f>IFERROR(__xludf.DUMMYFUNCTION("IFNA(FILTER(IMPORTRANGE(""https://docs.google.com/spreadsheets/d/1kGrh75X1cNR1D7_FcY9zMnHP8iPO4M5RCRjy6nZY0TY/edit#gid=1248694442"",""Table 2: MMC!D5:D114""), $A23=IMPORTRANGE(""https://docs.google.com/spreadsheets/d/1kGrh75X1cNR1D7_FcY9zMnHP8iPO4M5RCRjy6"&amp;"nZY0TY/edit#gid=1248694442"",""Table 2: MMC!A5:A114"")),"""")"),"")</f>
        <v/>
      </c>
      <c r="C23" s="14" t="str">
        <f>IFERROR(__xludf.DUMMYFUNCTION("IFNA(FILTER(IMPORTRANGE(""https://docs.google.com/spreadsheets/d/1kGrh75X1cNR1D7_FcY9zMnHP8iPO4M5RCRjy6nZY0TY/edit#gid=1248694442"",""Table 2: MMC!E5:E114""), $A23=IMPORTRANGE(""https://docs.google.com/spreadsheets/d/1kGrh75X1cNR1D7_FcY9zMnHP8iPO4M5RCRjy6"&amp;"nZY0TY/edit#gid=1248694442"",""Table 2: MMC!A5:A114"")),"""")"),"")</f>
        <v/>
      </c>
      <c r="D23" s="14" t="str">
        <f>IFERROR(__xludf.DUMMYFUNCTION("IFNA(FILTER(IMPORTRANGE(""https://docs.google.com/spreadsheets/d/1kGrh75X1cNR1D7_FcY9zMnHP8iPO4M5RCRjy6nZY0TY/edit#gid=1248694442"",""Table 2: MMC!F5:F114""), $A23=IMPORTRANGE(""https://docs.google.com/spreadsheets/d/1kGrh75X1cNR1D7_FcY9zMnHP8iPO4M5RCRjy6"&amp;"nZY0TY/edit#gid=1248694442"",""Table 2: MMC!A5:A114"")),"""")"),"")</f>
        <v/>
      </c>
      <c r="E23" s="14" t="str">
        <f>IFERROR(__xludf.DUMMYFUNCTION("IFNA(FILTER(IMPORTRANGE(""https://docs.google.com/spreadsheets/d/1kGrh75X1cNR1D7_FcY9zMnHP8iPO4M5RCRjy6nZY0TY/edit#gid=1248694442"",""Table 2: MMC!G5:G114""), $A23=IMPORTRANGE(""https://docs.google.com/spreadsheets/d/1kGrh75X1cNR1D7_FcY9zMnHP8iPO4M5RCRjy6"&amp;"nZY0TY/edit#gid=1248694442"",""Table 2: MMC!A5:A114"")),"""")"),"")</f>
        <v/>
      </c>
      <c r="F23" s="14" t="str">
        <f>IFERROR(__xludf.DUMMYFUNCTION("IFNA(FILTER(IMPORTRANGE(""https://docs.google.com/spreadsheets/d/1kGrh75X1cNR1D7_FcY9zMnHP8iPO4M5RCRjy6nZY0TY/edit#gid=1248694442"",""Table 2: MMC!H5:H114""), $A23=IMPORTRANGE(""https://docs.google.com/spreadsheets/d/1kGrh75X1cNR1D7_FcY9zMnHP8iPO4M5RCRjy6"&amp;"nZY0TY/edit#gid=1248694442"",""Table 2: MMC!A5:A114"")),"""")"),"")</f>
        <v/>
      </c>
      <c r="G23" s="14" t="str">
        <f>IFERROR(__xludf.DUMMYFUNCTION("IFNA(FILTER(IMPORTRANGE(""https://docs.google.com/spreadsheets/d/1kGrh75X1cNR1D7_FcY9zMnHP8iPO4M5RCRjy6nZY0TY/edit#gid=1248694442"",""Table 2: MMC!I5:I114""), $A23=IMPORTRANGE(""https://docs.google.com/spreadsheets/d/1kGrh75X1cNR1D7_FcY9zMnHP8iPO4M5RCRjy6"&amp;"nZY0TY/edit#gid=1248694442"",""Table 2: MMC!A5:A114"")),"""")"),"")</f>
        <v/>
      </c>
      <c r="H23" s="14" t="str">
        <f>IFERROR(__xludf.DUMMYFUNCTION("IFNA(FILTER(IMPORTRANGE(""https://docs.google.com/spreadsheets/d/1kGrh75X1cNR1D7_FcY9zMnHP8iPO4M5RCRjy6nZY0TY/edit#gid=1248694442"",""Table 2: MMC!J5:J114""), $A23=IMPORTRANGE(""https://docs.google.com/spreadsheets/d/1kGrh75X1cNR1D7_FcY9zMnHP8iPO4M5RCRjy6"&amp;"nZY0TY/edit#gid=1248694442"",""Table 2: MMC!A5:A114"")),"""")"),"post-natal")</f>
        <v>post-natal</v>
      </c>
      <c r="I23" s="14" t="str">
        <f>IFERROR(__xludf.DUMMYFUNCTION("IFNA(FILTER(IMPORTRANGE(""https://docs.google.com/spreadsheets/d/1kGrh75X1cNR1D7_FcY9zMnHP8iPO4M5RCRjy6nZY0TY/edit#gid=1248694442"",""Table 2: MMC!M5:M114""), $A23=IMPORTRANGE(""https://docs.google.com/spreadsheets/d/1kGrh75X1cNR1D7_FcY9zMnHP8iPO4M5RCRjy6"&amp;"nZY0TY/edit#gid=1248694442"",""Table 2: MMC!A5:A114"")),"""")"),"")</f>
        <v/>
      </c>
      <c r="J23" s="14">
        <f>IFERROR(__xludf.DUMMYFUNCTION("IFNA(FILTER(IMPORTRANGE(""https://docs.google.com/spreadsheets/d/1kGrh75X1cNR1D7_FcY9zMnHP8iPO4M5RCRjy6nZY0TY/edit#gid=1248694442"",""Table 2: MMC!Q5:Q114""), $A23=IMPORTRANGE(""https://docs.google.com/spreadsheets/d/1kGrh75X1cNR1D7_FcY9zMnHP8iPO4M5RCRjy6"&amp;"nZY0TY/edit#gid=1248694442"",""Table 2: MMC!A5:A114"")),"""")"),0.0)</f>
        <v>0</v>
      </c>
      <c r="K23" s="14">
        <f>IFERROR(__xludf.DUMMYFUNCTION("IFNA(FILTER(IMPORTRANGE(""https://docs.google.com/spreadsheets/d/1kGrh75X1cNR1D7_FcY9zMnHP8iPO4M5RCRjy6nZY0TY/edit#gid=1248694442"",""Table 2: MMC!R5:R114""), $A23=IMPORTRANGE(""https://docs.google.com/spreadsheets/d/1kGrh75X1cNR1D7_FcY9zMnHP8iPO4M5RCRjy6"&amp;"nZY0TY/edit#gid=1248694442"",""Table 2: MMC!A5:A114"")),"""")"),0.0)</f>
        <v>0</v>
      </c>
      <c r="L23" s="14" t="str">
        <f>IFERROR(__xludf.DUMMYFUNCTION("IFNA(FILTER(IMPORTRANGE(""https://docs.google.com/spreadsheets/d/1kGrh75X1cNR1D7_FcY9zMnHP8iPO4M5RCRjy6nZY0TY/edit#gid=1248694442"",""Table 2: MMC!S5:S114""), $A23=IMPORTRANGE(""https://docs.google.com/spreadsheets/d/1kGrh75X1cNR1D7_FcY9zMnHP8iPO4M5RCRjy6"&amp;"nZY0TY/edit#gid=1248694442"",""Table 2: MMC!A5:A114"")),"""")"),"")</f>
        <v/>
      </c>
      <c r="M23" s="14" t="str">
        <f>IFERROR(__xludf.DUMMYFUNCTION("IFNA(FILTER(IMPORTRANGE(""https://docs.google.com/spreadsheets/d/1kGrh75X1cNR1D7_FcY9zMnHP8iPO4M5RCRjy6nZY0TY/edit#gid=1248694442"",""Table 3: 1st-line HC!D5:D111""), $A23=IMPORTRANGE(""https://docs.google.com/spreadsheets/d/1kGrh75X1cNR1D7_FcY9zMnHP8iPO4"&amp;"M5RCRjy6nZY0TY/edit#gid=1248694442"",""Table 3: 1st-line HC!A5:A111"")),"""")"),"")</f>
        <v/>
      </c>
      <c r="N23" s="14" t="str">
        <f>IFERROR(__xludf.DUMMYFUNCTION("IFNA(FILTER(IMPORTRANGE(""https://docs.google.com/spreadsheets/d/1kGrh75X1cNR1D7_FcY9zMnHP8iPO4M5RCRjy6nZY0TY/edit#gid=1248694442"",""Table 3: 1st-line HC!E5:E111""), $A23=IMPORTRANGE(""https://docs.google.com/spreadsheets/d/1kGrh75X1cNR1D7_FcY9zMnHP8iPO4"&amp;"M5RCRjy6nZY0TY/edit#gid=1248694442"",""Table 3: 1st-line HC!A5:A111"")),"""")"),"")</f>
        <v/>
      </c>
      <c r="O23" s="14" t="str">
        <f>IFERROR(__xludf.DUMMYFUNCTION("IFNA(FILTER(IMPORTRANGE(""https://docs.google.com/spreadsheets/d/1kGrh75X1cNR1D7_FcY9zMnHP8iPO4M5RCRjy6nZY0TY/edit#gid=1248694442"",""Table 3: 1st-line HC!K5:K111""), $A23=IMPORTRANGE(""https://docs.google.com/spreadsheets/d/1kGrh75X1cNR1D7_FcY9zMnHP8iPO4"&amp;"M5RCRjy6nZY0TY/edit#gid=1248694442"",""Table 3: 1st-line HC!A5:A111"")),"""")"),"")</f>
        <v/>
      </c>
      <c r="P23" s="14" t="str">
        <f>IFERROR(__xludf.DUMMYFUNCTION("IFNA(FILTER(IMPORTRANGE(""https://docs.google.com/spreadsheets/d/1kGrh75X1cNR1D7_FcY9zMnHP8iPO4M5RCRjy6nZY0TY/edit#gid=1248694442"",""Table 3: 1st-line HC!L5:L111""), $A23=IMPORTRANGE(""https://docs.google.com/spreadsheets/d/1kGrh75X1cNR1D7_FcY9zMnHP8iPO4"&amp;"M5RCRjy6nZY0TY/edit#gid=1248694442"",""Table 3: 1st-line HC!A5:A111"")),"""")"),"")</f>
        <v/>
      </c>
      <c r="Q23" s="14" t="str">
        <f>IFERROR(__xludf.DUMMYFUNCTION("IFNA(FILTER(IMPORTRANGE(""https://docs.google.com/spreadsheets/d/1kGrh75X1cNR1D7_FcY9zMnHP8iPO4M5RCRjy6nZY0TY/edit#gid=1248694442"",""Table 3: 1st-line HC!M5:M111""), $A23=IMPORTRANGE(""https://docs.google.com/spreadsheets/d/1kGrh75X1cNR1D7_FcY9zMnHP8iPO4"&amp;"M5RCRjy6nZY0TY/edit#gid=1248694442"",""Table 3: 1st-line HC!A5:A111"")),"""")"),"")</f>
        <v/>
      </c>
      <c r="R23" s="14" t="str">
        <f>IFERROR(__xludf.DUMMYFUNCTION("IFNA(FILTER(IMPORTRANGE(""https://docs.google.com/spreadsheets/d/1kGrh75X1cNR1D7_FcY9zMnHP8iPO4M5RCRjy6nZY0TY/edit#gid=1248694442"",""Table 3: 1st-line HC!N5:N111""), $A23=IMPORTRANGE(""https://docs.google.com/spreadsheets/d/1kGrh75X1cNR1D7_FcY9zMnHP8iPO4"&amp;"M5RCRjy6nZY0TY/edit#gid=1248694442"",""Table 3: 1st-line HC!A5:A111"")),"""")"),"")</f>
        <v/>
      </c>
      <c r="S23" s="14" t="str">
        <f>IFERROR(__xludf.DUMMYFUNCTION("IFNA(FILTER(IMPORTRANGE(""https://docs.google.com/spreadsheets/d/1kGrh75X1cNR1D7_FcY9zMnHP8iPO4M5RCRjy6nZY0TY/edit#gid=1248694442"",""Table 3: 1st-line HC!T5:T111""), $A23=IMPORTRANGE(""https://docs.google.com/spreadsheets/d/1kGrh75X1cNR1D7_FcY9zMnHP8iPO4"&amp;"M5RCRjy6nZY0TY/edit#gid=1248694442"",""Table 3: 1st-line HC!A5:A111"")),"""")"),"")</f>
        <v/>
      </c>
      <c r="T23" s="14" t="str">
        <f>IFERROR(__xludf.DUMMYFUNCTION("IFNA(FILTER(IMPORTRANGE(""https://docs.google.com/spreadsheets/d/1kGrh75X1cNR1D7_FcY9zMnHP8iPO4M5RCRjy6nZY0TY/edit#gid=1248694442"",""Table 3: 1st-line HC!U5:U111""), $A23=IMPORTRANGE(""https://docs.google.com/spreadsheets/d/1kGrh75X1cNR1D7_FcY9zMnHP8iPO4"&amp;"M5RCRjy6nZY0TY/edit#gid=1248694442"",""Table 3: 1st-line HC!A5:A111"")),"""")"),"")</f>
        <v/>
      </c>
      <c r="U23" s="14" t="str">
        <f>IFERROR(__xludf.DUMMYFUNCTION("IFNA(FILTER(IMPORTRANGE(""https://docs.google.com/spreadsheets/d/1kGrh75X1cNR1D7_FcY9zMnHP8iPO4M5RCRjy6nZY0TY/edit#gid=1248694442"",""Table 3: 1st-line HC!V5:V111""), $A23=IMPORTRANGE(""https://docs.google.com/spreadsheets/d/1kGrh75X1cNR1D7_FcY9zMnHP8iPO4"&amp;"M5RCRjy6nZY0TY/edit#gid=1248694442"",""Table 3: 1st-line HC!A5:A111"")),"""")"),"")</f>
        <v/>
      </c>
      <c r="V23" s="14" t="str">
        <f>IFERROR(__xludf.DUMMYFUNCTION("IFNA(FILTER(IMPORTRANGE(""https://docs.google.com/spreadsheets/d/1kGrh75X1cNR1D7_FcY9zMnHP8iPO4M5RCRjy6nZY0TY/edit#gid=1248694442"",""Table 3: 1st-line HC!AE5:AE111""), $A23=IMPORTRANGE(""https://docs.google.com/spreadsheets/d/1kGrh75X1cNR1D7_FcY9zMnHP8iP"&amp;"O4M5RCRjy6nZY0TY/edit#gid=1248694442"",""Table 3: 1st-line HC!A5:A111"")),"""")"),"")</f>
        <v/>
      </c>
      <c r="W23" s="14" t="str">
        <f>IFERROR(__xludf.DUMMYFUNCTION("IFNA(FILTER(IMPORTRANGE(""https://docs.google.com/spreadsheets/d/1kGrh75X1cNR1D7_FcY9zMnHP8iPO4M5RCRjy6nZY0TY/edit#gid=1248694442"",""Table 3: 1st-line HC!AG5:AG111""), $A23=IMPORTRANGE(""https://docs.google.com/spreadsheets/d/1kGrh75X1cNR1D7_FcY9zMnHP8iP"&amp;"O4M5RCRjy6nZY0TY/edit#gid=1248694442"",""Table 3: 1st-line HC!A5:A111"")),"""")"),"")</f>
        <v/>
      </c>
      <c r="X23" s="14">
        <f>IFERROR(__xludf.DUMMYFUNCTION("IFNA(FILTER(IMPORTRANGE(""https://docs.google.com/spreadsheets/d/1kGrh75X1cNR1D7_FcY9zMnHP8iPO4M5RCRjy6nZY0TY/edit#gid=1248694442"",""Table 3: 1st-line HC!AI5:AI111""), $A23=IMPORTRANGE(""https://docs.google.com/spreadsheets/d/1kGrh75X1cNR1D7_FcY9zMnHP8iP"&amp;"O4M5RCRjy6nZY0TY/edit#gid=1248694442"",""Table 3: 1st-line HC!A5:A111"")),"""")"),4.0)</f>
        <v>4</v>
      </c>
    </row>
    <row r="24">
      <c r="A24" s="4" t="str">
        <f>IFERROR(__xludf.DUMMYFUNCTION("""COMPUTED_VALUE"""),"ID 38")</f>
        <v>ID 38</v>
      </c>
      <c r="B24" s="14" t="str">
        <f>IFERROR(__xludf.DUMMYFUNCTION("IFNA(FILTER(IMPORTRANGE(""https://docs.google.com/spreadsheets/d/1kGrh75X1cNR1D7_FcY9zMnHP8iPO4M5RCRjy6nZY0TY/edit#gid=1248694442"",""Table 2: MMC!D5:D114""), $A24=IMPORTRANGE(""https://docs.google.com/spreadsheets/d/1kGrh75X1cNR1D7_FcY9zMnHP8iPO4M5RCRjy6"&amp;"nZY0TY/edit#gid=1248694442"",""Table 2: MMC!A5:A114"")),"""")"),"")</f>
        <v/>
      </c>
      <c r="C24" s="14">
        <f>IFERROR(__xludf.DUMMYFUNCTION("IFNA(FILTER(IMPORTRANGE(""https://docs.google.com/spreadsheets/d/1kGrh75X1cNR1D7_FcY9zMnHP8iPO4M5RCRjy6nZY0TY/edit#gid=1248694442"",""Table 2: MMC!E5:E114""), $A24=IMPORTRANGE(""https://docs.google.com/spreadsheets/d/1kGrh75X1cNR1D7_FcY9zMnHP8iPO4M5RCRjy6"&amp;"nZY0TY/edit#gid=1248694442"",""Table 2: MMC!A5:A114"")),"""")"),89.0)</f>
        <v>89</v>
      </c>
      <c r="D24" s="14" t="str">
        <f>IFERROR(__xludf.DUMMYFUNCTION("IFNA(FILTER(IMPORTRANGE(""https://docs.google.com/spreadsheets/d/1kGrh75X1cNR1D7_FcY9zMnHP8iPO4M5RCRjy6nZY0TY/edit#gid=1248694442"",""Table 2: MMC!F5:F114""), $A24=IMPORTRANGE(""https://docs.google.com/spreadsheets/d/1kGrh75X1cNR1D7_FcY9zMnHP8iPO4M5RCRjy6"&amp;"nZY0TY/edit#gid=1248694442"",""Table 2: MMC!A5:A114"")),"""")"),"")</f>
        <v/>
      </c>
      <c r="E24" s="14" t="str">
        <f>IFERROR(__xludf.DUMMYFUNCTION("IFNA(FILTER(IMPORTRANGE(""https://docs.google.com/spreadsheets/d/1kGrh75X1cNR1D7_FcY9zMnHP8iPO4M5RCRjy6nZY0TY/edit#gid=1248694442"",""Table 2: MMC!G5:G114""), $A24=IMPORTRANGE(""https://docs.google.com/spreadsheets/d/1kGrh75X1cNR1D7_FcY9zMnHP8iPO4M5RCRjy6"&amp;"nZY0TY/edit#gid=1248694442"",""Table 2: MMC!A5:A114"")),"""")"),"")</f>
        <v/>
      </c>
      <c r="F24" s="14" t="str">
        <f>IFERROR(__xludf.DUMMYFUNCTION("IFNA(FILTER(IMPORTRANGE(""https://docs.google.com/spreadsheets/d/1kGrh75X1cNR1D7_FcY9zMnHP8iPO4M5RCRjy6nZY0TY/edit#gid=1248694442"",""Table 2: MMC!H5:H114""), $A24=IMPORTRANGE(""https://docs.google.com/spreadsheets/d/1kGrh75X1cNR1D7_FcY9zMnHP8iPO4M5RCRjy6"&amp;"nZY0TY/edit#gid=1248694442"",""Table 2: MMC!A5:A114"")),"""")"),"")</f>
        <v/>
      </c>
      <c r="G24" s="14" t="str">
        <f>IFERROR(__xludf.DUMMYFUNCTION("IFNA(FILTER(IMPORTRANGE(""https://docs.google.com/spreadsheets/d/1kGrh75X1cNR1D7_FcY9zMnHP8iPO4M5RCRjy6nZY0TY/edit#gid=1248694442"",""Table 2: MMC!I5:I114""), $A24=IMPORTRANGE(""https://docs.google.com/spreadsheets/d/1kGrh75X1cNR1D7_FcY9zMnHP8iPO4M5RCRjy6"&amp;"nZY0TY/edit#gid=1248694442"",""Table 2: MMC!A5:A114"")),"""")"),"")</f>
        <v/>
      </c>
      <c r="H24" s="14" t="str">
        <f>IFERROR(__xludf.DUMMYFUNCTION("IFNA(FILTER(IMPORTRANGE(""https://docs.google.com/spreadsheets/d/1kGrh75X1cNR1D7_FcY9zMnHP8iPO4M5RCRjy6nZY0TY/edit#gid=1248694442"",""Table 2: MMC!J5:J114""), $A24=IMPORTRANGE(""https://docs.google.com/spreadsheets/d/1kGrh75X1cNR1D7_FcY9zMnHP8iPO4M5RCRjy6"&amp;"nZY0TY/edit#gid=1248694442"",""Table 2: MMC!A5:A114"")),"""")"),"post-natal")</f>
        <v>post-natal</v>
      </c>
      <c r="I24" s="14" t="str">
        <f>IFERROR(__xludf.DUMMYFUNCTION("IFNA(FILTER(IMPORTRANGE(""https://docs.google.com/spreadsheets/d/1kGrh75X1cNR1D7_FcY9zMnHP8iPO4M5RCRjy6nZY0TY/edit#gid=1248694442"",""Table 2: MMC!M5:M114""), $A24=IMPORTRANGE(""https://docs.google.com/spreadsheets/d/1kGrh75X1cNR1D7_FcY9zMnHP8iPO4M5RCRjy6"&amp;"nZY0TY/edit#gid=1248694442"",""Table 2: MMC!A5:A114"")),"""")"),"")</f>
        <v/>
      </c>
      <c r="J24" s="14" t="str">
        <f>IFERROR(__xludf.DUMMYFUNCTION("IFNA(FILTER(IMPORTRANGE(""https://docs.google.com/spreadsheets/d/1kGrh75X1cNR1D7_FcY9zMnHP8iPO4M5RCRjy6nZY0TY/edit#gid=1248694442"",""Table 2: MMC!Q5:Q114""), $A24=IMPORTRANGE(""https://docs.google.com/spreadsheets/d/1kGrh75X1cNR1D7_FcY9zMnHP8iPO4M5RCRjy6"&amp;"nZY0TY/edit#gid=1248694442"",""Table 2: MMC!A5:A114"")),"""")"),"")</f>
        <v/>
      </c>
      <c r="K24" s="14" t="str">
        <f>IFERROR(__xludf.DUMMYFUNCTION("IFNA(FILTER(IMPORTRANGE(""https://docs.google.com/spreadsheets/d/1kGrh75X1cNR1D7_FcY9zMnHP8iPO4M5RCRjy6nZY0TY/edit#gid=1248694442"",""Table 2: MMC!R5:R114""), $A24=IMPORTRANGE(""https://docs.google.com/spreadsheets/d/1kGrh75X1cNR1D7_FcY9zMnHP8iPO4M5RCRjy6"&amp;"nZY0TY/edit#gid=1248694442"",""Table 2: MMC!A5:A114"")),"""")"),"")</f>
        <v/>
      </c>
      <c r="L24" s="14" t="str">
        <f>IFERROR(__xludf.DUMMYFUNCTION("IFNA(FILTER(IMPORTRANGE(""https://docs.google.com/spreadsheets/d/1kGrh75X1cNR1D7_FcY9zMnHP8iPO4M5RCRjy6nZY0TY/edit#gid=1248694442"",""Table 2: MMC!S5:S114""), $A24=IMPORTRANGE(""https://docs.google.com/spreadsheets/d/1kGrh75X1cNR1D7_FcY9zMnHP8iPO4M5RCRjy6"&amp;"nZY0TY/edit#gid=1248694442"",""Table 2: MMC!A5:A114"")),"""")"),"")</f>
        <v/>
      </c>
      <c r="M24" s="14" t="str">
        <f>IFERROR(__xludf.DUMMYFUNCTION("IFNA(FILTER(IMPORTRANGE(""https://docs.google.com/spreadsheets/d/1kGrh75X1cNR1D7_FcY9zMnHP8iPO4M5RCRjy6nZY0TY/edit#gid=1248694442"",""Table 3: 1st-line HC!D5:D111""), $A24=IMPORTRANGE(""https://docs.google.com/spreadsheets/d/1kGrh75X1cNR1D7_FcY9zMnHP8iPO4"&amp;"M5RCRjy6nZY0TY/edit#gid=1248694442"",""Table 3: 1st-line HC!A5:A111"")),"""")"),"")</f>
        <v/>
      </c>
      <c r="N24" s="14" t="str">
        <f>IFERROR(__xludf.DUMMYFUNCTION("IFNA(FILTER(IMPORTRANGE(""https://docs.google.com/spreadsheets/d/1kGrh75X1cNR1D7_FcY9zMnHP8iPO4M5RCRjy6nZY0TY/edit#gid=1248694442"",""Table 3: 1st-line HC!E5:E111""), $A24=IMPORTRANGE(""https://docs.google.com/spreadsheets/d/1kGrh75X1cNR1D7_FcY9zMnHP8iPO4"&amp;"M5RCRjy6nZY0TY/edit#gid=1248694442"",""Table 3: 1st-line HC!A5:A111"")),"""")"),"")</f>
        <v/>
      </c>
      <c r="O24" s="14" t="str">
        <f>IFERROR(__xludf.DUMMYFUNCTION("IFNA(FILTER(IMPORTRANGE(""https://docs.google.com/spreadsheets/d/1kGrh75X1cNR1D7_FcY9zMnHP8iPO4M5RCRjy6nZY0TY/edit#gid=1248694442"",""Table 3: 1st-line HC!K5:K111""), $A24=IMPORTRANGE(""https://docs.google.com/spreadsheets/d/1kGrh75X1cNR1D7_FcY9zMnHP8iPO4"&amp;"M5RCRjy6nZY0TY/edit#gid=1248694442"",""Table 3: 1st-line HC!A5:A111"")),"""")"),"")</f>
        <v/>
      </c>
      <c r="P24" s="14" t="str">
        <f>IFERROR(__xludf.DUMMYFUNCTION("IFNA(FILTER(IMPORTRANGE(""https://docs.google.com/spreadsheets/d/1kGrh75X1cNR1D7_FcY9zMnHP8iPO4M5RCRjy6nZY0TY/edit#gid=1248694442"",""Table 3: 1st-line HC!L5:L111""), $A24=IMPORTRANGE(""https://docs.google.com/spreadsheets/d/1kGrh75X1cNR1D7_FcY9zMnHP8iPO4"&amp;"M5RCRjy6nZY0TY/edit#gid=1248694442"",""Table 3: 1st-line HC!A5:A111"")),"""")"),"")</f>
        <v/>
      </c>
      <c r="Q24" s="14" t="str">
        <f>IFERROR(__xludf.DUMMYFUNCTION("IFNA(FILTER(IMPORTRANGE(""https://docs.google.com/spreadsheets/d/1kGrh75X1cNR1D7_FcY9zMnHP8iPO4M5RCRjy6nZY0TY/edit#gid=1248694442"",""Table 3: 1st-line HC!M5:M111""), $A24=IMPORTRANGE(""https://docs.google.com/spreadsheets/d/1kGrh75X1cNR1D7_FcY9zMnHP8iPO4"&amp;"M5RCRjy6nZY0TY/edit#gid=1248694442"",""Table 3: 1st-line HC!A5:A111"")),"""")"),"")</f>
        <v/>
      </c>
      <c r="R24" s="14" t="str">
        <f>IFERROR(__xludf.DUMMYFUNCTION("IFNA(FILTER(IMPORTRANGE(""https://docs.google.com/spreadsheets/d/1kGrh75X1cNR1D7_FcY9zMnHP8iPO4M5RCRjy6nZY0TY/edit#gid=1248694442"",""Table 3: 1st-line HC!N5:N111""), $A24=IMPORTRANGE(""https://docs.google.com/spreadsheets/d/1kGrh75X1cNR1D7_FcY9zMnHP8iPO4"&amp;"M5RCRjy6nZY0TY/edit#gid=1248694442"",""Table 3: 1st-line HC!A5:A111"")),"""")"),"")</f>
        <v/>
      </c>
      <c r="S24" s="14" t="str">
        <f>IFERROR(__xludf.DUMMYFUNCTION("IFNA(FILTER(IMPORTRANGE(""https://docs.google.com/spreadsheets/d/1kGrh75X1cNR1D7_FcY9zMnHP8iPO4M5RCRjy6nZY0TY/edit#gid=1248694442"",""Table 3: 1st-line HC!T5:T111""), $A24=IMPORTRANGE(""https://docs.google.com/spreadsheets/d/1kGrh75X1cNR1D7_FcY9zMnHP8iPO4"&amp;"M5RCRjy6nZY0TY/edit#gid=1248694442"",""Table 3: 1st-line HC!A5:A111"")),"""")"),"")</f>
        <v/>
      </c>
      <c r="T24" s="14" t="str">
        <f>IFERROR(__xludf.DUMMYFUNCTION("IFNA(FILTER(IMPORTRANGE(""https://docs.google.com/spreadsheets/d/1kGrh75X1cNR1D7_FcY9zMnHP8iPO4M5RCRjy6nZY0TY/edit#gid=1248694442"",""Table 3: 1st-line HC!U5:U111""), $A24=IMPORTRANGE(""https://docs.google.com/spreadsheets/d/1kGrh75X1cNR1D7_FcY9zMnHP8iPO4"&amp;"M5RCRjy6nZY0TY/edit#gid=1248694442"",""Table 3: 1st-line HC!A5:A111"")),"""")"),"")</f>
        <v/>
      </c>
      <c r="U24" s="14" t="str">
        <f>IFERROR(__xludf.DUMMYFUNCTION("IFNA(FILTER(IMPORTRANGE(""https://docs.google.com/spreadsheets/d/1kGrh75X1cNR1D7_FcY9zMnHP8iPO4M5RCRjy6nZY0TY/edit#gid=1248694442"",""Table 3: 1st-line HC!V5:V111""), $A24=IMPORTRANGE(""https://docs.google.com/spreadsheets/d/1kGrh75X1cNR1D7_FcY9zMnHP8iPO4"&amp;"M5RCRjy6nZY0TY/edit#gid=1248694442"",""Table 3: 1st-line HC!A5:A111"")),"""")"),"")</f>
        <v/>
      </c>
      <c r="V24" s="14" t="str">
        <f>IFERROR(__xludf.DUMMYFUNCTION("IFNA(FILTER(IMPORTRANGE(""https://docs.google.com/spreadsheets/d/1kGrh75X1cNR1D7_FcY9zMnHP8iPO4M5RCRjy6nZY0TY/edit#gid=1248694442"",""Table 3: 1st-line HC!AE5:AE111""), $A24=IMPORTRANGE(""https://docs.google.com/spreadsheets/d/1kGrh75X1cNR1D7_FcY9zMnHP8iP"&amp;"O4M5RCRjy6nZY0TY/edit#gid=1248694442"",""Table 3: 1st-line HC!A5:A111"")),"""")"),"")</f>
        <v/>
      </c>
      <c r="W24" s="14" t="str">
        <f>IFERROR(__xludf.DUMMYFUNCTION("IFNA(FILTER(IMPORTRANGE(""https://docs.google.com/spreadsheets/d/1kGrh75X1cNR1D7_FcY9zMnHP8iPO4M5RCRjy6nZY0TY/edit#gid=1248694442"",""Table 3: 1st-line HC!AG5:AG111""), $A24=IMPORTRANGE(""https://docs.google.com/spreadsheets/d/1kGrh75X1cNR1D7_FcY9zMnHP8iP"&amp;"O4M5RCRjy6nZY0TY/edit#gid=1248694442"",""Table 3: 1st-line HC!A5:A111"")),"""")"),"")</f>
        <v/>
      </c>
      <c r="X24" s="14">
        <f>IFERROR(__xludf.DUMMYFUNCTION("IFNA(FILTER(IMPORTRANGE(""https://docs.google.com/spreadsheets/d/1kGrh75X1cNR1D7_FcY9zMnHP8iPO4M5RCRjy6nZY0TY/edit#gid=1248694442"",""Table 3: 1st-line HC!AI5:AI111""), $A24=IMPORTRANGE(""https://docs.google.com/spreadsheets/d/1kGrh75X1cNR1D7_FcY9zMnHP8iP"&amp;"O4M5RCRjy6nZY0TY/edit#gid=1248694442"",""Table 3: 1st-line HC!A5:A111"")),"""")"),52.0)</f>
        <v>52</v>
      </c>
    </row>
    <row r="25">
      <c r="A25" s="4" t="str">
        <f>IFERROR(__xludf.DUMMYFUNCTION("""COMPUTED_VALUE"""),"ID 39")</f>
        <v>ID 39</v>
      </c>
      <c r="B25" s="14" t="str">
        <f>IFERROR(__xludf.DUMMYFUNCTION("IFNA(FILTER(IMPORTRANGE(""https://docs.google.com/spreadsheets/d/1kGrh75X1cNR1D7_FcY9zMnHP8iPO4M5RCRjy6nZY0TY/edit#gid=1248694442"",""Table 2: MMC!D5:D114""), $A25=IMPORTRANGE(""https://docs.google.com/spreadsheets/d/1kGrh75X1cNR1D7_FcY9zMnHP8iPO4M5RCRjy6"&amp;"nZY0TY/edit#gid=1248694442"",""Table 2: MMC!A5:A114"")),"""")"),"")</f>
        <v/>
      </c>
      <c r="C25" s="14" t="str">
        <f>IFERROR(__xludf.DUMMYFUNCTION("IFNA(FILTER(IMPORTRANGE(""https://docs.google.com/spreadsheets/d/1kGrh75X1cNR1D7_FcY9zMnHP8iPO4M5RCRjy6nZY0TY/edit#gid=1248694442"",""Table 2: MMC!E5:E114""), $A25=IMPORTRANGE(""https://docs.google.com/spreadsheets/d/1kGrh75X1cNR1D7_FcY9zMnHP8iPO4M5RCRjy6"&amp;"nZY0TY/edit#gid=1248694442"",""Table 2: MMC!A5:A114"")),"""")"),"")</f>
        <v/>
      </c>
      <c r="D25" s="14" t="str">
        <f>IFERROR(__xludf.DUMMYFUNCTION("IFNA(FILTER(IMPORTRANGE(""https://docs.google.com/spreadsheets/d/1kGrh75X1cNR1D7_FcY9zMnHP8iPO4M5RCRjy6nZY0TY/edit#gid=1248694442"",""Table 2: MMC!F5:F114""), $A25=IMPORTRANGE(""https://docs.google.com/spreadsheets/d/1kGrh75X1cNR1D7_FcY9zMnHP8iPO4M5RCRjy6"&amp;"nZY0TY/edit#gid=1248694442"",""Table 2: MMC!A5:A114"")),"""")"),"")</f>
        <v/>
      </c>
      <c r="E25" s="14" t="str">
        <f>IFERROR(__xludf.DUMMYFUNCTION("IFNA(FILTER(IMPORTRANGE(""https://docs.google.com/spreadsheets/d/1kGrh75X1cNR1D7_FcY9zMnHP8iPO4M5RCRjy6nZY0TY/edit#gid=1248694442"",""Table 2: MMC!G5:G114""), $A25=IMPORTRANGE(""https://docs.google.com/spreadsheets/d/1kGrh75X1cNR1D7_FcY9zMnHP8iPO4M5RCRjy6"&amp;"nZY0TY/edit#gid=1248694442"",""Table 2: MMC!A5:A114"")),"""")"),"")</f>
        <v/>
      </c>
      <c r="F25" s="14" t="str">
        <f>IFERROR(__xludf.DUMMYFUNCTION("IFNA(FILTER(IMPORTRANGE(""https://docs.google.com/spreadsheets/d/1kGrh75X1cNR1D7_FcY9zMnHP8iPO4M5RCRjy6nZY0TY/edit#gid=1248694442"",""Table 2: MMC!H5:H114""), $A25=IMPORTRANGE(""https://docs.google.com/spreadsheets/d/1kGrh75X1cNR1D7_FcY9zMnHP8iPO4M5RCRjy6"&amp;"nZY0TY/edit#gid=1248694442"",""Table 2: MMC!A5:A114"")),"""")"),"")</f>
        <v/>
      </c>
      <c r="G25" s="14" t="str">
        <f>IFERROR(__xludf.DUMMYFUNCTION("IFNA(FILTER(IMPORTRANGE(""https://docs.google.com/spreadsheets/d/1kGrh75X1cNR1D7_FcY9zMnHP8iPO4M5RCRjy6nZY0TY/edit#gid=1248694442"",""Table 2: MMC!I5:I114""), $A25=IMPORTRANGE(""https://docs.google.com/spreadsheets/d/1kGrh75X1cNR1D7_FcY9zMnHP8iPO4M5RCRjy6"&amp;"nZY0TY/edit#gid=1248694442"",""Table 2: MMC!A5:A114"")),"""")"),"")</f>
        <v/>
      </c>
      <c r="H25" s="14" t="str">
        <f>IFERROR(__xludf.DUMMYFUNCTION("IFNA(FILTER(IMPORTRANGE(""https://docs.google.com/spreadsheets/d/1kGrh75X1cNR1D7_FcY9zMnHP8iPO4M5RCRjy6nZY0TY/edit#gid=1248694442"",""Table 2: MMC!J5:J114""), $A25=IMPORTRANGE(""https://docs.google.com/spreadsheets/d/1kGrh75X1cNR1D7_FcY9zMnHP8iPO4M5RCRjy6"&amp;"nZY0TY/edit#gid=1248694442"",""Table 2: MMC!A5:A114"")),"""")"),"")</f>
        <v/>
      </c>
      <c r="I25" s="14" t="str">
        <f>IFERROR(__xludf.DUMMYFUNCTION("IFNA(FILTER(IMPORTRANGE(""https://docs.google.com/spreadsheets/d/1kGrh75X1cNR1D7_FcY9zMnHP8iPO4M5RCRjy6nZY0TY/edit#gid=1248694442"",""Table 2: MMC!M5:M114""), $A25=IMPORTRANGE(""https://docs.google.com/spreadsheets/d/1kGrh75X1cNR1D7_FcY9zMnHP8iPO4M5RCRjy6"&amp;"nZY0TY/edit#gid=1248694442"",""Table 2: MMC!A5:A114"")),"""")"),"")</f>
        <v/>
      </c>
      <c r="J25" s="14" t="str">
        <f>IFERROR(__xludf.DUMMYFUNCTION("IFNA(FILTER(IMPORTRANGE(""https://docs.google.com/spreadsheets/d/1kGrh75X1cNR1D7_FcY9zMnHP8iPO4M5RCRjy6nZY0TY/edit#gid=1248694442"",""Table 2: MMC!Q5:Q114""), $A25=IMPORTRANGE(""https://docs.google.com/spreadsheets/d/1kGrh75X1cNR1D7_FcY9zMnHP8iPO4M5RCRjy6"&amp;"nZY0TY/edit#gid=1248694442"",""Table 2: MMC!A5:A114"")),"""")"),"")</f>
        <v/>
      </c>
      <c r="K25" s="14" t="str">
        <f>IFERROR(__xludf.DUMMYFUNCTION("IFNA(FILTER(IMPORTRANGE(""https://docs.google.com/spreadsheets/d/1kGrh75X1cNR1D7_FcY9zMnHP8iPO4M5RCRjy6nZY0TY/edit#gid=1248694442"",""Table 2: MMC!R5:R114""), $A25=IMPORTRANGE(""https://docs.google.com/spreadsheets/d/1kGrh75X1cNR1D7_FcY9zMnHP8iPO4M5RCRjy6"&amp;"nZY0TY/edit#gid=1248694442"",""Table 2: MMC!A5:A114"")),"""")"),"")</f>
        <v/>
      </c>
      <c r="L25" s="14" t="str">
        <f>IFERROR(__xludf.DUMMYFUNCTION("IFNA(FILTER(IMPORTRANGE(""https://docs.google.com/spreadsheets/d/1kGrh75X1cNR1D7_FcY9zMnHP8iPO4M5RCRjy6nZY0TY/edit#gid=1248694442"",""Table 2: MMC!S5:S114""), $A25=IMPORTRANGE(""https://docs.google.com/spreadsheets/d/1kGrh75X1cNR1D7_FcY9zMnHP8iPO4M5RCRjy6"&amp;"nZY0TY/edit#gid=1248694442"",""Table 2: MMC!A5:A114"")),"""")"),"")</f>
        <v/>
      </c>
      <c r="M25" s="14" t="str">
        <f>IFERROR(__xludf.DUMMYFUNCTION("IFNA(FILTER(IMPORTRANGE(""https://docs.google.com/spreadsheets/d/1kGrh75X1cNR1D7_FcY9zMnHP8iPO4M5RCRjy6nZY0TY/edit#gid=1248694442"",""Table 3: 1st-line HC!D5:D111""), $A25=IMPORTRANGE(""https://docs.google.com/spreadsheets/d/1kGrh75X1cNR1D7_FcY9zMnHP8iPO4"&amp;"M5RCRjy6nZY0TY/edit#gid=1248694442"",""Table 3: 1st-line HC!A5:A111"")),"""")"),"")</f>
        <v/>
      </c>
      <c r="N25" s="14" t="str">
        <f>IFERROR(__xludf.DUMMYFUNCTION("IFNA(FILTER(IMPORTRANGE(""https://docs.google.com/spreadsheets/d/1kGrh75X1cNR1D7_FcY9zMnHP8iPO4M5RCRjy6nZY0TY/edit#gid=1248694442"",""Table 3: 1st-line HC!E5:E111""), $A25=IMPORTRANGE(""https://docs.google.com/spreadsheets/d/1kGrh75X1cNR1D7_FcY9zMnHP8iPO4"&amp;"M5RCRjy6nZY0TY/edit#gid=1248694442"",""Table 3: 1st-line HC!A5:A111"")),"""")"),"")</f>
        <v/>
      </c>
      <c r="O25" s="14" t="str">
        <f>IFERROR(__xludf.DUMMYFUNCTION("IFNA(FILTER(IMPORTRANGE(""https://docs.google.com/spreadsheets/d/1kGrh75X1cNR1D7_FcY9zMnHP8iPO4M5RCRjy6nZY0TY/edit#gid=1248694442"",""Table 3: 1st-line HC!K5:K111""), $A25=IMPORTRANGE(""https://docs.google.com/spreadsheets/d/1kGrh75X1cNR1D7_FcY9zMnHP8iPO4"&amp;"M5RCRjy6nZY0TY/edit#gid=1248694442"",""Table 3: 1st-line HC!A5:A111"")),"""")"),"")</f>
        <v/>
      </c>
      <c r="P25" s="14" t="str">
        <f>IFERROR(__xludf.DUMMYFUNCTION("IFNA(FILTER(IMPORTRANGE(""https://docs.google.com/spreadsheets/d/1kGrh75X1cNR1D7_FcY9zMnHP8iPO4M5RCRjy6nZY0TY/edit#gid=1248694442"",""Table 3: 1st-line HC!L5:L111""), $A25=IMPORTRANGE(""https://docs.google.com/spreadsheets/d/1kGrh75X1cNR1D7_FcY9zMnHP8iPO4"&amp;"M5RCRjy6nZY0TY/edit#gid=1248694442"",""Table 3: 1st-line HC!A5:A111"")),"""")"),"")</f>
        <v/>
      </c>
      <c r="Q25" s="14" t="str">
        <f>IFERROR(__xludf.DUMMYFUNCTION("IFNA(FILTER(IMPORTRANGE(""https://docs.google.com/spreadsheets/d/1kGrh75X1cNR1D7_FcY9zMnHP8iPO4M5RCRjy6nZY0TY/edit#gid=1248694442"",""Table 3: 1st-line HC!M5:M111""), $A25=IMPORTRANGE(""https://docs.google.com/spreadsheets/d/1kGrh75X1cNR1D7_FcY9zMnHP8iPO4"&amp;"M5RCRjy6nZY0TY/edit#gid=1248694442"",""Table 3: 1st-line HC!A5:A111"")),"""")"),"")</f>
        <v/>
      </c>
      <c r="R25" s="14" t="str">
        <f>IFERROR(__xludf.DUMMYFUNCTION("IFNA(FILTER(IMPORTRANGE(""https://docs.google.com/spreadsheets/d/1kGrh75X1cNR1D7_FcY9zMnHP8iPO4M5RCRjy6nZY0TY/edit#gid=1248694442"",""Table 3: 1st-line HC!N5:N111""), $A25=IMPORTRANGE(""https://docs.google.com/spreadsheets/d/1kGrh75X1cNR1D7_FcY9zMnHP8iPO4"&amp;"M5RCRjy6nZY0TY/edit#gid=1248694442"",""Table 3: 1st-line HC!A5:A111"")),"""")"),"")</f>
        <v/>
      </c>
      <c r="S25" s="14" t="str">
        <f>IFERROR(__xludf.DUMMYFUNCTION("IFNA(FILTER(IMPORTRANGE(""https://docs.google.com/spreadsheets/d/1kGrh75X1cNR1D7_FcY9zMnHP8iPO4M5RCRjy6nZY0TY/edit#gid=1248694442"",""Table 3: 1st-line HC!T5:T111""), $A25=IMPORTRANGE(""https://docs.google.com/spreadsheets/d/1kGrh75X1cNR1D7_FcY9zMnHP8iPO4"&amp;"M5RCRjy6nZY0TY/edit#gid=1248694442"",""Table 3: 1st-line HC!A5:A111"")),"""")"),"")</f>
        <v/>
      </c>
      <c r="T25" s="14" t="str">
        <f>IFERROR(__xludf.DUMMYFUNCTION("IFNA(FILTER(IMPORTRANGE(""https://docs.google.com/spreadsheets/d/1kGrh75X1cNR1D7_FcY9zMnHP8iPO4M5RCRjy6nZY0TY/edit#gid=1248694442"",""Table 3: 1st-line HC!U5:U111""), $A25=IMPORTRANGE(""https://docs.google.com/spreadsheets/d/1kGrh75X1cNR1D7_FcY9zMnHP8iPO4"&amp;"M5RCRjy6nZY0TY/edit#gid=1248694442"",""Table 3: 1st-line HC!A5:A111"")),"""")"),"")</f>
        <v/>
      </c>
      <c r="U25" s="14" t="str">
        <f>IFERROR(__xludf.DUMMYFUNCTION("IFNA(FILTER(IMPORTRANGE(""https://docs.google.com/spreadsheets/d/1kGrh75X1cNR1D7_FcY9zMnHP8iPO4M5RCRjy6nZY0TY/edit#gid=1248694442"",""Table 3: 1st-line HC!V5:V111""), $A25=IMPORTRANGE(""https://docs.google.com/spreadsheets/d/1kGrh75X1cNR1D7_FcY9zMnHP8iPO4"&amp;"M5RCRjy6nZY0TY/edit#gid=1248694442"",""Table 3: 1st-line HC!A5:A111"")),"""")"),"")</f>
        <v/>
      </c>
      <c r="V25" s="14" t="str">
        <f>IFERROR(__xludf.DUMMYFUNCTION("IFNA(FILTER(IMPORTRANGE(""https://docs.google.com/spreadsheets/d/1kGrh75X1cNR1D7_FcY9zMnHP8iPO4M5RCRjy6nZY0TY/edit#gid=1248694442"",""Table 3: 1st-line HC!AE5:AE111""), $A25=IMPORTRANGE(""https://docs.google.com/spreadsheets/d/1kGrh75X1cNR1D7_FcY9zMnHP8iP"&amp;"O4M5RCRjy6nZY0TY/edit#gid=1248694442"",""Table 3: 1st-line HC!A5:A111"")),"""")"),"")</f>
        <v/>
      </c>
      <c r="W25" s="14" t="str">
        <f>IFERROR(__xludf.DUMMYFUNCTION("IFNA(FILTER(IMPORTRANGE(""https://docs.google.com/spreadsheets/d/1kGrh75X1cNR1D7_FcY9zMnHP8iPO4M5RCRjy6nZY0TY/edit#gid=1248694442"",""Table 3: 1st-line HC!AG5:AG111""), $A25=IMPORTRANGE(""https://docs.google.com/spreadsheets/d/1kGrh75X1cNR1D7_FcY9zMnHP8iP"&amp;"O4M5RCRjy6nZY0TY/edit#gid=1248694442"",""Table 3: 1st-line HC!A5:A111"")),"""")"),"")</f>
        <v/>
      </c>
      <c r="X25" s="14">
        <f>IFERROR(__xludf.DUMMYFUNCTION("IFNA(FILTER(IMPORTRANGE(""https://docs.google.com/spreadsheets/d/1kGrh75X1cNR1D7_FcY9zMnHP8iPO4M5RCRjy6nZY0TY/edit#gid=1248694442"",""Table 3: 1st-line HC!AI5:AI111""), $A25=IMPORTRANGE(""https://docs.google.com/spreadsheets/d/1kGrh75X1cNR1D7_FcY9zMnHP8iP"&amp;"O4M5RCRjy6nZY0TY/edit#gid=1248694442"",""Table 3: 1st-line HC!A5:A111"")),"""")"),613.6)</f>
        <v>613.6</v>
      </c>
    </row>
    <row r="26">
      <c r="A26" s="4" t="str">
        <f>IFERROR(__xludf.DUMMYFUNCTION("""COMPUTED_VALUE"""),"ID 43")</f>
        <v>ID 43</v>
      </c>
      <c r="B26" s="14" t="str">
        <f>IFERROR(__xludf.DUMMYFUNCTION("IFNA(FILTER(IMPORTRANGE(""https://docs.google.com/spreadsheets/d/1kGrh75X1cNR1D7_FcY9zMnHP8iPO4M5RCRjy6nZY0TY/edit#gid=1248694442"",""Table 2: MMC!D5:D114""), $A26=IMPORTRANGE(""https://docs.google.com/spreadsheets/d/1kGrh75X1cNR1D7_FcY9zMnHP8iPO4M5RCRjy6"&amp;"nZY0TY/edit#gid=1248694442"",""Table 2: MMC!A5:A114"")),"""")"),"")</f>
        <v/>
      </c>
      <c r="C26" s="14">
        <f>IFERROR(__xludf.DUMMYFUNCTION("IFNA(FILTER(IMPORTRANGE(""https://docs.google.com/spreadsheets/d/1kGrh75X1cNR1D7_FcY9zMnHP8iPO4M5RCRjy6nZY0TY/edit#gid=1248694442"",""Table 2: MMC!E5:E114""), $A26=IMPORTRANGE(""https://docs.google.com/spreadsheets/d/1kGrh75X1cNR1D7_FcY9zMnHP8iPO4M5RCRjy6"&amp;"nZY0TY/edit#gid=1248694442"",""Table 2: MMC!A5:A114"")),"""")"),10.0)</f>
        <v>10</v>
      </c>
      <c r="D26" s="14" t="str">
        <f>IFERROR(__xludf.DUMMYFUNCTION("IFNA(FILTER(IMPORTRANGE(""https://docs.google.com/spreadsheets/d/1kGrh75X1cNR1D7_FcY9zMnHP8iPO4M5RCRjy6nZY0TY/edit#gid=1248694442"",""Table 2: MMC!F5:F114""), $A26=IMPORTRANGE(""https://docs.google.com/spreadsheets/d/1kGrh75X1cNR1D7_FcY9zMnHP8iPO4M5RCRjy6"&amp;"nZY0TY/edit#gid=1248694442"",""Table 2: MMC!A5:A114"")),"""")"),"")</f>
        <v/>
      </c>
      <c r="E26" s="14">
        <f>IFERROR(__xludf.DUMMYFUNCTION("IFNA(FILTER(IMPORTRANGE(""https://docs.google.com/spreadsheets/d/1kGrh75X1cNR1D7_FcY9zMnHP8iPO4M5RCRjy6nZY0TY/edit#gid=1248694442"",""Table 2: MMC!G5:G114""), $A26=IMPORTRANGE(""https://docs.google.com/spreadsheets/d/1kGrh75X1cNR1D7_FcY9zMnHP8iPO4M5RCRjy6"&amp;"nZY0TY/edit#gid=1248694442"",""Table 2: MMC!A5:A114"")),"""")"),16.0)</f>
        <v>16</v>
      </c>
      <c r="F26" s="14">
        <f>IFERROR(__xludf.DUMMYFUNCTION("IFNA(FILTER(IMPORTRANGE(""https://docs.google.com/spreadsheets/d/1kGrh75X1cNR1D7_FcY9zMnHP8iPO4M5RCRjy6nZY0TY/edit#gid=1248694442"",""Table 2: MMC!H5:H114""), $A26=IMPORTRANGE(""https://docs.google.com/spreadsheets/d/1kGrh75X1cNR1D7_FcY9zMnHP8iPO4M5RCRjy6"&amp;"nZY0TY/edit#gid=1248694442"",""Table 2: MMC!A5:A114"")),"""")"),24.0)</f>
        <v>24</v>
      </c>
      <c r="G26" s="14" t="str">
        <f>IFERROR(__xludf.DUMMYFUNCTION("IFNA(FILTER(IMPORTRANGE(""https://docs.google.com/spreadsheets/d/1kGrh75X1cNR1D7_FcY9zMnHP8iPO4M5RCRjy6nZY0TY/edit#gid=1248694442"",""Table 2: MMC!I5:I114""), $A26=IMPORTRANGE(""https://docs.google.com/spreadsheets/d/1kGrh75X1cNR1D7_FcY9zMnHP8iPO4M5RCRjy6"&amp;"nZY0TY/edit#gid=1248694442"",""Table 2: MMC!A5:A114"")),"""")"),"")</f>
        <v/>
      </c>
      <c r="H26" s="14" t="str">
        <f>IFERROR(__xludf.DUMMYFUNCTION("IFNA(FILTER(IMPORTRANGE(""https://docs.google.com/spreadsheets/d/1kGrh75X1cNR1D7_FcY9zMnHP8iPO4M5RCRjy6nZY0TY/edit#gid=1248694442"",""Table 2: MMC!J5:J114""), $A26=IMPORTRANGE(""https://docs.google.com/spreadsheets/d/1kGrh75X1cNR1D7_FcY9zMnHP8iPO4M5RCRjy6"&amp;"nZY0TY/edit#gid=1248694442"",""Table 2: MMC!A5:A114"")),"""")"),"post-natal")</f>
        <v>post-natal</v>
      </c>
      <c r="I26" s="14" t="str">
        <f>IFERROR(__xludf.DUMMYFUNCTION("IFNA(FILTER(IMPORTRANGE(""https://docs.google.com/spreadsheets/d/1kGrh75X1cNR1D7_FcY9zMnHP8iPO4M5RCRjy6nZY0TY/edit#gid=1248694442"",""Table 2: MMC!M5:M114""), $A26=IMPORTRANGE(""https://docs.google.com/spreadsheets/d/1kGrh75X1cNR1D7_FcY9zMnHP8iPO4M5RCRjy6"&amp;"nZY0TY/edit#gid=1248694442"",""Table 2: MMC!A5:A114"")),"""")"),"")</f>
        <v/>
      </c>
      <c r="J26" s="14" t="str">
        <f>IFERROR(__xludf.DUMMYFUNCTION("IFNA(FILTER(IMPORTRANGE(""https://docs.google.com/spreadsheets/d/1kGrh75X1cNR1D7_FcY9zMnHP8iPO4M5RCRjy6nZY0TY/edit#gid=1248694442"",""Table 2: MMC!Q5:Q114""), $A26=IMPORTRANGE(""https://docs.google.com/spreadsheets/d/1kGrh75X1cNR1D7_FcY9zMnHP8iPO4M5RCRjy6"&amp;"nZY0TY/edit#gid=1248694442"",""Table 2: MMC!A5:A114"")),"""")"),"")</f>
        <v/>
      </c>
      <c r="K26" s="14" t="str">
        <f>IFERROR(__xludf.DUMMYFUNCTION("IFNA(FILTER(IMPORTRANGE(""https://docs.google.com/spreadsheets/d/1kGrh75X1cNR1D7_FcY9zMnHP8iPO4M5RCRjy6nZY0TY/edit#gid=1248694442"",""Table 2: MMC!R5:R114""), $A26=IMPORTRANGE(""https://docs.google.com/spreadsheets/d/1kGrh75X1cNR1D7_FcY9zMnHP8iPO4M5RCRjy6"&amp;"nZY0TY/edit#gid=1248694442"",""Table 2: MMC!A5:A114"")),"""")"),"")</f>
        <v/>
      </c>
      <c r="L26" s="14" t="str">
        <f>IFERROR(__xludf.DUMMYFUNCTION("IFNA(FILTER(IMPORTRANGE(""https://docs.google.com/spreadsheets/d/1kGrh75X1cNR1D7_FcY9zMnHP8iPO4M5RCRjy6nZY0TY/edit#gid=1248694442"",""Table 2: MMC!S5:S114""), $A26=IMPORTRANGE(""https://docs.google.com/spreadsheets/d/1kGrh75X1cNR1D7_FcY9zMnHP8iPO4M5RCRjy6"&amp;"nZY0TY/edit#gid=1248694442"",""Table 2: MMC!A5:A114"")),"""")"),"")</f>
        <v/>
      </c>
      <c r="M26" s="14" t="str">
        <f>IFERROR(__xludf.DUMMYFUNCTION("IFNA(FILTER(IMPORTRANGE(""https://docs.google.com/spreadsheets/d/1kGrh75X1cNR1D7_FcY9zMnHP8iPO4M5RCRjy6nZY0TY/edit#gid=1248694442"",""Table 3: 1st-line HC!D5:D111""), $A26=IMPORTRANGE(""https://docs.google.com/spreadsheets/d/1kGrh75X1cNR1D7_FcY9zMnHP8iPO4"&amp;"M5RCRjy6nZY0TY/edit#gid=1248694442"",""Table 3: 1st-line HC!A5:A111"")),"""")"),"")</f>
        <v/>
      </c>
      <c r="N26" s="14" t="str">
        <f>IFERROR(__xludf.DUMMYFUNCTION("IFNA(FILTER(IMPORTRANGE(""https://docs.google.com/spreadsheets/d/1kGrh75X1cNR1D7_FcY9zMnHP8iPO4M5RCRjy6nZY0TY/edit#gid=1248694442"",""Table 3: 1st-line HC!E5:E111""), $A26=IMPORTRANGE(""https://docs.google.com/spreadsheets/d/1kGrh75X1cNR1D7_FcY9zMnHP8iPO4"&amp;"M5RCRjy6nZY0TY/edit#gid=1248694442"",""Table 3: 1st-line HC!A5:A111"")),"""")"),"")</f>
        <v/>
      </c>
      <c r="O26" s="14">
        <f>IFERROR(__xludf.DUMMYFUNCTION("IFNA(FILTER(IMPORTRANGE(""https://docs.google.com/spreadsheets/d/1kGrh75X1cNR1D7_FcY9zMnHP8iPO4M5RCRjy6nZY0TY/edit#gid=1248694442"",""Table 3: 1st-line HC!K5:K111""), $A26=IMPORTRANGE(""https://docs.google.com/spreadsheets/d/1kGrh75X1cNR1D7_FcY9zMnHP8iPO4"&amp;"M5RCRjy6nZY0TY/edit#gid=1248694442"",""Table 3: 1st-line HC!A5:A111"")),"""")"),9.0)</f>
        <v>9</v>
      </c>
      <c r="P26" s="14">
        <f>IFERROR(__xludf.DUMMYFUNCTION("IFNA(FILTER(IMPORTRANGE(""https://docs.google.com/spreadsheets/d/1kGrh75X1cNR1D7_FcY9zMnHP8iPO4M5RCRjy6nZY0TY/edit#gid=1248694442"",""Table 3: 1st-line HC!L5:L111""), $A26=IMPORTRANGE(""https://docs.google.com/spreadsheets/d/1kGrh75X1cNR1D7_FcY9zMnHP8iPO4"&amp;"M5RCRjy6nZY0TY/edit#gid=1248694442"",""Table 3: 1st-line HC!A5:A111"")),"""")"),22.0)</f>
        <v>22</v>
      </c>
      <c r="Q26" s="14">
        <f>IFERROR(__xludf.DUMMYFUNCTION("IFNA(FILTER(IMPORTRANGE(""https://docs.google.com/spreadsheets/d/1kGrh75X1cNR1D7_FcY9zMnHP8iPO4M5RCRjy6nZY0TY/edit#gid=1248694442"",""Table 3: 1st-line HC!M5:M111""), $A26=IMPORTRANGE(""https://docs.google.com/spreadsheets/d/1kGrh75X1cNR1D7_FcY9zMnHP8iPO4"&amp;"M5RCRjy6nZY0TY/edit#gid=1248694442"",""Table 3: 1st-line HC!A5:A111"")),"""")"),6.0)</f>
        <v>6</v>
      </c>
      <c r="R26" s="14">
        <f>IFERROR(__xludf.DUMMYFUNCTION("IFNA(FILTER(IMPORTRANGE(""https://docs.google.com/spreadsheets/d/1kGrh75X1cNR1D7_FcY9zMnHP8iPO4M5RCRjy6nZY0TY/edit#gid=1248694442"",""Table 3: 1st-line HC!N5:N111""), $A26=IMPORTRANGE(""https://docs.google.com/spreadsheets/d/1kGrh75X1cNR1D7_FcY9zMnHP8iPO4"&amp;"M5RCRjy6nZY0TY/edit#gid=1248694442"",""Table 3: 1st-line HC!A5:A111"")),"""")"),10.0)</f>
        <v>10</v>
      </c>
      <c r="S26" s="14">
        <f>IFERROR(__xludf.DUMMYFUNCTION("IFNA(FILTER(IMPORTRANGE(""https://docs.google.com/spreadsheets/d/1kGrh75X1cNR1D7_FcY9zMnHP8iPO4M5RCRjy6nZY0TY/edit#gid=1248694442"",""Table 3: 1st-line HC!T5:T111""), $A26=IMPORTRANGE(""https://docs.google.com/spreadsheets/d/1kGrh75X1cNR1D7_FcY9zMnHP8iPO4"&amp;"M5RCRjy6nZY0TY/edit#gid=1248694442"",""Table 3: 1st-line HC!A5:A111"")),"""")"),1.0)</f>
        <v>1</v>
      </c>
      <c r="T26" s="14" t="str">
        <f>IFERROR(__xludf.DUMMYFUNCTION("IFNA(FILTER(IMPORTRANGE(""https://docs.google.com/spreadsheets/d/1kGrh75X1cNR1D7_FcY9zMnHP8iPO4M5RCRjy6nZY0TY/edit#gid=1248694442"",""Table 3: 1st-line HC!U5:U111""), $A26=IMPORTRANGE(""https://docs.google.com/spreadsheets/d/1kGrh75X1cNR1D7_FcY9zMnHP8iPO4"&amp;"M5RCRjy6nZY0TY/edit#gid=1248694442"",""Table 3: 1st-line HC!A5:A111"")),"""")"),"")</f>
        <v/>
      </c>
      <c r="U26" s="14" t="str">
        <f>IFERROR(__xludf.DUMMYFUNCTION("IFNA(FILTER(IMPORTRANGE(""https://docs.google.com/spreadsheets/d/1kGrh75X1cNR1D7_FcY9zMnHP8iPO4M5RCRjy6nZY0TY/edit#gid=1248694442"",""Table 3: 1st-line HC!V5:V111""), $A26=IMPORTRANGE(""https://docs.google.com/spreadsheets/d/1kGrh75X1cNR1D7_FcY9zMnHP8iPO4"&amp;"M5RCRjy6nZY0TY/edit#gid=1248694442"",""Table 3: 1st-line HC!A5:A111"")),"""")"),"")</f>
        <v/>
      </c>
      <c r="V26" s="14" t="str">
        <f>IFERROR(__xludf.DUMMYFUNCTION("IFNA(FILTER(IMPORTRANGE(""https://docs.google.com/spreadsheets/d/1kGrh75X1cNR1D7_FcY9zMnHP8iPO4M5RCRjy6nZY0TY/edit#gid=1248694442"",""Table 3: 1st-line HC!AE5:AE111""), $A26=IMPORTRANGE(""https://docs.google.com/spreadsheets/d/1kGrh75X1cNR1D7_FcY9zMnHP8iP"&amp;"O4M5RCRjy6nZY0TY/edit#gid=1248694442"",""Table 3: 1st-line HC!A5:A111"")),"""")"),"")</f>
        <v/>
      </c>
      <c r="W26" s="14" t="str">
        <f>IFERROR(__xludf.DUMMYFUNCTION("IFNA(FILTER(IMPORTRANGE(""https://docs.google.com/spreadsheets/d/1kGrh75X1cNR1D7_FcY9zMnHP8iPO4M5RCRjy6nZY0TY/edit#gid=1248694442"",""Table 3: 1st-line HC!AG5:AG111""), $A26=IMPORTRANGE(""https://docs.google.com/spreadsheets/d/1kGrh75X1cNR1D7_FcY9zMnHP8iP"&amp;"O4M5RCRjy6nZY0TY/edit#gid=1248694442"",""Table 3: 1st-line HC!A5:A111"")),"""")"),"")</f>
        <v/>
      </c>
      <c r="X26" s="14" t="str">
        <f>IFERROR(__xludf.DUMMYFUNCTION("IFNA(FILTER(IMPORTRANGE(""https://docs.google.com/spreadsheets/d/1kGrh75X1cNR1D7_FcY9zMnHP8iPO4M5RCRjy6nZY0TY/edit#gid=1248694442"",""Table 3: 1st-line HC!AI5:AI111""), $A26=IMPORTRANGE(""https://docs.google.com/spreadsheets/d/1kGrh75X1cNR1D7_FcY9zMnHP8iP"&amp;"O4M5RCRjy6nZY0TY/edit#gid=1248694442"",""Table 3: 1st-line HC!A5:A111"")),"""")"),"245-360")</f>
        <v>245-360</v>
      </c>
    </row>
    <row r="27">
      <c r="A27" s="4" t="str">
        <f>IFERROR(__xludf.DUMMYFUNCTION("""COMPUTED_VALUE"""),"ID 44")</f>
        <v>ID 44</v>
      </c>
      <c r="B27" s="14" t="str">
        <f>IFERROR(__xludf.DUMMYFUNCTION("IFNA(FILTER(IMPORTRANGE(""https://docs.google.com/spreadsheets/d/1kGrh75X1cNR1D7_FcY9zMnHP8iPO4M5RCRjy6nZY0TY/edit#gid=1248694442"",""Table 2: MMC!D5:D114""), $A27=IMPORTRANGE(""https://docs.google.com/spreadsheets/d/1kGrh75X1cNR1D7_FcY9zMnHP8iPO4M5RCRjy6"&amp;"nZY0TY/edit#gid=1248694442"",""Table 2: MMC!A5:A114"")),"""")"),"")</f>
        <v/>
      </c>
      <c r="C27" s="14" t="str">
        <f>IFERROR(__xludf.DUMMYFUNCTION("IFNA(FILTER(IMPORTRANGE(""https://docs.google.com/spreadsheets/d/1kGrh75X1cNR1D7_FcY9zMnHP8iPO4M5RCRjy6nZY0TY/edit#gid=1248694442"",""Table 2: MMC!E5:E114""), $A27=IMPORTRANGE(""https://docs.google.com/spreadsheets/d/1kGrh75X1cNR1D7_FcY9zMnHP8iPO4M5RCRjy6"&amp;"nZY0TY/edit#gid=1248694442"",""Table 2: MMC!A5:A114"")),"""")"),"")</f>
        <v/>
      </c>
      <c r="D27" s="14" t="str">
        <f>IFERROR(__xludf.DUMMYFUNCTION("IFNA(FILTER(IMPORTRANGE(""https://docs.google.com/spreadsheets/d/1kGrh75X1cNR1D7_FcY9zMnHP8iPO4M5RCRjy6nZY0TY/edit#gid=1248694442"",""Table 2: MMC!F5:F114""), $A27=IMPORTRANGE(""https://docs.google.com/spreadsheets/d/1kGrh75X1cNR1D7_FcY9zMnHP8iPO4M5RCRjy6"&amp;"nZY0TY/edit#gid=1248694442"",""Table 2: MMC!A5:A114"")),"""")"),"")</f>
        <v/>
      </c>
      <c r="E27" s="14" t="str">
        <f>IFERROR(__xludf.DUMMYFUNCTION("IFNA(FILTER(IMPORTRANGE(""https://docs.google.com/spreadsheets/d/1kGrh75X1cNR1D7_FcY9zMnHP8iPO4M5RCRjy6nZY0TY/edit#gid=1248694442"",""Table 2: MMC!G5:G114""), $A27=IMPORTRANGE(""https://docs.google.com/spreadsheets/d/1kGrh75X1cNR1D7_FcY9zMnHP8iPO4M5RCRjy6"&amp;"nZY0TY/edit#gid=1248694442"",""Table 2: MMC!A5:A114"")),"""")"),"")</f>
        <v/>
      </c>
      <c r="F27" s="14" t="str">
        <f>IFERROR(__xludf.DUMMYFUNCTION("IFNA(FILTER(IMPORTRANGE(""https://docs.google.com/spreadsheets/d/1kGrh75X1cNR1D7_FcY9zMnHP8iPO4M5RCRjy6nZY0TY/edit#gid=1248694442"",""Table 2: MMC!H5:H114""), $A27=IMPORTRANGE(""https://docs.google.com/spreadsheets/d/1kGrh75X1cNR1D7_FcY9zMnHP8iPO4M5RCRjy6"&amp;"nZY0TY/edit#gid=1248694442"",""Table 2: MMC!A5:A114"")),"""")"),"")</f>
        <v/>
      </c>
      <c r="G27" s="14" t="str">
        <f>IFERROR(__xludf.DUMMYFUNCTION("IFNA(FILTER(IMPORTRANGE(""https://docs.google.com/spreadsheets/d/1kGrh75X1cNR1D7_FcY9zMnHP8iPO4M5RCRjy6nZY0TY/edit#gid=1248694442"",""Table 2: MMC!I5:I114""), $A27=IMPORTRANGE(""https://docs.google.com/spreadsheets/d/1kGrh75X1cNR1D7_FcY9zMnHP8iPO4M5RCRjy6"&amp;"nZY0TY/edit#gid=1248694442"",""Table 2: MMC!A5:A114"")),"""")"),"")</f>
        <v/>
      </c>
      <c r="H27" s="14" t="str">
        <f>IFERROR(__xludf.DUMMYFUNCTION("IFNA(FILTER(IMPORTRANGE(""https://docs.google.com/spreadsheets/d/1kGrh75X1cNR1D7_FcY9zMnHP8iPO4M5RCRjy6nZY0TY/edit#gid=1248694442"",""Table 2: MMC!J5:J114""), $A27=IMPORTRANGE(""https://docs.google.com/spreadsheets/d/1kGrh75X1cNR1D7_FcY9zMnHP8iPO4M5RCRjy6"&amp;"nZY0TY/edit#gid=1248694442"",""Table 2: MMC!A5:A114"")),"""")"),"post-natal")</f>
        <v>post-natal</v>
      </c>
      <c r="I27" s="14" t="str">
        <f>IFERROR(__xludf.DUMMYFUNCTION("IFNA(FILTER(IMPORTRANGE(""https://docs.google.com/spreadsheets/d/1kGrh75X1cNR1D7_FcY9zMnHP8iPO4M5RCRjy6nZY0TY/edit#gid=1248694442"",""Table 2: MMC!M5:M114""), $A27=IMPORTRANGE(""https://docs.google.com/spreadsheets/d/1kGrh75X1cNR1D7_FcY9zMnHP8iPO4M5RCRjy6"&amp;"nZY0TY/edit#gid=1248694442"",""Table 2: MMC!A5:A114"")),"""")"),"")</f>
        <v/>
      </c>
      <c r="J27" s="14" t="str">
        <f>IFERROR(__xludf.DUMMYFUNCTION("IFNA(FILTER(IMPORTRANGE(""https://docs.google.com/spreadsheets/d/1kGrh75X1cNR1D7_FcY9zMnHP8iPO4M5RCRjy6nZY0TY/edit#gid=1248694442"",""Table 2: MMC!Q5:Q114""), $A27=IMPORTRANGE(""https://docs.google.com/spreadsheets/d/1kGrh75X1cNR1D7_FcY9zMnHP8iPO4M5RCRjy6"&amp;"nZY0TY/edit#gid=1248694442"",""Table 2: MMC!A5:A114"")),"""")"),"")</f>
        <v/>
      </c>
      <c r="K27" s="14" t="str">
        <f>IFERROR(__xludf.DUMMYFUNCTION("IFNA(FILTER(IMPORTRANGE(""https://docs.google.com/spreadsheets/d/1kGrh75X1cNR1D7_FcY9zMnHP8iPO4M5RCRjy6nZY0TY/edit#gid=1248694442"",""Table 2: MMC!R5:R114""), $A27=IMPORTRANGE(""https://docs.google.com/spreadsheets/d/1kGrh75X1cNR1D7_FcY9zMnHP8iPO4M5RCRjy6"&amp;"nZY0TY/edit#gid=1248694442"",""Table 2: MMC!A5:A114"")),"""")"),"")</f>
        <v/>
      </c>
      <c r="L27" s="14" t="str">
        <f>IFERROR(__xludf.DUMMYFUNCTION("IFNA(FILTER(IMPORTRANGE(""https://docs.google.com/spreadsheets/d/1kGrh75X1cNR1D7_FcY9zMnHP8iPO4M5RCRjy6nZY0TY/edit#gid=1248694442"",""Table 2: MMC!S5:S114""), $A27=IMPORTRANGE(""https://docs.google.com/spreadsheets/d/1kGrh75X1cNR1D7_FcY9zMnHP8iPO4M5RCRjy6"&amp;"nZY0TY/edit#gid=1248694442"",""Table 2: MMC!A5:A114"")),"""")"),"")</f>
        <v/>
      </c>
      <c r="M27" s="14" t="str">
        <f>IFERROR(__xludf.DUMMYFUNCTION("IFNA(FILTER(IMPORTRANGE(""https://docs.google.com/spreadsheets/d/1kGrh75X1cNR1D7_FcY9zMnHP8iPO4M5RCRjy6nZY0TY/edit#gid=1248694442"",""Table 3: 1st-line HC!D5:D111""), $A27=IMPORTRANGE(""https://docs.google.com/spreadsheets/d/1kGrh75X1cNR1D7_FcY9zMnHP8iPO4"&amp;"M5RCRjy6nZY0TY/edit#gid=1248694442"",""Table 3: 1st-line HC!A5:A111"")),"""")"),"")</f>
        <v/>
      </c>
      <c r="N27" s="14" t="str">
        <f>IFERROR(__xludf.DUMMYFUNCTION("IFNA(FILTER(IMPORTRANGE(""https://docs.google.com/spreadsheets/d/1kGrh75X1cNR1D7_FcY9zMnHP8iPO4M5RCRjy6nZY0TY/edit#gid=1248694442"",""Table 3: 1st-line HC!E5:E111""), $A27=IMPORTRANGE(""https://docs.google.com/spreadsheets/d/1kGrh75X1cNR1D7_FcY9zMnHP8iPO4"&amp;"M5RCRjy6nZY0TY/edit#gid=1248694442"",""Table 3: 1st-line HC!A5:A111"")),"""")"),"")</f>
        <v/>
      </c>
      <c r="O27" s="14" t="str">
        <f>IFERROR(__xludf.DUMMYFUNCTION("IFNA(FILTER(IMPORTRANGE(""https://docs.google.com/spreadsheets/d/1kGrh75X1cNR1D7_FcY9zMnHP8iPO4M5RCRjy6nZY0TY/edit#gid=1248694442"",""Table 3: 1st-line HC!K5:K111""), $A27=IMPORTRANGE(""https://docs.google.com/spreadsheets/d/1kGrh75X1cNR1D7_FcY9zMnHP8iPO4"&amp;"M5RCRjy6nZY0TY/edit#gid=1248694442"",""Table 3: 1st-line HC!A5:A111"")),"""")"),"")</f>
        <v/>
      </c>
      <c r="P27" s="14" t="str">
        <f>IFERROR(__xludf.DUMMYFUNCTION("IFNA(FILTER(IMPORTRANGE(""https://docs.google.com/spreadsheets/d/1kGrh75X1cNR1D7_FcY9zMnHP8iPO4M5RCRjy6nZY0TY/edit#gid=1248694442"",""Table 3: 1st-line HC!L5:L111""), $A27=IMPORTRANGE(""https://docs.google.com/spreadsheets/d/1kGrh75X1cNR1D7_FcY9zMnHP8iPO4"&amp;"M5RCRjy6nZY0TY/edit#gid=1248694442"",""Table 3: 1st-line HC!A5:A111"")),"""")"),"")</f>
        <v/>
      </c>
      <c r="Q27" s="14" t="str">
        <f>IFERROR(__xludf.DUMMYFUNCTION("IFNA(FILTER(IMPORTRANGE(""https://docs.google.com/spreadsheets/d/1kGrh75X1cNR1D7_FcY9zMnHP8iPO4M5RCRjy6nZY0TY/edit#gid=1248694442"",""Table 3: 1st-line HC!M5:M111""), $A27=IMPORTRANGE(""https://docs.google.com/spreadsheets/d/1kGrh75X1cNR1D7_FcY9zMnHP8iPO4"&amp;"M5RCRjy6nZY0TY/edit#gid=1248694442"",""Table 3: 1st-line HC!A5:A111"")),"""")"),"")</f>
        <v/>
      </c>
      <c r="R27" s="14" t="str">
        <f>IFERROR(__xludf.DUMMYFUNCTION("IFNA(FILTER(IMPORTRANGE(""https://docs.google.com/spreadsheets/d/1kGrh75X1cNR1D7_FcY9zMnHP8iPO4M5RCRjy6nZY0TY/edit#gid=1248694442"",""Table 3: 1st-line HC!N5:N111""), $A27=IMPORTRANGE(""https://docs.google.com/spreadsheets/d/1kGrh75X1cNR1D7_FcY9zMnHP8iPO4"&amp;"M5RCRjy6nZY0TY/edit#gid=1248694442"",""Table 3: 1st-line HC!A5:A111"")),"""")"),"")</f>
        <v/>
      </c>
      <c r="S27" s="14" t="str">
        <f>IFERROR(__xludf.DUMMYFUNCTION("IFNA(FILTER(IMPORTRANGE(""https://docs.google.com/spreadsheets/d/1kGrh75X1cNR1D7_FcY9zMnHP8iPO4M5RCRjy6nZY0TY/edit#gid=1248694442"",""Table 3: 1st-line HC!T5:T111""), $A27=IMPORTRANGE(""https://docs.google.com/spreadsheets/d/1kGrh75X1cNR1D7_FcY9zMnHP8iPO4"&amp;"M5RCRjy6nZY0TY/edit#gid=1248694442"",""Table 3: 1st-line HC!A5:A111"")),"""")"),"")</f>
        <v/>
      </c>
      <c r="T27" s="14" t="str">
        <f>IFERROR(__xludf.DUMMYFUNCTION("IFNA(FILTER(IMPORTRANGE(""https://docs.google.com/spreadsheets/d/1kGrh75X1cNR1D7_FcY9zMnHP8iPO4M5RCRjy6nZY0TY/edit#gid=1248694442"",""Table 3: 1st-line HC!U5:U111""), $A27=IMPORTRANGE(""https://docs.google.com/spreadsheets/d/1kGrh75X1cNR1D7_FcY9zMnHP8iPO4"&amp;"M5RCRjy6nZY0TY/edit#gid=1248694442"",""Table 3: 1st-line HC!A5:A111"")),"""")"),"")</f>
        <v/>
      </c>
      <c r="U27" s="14" t="str">
        <f>IFERROR(__xludf.DUMMYFUNCTION("IFNA(FILTER(IMPORTRANGE(""https://docs.google.com/spreadsheets/d/1kGrh75X1cNR1D7_FcY9zMnHP8iPO4M5RCRjy6nZY0TY/edit#gid=1248694442"",""Table 3: 1st-line HC!V5:V111""), $A27=IMPORTRANGE(""https://docs.google.com/spreadsheets/d/1kGrh75X1cNR1D7_FcY9zMnHP8iPO4"&amp;"M5RCRjy6nZY0TY/edit#gid=1248694442"",""Table 3: 1st-line HC!A5:A111"")),"""")"),"")</f>
        <v/>
      </c>
      <c r="V27" s="14" t="str">
        <f>IFERROR(__xludf.DUMMYFUNCTION("IFNA(FILTER(IMPORTRANGE(""https://docs.google.com/spreadsheets/d/1kGrh75X1cNR1D7_FcY9zMnHP8iPO4M5RCRjy6nZY0TY/edit#gid=1248694442"",""Table 3: 1st-line HC!AE5:AE111""), $A27=IMPORTRANGE(""https://docs.google.com/spreadsheets/d/1kGrh75X1cNR1D7_FcY9zMnHP8iP"&amp;"O4M5RCRjy6nZY0TY/edit#gid=1248694442"",""Table 3: 1st-line HC!A5:A111"")),"""")"),"")</f>
        <v/>
      </c>
      <c r="W27" s="14" t="str">
        <f>IFERROR(__xludf.DUMMYFUNCTION("IFNA(FILTER(IMPORTRANGE(""https://docs.google.com/spreadsheets/d/1kGrh75X1cNR1D7_FcY9zMnHP8iPO4M5RCRjy6nZY0TY/edit#gid=1248694442"",""Table 3: 1st-line HC!AG5:AG111""), $A27=IMPORTRANGE(""https://docs.google.com/spreadsheets/d/1kGrh75X1cNR1D7_FcY9zMnHP8iP"&amp;"O4M5RCRjy6nZY0TY/edit#gid=1248694442"",""Table 3: 1st-line HC!A5:A111"")),"""")"),"")</f>
        <v/>
      </c>
      <c r="X27" s="14" t="str">
        <f>IFERROR(__xludf.DUMMYFUNCTION("IFNA(FILTER(IMPORTRANGE(""https://docs.google.com/spreadsheets/d/1kGrh75X1cNR1D7_FcY9zMnHP8iPO4M5RCRjy6nZY0TY/edit#gid=1248694442"",""Table 3: 1st-line HC!AI5:AI111""), $A27=IMPORTRANGE(""https://docs.google.com/spreadsheets/d/1kGrh75X1cNR1D7_FcY9zMnHP8iP"&amp;"O4M5RCRjy6nZY0TY/edit#gid=1248694442"",""Table 3: 1st-line HC!A5:A111"")),"""")"),"")</f>
        <v/>
      </c>
    </row>
    <row r="28">
      <c r="A28" s="4" t="str">
        <f>IFERROR(__xludf.DUMMYFUNCTION("""COMPUTED_VALUE"""),"ID 46")</f>
        <v>ID 46</v>
      </c>
      <c r="B28" s="14" t="str">
        <f>IFERROR(__xludf.DUMMYFUNCTION("IFNA(FILTER(IMPORTRANGE(""https://docs.google.com/spreadsheets/d/1kGrh75X1cNR1D7_FcY9zMnHP8iPO4M5RCRjy6nZY0TY/edit#gid=1248694442"",""Table 2: MMC!D5:D114""), $A28=IMPORTRANGE(""https://docs.google.com/spreadsheets/d/1kGrh75X1cNR1D7_FcY9zMnHP8iPO4M5RCRjy6"&amp;"nZY0TY/edit#gid=1248694442"",""Table 2: MMC!A5:A114"")),"""")"),"")</f>
        <v/>
      </c>
      <c r="C28" s="14">
        <f>IFERROR(__xludf.DUMMYFUNCTION("IFNA(FILTER(IMPORTRANGE(""https://docs.google.com/spreadsheets/d/1kGrh75X1cNR1D7_FcY9zMnHP8iPO4M5RCRjy6nZY0TY/edit#gid=1248694442"",""Table 2: MMC!E5:E114""), $A28=IMPORTRANGE(""https://docs.google.com/spreadsheets/d/1kGrh75X1cNR1D7_FcY9zMnHP8iPO4M5RCRjy6"&amp;"nZY0TY/edit#gid=1248694442"",""Table 2: MMC!A5:A114"")),"""")"),11.0)</f>
        <v>11</v>
      </c>
      <c r="D28" s="14" t="str">
        <f>IFERROR(__xludf.DUMMYFUNCTION("IFNA(FILTER(IMPORTRANGE(""https://docs.google.com/spreadsheets/d/1kGrh75X1cNR1D7_FcY9zMnHP8iPO4M5RCRjy6nZY0TY/edit#gid=1248694442"",""Table 2: MMC!F5:F114""), $A28=IMPORTRANGE(""https://docs.google.com/spreadsheets/d/1kGrh75X1cNR1D7_FcY9zMnHP8iPO4M5RCRjy6"&amp;"nZY0TY/edit#gid=1248694442"",""Table 2: MMC!A5:A114"")),"""")"),"")</f>
        <v/>
      </c>
      <c r="E28" s="14">
        <f>IFERROR(__xludf.DUMMYFUNCTION("IFNA(FILTER(IMPORTRANGE(""https://docs.google.com/spreadsheets/d/1kGrh75X1cNR1D7_FcY9zMnHP8iPO4M5RCRjy6nZY0TY/edit#gid=1248694442"",""Table 2: MMC!G5:G114""), $A28=IMPORTRANGE(""https://docs.google.com/spreadsheets/d/1kGrh75X1cNR1D7_FcY9zMnHP8iPO4M5RCRjy6"&amp;"nZY0TY/edit#gid=1248694442"",""Table 2: MMC!A5:A114"")),"""")"),157.0)</f>
        <v>157</v>
      </c>
      <c r="F28" s="14" t="str">
        <f>IFERROR(__xludf.DUMMYFUNCTION("IFNA(FILTER(IMPORTRANGE(""https://docs.google.com/spreadsheets/d/1kGrh75X1cNR1D7_FcY9zMnHP8iPO4M5RCRjy6nZY0TY/edit#gid=1248694442"",""Table 2: MMC!H5:H114""), $A28=IMPORTRANGE(""https://docs.google.com/spreadsheets/d/1kGrh75X1cNR1D7_FcY9zMnHP8iPO4M5RCRjy6"&amp;"nZY0TY/edit#gid=1248694442"",""Table 2: MMC!A5:A114"")),"""")"),"")</f>
        <v/>
      </c>
      <c r="G28" s="14">
        <f>IFERROR(__xludf.DUMMYFUNCTION("IFNA(FILTER(IMPORTRANGE(""https://docs.google.com/spreadsheets/d/1kGrh75X1cNR1D7_FcY9zMnHP8iPO4M5RCRjy6nZY0TY/edit#gid=1248694442"",""Table 2: MMC!I5:I114""), $A28=IMPORTRANGE(""https://docs.google.com/spreadsheets/d/1kGrh75X1cNR1D7_FcY9zMnHP8iPO4M5RCRjy6"&amp;"nZY0TY/edit#gid=1248694442"",""Table 2: MMC!A5:A114"")),"""")"),10.0)</f>
        <v>10</v>
      </c>
      <c r="H28" s="14" t="str">
        <f>IFERROR(__xludf.DUMMYFUNCTION("IFNA(FILTER(IMPORTRANGE(""https://docs.google.com/spreadsheets/d/1kGrh75X1cNR1D7_FcY9zMnHP8iPO4M5RCRjy6nZY0TY/edit#gid=1248694442"",""Table 2: MMC!J5:J114""), $A28=IMPORTRANGE(""https://docs.google.com/spreadsheets/d/1kGrh75X1cNR1D7_FcY9zMnHP8iPO4M5RCRjy6"&amp;"nZY0TY/edit#gid=1248694442"",""Table 2: MMC!A5:A114"")),"""")"),"Both")</f>
        <v>Both</v>
      </c>
      <c r="I28" s="14">
        <f>IFERROR(__xludf.DUMMYFUNCTION("IFNA(FILTER(IMPORTRANGE(""https://docs.google.com/spreadsheets/d/1kGrh75X1cNR1D7_FcY9zMnHP8iPO4M5RCRjy6nZY0TY/edit#gid=1248694442"",""Table 2: MMC!M5:M114""), $A28=IMPORTRANGE(""https://docs.google.com/spreadsheets/d/1kGrh75X1cNR1D7_FcY9zMnHP8iPO4M5RCRjy6"&amp;"nZY0TY/edit#gid=1248694442"",""Table 2: MMC!A5:A114"")),"""")"),1.3)</f>
        <v>1.3</v>
      </c>
      <c r="J28" s="14" t="str">
        <f>IFERROR(__xludf.DUMMYFUNCTION("IFNA(FILTER(IMPORTRANGE(""https://docs.google.com/spreadsheets/d/1kGrh75X1cNR1D7_FcY9zMnHP8iPO4M5RCRjy6nZY0TY/edit#gid=1248694442"",""Table 2: MMC!Q5:Q114""), $A28=IMPORTRANGE(""https://docs.google.com/spreadsheets/d/1kGrh75X1cNR1D7_FcY9zMnHP8iPO4M5RCRjy6"&amp;"nZY0TY/edit#gid=1248694442"",""Table 2: MMC!A5:A114"")),"""")"),"")</f>
        <v/>
      </c>
      <c r="K28" s="14">
        <f>IFERROR(__xludf.DUMMYFUNCTION("IFNA(FILTER(IMPORTRANGE(""https://docs.google.com/spreadsheets/d/1kGrh75X1cNR1D7_FcY9zMnHP8iPO4M5RCRjy6nZY0TY/edit#gid=1248694442"",""Table 2: MMC!R5:R114""), $A28=IMPORTRANGE(""https://docs.google.com/spreadsheets/d/1kGrh75X1cNR1D7_FcY9zMnHP8iPO4M5RCRjy6"&amp;"nZY0TY/edit#gid=1248694442"",""Table 2: MMC!A5:A114"")),"""")"),6.0)</f>
        <v>6</v>
      </c>
      <c r="L28" s="14" t="str">
        <f>IFERROR(__xludf.DUMMYFUNCTION("IFNA(FILTER(IMPORTRANGE(""https://docs.google.com/spreadsheets/d/1kGrh75X1cNR1D7_FcY9zMnHP8iPO4M5RCRjy6nZY0TY/edit#gid=1248694442"",""Table 2: MMC!S5:S114""), $A28=IMPORTRANGE(""https://docs.google.com/spreadsheets/d/1kGrh75X1cNR1D7_FcY9zMnHP8iPO4M5RCRjy6"&amp;"nZY0TY/edit#gid=1248694442"",""Table 2: MMC!A5:A114"")),"""")"),"intrauterine fetal demise=2, premature neonatal demise-4")</f>
        <v>intrauterine fetal demise=2, premature neonatal demise-4</v>
      </c>
      <c r="M28" s="14" t="str">
        <f>IFERROR(__xludf.DUMMYFUNCTION("IFNA(FILTER(IMPORTRANGE(""https://docs.google.com/spreadsheets/d/1kGrh75X1cNR1D7_FcY9zMnHP8iPO4M5RCRjy6nZY0TY/edit#gid=1248694442"",""Table 3: 1st-line HC!D5:D111""), $A28=IMPORTRANGE(""https://docs.google.com/spreadsheets/d/1kGrh75X1cNR1D7_FcY9zMnHP8iPO4"&amp;"M5RCRjy6nZY0TY/edit#gid=1248694442"",""Table 3: 1st-line HC!A5:A111"")),"""")"),"")</f>
        <v/>
      </c>
      <c r="N28" s="14">
        <f>IFERROR(__xludf.DUMMYFUNCTION("IFNA(FILTER(IMPORTRANGE(""https://docs.google.com/spreadsheets/d/1kGrh75X1cNR1D7_FcY9zMnHP8iPO4M5RCRjy6nZY0TY/edit#gid=1248694442"",""Table 3: 1st-line HC!E5:E111""), $A28=IMPORTRANGE(""https://docs.google.com/spreadsheets/d/1kGrh75X1cNR1D7_FcY9zMnHP8iPO4"&amp;"M5RCRjy6nZY0TY/edit#gid=1248694442"",""Table 3: 1st-line HC!A5:A111"")),"""")"),45.0)</f>
        <v>45</v>
      </c>
      <c r="O28" s="14" t="str">
        <f>IFERROR(__xludf.DUMMYFUNCTION("IFNA(FILTER(IMPORTRANGE(""https://docs.google.com/spreadsheets/d/1kGrh75X1cNR1D7_FcY9zMnHP8iPO4M5RCRjy6nZY0TY/edit#gid=1248694442"",""Table 3: 1st-line HC!K5:K111""), $A28=IMPORTRANGE(""https://docs.google.com/spreadsheets/d/1kGrh75X1cNR1D7_FcY9zMnHP8iPO4"&amp;"M5RCRjy6nZY0TY/edit#gid=1248694442"",""Table 3: 1st-line HC!A5:A111"")),"""")"),"")</f>
        <v/>
      </c>
      <c r="P28" s="14">
        <f>IFERROR(__xludf.DUMMYFUNCTION("IFNA(FILTER(IMPORTRANGE(""https://docs.google.com/spreadsheets/d/1kGrh75X1cNR1D7_FcY9zMnHP8iPO4M5RCRjy6nZY0TY/edit#gid=1248694442"",""Table 3: 1st-line HC!L5:L111""), $A28=IMPORTRANGE(""https://docs.google.com/spreadsheets/d/1kGrh75X1cNR1D7_FcY9zMnHP8iPO4"&amp;"M5RCRjy6nZY0TY/edit#gid=1248694442"",""Table 3: 1st-line HC!A5:A111"")),"""")"),21.0)</f>
        <v>21</v>
      </c>
      <c r="Q28" s="14" t="str">
        <f>IFERROR(__xludf.DUMMYFUNCTION("IFNA(FILTER(IMPORTRANGE(""https://docs.google.com/spreadsheets/d/1kGrh75X1cNR1D7_FcY9zMnHP8iPO4M5RCRjy6nZY0TY/edit#gid=1248694442"",""Table 3: 1st-line HC!M5:M111""), $A28=IMPORTRANGE(""https://docs.google.com/spreadsheets/d/1kGrh75X1cNR1D7_FcY9zMnHP8iPO4"&amp;"M5RCRjy6nZY0TY/edit#gid=1248694442"",""Table 3: 1st-line HC!A5:A111"")),"""")"),"")</f>
        <v/>
      </c>
      <c r="R28" s="14" t="str">
        <f>IFERROR(__xludf.DUMMYFUNCTION("IFNA(FILTER(IMPORTRANGE(""https://docs.google.com/spreadsheets/d/1kGrh75X1cNR1D7_FcY9zMnHP8iPO4M5RCRjy6nZY0TY/edit#gid=1248694442"",""Table 3: 1st-line HC!N5:N111""), $A28=IMPORTRANGE(""https://docs.google.com/spreadsheets/d/1kGrh75X1cNR1D7_FcY9zMnHP8iPO4"&amp;"M5RCRjy6nZY0TY/edit#gid=1248694442"",""Table 3: 1st-line HC!A5:A111"")),"""")"),"")</f>
        <v/>
      </c>
      <c r="S28" s="14" t="str">
        <f>IFERROR(__xludf.DUMMYFUNCTION("IFNA(FILTER(IMPORTRANGE(""https://docs.google.com/spreadsheets/d/1kGrh75X1cNR1D7_FcY9zMnHP8iPO4M5RCRjy6nZY0TY/edit#gid=1248694442"",""Table 3: 1st-line HC!T5:T111""), $A28=IMPORTRANGE(""https://docs.google.com/spreadsheets/d/1kGrh75X1cNR1D7_FcY9zMnHP8iPO4"&amp;"M5RCRjy6nZY0TY/edit#gid=1248694442"",""Table 3: 1st-line HC!A5:A111"")),"""")"),"")</f>
        <v/>
      </c>
      <c r="T28" s="14" t="str">
        <f>IFERROR(__xludf.DUMMYFUNCTION("IFNA(FILTER(IMPORTRANGE(""https://docs.google.com/spreadsheets/d/1kGrh75X1cNR1D7_FcY9zMnHP8iPO4M5RCRjy6nZY0TY/edit#gid=1248694442"",""Table 3: 1st-line HC!U5:U111""), $A28=IMPORTRANGE(""https://docs.google.com/spreadsheets/d/1kGrh75X1cNR1D7_FcY9zMnHP8iPO4"&amp;"M5RCRjy6nZY0TY/edit#gid=1248694442"",""Table 3: 1st-line HC!A5:A111"")),"""")"),"")</f>
        <v/>
      </c>
      <c r="U28" s="14" t="str">
        <f>IFERROR(__xludf.DUMMYFUNCTION("IFNA(FILTER(IMPORTRANGE(""https://docs.google.com/spreadsheets/d/1kGrh75X1cNR1D7_FcY9zMnHP8iPO4M5RCRjy6nZY0TY/edit#gid=1248694442"",""Table 3: 1st-line HC!V5:V111""), $A28=IMPORTRANGE(""https://docs.google.com/spreadsheets/d/1kGrh75X1cNR1D7_FcY9zMnHP8iPO4"&amp;"M5RCRjy6nZY0TY/edit#gid=1248694442"",""Table 3: 1st-line HC!A5:A111"")),"""")"),"")</f>
        <v/>
      </c>
      <c r="V28" s="14">
        <f>IFERROR(__xludf.DUMMYFUNCTION("IFNA(FILTER(IMPORTRANGE(""https://docs.google.com/spreadsheets/d/1kGrh75X1cNR1D7_FcY9zMnHP8iPO4M5RCRjy6nZY0TY/edit#gid=1248694442"",""Table 3: 1st-line HC!AE5:AE111""), $A28=IMPORTRANGE(""https://docs.google.com/spreadsheets/d/1kGrh75X1cNR1D7_FcY9zMnHP8iP"&amp;"O4M5RCRjy6nZY0TY/edit#gid=1248694442"",""Table 3: 1st-line HC!A5:A111"")),"""")"),156.9)</f>
        <v>156.9</v>
      </c>
      <c r="W28" s="14" t="str">
        <f>IFERROR(__xludf.DUMMYFUNCTION("IFNA(FILTER(IMPORTRANGE(""https://docs.google.com/spreadsheets/d/1kGrh75X1cNR1D7_FcY9zMnHP8iPO4M5RCRjy6nZY0TY/edit#gid=1248694442"",""Table 3: 1st-line HC!AG5:AG111""), $A28=IMPORTRANGE(""https://docs.google.com/spreadsheets/d/1kGrh75X1cNR1D7_FcY9zMnHP8iP"&amp;"O4M5RCRjy6nZY0TY/edit#gid=1248694442"",""Table 3: 1st-line HC!A5:A111"")),"""")"),"")</f>
        <v/>
      </c>
      <c r="X28" s="14" t="str">
        <f>IFERROR(__xludf.DUMMYFUNCTION("IFNA(FILTER(IMPORTRANGE(""https://docs.google.com/spreadsheets/d/1kGrh75X1cNR1D7_FcY9zMnHP8iPO4M5RCRjy6nZY0TY/edit#gid=1248694442"",""Table 3: 1st-line HC!AI5:AI111""), $A28=IMPORTRANGE(""https://docs.google.com/spreadsheets/d/1kGrh75X1cNR1D7_FcY9zMnHP8iP"&amp;"O4M5RCRjy6nZY0TY/edit#gid=1248694442"",""Table 3: 1st-line HC!A5:A111"")),"""")"),"")</f>
        <v/>
      </c>
    </row>
    <row r="29">
      <c r="A29" s="4" t="str">
        <f>IFERROR(__xludf.DUMMYFUNCTION("""COMPUTED_VALUE"""),"ID 47")</f>
        <v>ID 47</v>
      </c>
      <c r="B29" s="14" t="str">
        <f>IFERROR(__xludf.DUMMYFUNCTION("IFNA(FILTER(IMPORTRANGE(""https://docs.google.com/spreadsheets/d/1kGrh75X1cNR1D7_FcY9zMnHP8iPO4M5RCRjy6nZY0TY/edit#gid=1248694442"",""Table 2: MMC!D5:D114""), $A29=IMPORTRANGE(""https://docs.google.com/spreadsheets/d/1kGrh75X1cNR1D7_FcY9zMnHP8iPO4M5RCRjy6"&amp;"nZY0TY/edit#gid=1248694442"",""Table 2: MMC!A5:A114"")),"""")"),"")</f>
        <v/>
      </c>
      <c r="C29" s="14">
        <f>IFERROR(__xludf.DUMMYFUNCTION("IFNA(FILTER(IMPORTRANGE(""https://docs.google.com/spreadsheets/d/1kGrh75X1cNR1D7_FcY9zMnHP8iPO4M5RCRjy6nZY0TY/edit#gid=1248694442"",""Table 2: MMC!E5:E114""), $A29=IMPORTRANGE(""https://docs.google.com/spreadsheets/d/1kGrh75X1cNR1D7_FcY9zMnHP8iPO4M5RCRjy6"&amp;"nZY0TY/edit#gid=1248694442"",""Table 2: MMC!A5:A114"")),"""")"),4.0)</f>
        <v>4</v>
      </c>
      <c r="D29" s="14">
        <f>IFERROR(__xludf.DUMMYFUNCTION("IFNA(FILTER(IMPORTRANGE(""https://docs.google.com/spreadsheets/d/1kGrh75X1cNR1D7_FcY9zMnHP8iPO4M5RCRjy6nZY0TY/edit#gid=1248694442"",""Table 2: MMC!F5:F114""), $A29=IMPORTRANGE(""https://docs.google.com/spreadsheets/d/1kGrh75X1cNR1D7_FcY9zMnHP8iPO4M5RCRjy6"&amp;"nZY0TY/edit#gid=1248694442"",""Table 2: MMC!A5:A114"")),"""")"),6.0)</f>
        <v>6</v>
      </c>
      <c r="E29" s="14">
        <f>IFERROR(__xludf.DUMMYFUNCTION("IFNA(FILTER(IMPORTRANGE(""https://docs.google.com/spreadsheets/d/1kGrh75X1cNR1D7_FcY9zMnHP8iPO4M5RCRjy6nZY0TY/edit#gid=1248694442"",""Table 2: MMC!G5:G114""), $A29=IMPORTRANGE(""https://docs.google.com/spreadsheets/d/1kGrh75X1cNR1D7_FcY9zMnHP8iPO4M5RCRjy6"&amp;"nZY0TY/edit#gid=1248694442"",""Table 2: MMC!A5:A114"")),"""")"),35.0)</f>
        <v>35</v>
      </c>
      <c r="F29" s="14" t="str">
        <f>IFERROR(__xludf.DUMMYFUNCTION("IFNA(FILTER(IMPORTRANGE(""https://docs.google.com/spreadsheets/d/1kGrh75X1cNR1D7_FcY9zMnHP8iPO4M5RCRjy6nZY0TY/edit#gid=1248694442"",""Table 2: MMC!H5:H114""), $A29=IMPORTRANGE(""https://docs.google.com/spreadsheets/d/1kGrh75X1cNR1D7_FcY9zMnHP8iPO4M5RCRjy6"&amp;"nZY0TY/edit#gid=1248694442"",""Table 2: MMC!A5:A114"")),"""")"),"")</f>
        <v/>
      </c>
      <c r="G29" s="14" t="str">
        <f>IFERROR(__xludf.DUMMYFUNCTION("IFNA(FILTER(IMPORTRANGE(""https://docs.google.com/spreadsheets/d/1kGrh75X1cNR1D7_FcY9zMnHP8iPO4M5RCRjy6nZY0TY/edit#gid=1248694442"",""Table 2: MMC!I5:I114""), $A29=IMPORTRANGE(""https://docs.google.com/spreadsheets/d/1kGrh75X1cNR1D7_FcY9zMnHP8iPO4M5RCRjy6"&amp;"nZY0TY/edit#gid=1248694442"",""Table 2: MMC!A5:A114"")),"""")"),"")</f>
        <v/>
      </c>
      <c r="H29" s="14" t="str">
        <f>IFERROR(__xludf.DUMMYFUNCTION("IFNA(FILTER(IMPORTRANGE(""https://docs.google.com/spreadsheets/d/1kGrh75X1cNR1D7_FcY9zMnHP8iPO4M5RCRjy6nZY0TY/edit#gid=1248694442"",""Table 2: MMC!J5:J114""), $A29=IMPORTRANGE(""https://docs.google.com/spreadsheets/d/1kGrh75X1cNR1D7_FcY9zMnHP8iPO4M5RCRjy6"&amp;"nZY0TY/edit#gid=1248694442"",""Table 2: MMC!A5:A114"")),"""")"),"post-natal")</f>
        <v>post-natal</v>
      </c>
      <c r="I29" s="14" t="str">
        <f>IFERROR(__xludf.DUMMYFUNCTION("IFNA(FILTER(IMPORTRANGE(""https://docs.google.com/spreadsheets/d/1kGrh75X1cNR1D7_FcY9zMnHP8iPO4M5RCRjy6nZY0TY/edit#gid=1248694442"",""Table 2: MMC!M5:M114""), $A29=IMPORTRANGE(""https://docs.google.com/spreadsheets/d/1kGrh75X1cNR1D7_FcY9zMnHP8iPO4M5RCRjy6"&amp;"nZY0TY/edit#gid=1248694442"",""Table 2: MMC!A5:A114"")),"""")"),"")</f>
        <v/>
      </c>
      <c r="J29" s="14">
        <f>IFERROR(__xludf.DUMMYFUNCTION("IFNA(FILTER(IMPORTRANGE(""https://docs.google.com/spreadsheets/d/1kGrh75X1cNR1D7_FcY9zMnHP8iPO4M5RCRjy6nZY0TY/edit#gid=1248694442"",""Table 2: MMC!Q5:Q114""), $A29=IMPORTRANGE(""https://docs.google.com/spreadsheets/d/1kGrh75X1cNR1D7_FcY9zMnHP8iPO4M5RCRjy6"&amp;"nZY0TY/edit#gid=1248694442"",""Table 2: MMC!A5:A114"")),"""")"),0.0)</f>
        <v>0</v>
      </c>
      <c r="K29" s="14">
        <f>IFERROR(__xludf.DUMMYFUNCTION("IFNA(FILTER(IMPORTRANGE(""https://docs.google.com/spreadsheets/d/1kGrh75X1cNR1D7_FcY9zMnHP8iPO4M5RCRjy6nZY0TY/edit#gid=1248694442"",""Table 2: MMC!R5:R114""), $A29=IMPORTRANGE(""https://docs.google.com/spreadsheets/d/1kGrh75X1cNR1D7_FcY9zMnHP8iPO4M5RCRjy6"&amp;"nZY0TY/edit#gid=1248694442"",""Table 2: MMC!A5:A114"")),"""")"),0.0)</f>
        <v>0</v>
      </c>
      <c r="L29" s="14" t="str">
        <f>IFERROR(__xludf.DUMMYFUNCTION("IFNA(FILTER(IMPORTRANGE(""https://docs.google.com/spreadsheets/d/1kGrh75X1cNR1D7_FcY9zMnHP8iPO4M5RCRjy6nZY0TY/edit#gid=1248694442"",""Table 2: MMC!S5:S114""), $A29=IMPORTRANGE(""https://docs.google.com/spreadsheets/d/1kGrh75X1cNR1D7_FcY9zMnHP8iPO4M5RCRjy6"&amp;"nZY0TY/edit#gid=1248694442"",""Table 2: MMC!A5:A114"")),"""")"),"")</f>
        <v/>
      </c>
      <c r="M29" s="14" t="str">
        <f>IFERROR(__xludf.DUMMYFUNCTION("IFNA(FILTER(IMPORTRANGE(""https://docs.google.com/spreadsheets/d/1kGrh75X1cNR1D7_FcY9zMnHP8iPO4M5RCRjy6nZY0TY/edit#gid=1248694442"",""Table 3: 1st-line HC!D5:D111""), $A29=IMPORTRANGE(""https://docs.google.com/spreadsheets/d/1kGrh75X1cNR1D7_FcY9zMnHP8iPO4"&amp;"M5RCRjy6nZY0TY/edit#gid=1248694442"",""Table 3: 1st-line HC!A5:A111"")),"""")"),"")</f>
        <v/>
      </c>
      <c r="N29" s="14" t="str">
        <f>IFERROR(__xludf.DUMMYFUNCTION("IFNA(FILTER(IMPORTRANGE(""https://docs.google.com/spreadsheets/d/1kGrh75X1cNR1D7_FcY9zMnHP8iPO4M5RCRjy6nZY0TY/edit#gid=1248694442"",""Table 3: 1st-line HC!E5:E111""), $A29=IMPORTRANGE(""https://docs.google.com/spreadsheets/d/1kGrh75X1cNR1D7_FcY9zMnHP8iPO4"&amp;"M5RCRjy6nZY0TY/edit#gid=1248694442"",""Table 3: 1st-line HC!A5:A111"")),"""")"),"")</f>
        <v/>
      </c>
      <c r="O29" s="14" t="str">
        <f>IFERROR(__xludf.DUMMYFUNCTION("IFNA(FILTER(IMPORTRANGE(""https://docs.google.com/spreadsheets/d/1kGrh75X1cNR1D7_FcY9zMnHP8iPO4M5RCRjy6nZY0TY/edit#gid=1248694442"",""Table 3: 1st-line HC!K5:K111""), $A29=IMPORTRANGE(""https://docs.google.com/spreadsheets/d/1kGrh75X1cNR1D7_FcY9zMnHP8iPO4"&amp;"M5RCRjy6nZY0TY/edit#gid=1248694442"",""Table 3: 1st-line HC!A5:A111"")),"""")"),"")</f>
        <v/>
      </c>
      <c r="P29" s="14" t="str">
        <f>IFERROR(__xludf.DUMMYFUNCTION("IFNA(FILTER(IMPORTRANGE(""https://docs.google.com/spreadsheets/d/1kGrh75X1cNR1D7_FcY9zMnHP8iPO4M5RCRjy6nZY0TY/edit#gid=1248694442"",""Table 3: 1st-line HC!L5:L111""), $A29=IMPORTRANGE(""https://docs.google.com/spreadsheets/d/1kGrh75X1cNR1D7_FcY9zMnHP8iPO4"&amp;"M5RCRjy6nZY0TY/edit#gid=1248694442"",""Table 3: 1st-line HC!A5:A111"")),"""")"),"")</f>
        <v/>
      </c>
      <c r="Q29" s="14" t="str">
        <f>IFERROR(__xludf.DUMMYFUNCTION("IFNA(FILTER(IMPORTRANGE(""https://docs.google.com/spreadsheets/d/1kGrh75X1cNR1D7_FcY9zMnHP8iPO4M5RCRjy6nZY0TY/edit#gid=1248694442"",""Table 3: 1st-line HC!M5:M111""), $A29=IMPORTRANGE(""https://docs.google.com/spreadsheets/d/1kGrh75X1cNR1D7_FcY9zMnHP8iPO4"&amp;"M5RCRjy6nZY0TY/edit#gid=1248694442"",""Table 3: 1st-line HC!A5:A111"")),"""")"),"")</f>
        <v/>
      </c>
      <c r="R29" s="14" t="str">
        <f>IFERROR(__xludf.DUMMYFUNCTION("IFNA(FILTER(IMPORTRANGE(""https://docs.google.com/spreadsheets/d/1kGrh75X1cNR1D7_FcY9zMnHP8iPO4M5RCRjy6nZY0TY/edit#gid=1248694442"",""Table 3: 1st-line HC!N5:N111""), $A29=IMPORTRANGE(""https://docs.google.com/spreadsheets/d/1kGrh75X1cNR1D7_FcY9zMnHP8iPO4"&amp;"M5RCRjy6nZY0TY/edit#gid=1248694442"",""Table 3: 1st-line HC!A5:A111"")),"""")"),"")</f>
        <v/>
      </c>
      <c r="S29" s="14">
        <f>IFERROR(__xludf.DUMMYFUNCTION("IFNA(FILTER(IMPORTRANGE(""https://docs.google.com/spreadsheets/d/1kGrh75X1cNR1D7_FcY9zMnHP8iPO4M5RCRjy6nZY0TY/edit#gid=1248694442"",""Table 3: 1st-line HC!T5:T111""), $A29=IMPORTRANGE(""https://docs.google.com/spreadsheets/d/1kGrh75X1cNR1D7_FcY9zMnHP8iPO4"&amp;"M5RCRjy6nZY0TY/edit#gid=1248694442"",""Table 3: 1st-line HC!A5:A111"")),"""")"),0.0)</f>
        <v>0</v>
      </c>
      <c r="T29" s="14">
        <f>IFERROR(__xludf.DUMMYFUNCTION("IFNA(FILTER(IMPORTRANGE(""https://docs.google.com/spreadsheets/d/1kGrh75X1cNR1D7_FcY9zMnHP8iPO4M5RCRjy6nZY0TY/edit#gid=1248694442"",""Table 3: 1st-line HC!U5:U111""), $A29=IMPORTRANGE(""https://docs.google.com/spreadsheets/d/1kGrh75X1cNR1D7_FcY9zMnHP8iPO4"&amp;"M5RCRjy6nZY0TY/edit#gid=1248694442"",""Table 3: 1st-line HC!A5:A111"")),"""")"),0.0)</f>
        <v>0</v>
      </c>
      <c r="U29" s="14">
        <f>IFERROR(__xludf.DUMMYFUNCTION("IFNA(FILTER(IMPORTRANGE(""https://docs.google.com/spreadsheets/d/1kGrh75X1cNR1D7_FcY9zMnHP8iPO4M5RCRjy6nZY0TY/edit#gid=1248694442"",""Table 3: 1st-line HC!V5:V111""), $A29=IMPORTRANGE(""https://docs.google.com/spreadsheets/d/1kGrh75X1cNR1D7_FcY9zMnHP8iPO4"&amp;"M5RCRjy6nZY0TY/edit#gid=1248694442"",""Table 3: 1st-line HC!A5:A111"")),"""")"),0.0)</f>
        <v>0</v>
      </c>
      <c r="V29" s="14" t="str">
        <f>IFERROR(__xludf.DUMMYFUNCTION("IFNA(FILTER(IMPORTRANGE(""https://docs.google.com/spreadsheets/d/1kGrh75X1cNR1D7_FcY9zMnHP8iPO4M5RCRjy6nZY0TY/edit#gid=1248694442"",""Table 3: 1st-line HC!AE5:AE111""), $A29=IMPORTRANGE(""https://docs.google.com/spreadsheets/d/1kGrh75X1cNR1D7_FcY9zMnHP8iP"&amp;"O4M5RCRjy6nZY0TY/edit#gid=1248694442"",""Table 3: 1st-line HC!A5:A111"")),"""")"),"")</f>
        <v/>
      </c>
      <c r="W29" s="14" t="str">
        <f>IFERROR(__xludf.DUMMYFUNCTION("IFNA(FILTER(IMPORTRANGE(""https://docs.google.com/spreadsheets/d/1kGrh75X1cNR1D7_FcY9zMnHP8iPO4M5RCRjy6nZY0TY/edit#gid=1248694442"",""Table 3: 1st-line HC!AG5:AG111""), $A29=IMPORTRANGE(""https://docs.google.com/spreadsheets/d/1kGrh75X1cNR1D7_FcY9zMnHP8iP"&amp;"O4M5RCRjy6nZY0TY/edit#gid=1248694442"",""Table 3: 1st-line HC!A5:A111"")),"""")"),"")</f>
        <v/>
      </c>
      <c r="X29" s="14" t="str">
        <f>IFERROR(__xludf.DUMMYFUNCTION("IFNA(FILTER(IMPORTRANGE(""https://docs.google.com/spreadsheets/d/1kGrh75X1cNR1D7_FcY9zMnHP8iPO4M5RCRjy6nZY0TY/edit#gid=1248694442"",""Table 3: 1st-line HC!AI5:AI111""), $A29=IMPORTRANGE(""https://docs.google.com/spreadsheets/d/1kGrh75X1cNR1D7_FcY9zMnHP8iP"&amp;"O4M5RCRjy6nZY0TY/edit#gid=1248694442"",""Table 3: 1st-line HC!A5:A111"")),"""")"),"")</f>
        <v/>
      </c>
    </row>
    <row r="30">
      <c r="A30" s="4" t="str">
        <f>IFERROR(__xludf.DUMMYFUNCTION("""COMPUTED_VALUE"""),"ID 51")</f>
        <v>ID 51</v>
      </c>
      <c r="B30" s="14" t="str">
        <f>IFERROR(__xludf.DUMMYFUNCTION("IFNA(FILTER(IMPORTRANGE(""https://docs.google.com/spreadsheets/d/1kGrh75X1cNR1D7_FcY9zMnHP8iPO4M5RCRjy6nZY0TY/edit#gid=1248694442"",""Table 2: MMC!D5:D114""), $A30=IMPORTRANGE(""https://docs.google.com/spreadsheets/d/1kGrh75X1cNR1D7_FcY9zMnHP8iPO4M5RCRjy6"&amp;"nZY0TY/edit#gid=1248694442"",""Table 2: MMC!A5:A114"")),"""")"),"")</f>
        <v/>
      </c>
      <c r="C30" s="14" t="str">
        <f>IFERROR(__xludf.DUMMYFUNCTION("IFNA(FILTER(IMPORTRANGE(""https://docs.google.com/spreadsheets/d/1kGrh75X1cNR1D7_FcY9zMnHP8iPO4M5RCRjy6nZY0TY/edit#gid=1248694442"",""Table 2: MMC!E5:E114""), $A30=IMPORTRANGE(""https://docs.google.com/spreadsheets/d/1kGrh75X1cNR1D7_FcY9zMnHP8iPO4M5RCRjy6"&amp;"nZY0TY/edit#gid=1248694442"",""Table 2: MMC!A5:A114"")),"""")"),"")</f>
        <v/>
      </c>
      <c r="D30" s="14" t="str">
        <f>IFERROR(__xludf.DUMMYFUNCTION("IFNA(FILTER(IMPORTRANGE(""https://docs.google.com/spreadsheets/d/1kGrh75X1cNR1D7_FcY9zMnHP8iPO4M5RCRjy6nZY0TY/edit#gid=1248694442"",""Table 2: MMC!F5:F114""), $A30=IMPORTRANGE(""https://docs.google.com/spreadsheets/d/1kGrh75X1cNR1D7_FcY9zMnHP8iPO4M5RCRjy6"&amp;"nZY0TY/edit#gid=1248694442"",""Table 2: MMC!A5:A114"")),"""")"),"")</f>
        <v/>
      </c>
      <c r="E30" s="14">
        <f>IFERROR(__xludf.DUMMYFUNCTION("IFNA(FILTER(IMPORTRANGE(""https://docs.google.com/spreadsheets/d/1kGrh75X1cNR1D7_FcY9zMnHP8iPO4M5RCRjy6nZY0TY/edit#gid=1248694442"",""Table 2: MMC!G5:G114""), $A30=IMPORTRANGE(""https://docs.google.com/spreadsheets/d/1kGrh75X1cNR1D7_FcY9zMnHP8iPO4M5RCRjy6"&amp;"nZY0TY/edit#gid=1248694442"",""Table 2: MMC!A5:A114"")),"""")"),7.0)</f>
        <v>7</v>
      </c>
      <c r="F30" s="14">
        <f>IFERROR(__xludf.DUMMYFUNCTION("IFNA(FILTER(IMPORTRANGE(""https://docs.google.com/spreadsheets/d/1kGrh75X1cNR1D7_FcY9zMnHP8iPO4M5RCRjy6nZY0TY/edit#gid=1248694442"",""Table 2: MMC!H5:H114""), $A30=IMPORTRANGE(""https://docs.google.com/spreadsheets/d/1kGrh75X1cNR1D7_FcY9zMnHP8iPO4M5RCRjy6"&amp;"nZY0TY/edit#gid=1248694442"",""Table 2: MMC!A5:A114"")),"""")"),18.0)</f>
        <v>18</v>
      </c>
      <c r="G30" s="14">
        <f>IFERROR(__xludf.DUMMYFUNCTION("IFNA(FILTER(IMPORTRANGE(""https://docs.google.com/spreadsheets/d/1kGrh75X1cNR1D7_FcY9zMnHP8iPO4M5RCRjy6nZY0TY/edit#gid=1248694442"",""Table 2: MMC!I5:I114""), $A30=IMPORTRANGE(""https://docs.google.com/spreadsheets/d/1kGrh75X1cNR1D7_FcY9zMnHP8iPO4M5RCRjy6"&amp;"nZY0TY/edit#gid=1248694442"",""Table 2: MMC!A5:A114"")),"""")"),3.0)</f>
        <v>3</v>
      </c>
      <c r="H30" s="14" t="str">
        <f>IFERROR(__xludf.DUMMYFUNCTION("IFNA(FILTER(IMPORTRANGE(""https://docs.google.com/spreadsheets/d/1kGrh75X1cNR1D7_FcY9zMnHP8iPO4M5RCRjy6nZY0TY/edit#gid=1248694442"",""Table 2: MMC!J5:J114""), $A30=IMPORTRANGE(""https://docs.google.com/spreadsheets/d/1kGrh75X1cNR1D7_FcY9zMnHP8iPO4M5RCRjy6"&amp;"nZY0TY/edit#gid=1248694442"",""Table 2: MMC!A5:A114"")),"""")"),"post-natal")</f>
        <v>post-natal</v>
      </c>
      <c r="I30" s="14" t="str">
        <f>IFERROR(__xludf.DUMMYFUNCTION("IFNA(FILTER(IMPORTRANGE(""https://docs.google.com/spreadsheets/d/1kGrh75X1cNR1D7_FcY9zMnHP8iPO4M5RCRjy6nZY0TY/edit#gid=1248694442"",""Table 2: MMC!M5:M114""), $A30=IMPORTRANGE(""https://docs.google.com/spreadsheets/d/1kGrh75X1cNR1D7_FcY9zMnHP8iPO4M5RCRjy6"&amp;"nZY0TY/edit#gid=1248694442"",""Table 2: MMC!A5:A114"")),"""")"),"")</f>
        <v/>
      </c>
      <c r="J30" s="14" t="str">
        <f>IFERROR(__xludf.DUMMYFUNCTION("IFNA(FILTER(IMPORTRANGE(""https://docs.google.com/spreadsheets/d/1kGrh75X1cNR1D7_FcY9zMnHP8iPO4M5RCRjy6nZY0TY/edit#gid=1248694442"",""Table 2: MMC!Q5:Q114""), $A30=IMPORTRANGE(""https://docs.google.com/spreadsheets/d/1kGrh75X1cNR1D7_FcY9zMnHP8iPO4M5RCRjy6"&amp;"nZY0TY/edit#gid=1248694442"",""Table 2: MMC!A5:A114"")),"""")"),"")</f>
        <v/>
      </c>
      <c r="K30" s="14" t="str">
        <f>IFERROR(__xludf.DUMMYFUNCTION("IFNA(FILTER(IMPORTRANGE(""https://docs.google.com/spreadsheets/d/1kGrh75X1cNR1D7_FcY9zMnHP8iPO4M5RCRjy6nZY0TY/edit#gid=1248694442"",""Table 2: MMC!R5:R114""), $A30=IMPORTRANGE(""https://docs.google.com/spreadsheets/d/1kGrh75X1cNR1D7_FcY9zMnHP8iPO4M5RCRjy6"&amp;"nZY0TY/edit#gid=1248694442"",""Table 2: MMC!A5:A114"")),"""")"),"")</f>
        <v/>
      </c>
      <c r="L30" s="14" t="str">
        <f>IFERROR(__xludf.DUMMYFUNCTION("IFNA(FILTER(IMPORTRANGE(""https://docs.google.com/spreadsheets/d/1kGrh75X1cNR1D7_FcY9zMnHP8iPO4M5RCRjy6nZY0TY/edit#gid=1248694442"",""Table 2: MMC!S5:S114""), $A30=IMPORTRANGE(""https://docs.google.com/spreadsheets/d/1kGrh75X1cNR1D7_FcY9zMnHP8iPO4M5RCRjy6"&amp;"nZY0TY/edit#gid=1248694442"",""Table 2: MMC!A5:A114"")),"""")"),"")</f>
        <v/>
      </c>
      <c r="M30" s="14" t="str">
        <f>IFERROR(__xludf.DUMMYFUNCTION("IFNA(FILTER(IMPORTRANGE(""https://docs.google.com/spreadsheets/d/1kGrh75X1cNR1D7_FcY9zMnHP8iPO4M5RCRjy6nZY0TY/edit#gid=1248694442"",""Table 3: 1st-line HC!D5:D111""), $A30=IMPORTRANGE(""https://docs.google.com/spreadsheets/d/1kGrh75X1cNR1D7_FcY9zMnHP8iPO4"&amp;"M5RCRjy6nZY0TY/edit#gid=1248694442"",""Table 3: 1st-line HC!A5:A111"")),"""")"),"")</f>
        <v/>
      </c>
      <c r="N30" s="14" t="str">
        <f>IFERROR(__xludf.DUMMYFUNCTION("IFNA(FILTER(IMPORTRANGE(""https://docs.google.com/spreadsheets/d/1kGrh75X1cNR1D7_FcY9zMnHP8iPO4M5RCRjy6nZY0TY/edit#gid=1248694442"",""Table 3: 1st-line HC!E5:E111""), $A30=IMPORTRANGE(""https://docs.google.com/spreadsheets/d/1kGrh75X1cNR1D7_FcY9zMnHP8iPO4"&amp;"M5RCRjy6nZY0TY/edit#gid=1248694442"",""Table 3: 1st-line HC!A5:A111"")),"""")"),"")</f>
        <v/>
      </c>
      <c r="O30" s="14" t="str">
        <f>IFERROR(__xludf.DUMMYFUNCTION("IFNA(FILTER(IMPORTRANGE(""https://docs.google.com/spreadsheets/d/1kGrh75X1cNR1D7_FcY9zMnHP8iPO4M5RCRjy6nZY0TY/edit#gid=1248694442"",""Table 3: 1st-line HC!K5:K111""), $A30=IMPORTRANGE(""https://docs.google.com/spreadsheets/d/1kGrh75X1cNR1D7_FcY9zMnHP8iPO4"&amp;"M5RCRjy6nZY0TY/edit#gid=1248694442"",""Table 3: 1st-line HC!A5:A111"")),"""")"),"")</f>
        <v/>
      </c>
      <c r="P30" s="14" t="str">
        <f>IFERROR(__xludf.DUMMYFUNCTION("IFNA(FILTER(IMPORTRANGE(""https://docs.google.com/spreadsheets/d/1kGrh75X1cNR1D7_FcY9zMnHP8iPO4M5RCRjy6nZY0TY/edit#gid=1248694442"",""Table 3: 1st-line HC!L5:L111""), $A30=IMPORTRANGE(""https://docs.google.com/spreadsheets/d/1kGrh75X1cNR1D7_FcY9zMnHP8iPO4"&amp;"M5RCRjy6nZY0TY/edit#gid=1248694442"",""Table 3: 1st-line HC!A5:A111"")),"""")"),"")</f>
        <v/>
      </c>
      <c r="Q30" s="14" t="str">
        <f>IFERROR(__xludf.DUMMYFUNCTION("IFNA(FILTER(IMPORTRANGE(""https://docs.google.com/spreadsheets/d/1kGrh75X1cNR1D7_FcY9zMnHP8iPO4M5RCRjy6nZY0TY/edit#gid=1248694442"",""Table 3: 1st-line HC!M5:M111""), $A30=IMPORTRANGE(""https://docs.google.com/spreadsheets/d/1kGrh75X1cNR1D7_FcY9zMnHP8iPO4"&amp;"M5RCRjy6nZY0TY/edit#gid=1248694442"",""Table 3: 1st-line HC!A5:A111"")),"""")"),"")</f>
        <v/>
      </c>
      <c r="R30" s="14" t="str">
        <f>IFERROR(__xludf.DUMMYFUNCTION("IFNA(FILTER(IMPORTRANGE(""https://docs.google.com/spreadsheets/d/1kGrh75X1cNR1D7_FcY9zMnHP8iPO4M5RCRjy6nZY0TY/edit#gid=1248694442"",""Table 3: 1st-line HC!N5:N111""), $A30=IMPORTRANGE(""https://docs.google.com/spreadsheets/d/1kGrh75X1cNR1D7_FcY9zMnHP8iPO4"&amp;"M5RCRjy6nZY0TY/edit#gid=1248694442"",""Table 3: 1st-line HC!A5:A111"")),"""")"),"")</f>
        <v/>
      </c>
      <c r="S30" s="14" t="str">
        <f>IFERROR(__xludf.DUMMYFUNCTION("IFNA(FILTER(IMPORTRANGE(""https://docs.google.com/spreadsheets/d/1kGrh75X1cNR1D7_FcY9zMnHP8iPO4M5RCRjy6nZY0TY/edit#gid=1248694442"",""Table 3: 1st-line HC!T5:T111""), $A30=IMPORTRANGE(""https://docs.google.com/spreadsheets/d/1kGrh75X1cNR1D7_FcY9zMnHP8iPO4"&amp;"M5RCRjy6nZY0TY/edit#gid=1248694442"",""Table 3: 1st-line HC!A5:A111"")),"""")"),"")</f>
        <v/>
      </c>
      <c r="T30" s="14" t="str">
        <f>IFERROR(__xludf.DUMMYFUNCTION("IFNA(FILTER(IMPORTRANGE(""https://docs.google.com/spreadsheets/d/1kGrh75X1cNR1D7_FcY9zMnHP8iPO4M5RCRjy6nZY0TY/edit#gid=1248694442"",""Table 3: 1st-line HC!U5:U111""), $A30=IMPORTRANGE(""https://docs.google.com/spreadsheets/d/1kGrh75X1cNR1D7_FcY9zMnHP8iPO4"&amp;"M5RCRjy6nZY0TY/edit#gid=1248694442"",""Table 3: 1st-line HC!A5:A111"")),"""")"),"")</f>
        <v/>
      </c>
      <c r="U30" s="14" t="str">
        <f>IFERROR(__xludf.DUMMYFUNCTION("IFNA(FILTER(IMPORTRANGE(""https://docs.google.com/spreadsheets/d/1kGrh75X1cNR1D7_FcY9zMnHP8iPO4M5RCRjy6nZY0TY/edit#gid=1248694442"",""Table 3: 1st-line HC!V5:V111""), $A30=IMPORTRANGE(""https://docs.google.com/spreadsheets/d/1kGrh75X1cNR1D7_FcY9zMnHP8iPO4"&amp;"M5RCRjy6nZY0TY/edit#gid=1248694442"",""Table 3: 1st-line HC!A5:A111"")),"""")"),"")</f>
        <v/>
      </c>
      <c r="V30" s="14" t="str">
        <f>IFERROR(__xludf.DUMMYFUNCTION("IFNA(FILTER(IMPORTRANGE(""https://docs.google.com/spreadsheets/d/1kGrh75X1cNR1D7_FcY9zMnHP8iPO4M5RCRjy6nZY0TY/edit#gid=1248694442"",""Table 3: 1st-line HC!AE5:AE111""), $A30=IMPORTRANGE(""https://docs.google.com/spreadsheets/d/1kGrh75X1cNR1D7_FcY9zMnHP8iP"&amp;"O4M5RCRjy6nZY0TY/edit#gid=1248694442"",""Table 3: 1st-line HC!A5:A111"")),"""")"),"")</f>
        <v/>
      </c>
      <c r="W30" s="14" t="str">
        <f>IFERROR(__xludf.DUMMYFUNCTION("IFNA(FILTER(IMPORTRANGE(""https://docs.google.com/spreadsheets/d/1kGrh75X1cNR1D7_FcY9zMnHP8iPO4M5RCRjy6nZY0TY/edit#gid=1248694442"",""Table 3: 1st-line HC!AG5:AG111""), $A30=IMPORTRANGE(""https://docs.google.com/spreadsheets/d/1kGrh75X1cNR1D7_FcY9zMnHP8iP"&amp;"O4M5RCRjy6nZY0TY/edit#gid=1248694442"",""Table 3: 1st-line HC!A5:A111"")),"""")"),"")</f>
        <v/>
      </c>
      <c r="X30" s="14" t="str">
        <f>IFERROR(__xludf.DUMMYFUNCTION("IFNA(FILTER(IMPORTRANGE(""https://docs.google.com/spreadsheets/d/1kGrh75X1cNR1D7_FcY9zMnHP8iPO4M5RCRjy6nZY0TY/edit#gid=1248694442"",""Table 3: 1st-line HC!AI5:AI111""), $A30=IMPORTRANGE(""https://docs.google.com/spreadsheets/d/1kGrh75X1cNR1D7_FcY9zMnHP8iP"&amp;"O4M5RCRjy6nZY0TY/edit#gid=1248694442"",""Table 3: 1st-line HC!A5:A111"")),"""")"),"")</f>
        <v/>
      </c>
    </row>
    <row r="31">
      <c r="A31" s="4" t="str">
        <f>IFERROR(__xludf.DUMMYFUNCTION("""COMPUTED_VALUE"""),"ID 52")</f>
        <v>ID 52</v>
      </c>
      <c r="B31" s="14" t="str">
        <f>IFERROR(__xludf.DUMMYFUNCTION("IFNA(FILTER(IMPORTRANGE(""https://docs.google.com/spreadsheets/d/1kGrh75X1cNR1D7_FcY9zMnHP8iPO4M5RCRjy6nZY0TY/edit#gid=1248694442"",""Table 2: MMC!D5:D114""), $A31=IMPORTRANGE(""https://docs.google.com/spreadsheets/d/1kGrh75X1cNR1D7_FcY9zMnHP8iPO4M5RCRjy6"&amp;"nZY0TY/edit#gid=1248694442"",""Table 2: MMC!A5:A114"")),"""")"),"")</f>
        <v/>
      </c>
      <c r="C31" s="14" t="str">
        <f>IFERROR(__xludf.DUMMYFUNCTION("IFNA(FILTER(IMPORTRANGE(""https://docs.google.com/spreadsheets/d/1kGrh75X1cNR1D7_FcY9zMnHP8iPO4M5RCRjy6nZY0TY/edit#gid=1248694442"",""Table 2: MMC!E5:E114""), $A31=IMPORTRANGE(""https://docs.google.com/spreadsheets/d/1kGrh75X1cNR1D7_FcY9zMnHP8iPO4M5RCRjy6"&amp;"nZY0TY/edit#gid=1248694442"",""Table 2: MMC!A5:A114"")),"""")"),"")</f>
        <v/>
      </c>
      <c r="D31" s="14" t="str">
        <f>IFERROR(__xludf.DUMMYFUNCTION("IFNA(FILTER(IMPORTRANGE(""https://docs.google.com/spreadsheets/d/1kGrh75X1cNR1D7_FcY9zMnHP8iPO4M5RCRjy6nZY0TY/edit#gid=1248694442"",""Table 2: MMC!F5:F114""), $A31=IMPORTRANGE(""https://docs.google.com/spreadsheets/d/1kGrh75X1cNR1D7_FcY9zMnHP8iPO4M5RCRjy6"&amp;"nZY0TY/edit#gid=1248694442"",""Table 2: MMC!A5:A114"")),"""")"),"")</f>
        <v/>
      </c>
      <c r="E31" s="14" t="str">
        <f>IFERROR(__xludf.DUMMYFUNCTION("IFNA(FILTER(IMPORTRANGE(""https://docs.google.com/spreadsheets/d/1kGrh75X1cNR1D7_FcY9zMnHP8iPO4M5RCRjy6nZY0TY/edit#gid=1248694442"",""Table 2: MMC!G5:G114""), $A31=IMPORTRANGE(""https://docs.google.com/spreadsheets/d/1kGrh75X1cNR1D7_FcY9zMnHP8iPO4M5RCRjy6"&amp;"nZY0TY/edit#gid=1248694442"",""Table 2: MMC!A5:A114"")),"""")"),"")</f>
        <v/>
      </c>
      <c r="F31" s="14" t="str">
        <f>IFERROR(__xludf.DUMMYFUNCTION("IFNA(FILTER(IMPORTRANGE(""https://docs.google.com/spreadsheets/d/1kGrh75X1cNR1D7_FcY9zMnHP8iPO4M5RCRjy6nZY0TY/edit#gid=1248694442"",""Table 2: MMC!H5:H114""), $A31=IMPORTRANGE(""https://docs.google.com/spreadsheets/d/1kGrh75X1cNR1D7_FcY9zMnHP8iPO4M5RCRjy6"&amp;"nZY0TY/edit#gid=1248694442"",""Table 2: MMC!A5:A114"")),"""")"),"")</f>
        <v/>
      </c>
      <c r="G31" s="14" t="str">
        <f>IFERROR(__xludf.DUMMYFUNCTION("IFNA(FILTER(IMPORTRANGE(""https://docs.google.com/spreadsheets/d/1kGrh75X1cNR1D7_FcY9zMnHP8iPO4M5RCRjy6nZY0TY/edit#gid=1248694442"",""Table 2: MMC!I5:I114""), $A31=IMPORTRANGE(""https://docs.google.com/spreadsheets/d/1kGrh75X1cNR1D7_FcY9zMnHP8iPO4M5RCRjy6"&amp;"nZY0TY/edit#gid=1248694442"",""Table 2: MMC!A5:A114"")),"""")"),"")</f>
        <v/>
      </c>
      <c r="H31" s="14" t="str">
        <f>IFERROR(__xludf.DUMMYFUNCTION("IFNA(FILTER(IMPORTRANGE(""https://docs.google.com/spreadsheets/d/1kGrh75X1cNR1D7_FcY9zMnHP8iPO4M5RCRjy6nZY0TY/edit#gid=1248694442"",""Table 2: MMC!J5:J114""), $A31=IMPORTRANGE(""https://docs.google.com/spreadsheets/d/1kGrh75X1cNR1D7_FcY9zMnHP8iPO4M5RCRjy6"&amp;"nZY0TY/edit#gid=1248694442"",""Table 2: MMC!A5:A114"")),"""")"),"")</f>
        <v/>
      </c>
      <c r="I31" s="14" t="str">
        <f>IFERROR(__xludf.DUMMYFUNCTION("IFNA(FILTER(IMPORTRANGE(""https://docs.google.com/spreadsheets/d/1kGrh75X1cNR1D7_FcY9zMnHP8iPO4M5RCRjy6nZY0TY/edit#gid=1248694442"",""Table 2: MMC!M5:M114""), $A31=IMPORTRANGE(""https://docs.google.com/spreadsheets/d/1kGrh75X1cNR1D7_FcY9zMnHP8iPO4M5RCRjy6"&amp;"nZY0TY/edit#gid=1248694442"",""Table 2: MMC!A5:A114"")),"""")"),"")</f>
        <v/>
      </c>
      <c r="J31" s="14" t="str">
        <f>IFERROR(__xludf.DUMMYFUNCTION("IFNA(FILTER(IMPORTRANGE(""https://docs.google.com/spreadsheets/d/1kGrh75X1cNR1D7_FcY9zMnHP8iPO4M5RCRjy6nZY0TY/edit#gid=1248694442"",""Table 2: MMC!Q5:Q114""), $A31=IMPORTRANGE(""https://docs.google.com/spreadsheets/d/1kGrh75X1cNR1D7_FcY9zMnHP8iPO4M5RCRjy6"&amp;"nZY0TY/edit#gid=1248694442"",""Table 2: MMC!A5:A114"")),"""")"),"")</f>
        <v/>
      </c>
      <c r="K31" s="14" t="str">
        <f>IFERROR(__xludf.DUMMYFUNCTION("IFNA(FILTER(IMPORTRANGE(""https://docs.google.com/spreadsheets/d/1kGrh75X1cNR1D7_FcY9zMnHP8iPO4M5RCRjy6nZY0TY/edit#gid=1248694442"",""Table 2: MMC!R5:R114""), $A31=IMPORTRANGE(""https://docs.google.com/spreadsheets/d/1kGrh75X1cNR1D7_FcY9zMnHP8iPO4M5RCRjy6"&amp;"nZY0TY/edit#gid=1248694442"",""Table 2: MMC!A5:A114"")),"""")"),"")</f>
        <v/>
      </c>
      <c r="L31" s="14" t="str">
        <f>IFERROR(__xludf.DUMMYFUNCTION("IFNA(FILTER(IMPORTRANGE(""https://docs.google.com/spreadsheets/d/1kGrh75X1cNR1D7_FcY9zMnHP8iPO4M5RCRjy6nZY0TY/edit#gid=1248694442"",""Table 2: MMC!S5:S114""), $A31=IMPORTRANGE(""https://docs.google.com/spreadsheets/d/1kGrh75X1cNR1D7_FcY9zMnHP8iPO4M5RCRjy6"&amp;"nZY0TY/edit#gid=1248694442"",""Table 2: MMC!A5:A114"")),"""")"),"")</f>
        <v/>
      </c>
      <c r="M31" s="14" t="str">
        <f>IFERROR(__xludf.DUMMYFUNCTION("IFNA(FILTER(IMPORTRANGE(""https://docs.google.com/spreadsheets/d/1kGrh75X1cNR1D7_FcY9zMnHP8iPO4M5RCRjy6nZY0TY/edit#gid=1248694442"",""Table 3: 1st-line HC!D5:D111""), $A31=IMPORTRANGE(""https://docs.google.com/spreadsheets/d/1kGrh75X1cNR1D7_FcY9zMnHP8iPO4"&amp;"M5RCRjy6nZY0TY/edit#gid=1248694442"",""Table 3: 1st-line HC!A5:A111"")),"""")"),"")</f>
        <v/>
      </c>
      <c r="N31" s="14" t="str">
        <f>IFERROR(__xludf.DUMMYFUNCTION("IFNA(FILTER(IMPORTRANGE(""https://docs.google.com/spreadsheets/d/1kGrh75X1cNR1D7_FcY9zMnHP8iPO4M5RCRjy6nZY0TY/edit#gid=1248694442"",""Table 3: 1st-line HC!E5:E111""), $A31=IMPORTRANGE(""https://docs.google.com/spreadsheets/d/1kGrh75X1cNR1D7_FcY9zMnHP8iPO4"&amp;"M5RCRjy6nZY0TY/edit#gid=1248694442"",""Table 3: 1st-line HC!A5:A111"")),"""")"),"")</f>
        <v/>
      </c>
      <c r="O31" s="14" t="str">
        <f>IFERROR(__xludf.DUMMYFUNCTION("IFNA(FILTER(IMPORTRANGE(""https://docs.google.com/spreadsheets/d/1kGrh75X1cNR1D7_FcY9zMnHP8iPO4M5RCRjy6nZY0TY/edit#gid=1248694442"",""Table 3: 1st-line HC!K5:K111""), $A31=IMPORTRANGE(""https://docs.google.com/spreadsheets/d/1kGrh75X1cNR1D7_FcY9zMnHP8iPO4"&amp;"M5RCRjy6nZY0TY/edit#gid=1248694442"",""Table 3: 1st-line HC!A5:A111"")),"""")"),"")</f>
        <v/>
      </c>
      <c r="P31" s="14" t="str">
        <f>IFERROR(__xludf.DUMMYFUNCTION("IFNA(FILTER(IMPORTRANGE(""https://docs.google.com/spreadsheets/d/1kGrh75X1cNR1D7_FcY9zMnHP8iPO4M5RCRjy6nZY0TY/edit#gid=1248694442"",""Table 3: 1st-line HC!L5:L111""), $A31=IMPORTRANGE(""https://docs.google.com/spreadsheets/d/1kGrh75X1cNR1D7_FcY9zMnHP8iPO4"&amp;"M5RCRjy6nZY0TY/edit#gid=1248694442"",""Table 3: 1st-line HC!A5:A111"")),"""")"),"")</f>
        <v/>
      </c>
      <c r="Q31" s="14" t="str">
        <f>IFERROR(__xludf.DUMMYFUNCTION("IFNA(FILTER(IMPORTRANGE(""https://docs.google.com/spreadsheets/d/1kGrh75X1cNR1D7_FcY9zMnHP8iPO4M5RCRjy6nZY0TY/edit#gid=1248694442"",""Table 3: 1st-line HC!M5:M111""), $A31=IMPORTRANGE(""https://docs.google.com/spreadsheets/d/1kGrh75X1cNR1D7_FcY9zMnHP8iPO4"&amp;"M5RCRjy6nZY0TY/edit#gid=1248694442"",""Table 3: 1st-line HC!A5:A111"")),"""")"),"")</f>
        <v/>
      </c>
      <c r="R31" s="14" t="str">
        <f>IFERROR(__xludf.DUMMYFUNCTION("IFNA(FILTER(IMPORTRANGE(""https://docs.google.com/spreadsheets/d/1kGrh75X1cNR1D7_FcY9zMnHP8iPO4M5RCRjy6nZY0TY/edit#gid=1248694442"",""Table 3: 1st-line HC!N5:N111""), $A31=IMPORTRANGE(""https://docs.google.com/spreadsheets/d/1kGrh75X1cNR1D7_FcY9zMnHP8iPO4"&amp;"M5RCRjy6nZY0TY/edit#gid=1248694442"",""Table 3: 1st-line HC!A5:A111"")),"""")"),"")</f>
        <v/>
      </c>
      <c r="S31" s="14" t="str">
        <f>IFERROR(__xludf.DUMMYFUNCTION("IFNA(FILTER(IMPORTRANGE(""https://docs.google.com/spreadsheets/d/1kGrh75X1cNR1D7_FcY9zMnHP8iPO4M5RCRjy6nZY0TY/edit#gid=1248694442"",""Table 3: 1st-line HC!T5:T111""), $A31=IMPORTRANGE(""https://docs.google.com/spreadsheets/d/1kGrh75X1cNR1D7_FcY9zMnHP8iPO4"&amp;"M5RCRjy6nZY0TY/edit#gid=1248694442"",""Table 3: 1st-line HC!A5:A111"")),"""")"),"")</f>
        <v/>
      </c>
      <c r="T31" s="14" t="str">
        <f>IFERROR(__xludf.DUMMYFUNCTION("IFNA(FILTER(IMPORTRANGE(""https://docs.google.com/spreadsheets/d/1kGrh75X1cNR1D7_FcY9zMnHP8iPO4M5RCRjy6nZY0TY/edit#gid=1248694442"",""Table 3: 1st-line HC!U5:U111""), $A31=IMPORTRANGE(""https://docs.google.com/spreadsheets/d/1kGrh75X1cNR1D7_FcY9zMnHP8iPO4"&amp;"M5RCRjy6nZY0TY/edit#gid=1248694442"",""Table 3: 1st-line HC!A5:A111"")),"""")"),"")</f>
        <v/>
      </c>
      <c r="U31" s="14" t="str">
        <f>IFERROR(__xludf.DUMMYFUNCTION("IFNA(FILTER(IMPORTRANGE(""https://docs.google.com/spreadsheets/d/1kGrh75X1cNR1D7_FcY9zMnHP8iPO4M5RCRjy6nZY0TY/edit#gid=1248694442"",""Table 3: 1st-line HC!V5:V111""), $A31=IMPORTRANGE(""https://docs.google.com/spreadsheets/d/1kGrh75X1cNR1D7_FcY9zMnHP8iPO4"&amp;"M5RCRjy6nZY0TY/edit#gid=1248694442"",""Table 3: 1st-line HC!A5:A111"")),"""")"),"")</f>
        <v/>
      </c>
      <c r="V31" s="14" t="str">
        <f>IFERROR(__xludf.DUMMYFUNCTION("IFNA(FILTER(IMPORTRANGE(""https://docs.google.com/spreadsheets/d/1kGrh75X1cNR1D7_FcY9zMnHP8iPO4M5RCRjy6nZY0TY/edit#gid=1248694442"",""Table 3: 1st-line HC!AE5:AE111""), $A31=IMPORTRANGE(""https://docs.google.com/spreadsheets/d/1kGrh75X1cNR1D7_FcY9zMnHP8iP"&amp;"O4M5RCRjy6nZY0TY/edit#gid=1248694442"",""Table 3: 1st-line HC!A5:A111"")),"""")"),"")</f>
        <v/>
      </c>
      <c r="W31" s="14">
        <f>IFERROR(__xludf.DUMMYFUNCTION("IFNA(FILTER(IMPORTRANGE(""https://docs.google.com/spreadsheets/d/1kGrh75X1cNR1D7_FcY9zMnHP8iPO4M5RCRjy6nZY0TY/edit#gid=1248694442"",""Table 3: 1st-line HC!AG5:AG111""), $A31=IMPORTRANGE(""https://docs.google.com/spreadsheets/d/1kGrh75X1cNR1D7_FcY9zMnHP8iP"&amp;"O4M5RCRjy6nZY0TY/edit#gid=1248694442"",""Table 3: 1st-line HC!A5:A111"")),"""")"),83.7)</f>
        <v>83.7</v>
      </c>
      <c r="X31" s="14" t="str">
        <f>IFERROR(__xludf.DUMMYFUNCTION("IFNA(FILTER(IMPORTRANGE(""https://docs.google.com/spreadsheets/d/1kGrh75X1cNR1D7_FcY9zMnHP8iPO4M5RCRjy6nZY0TY/edit#gid=1248694442"",""Table 3: 1st-line HC!AI5:AI111""), $A31=IMPORTRANGE(""https://docs.google.com/spreadsheets/d/1kGrh75X1cNR1D7_FcY9zMnHP8iP"&amp;"O4M5RCRjy6nZY0TY/edit#gid=1248694442"",""Table 3: 1st-line HC!A5:A111"")),"""")"),"")</f>
        <v/>
      </c>
    </row>
    <row r="32">
      <c r="A32" s="4" t="str">
        <f>IFERROR(__xludf.DUMMYFUNCTION("""COMPUTED_VALUE"""),"ID 53")</f>
        <v>ID 53</v>
      </c>
      <c r="B32" s="14">
        <f>IFERROR(__xludf.DUMMYFUNCTION("IFNA(FILTER(IMPORTRANGE(""https://docs.google.com/spreadsheets/d/1kGrh75X1cNR1D7_FcY9zMnHP8iPO4M5RCRjy6nZY0TY/edit#gid=1248694442"",""Table 2: MMC!D5:D114""), $A32=IMPORTRANGE(""https://docs.google.com/spreadsheets/d/1kGrh75X1cNR1D7_FcY9zMnHP8iPO4M5RCRjy6"&amp;"nZY0TY/edit#gid=1248694442"",""Table 2: MMC!A5:A114"")),"""")"),1.0)</f>
        <v>1</v>
      </c>
      <c r="C32" s="14">
        <f>IFERROR(__xludf.DUMMYFUNCTION("IFNA(FILTER(IMPORTRANGE(""https://docs.google.com/spreadsheets/d/1kGrh75X1cNR1D7_FcY9zMnHP8iPO4M5RCRjy6nZY0TY/edit#gid=1248694442"",""Table 2: MMC!E5:E114""), $A32=IMPORTRANGE(""https://docs.google.com/spreadsheets/d/1kGrh75X1cNR1D7_FcY9zMnHP8iPO4M5RCRjy6"&amp;"nZY0TY/edit#gid=1248694442"",""Table 2: MMC!A5:A114"")),"""")"),1.0)</f>
        <v>1</v>
      </c>
      <c r="D32" s="14" t="str">
        <f>IFERROR(__xludf.DUMMYFUNCTION("IFNA(FILTER(IMPORTRANGE(""https://docs.google.com/spreadsheets/d/1kGrh75X1cNR1D7_FcY9zMnHP8iPO4M5RCRjy6nZY0TY/edit#gid=1248694442"",""Table 2: MMC!F5:F114""), $A32=IMPORTRANGE(""https://docs.google.com/spreadsheets/d/1kGrh75X1cNR1D7_FcY9zMnHP8iPO4M5RCRjy6"&amp;"nZY0TY/edit#gid=1248694442"",""Table 2: MMC!A5:A114"")),"""")"),"")</f>
        <v/>
      </c>
      <c r="E32" s="14" t="str">
        <f>IFERROR(__xludf.DUMMYFUNCTION("IFNA(FILTER(IMPORTRANGE(""https://docs.google.com/spreadsheets/d/1kGrh75X1cNR1D7_FcY9zMnHP8iPO4M5RCRjy6nZY0TY/edit#gid=1248694442"",""Table 2: MMC!G5:G114""), $A32=IMPORTRANGE(""https://docs.google.com/spreadsheets/d/1kGrh75X1cNR1D7_FcY9zMnHP8iPO4M5RCRjy6"&amp;"nZY0TY/edit#gid=1248694442"",""Table 2: MMC!A5:A114"")),"""")"),"")</f>
        <v/>
      </c>
      <c r="F32" s="14">
        <f>IFERROR(__xludf.DUMMYFUNCTION("IFNA(FILTER(IMPORTRANGE(""https://docs.google.com/spreadsheets/d/1kGrh75X1cNR1D7_FcY9zMnHP8iPO4M5RCRjy6nZY0TY/edit#gid=1248694442"",""Table 2: MMC!H5:H114""), $A32=IMPORTRANGE(""https://docs.google.com/spreadsheets/d/1kGrh75X1cNR1D7_FcY9zMnHP8iPO4M5RCRjy6"&amp;"nZY0TY/edit#gid=1248694442"",""Table 2: MMC!A5:A114"")),"""")"),2.0)</f>
        <v>2</v>
      </c>
      <c r="G32" s="14">
        <f>IFERROR(__xludf.DUMMYFUNCTION("IFNA(FILTER(IMPORTRANGE(""https://docs.google.com/spreadsheets/d/1kGrh75X1cNR1D7_FcY9zMnHP8iPO4M5RCRjy6nZY0TY/edit#gid=1248694442"",""Table 2: MMC!I5:I114""), $A32=IMPORTRANGE(""https://docs.google.com/spreadsheets/d/1kGrh75X1cNR1D7_FcY9zMnHP8iPO4M5RCRjy6"&amp;"nZY0TY/edit#gid=1248694442"",""Table 2: MMC!A5:A114"")),"""")"),1.0)</f>
        <v>1</v>
      </c>
      <c r="H32" s="14" t="str">
        <f>IFERROR(__xludf.DUMMYFUNCTION("IFNA(FILTER(IMPORTRANGE(""https://docs.google.com/spreadsheets/d/1kGrh75X1cNR1D7_FcY9zMnHP8iPO4M5RCRjy6nZY0TY/edit#gid=1248694442"",""Table 2: MMC!J5:J114""), $A32=IMPORTRANGE(""https://docs.google.com/spreadsheets/d/1kGrh75X1cNR1D7_FcY9zMnHP8iPO4M5RCRjy6"&amp;"nZY0TY/edit#gid=1248694442"",""Table 2: MMC!A5:A114"")),"""")"),"post-natal")</f>
        <v>post-natal</v>
      </c>
      <c r="I32" s="14" t="str">
        <f>IFERROR(__xludf.DUMMYFUNCTION("IFNA(FILTER(IMPORTRANGE(""https://docs.google.com/spreadsheets/d/1kGrh75X1cNR1D7_FcY9zMnHP8iPO4M5RCRjy6nZY0TY/edit#gid=1248694442"",""Table 2: MMC!M5:M114""), $A32=IMPORTRANGE(""https://docs.google.com/spreadsheets/d/1kGrh75X1cNR1D7_FcY9zMnHP8iPO4M5RCRjy6"&amp;"nZY0TY/edit#gid=1248694442"",""Table 2: MMC!A5:A114"")),"""")"),"")</f>
        <v/>
      </c>
      <c r="J32" s="14" t="str">
        <f>IFERROR(__xludf.DUMMYFUNCTION("IFNA(FILTER(IMPORTRANGE(""https://docs.google.com/spreadsheets/d/1kGrh75X1cNR1D7_FcY9zMnHP8iPO4M5RCRjy6nZY0TY/edit#gid=1248694442"",""Table 2: MMC!Q5:Q114""), $A32=IMPORTRANGE(""https://docs.google.com/spreadsheets/d/1kGrh75X1cNR1D7_FcY9zMnHP8iPO4M5RCRjy6"&amp;"nZY0TY/edit#gid=1248694442"",""Table 2: MMC!A5:A114"")),"""")"),"")</f>
        <v/>
      </c>
      <c r="K32" s="14" t="str">
        <f>IFERROR(__xludf.DUMMYFUNCTION("IFNA(FILTER(IMPORTRANGE(""https://docs.google.com/spreadsheets/d/1kGrh75X1cNR1D7_FcY9zMnHP8iPO4M5RCRjy6nZY0TY/edit#gid=1248694442"",""Table 2: MMC!R5:R114""), $A32=IMPORTRANGE(""https://docs.google.com/spreadsheets/d/1kGrh75X1cNR1D7_FcY9zMnHP8iPO4M5RCRjy6"&amp;"nZY0TY/edit#gid=1248694442"",""Table 2: MMC!A5:A114"")),"""")"),"")</f>
        <v/>
      </c>
      <c r="L32" s="14" t="str">
        <f>IFERROR(__xludf.DUMMYFUNCTION("IFNA(FILTER(IMPORTRANGE(""https://docs.google.com/spreadsheets/d/1kGrh75X1cNR1D7_FcY9zMnHP8iPO4M5RCRjy6nZY0TY/edit#gid=1248694442"",""Table 2: MMC!S5:S114""), $A32=IMPORTRANGE(""https://docs.google.com/spreadsheets/d/1kGrh75X1cNR1D7_FcY9zMnHP8iPO4M5RCRjy6"&amp;"nZY0TY/edit#gid=1248694442"",""Table 2: MMC!A5:A114"")),"""")"),"1 death, both MMC closure and VP shunt insertion done in the same procedure.""There were no early postoperative complications,
but the patient died at the age of 2 months after
developing cyanosis and apnea despite a well-functioning
VP shunt, most probab"&amp;"ly due to a CM-II""")</f>
        <v>1 death, both MMC closure and VP shunt insertion done in the same procedure."There were no early postoperative complications,
but the patient died at the age of 2 months after
developing cyanosis and apnea despite a well-functioning
VP shunt, most probably due to a CM-II"</v>
      </c>
      <c r="M32" s="14" t="str">
        <f>IFERROR(__xludf.DUMMYFUNCTION("IFNA(FILTER(IMPORTRANGE(""https://docs.google.com/spreadsheets/d/1kGrh75X1cNR1D7_FcY9zMnHP8iPO4M5RCRjy6nZY0TY/edit#gid=1248694442"",""Table 3: 1st-line HC!D5:D111""), $A32=IMPORTRANGE(""https://docs.google.com/spreadsheets/d/1kGrh75X1cNR1D7_FcY9zMnHP8iPO4"&amp;"M5RCRjy6nZY0TY/edit#gid=1248694442"",""Table 3: 1st-line HC!A5:A111"")),"""")"),"")</f>
        <v/>
      </c>
      <c r="N32" s="14" t="str">
        <f>IFERROR(__xludf.DUMMYFUNCTION("IFNA(FILTER(IMPORTRANGE(""https://docs.google.com/spreadsheets/d/1kGrh75X1cNR1D7_FcY9zMnHP8iPO4M5RCRjy6nZY0TY/edit#gid=1248694442"",""Table 3: 1st-line HC!E5:E111""), $A32=IMPORTRANGE(""https://docs.google.com/spreadsheets/d/1kGrh75X1cNR1D7_FcY9zMnHP8iPO4"&amp;"M5RCRjy6nZY0TY/edit#gid=1248694442"",""Table 3: 1st-line HC!A5:A111"")),"""")"),"")</f>
        <v/>
      </c>
      <c r="O32" s="14" t="str">
        <f>IFERROR(__xludf.DUMMYFUNCTION("IFNA(FILTER(IMPORTRANGE(""https://docs.google.com/spreadsheets/d/1kGrh75X1cNR1D7_FcY9zMnHP8iPO4M5RCRjy6nZY0TY/edit#gid=1248694442"",""Table 3: 1st-line HC!K5:K111""), $A32=IMPORTRANGE(""https://docs.google.com/spreadsheets/d/1kGrh75X1cNR1D7_FcY9zMnHP8iPO4"&amp;"M5RCRjy6nZY0TY/edit#gid=1248694442"",""Table 3: 1st-line HC!A5:A111"")),"""")"),"")</f>
        <v/>
      </c>
      <c r="P32" s="14" t="str">
        <f>IFERROR(__xludf.DUMMYFUNCTION("IFNA(FILTER(IMPORTRANGE(""https://docs.google.com/spreadsheets/d/1kGrh75X1cNR1D7_FcY9zMnHP8iPO4M5RCRjy6nZY0TY/edit#gid=1248694442"",""Table 3: 1st-line HC!L5:L111""), $A32=IMPORTRANGE(""https://docs.google.com/spreadsheets/d/1kGrh75X1cNR1D7_FcY9zMnHP8iPO4"&amp;"M5RCRjy6nZY0TY/edit#gid=1248694442"",""Table 3: 1st-line HC!A5:A111"")),"""")"),"")</f>
        <v/>
      </c>
      <c r="Q32" s="14">
        <f>IFERROR(__xludf.DUMMYFUNCTION("IFNA(FILTER(IMPORTRANGE(""https://docs.google.com/spreadsheets/d/1kGrh75X1cNR1D7_FcY9zMnHP8iPO4M5RCRjy6nZY0TY/edit#gid=1248694442"",""Table 3: 1st-line HC!M5:M111""), $A32=IMPORTRANGE(""https://docs.google.com/spreadsheets/d/1kGrh75X1cNR1D7_FcY9zMnHP8iPO4"&amp;"M5RCRjy6nZY0TY/edit#gid=1248694442"",""Table 3: 1st-line HC!A5:A111"")),"""")"),1.0)</f>
        <v>1</v>
      </c>
      <c r="R32" s="14" t="str">
        <f>IFERROR(__xludf.DUMMYFUNCTION("IFNA(FILTER(IMPORTRANGE(""https://docs.google.com/spreadsheets/d/1kGrh75X1cNR1D7_FcY9zMnHP8iPO4M5RCRjy6nZY0TY/edit#gid=1248694442"",""Table 3: 1st-line HC!N5:N111""), $A32=IMPORTRANGE(""https://docs.google.com/spreadsheets/d/1kGrh75X1cNR1D7_FcY9zMnHP8iPO4"&amp;"M5RCRjy6nZY0TY/edit#gid=1248694442"",""Table 3: 1st-line HC!A5:A111"")),"""")"),"")</f>
        <v/>
      </c>
      <c r="S32" s="14" t="str">
        <f>IFERROR(__xludf.DUMMYFUNCTION("IFNA(FILTER(IMPORTRANGE(""https://docs.google.com/spreadsheets/d/1kGrh75X1cNR1D7_FcY9zMnHP8iPO4M5RCRjy6nZY0TY/edit#gid=1248694442"",""Table 3: 1st-line HC!T5:T111""), $A32=IMPORTRANGE(""https://docs.google.com/spreadsheets/d/1kGrh75X1cNR1D7_FcY9zMnHP8iPO4"&amp;"M5RCRjy6nZY0TY/edit#gid=1248694442"",""Table 3: 1st-line HC!A5:A111"")),"""")"),"")</f>
        <v/>
      </c>
      <c r="T32" s="14" t="str">
        <f>IFERROR(__xludf.DUMMYFUNCTION("IFNA(FILTER(IMPORTRANGE(""https://docs.google.com/spreadsheets/d/1kGrh75X1cNR1D7_FcY9zMnHP8iPO4M5RCRjy6nZY0TY/edit#gid=1248694442"",""Table 3: 1st-line HC!U5:U111""), $A32=IMPORTRANGE(""https://docs.google.com/spreadsheets/d/1kGrh75X1cNR1D7_FcY9zMnHP8iPO4"&amp;"M5RCRjy6nZY0TY/edit#gid=1248694442"",""Table 3: 1st-line HC!A5:A111"")),"""")"),"")</f>
        <v/>
      </c>
      <c r="U32" s="14" t="str">
        <f>IFERROR(__xludf.DUMMYFUNCTION("IFNA(FILTER(IMPORTRANGE(""https://docs.google.com/spreadsheets/d/1kGrh75X1cNR1D7_FcY9zMnHP8iPO4M5RCRjy6nZY0TY/edit#gid=1248694442"",""Table 3: 1st-line HC!V5:V111""), $A32=IMPORTRANGE(""https://docs.google.com/spreadsheets/d/1kGrh75X1cNR1D7_FcY9zMnHP8iPO4"&amp;"M5RCRjy6nZY0TY/edit#gid=1248694442"",""Table 3: 1st-line HC!A5:A111"")),"""")"),"")</f>
        <v/>
      </c>
      <c r="V32" s="14" t="str">
        <f>IFERROR(__xludf.DUMMYFUNCTION("IFNA(FILTER(IMPORTRANGE(""https://docs.google.com/spreadsheets/d/1kGrh75X1cNR1D7_FcY9zMnHP8iPO4M5RCRjy6nZY0TY/edit#gid=1248694442"",""Table 3: 1st-line HC!AE5:AE111""), $A32=IMPORTRANGE(""https://docs.google.com/spreadsheets/d/1kGrh75X1cNR1D7_FcY9zMnHP8iP"&amp;"O4M5RCRjy6nZY0TY/edit#gid=1248694442"",""Table 3: 1st-line HC!A5:A111"")),"""")"),"")</f>
        <v/>
      </c>
      <c r="W32" s="14" t="str">
        <f>IFERROR(__xludf.DUMMYFUNCTION("IFNA(FILTER(IMPORTRANGE(""https://docs.google.com/spreadsheets/d/1kGrh75X1cNR1D7_FcY9zMnHP8iPO4M5RCRjy6nZY0TY/edit#gid=1248694442"",""Table 3: 1st-line HC!AG5:AG111""), $A32=IMPORTRANGE(""https://docs.google.com/spreadsheets/d/1kGrh75X1cNR1D7_FcY9zMnHP8iP"&amp;"O4M5RCRjy6nZY0TY/edit#gid=1248694442"",""Table 3: 1st-line HC!A5:A111"")),"""")"),"")</f>
        <v/>
      </c>
      <c r="X32" s="14" t="str">
        <f>IFERROR(__xludf.DUMMYFUNCTION("IFNA(FILTER(IMPORTRANGE(""https://docs.google.com/spreadsheets/d/1kGrh75X1cNR1D7_FcY9zMnHP8iPO4M5RCRjy6nZY0TY/edit#gid=1248694442"",""Table 3: 1st-line HC!AI5:AI111""), $A32=IMPORTRANGE(""https://docs.google.com/spreadsheets/d/1kGrh75X1cNR1D7_FcY9zMnHP8iP"&amp;"O4M5RCRjy6nZY0TY/edit#gid=1248694442"",""Table 3: 1st-line HC!A5:A111"")),"""")"),"")</f>
        <v/>
      </c>
    </row>
    <row r="33">
      <c r="A33" s="4" t="str">
        <f>IFERROR(__xludf.DUMMYFUNCTION("""COMPUTED_VALUE"""),"ID 58")</f>
        <v>ID 58</v>
      </c>
      <c r="B33" s="14" t="str">
        <f>IFERROR(__xludf.DUMMYFUNCTION("IFNA(FILTER(IMPORTRANGE(""https://docs.google.com/spreadsheets/d/1kGrh75X1cNR1D7_FcY9zMnHP8iPO4M5RCRjy6nZY0TY/edit#gid=1248694442"",""Table 2: MMC!D5:D114""), $A33=IMPORTRANGE(""https://docs.google.com/spreadsheets/d/1kGrh75X1cNR1D7_FcY9zMnHP8iPO4M5RCRjy6"&amp;"nZY0TY/edit#gid=1248694442"",""Table 2: MMC!A5:A114"")),"""")"),"")</f>
        <v/>
      </c>
      <c r="C33" s="14" t="str">
        <f>IFERROR(__xludf.DUMMYFUNCTION("IFNA(FILTER(IMPORTRANGE(""https://docs.google.com/spreadsheets/d/1kGrh75X1cNR1D7_FcY9zMnHP8iPO4M5RCRjy6nZY0TY/edit#gid=1248694442"",""Table 2: MMC!E5:E114""), $A33=IMPORTRANGE(""https://docs.google.com/spreadsheets/d/1kGrh75X1cNR1D7_FcY9zMnHP8iPO4M5RCRjy6"&amp;"nZY0TY/edit#gid=1248694442"",""Table 2: MMC!A5:A114"")),"""")"),"")</f>
        <v/>
      </c>
      <c r="D33" s="14" t="str">
        <f>IFERROR(__xludf.DUMMYFUNCTION("IFNA(FILTER(IMPORTRANGE(""https://docs.google.com/spreadsheets/d/1kGrh75X1cNR1D7_FcY9zMnHP8iPO4M5RCRjy6nZY0TY/edit#gid=1248694442"",""Table 2: MMC!F5:F114""), $A33=IMPORTRANGE(""https://docs.google.com/spreadsheets/d/1kGrh75X1cNR1D7_FcY9zMnHP8iPO4M5RCRjy6"&amp;"nZY0TY/edit#gid=1248694442"",""Table 2: MMC!A5:A114"")),"""")"),"")</f>
        <v/>
      </c>
      <c r="E33" s="14" t="str">
        <f>IFERROR(__xludf.DUMMYFUNCTION("IFNA(FILTER(IMPORTRANGE(""https://docs.google.com/spreadsheets/d/1kGrh75X1cNR1D7_FcY9zMnHP8iPO4M5RCRjy6nZY0TY/edit#gid=1248694442"",""Table 2: MMC!G5:G114""), $A33=IMPORTRANGE(""https://docs.google.com/spreadsheets/d/1kGrh75X1cNR1D7_FcY9zMnHP8iPO4M5RCRjy6"&amp;"nZY0TY/edit#gid=1248694442"",""Table 2: MMC!A5:A114"")),"""")"),"")</f>
        <v/>
      </c>
      <c r="F33" s="14" t="str">
        <f>IFERROR(__xludf.DUMMYFUNCTION("IFNA(FILTER(IMPORTRANGE(""https://docs.google.com/spreadsheets/d/1kGrh75X1cNR1D7_FcY9zMnHP8iPO4M5RCRjy6nZY0TY/edit#gid=1248694442"",""Table 2: MMC!H5:H114""), $A33=IMPORTRANGE(""https://docs.google.com/spreadsheets/d/1kGrh75X1cNR1D7_FcY9zMnHP8iPO4M5RCRjy6"&amp;"nZY0TY/edit#gid=1248694442"",""Table 2: MMC!A5:A114"")),"""")"),"")</f>
        <v/>
      </c>
      <c r="G33" s="14" t="str">
        <f>IFERROR(__xludf.DUMMYFUNCTION("IFNA(FILTER(IMPORTRANGE(""https://docs.google.com/spreadsheets/d/1kGrh75X1cNR1D7_FcY9zMnHP8iPO4M5RCRjy6nZY0TY/edit#gid=1248694442"",""Table 2: MMC!I5:I114""), $A33=IMPORTRANGE(""https://docs.google.com/spreadsheets/d/1kGrh75X1cNR1D7_FcY9zMnHP8iPO4M5RCRjy6"&amp;"nZY0TY/edit#gid=1248694442"",""Table 2: MMC!A5:A114"")),"""")"),"")</f>
        <v/>
      </c>
      <c r="H33" s="14" t="str">
        <f>IFERROR(__xludf.DUMMYFUNCTION("IFNA(FILTER(IMPORTRANGE(""https://docs.google.com/spreadsheets/d/1kGrh75X1cNR1D7_FcY9zMnHP8iPO4M5RCRjy6nZY0TY/edit#gid=1248694442"",""Table 2: MMC!J5:J114""), $A33=IMPORTRANGE(""https://docs.google.com/spreadsheets/d/1kGrh75X1cNR1D7_FcY9zMnHP8iPO4M5RCRjy6"&amp;"nZY0TY/edit#gid=1248694442"",""Table 2: MMC!A5:A114"")),"""")"),"post-natal")</f>
        <v>post-natal</v>
      </c>
      <c r="I33" s="14" t="str">
        <f>IFERROR(__xludf.DUMMYFUNCTION("IFNA(FILTER(IMPORTRANGE(""https://docs.google.com/spreadsheets/d/1kGrh75X1cNR1D7_FcY9zMnHP8iPO4M5RCRjy6nZY0TY/edit#gid=1248694442"",""Table 2: MMC!M5:M114""), $A33=IMPORTRANGE(""https://docs.google.com/spreadsheets/d/1kGrh75X1cNR1D7_FcY9zMnHP8iPO4M5RCRjy6"&amp;"nZY0TY/edit#gid=1248694442"",""Table 2: MMC!A5:A114"")),"""")"),"")</f>
        <v/>
      </c>
      <c r="J33" s="14" t="str">
        <f>IFERROR(__xludf.DUMMYFUNCTION("IFNA(FILTER(IMPORTRANGE(""https://docs.google.com/spreadsheets/d/1kGrh75X1cNR1D7_FcY9zMnHP8iPO4M5RCRjy6nZY0TY/edit#gid=1248694442"",""Table 2: MMC!Q5:Q114""), $A33=IMPORTRANGE(""https://docs.google.com/spreadsheets/d/1kGrh75X1cNR1D7_FcY9zMnHP8iPO4M5RCRjy6"&amp;"nZY0TY/edit#gid=1248694442"",""Table 2: MMC!A5:A114"")),"""")"),"")</f>
        <v/>
      </c>
      <c r="K33" s="14" t="str">
        <f>IFERROR(__xludf.DUMMYFUNCTION("IFNA(FILTER(IMPORTRANGE(""https://docs.google.com/spreadsheets/d/1kGrh75X1cNR1D7_FcY9zMnHP8iPO4M5RCRjy6nZY0TY/edit#gid=1248694442"",""Table 2: MMC!R5:R114""), $A33=IMPORTRANGE(""https://docs.google.com/spreadsheets/d/1kGrh75X1cNR1D7_FcY9zMnHP8iPO4M5RCRjy6"&amp;"nZY0TY/edit#gid=1248694442"",""Table 2: MMC!A5:A114"")),"""")"),"")</f>
        <v/>
      </c>
      <c r="L33" s="14" t="str">
        <f>IFERROR(__xludf.DUMMYFUNCTION("IFNA(FILTER(IMPORTRANGE(""https://docs.google.com/spreadsheets/d/1kGrh75X1cNR1D7_FcY9zMnHP8iPO4M5RCRjy6nZY0TY/edit#gid=1248694442"",""Table 2: MMC!S5:S114""), $A33=IMPORTRANGE(""https://docs.google.com/spreadsheets/d/1kGrh75X1cNR1D7_FcY9zMnHP8iPO4M5RCRjy6"&amp;"nZY0TY/edit#gid=1248694442"",""Table 2: MMC!A5:A114"")),"""")"),"")</f>
        <v/>
      </c>
      <c r="M33" s="14" t="str">
        <f>IFERROR(__xludf.DUMMYFUNCTION("IFNA(FILTER(IMPORTRANGE(""https://docs.google.com/spreadsheets/d/1kGrh75X1cNR1D7_FcY9zMnHP8iPO4M5RCRjy6nZY0TY/edit#gid=1248694442"",""Table 3: 1st-line HC!D5:D111""), $A33=IMPORTRANGE(""https://docs.google.com/spreadsheets/d/1kGrh75X1cNR1D7_FcY9zMnHP8iPO4"&amp;"M5RCRjy6nZY0TY/edit#gid=1248694442"",""Table 3: 1st-line HC!A5:A111"")),"""")"),"")</f>
        <v/>
      </c>
      <c r="N33" s="14">
        <f>IFERROR(__xludf.DUMMYFUNCTION("IFNA(FILTER(IMPORTRANGE(""https://docs.google.com/spreadsheets/d/1kGrh75X1cNR1D7_FcY9zMnHP8iPO4M5RCRjy6nZY0TY/edit#gid=1248694442"",""Table 3: 1st-line HC!E5:E111""), $A33=IMPORTRANGE(""https://docs.google.com/spreadsheets/d/1kGrh75X1cNR1D7_FcY9zMnHP8iPO4"&amp;"M5RCRjy6nZY0TY/edit#gid=1248694442"",""Table 3: 1st-line HC!A5:A111"")),"""")"),215.35)</f>
        <v>215.35</v>
      </c>
      <c r="O33" s="14" t="str">
        <f>IFERROR(__xludf.DUMMYFUNCTION("IFNA(FILTER(IMPORTRANGE(""https://docs.google.com/spreadsheets/d/1kGrh75X1cNR1D7_FcY9zMnHP8iPO4M5RCRjy6nZY0TY/edit#gid=1248694442"",""Table 3: 1st-line HC!K5:K111""), $A33=IMPORTRANGE(""https://docs.google.com/spreadsheets/d/1kGrh75X1cNR1D7_FcY9zMnHP8iPO4"&amp;"M5RCRjy6nZY0TY/edit#gid=1248694442"",""Table 3: 1st-line HC!A5:A111"")),"""")"),"")</f>
        <v/>
      </c>
      <c r="P33" s="14" t="str">
        <f>IFERROR(__xludf.DUMMYFUNCTION("IFNA(FILTER(IMPORTRANGE(""https://docs.google.com/spreadsheets/d/1kGrh75X1cNR1D7_FcY9zMnHP8iPO4M5RCRjy6nZY0TY/edit#gid=1248694442"",""Table 3: 1st-line HC!L5:L111""), $A33=IMPORTRANGE(""https://docs.google.com/spreadsheets/d/1kGrh75X1cNR1D7_FcY9zMnHP8iPO4"&amp;"M5RCRjy6nZY0TY/edit#gid=1248694442"",""Table 3: 1st-line HC!A5:A111"")),"""")"),"")</f>
        <v/>
      </c>
      <c r="Q33" s="14" t="str">
        <f>IFERROR(__xludf.DUMMYFUNCTION("IFNA(FILTER(IMPORTRANGE(""https://docs.google.com/spreadsheets/d/1kGrh75X1cNR1D7_FcY9zMnHP8iPO4M5RCRjy6nZY0TY/edit#gid=1248694442"",""Table 3: 1st-line HC!M5:M111""), $A33=IMPORTRANGE(""https://docs.google.com/spreadsheets/d/1kGrh75X1cNR1D7_FcY9zMnHP8iPO4"&amp;"M5RCRjy6nZY0TY/edit#gid=1248694442"",""Table 3: 1st-line HC!A5:A111"")),"""")"),"")</f>
        <v/>
      </c>
      <c r="R33" s="14" t="str">
        <f>IFERROR(__xludf.DUMMYFUNCTION("IFNA(FILTER(IMPORTRANGE(""https://docs.google.com/spreadsheets/d/1kGrh75X1cNR1D7_FcY9zMnHP8iPO4M5RCRjy6nZY0TY/edit#gid=1248694442"",""Table 3: 1st-line HC!N5:N111""), $A33=IMPORTRANGE(""https://docs.google.com/spreadsheets/d/1kGrh75X1cNR1D7_FcY9zMnHP8iPO4"&amp;"M5RCRjy6nZY0TY/edit#gid=1248694442"",""Table 3: 1st-line HC!A5:A111"")),"""")"),"")</f>
        <v/>
      </c>
      <c r="S33" s="14" t="str">
        <f>IFERROR(__xludf.DUMMYFUNCTION("IFNA(FILTER(IMPORTRANGE(""https://docs.google.com/spreadsheets/d/1kGrh75X1cNR1D7_FcY9zMnHP8iPO4M5RCRjy6nZY0TY/edit#gid=1248694442"",""Table 3: 1st-line HC!T5:T111""), $A33=IMPORTRANGE(""https://docs.google.com/spreadsheets/d/1kGrh75X1cNR1D7_FcY9zMnHP8iPO4"&amp;"M5RCRjy6nZY0TY/edit#gid=1248694442"",""Table 3: 1st-line HC!A5:A111"")),"""")"),"")</f>
        <v/>
      </c>
      <c r="T33" s="14" t="str">
        <f>IFERROR(__xludf.DUMMYFUNCTION("IFNA(FILTER(IMPORTRANGE(""https://docs.google.com/spreadsheets/d/1kGrh75X1cNR1D7_FcY9zMnHP8iPO4M5RCRjy6nZY0TY/edit#gid=1248694442"",""Table 3: 1st-line HC!U5:U111""), $A33=IMPORTRANGE(""https://docs.google.com/spreadsheets/d/1kGrh75X1cNR1D7_FcY9zMnHP8iPO4"&amp;"M5RCRjy6nZY0TY/edit#gid=1248694442"",""Table 3: 1st-line HC!A5:A111"")),"""")"),"")</f>
        <v/>
      </c>
      <c r="U33" s="14" t="str">
        <f>IFERROR(__xludf.DUMMYFUNCTION("IFNA(FILTER(IMPORTRANGE(""https://docs.google.com/spreadsheets/d/1kGrh75X1cNR1D7_FcY9zMnHP8iPO4M5RCRjy6nZY0TY/edit#gid=1248694442"",""Table 3: 1st-line HC!V5:V111""), $A33=IMPORTRANGE(""https://docs.google.com/spreadsheets/d/1kGrh75X1cNR1D7_FcY9zMnHP8iPO4"&amp;"M5RCRjy6nZY0TY/edit#gid=1248694442"",""Table 3: 1st-line HC!A5:A111"")),"""")"),"")</f>
        <v/>
      </c>
      <c r="V33" s="14">
        <f>IFERROR(__xludf.DUMMYFUNCTION("IFNA(FILTER(IMPORTRANGE(""https://docs.google.com/spreadsheets/d/1kGrh75X1cNR1D7_FcY9zMnHP8iPO4M5RCRjy6nZY0TY/edit#gid=1248694442"",""Table 3: 1st-line HC!AE5:AE111""), $A33=IMPORTRANGE(""https://docs.google.com/spreadsheets/d/1kGrh75X1cNR1D7_FcY9zMnHP8iP"&amp;"O4M5RCRjy6nZY0TY/edit#gid=1248694442"",""Table 3: 1st-line HC!A5:A111"")),"""")"),215.35)</f>
        <v>215.35</v>
      </c>
      <c r="W33" s="14">
        <f>IFERROR(__xludf.DUMMYFUNCTION("IFNA(FILTER(IMPORTRANGE(""https://docs.google.com/spreadsheets/d/1kGrh75X1cNR1D7_FcY9zMnHP8iPO4M5RCRjy6nZY0TY/edit#gid=1248694442"",""Table 3: 1st-line HC!AG5:AG111""), $A33=IMPORTRANGE(""https://docs.google.com/spreadsheets/d/1kGrh75X1cNR1D7_FcY9zMnHP8iP"&amp;"O4M5RCRjy6nZY0TY/edit#gid=1248694442"",""Table 3: 1st-line HC!A5:A111"")),"""")"),189.4)</f>
        <v>189.4</v>
      </c>
      <c r="X33" s="14" t="str">
        <f>IFERROR(__xludf.DUMMYFUNCTION("IFNA(FILTER(IMPORTRANGE(""https://docs.google.com/spreadsheets/d/1kGrh75X1cNR1D7_FcY9zMnHP8iPO4M5RCRjy6nZY0TY/edit#gid=1248694442"",""Table 3: 1st-line HC!AI5:AI111""), $A33=IMPORTRANGE(""https://docs.google.com/spreadsheets/d/1kGrh75X1cNR1D7_FcY9zMnHP8iP"&amp;"O4M5RCRjy6nZY0TY/edit#gid=1248694442"",""Table 3: 1st-line HC!A5:A111"")),"""")"),"88.7-151.2")</f>
        <v>88.7-151.2</v>
      </c>
    </row>
    <row r="34">
      <c r="A34" s="4" t="str">
        <f>IFERROR(__xludf.DUMMYFUNCTION("""COMPUTED_VALUE"""),"ID 60")</f>
        <v>ID 60</v>
      </c>
      <c r="B34" s="14" t="str">
        <f>IFERROR(__xludf.DUMMYFUNCTION("IFNA(FILTER(IMPORTRANGE(""https://docs.google.com/spreadsheets/d/1kGrh75X1cNR1D7_FcY9zMnHP8iPO4M5RCRjy6nZY0TY/edit#gid=1248694442"",""Table 2: MMC!D5:D114""), $A34=IMPORTRANGE(""https://docs.google.com/spreadsheets/d/1kGrh75X1cNR1D7_FcY9zMnHP8iPO4M5RCRjy6"&amp;"nZY0TY/edit#gid=1248694442"",""Table 2: MMC!A5:A114"")),"""")"),"")</f>
        <v/>
      </c>
      <c r="C34" s="14" t="str">
        <f>IFERROR(__xludf.DUMMYFUNCTION("IFNA(FILTER(IMPORTRANGE(""https://docs.google.com/spreadsheets/d/1kGrh75X1cNR1D7_FcY9zMnHP8iPO4M5RCRjy6nZY0TY/edit#gid=1248694442"",""Table 2: MMC!E5:E114""), $A34=IMPORTRANGE(""https://docs.google.com/spreadsheets/d/1kGrh75X1cNR1D7_FcY9zMnHP8iPO4M5RCRjy6"&amp;"nZY0TY/edit#gid=1248694442"",""Table 2: MMC!A5:A114"")),"""")"),"")</f>
        <v/>
      </c>
      <c r="D34" s="14" t="str">
        <f>IFERROR(__xludf.DUMMYFUNCTION("IFNA(FILTER(IMPORTRANGE(""https://docs.google.com/spreadsheets/d/1kGrh75X1cNR1D7_FcY9zMnHP8iPO4M5RCRjy6nZY0TY/edit#gid=1248694442"",""Table 2: MMC!F5:F114""), $A34=IMPORTRANGE(""https://docs.google.com/spreadsheets/d/1kGrh75X1cNR1D7_FcY9zMnHP8iPO4M5RCRjy6"&amp;"nZY0TY/edit#gid=1248694442"",""Table 2: MMC!A5:A114"")),"""")"),"")</f>
        <v/>
      </c>
      <c r="E34" s="14" t="str">
        <f>IFERROR(__xludf.DUMMYFUNCTION("IFNA(FILTER(IMPORTRANGE(""https://docs.google.com/spreadsheets/d/1kGrh75X1cNR1D7_FcY9zMnHP8iPO4M5RCRjy6nZY0TY/edit#gid=1248694442"",""Table 2: MMC!G5:G114""), $A34=IMPORTRANGE(""https://docs.google.com/spreadsheets/d/1kGrh75X1cNR1D7_FcY9zMnHP8iPO4M5RCRjy6"&amp;"nZY0TY/edit#gid=1248694442"",""Table 2: MMC!A5:A114"")),"""")"),"")</f>
        <v/>
      </c>
      <c r="F34" s="14" t="str">
        <f>IFERROR(__xludf.DUMMYFUNCTION("IFNA(FILTER(IMPORTRANGE(""https://docs.google.com/spreadsheets/d/1kGrh75X1cNR1D7_FcY9zMnHP8iPO4M5RCRjy6nZY0TY/edit#gid=1248694442"",""Table 2: MMC!H5:H114""), $A34=IMPORTRANGE(""https://docs.google.com/spreadsheets/d/1kGrh75X1cNR1D7_FcY9zMnHP8iPO4M5RCRjy6"&amp;"nZY0TY/edit#gid=1248694442"",""Table 2: MMC!A5:A114"")),"""")"),"")</f>
        <v/>
      </c>
      <c r="G34" s="14" t="str">
        <f>IFERROR(__xludf.DUMMYFUNCTION("IFNA(FILTER(IMPORTRANGE(""https://docs.google.com/spreadsheets/d/1kGrh75X1cNR1D7_FcY9zMnHP8iPO4M5RCRjy6nZY0TY/edit#gid=1248694442"",""Table 2: MMC!I5:I114""), $A34=IMPORTRANGE(""https://docs.google.com/spreadsheets/d/1kGrh75X1cNR1D7_FcY9zMnHP8iPO4M5RCRjy6"&amp;"nZY0TY/edit#gid=1248694442"",""Table 2: MMC!A5:A114"")),"""")"),"")</f>
        <v/>
      </c>
      <c r="H34" s="14" t="str">
        <f>IFERROR(__xludf.DUMMYFUNCTION("IFNA(FILTER(IMPORTRANGE(""https://docs.google.com/spreadsheets/d/1kGrh75X1cNR1D7_FcY9zMnHP8iPO4M5RCRjy6nZY0TY/edit#gid=1248694442"",""Table 2: MMC!J5:J114""), $A34=IMPORTRANGE(""https://docs.google.com/spreadsheets/d/1kGrh75X1cNR1D7_FcY9zMnHP8iPO4M5RCRjy6"&amp;"nZY0TY/edit#gid=1248694442"",""Table 2: MMC!A5:A114"")),"""")"),"post-natal")</f>
        <v>post-natal</v>
      </c>
      <c r="I34" s="14" t="str">
        <f>IFERROR(__xludf.DUMMYFUNCTION("IFNA(FILTER(IMPORTRANGE(""https://docs.google.com/spreadsheets/d/1kGrh75X1cNR1D7_FcY9zMnHP8iPO4M5RCRjy6nZY0TY/edit#gid=1248694442"",""Table 2: MMC!M5:M114""), $A34=IMPORTRANGE(""https://docs.google.com/spreadsheets/d/1kGrh75X1cNR1D7_FcY9zMnHP8iPO4M5RCRjy6"&amp;"nZY0TY/edit#gid=1248694442"",""Table 2: MMC!A5:A114"")),"""")"),"")</f>
        <v/>
      </c>
      <c r="J34" s="14" t="str">
        <f>IFERROR(__xludf.DUMMYFUNCTION("IFNA(FILTER(IMPORTRANGE(""https://docs.google.com/spreadsheets/d/1kGrh75X1cNR1D7_FcY9zMnHP8iPO4M5RCRjy6nZY0TY/edit#gid=1248694442"",""Table 2: MMC!Q5:Q114""), $A34=IMPORTRANGE(""https://docs.google.com/spreadsheets/d/1kGrh75X1cNR1D7_FcY9zMnHP8iPO4M5RCRjy6"&amp;"nZY0TY/edit#gid=1248694442"",""Table 2: MMC!A5:A114"")),"""")"),"")</f>
        <v/>
      </c>
      <c r="K34" s="14" t="str">
        <f>IFERROR(__xludf.DUMMYFUNCTION("IFNA(FILTER(IMPORTRANGE(""https://docs.google.com/spreadsheets/d/1kGrh75X1cNR1D7_FcY9zMnHP8iPO4M5RCRjy6nZY0TY/edit#gid=1248694442"",""Table 2: MMC!R5:R114""), $A34=IMPORTRANGE(""https://docs.google.com/spreadsheets/d/1kGrh75X1cNR1D7_FcY9zMnHP8iPO4M5RCRjy6"&amp;"nZY0TY/edit#gid=1248694442"",""Table 2: MMC!A5:A114"")),"""")"),"")</f>
        <v/>
      </c>
      <c r="L34" s="14" t="str">
        <f>IFERROR(__xludf.DUMMYFUNCTION("IFNA(FILTER(IMPORTRANGE(""https://docs.google.com/spreadsheets/d/1kGrh75X1cNR1D7_FcY9zMnHP8iPO4M5RCRjy6nZY0TY/edit#gid=1248694442"",""Table 2: MMC!S5:S114""), $A34=IMPORTRANGE(""https://docs.google.com/spreadsheets/d/1kGrh75X1cNR1D7_FcY9zMnHP8iPO4M5RCRjy6"&amp;"nZY0TY/edit#gid=1248694442"",""Table 2: MMC!A5:A114"")),"""")"),"")</f>
        <v/>
      </c>
      <c r="M34" s="14" t="str">
        <f>IFERROR(__xludf.DUMMYFUNCTION("IFNA(FILTER(IMPORTRANGE(""https://docs.google.com/spreadsheets/d/1kGrh75X1cNR1D7_FcY9zMnHP8iPO4M5RCRjy6nZY0TY/edit#gid=1248694442"",""Table 3: 1st-line HC!D5:D111""), $A34=IMPORTRANGE(""https://docs.google.com/spreadsheets/d/1kGrh75X1cNR1D7_FcY9zMnHP8iPO4"&amp;"M5RCRjy6nZY0TY/edit#gid=1248694442"",""Table 3: 1st-line HC!A5:A111"")),"""")"),"")</f>
        <v/>
      </c>
      <c r="N34" s="14">
        <f>IFERROR(__xludf.DUMMYFUNCTION("IFNA(FILTER(IMPORTRANGE(""https://docs.google.com/spreadsheets/d/1kGrh75X1cNR1D7_FcY9zMnHP8iPO4M5RCRjy6nZY0TY/edit#gid=1248694442"",""Table 3: 1st-line HC!E5:E111""), $A34=IMPORTRANGE(""https://docs.google.com/spreadsheets/d/1kGrh75X1cNR1D7_FcY9zMnHP8iPO4"&amp;"M5RCRjy6nZY0TY/edit#gid=1248694442"",""Table 3: 1st-line HC!A5:A111"")),"""")"),130.0)</f>
        <v>130</v>
      </c>
      <c r="O34" s="14" t="str">
        <f>IFERROR(__xludf.DUMMYFUNCTION("IFNA(FILTER(IMPORTRANGE(""https://docs.google.com/spreadsheets/d/1kGrh75X1cNR1D7_FcY9zMnHP8iPO4M5RCRjy6nZY0TY/edit#gid=1248694442"",""Table 3: 1st-line HC!K5:K111""), $A34=IMPORTRANGE(""https://docs.google.com/spreadsheets/d/1kGrh75X1cNR1D7_FcY9zMnHP8iPO4"&amp;"M5RCRjy6nZY0TY/edit#gid=1248694442"",""Table 3: 1st-line HC!A5:A111"")),"""")"),"")</f>
        <v/>
      </c>
      <c r="P34" s="14" t="str">
        <f>IFERROR(__xludf.DUMMYFUNCTION("IFNA(FILTER(IMPORTRANGE(""https://docs.google.com/spreadsheets/d/1kGrh75X1cNR1D7_FcY9zMnHP8iPO4M5RCRjy6nZY0TY/edit#gid=1248694442"",""Table 3: 1st-line HC!L5:L111""), $A34=IMPORTRANGE(""https://docs.google.com/spreadsheets/d/1kGrh75X1cNR1D7_FcY9zMnHP8iPO4"&amp;"M5RCRjy6nZY0TY/edit#gid=1248694442"",""Table 3: 1st-line HC!A5:A111"")),"""")"),"")</f>
        <v/>
      </c>
      <c r="Q34" s="14" t="str">
        <f>IFERROR(__xludf.DUMMYFUNCTION("IFNA(FILTER(IMPORTRANGE(""https://docs.google.com/spreadsheets/d/1kGrh75X1cNR1D7_FcY9zMnHP8iPO4M5RCRjy6nZY0TY/edit#gid=1248694442"",""Table 3: 1st-line HC!M5:M111""), $A34=IMPORTRANGE(""https://docs.google.com/spreadsheets/d/1kGrh75X1cNR1D7_FcY9zMnHP8iPO4"&amp;"M5RCRjy6nZY0TY/edit#gid=1248694442"",""Table 3: 1st-line HC!A5:A111"")),"""")"),"")</f>
        <v/>
      </c>
      <c r="R34" s="14" t="str">
        <f>IFERROR(__xludf.DUMMYFUNCTION("IFNA(FILTER(IMPORTRANGE(""https://docs.google.com/spreadsheets/d/1kGrh75X1cNR1D7_FcY9zMnHP8iPO4M5RCRjy6nZY0TY/edit#gid=1248694442"",""Table 3: 1st-line HC!N5:N111""), $A34=IMPORTRANGE(""https://docs.google.com/spreadsheets/d/1kGrh75X1cNR1D7_FcY9zMnHP8iPO4"&amp;"M5RCRjy6nZY0TY/edit#gid=1248694442"",""Table 3: 1st-line HC!A5:A111"")),"""")"),"")</f>
        <v/>
      </c>
      <c r="S34" s="14" t="str">
        <f>IFERROR(__xludf.DUMMYFUNCTION("IFNA(FILTER(IMPORTRANGE(""https://docs.google.com/spreadsheets/d/1kGrh75X1cNR1D7_FcY9zMnHP8iPO4M5RCRjy6nZY0TY/edit#gid=1248694442"",""Table 3: 1st-line HC!T5:T111""), $A34=IMPORTRANGE(""https://docs.google.com/spreadsheets/d/1kGrh75X1cNR1D7_FcY9zMnHP8iPO4"&amp;"M5RCRjy6nZY0TY/edit#gid=1248694442"",""Table 3: 1st-line HC!A5:A111"")),"""")"),"")</f>
        <v/>
      </c>
      <c r="T34" s="14" t="str">
        <f>IFERROR(__xludf.DUMMYFUNCTION("IFNA(FILTER(IMPORTRANGE(""https://docs.google.com/spreadsheets/d/1kGrh75X1cNR1D7_FcY9zMnHP8iPO4M5RCRjy6nZY0TY/edit#gid=1248694442"",""Table 3: 1st-line HC!U5:U111""), $A34=IMPORTRANGE(""https://docs.google.com/spreadsheets/d/1kGrh75X1cNR1D7_FcY9zMnHP8iPO4"&amp;"M5RCRjy6nZY0TY/edit#gid=1248694442"",""Table 3: 1st-line HC!A5:A111"")),"""")"),"")</f>
        <v/>
      </c>
      <c r="U34" s="14" t="str">
        <f>IFERROR(__xludf.DUMMYFUNCTION("IFNA(FILTER(IMPORTRANGE(""https://docs.google.com/spreadsheets/d/1kGrh75X1cNR1D7_FcY9zMnHP8iPO4M5RCRjy6nZY0TY/edit#gid=1248694442"",""Table 3: 1st-line HC!V5:V111""), $A34=IMPORTRANGE(""https://docs.google.com/spreadsheets/d/1kGrh75X1cNR1D7_FcY9zMnHP8iPO4"&amp;"M5RCRjy6nZY0TY/edit#gid=1248694442"",""Table 3: 1st-line HC!A5:A111"")),"""")"),"")</f>
        <v/>
      </c>
      <c r="V34" s="14">
        <f>IFERROR(__xludf.DUMMYFUNCTION("IFNA(FILTER(IMPORTRANGE(""https://docs.google.com/spreadsheets/d/1kGrh75X1cNR1D7_FcY9zMnHP8iPO4M5RCRjy6nZY0TY/edit#gid=1248694442"",""Table 3: 1st-line HC!AE5:AE111""), $A34=IMPORTRANGE(""https://docs.google.com/spreadsheets/d/1kGrh75X1cNR1D7_FcY9zMnHP8iP"&amp;"O4M5RCRjy6nZY0TY/edit#gid=1248694442"",""Table 3: 1st-line HC!A5:A111"")),"""")"),130.0)</f>
        <v>130</v>
      </c>
      <c r="W34" s="14" t="str">
        <f>IFERROR(__xludf.DUMMYFUNCTION("IFNA(FILTER(IMPORTRANGE(""https://docs.google.com/spreadsheets/d/1kGrh75X1cNR1D7_FcY9zMnHP8iPO4M5RCRjy6nZY0TY/edit#gid=1248694442"",""Table 3: 1st-line HC!AG5:AG111""), $A34=IMPORTRANGE(""https://docs.google.com/spreadsheets/d/1kGrh75X1cNR1D7_FcY9zMnHP8iP"&amp;"O4M5RCRjy6nZY0TY/edit#gid=1248694442"",""Table 3: 1st-line HC!A5:A111"")),"""")"),"")</f>
        <v/>
      </c>
      <c r="X34" s="14">
        <f>IFERROR(__xludf.DUMMYFUNCTION("IFNA(FILTER(IMPORTRANGE(""https://docs.google.com/spreadsheets/d/1kGrh75X1cNR1D7_FcY9zMnHP8iPO4M5RCRjy6nZY0TY/edit#gid=1248694442"",""Table 3: 1st-line HC!AI5:AI111""), $A34=IMPORTRANGE(""https://docs.google.com/spreadsheets/d/1kGrh75X1cNR1D7_FcY9zMnHP8iP"&amp;"O4M5RCRjy6nZY0TY/edit#gid=1248694442"",""Table 3: 1st-line HC!A5:A111"")),"""")"),24.0)</f>
        <v>24</v>
      </c>
    </row>
    <row r="35">
      <c r="A35" s="4" t="str">
        <f>IFERROR(__xludf.DUMMYFUNCTION("""COMPUTED_VALUE"""),"ID 66")</f>
        <v>ID 66</v>
      </c>
      <c r="B35" s="14" t="str">
        <f>IFERROR(__xludf.DUMMYFUNCTION("IFNA(FILTER(IMPORTRANGE(""https://docs.google.com/spreadsheets/d/1kGrh75X1cNR1D7_FcY9zMnHP8iPO4M5RCRjy6nZY0TY/edit#gid=1248694442"",""Table 2: MMC!D5:D114""), $A35=IMPORTRANGE(""https://docs.google.com/spreadsheets/d/1kGrh75X1cNR1D7_FcY9zMnHP8iPO4M5RCRjy6"&amp;"nZY0TY/edit#gid=1248694442"",""Table 2: MMC!A5:A114"")),"""")"),"")</f>
        <v/>
      </c>
      <c r="C35" s="14" t="str">
        <f>IFERROR(__xludf.DUMMYFUNCTION("IFNA(FILTER(IMPORTRANGE(""https://docs.google.com/spreadsheets/d/1kGrh75X1cNR1D7_FcY9zMnHP8iPO4M5RCRjy6nZY0TY/edit#gid=1248694442"",""Table 2: MMC!E5:E114""), $A35=IMPORTRANGE(""https://docs.google.com/spreadsheets/d/1kGrh75X1cNR1D7_FcY9zMnHP8iPO4M5RCRjy6"&amp;"nZY0TY/edit#gid=1248694442"",""Table 2: MMC!A5:A114"")),"""")"),"")</f>
        <v/>
      </c>
      <c r="D35" s="14" t="str">
        <f>IFERROR(__xludf.DUMMYFUNCTION("IFNA(FILTER(IMPORTRANGE(""https://docs.google.com/spreadsheets/d/1kGrh75X1cNR1D7_FcY9zMnHP8iPO4M5RCRjy6nZY0TY/edit#gid=1248694442"",""Table 2: MMC!F5:F114""), $A35=IMPORTRANGE(""https://docs.google.com/spreadsheets/d/1kGrh75X1cNR1D7_FcY9zMnHP8iPO4M5RCRjy6"&amp;"nZY0TY/edit#gid=1248694442"",""Table 2: MMC!A5:A114"")),"""")"),"")</f>
        <v/>
      </c>
      <c r="E35" s="14" t="str">
        <f>IFERROR(__xludf.DUMMYFUNCTION("IFNA(FILTER(IMPORTRANGE(""https://docs.google.com/spreadsheets/d/1kGrh75X1cNR1D7_FcY9zMnHP8iPO4M5RCRjy6nZY0TY/edit#gid=1248694442"",""Table 2: MMC!G5:G114""), $A35=IMPORTRANGE(""https://docs.google.com/spreadsheets/d/1kGrh75X1cNR1D7_FcY9zMnHP8iPO4M5RCRjy6"&amp;"nZY0TY/edit#gid=1248694442"",""Table 2: MMC!A5:A114"")),"""")"),"")</f>
        <v/>
      </c>
      <c r="F35" s="14" t="str">
        <f>IFERROR(__xludf.DUMMYFUNCTION("IFNA(FILTER(IMPORTRANGE(""https://docs.google.com/spreadsheets/d/1kGrh75X1cNR1D7_FcY9zMnHP8iPO4M5RCRjy6nZY0TY/edit#gid=1248694442"",""Table 2: MMC!H5:H114""), $A35=IMPORTRANGE(""https://docs.google.com/spreadsheets/d/1kGrh75X1cNR1D7_FcY9zMnHP8iPO4M5RCRjy6"&amp;"nZY0TY/edit#gid=1248694442"",""Table 2: MMC!A5:A114"")),"""")"),"")</f>
        <v/>
      </c>
      <c r="G35" s="14" t="str">
        <f>IFERROR(__xludf.DUMMYFUNCTION("IFNA(FILTER(IMPORTRANGE(""https://docs.google.com/spreadsheets/d/1kGrh75X1cNR1D7_FcY9zMnHP8iPO4M5RCRjy6nZY0TY/edit#gid=1248694442"",""Table 2: MMC!I5:I114""), $A35=IMPORTRANGE(""https://docs.google.com/spreadsheets/d/1kGrh75X1cNR1D7_FcY9zMnHP8iPO4M5RCRjy6"&amp;"nZY0TY/edit#gid=1248694442"",""Table 2: MMC!A5:A114"")),"""")"),"")</f>
        <v/>
      </c>
      <c r="H35" s="14" t="str">
        <f>IFERROR(__xludf.DUMMYFUNCTION("IFNA(FILTER(IMPORTRANGE(""https://docs.google.com/spreadsheets/d/1kGrh75X1cNR1D7_FcY9zMnHP8iPO4M5RCRjy6nZY0TY/edit#gid=1248694442"",""Table 2: MMC!J5:J114""), $A35=IMPORTRANGE(""https://docs.google.com/spreadsheets/d/1kGrh75X1cNR1D7_FcY9zMnHP8iPO4M5RCRjy6"&amp;"nZY0TY/edit#gid=1248694442"",""Table 2: MMC!A5:A114"")),"""")"),"")</f>
        <v/>
      </c>
      <c r="I35" s="14" t="str">
        <f>IFERROR(__xludf.DUMMYFUNCTION("IFNA(FILTER(IMPORTRANGE(""https://docs.google.com/spreadsheets/d/1kGrh75X1cNR1D7_FcY9zMnHP8iPO4M5RCRjy6nZY0TY/edit#gid=1248694442"",""Table 2: MMC!M5:M114""), $A35=IMPORTRANGE(""https://docs.google.com/spreadsheets/d/1kGrh75X1cNR1D7_FcY9zMnHP8iPO4M5RCRjy6"&amp;"nZY0TY/edit#gid=1248694442"",""Table 2: MMC!A5:A114"")),"""")"),"")</f>
        <v/>
      </c>
      <c r="J35" s="14" t="str">
        <f>IFERROR(__xludf.DUMMYFUNCTION("IFNA(FILTER(IMPORTRANGE(""https://docs.google.com/spreadsheets/d/1kGrh75X1cNR1D7_FcY9zMnHP8iPO4M5RCRjy6nZY0TY/edit#gid=1248694442"",""Table 2: MMC!Q5:Q114""), $A35=IMPORTRANGE(""https://docs.google.com/spreadsheets/d/1kGrh75X1cNR1D7_FcY9zMnHP8iPO4M5RCRjy6"&amp;"nZY0TY/edit#gid=1248694442"",""Table 2: MMC!A5:A114"")),"""")"),"")</f>
        <v/>
      </c>
      <c r="K35" s="14" t="str">
        <f>IFERROR(__xludf.DUMMYFUNCTION("IFNA(FILTER(IMPORTRANGE(""https://docs.google.com/spreadsheets/d/1kGrh75X1cNR1D7_FcY9zMnHP8iPO4M5RCRjy6nZY0TY/edit#gid=1248694442"",""Table 2: MMC!R5:R114""), $A35=IMPORTRANGE(""https://docs.google.com/spreadsheets/d/1kGrh75X1cNR1D7_FcY9zMnHP8iPO4M5RCRjy6"&amp;"nZY0TY/edit#gid=1248694442"",""Table 2: MMC!A5:A114"")),"""")"),"")</f>
        <v/>
      </c>
      <c r="L35" s="14" t="str">
        <f>IFERROR(__xludf.DUMMYFUNCTION("IFNA(FILTER(IMPORTRANGE(""https://docs.google.com/spreadsheets/d/1kGrh75X1cNR1D7_FcY9zMnHP8iPO4M5RCRjy6nZY0TY/edit#gid=1248694442"",""Table 2: MMC!S5:S114""), $A35=IMPORTRANGE(""https://docs.google.com/spreadsheets/d/1kGrh75X1cNR1D7_FcY9zMnHP8iPO4M5RCRjy6"&amp;"nZY0TY/edit#gid=1248694442"",""Table 2: MMC!A5:A114"")),"""")"),"")</f>
        <v/>
      </c>
      <c r="M35" s="14" t="str">
        <f>IFERROR(__xludf.DUMMYFUNCTION("IFNA(FILTER(IMPORTRANGE(""https://docs.google.com/spreadsheets/d/1kGrh75X1cNR1D7_FcY9zMnHP8iPO4M5RCRjy6nZY0TY/edit#gid=1248694442"",""Table 3: 1st-line HC!D5:D111""), $A35=IMPORTRANGE(""https://docs.google.com/spreadsheets/d/1kGrh75X1cNR1D7_FcY9zMnHP8iPO4"&amp;"M5RCRjy6nZY0TY/edit#gid=1248694442"",""Table 3: 1st-line HC!A5:A111"")),"""")"),"")</f>
        <v/>
      </c>
      <c r="N35" s="14" t="str">
        <f>IFERROR(__xludf.DUMMYFUNCTION("IFNA(FILTER(IMPORTRANGE(""https://docs.google.com/spreadsheets/d/1kGrh75X1cNR1D7_FcY9zMnHP8iPO4M5RCRjy6nZY0TY/edit#gid=1248694442"",""Table 3: 1st-line HC!E5:E111""), $A35=IMPORTRANGE(""https://docs.google.com/spreadsheets/d/1kGrh75X1cNR1D7_FcY9zMnHP8iPO4"&amp;"M5RCRjy6nZY0TY/edit#gid=1248694442"",""Table 3: 1st-line HC!A5:A111"")),"""")"),"")</f>
        <v/>
      </c>
      <c r="O35" s="14" t="str">
        <f>IFERROR(__xludf.DUMMYFUNCTION("IFNA(FILTER(IMPORTRANGE(""https://docs.google.com/spreadsheets/d/1kGrh75X1cNR1D7_FcY9zMnHP8iPO4M5RCRjy6nZY0TY/edit#gid=1248694442"",""Table 3: 1st-line HC!K5:K111""), $A35=IMPORTRANGE(""https://docs.google.com/spreadsheets/d/1kGrh75X1cNR1D7_FcY9zMnHP8iPO4"&amp;"M5RCRjy6nZY0TY/edit#gid=1248694442"",""Table 3: 1st-line HC!A5:A111"")),"""")"),"")</f>
        <v/>
      </c>
      <c r="P35" s="14" t="str">
        <f>IFERROR(__xludf.DUMMYFUNCTION("IFNA(FILTER(IMPORTRANGE(""https://docs.google.com/spreadsheets/d/1kGrh75X1cNR1D7_FcY9zMnHP8iPO4M5RCRjy6nZY0TY/edit#gid=1248694442"",""Table 3: 1st-line HC!L5:L111""), $A35=IMPORTRANGE(""https://docs.google.com/spreadsheets/d/1kGrh75X1cNR1D7_FcY9zMnHP8iPO4"&amp;"M5RCRjy6nZY0TY/edit#gid=1248694442"",""Table 3: 1st-line HC!A5:A111"")),"""")"),"")</f>
        <v/>
      </c>
      <c r="Q35" s="14" t="str">
        <f>IFERROR(__xludf.DUMMYFUNCTION("IFNA(FILTER(IMPORTRANGE(""https://docs.google.com/spreadsheets/d/1kGrh75X1cNR1D7_FcY9zMnHP8iPO4M5RCRjy6nZY0TY/edit#gid=1248694442"",""Table 3: 1st-line HC!M5:M111""), $A35=IMPORTRANGE(""https://docs.google.com/spreadsheets/d/1kGrh75X1cNR1D7_FcY9zMnHP8iPO4"&amp;"M5RCRjy6nZY0TY/edit#gid=1248694442"",""Table 3: 1st-line HC!A5:A111"")),"""")"),"")</f>
        <v/>
      </c>
      <c r="R35" s="14" t="str">
        <f>IFERROR(__xludf.DUMMYFUNCTION("IFNA(FILTER(IMPORTRANGE(""https://docs.google.com/spreadsheets/d/1kGrh75X1cNR1D7_FcY9zMnHP8iPO4M5RCRjy6nZY0TY/edit#gid=1248694442"",""Table 3: 1st-line HC!N5:N111""), $A35=IMPORTRANGE(""https://docs.google.com/spreadsheets/d/1kGrh75X1cNR1D7_FcY9zMnHP8iPO4"&amp;"M5RCRjy6nZY0TY/edit#gid=1248694442"",""Table 3: 1st-line HC!A5:A111"")),"""")"),"")</f>
        <v/>
      </c>
      <c r="S35" s="14" t="str">
        <f>IFERROR(__xludf.DUMMYFUNCTION("IFNA(FILTER(IMPORTRANGE(""https://docs.google.com/spreadsheets/d/1kGrh75X1cNR1D7_FcY9zMnHP8iPO4M5RCRjy6nZY0TY/edit#gid=1248694442"",""Table 3: 1st-line HC!T5:T111""), $A35=IMPORTRANGE(""https://docs.google.com/spreadsheets/d/1kGrh75X1cNR1D7_FcY9zMnHP8iPO4"&amp;"M5RCRjy6nZY0TY/edit#gid=1248694442"",""Table 3: 1st-line HC!A5:A111"")),"""")"),"")</f>
        <v/>
      </c>
      <c r="T35" s="14" t="str">
        <f>IFERROR(__xludf.DUMMYFUNCTION("IFNA(FILTER(IMPORTRANGE(""https://docs.google.com/spreadsheets/d/1kGrh75X1cNR1D7_FcY9zMnHP8iPO4M5RCRjy6nZY0TY/edit#gid=1248694442"",""Table 3: 1st-line HC!U5:U111""), $A35=IMPORTRANGE(""https://docs.google.com/spreadsheets/d/1kGrh75X1cNR1D7_FcY9zMnHP8iPO4"&amp;"M5RCRjy6nZY0TY/edit#gid=1248694442"",""Table 3: 1st-line HC!A5:A111"")),"""")"),"")</f>
        <v/>
      </c>
      <c r="U35" s="14" t="str">
        <f>IFERROR(__xludf.DUMMYFUNCTION("IFNA(FILTER(IMPORTRANGE(""https://docs.google.com/spreadsheets/d/1kGrh75X1cNR1D7_FcY9zMnHP8iPO4M5RCRjy6nZY0TY/edit#gid=1248694442"",""Table 3: 1st-line HC!V5:V111""), $A35=IMPORTRANGE(""https://docs.google.com/spreadsheets/d/1kGrh75X1cNR1D7_FcY9zMnHP8iPO4"&amp;"M5RCRjy6nZY0TY/edit#gid=1248694442"",""Table 3: 1st-line HC!A5:A111"")),"""")"),"")</f>
        <v/>
      </c>
      <c r="V35" s="14" t="str">
        <f>IFERROR(__xludf.DUMMYFUNCTION("IFNA(FILTER(IMPORTRANGE(""https://docs.google.com/spreadsheets/d/1kGrh75X1cNR1D7_FcY9zMnHP8iPO4M5RCRjy6nZY0TY/edit#gid=1248694442"",""Table 3: 1st-line HC!AE5:AE111""), $A35=IMPORTRANGE(""https://docs.google.com/spreadsheets/d/1kGrh75X1cNR1D7_FcY9zMnHP8iP"&amp;"O4M5RCRjy6nZY0TY/edit#gid=1248694442"",""Table 3: 1st-line HC!A5:A111"")),"""")"),"")</f>
        <v/>
      </c>
      <c r="W35" s="14" t="str">
        <f>IFERROR(__xludf.DUMMYFUNCTION("IFNA(FILTER(IMPORTRANGE(""https://docs.google.com/spreadsheets/d/1kGrh75X1cNR1D7_FcY9zMnHP8iPO4M5RCRjy6nZY0TY/edit#gid=1248694442"",""Table 3: 1st-line HC!AG5:AG111""), $A35=IMPORTRANGE(""https://docs.google.com/spreadsheets/d/1kGrh75X1cNR1D7_FcY9zMnHP8iP"&amp;"O4M5RCRjy6nZY0TY/edit#gid=1248694442"",""Table 3: 1st-line HC!A5:A111"")),"""")"),"")</f>
        <v/>
      </c>
      <c r="X35" s="14" t="str">
        <f>IFERROR(__xludf.DUMMYFUNCTION("IFNA(FILTER(IMPORTRANGE(""https://docs.google.com/spreadsheets/d/1kGrh75X1cNR1D7_FcY9zMnHP8iPO4M5RCRjy6nZY0TY/edit#gid=1248694442"",""Table 3: 1st-line HC!AI5:AI111""), $A35=IMPORTRANGE(""https://docs.google.com/spreadsheets/d/1kGrh75X1cNR1D7_FcY9zMnHP8iP"&amp;"O4M5RCRjy6nZY0TY/edit#gid=1248694442"",""Table 3: 1st-line HC!A5:A111"")),"""")"),"72-356")</f>
        <v>72-356</v>
      </c>
    </row>
    <row r="36">
      <c r="A36" s="4" t="str">
        <f>IFERROR(__xludf.DUMMYFUNCTION("""COMPUTED_VALUE"""),"ID 67")</f>
        <v>ID 67</v>
      </c>
      <c r="B36" s="14" t="str">
        <f>IFERROR(__xludf.DUMMYFUNCTION("IFNA(FILTER(IMPORTRANGE(""https://docs.google.com/spreadsheets/d/1kGrh75X1cNR1D7_FcY9zMnHP8iPO4M5RCRjy6nZY0TY/edit#gid=1248694442"",""Table 2: MMC!D5:D114""), $A36=IMPORTRANGE(""https://docs.google.com/spreadsheets/d/1kGrh75X1cNR1D7_FcY9zMnHP8iPO4M5RCRjy6"&amp;"nZY0TY/edit#gid=1248694442"",""Table 2: MMC!A5:A114"")),"""")"),"")</f>
        <v/>
      </c>
      <c r="C36" s="14" t="str">
        <f>IFERROR(__xludf.DUMMYFUNCTION("IFNA(FILTER(IMPORTRANGE(""https://docs.google.com/spreadsheets/d/1kGrh75X1cNR1D7_FcY9zMnHP8iPO4M5RCRjy6nZY0TY/edit#gid=1248694442"",""Table 2: MMC!E5:E114""), $A36=IMPORTRANGE(""https://docs.google.com/spreadsheets/d/1kGrh75X1cNR1D7_FcY9zMnHP8iPO4M5RCRjy6"&amp;"nZY0TY/edit#gid=1248694442"",""Table 2: MMC!A5:A114"")),"""")"),"")</f>
        <v/>
      </c>
      <c r="D36" s="14" t="str">
        <f>IFERROR(__xludf.DUMMYFUNCTION("IFNA(FILTER(IMPORTRANGE(""https://docs.google.com/spreadsheets/d/1kGrh75X1cNR1D7_FcY9zMnHP8iPO4M5RCRjy6nZY0TY/edit#gid=1248694442"",""Table 2: MMC!F5:F114""), $A36=IMPORTRANGE(""https://docs.google.com/spreadsheets/d/1kGrh75X1cNR1D7_FcY9zMnHP8iPO4M5RCRjy6"&amp;"nZY0TY/edit#gid=1248694442"",""Table 2: MMC!A5:A114"")),"""")"),"")</f>
        <v/>
      </c>
      <c r="E36" s="14" t="str">
        <f>IFERROR(__xludf.DUMMYFUNCTION("IFNA(FILTER(IMPORTRANGE(""https://docs.google.com/spreadsheets/d/1kGrh75X1cNR1D7_FcY9zMnHP8iPO4M5RCRjy6nZY0TY/edit#gid=1248694442"",""Table 2: MMC!G5:G114""), $A36=IMPORTRANGE(""https://docs.google.com/spreadsheets/d/1kGrh75X1cNR1D7_FcY9zMnHP8iPO4M5RCRjy6"&amp;"nZY0TY/edit#gid=1248694442"",""Table 2: MMC!A5:A114"")),"""")"),"")</f>
        <v/>
      </c>
      <c r="F36" s="14" t="str">
        <f>IFERROR(__xludf.DUMMYFUNCTION("IFNA(FILTER(IMPORTRANGE(""https://docs.google.com/spreadsheets/d/1kGrh75X1cNR1D7_FcY9zMnHP8iPO4M5RCRjy6nZY0TY/edit#gid=1248694442"",""Table 2: MMC!H5:H114""), $A36=IMPORTRANGE(""https://docs.google.com/spreadsheets/d/1kGrh75X1cNR1D7_FcY9zMnHP8iPO4M5RCRjy6"&amp;"nZY0TY/edit#gid=1248694442"",""Table 2: MMC!A5:A114"")),"""")"),"")</f>
        <v/>
      </c>
      <c r="G36" s="14" t="str">
        <f>IFERROR(__xludf.DUMMYFUNCTION("IFNA(FILTER(IMPORTRANGE(""https://docs.google.com/spreadsheets/d/1kGrh75X1cNR1D7_FcY9zMnHP8iPO4M5RCRjy6nZY0TY/edit#gid=1248694442"",""Table 2: MMC!I5:I114""), $A36=IMPORTRANGE(""https://docs.google.com/spreadsheets/d/1kGrh75X1cNR1D7_FcY9zMnHP8iPO4M5RCRjy6"&amp;"nZY0TY/edit#gid=1248694442"",""Table 2: MMC!A5:A114"")),"""")"),"")</f>
        <v/>
      </c>
      <c r="H36" s="14" t="str">
        <f>IFERROR(__xludf.DUMMYFUNCTION("IFNA(FILTER(IMPORTRANGE(""https://docs.google.com/spreadsheets/d/1kGrh75X1cNR1D7_FcY9zMnHP8iPO4M5RCRjy6nZY0TY/edit#gid=1248694442"",""Table 2: MMC!J5:J114""), $A36=IMPORTRANGE(""https://docs.google.com/spreadsheets/d/1kGrh75X1cNR1D7_FcY9zMnHP8iPO4M5RCRjy6"&amp;"nZY0TY/edit#gid=1248694442"",""Table 2: MMC!A5:A114"")),"""")"),"post-natal")</f>
        <v>post-natal</v>
      </c>
      <c r="I36" s="14" t="str">
        <f>IFERROR(__xludf.DUMMYFUNCTION("IFNA(FILTER(IMPORTRANGE(""https://docs.google.com/spreadsheets/d/1kGrh75X1cNR1D7_FcY9zMnHP8iPO4M5RCRjy6nZY0TY/edit#gid=1248694442"",""Table 2: MMC!M5:M114""), $A36=IMPORTRANGE(""https://docs.google.com/spreadsheets/d/1kGrh75X1cNR1D7_FcY9zMnHP8iPO4M5RCRjy6"&amp;"nZY0TY/edit#gid=1248694442"",""Table 2: MMC!A5:A114"")),"""")"),"")</f>
        <v/>
      </c>
      <c r="J36" s="14" t="str">
        <f>IFERROR(__xludf.DUMMYFUNCTION("IFNA(FILTER(IMPORTRANGE(""https://docs.google.com/spreadsheets/d/1kGrh75X1cNR1D7_FcY9zMnHP8iPO4M5RCRjy6nZY0TY/edit#gid=1248694442"",""Table 2: MMC!Q5:Q114""), $A36=IMPORTRANGE(""https://docs.google.com/spreadsheets/d/1kGrh75X1cNR1D7_FcY9zMnHP8iPO4M5RCRjy6"&amp;"nZY0TY/edit#gid=1248694442"",""Table 2: MMC!A5:A114"")),"""")"),"")</f>
        <v/>
      </c>
      <c r="K36" s="14" t="str">
        <f>IFERROR(__xludf.DUMMYFUNCTION("IFNA(FILTER(IMPORTRANGE(""https://docs.google.com/spreadsheets/d/1kGrh75X1cNR1D7_FcY9zMnHP8iPO4M5RCRjy6nZY0TY/edit#gid=1248694442"",""Table 2: MMC!R5:R114""), $A36=IMPORTRANGE(""https://docs.google.com/spreadsheets/d/1kGrh75X1cNR1D7_FcY9zMnHP8iPO4M5RCRjy6"&amp;"nZY0TY/edit#gid=1248694442"",""Table 2: MMC!A5:A114"")),"""")"),"")</f>
        <v/>
      </c>
      <c r="L36" s="14" t="str">
        <f>IFERROR(__xludf.DUMMYFUNCTION("IFNA(FILTER(IMPORTRANGE(""https://docs.google.com/spreadsheets/d/1kGrh75X1cNR1D7_FcY9zMnHP8iPO4M5RCRjy6nZY0TY/edit#gid=1248694442"",""Table 2: MMC!S5:S114""), $A36=IMPORTRANGE(""https://docs.google.com/spreadsheets/d/1kGrh75X1cNR1D7_FcY9zMnHP8iPO4M5RCRjy6"&amp;"nZY0TY/edit#gid=1248694442"",""Table 2: MMC!A5:A114"")),"""")"),"")</f>
        <v/>
      </c>
      <c r="M36" s="14" t="str">
        <f>IFERROR(__xludf.DUMMYFUNCTION("IFNA(FILTER(IMPORTRANGE(""https://docs.google.com/spreadsheets/d/1kGrh75X1cNR1D7_FcY9zMnHP8iPO4M5RCRjy6nZY0TY/edit#gid=1248694442"",""Table 3: 1st-line HC!D5:D111""), $A36=IMPORTRANGE(""https://docs.google.com/spreadsheets/d/1kGrh75X1cNR1D7_FcY9zMnHP8iPO4"&amp;"M5RCRjy6nZY0TY/edit#gid=1248694442"",""Table 3: 1st-line HC!A5:A111"")),"""")"),"")</f>
        <v/>
      </c>
      <c r="N36" s="14" t="str">
        <f>IFERROR(__xludf.DUMMYFUNCTION("IFNA(FILTER(IMPORTRANGE(""https://docs.google.com/spreadsheets/d/1kGrh75X1cNR1D7_FcY9zMnHP8iPO4M5RCRjy6nZY0TY/edit#gid=1248694442"",""Table 3: 1st-line HC!E5:E111""), $A36=IMPORTRANGE(""https://docs.google.com/spreadsheets/d/1kGrh75X1cNR1D7_FcY9zMnHP8iPO4"&amp;"M5RCRjy6nZY0TY/edit#gid=1248694442"",""Table 3: 1st-line HC!A5:A111"")),"""")"),"")</f>
        <v/>
      </c>
      <c r="O36" s="14" t="str">
        <f>IFERROR(__xludf.DUMMYFUNCTION("IFNA(FILTER(IMPORTRANGE(""https://docs.google.com/spreadsheets/d/1kGrh75X1cNR1D7_FcY9zMnHP8iPO4M5RCRjy6nZY0TY/edit#gid=1248694442"",""Table 3: 1st-line HC!K5:K111""), $A36=IMPORTRANGE(""https://docs.google.com/spreadsheets/d/1kGrh75X1cNR1D7_FcY9zMnHP8iPO4"&amp;"M5RCRjy6nZY0TY/edit#gid=1248694442"",""Table 3: 1st-line HC!A5:A111"")),"""")"),"")</f>
        <v/>
      </c>
      <c r="P36" s="14" t="str">
        <f>IFERROR(__xludf.DUMMYFUNCTION("IFNA(FILTER(IMPORTRANGE(""https://docs.google.com/spreadsheets/d/1kGrh75X1cNR1D7_FcY9zMnHP8iPO4M5RCRjy6nZY0TY/edit#gid=1248694442"",""Table 3: 1st-line HC!L5:L111""), $A36=IMPORTRANGE(""https://docs.google.com/spreadsheets/d/1kGrh75X1cNR1D7_FcY9zMnHP8iPO4"&amp;"M5RCRjy6nZY0TY/edit#gid=1248694442"",""Table 3: 1st-line HC!A5:A111"")),"""")"),"")</f>
        <v/>
      </c>
      <c r="Q36" s="14" t="str">
        <f>IFERROR(__xludf.DUMMYFUNCTION("IFNA(FILTER(IMPORTRANGE(""https://docs.google.com/spreadsheets/d/1kGrh75X1cNR1D7_FcY9zMnHP8iPO4M5RCRjy6nZY0TY/edit#gid=1248694442"",""Table 3: 1st-line HC!M5:M111""), $A36=IMPORTRANGE(""https://docs.google.com/spreadsheets/d/1kGrh75X1cNR1D7_FcY9zMnHP8iPO4"&amp;"M5RCRjy6nZY0TY/edit#gid=1248694442"",""Table 3: 1st-line HC!A5:A111"")),"""")"),"")</f>
        <v/>
      </c>
      <c r="R36" s="14" t="str">
        <f>IFERROR(__xludf.DUMMYFUNCTION("IFNA(FILTER(IMPORTRANGE(""https://docs.google.com/spreadsheets/d/1kGrh75X1cNR1D7_FcY9zMnHP8iPO4M5RCRjy6nZY0TY/edit#gid=1248694442"",""Table 3: 1st-line HC!N5:N111""), $A36=IMPORTRANGE(""https://docs.google.com/spreadsheets/d/1kGrh75X1cNR1D7_FcY9zMnHP8iPO4"&amp;"M5RCRjy6nZY0TY/edit#gid=1248694442"",""Table 3: 1st-line HC!A5:A111"")),"""")"),"")</f>
        <v/>
      </c>
      <c r="S36" s="14" t="str">
        <f>IFERROR(__xludf.DUMMYFUNCTION("IFNA(FILTER(IMPORTRANGE(""https://docs.google.com/spreadsheets/d/1kGrh75X1cNR1D7_FcY9zMnHP8iPO4M5RCRjy6nZY0TY/edit#gid=1248694442"",""Table 3: 1st-line HC!T5:T111""), $A36=IMPORTRANGE(""https://docs.google.com/spreadsheets/d/1kGrh75X1cNR1D7_FcY9zMnHP8iPO4"&amp;"M5RCRjy6nZY0TY/edit#gid=1248694442"",""Table 3: 1st-line HC!A5:A111"")),"""")"),"")</f>
        <v/>
      </c>
      <c r="T36" s="14" t="str">
        <f>IFERROR(__xludf.DUMMYFUNCTION("IFNA(FILTER(IMPORTRANGE(""https://docs.google.com/spreadsheets/d/1kGrh75X1cNR1D7_FcY9zMnHP8iPO4M5RCRjy6nZY0TY/edit#gid=1248694442"",""Table 3: 1st-line HC!U5:U111""), $A36=IMPORTRANGE(""https://docs.google.com/spreadsheets/d/1kGrh75X1cNR1D7_FcY9zMnHP8iPO4"&amp;"M5RCRjy6nZY0TY/edit#gid=1248694442"",""Table 3: 1st-line HC!A5:A111"")),"""")"),"")</f>
        <v/>
      </c>
      <c r="U36" s="14" t="str">
        <f>IFERROR(__xludf.DUMMYFUNCTION("IFNA(FILTER(IMPORTRANGE(""https://docs.google.com/spreadsheets/d/1kGrh75X1cNR1D7_FcY9zMnHP8iPO4M5RCRjy6nZY0TY/edit#gid=1248694442"",""Table 3: 1st-line HC!V5:V111""), $A36=IMPORTRANGE(""https://docs.google.com/spreadsheets/d/1kGrh75X1cNR1D7_FcY9zMnHP8iPO4"&amp;"M5RCRjy6nZY0TY/edit#gid=1248694442"",""Table 3: 1st-line HC!A5:A111"")),"""")"),"")</f>
        <v/>
      </c>
      <c r="V36" s="14" t="str">
        <f>IFERROR(__xludf.DUMMYFUNCTION("IFNA(FILTER(IMPORTRANGE(""https://docs.google.com/spreadsheets/d/1kGrh75X1cNR1D7_FcY9zMnHP8iPO4M5RCRjy6nZY0TY/edit#gid=1248694442"",""Table 3: 1st-line HC!AE5:AE111""), $A36=IMPORTRANGE(""https://docs.google.com/spreadsheets/d/1kGrh75X1cNR1D7_FcY9zMnHP8iP"&amp;"O4M5RCRjy6nZY0TY/edit#gid=1248694442"",""Table 3: 1st-line HC!A5:A111"")),"""")"),"")</f>
        <v/>
      </c>
      <c r="W36" s="14" t="str">
        <f>IFERROR(__xludf.DUMMYFUNCTION("IFNA(FILTER(IMPORTRANGE(""https://docs.google.com/spreadsheets/d/1kGrh75X1cNR1D7_FcY9zMnHP8iPO4M5RCRjy6nZY0TY/edit#gid=1248694442"",""Table 3: 1st-line HC!AG5:AG111""), $A36=IMPORTRANGE(""https://docs.google.com/spreadsheets/d/1kGrh75X1cNR1D7_FcY9zMnHP8iP"&amp;"O4M5RCRjy6nZY0TY/edit#gid=1248694442"",""Table 3: 1st-line HC!A5:A111"")),"""")"),"")</f>
        <v/>
      </c>
      <c r="X36" s="14">
        <f>IFERROR(__xludf.DUMMYFUNCTION("IFNA(FILTER(IMPORTRANGE(""https://docs.google.com/spreadsheets/d/1kGrh75X1cNR1D7_FcY9zMnHP8iPO4M5RCRjy6nZY0TY/edit#gid=1248694442"",""Table 3: 1st-line HC!AI5:AI111""), $A36=IMPORTRANGE(""https://docs.google.com/spreadsheets/d/1kGrh75X1cNR1D7_FcY9zMnHP8iP"&amp;"O4M5RCRjy6nZY0TY/edit#gid=1248694442"",""Table 3: 1st-line HC!A5:A111"")),"""")"),52.0)</f>
        <v>52</v>
      </c>
    </row>
    <row r="37">
      <c r="A37" s="4" t="str">
        <f>IFERROR(__xludf.DUMMYFUNCTION("""COMPUTED_VALUE"""),"ID 72")</f>
        <v>ID 72</v>
      </c>
      <c r="B37" s="14" t="str">
        <f>IFERROR(__xludf.DUMMYFUNCTION("IFNA(FILTER(IMPORTRANGE(""https://docs.google.com/spreadsheets/d/1kGrh75X1cNR1D7_FcY9zMnHP8iPO4M5RCRjy6nZY0TY/edit#gid=1248694442"",""Table 2: MMC!D5:D114""), $A37=IMPORTRANGE(""https://docs.google.com/spreadsheets/d/1kGrh75X1cNR1D7_FcY9zMnHP8iPO4M5RCRjy6"&amp;"nZY0TY/edit#gid=1248694442"",""Table 2: MMC!A5:A114"")),"""")"),"")</f>
        <v/>
      </c>
      <c r="C37" s="14">
        <f>IFERROR(__xludf.DUMMYFUNCTION("IFNA(FILTER(IMPORTRANGE(""https://docs.google.com/spreadsheets/d/1kGrh75X1cNR1D7_FcY9zMnHP8iPO4M5RCRjy6nZY0TY/edit#gid=1248694442"",""Table 2: MMC!E5:E114""), $A37=IMPORTRANGE(""https://docs.google.com/spreadsheets/d/1kGrh75X1cNR1D7_FcY9zMnHP8iPO4M5RCRjy6"&amp;"nZY0TY/edit#gid=1248694442"",""Table 2: MMC!A5:A114"")),"""")"),1.0)</f>
        <v>1</v>
      </c>
      <c r="D37" s="14">
        <f>IFERROR(__xludf.DUMMYFUNCTION("IFNA(FILTER(IMPORTRANGE(""https://docs.google.com/spreadsheets/d/1kGrh75X1cNR1D7_FcY9zMnHP8iPO4M5RCRjy6nZY0TY/edit#gid=1248694442"",""Table 2: MMC!F5:F114""), $A37=IMPORTRANGE(""https://docs.google.com/spreadsheets/d/1kGrh75X1cNR1D7_FcY9zMnHP8iPO4M5RCRjy6"&amp;"nZY0TY/edit#gid=1248694442"",""Table 2: MMC!A5:A114"")),"""")"),5.0)</f>
        <v>5</v>
      </c>
      <c r="E37" s="14">
        <f>IFERROR(__xludf.DUMMYFUNCTION("IFNA(FILTER(IMPORTRANGE(""https://docs.google.com/spreadsheets/d/1kGrh75X1cNR1D7_FcY9zMnHP8iPO4M5RCRjy6nZY0TY/edit#gid=1248694442"",""Table 2: MMC!G5:G114""), $A37=IMPORTRANGE(""https://docs.google.com/spreadsheets/d/1kGrh75X1cNR1D7_FcY9zMnHP8iPO4M5RCRjy6"&amp;"nZY0TY/edit#gid=1248694442"",""Table 2: MMC!A5:A114"")),"""")"),6.0)</f>
        <v>6</v>
      </c>
      <c r="F37" s="14">
        <f>IFERROR(__xludf.DUMMYFUNCTION("IFNA(FILTER(IMPORTRANGE(""https://docs.google.com/spreadsheets/d/1kGrh75X1cNR1D7_FcY9zMnHP8iPO4M5RCRjy6nZY0TY/edit#gid=1248694442"",""Table 2: MMC!H5:H114""), $A37=IMPORTRANGE(""https://docs.google.com/spreadsheets/d/1kGrh75X1cNR1D7_FcY9zMnHP8iPO4M5RCRjy6"&amp;"nZY0TY/edit#gid=1248694442"",""Table 2: MMC!A5:A114"")),"""")"),2.0)</f>
        <v>2</v>
      </c>
      <c r="G37" s="14">
        <f>IFERROR(__xludf.DUMMYFUNCTION("IFNA(FILTER(IMPORTRANGE(""https://docs.google.com/spreadsheets/d/1kGrh75X1cNR1D7_FcY9zMnHP8iPO4M5RCRjy6nZY0TY/edit#gid=1248694442"",""Table 2: MMC!I5:I114""), $A37=IMPORTRANGE(""https://docs.google.com/spreadsheets/d/1kGrh75X1cNR1D7_FcY9zMnHP8iPO4M5RCRjy6"&amp;"nZY0TY/edit#gid=1248694442"",""Table 2: MMC!A5:A114"")),"""")"),1.0)</f>
        <v>1</v>
      </c>
      <c r="H37" s="14" t="str">
        <f>IFERROR(__xludf.DUMMYFUNCTION("IFNA(FILTER(IMPORTRANGE(""https://docs.google.com/spreadsheets/d/1kGrh75X1cNR1D7_FcY9zMnHP8iPO4M5RCRjy6nZY0TY/edit#gid=1248694442"",""Table 2: MMC!J5:J114""), $A37=IMPORTRANGE(""https://docs.google.com/spreadsheets/d/1kGrh75X1cNR1D7_FcY9zMnHP8iPO4M5RCRjy6"&amp;"nZY0TY/edit#gid=1248694442"",""Table 2: MMC!A5:A114"")),"""")"),"post-natal")</f>
        <v>post-natal</v>
      </c>
      <c r="I37" s="14" t="str">
        <f>IFERROR(__xludf.DUMMYFUNCTION("IFNA(FILTER(IMPORTRANGE(""https://docs.google.com/spreadsheets/d/1kGrh75X1cNR1D7_FcY9zMnHP8iPO4M5RCRjy6nZY0TY/edit#gid=1248694442"",""Table 2: MMC!M5:M114""), $A37=IMPORTRANGE(""https://docs.google.com/spreadsheets/d/1kGrh75X1cNR1D7_FcY9zMnHP8iPO4M5RCRjy6"&amp;"nZY0TY/edit#gid=1248694442"",""Table 2: MMC!A5:A114"")),"""")"),"")</f>
        <v/>
      </c>
      <c r="J37" s="14" t="str">
        <f>IFERROR(__xludf.DUMMYFUNCTION("IFNA(FILTER(IMPORTRANGE(""https://docs.google.com/spreadsheets/d/1kGrh75X1cNR1D7_FcY9zMnHP8iPO4M5RCRjy6nZY0TY/edit#gid=1248694442"",""Table 2: MMC!Q5:Q114""), $A37=IMPORTRANGE(""https://docs.google.com/spreadsheets/d/1kGrh75X1cNR1D7_FcY9zMnHP8iPO4M5RCRjy6"&amp;"nZY0TY/edit#gid=1248694442"",""Table 2: MMC!A5:A114"")),"""")"),"")</f>
        <v/>
      </c>
      <c r="K37" s="14" t="str">
        <f>IFERROR(__xludf.DUMMYFUNCTION("IFNA(FILTER(IMPORTRANGE(""https://docs.google.com/spreadsheets/d/1kGrh75X1cNR1D7_FcY9zMnHP8iPO4M5RCRjy6nZY0TY/edit#gid=1248694442"",""Table 2: MMC!R5:R114""), $A37=IMPORTRANGE(""https://docs.google.com/spreadsheets/d/1kGrh75X1cNR1D7_FcY9zMnHP8iPO4M5RCRjy6"&amp;"nZY0TY/edit#gid=1248694442"",""Table 2: MMC!A5:A114"")),"""")"),"")</f>
        <v/>
      </c>
      <c r="L37" s="14" t="str">
        <f>IFERROR(__xludf.DUMMYFUNCTION("IFNA(FILTER(IMPORTRANGE(""https://docs.google.com/spreadsheets/d/1kGrh75X1cNR1D7_FcY9zMnHP8iPO4M5RCRjy6nZY0TY/edit#gid=1248694442"",""Table 2: MMC!S5:S114""), $A37=IMPORTRANGE(""https://docs.google.com/spreadsheets/d/1kGrh75X1cNR1D7_FcY9zMnHP8iPO4M5RCRjy6"&amp;"nZY0TY/edit#gid=1248694442"",""Table 2: MMC!A5:A114"")),"""")"),"")</f>
        <v/>
      </c>
      <c r="M37" s="14" t="str">
        <f>IFERROR(__xludf.DUMMYFUNCTION("IFNA(FILTER(IMPORTRANGE(""https://docs.google.com/spreadsheets/d/1kGrh75X1cNR1D7_FcY9zMnHP8iPO4M5RCRjy6nZY0TY/edit#gid=1248694442"",""Table 3: 1st-line HC!D5:D111""), $A37=IMPORTRANGE(""https://docs.google.com/spreadsheets/d/1kGrh75X1cNR1D7_FcY9zMnHP8iPO4"&amp;"M5RCRjy6nZY0TY/edit#gid=1248694442"",""Table 3: 1st-line HC!A5:A111"")),"""")"),"")</f>
        <v/>
      </c>
      <c r="N37" s="14">
        <f>IFERROR(__xludf.DUMMYFUNCTION("IFNA(FILTER(IMPORTRANGE(""https://docs.google.com/spreadsheets/d/1kGrh75X1cNR1D7_FcY9zMnHP8iPO4M5RCRjy6nZY0TY/edit#gid=1248694442"",""Table 3: 1st-line HC!E5:E111""), $A37=IMPORTRANGE(""https://docs.google.com/spreadsheets/d/1kGrh75X1cNR1D7_FcY9zMnHP8iPO4"&amp;"M5RCRjy6nZY0TY/edit#gid=1248694442"",""Table 3: 1st-line HC!A5:A111"")),"""")"),8.1)</f>
        <v>8.1</v>
      </c>
      <c r="O37" s="14" t="str">
        <f>IFERROR(__xludf.DUMMYFUNCTION("IFNA(FILTER(IMPORTRANGE(""https://docs.google.com/spreadsheets/d/1kGrh75X1cNR1D7_FcY9zMnHP8iPO4M5RCRjy6nZY0TY/edit#gid=1248694442"",""Table 3: 1st-line HC!K5:K111""), $A37=IMPORTRANGE(""https://docs.google.com/spreadsheets/d/1kGrh75X1cNR1D7_FcY9zMnHP8iPO4"&amp;"M5RCRjy6nZY0TY/edit#gid=1248694442"",""Table 3: 1st-line HC!A5:A111"")),"""")"),"")</f>
        <v/>
      </c>
      <c r="P37" s="14">
        <f>IFERROR(__xludf.DUMMYFUNCTION("IFNA(FILTER(IMPORTRANGE(""https://docs.google.com/spreadsheets/d/1kGrh75X1cNR1D7_FcY9zMnHP8iPO4M5RCRjy6nZY0TY/edit#gid=1248694442"",""Table 3: 1st-line HC!L5:L111""), $A37=IMPORTRANGE(""https://docs.google.com/spreadsheets/d/1kGrh75X1cNR1D7_FcY9zMnHP8iPO4"&amp;"M5RCRjy6nZY0TY/edit#gid=1248694442"",""Table 3: 1st-line HC!A5:A111"")),"""")"),13.0)</f>
        <v>13</v>
      </c>
      <c r="Q37" s="14" t="str">
        <f>IFERROR(__xludf.DUMMYFUNCTION("IFNA(FILTER(IMPORTRANGE(""https://docs.google.com/spreadsheets/d/1kGrh75X1cNR1D7_FcY9zMnHP8iPO4M5RCRjy6nZY0TY/edit#gid=1248694442"",""Table 3: 1st-line HC!M5:M111""), $A37=IMPORTRANGE(""https://docs.google.com/spreadsheets/d/1kGrh75X1cNR1D7_FcY9zMnHP8iPO4"&amp;"M5RCRjy6nZY0TY/edit#gid=1248694442"",""Table 3: 1st-line HC!A5:A111"")),"""")"),"")</f>
        <v/>
      </c>
      <c r="R37" s="14">
        <f>IFERROR(__xludf.DUMMYFUNCTION("IFNA(FILTER(IMPORTRANGE(""https://docs.google.com/spreadsheets/d/1kGrh75X1cNR1D7_FcY9zMnHP8iPO4M5RCRjy6nZY0TY/edit#gid=1248694442"",""Table 3: 1st-line HC!N5:N111""), $A37=IMPORTRANGE(""https://docs.google.com/spreadsheets/d/1kGrh75X1cNR1D7_FcY9zMnHP8iPO4"&amp;"M5RCRjy6nZY0TY/edit#gid=1248694442"",""Table 3: 1st-line HC!A5:A111"")),"""")"),5.0)</f>
        <v>5</v>
      </c>
      <c r="S37" s="14" t="str">
        <f>IFERROR(__xludf.DUMMYFUNCTION("IFNA(FILTER(IMPORTRANGE(""https://docs.google.com/spreadsheets/d/1kGrh75X1cNR1D7_FcY9zMnHP8iPO4M5RCRjy6nZY0TY/edit#gid=1248694442"",""Table 3: 1st-line HC!T5:T111""), $A37=IMPORTRANGE(""https://docs.google.com/spreadsheets/d/1kGrh75X1cNR1D7_FcY9zMnHP8iPO4"&amp;"M5RCRjy6nZY0TY/edit#gid=1248694442"",""Table 3: 1st-line HC!A5:A111"")),"""")"),"")</f>
        <v/>
      </c>
      <c r="T37" s="14" t="str">
        <f>IFERROR(__xludf.DUMMYFUNCTION("IFNA(FILTER(IMPORTRANGE(""https://docs.google.com/spreadsheets/d/1kGrh75X1cNR1D7_FcY9zMnHP8iPO4M5RCRjy6nZY0TY/edit#gid=1248694442"",""Table 3: 1st-line HC!U5:U111""), $A37=IMPORTRANGE(""https://docs.google.com/spreadsheets/d/1kGrh75X1cNR1D7_FcY9zMnHP8iPO4"&amp;"M5RCRjy6nZY0TY/edit#gid=1248694442"",""Table 3: 1st-line HC!A5:A111"")),"""")"),"")</f>
        <v/>
      </c>
      <c r="U37" s="14" t="str">
        <f>IFERROR(__xludf.DUMMYFUNCTION("IFNA(FILTER(IMPORTRANGE(""https://docs.google.com/spreadsheets/d/1kGrh75X1cNR1D7_FcY9zMnHP8iPO4M5RCRjy6nZY0TY/edit#gid=1248694442"",""Table 3: 1st-line HC!V5:V111""), $A37=IMPORTRANGE(""https://docs.google.com/spreadsheets/d/1kGrh75X1cNR1D7_FcY9zMnHP8iPO4"&amp;"M5RCRjy6nZY0TY/edit#gid=1248694442"",""Table 3: 1st-line HC!A5:A111"")),"""")"),"")</f>
        <v/>
      </c>
      <c r="V37" s="14" t="str">
        <f>IFERROR(__xludf.DUMMYFUNCTION("IFNA(FILTER(IMPORTRANGE(""https://docs.google.com/spreadsheets/d/1kGrh75X1cNR1D7_FcY9zMnHP8iPO4M5RCRjy6nZY0TY/edit#gid=1248694442"",""Table 3: 1st-line HC!AE5:AE111""), $A37=IMPORTRANGE(""https://docs.google.com/spreadsheets/d/1kGrh75X1cNR1D7_FcY9zMnHP8iP"&amp;"O4M5RCRjy6nZY0TY/edit#gid=1248694442"",""Table 3: 1st-line HC!A5:A111"")),"""")"),"")</f>
        <v/>
      </c>
      <c r="W37" s="14" t="str">
        <f>IFERROR(__xludf.DUMMYFUNCTION("IFNA(FILTER(IMPORTRANGE(""https://docs.google.com/spreadsheets/d/1kGrh75X1cNR1D7_FcY9zMnHP8iPO4M5RCRjy6nZY0TY/edit#gid=1248694442"",""Table 3: 1st-line HC!AG5:AG111""), $A37=IMPORTRANGE(""https://docs.google.com/spreadsheets/d/1kGrh75X1cNR1D7_FcY9zMnHP8iP"&amp;"O4M5RCRjy6nZY0TY/edit#gid=1248694442"",""Table 3: 1st-line HC!A5:A111"")),"""")"),"")</f>
        <v/>
      </c>
      <c r="X37" s="14" t="str">
        <f>IFERROR(__xludf.DUMMYFUNCTION("IFNA(FILTER(IMPORTRANGE(""https://docs.google.com/spreadsheets/d/1kGrh75X1cNR1D7_FcY9zMnHP8iPO4M5RCRjy6nZY0TY/edit#gid=1248694442"",""Table 3: 1st-line HC!AI5:AI111""), $A37=IMPORTRANGE(""https://docs.google.com/spreadsheets/d/1kGrh75X1cNR1D7_FcY9zMnHP8iP"&amp;"O4M5RCRjy6nZY0TY/edit#gid=1248694442"",""Table 3: 1st-line HC!A5:A111"")),"""")"),"12-24")</f>
        <v>12-24</v>
      </c>
    </row>
    <row r="38">
      <c r="A38" s="4" t="str">
        <f>IFERROR(__xludf.DUMMYFUNCTION("""COMPUTED_VALUE"""),"ID 73")</f>
        <v>ID 73</v>
      </c>
      <c r="B38" s="14" t="str">
        <f>IFERROR(__xludf.DUMMYFUNCTION("IFNA(FILTER(IMPORTRANGE(""https://docs.google.com/spreadsheets/d/1kGrh75X1cNR1D7_FcY9zMnHP8iPO4M5RCRjy6nZY0TY/edit#gid=1248694442"",""Table 2: MMC!D5:D114""), $A38=IMPORTRANGE(""https://docs.google.com/spreadsheets/d/1kGrh75X1cNR1D7_FcY9zMnHP8iPO4M5RCRjy6"&amp;"nZY0TY/edit#gid=1248694442"",""Table 2: MMC!A5:A114"")),"""")"),"")</f>
        <v/>
      </c>
      <c r="C38" s="14" t="str">
        <f>IFERROR(__xludf.DUMMYFUNCTION("IFNA(FILTER(IMPORTRANGE(""https://docs.google.com/spreadsheets/d/1kGrh75X1cNR1D7_FcY9zMnHP8iPO4M5RCRjy6nZY0TY/edit#gid=1248694442"",""Table 2: MMC!E5:E114""), $A38=IMPORTRANGE(""https://docs.google.com/spreadsheets/d/1kGrh75X1cNR1D7_FcY9zMnHP8iPO4M5RCRjy6"&amp;"nZY0TY/edit#gid=1248694442"",""Table 2: MMC!A5:A114"")),"""")"),"")</f>
        <v/>
      </c>
      <c r="D38" s="14" t="str">
        <f>IFERROR(__xludf.DUMMYFUNCTION("IFNA(FILTER(IMPORTRANGE(""https://docs.google.com/spreadsheets/d/1kGrh75X1cNR1D7_FcY9zMnHP8iPO4M5RCRjy6nZY0TY/edit#gid=1248694442"",""Table 2: MMC!F5:F114""), $A38=IMPORTRANGE(""https://docs.google.com/spreadsheets/d/1kGrh75X1cNR1D7_FcY9zMnHP8iPO4M5RCRjy6"&amp;"nZY0TY/edit#gid=1248694442"",""Table 2: MMC!A5:A114"")),"""")"),"")</f>
        <v/>
      </c>
      <c r="E38" s="14" t="str">
        <f>IFERROR(__xludf.DUMMYFUNCTION("IFNA(FILTER(IMPORTRANGE(""https://docs.google.com/spreadsheets/d/1kGrh75X1cNR1D7_FcY9zMnHP8iPO4M5RCRjy6nZY0TY/edit#gid=1248694442"",""Table 2: MMC!G5:G114""), $A38=IMPORTRANGE(""https://docs.google.com/spreadsheets/d/1kGrh75X1cNR1D7_FcY9zMnHP8iPO4M5RCRjy6"&amp;"nZY0TY/edit#gid=1248694442"",""Table 2: MMC!A5:A114"")),"""")"),"")</f>
        <v/>
      </c>
      <c r="F38" s="14" t="str">
        <f>IFERROR(__xludf.DUMMYFUNCTION("IFNA(FILTER(IMPORTRANGE(""https://docs.google.com/spreadsheets/d/1kGrh75X1cNR1D7_FcY9zMnHP8iPO4M5RCRjy6nZY0TY/edit#gid=1248694442"",""Table 2: MMC!H5:H114""), $A38=IMPORTRANGE(""https://docs.google.com/spreadsheets/d/1kGrh75X1cNR1D7_FcY9zMnHP8iPO4M5RCRjy6"&amp;"nZY0TY/edit#gid=1248694442"",""Table 2: MMC!A5:A114"")),"""")"),"")</f>
        <v/>
      </c>
      <c r="G38" s="14" t="str">
        <f>IFERROR(__xludf.DUMMYFUNCTION("IFNA(FILTER(IMPORTRANGE(""https://docs.google.com/spreadsheets/d/1kGrh75X1cNR1D7_FcY9zMnHP8iPO4M5RCRjy6nZY0TY/edit#gid=1248694442"",""Table 2: MMC!I5:I114""), $A38=IMPORTRANGE(""https://docs.google.com/spreadsheets/d/1kGrh75X1cNR1D7_FcY9zMnHP8iPO4M5RCRjy6"&amp;"nZY0TY/edit#gid=1248694442"",""Table 2: MMC!A5:A114"")),"""")"),"")</f>
        <v/>
      </c>
      <c r="H38" s="14" t="str">
        <f>IFERROR(__xludf.DUMMYFUNCTION("IFNA(FILTER(IMPORTRANGE(""https://docs.google.com/spreadsheets/d/1kGrh75X1cNR1D7_FcY9zMnHP8iPO4M5RCRjy6nZY0TY/edit#gid=1248694442"",""Table 2: MMC!J5:J114""), $A38=IMPORTRANGE(""https://docs.google.com/spreadsheets/d/1kGrh75X1cNR1D7_FcY9zMnHP8iPO4M5RCRjy6"&amp;"nZY0TY/edit#gid=1248694442"",""Table 2: MMC!A5:A114"")),"""")"),"")</f>
        <v/>
      </c>
      <c r="I38" s="14" t="str">
        <f>IFERROR(__xludf.DUMMYFUNCTION("IFNA(FILTER(IMPORTRANGE(""https://docs.google.com/spreadsheets/d/1kGrh75X1cNR1D7_FcY9zMnHP8iPO4M5RCRjy6nZY0TY/edit#gid=1248694442"",""Table 2: MMC!M5:M114""), $A38=IMPORTRANGE(""https://docs.google.com/spreadsheets/d/1kGrh75X1cNR1D7_FcY9zMnHP8iPO4M5RCRjy6"&amp;"nZY0TY/edit#gid=1248694442"",""Table 2: MMC!A5:A114"")),"""")"),"")</f>
        <v/>
      </c>
      <c r="J38" s="14" t="str">
        <f>IFERROR(__xludf.DUMMYFUNCTION("IFNA(FILTER(IMPORTRANGE(""https://docs.google.com/spreadsheets/d/1kGrh75X1cNR1D7_FcY9zMnHP8iPO4M5RCRjy6nZY0TY/edit#gid=1248694442"",""Table 2: MMC!Q5:Q114""), $A38=IMPORTRANGE(""https://docs.google.com/spreadsheets/d/1kGrh75X1cNR1D7_FcY9zMnHP8iPO4M5RCRjy6"&amp;"nZY0TY/edit#gid=1248694442"",""Table 2: MMC!A5:A114"")),"""")"),"")</f>
        <v/>
      </c>
      <c r="K38" s="14" t="str">
        <f>IFERROR(__xludf.DUMMYFUNCTION("IFNA(FILTER(IMPORTRANGE(""https://docs.google.com/spreadsheets/d/1kGrh75X1cNR1D7_FcY9zMnHP8iPO4M5RCRjy6nZY0TY/edit#gid=1248694442"",""Table 2: MMC!R5:R114""), $A38=IMPORTRANGE(""https://docs.google.com/spreadsheets/d/1kGrh75X1cNR1D7_FcY9zMnHP8iPO4M5RCRjy6"&amp;"nZY0TY/edit#gid=1248694442"",""Table 2: MMC!A5:A114"")),"""")"),"")</f>
        <v/>
      </c>
      <c r="L38" s="14" t="str">
        <f>IFERROR(__xludf.DUMMYFUNCTION("IFNA(FILTER(IMPORTRANGE(""https://docs.google.com/spreadsheets/d/1kGrh75X1cNR1D7_FcY9zMnHP8iPO4M5RCRjy6nZY0TY/edit#gid=1248694442"",""Table 2: MMC!S5:S114""), $A38=IMPORTRANGE(""https://docs.google.com/spreadsheets/d/1kGrh75X1cNR1D7_FcY9zMnHP8iPO4M5RCRjy6"&amp;"nZY0TY/edit#gid=1248694442"",""Table 2: MMC!A5:A114"")),"""")"),"")</f>
        <v/>
      </c>
      <c r="M38" s="14" t="str">
        <f>IFERROR(__xludf.DUMMYFUNCTION("IFNA(FILTER(IMPORTRANGE(""https://docs.google.com/spreadsheets/d/1kGrh75X1cNR1D7_FcY9zMnHP8iPO4M5RCRjy6nZY0TY/edit#gid=1248694442"",""Table 3: 1st-line HC!D5:D111""), $A38=IMPORTRANGE(""https://docs.google.com/spreadsheets/d/1kGrh75X1cNR1D7_FcY9zMnHP8iPO4"&amp;"M5RCRjy6nZY0TY/edit#gid=1248694442"",""Table 3: 1st-line HC!A5:A111"")),"""")"),"")</f>
        <v/>
      </c>
      <c r="N38" s="14" t="str">
        <f>IFERROR(__xludf.DUMMYFUNCTION("IFNA(FILTER(IMPORTRANGE(""https://docs.google.com/spreadsheets/d/1kGrh75X1cNR1D7_FcY9zMnHP8iPO4M5RCRjy6nZY0TY/edit#gid=1248694442"",""Table 3: 1st-line HC!E5:E111""), $A38=IMPORTRANGE(""https://docs.google.com/spreadsheets/d/1kGrh75X1cNR1D7_FcY9zMnHP8iPO4"&amp;"M5RCRjy6nZY0TY/edit#gid=1248694442"",""Table 3: 1st-line HC!A5:A111"")),"""")"),"")</f>
        <v/>
      </c>
      <c r="O38" s="14" t="str">
        <f>IFERROR(__xludf.DUMMYFUNCTION("IFNA(FILTER(IMPORTRANGE(""https://docs.google.com/spreadsheets/d/1kGrh75X1cNR1D7_FcY9zMnHP8iPO4M5RCRjy6nZY0TY/edit#gid=1248694442"",""Table 3: 1st-line HC!K5:K111""), $A38=IMPORTRANGE(""https://docs.google.com/spreadsheets/d/1kGrh75X1cNR1D7_FcY9zMnHP8iPO4"&amp;"M5RCRjy6nZY0TY/edit#gid=1248694442"",""Table 3: 1st-line HC!A5:A111"")),"""")"),"")</f>
        <v/>
      </c>
      <c r="P38" s="14" t="str">
        <f>IFERROR(__xludf.DUMMYFUNCTION("IFNA(FILTER(IMPORTRANGE(""https://docs.google.com/spreadsheets/d/1kGrh75X1cNR1D7_FcY9zMnHP8iPO4M5RCRjy6nZY0TY/edit#gid=1248694442"",""Table 3: 1st-line HC!L5:L111""), $A38=IMPORTRANGE(""https://docs.google.com/spreadsheets/d/1kGrh75X1cNR1D7_FcY9zMnHP8iPO4"&amp;"M5RCRjy6nZY0TY/edit#gid=1248694442"",""Table 3: 1st-line HC!A5:A111"")),"""")"),"")</f>
        <v/>
      </c>
      <c r="Q38" s="14" t="str">
        <f>IFERROR(__xludf.DUMMYFUNCTION("IFNA(FILTER(IMPORTRANGE(""https://docs.google.com/spreadsheets/d/1kGrh75X1cNR1D7_FcY9zMnHP8iPO4M5RCRjy6nZY0TY/edit#gid=1248694442"",""Table 3: 1st-line HC!M5:M111""), $A38=IMPORTRANGE(""https://docs.google.com/spreadsheets/d/1kGrh75X1cNR1D7_FcY9zMnHP8iPO4"&amp;"M5RCRjy6nZY0TY/edit#gid=1248694442"",""Table 3: 1st-line HC!A5:A111"")),"""")"),"")</f>
        <v/>
      </c>
      <c r="R38" s="14" t="str">
        <f>IFERROR(__xludf.DUMMYFUNCTION("IFNA(FILTER(IMPORTRANGE(""https://docs.google.com/spreadsheets/d/1kGrh75X1cNR1D7_FcY9zMnHP8iPO4M5RCRjy6nZY0TY/edit#gid=1248694442"",""Table 3: 1st-line HC!N5:N111""), $A38=IMPORTRANGE(""https://docs.google.com/spreadsheets/d/1kGrh75X1cNR1D7_FcY9zMnHP8iPO4"&amp;"M5RCRjy6nZY0TY/edit#gid=1248694442"",""Table 3: 1st-line HC!A5:A111"")),"""")"),"")</f>
        <v/>
      </c>
      <c r="S38" s="14" t="str">
        <f>IFERROR(__xludf.DUMMYFUNCTION("IFNA(FILTER(IMPORTRANGE(""https://docs.google.com/spreadsheets/d/1kGrh75X1cNR1D7_FcY9zMnHP8iPO4M5RCRjy6nZY0TY/edit#gid=1248694442"",""Table 3: 1st-line HC!T5:T111""), $A38=IMPORTRANGE(""https://docs.google.com/spreadsheets/d/1kGrh75X1cNR1D7_FcY9zMnHP8iPO4"&amp;"M5RCRjy6nZY0TY/edit#gid=1248694442"",""Table 3: 1st-line HC!A5:A111"")),"""")"),"")</f>
        <v/>
      </c>
      <c r="T38" s="14" t="str">
        <f>IFERROR(__xludf.DUMMYFUNCTION("IFNA(FILTER(IMPORTRANGE(""https://docs.google.com/spreadsheets/d/1kGrh75X1cNR1D7_FcY9zMnHP8iPO4M5RCRjy6nZY0TY/edit#gid=1248694442"",""Table 3: 1st-line HC!U5:U111""), $A38=IMPORTRANGE(""https://docs.google.com/spreadsheets/d/1kGrh75X1cNR1D7_FcY9zMnHP8iPO4"&amp;"M5RCRjy6nZY0TY/edit#gid=1248694442"",""Table 3: 1st-line HC!A5:A111"")),"""")"),"")</f>
        <v/>
      </c>
      <c r="U38" s="14" t="str">
        <f>IFERROR(__xludf.DUMMYFUNCTION("IFNA(FILTER(IMPORTRANGE(""https://docs.google.com/spreadsheets/d/1kGrh75X1cNR1D7_FcY9zMnHP8iPO4M5RCRjy6nZY0TY/edit#gid=1248694442"",""Table 3: 1st-line HC!V5:V111""), $A38=IMPORTRANGE(""https://docs.google.com/spreadsheets/d/1kGrh75X1cNR1D7_FcY9zMnHP8iPO4"&amp;"M5RCRjy6nZY0TY/edit#gid=1248694442"",""Table 3: 1st-line HC!A5:A111"")),"""")"),"")</f>
        <v/>
      </c>
      <c r="V38" s="14">
        <f>IFERROR(__xludf.DUMMYFUNCTION("IFNA(FILTER(IMPORTRANGE(""https://docs.google.com/spreadsheets/d/1kGrh75X1cNR1D7_FcY9zMnHP8iPO4M5RCRjy6nZY0TY/edit#gid=1248694442"",""Table 3: 1st-line HC!AE5:AE111""), $A38=IMPORTRANGE(""https://docs.google.com/spreadsheets/d/1kGrh75X1cNR1D7_FcY9zMnHP8iP"&amp;"O4M5RCRjy6nZY0TY/edit#gid=1248694442"",""Table 3: 1st-line HC!A5:A111"")),"""")"),50.6)</f>
        <v>50.6</v>
      </c>
      <c r="W38" s="14">
        <f>IFERROR(__xludf.DUMMYFUNCTION("IFNA(FILTER(IMPORTRANGE(""https://docs.google.com/spreadsheets/d/1kGrh75X1cNR1D7_FcY9zMnHP8iPO4M5RCRjy6nZY0TY/edit#gid=1248694442"",""Table 3: 1st-line HC!AG5:AG111""), $A38=IMPORTRANGE(""https://docs.google.com/spreadsheets/d/1kGrh75X1cNR1D7_FcY9zMnHP8iP"&amp;"O4M5RCRjy6nZY0TY/edit#gid=1248694442"",""Table 3: 1st-line HC!A5:A111"")),"""")"),80.6)</f>
        <v>80.6</v>
      </c>
      <c r="X38" s="14" t="str">
        <f>IFERROR(__xludf.DUMMYFUNCTION("IFNA(FILTER(IMPORTRANGE(""https://docs.google.com/spreadsheets/d/1kGrh75X1cNR1D7_FcY9zMnHP8iPO4M5RCRjy6nZY0TY/edit#gid=1248694442"",""Table 3: 1st-line HC!AI5:AI111""), $A38=IMPORTRANGE(""https://docs.google.com/spreadsheets/d/1kGrh75X1cNR1D7_FcY9zMnHP8iP"&amp;"O4M5RCRjy6nZY0TY/edit#gid=1248694442"",""Table 3: 1st-line HC!A5:A111"")),"""")"),"")</f>
        <v/>
      </c>
    </row>
    <row r="39">
      <c r="A39" s="4" t="str">
        <f>IFERROR(__xludf.DUMMYFUNCTION("""COMPUTED_VALUE"""),"ID 76")</f>
        <v>ID 76</v>
      </c>
      <c r="B39" s="14" t="str">
        <f>IFERROR(__xludf.DUMMYFUNCTION("IFNA(FILTER(IMPORTRANGE(""https://docs.google.com/spreadsheets/d/1kGrh75X1cNR1D7_FcY9zMnHP8iPO4M5RCRjy6nZY0TY/edit#gid=1248694442"",""Table 2: MMC!D5:D114""), $A39=IMPORTRANGE(""https://docs.google.com/spreadsheets/d/1kGrh75X1cNR1D7_FcY9zMnHP8iPO4M5RCRjy6"&amp;"nZY0TY/edit#gid=1248694442"",""Table 2: MMC!A5:A114"")),"""")"),"")</f>
        <v/>
      </c>
      <c r="C39" s="14" t="str">
        <f>IFERROR(__xludf.DUMMYFUNCTION("IFNA(FILTER(IMPORTRANGE(""https://docs.google.com/spreadsheets/d/1kGrh75X1cNR1D7_FcY9zMnHP8iPO4M5RCRjy6nZY0TY/edit#gid=1248694442"",""Table 2: MMC!E5:E114""), $A39=IMPORTRANGE(""https://docs.google.com/spreadsheets/d/1kGrh75X1cNR1D7_FcY9zMnHP8iPO4M5RCRjy6"&amp;"nZY0TY/edit#gid=1248694442"",""Table 2: MMC!A5:A114"")),"""")"),"")</f>
        <v/>
      </c>
      <c r="D39" s="14" t="str">
        <f>IFERROR(__xludf.DUMMYFUNCTION("IFNA(FILTER(IMPORTRANGE(""https://docs.google.com/spreadsheets/d/1kGrh75X1cNR1D7_FcY9zMnHP8iPO4M5RCRjy6nZY0TY/edit#gid=1248694442"",""Table 2: MMC!F5:F114""), $A39=IMPORTRANGE(""https://docs.google.com/spreadsheets/d/1kGrh75X1cNR1D7_FcY9zMnHP8iPO4M5RCRjy6"&amp;"nZY0TY/edit#gid=1248694442"",""Table 2: MMC!A5:A114"")),"""")"),"")</f>
        <v/>
      </c>
      <c r="E39" s="14" t="str">
        <f>IFERROR(__xludf.DUMMYFUNCTION("IFNA(FILTER(IMPORTRANGE(""https://docs.google.com/spreadsheets/d/1kGrh75X1cNR1D7_FcY9zMnHP8iPO4M5RCRjy6nZY0TY/edit#gid=1248694442"",""Table 2: MMC!G5:G114""), $A39=IMPORTRANGE(""https://docs.google.com/spreadsheets/d/1kGrh75X1cNR1D7_FcY9zMnHP8iPO4M5RCRjy6"&amp;"nZY0TY/edit#gid=1248694442"",""Table 2: MMC!A5:A114"")),"""")"),"")</f>
        <v/>
      </c>
      <c r="F39" s="14" t="str">
        <f>IFERROR(__xludf.DUMMYFUNCTION("IFNA(FILTER(IMPORTRANGE(""https://docs.google.com/spreadsheets/d/1kGrh75X1cNR1D7_FcY9zMnHP8iPO4M5RCRjy6nZY0TY/edit#gid=1248694442"",""Table 2: MMC!H5:H114""), $A39=IMPORTRANGE(""https://docs.google.com/spreadsheets/d/1kGrh75X1cNR1D7_FcY9zMnHP8iPO4M5RCRjy6"&amp;"nZY0TY/edit#gid=1248694442"",""Table 2: MMC!A5:A114"")),"""")"),"")</f>
        <v/>
      </c>
      <c r="G39" s="14" t="str">
        <f>IFERROR(__xludf.DUMMYFUNCTION("IFNA(FILTER(IMPORTRANGE(""https://docs.google.com/spreadsheets/d/1kGrh75X1cNR1D7_FcY9zMnHP8iPO4M5RCRjy6nZY0TY/edit#gid=1248694442"",""Table 2: MMC!I5:I114""), $A39=IMPORTRANGE(""https://docs.google.com/spreadsheets/d/1kGrh75X1cNR1D7_FcY9zMnHP8iPO4M5RCRjy6"&amp;"nZY0TY/edit#gid=1248694442"",""Table 2: MMC!A5:A114"")),"""")"),"")</f>
        <v/>
      </c>
      <c r="H39" s="14" t="str">
        <f>IFERROR(__xludf.DUMMYFUNCTION("IFNA(FILTER(IMPORTRANGE(""https://docs.google.com/spreadsheets/d/1kGrh75X1cNR1D7_FcY9zMnHP8iPO4M5RCRjy6nZY0TY/edit#gid=1248694442"",""Table 2: MMC!J5:J114""), $A39=IMPORTRANGE(""https://docs.google.com/spreadsheets/d/1kGrh75X1cNR1D7_FcY9zMnHP8iPO4M5RCRjy6"&amp;"nZY0TY/edit#gid=1248694442"",""Table 2: MMC!A5:A114"")),"""")"),"post-natal")</f>
        <v>post-natal</v>
      </c>
      <c r="I39" s="14" t="str">
        <f>IFERROR(__xludf.DUMMYFUNCTION("IFNA(FILTER(IMPORTRANGE(""https://docs.google.com/spreadsheets/d/1kGrh75X1cNR1D7_FcY9zMnHP8iPO4M5RCRjy6nZY0TY/edit#gid=1248694442"",""Table 2: MMC!M5:M114""), $A39=IMPORTRANGE(""https://docs.google.com/spreadsheets/d/1kGrh75X1cNR1D7_FcY9zMnHP8iPO4M5RCRjy6"&amp;"nZY0TY/edit#gid=1248694442"",""Table 2: MMC!A5:A114"")),"""")"),"")</f>
        <v/>
      </c>
      <c r="J39" s="14" t="str">
        <f>IFERROR(__xludf.DUMMYFUNCTION("IFNA(FILTER(IMPORTRANGE(""https://docs.google.com/spreadsheets/d/1kGrh75X1cNR1D7_FcY9zMnHP8iPO4M5RCRjy6nZY0TY/edit#gid=1248694442"",""Table 2: MMC!Q5:Q114""), $A39=IMPORTRANGE(""https://docs.google.com/spreadsheets/d/1kGrh75X1cNR1D7_FcY9zMnHP8iPO4M5RCRjy6"&amp;"nZY0TY/edit#gid=1248694442"",""Table 2: MMC!A5:A114"")),"""")"),"")</f>
        <v/>
      </c>
      <c r="K39" s="14" t="str">
        <f>IFERROR(__xludf.DUMMYFUNCTION("IFNA(FILTER(IMPORTRANGE(""https://docs.google.com/spreadsheets/d/1kGrh75X1cNR1D7_FcY9zMnHP8iPO4M5RCRjy6nZY0TY/edit#gid=1248694442"",""Table 2: MMC!R5:R114""), $A39=IMPORTRANGE(""https://docs.google.com/spreadsheets/d/1kGrh75X1cNR1D7_FcY9zMnHP8iPO4M5RCRjy6"&amp;"nZY0TY/edit#gid=1248694442"",""Table 2: MMC!A5:A114"")),"""")"),"")</f>
        <v/>
      </c>
      <c r="L39" s="14" t="str">
        <f>IFERROR(__xludf.DUMMYFUNCTION("IFNA(FILTER(IMPORTRANGE(""https://docs.google.com/spreadsheets/d/1kGrh75X1cNR1D7_FcY9zMnHP8iPO4M5RCRjy6nZY0TY/edit#gid=1248694442"",""Table 2: MMC!S5:S114""), $A39=IMPORTRANGE(""https://docs.google.com/spreadsheets/d/1kGrh75X1cNR1D7_FcY9zMnHP8iPO4M5RCRjy6"&amp;"nZY0TY/edit#gid=1248694442"",""Table 2: MMC!A5:A114"")),"""")"),"")</f>
        <v/>
      </c>
      <c r="M39" s="14" t="str">
        <f>IFERROR(__xludf.DUMMYFUNCTION("IFNA(FILTER(IMPORTRANGE(""https://docs.google.com/spreadsheets/d/1kGrh75X1cNR1D7_FcY9zMnHP8iPO4M5RCRjy6nZY0TY/edit#gid=1248694442"",""Table 3: 1st-line HC!D5:D111""), $A39=IMPORTRANGE(""https://docs.google.com/spreadsheets/d/1kGrh75X1cNR1D7_FcY9zMnHP8iPO4"&amp;"M5RCRjy6nZY0TY/edit#gid=1248694442"",""Table 3: 1st-line HC!A5:A111"")),"""")"),"")</f>
        <v/>
      </c>
      <c r="N39" s="14" t="str">
        <f>IFERROR(__xludf.DUMMYFUNCTION("IFNA(FILTER(IMPORTRANGE(""https://docs.google.com/spreadsheets/d/1kGrh75X1cNR1D7_FcY9zMnHP8iPO4M5RCRjy6nZY0TY/edit#gid=1248694442"",""Table 3: 1st-line HC!E5:E111""), $A39=IMPORTRANGE(""https://docs.google.com/spreadsheets/d/1kGrh75X1cNR1D7_FcY9zMnHP8iPO4"&amp;"M5RCRjy6nZY0TY/edit#gid=1248694442"",""Table 3: 1st-line HC!A5:A111"")),"""")"),"")</f>
        <v/>
      </c>
      <c r="O39" s="14" t="str">
        <f>IFERROR(__xludf.DUMMYFUNCTION("IFNA(FILTER(IMPORTRANGE(""https://docs.google.com/spreadsheets/d/1kGrh75X1cNR1D7_FcY9zMnHP8iPO4M5RCRjy6nZY0TY/edit#gid=1248694442"",""Table 3: 1st-line HC!K5:K111""), $A39=IMPORTRANGE(""https://docs.google.com/spreadsheets/d/1kGrh75X1cNR1D7_FcY9zMnHP8iPO4"&amp;"M5RCRjy6nZY0TY/edit#gid=1248694442"",""Table 3: 1st-line HC!A5:A111"")),"""")"),"")</f>
        <v/>
      </c>
      <c r="P39" s="14" t="str">
        <f>IFERROR(__xludf.DUMMYFUNCTION("IFNA(FILTER(IMPORTRANGE(""https://docs.google.com/spreadsheets/d/1kGrh75X1cNR1D7_FcY9zMnHP8iPO4M5RCRjy6nZY0TY/edit#gid=1248694442"",""Table 3: 1st-line HC!L5:L111""), $A39=IMPORTRANGE(""https://docs.google.com/spreadsheets/d/1kGrh75X1cNR1D7_FcY9zMnHP8iPO4"&amp;"M5RCRjy6nZY0TY/edit#gid=1248694442"",""Table 3: 1st-line HC!A5:A111"")),"""")"),"")</f>
        <v/>
      </c>
      <c r="Q39" s="14" t="str">
        <f>IFERROR(__xludf.DUMMYFUNCTION("IFNA(FILTER(IMPORTRANGE(""https://docs.google.com/spreadsheets/d/1kGrh75X1cNR1D7_FcY9zMnHP8iPO4M5RCRjy6nZY0TY/edit#gid=1248694442"",""Table 3: 1st-line HC!M5:M111""), $A39=IMPORTRANGE(""https://docs.google.com/spreadsheets/d/1kGrh75X1cNR1D7_FcY9zMnHP8iPO4"&amp;"M5RCRjy6nZY0TY/edit#gid=1248694442"",""Table 3: 1st-line HC!A5:A111"")),"""")"),"")</f>
        <v/>
      </c>
      <c r="R39" s="14" t="str">
        <f>IFERROR(__xludf.DUMMYFUNCTION("IFNA(FILTER(IMPORTRANGE(""https://docs.google.com/spreadsheets/d/1kGrh75X1cNR1D7_FcY9zMnHP8iPO4M5RCRjy6nZY0TY/edit#gid=1248694442"",""Table 3: 1st-line HC!N5:N111""), $A39=IMPORTRANGE(""https://docs.google.com/spreadsheets/d/1kGrh75X1cNR1D7_FcY9zMnHP8iPO4"&amp;"M5RCRjy6nZY0TY/edit#gid=1248694442"",""Table 3: 1st-line HC!A5:A111"")),"""")"),"")</f>
        <v/>
      </c>
      <c r="S39" s="14" t="str">
        <f>IFERROR(__xludf.DUMMYFUNCTION("IFNA(FILTER(IMPORTRANGE(""https://docs.google.com/spreadsheets/d/1kGrh75X1cNR1D7_FcY9zMnHP8iPO4M5RCRjy6nZY0TY/edit#gid=1248694442"",""Table 3: 1st-line HC!T5:T111""), $A39=IMPORTRANGE(""https://docs.google.com/spreadsheets/d/1kGrh75X1cNR1D7_FcY9zMnHP8iPO4"&amp;"M5RCRjy6nZY0TY/edit#gid=1248694442"",""Table 3: 1st-line HC!A5:A111"")),"""")"),"")</f>
        <v/>
      </c>
      <c r="T39" s="14" t="str">
        <f>IFERROR(__xludf.DUMMYFUNCTION("IFNA(FILTER(IMPORTRANGE(""https://docs.google.com/spreadsheets/d/1kGrh75X1cNR1D7_FcY9zMnHP8iPO4M5RCRjy6nZY0TY/edit#gid=1248694442"",""Table 3: 1st-line HC!U5:U111""), $A39=IMPORTRANGE(""https://docs.google.com/spreadsheets/d/1kGrh75X1cNR1D7_FcY9zMnHP8iPO4"&amp;"M5RCRjy6nZY0TY/edit#gid=1248694442"",""Table 3: 1st-line HC!A5:A111"")),"""")"),"")</f>
        <v/>
      </c>
      <c r="U39" s="14" t="str">
        <f>IFERROR(__xludf.DUMMYFUNCTION("IFNA(FILTER(IMPORTRANGE(""https://docs.google.com/spreadsheets/d/1kGrh75X1cNR1D7_FcY9zMnHP8iPO4M5RCRjy6nZY0TY/edit#gid=1248694442"",""Table 3: 1st-line HC!V5:V111""), $A39=IMPORTRANGE(""https://docs.google.com/spreadsheets/d/1kGrh75X1cNR1D7_FcY9zMnHP8iPO4"&amp;"M5RCRjy6nZY0TY/edit#gid=1248694442"",""Table 3: 1st-line HC!A5:A111"")),"""")"),"")</f>
        <v/>
      </c>
      <c r="V39" s="14" t="str">
        <f>IFERROR(__xludf.DUMMYFUNCTION("IFNA(FILTER(IMPORTRANGE(""https://docs.google.com/spreadsheets/d/1kGrh75X1cNR1D7_FcY9zMnHP8iPO4M5RCRjy6nZY0TY/edit#gid=1248694442"",""Table 3: 1st-line HC!AE5:AE111""), $A39=IMPORTRANGE(""https://docs.google.com/spreadsheets/d/1kGrh75X1cNR1D7_FcY9zMnHP8iP"&amp;"O4M5RCRjy6nZY0TY/edit#gid=1248694442"",""Table 3: 1st-line HC!A5:A111"")),"""")"),"")</f>
        <v/>
      </c>
      <c r="W39" s="14" t="str">
        <f>IFERROR(__xludf.DUMMYFUNCTION("IFNA(FILTER(IMPORTRANGE(""https://docs.google.com/spreadsheets/d/1kGrh75X1cNR1D7_FcY9zMnHP8iPO4M5RCRjy6nZY0TY/edit#gid=1248694442"",""Table 3: 1st-line HC!AG5:AG111""), $A39=IMPORTRANGE(""https://docs.google.com/spreadsheets/d/1kGrh75X1cNR1D7_FcY9zMnHP8iP"&amp;"O4M5RCRjy6nZY0TY/edit#gid=1248694442"",""Table 3: 1st-line HC!A5:A111"")),"""")"),"")</f>
        <v/>
      </c>
      <c r="X39" s="14" t="str">
        <f>IFERROR(__xludf.DUMMYFUNCTION("IFNA(FILTER(IMPORTRANGE(""https://docs.google.com/spreadsheets/d/1kGrh75X1cNR1D7_FcY9zMnHP8iPO4M5RCRjy6nZY0TY/edit#gid=1248694442"",""Table 3: 1st-line HC!AI5:AI111""), $A39=IMPORTRANGE(""https://docs.google.com/spreadsheets/d/1kGrh75X1cNR1D7_FcY9zMnHP8iP"&amp;"O4M5RCRjy6nZY0TY/edit#gid=1248694442"",""Table 3: 1st-line HC!A5:A111"")),"""")"),"")</f>
        <v/>
      </c>
    </row>
    <row r="40">
      <c r="A40" s="4" t="str">
        <f>IFERROR(__xludf.DUMMYFUNCTION("""COMPUTED_VALUE"""),"ID 77")</f>
        <v>ID 77</v>
      </c>
      <c r="B40" s="14" t="str">
        <f>IFERROR(__xludf.DUMMYFUNCTION("IFNA(FILTER(IMPORTRANGE(""https://docs.google.com/spreadsheets/d/1kGrh75X1cNR1D7_FcY9zMnHP8iPO4M5RCRjy6nZY0TY/edit#gid=1248694442"",""Table 2: MMC!D5:D114""), $A40=IMPORTRANGE(""https://docs.google.com/spreadsheets/d/1kGrh75X1cNR1D7_FcY9zMnHP8iPO4M5RCRjy6"&amp;"nZY0TY/edit#gid=1248694442"",""Table 2: MMC!A5:A114"")),"""")"),"")</f>
        <v/>
      </c>
      <c r="C40" s="14" t="str">
        <f>IFERROR(__xludf.DUMMYFUNCTION("IFNA(FILTER(IMPORTRANGE(""https://docs.google.com/spreadsheets/d/1kGrh75X1cNR1D7_FcY9zMnHP8iPO4M5RCRjy6nZY0TY/edit#gid=1248694442"",""Table 2: MMC!E5:E114""), $A40=IMPORTRANGE(""https://docs.google.com/spreadsheets/d/1kGrh75X1cNR1D7_FcY9zMnHP8iPO4M5RCRjy6"&amp;"nZY0TY/edit#gid=1248694442"",""Table 2: MMC!A5:A114"")),"""")"),"")</f>
        <v/>
      </c>
      <c r="D40" s="14" t="str">
        <f>IFERROR(__xludf.DUMMYFUNCTION("IFNA(FILTER(IMPORTRANGE(""https://docs.google.com/spreadsheets/d/1kGrh75X1cNR1D7_FcY9zMnHP8iPO4M5RCRjy6nZY0TY/edit#gid=1248694442"",""Table 2: MMC!F5:F114""), $A40=IMPORTRANGE(""https://docs.google.com/spreadsheets/d/1kGrh75X1cNR1D7_FcY9zMnHP8iPO4M5RCRjy6"&amp;"nZY0TY/edit#gid=1248694442"",""Table 2: MMC!A5:A114"")),"""")"),"")</f>
        <v/>
      </c>
      <c r="E40" s="14" t="str">
        <f>IFERROR(__xludf.DUMMYFUNCTION("IFNA(FILTER(IMPORTRANGE(""https://docs.google.com/spreadsheets/d/1kGrh75X1cNR1D7_FcY9zMnHP8iPO4M5RCRjy6nZY0TY/edit#gid=1248694442"",""Table 2: MMC!G5:G114""), $A40=IMPORTRANGE(""https://docs.google.com/spreadsheets/d/1kGrh75X1cNR1D7_FcY9zMnHP8iPO4M5RCRjy6"&amp;"nZY0TY/edit#gid=1248694442"",""Table 2: MMC!A5:A114"")),"""")"),"")</f>
        <v/>
      </c>
      <c r="F40" s="14" t="str">
        <f>IFERROR(__xludf.DUMMYFUNCTION("IFNA(FILTER(IMPORTRANGE(""https://docs.google.com/spreadsheets/d/1kGrh75X1cNR1D7_FcY9zMnHP8iPO4M5RCRjy6nZY0TY/edit#gid=1248694442"",""Table 2: MMC!H5:H114""), $A40=IMPORTRANGE(""https://docs.google.com/spreadsheets/d/1kGrh75X1cNR1D7_FcY9zMnHP8iPO4M5RCRjy6"&amp;"nZY0TY/edit#gid=1248694442"",""Table 2: MMC!A5:A114"")),"""")"),"")</f>
        <v/>
      </c>
      <c r="G40" s="14" t="str">
        <f>IFERROR(__xludf.DUMMYFUNCTION("IFNA(FILTER(IMPORTRANGE(""https://docs.google.com/spreadsheets/d/1kGrh75X1cNR1D7_FcY9zMnHP8iPO4M5RCRjy6nZY0TY/edit#gid=1248694442"",""Table 2: MMC!I5:I114""), $A40=IMPORTRANGE(""https://docs.google.com/spreadsheets/d/1kGrh75X1cNR1D7_FcY9zMnHP8iPO4M5RCRjy6"&amp;"nZY0TY/edit#gid=1248694442"",""Table 2: MMC!A5:A114"")),"""")"),"")</f>
        <v/>
      </c>
      <c r="H40" s="14" t="str">
        <f>IFERROR(__xludf.DUMMYFUNCTION("IFNA(FILTER(IMPORTRANGE(""https://docs.google.com/spreadsheets/d/1kGrh75X1cNR1D7_FcY9zMnHP8iPO4M5RCRjy6nZY0TY/edit#gid=1248694442"",""Table 2: MMC!J5:J114""), $A40=IMPORTRANGE(""https://docs.google.com/spreadsheets/d/1kGrh75X1cNR1D7_FcY9zMnHP8iPO4M5RCRjy6"&amp;"nZY0TY/edit#gid=1248694442"",""Table 2: MMC!A5:A114"")),"""")"),"post-natal")</f>
        <v>post-natal</v>
      </c>
      <c r="I40" s="14" t="str">
        <f>IFERROR(__xludf.DUMMYFUNCTION("IFNA(FILTER(IMPORTRANGE(""https://docs.google.com/spreadsheets/d/1kGrh75X1cNR1D7_FcY9zMnHP8iPO4M5RCRjy6nZY0TY/edit#gid=1248694442"",""Table 2: MMC!M5:M114""), $A40=IMPORTRANGE(""https://docs.google.com/spreadsheets/d/1kGrh75X1cNR1D7_FcY9zMnHP8iPO4M5RCRjy6"&amp;"nZY0TY/edit#gid=1248694442"",""Table 2: MMC!A5:A114"")),"""")"),"")</f>
        <v/>
      </c>
      <c r="J40" s="14" t="str">
        <f>IFERROR(__xludf.DUMMYFUNCTION("IFNA(FILTER(IMPORTRANGE(""https://docs.google.com/spreadsheets/d/1kGrh75X1cNR1D7_FcY9zMnHP8iPO4M5RCRjy6nZY0TY/edit#gid=1248694442"",""Table 2: MMC!Q5:Q114""), $A40=IMPORTRANGE(""https://docs.google.com/spreadsheets/d/1kGrh75X1cNR1D7_FcY9zMnHP8iPO4M5RCRjy6"&amp;"nZY0TY/edit#gid=1248694442"",""Table 2: MMC!A5:A114"")),"""")"),"")</f>
        <v/>
      </c>
      <c r="K40" s="14" t="str">
        <f>IFERROR(__xludf.DUMMYFUNCTION("IFNA(FILTER(IMPORTRANGE(""https://docs.google.com/spreadsheets/d/1kGrh75X1cNR1D7_FcY9zMnHP8iPO4M5RCRjy6nZY0TY/edit#gid=1248694442"",""Table 2: MMC!R5:R114""), $A40=IMPORTRANGE(""https://docs.google.com/spreadsheets/d/1kGrh75X1cNR1D7_FcY9zMnHP8iPO4M5RCRjy6"&amp;"nZY0TY/edit#gid=1248694442"",""Table 2: MMC!A5:A114"")),"""")"),"")</f>
        <v/>
      </c>
      <c r="L40" s="14" t="str">
        <f>IFERROR(__xludf.DUMMYFUNCTION("IFNA(FILTER(IMPORTRANGE(""https://docs.google.com/spreadsheets/d/1kGrh75X1cNR1D7_FcY9zMnHP8iPO4M5RCRjy6nZY0TY/edit#gid=1248694442"",""Table 2: MMC!S5:S114""), $A40=IMPORTRANGE(""https://docs.google.com/spreadsheets/d/1kGrh75X1cNR1D7_FcY9zMnHP8iPO4M5RCRjy6"&amp;"nZY0TY/edit#gid=1248694442"",""Table 2: MMC!A5:A114"")),"""")"),"")</f>
        <v/>
      </c>
      <c r="M40" s="14" t="str">
        <f>IFERROR(__xludf.DUMMYFUNCTION("IFNA(FILTER(IMPORTRANGE(""https://docs.google.com/spreadsheets/d/1kGrh75X1cNR1D7_FcY9zMnHP8iPO4M5RCRjy6nZY0TY/edit#gid=1248694442"",""Table 3: 1st-line HC!D5:D111""), $A40=IMPORTRANGE(""https://docs.google.com/spreadsheets/d/1kGrh75X1cNR1D7_FcY9zMnHP8iPO4"&amp;"M5RCRjy6nZY0TY/edit#gid=1248694442"",""Table 3: 1st-line HC!A5:A111"")),"""")"),"")</f>
        <v/>
      </c>
      <c r="N40" s="14" t="str">
        <f>IFERROR(__xludf.DUMMYFUNCTION("IFNA(FILTER(IMPORTRANGE(""https://docs.google.com/spreadsheets/d/1kGrh75X1cNR1D7_FcY9zMnHP8iPO4M5RCRjy6nZY0TY/edit#gid=1248694442"",""Table 3: 1st-line HC!E5:E111""), $A40=IMPORTRANGE(""https://docs.google.com/spreadsheets/d/1kGrh75X1cNR1D7_FcY9zMnHP8iPO4"&amp;"M5RCRjy6nZY0TY/edit#gid=1248694442"",""Table 3: 1st-line HC!A5:A111"")),"""")"),"")</f>
        <v/>
      </c>
      <c r="O40" s="14" t="str">
        <f>IFERROR(__xludf.DUMMYFUNCTION("IFNA(FILTER(IMPORTRANGE(""https://docs.google.com/spreadsheets/d/1kGrh75X1cNR1D7_FcY9zMnHP8iPO4M5RCRjy6nZY0TY/edit#gid=1248694442"",""Table 3: 1st-line HC!K5:K111""), $A40=IMPORTRANGE(""https://docs.google.com/spreadsheets/d/1kGrh75X1cNR1D7_FcY9zMnHP8iPO4"&amp;"M5RCRjy6nZY0TY/edit#gid=1248694442"",""Table 3: 1st-line HC!A5:A111"")),"""")"),"")</f>
        <v/>
      </c>
      <c r="P40" s="14" t="str">
        <f>IFERROR(__xludf.DUMMYFUNCTION("IFNA(FILTER(IMPORTRANGE(""https://docs.google.com/spreadsheets/d/1kGrh75X1cNR1D7_FcY9zMnHP8iPO4M5RCRjy6nZY0TY/edit#gid=1248694442"",""Table 3: 1st-line HC!L5:L111""), $A40=IMPORTRANGE(""https://docs.google.com/spreadsheets/d/1kGrh75X1cNR1D7_FcY9zMnHP8iPO4"&amp;"M5RCRjy6nZY0TY/edit#gid=1248694442"",""Table 3: 1st-line HC!A5:A111"")),"""")"),"")</f>
        <v/>
      </c>
      <c r="Q40" s="14" t="str">
        <f>IFERROR(__xludf.DUMMYFUNCTION("IFNA(FILTER(IMPORTRANGE(""https://docs.google.com/spreadsheets/d/1kGrh75X1cNR1D7_FcY9zMnHP8iPO4M5RCRjy6nZY0TY/edit#gid=1248694442"",""Table 3: 1st-line HC!M5:M111""), $A40=IMPORTRANGE(""https://docs.google.com/spreadsheets/d/1kGrh75X1cNR1D7_FcY9zMnHP8iPO4"&amp;"M5RCRjy6nZY0TY/edit#gid=1248694442"",""Table 3: 1st-line HC!A5:A111"")),"""")"),"")</f>
        <v/>
      </c>
      <c r="R40" s="14" t="str">
        <f>IFERROR(__xludf.DUMMYFUNCTION("IFNA(FILTER(IMPORTRANGE(""https://docs.google.com/spreadsheets/d/1kGrh75X1cNR1D7_FcY9zMnHP8iPO4M5RCRjy6nZY0TY/edit#gid=1248694442"",""Table 3: 1st-line HC!N5:N111""), $A40=IMPORTRANGE(""https://docs.google.com/spreadsheets/d/1kGrh75X1cNR1D7_FcY9zMnHP8iPO4"&amp;"M5RCRjy6nZY0TY/edit#gid=1248694442"",""Table 3: 1st-line HC!A5:A111"")),"""")"),"")</f>
        <v/>
      </c>
      <c r="S40" s="14" t="str">
        <f>IFERROR(__xludf.DUMMYFUNCTION("IFNA(FILTER(IMPORTRANGE(""https://docs.google.com/spreadsheets/d/1kGrh75X1cNR1D7_FcY9zMnHP8iPO4M5RCRjy6nZY0TY/edit#gid=1248694442"",""Table 3: 1st-line HC!T5:T111""), $A40=IMPORTRANGE(""https://docs.google.com/spreadsheets/d/1kGrh75X1cNR1D7_FcY9zMnHP8iPO4"&amp;"M5RCRjy6nZY0TY/edit#gid=1248694442"",""Table 3: 1st-line HC!A5:A111"")),"""")"),"")</f>
        <v/>
      </c>
      <c r="T40" s="14" t="str">
        <f>IFERROR(__xludf.DUMMYFUNCTION("IFNA(FILTER(IMPORTRANGE(""https://docs.google.com/spreadsheets/d/1kGrh75X1cNR1D7_FcY9zMnHP8iPO4M5RCRjy6nZY0TY/edit#gid=1248694442"",""Table 3: 1st-line HC!U5:U111""), $A40=IMPORTRANGE(""https://docs.google.com/spreadsheets/d/1kGrh75X1cNR1D7_FcY9zMnHP8iPO4"&amp;"M5RCRjy6nZY0TY/edit#gid=1248694442"",""Table 3: 1st-line HC!A5:A111"")),"""")"),"")</f>
        <v/>
      </c>
      <c r="U40" s="14" t="str">
        <f>IFERROR(__xludf.DUMMYFUNCTION("IFNA(FILTER(IMPORTRANGE(""https://docs.google.com/spreadsheets/d/1kGrh75X1cNR1D7_FcY9zMnHP8iPO4M5RCRjy6nZY0TY/edit#gid=1248694442"",""Table 3: 1st-line HC!V5:V111""), $A40=IMPORTRANGE(""https://docs.google.com/spreadsheets/d/1kGrh75X1cNR1D7_FcY9zMnHP8iPO4"&amp;"M5RCRjy6nZY0TY/edit#gid=1248694442"",""Table 3: 1st-line HC!A5:A111"")),"""")"),"")</f>
        <v/>
      </c>
      <c r="V40" s="14" t="str">
        <f>IFERROR(__xludf.DUMMYFUNCTION("IFNA(FILTER(IMPORTRANGE(""https://docs.google.com/spreadsheets/d/1kGrh75X1cNR1D7_FcY9zMnHP8iPO4M5RCRjy6nZY0TY/edit#gid=1248694442"",""Table 3: 1st-line HC!AE5:AE111""), $A40=IMPORTRANGE(""https://docs.google.com/spreadsheets/d/1kGrh75X1cNR1D7_FcY9zMnHP8iP"&amp;"O4M5RCRjy6nZY0TY/edit#gid=1248694442"",""Table 3: 1st-line HC!A5:A111"")),"""")"),"")</f>
        <v/>
      </c>
      <c r="W40" s="14" t="str">
        <f>IFERROR(__xludf.DUMMYFUNCTION("IFNA(FILTER(IMPORTRANGE(""https://docs.google.com/spreadsheets/d/1kGrh75X1cNR1D7_FcY9zMnHP8iPO4M5RCRjy6nZY0TY/edit#gid=1248694442"",""Table 3: 1st-line HC!AG5:AG111""), $A40=IMPORTRANGE(""https://docs.google.com/spreadsheets/d/1kGrh75X1cNR1D7_FcY9zMnHP8iP"&amp;"O4M5RCRjy6nZY0TY/edit#gid=1248694442"",""Table 3: 1st-line HC!A5:A111"")),"""")"),"")</f>
        <v/>
      </c>
      <c r="X40" s="14" t="str">
        <f>IFERROR(__xludf.DUMMYFUNCTION("IFNA(FILTER(IMPORTRANGE(""https://docs.google.com/spreadsheets/d/1kGrh75X1cNR1D7_FcY9zMnHP8iPO4M5RCRjy6nZY0TY/edit#gid=1248694442"",""Table 3: 1st-line HC!AI5:AI111""), $A40=IMPORTRANGE(""https://docs.google.com/spreadsheets/d/1kGrh75X1cNR1D7_FcY9zMnHP8iP"&amp;"O4M5RCRjy6nZY0TY/edit#gid=1248694442"",""Table 3: 1st-line HC!A5:A111"")),"""")"),"213-356")</f>
        <v>213-356</v>
      </c>
    </row>
    <row r="41">
      <c r="A41" s="4" t="str">
        <f>IFERROR(__xludf.DUMMYFUNCTION("""COMPUTED_VALUE"""),"ID 83")</f>
        <v>ID 83</v>
      </c>
      <c r="B41" s="14" t="str">
        <f>IFERROR(__xludf.DUMMYFUNCTION("IFNA(FILTER(IMPORTRANGE(""https://docs.google.com/spreadsheets/d/1kGrh75X1cNR1D7_FcY9zMnHP8iPO4M5RCRjy6nZY0TY/edit#gid=1248694442"",""Table 2: MMC!D5:D114""), $A41=IMPORTRANGE(""https://docs.google.com/spreadsheets/d/1kGrh75X1cNR1D7_FcY9zMnHP8iPO4M5RCRjy6"&amp;"nZY0TY/edit#gid=1248694442"",""Table 2: MMC!A5:A114"")),"""")"),"")</f>
        <v/>
      </c>
      <c r="C41" s="14" t="str">
        <f>IFERROR(__xludf.DUMMYFUNCTION("IFNA(FILTER(IMPORTRANGE(""https://docs.google.com/spreadsheets/d/1kGrh75X1cNR1D7_FcY9zMnHP8iPO4M5RCRjy6nZY0TY/edit#gid=1248694442"",""Table 2: MMC!E5:E114""), $A41=IMPORTRANGE(""https://docs.google.com/spreadsheets/d/1kGrh75X1cNR1D7_FcY9zMnHP8iPO4M5RCRjy6"&amp;"nZY0TY/edit#gid=1248694442"",""Table 2: MMC!A5:A114"")),"""")"),"")</f>
        <v/>
      </c>
      <c r="D41" s="14" t="str">
        <f>IFERROR(__xludf.DUMMYFUNCTION("IFNA(FILTER(IMPORTRANGE(""https://docs.google.com/spreadsheets/d/1kGrh75X1cNR1D7_FcY9zMnHP8iPO4M5RCRjy6nZY0TY/edit#gid=1248694442"",""Table 2: MMC!F5:F114""), $A41=IMPORTRANGE(""https://docs.google.com/spreadsheets/d/1kGrh75X1cNR1D7_FcY9zMnHP8iPO4M5RCRjy6"&amp;"nZY0TY/edit#gid=1248694442"",""Table 2: MMC!A5:A114"")),"""")"),"")</f>
        <v/>
      </c>
      <c r="E41" s="14" t="str">
        <f>IFERROR(__xludf.DUMMYFUNCTION("IFNA(FILTER(IMPORTRANGE(""https://docs.google.com/spreadsheets/d/1kGrh75X1cNR1D7_FcY9zMnHP8iPO4M5RCRjy6nZY0TY/edit#gid=1248694442"",""Table 2: MMC!G5:G114""), $A41=IMPORTRANGE(""https://docs.google.com/spreadsheets/d/1kGrh75X1cNR1D7_FcY9zMnHP8iPO4M5RCRjy6"&amp;"nZY0TY/edit#gid=1248694442"",""Table 2: MMC!A5:A114"")),"""")"),"")</f>
        <v/>
      </c>
      <c r="F41" s="14" t="str">
        <f>IFERROR(__xludf.DUMMYFUNCTION("IFNA(FILTER(IMPORTRANGE(""https://docs.google.com/spreadsheets/d/1kGrh75X1cNR1D7_FcY9zMnHP8iPO4M5RCRjy6nZY0TY/edit#gid=1248694442"",""Table 2: MMC!H5:H114""), $A41=IMPORTRANGE(""https://docs.google.com/spreadsheets/d/1kGrh75X1cNR1D7_FcY9zMnHP8iPO4M5RCRjy6"&amp;"nZY0TY/edit#gid=1248694442"",""Table 2: MMC!A5:A114"")),"""")"),"")</f>
        <v/>
      </c>
      <c r="G41" s="14" t="str">
        <f>IFERROR(__xludf.DUMMYFUNCTION("IFNA(FILTER(IMPORTRANGE(""https://docs.google.com/spreadsheets/d/1kGrh75X1cNR1D7_FcY9zMnHP8iPO4M5RCRjy6nZY0TY/edit#gid=1248694442"",""Table 2: MMC!I5:I114""), $A41=IMPORTRANGE(""https://docs.google.com/spreadsheets/d/1kGrh75X1cNR1D7_FcY9zMnHP8iPO4M5RCRjy6"&amp;"nZY0TY/edit#gid=1248694442"",""Table 2: MMC!A5:A114"")),"""")"),"")</f>
        <v/>
      </c>
      <c r="H41" s="14" t="str">
        <f>IFERROR(__xludf.DUMMYFUNCTION("IFNA(FILTER(IMPORTRANGE(""https://docs.google.com/spreadsheets/d/1kGrh75X1cNR1D7_FcY9zMnHP8iPO4M5RCRjy6nZY0TY/edit#gid=1248694442"",""Table 2: MMC!J5:J114""), $A41=IMPORTRANGE(""https://docs.google.com/spreadsheets/d/1kGrh75X1cNR1D7_FcY9zMnHP8iPO4M5RCRjy6"&amp;"nZY0TY/edit#gid=1248694442"",""Table 2: MMC!A5:A114"")),"""")"),"")</f>
        <v/>
      </c>
      <c r="I41" s="14" t="str">
        <f>IFERROR(__xludf.DUMMYFUNCTION("IFNA(FILTER(IMPORTRANGE(""https://docs.google.com/spreadsheets/d/1kGrh75X1cNR1D7_FcY9zMnHP8iPO4M5RCRjy6nZY0TY/edit#gid=1248694442"",""Table 2: MMC!M5:M114""), $A41=IMPORTRANGE(""https://docs.google.com/spreadsheets/d/1kGrh75X1cNR1D7_FcY9zMnHP8iPO4M5RCRjy6"&amp;"nZY0TY/edit#gid=1248694442"",""Table 2: MMC!A5:A114"")),"""")"),"")</f>
        <v/>
      </c>
      <c r="J41" s="14" t="str">
        <f>IFERROR(__xludf.DUMMYFUNCTION("IFNA(FILTER(IMPORTRANGE(""https://docs.google.com/spreadsheets/d/1kGrh75X1cNR1D7_FcY9zMnHP8iPO4M5RCRjy6nZY0TY/edit#gid=1248694442"",""Table 2: MMC!Q5:Q114""), $A41=IMPORTRANGE(""https://docs.google.com/spreadsheets/d/1kGrh75X1cNR1D7_FcY9zMnHP8iPO4M5RCRjy6"&amp;"nZY0TY/edit#gid=1248694442"",""Table 2: MMC!A5:A114"")),"""")"),"")</f>
        <v/>
      </c>
      <c r="K41" s="14" t="str">
        <f>IFERROR(__xludf.DUMMYFUNCTION("IFNA(FILTER(IMPORTRANGE(""https://docs.google.com/spreadsheets/d/1kGrh75X1cNR1D7_FcY9zMnHP8iPO4M5RCRjy6nZY0TY/edit#gid=1248694442"",""Table 2: MMC!R5:R114""), $A41=IMPORTRANGE(""https://docs.google.com/spreadsheets/d/1kGrh75X1cNR1D7_FcY9zMnHP8iPO4M5RCRjy6"&amp;"nZY0TY/edit#gid=1248694442"",""Table 2: MMC!A5:A114"")),"""")"),"")</f>
        <v/>
      </c>
      <c r="L41" s="14" t="str">
        <f>IFERROR(__xludf.DUMMYFUNCTION("IFNA(FILTER(IMPORTRANGE(""https://docs.google.com/spreadsheets/d/1kGrh75X1cNR1D7_FcY9zMnHP8iPO4M5RCRjy6nZY0TY/edit#gid=1248694442"",""Table 2: MMC!S5:S114""), $A41=IMPORTRANGE(""https://docs.google.com/spreadsheets/d/1kGrh75X1cNR1D7_FcY9zMnHP8iPO4M5RCRjy6"&amp;"nZY0TY/edit#gid=1248694442"",""Table 2: MMC!A5:A114"")),"""")"),"")</f>
        <v/>
      </c>
      <c r="M41" s="14" t="str">
        <f>IFERROR(__xludf.DUMMYFUNCTION("IFNA(FILTER(IMPORTRANGE(""https://docs.google.com/spreadsheets/d/1kGrh75X1cNR1D7_FcY9zMnHP8iPO4M5RCRjy6nZY0TY/edit#gid=1248694442"",""Table 3: 1st-line HC!D5:D111""), $A41=IMPORTRANGE(""https://docs.google.com/spreadsheets/d/1kGrh75X1cNR1D7_FcY9zMnHP8iPO4"&amp;"M5RCRjy6nZY0TY/edit#gid=1248694442"",""Table 3: 1st-line HC!A5:A111"")),"""")"),"")</f>
        <v/>
      </c>
      <c r="N41" s="14" t="str">
        <f>IFERROR(__xludf.DUMMYFUNCTION("IFNA(FILTER(IMPORTRANGE(""https://docs.google.com/spreadsheets/d/1kGrh75X1cNR1D7_FcY9zMnHP8iPO4M5RCRjy6nZY0TY/edit#gid=1248694442"",""Table 3: 1st-line HC!E5:E111""), $A41=IMPORTRANGE(""https://docs.google.com/spreadsheets/d/1kGrh75X1cNR1D7_FcY9zMnHP8iPO4"&amp;"M5RCRjy6nZY0TY/edit#gid=1248694442"",""Table 3: 1st-line HC!A5:A111"")),"""")"),"")</f>
        <v/>
      </c>
      <c r="O41" s="14" t="str">
        <f>IFERROR(__xludf.DUMMYFUNCTION("IFNA(FILTER(IMPORTRANGE(""https://docs.google.com/spreadsheets/d/1kGrh75X1cNR1D7_FcY9zMnHP8iPO4M5RCRjy6nZY0TY/edit#gid=1248694442"",""Table 3: 1st-line HC!K5:K111""), $A41=IMPORTRANGE(""https://docs.google.com/spreadsheets/d/1kGrh75X1cNR1D7_FcY9zMnHP8iPO4"&amp;"M5RCRjy6nZY0TY/edit#gid=1248694442"",""Table 3: 1st-line HC!A5:A111"")),"""")"),"")</f>
        <v/>
      </c>
      <c r="P41" s="14" t="str">
        <f>IFERROR(__xludf.DUMMYFUNCTION("IFNA(FILTER(IMPORTRANGE(""https://docs.google.com/spreadsheets/d/1kGrh75X1cNR1D7_FcY9zMnHP8iPO4M5RCRjy6nZY0TY/edit#gid=1248694442"",""Table 3: 1st-line HC!L5:L111""), $A41=IMPORTRANGE(""https://docs.google.com/spreadsheets/d/1kGrh75X1cNR1D7_FcY9zMnHP8iPO4"&amp;"M5RCRjy6nZY0TY/edit#gid=1248694442"",""Table 3: 1st-line HC!A5:A111"")),"""")"),"")</f>
        <v/>
      </c>
      <c r="Q41" s="14" t="str">
        <f>IFERROR(__xludf.DUMMYFUNCTION("IFNA(FILTER(IMPORTRANGE(""https://docs.google.com/spreadsheets/d/1kGrh75X1cNR1D7_FcY9zMnHP8iPO4M5RCRjy6nZY0TY/edit#gid=1248694442"",""Table 3: 1st-line HC!M5:M111""), $A41=IMPORTRANGE(""https://docs.google.com/spreadsheets/d/1kGrh75X1cNR1D7_FcY9zMnHP8iPO4"&amp;"M5RCRjy6nZY0TY/edit#gid=1248694442"",""Table 3: 1st-line HC!A5:A111"")),"""")"),"")</f>
        <v/>
      </c>
      <c r="R41" s="14" t="str">
        <f>IFERROR(__xludf.DUMMYFUNCTION("IFNA(FILTER(IMPORTRANGE(""https://docs.google.com/spreadsheets/d/1kGrh75X1cNR1D7_FcY9zMnHP8iPO4M5RCRjy6nZY0TY/edit#gid=1248694442"",""Table 3: 1st-line HC!N5:N111""), $A41=IMPORTRANGE(""https://docs.google.com/spreadsheets/d/1kGrh75X1cNR1D7_FcY9zMnHP8iPO4"&amp;"M5RCRjy6nZY0TY/edit#gid=1248694442"",""Table 3: 1st-line HC!A5:A111"")),"""")"),"")</f>
        <v/>
      </c>
      <c r="S41" s="14" t="str">
        <f>IFERROR(__xludf.DUMMYFUNCTION("IFNA(FILTER(IMPORTRANGE(""https://docs.google.com/spreadsheets/d/1kGrh75X1cNR1D7_FcY9zMnHP8iPO4M5RCRjy6nZY0TY/edit#gid=1248694442"",""Table 3: 1st-line HC!T5:T111""), $A41=IMPORTRANGE(""https://docs.google.com/spreadsheets/d/1kGrh75X1cNR1D7_FcY9zMnHP8iPO4"&amp;"M5RCRjy6nZY0TY/edit#gid=1248694442"",""Table 3: 1st-line HC!A5:A111"")),"""")"),"")</f>
        <v/>
      </c>
      <c r="T41" s="14" t="str">
        <f>IFERROR(__xludf.DUMMYFUNCTION("IFNA(FILTER(IMPORTRANGE(""https://docs.google.com/spreadsheets/d/1kGrh75X1cNR1D7_FcY9zMnHP8iPO4M5RCRjy6nZY0TY/edit#gid=1248694442"",""Table 3: 1st-line HC!U5:U111""), $A41=IMPORTRANGE(""https://docs.google.com/spreadsheets/d/1kGrh75X1cNR1D7_FcY9zMnHP8iPO4"&amp;"M5RCRjy6nZY0TY/edit#gid=1248694442"",""Table 3: 1st-line HC!A5:A111"")),"""")"),"")</f>
        <v/>
      </c>
      <c r="U41" s="14" t="str">
        <f>IFERROR(__xludf.DUMMYFUNCTION("IFNA(FILTER(IMPORTRANGE(""https://docs.google.com/spreadsheets/d/1kGrh75X1cNR1D7_FcY9zMnHP8iPO4M5RCRjy6nZY0TY/edit#gid=1248694442"",""Table 3: 1st-line HC!V5:V111""), $A41=IMPORTRANGE(""https://docs.google.com/spreadsheets/d/1kGrh75X1cNR1D7_FcY9zMnHP8iPO4"&amp;"M5RCRjy6nZY0TY/edit#gid=1248694442"",""Table 3: 1st-line HC!A5:A111"")),"""")"),"")</f>
        <v/>
      </c>
      <c r="V41" s="14" t="str">
        <f>IFERROR(__xludf.DUMMYFUNCTION("IFNA(FILTER(IMPORTRANGE(""https://docs.google.com/spreadsheets/d/1kGrh75X1cNR1D7_FcY9zMnHP8iPO4M5RCRjy6nZY0TY/edit#gid=1248694442"",""Table 3: 1st-line HC!AE5:AE111""), $A41=IMPORTRANGE(""https://docs.google.com/spreadsheets/d/1kGrh75X1cNR1D7_FcY9zMnHP8iP"&amp;"O4M5RCRjy6nZY0TY/edit#gid=1248694442"",""Table 3: 1st-line HC!A5:A111"")),"""")"),"")</f>
        <v/>
      </c>
      <c r="W41" s="14" t="str">
        <f>IFERROR(__xludf.DUMMYFUNCTION("IFNA(FILTER(IMPORTRANGE(""https://docs.google.com/spreadsheets/d/1kGrh75X1cNR1D7_FcY9zMnHP8iPO4M5RCRjy6nZY0TY/edit#gid=1248694442"",""Table 3: 1st-line HC!AG5:AG111""), $A41=IMPORTRANGE(""https://docs.google.com/spreadsheets/d/1kGrh75X1cNR1D7_FcY9zMnHP8iP"&amp;"O4M5RCRjy6nZY0TY/edit#gid=1248694442"",""Table 3: 1st-line HC!A5:A111"")),"""")"),"")</f>
        <v/>
      </c>
      <c r="X41" s="14" t="str">
        <f>IFERROR(__xludf.DUMMYFUNCTION("IFNA(FILTER(IMPORTRANGE(""https://docs.google.com/spreadsheets/d/1kGrh75X1cNR1D7_FcY9zMnHP8iPO4M5RCRjy6nZY0TY/edit#gid=1248694442"",""Table 3: 1st-line HC!AI5:AI111""), $A41=IMPORTRANGE(""https://docs.google.com/spreadsheets/d/1kGrh75X1cNR1D7_FcY9zMnHP8iP"&amp;"O4M5RCRjy6nZY0TY/edit#gid=1248694442"",""Table 3: 1st-line HC!A5:A111"")),"""")"),"")</f>
        <v/>
      </c>
    </row>
    <row r="42">
      <c r="A42" s="4" t="str">
        <f>IFERROR(__xludf.DUMMYFUNCTION("""COMPUTED_VALUE"""),"ID 84")</f>
        <v>ID 84</v>
      </c>
      <c r="B42" s="14" t="str">
        <f>IFERROR(__xludf.DUMMYFUNCTION("IFNA(FILTER(IMPORTRANGE(""https://docs.google.com/spreadsheets/d/1kGrh75X1cNR1D7_FcY9zMnHP8iPO4M5RCRjy6nZY0TY/edit#gid=1248694442"",""Table 2: MMC!D5:D114""), $A42=IMPORTRANGE(""https://docs.google.com/spreadsheets/d/1kGrh75X1cNR1D7_FcY9zMnHP8iPO4M5RCRjy6"&amp;"nZY0TY/edit#gid=1248694442"",""Table 2: MMC!A5:A114"")),"""")"),"")</f>
        <v/>
      </c>
      <c r="C42" s="14" t="str">
        <f>IFERROR(__xludf.DUMMYFUNCTION("IFNA(FILTER(IMPORTRANGE(""https://docs.google.com/spreadsheets/d/1kGrh75X1cNR1D7_FcY9zMnHP8iPO4M5RCRjy6nZY0TY/edit#gid=1248694442"",""Table 2: MMC!E5:E114""), $A42=IMPORTRANGE(""https://docs.google.com/spreadsheets/d/1kGrh75X1cNR1D7_FcY9zMnHP8iPO4M5RCRjy6"&amp;"nZY0TY/edit#gid=1248694442"",""Table 2: MMC!A5:A114"")),"""")"),"")</f>
        <v/>
      </c>
      <c r="D42" s="14" t="str">
        <f>IFERROR(__xludf.DUMMYFUNCTION("IFNA(FILTER(IMPORTRANGE(""https://docs.google.com/spreadsheets/d/1kGrh75X1cNR1D7_FcY9zMnHP8iPO4M5RCRjy6nZY0TY/edit#gid=1248694442"",""Table 2: MMC!F5:F114""), $A42=IMPORTRANGE(""https://docs.google.com/spreadsheets/d/1kGrh75X1cNR1D7_FcY9zMnHP8iPO4M5RCRjy6"&amp;"nZY0TY/edit#gid=1248694442"",""Table 2: MMC!A5:A114"")),"""")"),"")</f>
        <v/>
      </c>
      <c r="E42" s="14" t="str">
        <f>IFERROR(__xludf.DUMMYFUNCTION("IFNA(FILTER(IMPORTRANGE(""https://docs.google.com/spreadsheets/d/1kGrh75X1cNR1D7_FcY9zMnHP8iPO4M5RCRjy6nZY0TY/edit#gid=1248694442"",""Table 2: MMC!G5:G114""), $A42=IMPORTRANGE(""https://docs.google.com/spreadsheets/d/1kGrh75X1cNR1D7_FcY9zMnHP8iPO4M5RCRjy6"&amp;"nZY0TY/edit#gid=1248694442"",""Table 2: MMC!A5:A114"")),"""")"),"")</f>
        <v/>
      </c>
      <c r="F42" s="14" t="str">
        <f>IFERROR(__xludf.DUMMYFUNCTION("IFNA(FILTER(IMPORTRANGE(""https://docs.google.com/spreadsheets/d/1kGrh75X1cNR1D7_FcY9zMnHP8iPO4M5RCRjy6nZY0TY/edit#gid=1248694442"",""Table 2: MMC!H5:H114""), $A42=IMPORTRANGE(""https://docs.google.com/spreadsheets/d/1kGrh75X1cNR1D7_FcY9zMnHP8iPO4M5RCRjy6"&amp;"nZY0TY/edit#gid=1248694442"",""Table 2: MMC!A5:A114"")),"""")"),"")</f>
        <v/>
      </c>
      <c r="G42" s="14" t="str">
        <f>IFERROR(__xludf.DUMMYFUNCTION("IFNA(FILTER(IMPORTRANGE(""https://docs.google.com/spreadsheets/d/1kGrh75X1cNR1D7_FcY9zMnHP8iPO4M5RCRjy6nZY0TY/edit#gid=1248694442"",""Table 2: MMC!I5:I114""), $A42=IMPORTRANGE(""https://docs.google.com/spreadsheets/d/1kGrh75X1cNR1D7_FcY9zMnHP8iPO4M5RCRjy6"&amp;"nZY0TY/edit#gid=1248694442"",""Table 2: MMC!A5:A114"")),"""")"),"")</f>
        <v/>
      </c>
      <c r="H42" s="14" t="str">
        <f>IFERROR(__xludf.DUMMYFUNCTION("IFNA(FILTER(IMPORTRANGE(""https://docs.google.com/spreadsheets/d/1kGrh75X1cNR1D7_FcY9zMnHP8iPO4M5RCRjy6nZY0TY/edit#gid=1248694442"",""Table 2: MMC!J5:J114""), $A42=IMPORTRANGE(""https://docs.google.com/spreadsheets/d/1kGrh75X1cNR1D7_FcY9zMnHP8iPO4M5RCRjy6"&amp;"nZY0TY/edit#gid=1248694442"",""Table 2: MMC!A5:A114"")),"""")"),"post-natal")</f>
        <v>post-natal</v>
      </c>
      <c r="I42" s="14" t="str">
        <f>IFERROR(__xludf.DUMMYFUNCTION("IFNA(FILTER(IMPORTRANGE(""https://docs.google.com/spreadsheets/d/1kGrh75X1cNR1D7_FcY9zMnHP8iPO4M5RCRjy6nZY0TY/edit#gid=1248694442"",""Table 2: MMC!M5:M114""), $A42=IMPORTRANGE(""https://docs.google.com/spreadsheets/d/1kGrh75X1cNR1D7_FcY9zMnHP8iPO4M5RCRjy6"&amp;"nZY0TY/edit#gid=1248694442"",""Table 2: MMC!A5:A114"")),"""")"),"")</f>
        <v/>
      </c>
      <c r="J42" s="14" t="str">
        <f>IFERROR(__xludf.DUMMYFUNCTION("IFNA(FILTER(IMPORTRANGE(""https://docs.google.com/spreadsheets/d/1kGrh75X1cNR1D7_FcY9zMnHP8iPO4M5RCRjy6nZY0TY/edit#gid=1248694442"",""Table 2: MMC!Q5:Q114""), $A42=IMPORTRANGE(""https://docs.google.com/spreadsheets/d/1kGrh75X1cNR1D7_FcY9zMnHP8iPO4M5RCRjy6"&amp;"nZY0TY/edit#gid=1248694442"",""Table 2: MMC!A5:A114"")),"""")"),"")</f>
        <v/>
      </c>
      <c r="K42" s="14" t="str">
        <f>IFERROR(__xludf.DUMMYFUNCTION("IFNA(FILTER(IMPORTRANGE(""https://docs.google.com/spreadsheets/d/1kGrh75X1cNR1D7_FcY9zMnHP8iPO4M5RCRjy6nZY0TY/edit#gid=1248694442"",""Table 2: MMC!R5:R114""), $A42=IMPORTRANGE(""https://docs.google.com/spreadsheets/d/1kGrh75X1cNR1D7_FcY9zMnHP8iPO4M5RCRjy6"&amp;"nZY0TY/edit#gid=1248694442"",""Table 2: MMC!A5:A114"")),"""")"),"")</f>
        <v/>
      </c>
      <c r="L42" s="14" t="str">
        <f>IFERROR(__xludf.DUMMYFUNCTION("IFNA(FILTER(IMPORTRANGE(""https://docs.google.com/spreadsheets/d/1kGrh75X1cNR1D7_FcY9zMnHP8iPO4M5RCRjy6nZY0TY/edit#gid=1248694442"",""Table 2: MMC!S5:S114""), $A42=IMPORTRANGE(""https://docs.google.com/spreadsheets/d/1kGrh75X1cNR1D7_FcY9zMnHP8iPO4M5RCRjy6"&amp;"nZY0TY/edit#gid=1248694442"",""Table 2: MMC!A5:A114"")),"""")"),"")</f>
        <v/>
      </c>
      <c r="M42" s="14" t="str">
        <f>IFERROR(__xludf.DUMMYFUNCTION("IFNA(FILTER(IMPORTRANGE(""https://docs.google.com/spreadsheets/d/1kGrh75X1cNR1D7_FcY9zMnHP8iPO4M5RCRjy6nZY0TY/edit#gid=1248694442"",""Table 3: 1st-line HC!D5:D111""), $A42=IMPORTRANGE(""https://docs.google.com/spreadsheets/d/1kGrh75X1cNR1D7_FcY9zMnHP8iPO4"&amp;"M5RCRjy6nZY0TY/edit#gid=1248694442"",""Table 3: 1st-line HC!A5:A111"")),"""")"),"")</f>
        <v/>
      </c>
      <c r="N42" s="14" t="str">
        <f>IFERROR(__xludf.DUMMYFUNCTION("IFNA(FILTER(IMPORTRANGE(""https://docs.google.com/spreadsheets/d/1kGrh75X1cNR1D7_FcY9zMnHP8iPO4M5RCRjy6nZY0TY/edit#gid=1248694442"",""Table 3: 1st-line HC!E5:E111""), $A42=IMPORTRANGE(""https://docs.google.com/spreadsheets/d/1kGrh75X1cNR1D7_FcY9zMnHP8iPO4"&amp;"M5RCRjy6nZY0TY/edit#gid=1248694442"",""Table 3: 1st-line HC!A5:A111"")),"""")"),"")</f>
        <v/>
      </c>
      <c r="O42" s="14" t="str">
        <f>IFERROR(__xludf.DUMMYFUNCTION("IFNA(FILTER(IMPORTRANGE(""https://docs.google.com/spreadsheets/d/1kGrh75X1cNR1D7_FcY9zMnHP8iPO4M5RCRjy6nZY0TY/edit#gid=1248694442"",""Table 3: 1st-line HC!K5:K111""), $A42=IMPORTRANGE(""https://docs.google.com/spreadsheets/d/1kGrh75X1cNR1D7_FcY9zMnHP8iPO4"&amp;"M5RCRjy6nZY0TY/edit#gid=1248694442"",""Table 3: 1st-line HC!A5:A111"")),"""")"),"")</f>
        <v/>
      </c>
      <c r="P42" s="14" t="str">
        <f>IFERROR(__xludf.DUMMYFUNCTION("IFNA(FILTER(IMPORTRANGE(""https://docs.google.com/spreadsheets/d/1kGrh75X1cNR1D7_FcY9zMnHP8iPO4M5RCRjy6nZY0TY/edit#gid=1248694442"",""Table 3: 1st-line HC!L5:L111""), $A42=IMPORTRANGE(""https://docs.google.com/spreadsheets/d/1kGrh75X1cNR1D7_FcY9zMnHP8iPO4"&amp;"M5RCRjy6nZY0TY/edit#gid=1248694442"",""Table 3: 1st-line HC!A5:A111"")),"""")"),"")</f>
        <v/>
      </c>
      <c r="Q42" s="14" t="str">
        <f>IFERROR(__xludf.DUMMYFUNCTION("IFNA(FILTER(IMPORTRANGE(""https://docs.google.com/spreadsheets/d/1kGrh75X1cNR1D7_FcY9zMnHP8iPO4M5RCRjy6nZY0TY/edit#gid=1248694442"",""Table 3: 1st-line HC!M5:M111""), $A42=IMPORTRANGE(""https://docs.google.com/spreadsheets/d/1kGrh75X1cNR1D7_FcY9zMnHP8iPO4"&amp;"M5RCRjy6nZY0TY/edit#gid=1248694442"",""Table 3: 1st-line HC!A5:A111"")),"""")"),"")</f>
        <v/>
      </c>
      <c r="R42" s="14" t="str">
        <f>IFERROR(__xludf.DUMMYFUNCTION("IFNA(FILTER(IMPORTRANGE(""https://docs.google.com/spreadsheets/d/1kGrh75X1cNR1D7_FcY9zMnHP8iPO4M5RCRjy6nZY0TY/edit#gid=1248694442"",""Table 3: 1st-line HC!N5:N111""), $A42=IMPORTRANGE(""https://docs.google.com/spreadsheets/d/1kGrh75X1cNR1D7_FcY9zMnHP8iPO4"&amp;"M5RCRjy6nZY0TY/edit#gid=1248694442"",""Table 3: 1st-line HC!A5:A111"")),"""")"),"")</f>
        <v/>
      </c>
      <c r="S42" s="14" t="str">
        <f>IFERROR(__xludf.DUMMYFUNCTION("IFNA(FILTER(IMPORTRANGE(""https://docs.google.com/spreadsheets/d/1kGrh75X1cNR1D7_FcY9zMnHP8iPO4M5RCRjy6nZY0TY/edit#gid=1248694442"",""Table 3: 1st-line HC!T5:T111""), $A42=IMPORTRANGE(""https://docs.google.com/spreadsheets/d/1kGrh75X1cNR1D7_FcY9zMnHP8iPO4"&amp;"M5RCRjy6nZY0TY/edit#gid=1248694442"",""Table 3: 1st-line HC!A5:A111"")),"""")"),"")</f>
        <v/>
      </c>
      <c r="T42" s="14" t="str">
        <f>IFERROR(__xludf.DUMMYFUNCTION("IFNA(FILTER(IMPORTRANGE(""https://docs.google.com/spreadsheets/d/1kGrh75X1cNR1D7_FcY9zMnHP8iPO4M5RCRjy6nZY0TY/edit#gid=1248694442"",""Table 3: 1st-line HC!U5:U111""), $A42=IMPORTRANGE(""https://docs.google.com/spreadsheets/d/1kGrh75X1cNR1D7_FcY9zMnHP8iPO4"&amp;"M5RCRjy6nZY0TY/edit#gid=1248694442"",""Table 3: 1st-line HC!A5:A111"")),"""")"),"")</f>
        <v/>
      </c>
      <c r="U42" s="14" t="str">
        <f>IFERROR(__xludf.DUMMYFUNCTION("IFNA(FILTER(IMPORTRANGE(""https://docs.google.com/spreadsheets/d/1kGrh75X1cNR1D7_FcY9zMnHP8iPO4M5RCRjy6nZY0TY/edit#gid=1248694442"",""Table 3: 1st-line HC!V5:V111""), $A42=IMPORTRANGE(""https://docs.google.com/spreadsheets/d/1kGrh75X1cNR1D7_FcY9zMnHP8iPO4"&amp;"M5RCRjy6nZY0TY/edit#gid=1248694442"",""Table 3: 1st-line HC!A5:A111"")),"""")"),"")</f>
        <v/>
      </c>
      <c r="V42" s="14" t="str">
        <f>IFERROR(__xludf.DUMMYFUNCTION("IFNA(FILTER(IMPORTRANGE(""https://docs.google.com/spreadsheets/d/1kGrh75X1cNR1D7_FcY9zMnHP8iPO4M5RCRjy6nZY0TY/edit#gid=1248694442"",""Table 3: 1st-line HC!AE5:AE111""), $A42=IMPORTRANGE(""https://docs.google.com/spreadsheets/d/1kGrh75X1cNR1D7_FcY9zMnHP8iP"&amp;"O4M5RCRjy6nZY0TY/edit#gid=1248694442"",""Table 3: 1st-line HC!A5:A111"")),"""")"),"")</f>
        <v/>
      </c>
      <c r="W42" s="14" t="str">
        <f>IFERROR(__xludf.DUMMYFUNCTION("IFNA(FILTER(IMPORTRANGE(""https://docs.google.com/spreadsheets/d/1kGrh75X1cNR1D7_FcY9zMnHP8iPO4M5RCRjy6nZY0TY/edit#gid=1248694442"",""Table 3: 1st-line HC!AG5:AG111""), $A42=IMPORTRANGE(""https://docs.google.com/spreadsheets/d/1kGrh75X1cNR1D7_FcY9zMnHP8iP"&amp;"O4M5RCRjy6nZY0TY/edit#gid=1248694442"",""Table 3: 1st-line HC!A5:A111"")),"""")"),"")</f>
        <v/>
      </c>
      <c r="X42" s="14" t="str">
        <f>IFERROR(__xludf.DUMMYFUNCTION("IFNA(FILTER(IMPORTRANGE(""https://docs.google.com/spreadsheets/d/1kGrh75X1cNR1D7_FcY9zMnHP8iPO4M5RCRjy6nZY0TY/edit#gid=1248694442"",""Table 3: 1st-line HC!AI5:AI111""), $A42=IMPORTRANGE(""https://docs.google.com/spreadsheets/d/1kGrh75X1cNR1D7_FcY9zMnHP8iP"&amp;"O4M5RCRjy6nZY0TY/edit#gid=1248694442"",""Table 3: 1st-line HC!A5:A111"")),"""")"),"")</f>
        <v/>
      </c>
    </row>
    <row r="43">
      <c r="A43" s="4" t="str">
        <f>IFERROR(__xludf.DUMMYFUNCTION("""COMPUTED_VALUE"""),"ID 86")</f>
        <v>ID 86</v>
      </c>
      <c r="B43" s="14" t="str">
        <f>IFERROR(__xludf.DUMMYFUNCTION("IFNA(FILTER(IMPORTRANGE(""https://docs.google.com/spreadsheets/d/1kGrh75X1cNR1D7_FcY9zMnHP8iPO4M5RCRjy6nZY0TY/edit#gid=1248694442"",""Table 2: MMC!D5:D114""), $A43=IMPORTRANGE(""https://docs.google.com/spreadsheets/d/1kGrh75X1cNR1D7_FcY9zMnHP8iPO4M5RCRjy6"&amp;"nZY0TY/edit#gid=1248694442"",""Table 2: MMC!A5:A114"")),"""")"),"")</f>
        <v/>
      </c>
      <c r="C43" s="14" t="str">
        <f>IFERROR(__xludf.DUMMYFUNCTION("IFNA(FILTER(IMPORTRANGE(""https://docs.google.com/spreadsheets/d/1kGrh75X1cNR1D7_FcY9zMnHP8iPO4M5RCRjy6nZY0TY/edit#gid=1248694442"",""Table 2: MMC!E5:E114""), $A43=IMPORTRANGE(""https://docs.google.com/spreadsheets/d/1kGrh75X1cNR1D7_FcY9zMnHP8iPO4M5RCRjy6"&amp;"nZY0TY/edit#gid=1248694442"",""Table 2: MMC!A5:A114"")),"""")"),"")</f>
        <v/>
      </c>
      <c r="D43" s="14">
        <f>IFERROR(__xludf.DUMMYFUNCTION("IFNA(FILTER(IMPORTRANGE(""https://docs.google.com/spreadsheets/d/1kGrh75X1cNR1D7_FcY9zMnHP8iPO4M5RCRjy6nZY0TY/edit#gid=1248694442"",""Table 2: MMC!F5:F114""), $A43=IMPORTRANGE(""https://docs.google.com/spreadsheets/d/1kGrh75X1cNR1D7_FcY9zMnHP8iPO4M5RCRjy6"&amp;"nZY0TY/edit#gid=1248694442"",""Table 2: MMC!A5:A114"")),"""")"),340.0)</f>
        <v>340</v>
      </c>
      <c r="E43" s="14" t="str">
        <f>IFERROR(__xludf.DUMMYFUNCTION("IFNA(FILTER(IMPORTRANGE(""https://docs.google.com/spreadsheets/d/1kGrh75X1cNR1D7_FcY9zMnHP8iPO4M5RCRjy6nZY0TY/edit#gid=1248694442"",""Table 2: MMC!G5:G114""), $A43=IMPORTRANGE(""https://docs.google.com/spreadsheets/d/1kGrh75X1cNR1D7_FcY9zMnHP8iPO4M5RCRjy6"&amp;"nZY0TY/edit#gid=1248694442"",""Table 2: MMC!A5:A114"")),"""")"),"")</f>
        <v/>
      </c>
      <c r="F43" s="14">
        <f>IFERROR(__xludf.DUMMYFUNCTION("IFNA(FILTER(IMPORTRANGE(""https://docs.google.com/spreadsheets/d/1kGrh75X1cNR1D7_FcY9zMnHP8iPO4M5RCRjy6nZY0TY/edit#gid=1248694442"",""Table 2: MMC!H5:H114""), $A43=IMPORTRANGE(""https://docs.google.com/spreadsheets/d/1kGrh75X1cNR1D7_FcY9zMnHP8iPO4M5RCRjy6"&amp;"nZY0TY/edit#gid=1248694442"",""Table 2: MMC!A5:A114"")),"""")"),25.0)</f>
        <v>25</v>
      </c>
      <c r="G43" s="14" t="str">
        <f>IFERROR(__xludf.DUMMYFUNCTION("IFNA(FILTER(IMPORTRANGE(""https://docs.google.com/spreadsheets/d/1kGrh75X1cNR1D7_FcY9zMnHP8iPO4M5RCRjy6nZY0TY/edit#gid=1248694442"",""Table 2: MMC!I5:I114""), $A43=IMPORTRANGE(""https://docs.google.com/spreadsheets/d/1kGrh75X1cNR1D7_FcY9zMnHP8iPO4M5RCRjy6"&amp;"nZY0TY/edit#gid=1248694442"",""Table 2: MMC!A5:A114"")),"""")"),"")</f>
        <v/>
      </c>
      <c r="H43" s="14" t="str">
        <f>IFERROR(__xludf.DUMMYFUNCTION("IFNA(FILTER(IMPORTRANGE(""https://docs.google.com/spreadsheets/d/1kGrh75X1cNR1D7_FcY9zMnHP8iPO4M5RCRjy6nZY0TY/edit#gid=1248694442"",""Table 2: MMC!J5:J114""), $A43=IMPORTRANGE(""https://docs.google.com/spreadsheets/d/1kGrh75X1cNR1D7_FcY9zMnHP8iPO4M5RCRjy6"&amp;"nZY0TY/edit#gid=1248694442"",""Table 2: MMC!A5:A114"")),"""")"),"post-natal")</f>
        <v>post-natal</v>
      </c>
      <c r="I43" s="14">
        <f>IFERROR(__xludf.DUMMYFUNCTION("IFNA(FILTER(IMPORTRANGE(""https://docs.google.com/spreadsheets/d/1kGrh75X1cNR1D7_FcY9zMnHP8iPO4M5RCRjy6nZY0TY/edit#gid=1248694442"",""Table 2: MMC!M5:M114""), $A43=IMPORTRANGE(""https://docs.google.com/spreadsheets/d/1kGrh75X1cNR1D7_FcY9zMnHP8iPO4M5RCRjy6"&amp;"nZY0TY/edit#gid=1248694442"",""Table 2: MMC!A5:A114"")),"""")"),28.0)</f>
        <v>28</v>
      </c>
      <c r="J43" s="14" t="str">
        <f>IFERROR(__xludf.DUMMYFUNCTION("IFNA(FILTER(IMPORTRANGE(""https://docs.google.com/spreadsheets/d/1kGrh75X1cNR1D7_FcY9zMnHP8iPO4M5RCRjy6nZY0TY/edit#gid=1248694442"",""Table 2: MMC!Q5:Q114""), $A43=IMPORTRANGE(""https://docs.google.com/spreadsheets/d/1kGrh75X1cNR1D7_FcY9zMnHP8iPO4M5RCRjy6"&amp;"nZY0TY/edit#gid=1248694442"",""Table 2: MMC!A5:A114"")),"""")"),"")</f>
        <v/>
      </c>
      <c r="K43" s="14" t="str">
        <f>IFERROR(__xludf.DUMMYFUNCTION("IFNA(FILTER(IMPORTRANGE(""https://docs.google.com/spreadsheets/d/1kGrh75X1cNR1D7_FcY9zMnHP8iPO4M5RCRjy6nZY0TY/edit#gid=1248694442"",""Table 2: MMC!R5:R114""), $A43=IMPORTRANGE(""https://docs.google.com/spreadsheets/d/1kGrh75X1cNR1D7_FcY9zMnHP8iPO4M5RCRjy6"&amp;"nZY0TY/edit#gid=1248694442"",""Table 2: MMC!A5:A114"")),"""")"),"")</f>
        <v/>
      </c>
      <c r="L43" s="14" t="str">
        <f>IFERROR(__xludf.DUMMYFUNCTION("IFNA(FILTER(IMPORTRANGE(""https://docs.google.com/spreadsheets/d/1kGrh75X1cNR1D7_FcY9zMnHP8iPO4M5RCRjy6nZY0TY/edit#gid=1248694442"",""Table 2: MMC!S5:S114""), $A43=IMPORTRANGE(""https://docs.google.com/spreadsheets/d/1kGrh75X1cNR1D7_FcY9zMnHP8iPO4M5RCRjy6"&amp;"nZY0TY/edit#gid=1248694442"",""Table 2: MMC!A5:A114"")),"""")"),"Shunt placement before MMC repair in the same setting= 291 out of the 365 cases of MMCaH")</f>
        <v>Shunt placement before MMC repair in the same setting= 291 out of the 365 cases of MMCaH</v>
      </c>
      <c r="M43" s="14" t="str">
        <f>IFERROR(__xludf.DUMMYFUNCTION("IFNA(FILTER(IMPORTRANGE(""https://docs.google.com/spreadsheets/d/1kGrh75X1cNR1D7_FcY9zMnHP8iPO4M5RCRjy6nZY0TY/edit#gid=1248694442"",""Table 3: 1st-line HC!D5:D111""), $A43=IMPORTRANGE(""https://docs.google.com/spreadsheets/d/1kGrh75X1cNR1D7_FcY9zMnHP8iPO4"&amp;"M5RCRjy6nZY0TY/edit#gid=1248694442"",""Table 3: 1st-line HC!A5:A111"")),"""")"),"")</f>
        <v/>
      </c>
      <c r="N43" s="14" t="str">
        <f>IFERROR(__xludf.DUMMYFUNCTION("IFNA(FILTER(IMPORTRANGE(""https://docs.google.com/spreadsheets/d/1kGrh75X1cNR1D7_FcY9zMnHP8iPO4M5RCRjy6nZY0TY/edit#gid=1248694442"",""Table 3: 1st-line HC!E5:E111""), $A43=IMPORTRANGE(""https://docs.google.com/spreadsheets/d/1kGrh75X1cNR1D7_FcY9zMnHP8iPO4"&amp;"M5RCRjy6nZY0TY/edit#gid=1248694442"",""Table 3: 1st-line HC!A5:A111"")),"""")"),"")</f>
        <v/>
      </c>
      <c r="O43" s="14" t="str">
        <f>IFERROR(__xludf.DUMMYFUNCTION("IFNA(FILTER(IMPORTRANGE(""https://docs.google.com/spreadsheets/d/1kGrh75X1cNR1D7_FcY9zMnHP8iPO4M5RCRjy6nZY0TY/edit#gid=1248694442"",""Table 3: 1st-line HC!K5:K111""), $A43=IMPORTRANGE(""https://docs.google.com/spreadsheets/d/1kGrh75X1cNR1D7_FcY9zMnHP8iPO4"&amp;"M5RCRjy6nZY0TY/edit#gid=1248694442"",""Table 3: 1st-line HC!A5:A111"")),"""")"),"")</f>
        <v/>
      </c>
      <c r="P43" s="14" t="str">
        <f>IFERROR(__xludf.DUMMYFUNCTION("IFNA(FILTER(IMPORTRANGE(""https://docs.google.com/spreadsheets/d/1kGrh75X1cNR1D7_FcY9zMnHP8iPO4M5RCRjy6nZY0TY/edit#gid=1248694442"",""Table 3: 1st-line HC!L5:L111""), $A43=IMPORTRANGE(""https://docs.google.com/spreadsheets/d/1kGrh75X1cNR1D7_FcY9zMnHP8iPO4"&amp;"M5RCRjy6nZY0TY/edit#gid=1248694442"",""Table 3: 1st-line HC!A5:A111"")),"""")"),"")</f>
        <v/>
      </c>
      <c r="Q43" s="14" t="str">
        <f>IFERROR(__xludf.DUMMYFUNCTION("IFNA(FILTER(IMPORTRANGE(""https://docs.google.com/spreadsheets/d/1kGrh75X1cNR1D7_FcY9zMnHP8iPO4M5RCRjy6nZY0TY/edit#gid=1248694442"",""Table 3: 1st-line HC!M5:M111""), $A43=IMPORTRANGE(""https://docs.google.com/spreadsheets/d/1kGrh75X1cNR1D7_FcY9zMnHP8iPO4"&amp;"M5RCRjy6nZY0TY/edit#gid=1248694442"",""Table 3: 1st-line HC!A5:A111"")),"""")"),"")</f>
        <v/>
      </c>
      <c r="R43" s="14" t="str">
        <f>IFERROR(__xludf.DUMMYFUNCTION("IFNA(FILTER(IMPORTRANGE(""https://docs.google.com/spreadsheets/d/1kGrh75X1cNR1D7_FcY9zMnHP8iPO4M5RCRjy6nZY0TY/edit#gid=1248694442"",""Table 3: 1st-line HC!N5:N111""), $A43=IMPORTRANGE(""https://docs.google.com/spreadsheets/d/1kGrh75X1cNR1D7_FcY9zMnHP8iPO4"&amp;"M5RCRjy6nZY0TY/edit#gid=1248694442"",""Table 3: 1st-line HC!A5:A111"")),"""")"),"")</f>
        <v/>
      </c>
      <c r="S43" s="14">
        <f>IFERROR(__xludf.DUMMYFUNCTION("IFNA(FILTER(IMPORTRANGE(""https://docs.google.com/spreadsheets/d/1kGrh75X1cNR1D7_FcY9zMnHP8iPO4M5RCRjy6nZY0TY/edit#gid=1248694442"",""Table 3: 1st-line HC!T5:T111""), $A43=IMPORTRANGE(""https://docs.google.com/spreadsheets/d/1kGrh75X1cNR1D7_FcY9zMnHP8iPO4"&amp;"M5RCRjy6nZY0TY/edit#gid=1248694442"",""Table 3: 1st-line HC!A5:A111"")),"""")"),0.0)</f>
        <v>0</v>
      </c>
      <c r="T43" s="14">
        <f>IFERROR(__xludf.DUMMYFUNCTION("IFNA(FILTER(IMPORTRANGE(""https://docs.google.com/spreadsheets/d/1kGrh75X1cNR1D7_FcY9zMnHP8iPO4M5RCRjy6nZY0TY/edit#gid=1248694442"",""Table 3: 1st-line HC!U5:U111""), $A43=IMPORTRANGE(""https://docs.google.com/spreadsheets/d/1kGrh75X1cNR1D7_FcY9zMnHP8iPO4"&amp;"M5RCRjy6nZY0TY/edit#gid=1248694442"",""Table 3: 1st-line HC!A5:A111"")),"""")"),0.0)</f>
        <v>0</v>
      </c>
      <c r="U43" s="14">
        <f>IFERROR(__xludf.DUMMYFUNCTION("IFNA(FILTER(IMPORTRANGE(""https://docs.google.com/spreadsheets/d/1kGrh75X1cNR1D7_FcY9zMnHP8iPO4M5RCRjy6nZY0TY/edit#gid=1248694442"",""Table 3: 1st-line HC!V5:V111""), $A43=IMPORTRANGE(""https://docs.google.com/spreadsheets/d/1kGrh75X1cNR1D7_FcY9zMnHP8iPO4"&amp;"M5RCRjy6nZY0TY/edit#gid=1248694442"",""Table 3: 1st-line HC!A5:A111"")),"""")"),0.0)</f>
        <v>0</v>
      </c>
      <c r="V43" s="14">
        <f>IFERROR(__xludf.DUMMYFUNCTION("IFNA(FILTER(IMPORTRANGE(""https://docs.google.com/spreadsheets/d/1kGrh75X1cNR1D7_FcY9zMnHP8iPO4M5RCRjy6nZY0TY/edit#gid=1248694442"",""Table 3: 1st-line HC!AE5:AE111""), $A43=IMPORTRANGE(""https://docs.google.com/spreadsheets/d/1kGrh75X1cNR1D7_FcY9zMnHP8iP"&amp;"O4M5RCRjy6nZY0TY/edit#gid=1248694442"",""Table 3: 1st-line HC!A5:A111"")),"""")"),50.5)</f>
        <v>50.5</v>
      </c>
      <c r="W43" s="14" t="str">
        <f>IFERROR(__xludf.DUMMYFUNCTION("IFNA(FILTER(IMPORTRANGE(""https://docs.google.com/spreadsheets/d/1kGrh75X1cNR1D7_FcY9zMnHP8iPO4M5RCRjy6nZY0TY/edit#gid=1248694442"",""Table 3: 1st-line HC!AG5:AG111""), $A43=IMPORTRANGE(""https://docs.google.com/spreadsheets/d/1kGrh75X1cNR1D7_FcY9zMnHP8iP"&amp;"O4M5RCRjy6nZY0TY/edit#gid=1248694442"",""Table 3: 1st-line HC!A5:A111"")),"""")"),"")</f>
        <v/>
      </c>
      <c r="X43" s="14" t="str">
        <f>IFERROR(__xludf.DUMMYFUNCTION("IFNA(FILTER(IMPORTRANGE(""https://docs.google.com/spreadsheets/d/1kGrh75X1cNR1D7_FcY9zMnHP8iPO4M5RCRjy6nZY0TY/edit#gid=1248694442"",""Table 3: 1st-line HC!AI5:AI111""), $A43=IMPORTRANGE(""https://docs.google.com/spreadsheets/d/1kGrh75X1cNR1D7_FcY9zMnHP8iP"&amp;"O4M5RCRjy6nZY0TY/edit#gid=1248694442"",""Table 3: 1st-line HC!A5:A111"")),"""")"),"52-104")</f>
        <v>52-104</v>
      </c>
    </row>
    <row r="44">
      <c r="A44" s="4" t="str">
        <f>IFERROR(__xludf.DUMMYFUNCTION("""COMPUTED_VALUE"""),"ID 88")</f>
        <v>ID 88</v>
      </c>
      <c r="B44" s="14" t="str">
        <f>IFERROR(__xludf.DUMMYFUNCTION("IFNA(FILTER(IMPORTRANGE(""https://docs.google.com/spreadsheets/d/1kGrh75X1cNR1D7_FcY9zMnHP8iPO4M5RCRjy6nZY0TY/edit#gid=1248694442"",""Table 2: MMC!D5:D114""), $A44=IMPORTRANGE(""https://docs.google.com/spreadsheets/d/1kGrh75X1cNR1D7_FcY9zMnHP8iPO4M5RCRjy6"&amp;"nZY0TY/edit#gid=1248694442"",""Table 2: MMC!A5:A114"")),"""")"),"")</f>
        <v/>
      </c>
      <c r="C44" s="14" t="str">
        <f>IFERROR(__xludf.DUMMYFUNCTION("IFNA(FILTER(IMPORTRANGE(""https://docs.google.com/spreadsheets/d/1kGrh75X1cNR1D7_FcY9zMnHP8iPO4M5RCRjy6nZY0TY/edit#gid=1248694442"",""Table 2: MMC!E5:E114""), $A44=IMPORTRANGE(""https://docs.google.com/spreadsheets/d/1kGrh75X1cNR1D7_FcY9zMnHP8iPO4M5RCRjy6"&amp;"nZY0TY/edit#gid=1248694442"",""Table 2: MMC!A5:A114"")),"""")"),"")</f>
        <v/>
      </c>
      <c r="D44" s="14" t="str">
        <f>IFERROR(__xludf.DUMMYFUNCTION("IFNA(FILTER(IMPORTRANGE(""https://docs.google.com/spreadsheets/d/1kGrh75X1cNR1D7_FcY9zMnHP8iPO4M5RCRjy6nZY0TY/edit#gid=1248694442"",""Table 2: MMC!F5:F114""), $A44=IMPORTRANGE(""https://docs.google.com/spreadsheets/d/1kGrh75X1cNR1D7_FcY9zMnHP8iPO4M5RCRjy6"&amp;"nZY0TY/edit#gid=1248694442"",""Table 2: MMC!A5:A114"")),"""")"),"")</f>
        <v/>
      </c>
      <c r="E44" s="14" t="str">
        <f>IFERROR(__xludf.DUMMYFUNCTION("IFNA(FILTER(IMPORTRANGE(""https://docs.google.com/spreadsheets/d/1kGrh75X1cNR1D7_FcY9zMnHP8iPO4M5RCRjy6nZY0TY/edit#gid=1248694442"",""Table 2: MMC!G5:G114""), $A44=IMPORTRANGE(""https://docs.google.com/spreadsheets/d/1kGrh75X1cNR1D7_FcY9zMnHP8iPO4M5RCRjy6"&amp;"nZY0TY/edit#gid=1248694442"",""Table 2: MMC!A5:A114"")),"""")"),"")</f>
        <v/>
      </c>
      <c r="F44" s="14" t="str">
        <f>IFERROR(__xludf.DUMMYFUNCTION("IFNA(FILTER(IMPORTRANGE(""https://docs.google.com/spreadsheets/d/1kGrh75X1cNR1D7_FcY9zMnHP8iPO4M5RCRjy6nZY0TY/edit#gid=1248694442"",""Table 2: MMC!H5:H114""), $A44=IMPORTRANGE(""https://docs.google.com/spreadsheets/d/1kGrh75X1cNR1D7_FcY9zMnHP8iPO4M5RCRjy6"&amp;"nZY0TY/edit#gid=1248694442"",""Table 2: MMC!A5:A114"")),"""")"),"")</f>
        <v/>
      </c>
      <c r="G44" s="14" t="str">
        <f>IFERROR(__xludf.DUMMYFUNCTION("IFNA(FILTER(IMPORTRANGE(""https://docs.google.com/spreadsheets/d/1kGrh75X1cNR1D7_FcY9zMnHP8iPO4M5RCRjy6nZY0TY/edit#gid=1248694442"",""Table 2: MMC!I5:I114""), $A44=IMPORTRANGE(""https://docs.google.com/spreadsheets/d/1kGrh75X1cNR1D7_FcY9zMnHP8iPO4M5RCRjy6"&amp;"nZY0TY/edit#gid=1248694442"",""Table 2: MMC!A5:A114"")),"""")"),"")</f>
        <v/>
      </c>
      <c r="H44" s="14" t="str">
        <f>IFERROR(__xludf.DUMMYFUNCTION("IFNA(FILTER(IMPORTRANGE(""https://docs.google.com/spreadsheets/d/1kGrh75X1cNR1D7_FcY9zMnHP8iPO4M5RCRjy6nZY0TY/edit#gid=1248694442"",""Table 2: MMC!J5:J114""), $A44=IMPORTRANGE(""https://docs.google.com/spreadsheets/d/1kGrh75X1cNR1D7_FcY9zMnHP8iPO4M5RCRjy6"&amp;"nZY0TY/edit#gid=1248694442"",""Table 2: MMC!A5:A114"")),"""")"),"post-natal")</f>
        <v>post-natal</v>
      </c>
      <c r="I44" s="14" t="str">
        <f>IFERROR(__xludf.DUMMYFUNCTION("IFNA(FILTER(IMPORTRANGE(""https://docs.google.com/spreadsheets/d/1kGrh75X1cNR1D7_FcY9zMnHP8iPO4M5RCRjy6nZY0TY/edit#gid=1248694442"",""Table 2: MMC!M5:M114""), $A44=IMPORTRANGE(""https://docs.google.com/spreadsheets/d/1kGrh75X1cNR1D7_FcY9zMnHP8iPO4M5RCRjy6"&amp;"nZY0TY/edit#gid=1248694442"",""Table 2: MMC!A5:A114"")),"""")"),"")</f>
        <v/>
      </c>
      <c r="J44" s="14" t="str">
        <f>IFERROR(__xludf.DUMMYFUNCTION("IFNA(FILTER(IMPORTRANGE(""https://docs.google.com/spreadsheets/d/1kGrh75X1cNR1D7_FcY9zMnHP8iPO4M5RCRjy6nZY0TY/edit#gid=1248694442"",""Table 2: MMC!Q5:Q114""), $A44=IMPORTRANGE(""https://docs.google.com/spreadsheets/d/1kGrh75X1cNR1D7_FcY9zMnHP8iPO4M5RCRjy6"&amp;"nZY0TY/edit#gid=1248694442"",""Table 2: MMC!A5:A114"")),"""")"),"")</f>
        <v/>
      </c>
      <c r="K44" s="14" t="str">
        <f>IFERROR(__xludf.DUMMYFUNCTION("IFNA(FILTER(IMPORTRANGE(""https://docs.google.com/spreadsheets/d/1kGrh75X1cNR1D7_FcY9zMnHP8iPO4M5RCRjy6nZY0TY/edit#gid=1248694442"",""Table 2: MMC!R5:R114""), $A44=IMPORTRANGE(""https://docs.google.com/spreadsheets/d/1kGrh75X1cNR1D7_FcY9zMnHP8iPO4M5RCRjy6"&amp;"nZY0TY/edit#gid=1248694442"",""Table 2: MMC!A5:A114"")),"""")"),"")</f>
        <v/>
      </c>
      <c r="L44" s="14" t="str">
        <f>IFERROR(__xludf.DUMMYFUNCTION("IFNA(FILTER(IMPORTRANGE(""https://docs.google.com/spreadsheets/d/1kGrh75X1cNR1D7_FcY9zMnHP8iPO4M5RCRjy6nZY0TY/edit#gid=1248694442"",""Table 2: MMC!S5:S114""), $A44=IMPORTRANGE(""https://docs.google.com/spreadsheets/d/1kGrh75X1cNR1D7_FcY9zMnHP8iPO4M5RCRjy6"&amp;"nZY0TY/edit#gid=1248694442"",""Table 2: MMC!A5:A114"")),"""")"),"")</f>
        <v/>
      </c>
      <c r="M44" s="14" t="str">
        <f>IFERROR(__xludf.DUMMYFUNCTION("IFNA(FILTER(IMPORTRANGE(""https://docs.google.com/spreadsheets/d/1kGrh75X1cNR1D7_FcY9zMnHP8iPO4M5RCRjy6nZY0TY/edit#gid=1248694442"",""Table 3: 1st-line HC!D5:D111""), $A44=IMPORTRANGE(""https://docs.google.com/spreadsheets/d/1kGrh75X1cNR1D7_FcY9zMnHP8iPO4"&amp;"M5RCRjy6nZY0TY/edit#gid=1248694442"",""Table 3: 1st-line HC!A5:A111"")),"""")"),"")</f>
        <v/>
      </c>
      <c r="N44" s="14" t="str">
        <f>IFERROR(__xludf.DUMMYFUNCTION("IFNA(FILTER(IMPORTRANGE(""https://docs.google.com/spreadsheets/d/1kGrh75X1cNR1D7_FcY9zMnHP8iPO4M5RCRjy6nZY0TY/edit#gid=1248694442"",""Table 3: 1st-line HC!E5:E111""), $A44=IMPORTRANGE(""https://docs.google.com/spreadsheets/d/1kGrh75X1cNR1D7_FcY9zMnHP8iPO4"&amp;"M5RCRjy6nZY0TY/edit#gid=1248694442"",""Table 3: 1st-line HC!A5:A111"")),"""")"),"")</f>
        <v/>
      </c>
      <c r="O44" s="14" t="str">
        <f>IFERROR(__xludf.DUMMYFUNCTION("IFNA(FILTER(IMPORTRANGE(""https://docs.google.com/spreadsheets/d/1kGrh75X1cNR1D7_FcY9zMnHP8iPO4M5RCRjy6nZY0TY/edit#gid=1248694442"",""Table 3: 1st-line HC!K5:K111""), $A44=IMPORTRANGE(""https://docs.google.com/spreadsheets/d/1kGrh75X1cNR1D7_FcY9zMnHP8iPO4"&amp;"M5RCRjy6nZY0TY/edit#gid=1248694442"",""Table 3: 1st-line HC!A5:A111"")),"""")"),"")</f>
        <v/>
      </c>
      <c r="P44" s="14" t="str">
        <f>IFERROR(__xludf.DUMMYFUNCTION("IFNA(FILTER(IMPORTRANGE(""https://docs.google.com/spreadsheets/d/1kGrh75X1cNR1D7_FcY9zMnHP8iPO4M5RCRjy6nZY0TY/edit#gid=1248694442"",""Table 3: 1st-line HC!L5:L111""), $A44=IMPORTRANGE(""https://docs.google.com/spreadsheets/d/1kGrh75X1cNR1D7_FcY9zMnHP8iPO4"&amp;"M5RCRjy6nZY0TY/edit#gid=1248694442"",""Table 3: 1st-line HC!A5:A111"")),"""")"),"")</f>
        <v/>
      </c>
      <c r="Q44" s="14" t="str">
        <f>IFERROR(__xludf.DUMMYFUNCTION("IFNA(FILTER(IMPORTRANGE(""https://docs.google.com/spreadsheets/d/1kGrh75X1cNR1D7_FcY9zMnHP8iPO4M5RCRjy6nZY0TY/edit#gid=1248694442"",""Table 3: 1st-line HC!M5:M111""), $A44=IMPORTRANGE(""https://docs.google.com/spreadsheets/d/1kGrh75X1cNR1D7_FcY9zMnHP8iPO4"&amp;"M5RCRjy6nZY0TY/edit#gid=1248694442"",""Table 3: 1st-line HC!A5:A111"")),"""")"),"")</f>
        <v/>
      </c>
      <c r="R44" s="14" t="str">
        <f>IFERROR(__xludf.DUMMYFUNCTION("IFNA(FILTER(IMPORTRANGE(""https://docs.google.com/spreadsheets/d/1kGrh75X1cNR1D7_FcY9zMnHP8iPO4M5RCRjy6nZY0TY/edit#gid=1248694442"",""Table 3: 1st-line HC!N5:N111""), $A44=IMPORTRANGE(""https://docs.google.com/spreadsheets/d/1kGrh75X1cNR1D7_FcY9zMnHP8iPO4"&amp;"M5RCRjy6nZY0TY/edit#gid=1248694442"",""Table 3: 1st-line HC!A5:A111"")),"""")"),"")</f>
        <v/>
      </c>
      <c r="S44" s="14">
        <f>IFERROR(__xludf.DUMMYFUNCTION("IFNA(FILTER(IMPORTRANGE(""https://docs.google.com/spreadsheets/d/1kGrh75X1cNR1D7_FcY9zMnHP8iPO4M5RCRjy6nZY0TY/edit#gid=1248694442"",""Table 3: 1st-line HC!T5:T111""), $A44=IMPORTRANGE(""https://docs.google.com/spreadsheets/d/1kGrh75X1cNR1D7_FcY9zMnHP8iPO4"&amp;"M5RCRjy6nZY0TY/edit#gid=1248694442"",""Table 3: 1st-line HC!A5:A111"")),"""")"),7.0)</f>
        <v>7</v>
      </c>
      <c r="T44" s="14" t="str">
        <f>IFERROR(__xludf.DUMMYFUNCTION("IFNA(FILTER(IMPORTRANGE(""https://docs.google.com/spreadsheets/d/1kGrh75X1cNR1D7_FcY9zMnHP8iPO4M5RCRjy6nZY0TY/edit#gid=1248694442"",""Table 3: 1st-line HC!U5:U111""), $A44=IMPORTRANGE(""https://docs.google.com/spreadsheets/d/1kGrh75X1cNR1D7_FcY9zMnHP8iPO4"&amp;"M5RCRjy6nZY0TY/edit#gid=1248694442"",""Table 3: 1st-line HC!A5:A111"")),"""")"),"")</f>
        <v/>
      </c>
      <c r="U44" s="14" t="str">
        <f>IFERROR(__xludf.DUMMYFUNCTION("IFNA(FILTER(IMPORTRANGE(""https://docs.google.com/spreadsheets/d/1kGrh75X1cNR1D7_FcY9zMnHP8iPO4M5RCRjy6nZY0TY/edit#gid=1248694442"",""Table 3: 1st-line HC!V5:V111""), $A44=IMPORTRANGE(""https://docs.google.com/spreadsheets/d/1kGrh75X1cNR1D7_FcY9zMnHP8iPO4"&amp;"M5RCRjy6nZY0TY/edit#gid=1248694442"",""Table 3: 1st-line HC!A5:A111"")),"""")"),"")</f>
        <v/>
      </c>
      <c r="V44" s="14">
        <f>IFERROR(__xludf.DUMMYFUNCTION("IFNA(FILTER(IMPORTRANGE(""https://docs.google.com/spreadsheets/d/1kGrh75X1cNR1D7_FcY9zMnHP8iPO4M5RCRjy6nZY0TY/edit#gid=1248694442"",""Table 3: 1st-line HC!AE5:AE111""), $A44=IMPORTRANGE(""https://docs.google.com/spreadsheets/d/1kGrh75X1cNR1D7_FcY9zMnHP8iP"&amp;"O4M5RCRjy6nZY0TY/edit#gid=1248694442"",""Table 3: 1st-line HC!A5:A111"")),"""")"),15.0)</f>
        <v>15</v>
      </c>
      <c r="W44" s="14" t="str">
        <f>IFERROR(__xludf.DUMMYFUNCTION("IFNA(FILTER(IMPORTRANGE(""https://docs.google.com/spreadsheets/d/1kGrh75X1cNR1D7_FcY9zMnHP8iPO4M5RCRjy6nZY0TY/edit#gid=1248694442"",""Table 3: 1st-line HC!AG5:AG111""), $A44=IMPORTRANGE(""https://docs.google.com/spreadsheets/d/1kGrh75X1cNR1D7_FcY9zMnHP8iP"&amp;"O4M5RCRjy6nZY0TY/edit#gid=1248694442"",""Table 3: 1st-line HC!A5:A111"")),"""")"),"")</f>
        <v/>
      </c>
      <c r="X44" s="14" t="str">
        <f>IFERROR(__xludf.DUMMYFUNCTION("IFNA(FILTER(IMPORTRANGE(""https://docs.google.com/spreadsheets/d/1kGrh75X1cNR1D7_FcY9zMnHP8iPO4M5RCRjy6nZY0TY/edit#gid=1248694442"",""Table 3: 1st-line HC!AI5:AI111""), $A44=IMPORTRANGE(""https://docs.google.com/spreadsheets/d/1kGrh75X1cNR1D7_FcY9zMnHP8iP"&amp;"O4M5RCRjy6nZY0TY/edit#gid=1248694442"",""Table 3: 1st-line HC!A5:A111"")),"""")"),"24-272 (Median=96)")</f>
        <v>24-272 (Median=96)</v>
      </c>
    </row>
    <row r="45">
      <c r="A45" s="4" t="str">
        <f>IFERROR(__xludf.DUMMYFUNCTION("""COMPUTED_VALUE"""),"ID 89")</f>
        <v>ID 89</v>
      </c>
      <c r="B45" s="14" t="str">
        <f>IFERROR(__xludf.DUMMYFUNCTION("IFNA(FILTER(IMPORTRANGE(""https://docs.google.com/spreadsheets/d/1kGrh75X1cNR1D7_FcY9zMnHP8iPO4M5RCRjy6nZY0TY/edit#gid=1248694442"",""Table 2: MMC!D5:D114""), $A45=IMPORTRANGE(""https://docs.google.com/spreadsheets/d/1kGrh75X1cNR1D7_FcY9zMnHP8iPO4M5RCRjy6"&amp;"nZY0TY/edit#gid=1248694442"",""Table 2: MMC!A5:A114"")),"""")"),"")</f>
        <v/>
      </c>
      <c r="C45" s="14" t="str">
        <f>IFERROR(__xludf.DUMMYFUNCTION("IFNA(FILTER(IMPORTRANGE(""https://docs.google.com/spreadsheets/d/1kGrh75X1cNR1D7_FcY9zMnHP8iPO4M5RCRjy6nZY0TY/edit#gid=1248694442"",""Table 2: MMC!E5:E114""), $A45=IMPORTRANGE(""https://docs.google.com/spreadsheets/d/1kGrh75X1cNR1D7_FcY9zMnHP8iPO4M5RCRjy6"&amp;"nZY0TY/edit#gid=1248694442"",""Table 2: MMC!A5:A114"")),"""")"),"")</f>
        <v/>
      </c>
      <c r="D45" s="14" t="str">
        <f>IFERROR(__xludf.DUMMYFUNCTION("IFNA(FILTER(IMPORTRANGE(""https://docs.google.com/spreadsheets/d/1kGrh75X1cNR1D7_FcY9zMnHP8iPO4M5RCRjy6nZY0TY/edit#gid=1248694442"",""Table 2: MMC!F5:F114""), $A45=IMPORTRANGE(""https://docs.google.com/spreadsheets/d/1kGrh75X1cNR1D7_FcY9zMnHP8iPO4M5RCRjy6"&amp;"nZY0TY/edit#gid=1248694442"",""Table 2: MMC!A5:A114"")),"""")"),"")</f>
        <v/>
      </c>
      <c r="E45" s="14" t="str">
        <f>IFERROR(__xludf.DUMMYFUNCTION("IFNA(FILTER(IMPORTRANGE(""https://docs.google.com/spreadsheets/d/1kGrh75X1cNR1D7_FcY9zMnHP8iPO4M5RCRjy6nZY0TY/edit#gid=1248694442"",""Table 2: MMC!G5:G114""), $A45=IMPORTRANGE(""https://docs.google.com/spreadsheets/d/1kGrh75X1cNR1D7_FcY9zMnHP8iPO4M5RCRjy6"&amp;"nZY0TY/edit#gid=1248694442"",""Table 2: MMC!A5:A114"")),"""")"),"")</f>
        <v/>
      </c>
      <c r="F45" s="14" t="str">
        <f>IFERROR(__xludf.DUMMYFUNCTION("IFNA(FILTER(IMPORTRANGE(""https://docs.google.com/spreadsheets/d/1kGrh75X1cNR1D7_FcY9zMnHP8iPO4M5RCRjy6nZY0TY/edit#gid=1248694442"",""Table 2: MMC!H5:H114""), $A45=IMPORTRANGE(""https://docs.google.com/spreadsheets/d/1kGrh75X1cNR1D7_FcY9zMnHP8iPO4M5RCRjy6"&amp;"nZY0TY/edit#gid=1248694442"",""Table 2: MMC!A5:A114"")),"""")"),"")</f>
        <v/>
      </c>
      <c r="G45" s="14" t="str">
        <f>IFERROR(__xludf.DUMMYFUNCTION("IFNA(FILTER(IMPORTRANGE(""https://docs.google.com/spreadsheets/d/1kGrh75X1cNR1D7_FcY9zMnHP8iPO4M5RCRjy6nZY0TY/edit#gid=1248694442"",""Table 2: MMC!I5:I114""), $A45=IMPORTRANGE(""https://docs.google.com/spreadsheets/d/1kGrh75X1cNR1D7_FcY9zMnHP8iPO4M5RCRjy6"&amp;"nZY0TY/edit#gid=1248694442"",""Table 2: MMC!A5:A114"")),"""")"),"")</f>
        <v/>
      </c>
      <c r="H45" s="14" t="str">
        <f>IFERROR(__xludf.DUMMYFUNCTION("IFNA(FILTER(IMPORTRANGE(""https://docs.google.com/spreadsheets/d/1kGrh75X1cNR1D7_FcY9zMnHP8iPO4M5RCRjy6nZY0TY/edit#gid=1248694442"",""Table 2: MMC!J5:J114""), $A45=IMPORTRANGE(""https://docs.google.com/spreadsheets/d/1kGrh75X1cNR1D7_FcY9zMnHP8iPO4M5RCRjy6"&amp;"nZY0TY/edit#gid=1248694442"",""Table 2: MMC!A5:A114"")),"""")"),"Both")</f>
        <v>Both</v>
      </c>
      <c r="I45" s="14" t="str">
        <f>IFERROR(__xludf.DUMMYFUNCTION("IFNA(FILTER(IMPORTRANGE(""https://docs.google.com/spreadsheets/d/1kGrh75X1cNR1D7_FcY9zMnHP8iPO4M5RCRjy6nZY0TY/edit#gid=1248694442"",""Table 2: MMC!M5:M114""), $A45=IMPORTRANGE(""https://docs.google.com/spreadsheets/d/1kGrh75X1cNR1D7_FcY9zMnHP8iPO4M5RCRjy6"&amp;"nZY0TY/edit#gid=1248694442"",""Table 2: MMC!A5:A114"")),"""")"),"")</f>
        <v/>
      </c>
      <c r="J45" s="14" t="str">
        <f>IFERROR(__xludf.DUMMYFUNCTION("IFNA(FILTER(IMPORTRANGE(""https://docs.google.com/spreadsheets/d/1kGrh75X1cNR1D7_FcY9zMnHP8iPO4M5RCRjy6nZY0TY/edit#gid=1248694442"",""Table 2: MMC!Q5:Q114""), $A45=IMPORTRANGE(""https://docs.google.com/spreadsheets/d/1kGrh75X1cNR1D7_FcY9zMnHP8iPO4M5RCRjy6"&amp;"nZY0TY/edit#gid=1248694442"",""Table 2: MMC!A5:A114"")),"""")"),"")</f>
        <v/>
      </c>
      <c r="K45" s="14" t="str">
        <f>IFERROR(__xludf.DUMMYFUNCTION("IFNA(FILTER(IMPORTRANGE(""https://docs.google.com/spreadsheets/d/1kGrh75X1cNR1D7_FcY9zMnHP8iPO4M5RCRjy6nZY0TY/edit#gid=1248694442"",""Table 2: MMC!R5:R114""), $A45=IMPORTRANGE(""https://docs.google.com/spreadsheets/d/1kGrh75X1cNR1D7_FcY9zMnHP8iPO4M5RCRjy6"&amp;"nZY0TY/edit#gid=1248694442"",""Table 2: MMC!A5:A114"")),"""")"),"")</f>
        <v/>
      </c>
      <c r="L45" s="14" t="str">
        <f>IFERROR(__xludf.DUMMYFUNCTION("IFNA(FILTER(IMPORTRANGE(""https://docs.google.com/spreadsheets/d/1kGrh75X1cNR1D7_FcY9zMnHP8iPO4M5RCRjy6nZY0TY/edit#gid=1248694442"",""Table 2: MMC!S5:S114""), $A45=IMPORTRANGE(""https://docs.google.com/spreadsheets/d/1kGrh75X1cNR1D7_FcY9zMnHP8iPO4M5RCRjy6"&amp;"nZY0TY/edit#gid=1248694442"",""Table 2: MMC!A5:A114"")),"""")"),"No dissagregate data on MMC related mortality for patients with MMCaH")</f>
        <v>No dissagregate data on MMC related mortality for patients with MMCaH</v>
      </c>
      <c r="M45" s="14" t="str">
        <f>IFERROR(__xludf.DUMMYFUNCTION("IFNA(FILTER(IMPORTRANGE(""https://docs.google.com/spreadsheets/d/1kGrh75X1cNR1D7_FcY9zMnHP8iPO4M5RCRjy6nZY0TY/edit#gid=1248694442"",""Table 3: 1st-line HC!D5:D111""), $A45=IMPORTRANGE(""https://docs.google.com/spreadsheets/d/1kGrh75X1cNR1D7_FcY9zMnHP8iPO4"&amp;"M5RCRjy6nZY0TY/edit#gid=1248694442"",""Table 3: 1st-line HC!A5:A111"")),"""")"),"")</f>
        <v/>
      </c>
      <c r="N45" s="14" t="str">
        <f>IFERROR(__xludf.DUMMYFUNCTION("IFNA(FILTER(IMPORTRANGE(""https://docs.google.com/spreadsheets/d/1kGrh75X1cNR1D7_FcY9zMnHP8iPO4M5RCRjy6nZY0TY/edit#gid=1248694442"",""Table 3: 1st-line HC!E5:E111""), $A45=IMPORTRANGE(""https://docs.google.com/spreadsheets/d/1kGrh75X1cNR1D7_FcY9zMnHP8iPO4"&amp;"M5RCRjy6nZY0TY/edit#gid=1248694442"",""Table 3: 1st-line HC!A5:A111"")),"""")"),"")</f>
        <v/>
      </c>
      <c r="O45" s="14" t="str">
        <f>IFERROR(__xludf.DUMMYFUNCTION("IFNA(FILTER(IMPORTRANGE(""https://docs.google.com/spreadsheets/d/1kGrh75X1cNR1D7_FcY9zMnHP8iPO4M5RCRjy6nZY0TY/edit#gid=1248694442"",""Table 3: 1st-line HC!K5:K111""), $A45=IMPORTRANGE(""https://docs.google.com/spreadsheets/d/1kGrh75X1cNR1D7_FcY9zMnHP8iPO4"&amp;"M5RCRjy6nZY0TY/edit#gid=1248694442"",""Table 3: 1st-line HC!A5:A111"")),"""")"),"")</f>
        <v/>
      </c>
      <c r="P45" s="14" t="str">
        <f>IFERROR(__xludf.DUMMYFUNCTION("IFNA(FILTER(IMPORTRANGE(""https://docs.google.com/spreadsheets/d/1kGrh75X1cNR1D7_FcY9zMnHP8iPO4M5RCRjy6nZY0TY/edit#gid=1248694442"",""Table 3: 1st-line HC!L5:L111""), $A45=IMPORTRANGE(""https://docs.google.com/spreadsheets/d/1kGrh75X1cNR1D7_FcY9zMnHP8iPO4"&amp;"M5RCRjy6nZY0TY/edit#gid=1248694442"",""Table 3: 1st-line HC!A5:A111"")),"""")"),"")</f>
        <v/>
      </c>
      <c r="Q45" s="14" t="str">
        <f>IFERROR(__xludf.DUMMYFUNCTION("IFNA(FILTER(IMPORTRANGE(""https://docs.google.com/spreadsheets/d/1kGrh75X1cNR1D7_FcY9zMnHP8iPO4M5RCRjy6nZY0TY/edit#gid=1248694442"",""Table 3: 1st-line HC!M5:M111""), $A45=IMPORTRANGE(""https://docs.google.com/spreadsheets/d/1kGrh75X1cNR1D7_FcY9zMnHP8iPO4"&amp;"M5RCRjy6nZY0TY/edit#gid=1248694442"",""Table 3: 1st-line HC!A5:A111"")),"""")"),"")</f>
        <v/>
      </c>
      <c r="R45" s="14" t="str">
        <f>IFERROR(__xludf.DUMMYFUNCTION("IFNA(FILTER(IMPORTRANGE(""https://docs.google.com/spreadsheets/d/1kGrh75X1cNR1D7_FcY9zMnHP8iPO4M5RCRjy6nZY0TY/edit#gid=1248694442"",""Table 3: 1st-line HC!N5:N111""), $A45=IMPORTRANGE(""https://docs.google.com/spreadsheets/d/1kGrh75X1cNR1D7_FcY9zMnHP8iPO4"&amp;"M5RCRjy6nZY0TY/edit#gid=1248694442"",""Table 3: 1st-line HC!A5:A111"")),"""")"),"")</f>
        <v/>
      </c>
      <c r="S45" s="14" t="str">
        <f>IFERROR(__xludf.DUMMYFUNCTION("IFNA(FILTER(IMPORTRANGE(""https://docs.google.com/spreadsheets/d/1kGrh75X1cNR1D7_FcY9zMnHP8iPO4M5RCRjy6nZY0TY/edit#gid=1248694442"",""Table 3: 1st-line HC!T5:T111""), $A45=IMPORTRANGE(""https://docs.google.com/spreadsheets/d/1kGrh75X1cNR1D7_FcY9zMnHP8iPO4"&amp;"M5RCRjy6nZY0TY/edit#gid=1248694442"",""Table 3: 1st-line HC!A5:A111"")),"""")"),"")</f>
        <v/>
      </c>
      <c r="T45" s="14" t="str">
        <f>IFERROR(__xludf.DUMMYFUNCTION("IFNA(FILTER(IMPORTRANGE(""https://docs.google.com/spreadsheets/d/1kGrh75X1cNR1D7_FcY9zMnHP8iPO4M5RCRjy6nZY0TY/edit#gid=1248694442"",""Table 3: 1st-line HC!U5:U111""), $A45=IMPORTRANGE(""https://docs.google.com/spreadsheets/d/1kGrh75X1cNR1D7_FcY9zMnHP8iPO4"&amp;"M5RCRjy6nZY0TY/edit#gid=1248694442"",""Table 3: 1st-line HC!A5:A111"")),"""")"),"")</f>
        <v/>
      </c>
      <c r="U45" s="14" t="str">
        <f>IFERROR(__xludf.DUMMYFUNCTION("IFNA(FILTER(IMPORTRANGE(""https://docs.google.com/spreadsheets/d/1kGrh75X1cNR1D7_FcY9zMnHP8iPO4M5RCRjy6nZY0TY/edit#gid=1248694442"",""Table 3: 1st-line HC!V5:V111""), $A45=IMPORTRANGE(""https://docs.google.com/spreadsheets/d/1kGrh75X1cNR1D7_FcY9zMnHP8iPO4"&amp;"M5RCRjy6nZY0TY/edit#gid=1248694442"",""Table 3: 1st-line HC!A5:A111"")),"""")"),"")</f>
        <v/>
      </c>
      <c r="V45" s="14" t="str">
        <f>IFERROR(__xludf.DUMMYFUNCTION("IFNA(FILTER(IMPORTRANGE(""https://docs.google.com/spreadsheets/d/1kGrh75X1cNR1D7_FcY9zMnHP8iPO4M5RCRjy6nZY0TY/edit#gid=1248694442"",""Table 3: 1st-line HC!AE5:AE111""), $A45=IMPORTRANGE(""https://docs.google.com/spreadsheets/d/1kGrh75X1cNR1D7_FcY9zMnHP8iP"&amp;"O4M5RCRjy6nZY0TY/edit#gid=1248694442"",""Table 3: 1st-line HC!A5:A111"")),"""")"),"")</f>
        <v/>
      </c>
      <c r="W45" s="14" t="str">
        <f>IFERROR(__xludf.DUMMYFUNCTION("IFNA(FILTER(IMPORTRANGE(""https://docs.google.com/spreadsheets/d/1kGrh75X1cNR1D7_FcY9zMnHP8iPO4M5RCRjy6nZY0TY/edit#gid=1248694442"",""Table 3: 1st-line HC!AG5:AG111""), $A45=IMPORTRANGE(""https://docs.google.com/spreadsheets/d/1kGrh75X1cNR1D7_FcY9zMnHP8iP"&amp;"O4M5RCRjy6nZY0TY/edit#gid=1248694442"",""Table 3: 1st-line HC!A5:A111"")),"""")"),"")</f>
        <v/>
      </c>
      <c r="X45" s="14" t="str">
        <f>IFERROR(__xludf.DUMMYFUNCTION("IFNA(FILTER(IMPORTRANGE(""https://docs.google.com/spreadsheets/d/1kGrh75X1cNR1D7_FcY9zMnHP8iPO4M5RCRjy6nZY0TY/edit#gid=1248694442"",""Table 3: 1st-line HC!AI5:AI111""), $A45=IMPORTRANGE(""https://docs.google.com/spreadsheets/d/1kGrh75X1cNR1D7_FcY9zMnHP8iP"&amp;"O4M5RCRjy6nZY0TY/edit#gid=1248694442"",""Table 3: 1st-line HC!A5:A111"")),"""")"),"")</f>
        <v/>
      </c>
    </row>
    <row r="46">
      <c r="A46" s="4" t="str">
        <f>IFERROR(__xludf.DUMMYFUNCTION("""COMPUTED_VALUE"""),"ID 92")</f>
        <v>ID 92</v>
      </c>
      <c r="B46" s="14" t="str">
        <f>IFERROR(__xludf.DUMMYFUNCTION("IFNA(FILTER(IMPORTRANGE(""https://docs.google.com/spreadsheets/d/1kGrh75X1cNR1D7_FcY9zMnHP8iPO4M5RCRjy6nZY0TY/edit#gid=1248694442"",""Table 2: MMC!D5:D114""), $A46=IMPORTRANGE(""https://docs.google.com/spreadsheets/d/1kGrh75X1cNR1D7_FcY9zMnHP8iPO4M5RCRjy6"&amp;"nZY0TY/edit#gid=1248694442"",""Table 2: MMC!A5:A114"")),"""")"),"")</f>
        <v/>
      </c>
      <c r="C46" s="14" t="str">
        <f>IFERROR(__xludf.DUMMYFUNCTION("IFNA(FILTER(IMPORTRANGE(""https://docs.google.com/spreadsheets/d/1kGrh75X1cNR1D7_FcY9zMnHP8iPO4M5RCRjy6nZY0TY/edit#gid=1248694442"",""Table 2: MMC!E5:E114""), $A46=IMPORTRANGE(""https://docs.google.com/spreadsheets/d/1kGrh75X1cNR1D7_FcY9zMnHP8iPO4M5RCRjy6"&amp;"nZY0TY/edit#gid=1248694442"",""Table 2: MMC!A5:A114"")),"""")"),"")</f>
        <v/>
      </c>
      <c r="D46" s="14" t="str">
        <f>IFERROR(__xludf.DUMMYFUNCTION("IFNA(FILTER(IMPORTRANGE(""https://docs.google.com/spreadsheets/d/1kGrh75X1cNR1D7_FcY9zMnHP8iPO4M5RCRjy6nZY0TY/edit#gid=1248694442"",""Table 2: MMC!F5:F114""), $A46=IMPORTRANGE(""https://docs.google.com/spreadsheets/d/1kGrh75X1cNR1D7_FcY9zMnHP8iPO4M5RCRjy6"&amp;"nZY0TY/edit#gid=1248694442"",""Table 2: MMC!A5:A114"")),"""")"),"")</f>
        <v/>
      </c>
      <c r="E46" s="14" t="str">
        <f>IFERROR(__xludf.DUMMYFUNCTION("IFNA(FILTER(IMPORTRANGE(""https://docs.google.com/spreadsheets/d/1kGrh75X1cNR1D7_FcY9zMnHP8iPO4M5RCRjy6nZY0TY/edit#gid=1248694442"",""Table 2: MMC!G5:G114""), $A46=IMPORTRANGE(""https://docs.google.com/spreadsheets/d/1kGrh75X1cNR1D7_FcY9zMnHP8iPO4M5RCRjy6"&amp;"nZY0TY/edit#gid=1248694442"",""Table 2: MMC!A5:A114"")),"""")"),"")</f>
        <v/>
      </c>
      <c r="F46" s="14" t="str">
        <f>IFERROR(__xludf.DUMMYFUNCTION("IFNA(FILTER(IMPORTRANGE(""https://docs.google.com/spreadsheets/d/1kGrh75X1cNR1D7_FcY9zMnHP8iPO4M5RCRjy6nZY0TY/edit#gid=1248694442"",""Table 2: MMC!H5:H114""), $A46=IMPORTRANGE(""https://docs.google.com/spreadsheets/d/1kGrh75X1cNR1D7_FcY9zMnHP8iPO4M5RCRjy6"&amp;"nZY0TY/edit#gid=1248694442"",""Table 2: MMC!A5:A114"")),"""")"),"")</f>
        <v/>
      </c>
      <c r="G46" s="14" t="str">
        <f>IFERROR(__xludf.DUMMYFUNCTION("IFNA(FILTER(IMPORTRANGE(""https://docs.google.com/spreadsheets/d/1kGrh75X1cNR1D7_FcY9zMnHP8iPO4M5RCRjy6nZY0TY/edit#gid=1248694442"",""Table 2: MMC!I5:I114""), $A46=IMPORTRANGE(""https://docs.google.com/spreadsheets/d/1kGrh75X1cNR1D7_FcY9zMnHP8iPO4M5RCRjy6"&amp;"nZY0TY/edit#gid=1248694442"",""Table 2: MMC!A5:A114"")),"""")"),"")</f>
        <v/>
      </c>
      <c r="H46" s="14" t="str">
        <f>IFERROR(__xludf.DUMMYFUNCTION("IFNA(FILTER(IMPORTRANGE(""https://docs.google.com/spreadsheets/d/1kGrh75X1cNR1D7_FcY9zMnHP8iPO4M5RCRjy6nZY0TY/edit#gid=1248694442"",""Table 2: MMC!J5:J114""), $A46=IMPORTRANGE(""https://docs.google.com/spreadsheets/d/1kGrh75X1cNR1D7_FcY9zMnHP8iPO4M5RCRjy6"&amp;"nZY0TY/edit#gid=1248694442"",""Table 2: MMC!A5:A114"")),"""")"),"post-natal")</f>
        <v>post-natal</v>
      </c>
      <c r="I46" s="14" t="str">
        <f>IFERROR(__xludf.DUMMYFUNCTION("IFNA(FILTER(IMPORTRANGE(""https://docs.google.com/spreadsheets/d/1kGrh75X1cNR1D7_FcY9zMnHP8iPO4M5RCRjy6nZY0TY/edit#gid=1248694442"",""Table 2: MMC!M5:M114""), $A46=IMPORTRANGE(""https://docs.google.com/spreadsheets/d/1kGrh75X1cNR1D7_FcY9zMnHP8iPO4M5RCRjy6"&amp;"nZY0TY/edit#gid=1248694442"",""Table 2: MMC!A5:A114"")),"""")"),"")</f>
        <v/>
      </c>
      <c r="J46" s="14" t="str">
        <f>IFERROR(__xludf.DUMMYFUNCTION("IFNA(FILTER(IMPORTRANGE(""https://docs.google.com/spreadsheets/d/1kGrh75X1cNR1D7_FcY9zMnHP8iPO4M5RCRjy6nZY0TY/edit#gid=1248694442"",""Table 2: MMC!Q5:Q114""), $A46=IMPORTRANGE(""https://docs.google.com/spreadsheets/d/1kGrh75X1cNR1D7_FcY9zMnHP8iPO4M5RCRjy6"&amp;"nZY0TY/edit#gid=1248694442"",""Table 2: MMC!A5:A114"")),"""")"),"")</f>
        <v/>
      </c>
      <c r="K46" s="14" t="str">
        <f>IFERROR(__xludf.DUMMYFUNCTION("IFNA(FILTER(IMPORTRANGE(""https://docs.google.com/spreadsheets/d/1kGrh75X1cNR1D7_FcY9zMnHP8iPO4M5RCRjy6nZY0TY/edit#gid=1248694442"",""Table 2: MMC!R5:R114""), $A46=IMPORTRANGE(""https://docs.google.com/spreadsheets/d/1kGrh75X1cNR1D7_FcY9zMnHP8iPO4M5RCRjy6"&amp;"nZY0TY/edit#gid=1248694442"",""Table 2: MMC!A5:A114"")),"""")"),"")</f>
        <v/>
      </c>
      <c r="L46" s="14" t="str">
        <f>IFERROR(__xludf.DUMMYFUNCTION("IFNA(FILTER(IMPORTRANGE(""https://docs.google.com/spreadsheets/d/1kGrh75X1cNR1D7_FcY9zMnHP8iPO4M5RCRjy6nZY0TY/edit#gid=1248694442"",""Table 2: MMC!S5:S114""), $A46=IMPORTRANGE(""https://docs.google.com/spreadsheets/d/1kGrh75X1cNR1D7_FcY9zMnHP8iPO4M5RCRjy6"&amp;"nZY0TY/edit#gid=1248694442"",""Table 2: MMC!A5:A114"")),"""")"),"")</f>
        <v/>
      </c>
      <c r="M46" s="14" t="str">
        <f>IFERROR(__xludf.DUMMYFUNCTION("IFNA(FILTER(IMPORTRANGE(""https://docs.google.com/spreadsheets/d/1kGrh75X1cNR1D7_FcY9zMnHP8iPO4M5RCRjy6nZY0TY/edit#gid=1248694442"",""Table 3: 1st-line HC!D5:D111""), $A46=IMPORTRANGE(""https://docs.google.com/spreadsheets/d/1kGrh75X1cNR1D7_FcY9zMnHP8iPO4"&amp;"M5RCRjy6nZY0TY/edit#gid=1248694442"",""Table 3: 1st-line HC!A5:A111"")),"""")"),"")</f>
        <v/>
      </c>
      <c r="N46" s="14" t="str">
        <f>IFERROR(__xludf.DUMMYFUNCTION("IFNA(FILTER(IMPORTRANGE(""https://docs.google.com/spreadsheets/d/1kGrh75X1cNR1D7_FcY9zMnHP8iPO4M5RCRjy6nZY0TY/edit#gid=1248694442"",""Table 3: 1st-line HC!E5:E111""), $A46=IMPORTRANGE(""https://docs.google.com/spreadsheets/d/1kGrh75X1cNR1D7_FcY9zMnHP8iPO4"&amp;"M5RCRjy6nZY0TY/edit#gid=1248694442"",""Table 3: 1st-line HC!A5:A111"")),"""")"),"")</f>
        <v/>
      </c>
      <c r="O46" s="14" t="str">
        <f>IFERROR(__xludf.DUMMYFUNCTION("IFNA(FILTER(IMPORTRANGE(""https://docs.google.com/spreadsheets/d/1kGrh75X1cNR1D7_FcY9zMnHP8iPO4M5RCRjy6nZY0TY/edit#gid=1248694442"",""Table 3: 1st-line HC!K5:K111""), $A46=IMPORTRANGE(""https://docs.google.com/spreadsheets/d/1kGrh75X1cNR1D7_FcY9zMnHP8iPO4"&amp;"M5RCRjy6nZY0TY/edit#gid=1248694442"",""Table 3: 1st-line HC!A5:A111"")),"""")"),"")</f>
        <v/>
      </c>
      <c r="P46" s="14" t="str">
        <f>IFERROR(__xludf.DUMMYFUNCTION("IFNA(FILTER(IMPORTRANGE(""https://docs.google.com/spreadsheets/d/1kGrh75X1cNR1D7_FcY9zMnHP8iPO4M5RCRjy6nZY0TY/edit#gid=1248694442"",""Table 3: 1st-line HC!L5:L111""), $A46=IMPORTRANGE(""https://docs.google.com/spreadsheets/d/1kGrh75X1cNR1D7_FcY9zMnHP8iPO4"&amp;"M5RCRjy6nZY0TY/edit#gid=1248694442"",""Table 3: 1st-line HC!A5:A111"")),"""")"),"")</f>
        <v/>
      </c>
      <c r="Q46" s="14" t="str">
        <f>IFERROR(__xludf.DUMMYFUNCTION("IFNA(FILTER(IMPORTRANGE(""https://docs.google.com/spreadsheets/d/1kGrh75X1cNR1D7_FcY9zMnHP8iPO4M5RCRjy6nZY0TY/edit#gid=1248694442"",""Table 3: 1st-line HC!M5:M111""), $A46=IMPORTRANGE(""https://docs.google.com/spreadsheets/d/1kGrh75X1cNR1D7_FcY9zMnHP8iPO4"&amp;"M5RCRjy6nZY0TY/edit#gid=1248694442"",""Table 3: 1st-line HC!A5:A111"")),"""")"),"")</f>
        <v/>
      </c>
      <c r="R46" s="14" t="str">
        <f>IFERROR(__xludf.DUMMYFUNCTION("IFNA(FILTER(IMPORTRANGE(""https://docs.google.com/spreadsheets/d/1kGrh75X1cNR1D7_FcY9zMnHP8iPO4M5RCRjy6nZY0TY/edit#gid=1248694442"",""Table 3: 1st-line HC!N5:N111""), $A46=IMPORTRANGE(""https://docs.google.com/spreadsheets/d/1kGrh75X1cNR1D7_FcY9zMnHP8iPO4"&amp;"M5RCRjy6nZY0TY/edit#gid=1248694442"",""Table 3: 1st-line HC!A5:A111"")),"""")"),"")</f>
        <v/>
      </c>
      <c r="S46" s="14" t="str">
        <f>IFERROR(__xludf.DUMMYFUNCTION("IFNA(FILTER(IMPORTRANGE(""https://docs.google.com/spreadsheets/d/1kGrh75X1cNR1D7_FcY9zMnHP8iPO4M5RCRjy6nZY0TY/edit#gid=1248694442"",""Table 3: 1st-line HC!T5:T111""), $A46=IMPORTRANGE(""https://docs.google.com/spreadsheets/d/1kGrh75X1cNR1D7_FcY9zMnHP8iPO4"&amp;"M5RCRjy6nZY0TY/edit#gid=1248694442"",""Table 3: 1st-line HC!A5:A111"")),"""")"),"")</f>
        <v/>
      </c>
      <c r="T46" s="14" t="str">
        <f>IFERROR(__xludf.DUMMYFUNCTION("IFNA(FILTER(IMPORTRANGE(""https://docs.google.com/spreadsheets/d/1kGrh75X1cNR1D7_FcY9zMnHP8iPO4M5RCRjy6nZY0TY/edit#gid=1248694442"",""Table 3: 1st-line HC!U5:U111""), $A46=IMPORTRANGE(""https://docs.google.com/spreadsheets/d/1kGrh75X1cNR1D7_FcY9zMnHP8iPO4"&amp;"M5RCRjy6nZY0TY/edit#gid=1248694442"",""Table 3: 1st-line HC!A5:A111"")),"""")"),"")</f>
        <v/>
      </c>
      <c r="U46" s="14" t="str">
        <f>IFERROR(__xludf.DUMMYFUNCTION("IFNA(FILTER(IMPORTRANGE(""https://docs.google.com/spreadsheets/d/1kGrh75X1cNR1D7_FcY9zMnHP8iPO4M5RCRjy6nZY0TY/edit#gid=1248694442"",""Table 3: 1st-line HC!V5:V111""), $A46=IMPORTRANGE(""https://docs.google.com/spreadsheets/d/1kGrh75X1cNR1D7_FcY9zMnHP8iPO4"&amp;"M5RCRjy6nZY0TY/edit#gid=1248694442"",""Table 3: 1st-line HC!A5:A111"")),"""")"),"")</f>
        <v/>
      </c>
      <c r="V46" s="14">
        <f>IFERROR(__xludf.DUMMYFUNCTION("IFNA(FILTER(IMPORTRANGE(""https://docs.google.com/spreadsheets/d/1kGrh75X1cNR1D7_FcY9zMnHP8iPO4M5RCRjy6nZY0TY/edit#gid=1248694442"",""Table 3: 1st-line HC!AE5:AE111""), $A46=IMPORTRANGE(""https://docs.google.com/spreadsheets/d/1kGrh75X1cNR1D7_FcY9zMnHP8iP"&amp;"O4M5RCRjy6nZY0TY/edit#gid=1248694442"",""Table 3: 1st-line HC!A5:A111"")),"""")"),523.1672)</f>
        <v>523.1672</v>
      </c>
      <c r="W46" s="14">
        <f>IFERROR(__xludf.DUMMYFUNCTION("IFNA(FILTER(IMPORTRANGE(""https://docs.google.com/spreadsheets/d/1kGrh75X1cNR1D7_FcY9zMnHP8iPO4M5RCRjy6nZY0TY/edit#gid=1248694442"",""Table 3: 1st-line HC!AG5:AG111""), $A46=IMPORTRANGE(""https://docs.google.com/spreadsheets/d/1kGrh75X1cNR1D7_FcY9zMnHP8iP"&amp;"O4M5RCRjy6nZY0TY/edit#gid=1248694442"",""Table 3: 1st-line HC!A5:A111"")),"""")"),784.7509)</f>
        <v>784.7509</v>
      </c>
      <c r="X46" s="14" t="str">
        <f>IFERROR(__xludf.DUMMYFUNCTION("IFNA(FILTER(IMPORTRANGE(""https://docs.google.com/spreadsheets/d/1kGrh75X1cNR1D7_FcY9zMnHP8iPO4M5RCRjy6nZY0TY/edit#gid=1248694442"",""Table 3: 1st-line HC!AI5:AI111""), $A46=IMPORTRANGE(""https://docs.google.com/spreadsheets/d/1kGrh75X1cNR1D7_FcY9zMnHP8iP"&amp;"O4M5RCRjy6nZY0TY/edit#gid=1248694442"",""Table 3: 1st-line HC!A5:A111"")),"""")"),"")</f>
        <v/>
      </c>
    </row>
    <row r="47">
      <c r="A47" s="4" t="str">
        <f>IFERROR(__xludf.DUMMYFUNCTION("""COMPUTED_VALUE"""),"ID 93")</f>
        <v>ID 93</v>
      </c>
      <c r="B47" s="14" t="str">
        <f>IFERROR(__xludf.DUMMYFUNCTION("IFNA(FILTER(IMPORTRANGE(""https://docs.google.com/spreadsheets/d/1kGrh75X1cNR1D7_FcY9zMnHP8iPO4M5RCRjy6nZY0TY/edit#gid=1248694442"",""Table 2: MMC!D5:D114""), $A47=IMPORTRANGE(""https://docs.google.com/spreadsheets/d/1kGrh75X1cNR1D7_FcY9zMnHP8iPO4M5RCRjy6"&amp;"nZY0TY/edit#gid=1248694442"",""Table 2: MMC!A5:A114"")),"""")"),"")</f>
        <v/>
      </c>
      <c r="C47" s="14" t="str">
        <f>IFERROR(__xludf.DUMMYFUNCTION("IFNA(FILTER(IMPORTRANGE(""https://docs.google.com/spreadsheets/d/1kGrh75X1cNR1D7_FcY9zMnHP8iPO4M5RCRjy6nZY0TY/edit#gid=1248694442"",""Table 2: MMC!E5:E114""), $A47=IMPORTRANGE(""https://docs.google.com/spreadsheets/d/1kGrh75X1cNR1D7_FcY9zMnHP8iPO4M5RCRjy6"&amp;"nZY0TY/edit#gid=1248694442"",""Table 2: MMC!A5:A114"")),"""")"),"")</f>
        <v/>
      </c>
      <c r="D47" s="14">
        <f>IFERROR(__xludf.DUMMYFUNCTION("IFNA(FILTER(IMPORTRANGE(""https://docs.google.com/spreadsheets/d/1kGrh75X1cNR1D7_FcY9zMnHP8iPO4M5RCRjy6nZY0TY/edit#gid=1248694442"",""Table 2: MMC!F5:F114""), $A47=IMPORTRANGE(""https://docs.google.com/spreadsheets/d/1kGrh75X1cNR1D7_FcY9zMnHP8iPO4M5RCRjy6"&amp;"nZY0TY/edit#gid=1248694442"",""Table 2: MMC!A5:A114"")),"""")"),2.0)</f>
        <v>2</v>
      </c>
      <c r="E47" s="14">
        <f>IFERROR(__xludf.DUMMYFUNCTION("IFNA(FILTER(IMPORTRANGE(""https://docs.google.com/spreadsheets/d/1kGrh75X1cNR1D7_FcY9zMnHP8iPO4M5RCRjy6nZY0TY/edit#gid=1248694442"",""Table 2: MMC!G5:G114""), $A47=IMPORTRANGE(""https://docs.google.com/spreadsheets/d/1kGrh75X1cNR1D7_FcY9zMnHP8iPO4M5RCRjy6"&amp;"nZY0TY/edit#gid=1248694442"",""Table 2: MMC!A5:A114"")),"""")"),1.0)</f>
        <v>1</v>
      </c>
      <c r="F47" s="14">
        <f>IFERROR(__xludf.DUMMYFUNCTION("IFNA(FILTER(IMPORTRANGE(""https://docs.google.com/spreadsheets/d/1kGrh75X1cNR1D7_FcY9zMnHP8iPO4M5RCRjy6nZY0TY/edit#gid=1248694442"",""Table 2: MMC!H5:H114""), $A47=IMPORTRANGE(""https://docs.google.com/spreadsheets/d/1kGrh75X1cNR1D7_FcY9zMnHP8iPO4M5RCRjy6"&amp;"nZY0TY/edit#gid=1248694442"",""Table 2: MMC!A5:A114"")),"""")"),1.0)</f>
        <v>1</v>
      </c>
      <c r="G47" s="14" t="str">
        <f>IFERROR(__xludf.DUMMYFUNCTION("IFNA(FILTER(IMPORTRANGE(""https://docs.google.com/spreadsheets/d/1kGrh75X1cNR1D7_FcY9zMnHP8iPO4M5RCRjy6nZY0TY/edit#gid=1248694442"",""Table 2: MMC!I5:I114""), $A47=IMPORTRANGE(""https://docs.google.com/spreadsheets/d/1kGrh75X1cNR1D7_FcY9zMnHP8iPO4M5RCRjy6"&amp;"nZY0TY/edit#gid=1248694442"",""Table 2: MMC!A5:A114"")),"""")"),"")</f>
        <v/>
      </c>
      <c r="H47" s="14" t="str">
        <f>IFERROR(__xludf.DUMMYFUNCTION("IFNA(FILTER(IMPORTRANGE(""https://docs.google.com/spreadsheets/d/1kGrh75X1cNR1D7_FcY9zMnHP8iPO4M5RCRjy6nZY0TY/edit#gid=1248694442"",""Table 2: MMC!J5:J114""), $A47=IMPORTRANGE(""https://docs.google.com/spreadsheets/d/1kGrh75X1cNR1D7_FcY9zMnHP8iPO4M5RCRjy6"&amp;"nZY0TY/edit#gid=1248694442"",""Table 2: MMC!A5:A114"")),"""")"),"post-natal")</f>
        <v>post-natal</v>
      </c>
      <c r="I47" s="14" t="str">
        <f>IFERROR(__xludf.DUMMYFUNCTION("IFNA(FILTER(IMPORTRANGE(""https://docs.google.com/spreadsheets/d/1kGrh75X1cNR1D7_FcY9zMnHP8iPO4M5RCRjy6nZY0TY/edit#gid=1248694442"",""Table 2: MMC!M5:M114""), $A47=IMPORTRANGE(""https://docs.google.com/spreadsheets/d/1kGrh75X1cNR1D7_FcY9zMnHP8iPO4M5RCRjy6"&amp;"nZY0TY/edit#gid=1248694442"",""Table 2: MMC!A5:A114"")),"""")"),"")</f>
        <v/>
      </c>
      <c r="J47" s="14">
        <f>IFERROR(__xludf.DUMMYFUNCTION("IFNA(FILTER(IMPORTRANGE(""https://docs.google.com/spreadsheets/d/1kGrh75X1cNR1D7_FcY9zMnHP8iPO4M5RCRjy6nZY0TY/edit#gid=1248694442"",""Table 2: MMC!Q5:Q114""), $A47=IMPORTRANGE(""https://docs.google.com/spreadsheets/d/1kGrh75X1cNR1D7_FcY9zMnHP8iPO4M5RCRjy6"&amp;"nZY0TY/edit#gid=1248694442"",""Table 2: MMC!A5:A114"")),"""")"),0.0)</f>
        <v>0</v>
      </c>
      <c r="K47" s="14">
        <f>IFERROR(__xludf.DUMMYFUNCTION("IFNA(FILTER(IMPORTRANGE(""https://docs.google.com/spreadsheets/d/1kGrh75X1cNR1D7_FcY9zMnHP8iPO4M5RCRjy6nZY0TY/edit#gid=1248694442"",""Table 2: MMC!R5:R114""), $A47=IMPORTRANGE(""https://docs.google.com/spreadsheets/d/1kGrh75X1cNR1D7_FcY9zMnHP8iPO4M5RCRjy6"&amp;"nZY0TY/edit#gid=1248694442"",""Table 2: MMC!A5:A114"")),"""")"),0.0)</f>
        <v>0</v>
      </c>
      <c r="L47" s="14" t="str">
        <f>IFERROR(__xludf.DUMMYFUNCTION("IFNA(FILTER(IMPORTRANGE(""https://docs.google.com/spreadsheets/d/1kGrh75X1cNR1D7_FcY9zMnHP8iPO4M5RCRjy6nZY0TY/edit#gid=1248694442"",""Table 2: MMC!S5:S114""), $A47=IMPORTRANGE(""https://docs.google.com/spreadsheets/d/1kGrh75X1cNR1D7_FcY9zMnHP8iPO4M5RCRjy6"&amp;"nZY0TY/edit#gid=1248694442"",""Table 2: MMC!A5:A114"")),"""")"),"")</f>
        <v/>
      </c>
      <c r="M47" s="14" t="str">
        <f>IFERROR(__xludf.DUMMYFUNCTION("IFNA(FILTER(IMPORTRANGE(""https://docs.google.com/spreadsheets/d/1kGrh75X1cNR1D7_FcY9zMnHP8iPO4M5RCRjy6nZY0TY/edit#gid=1248694442"",""Table 3: 1st-line HC!D5:D111""), $A47=IMPORTRANGE(""https://docs.google.com/spreadsheets/d/1kGrh75X1cNR1D7_FcY9zMnHP8iPO4"&amp;"M5RCRjy6nZY0TY/edit#gid=1248694442"",""Table 3: 1st-line HC!A5:A111"")),"""")"),"")</f>
        <v/>
      </c>
      <c r="N47" s="14" t="str">
        <f>IFERROR(__xludf.DUMMYFUNCTION("IFNA(FILTER(IMPORTRANGE(""https://docs.google.com/spreadsheets/d/1kGrh75X1cNR1D7_FcY9zMnHP8iPO4M5RCRjy6nZY0TY/edit#gid=1248694442"",""Table 3: 1st-line HC!E5:E111""), $A47=IMPORTRANGE(""https://docs.google.com/spreadsheets/d/1kGrh75X1cNR1D7_FcY9zMnHP8iPO4"&amp;"M5RCRjy6nZY0TY/edit#gid=1248694442"",""Table 3: 1st-line HC!A5:A111"")),"""")"),"")</f>
        <v/>
      </c>
      <c r="O47" s="14" t="str">
        <f>IFERROR(__xludf.DUMMYFUNCTION("IFNA(FILTER(IMPORTRANGE(""https://docs.google.com/spreadsheets/d/1kGrh75X1cNR1D7_FcY9zMnHP8iPO4M5RCRjy6nZY0TY/edit#gid=1248694442"",""Table 3: 1st-line HC!K5:K111""), $A47=IMPORTRANGE(""https://docs.google.com/spreadsheets/d/1kGrh75X1cNR1D7_FcY9zMnHP8iPO4"&amp;"M5RCRjy6nZY0TY/edit#gid=1248694442"",""Table 3: 1st-line HC!A5:A111"")),"""")"),"")</f>
        <v/>
      </c>
      <c r="P47" s="14">
        <f>IFERROR(__xludf.DUMMYFUNCTION("IFNA(FILTER(IMPORTRANGE(""https://docs.google.com/spreadsheets/d/1kGrh75X1cNR1D7_FcY9zMnHP8iPO4M5RCRjy6nZY0TY/edit#gid=1248694442"",""Table 3: 1st-line HC!L5:L111""), $A47=IMPORTRANGE(""https://docs.google.com/spreadsheets/d/1kGrh75X1cNR1D7_FcY9zMnHP8iPO4"&amp;"M5RCRjy6nZY0TY/edit#gid=1248694442"",""Table 3: 1st-line HC!A5:A111"")),"""")"),1.0)</f>
        <v>1</v>
      </c>
      <c r="Q47" s="14" t="str">
        <f>IFERROR(__xludf.DUMMYFUNCTION("IFNA(FILTER(IMPORTRANGE(""https://docs.google.com/spreadsheets/d/1kGrh75X1cNR1D7_FcY9zMnHP8iPO4M5RCRjy6nZY0TY/edit#gid=1248694442"",""Table 3: 1st-line HC!M5:M111""), $A47=IMPORTRANGE(""https://docs.google.com/spreadsheets/d/1kGrh75X1cNR1D7_FcY9zMnHP8iPO4"&amp;"M5RCRjy6nZY0TY/edit#gid=1248694442"",""Table 3: 1st-line HC!A5:A111"")),"""")"),"")</f>
        <v/>
      </c>
      <c r="R47" s="14" t="str">
        <f>IFERROR(__xludf.DUMMYFUNCTION("IFNA(FILTER(IMPORTRANGE(""https://docs.google.com/spreadsheets/d/1kGrh75X1cNR1D7_FcY9zMnHP8iPO4M5RCRjy6nZY0TY/edit#gid=1248694442"",""Table 3: 1st-line HC!N5:N111""), $A47=IMPORTRANGE(""https://docs.google.com/spreadsheets/d/1kGrh75X1cNR1D7_FcY9zMnHP8iPO4"&amp;"M5RCRjy6nZY0TY/edit#gid=1248694442"",""Table 3: 1st-line HC!A5:A111"")),"""")"),"")</f>
        <v/>
      </c>
      <c r="S47" s="14">
        <f>IFERROR(__xludf.DUMMYFUNCTION("IFNA(FILTER(IMPORTRANGE(""https://docs.google.com/spreadsheets/d/1kGrh75X1cNR1D7_FcY9zMnHP8iPO4M5RCRjy6nZY0TY/edit#gid=1248694442"",""Table 3: 1st-line HC!T5:T111""), $A47=IMPORTRANGE(""https://docs.google.com/spreadsheets/d/1kGrh75X1cNR1D7_FcY9zMnHP8iPO4"&amp;"M5RCRjy6nZY0TY/edit#gid=1248694442"",""Table 3: 1st-line HC!A5:A111"")),"""")"),1.0)</f>
        <v>1</v>
      </c>
      <c r="T47" s="14" t="str">
        <f>IFERROR(__xludf.DUMMYFUNCTION("IFNA(FILTER(IMPORTRANGE(""https://docs.google.com/spreadsheets/d/1kGrh75X1cNR1D7_FcY9zMnHP8iPO4M5RCRjy6nZY0TY/edit#gid=1248694442"",""Table 3: 1st-line HC!U5:U111""), $A47=IMPORTRANGE(""https://docs.google.com/spreadsheets/d/1kGrh75X1cNR1D7_FcY9zMnHP8iPO4"&amp;"M5RCRjy6nZY0TY/edit#gid=1248694442"",""Table 3: 1st-line HC!A5:A111"")),"""")"),"")</f>
        <v/>
      </c>
      <c r="U47" s="14" t="str">
        <f>IFERROR(__xludf.DUMMYFUNCTION("IFNA(FILTER(IMPORTRANGE(""https://docs.google.com/spreadsheets/d/1kGrh75X1cNR1D7_FcY9zMnHP8iPO4M5RCRjy6nZY0TY/edit#gid=1248694442"",""Table 3: 1st-line HC!V5:V111""), $A47=IMPORTRANGE(""https://docs.google.com/spreadsheets/d/1kGrh75X1cNR1D7_FcY9zMnHP8iPO4"&amp;"M5RCRjy6nZY0TY/edit#gid=1248694442"",""Table 3: 1st-line HC!A5:A111"")),"""")"),"")</f>
        <v/>
      </c>
      <c r="V47" s="14">
        <f>IFERROR(__xludf.DUMMYFUNCTION("IFNA(FILTER(IMPORTRANGE(""https://docs.google.com/spreadsheets/d/1kGrh75X1cNR1D7_FcY9zMnHP8iPO4M5RCRjy6nZY0TY/edit#gid=1248694442"",""Table 3: 1st-line HC!AE5:AE111""), $A47=IMPORTRANGE(""https://docs.google.com/spreadsheets/d/1kGrh75X1cNR1D7_FcY9zMnHP8iP"&amp;"O4M5RCRjy6nZY0TY/edit#gid=1248694442"",""Table 3: 1st-line HC!A5:A111"")),"""")"),21.0)</f>
        <v>21</v>
      </c>
      <c r="W47" s="14" t="str">
        <f>IFERROR(__xludf.DUMMYFUNCTION("IFNA(FILTER(IMPORTRANGE(""https://docs.google.com/spreadsheets/d/1kGrh75X1cNR1D7_FcY9zMnHP8iPO4M5RCRjy6nZY0TY/edit#gid=1248694442"",""Table 3: 1st-line HC!AG5:AG111""), $A47=IMPORTRANGE(""https://docs.google.com/spreadsheets/d/1kGrh75X1cNR1D7_FcY9zMnHP8iP"&amp;"O4M5RCRjy6nZY0TY/edit#gid=1248694442"",""Table 3: 1st-line HC!A5:A111"")),"""")"),"")</f>
        <v/>
      </c>
      <c r="X47" s="14" t="str">
        <f>IFERROR(__xludf.DUMMYFUNCTION("IFNA(FILTER(IMPORTRANGE(""https://docs.google.com/spreadsheets/d/1kGrh75X1cNR1D7_FcY9zMnHP8iPO4M5RCRjy6nZY0TY/edit#gid=1248694442"",""Table 3: 1st-line HC!AI5:AI111""), $A47=IMPORTRANGE(""https://docs.google.com/spreadsheets/d/1kGrh75X1cNR1D7_FcY9zMnHP8iP"&amp;"O4M5RCRjy6nZY0TY/edit#gid=1248694442"",""Table 3: 1st-line HC!A5:A111"")),"""")"),"")</f>
        <v/>
      </c>
    </row>
    <row r="48">
      <c r="A48" s="4" t="str">
        <f>IFERROR(__xludf.DUMMYFUNCTION("""COMPUTED_VALUE"""),"ID 94")</f>
        <v>ID 94</v>
      </c>
      <c r="B48" s="14" t="str">
        <f>IFERROR(__xludf.DUMMYFUNCTION("IFNA(FILTER(IMPORTRANGE(""https://docs.google.com/spreadsheets/d/1kGrh75X1cNR1D7_FcY9zMnHP8iPO4M5RCRjy6nZY0TY/edit#gid=1248694442"",""Table 2: MMC!D5:D114""), $A48=IMPORTRANGE(""https://docs.google.com/spreadsheets/d/1kGrh75X1cNR1D7_FcY9zMnHP8iPO4M5RCRjy6"&amp;"nZY0TY/edit#gid=1248694442"",""Table 2: MMC!A5:A114"")),"""")"),"")</f>
        <v/>
      </c>
      <c r="C48" s="14" t="str">
        <f>IFERROR(__xludf.DUMMYFUNCTION("IFNA(FILTER(IMPORTRANGE(""https://docs.google.com/spreadsheets/d/1kGrh75X1cNR1D7_FcY9zMnHP8iPO4M5RCRjy6nZY0TY/edit#gid=1248694442"",""Table 2: MMC!E5:E114""), $A48=IMPORTRANGE(""https://docs.google.com/spreadsheets/d/1kGrh75X1cNR1D7_FcY9zMnHP8iPO4M5RCRjy6"&amp;"nZY0TY/edit#gid=1248694442"",""Table 2: MMC!A5:A114"")),"""")"),"")</f>
        <v/>
      </c>
      <c r="D48" s="14" t="str">
        <f>IFERROR(__xludf.DUMMYFUNCTION("IFNA(FILTER(IMPORTRANGE(""https://docs.google.com/spreadsheets/d/1kGrh75X1cNR1D7_FcY9zMnHP8iPO4M5RCRjy6nZY0TY/edit#gid=1248694442"",""Table 2: MMC!F5:F114""), $A48=IMPORTRANGE(""https://docs.google.com/spreadsheets/d/1kGrh75X1cNR1D7_FcY9zMnHP8iPO4M5RCRjy6"&amp;"nZY0TY/edit#gid=1248694442"",""Table 2: MMC!A5:A114"")),"""")"),"")</f>
        <v/>
      </c>
      <c r="E48" s="14" t="str">
        <f>IFERROR(__xludf.DUMMYFUNCTION("IFNA(FILTER(IMPORTRANGE(""https://docs.google.com/spreadsheets/d/1kGrh75X1cNR1D7_FcY9zMnHP8iPO4M5RCRjy6nZY0TY/edit#gid=1248694442"",""Table 2: MMC!G5:G114""), $A48=IMPORTRANGE(""https://docs.google.com/spreadsheets/d/1kGrh75X1cNR1D7_FcY9zMnHP8iPO4M5RCRjy6"&amp;"nZY0TY/edit#gid=1248694442"",""Table 2: MMC!A5:A114"")),"""")"),"")</f>
        <v/>
      </c>
      <c r="F48" s="14" t="str">
        <f>IFERROR(__xludf.DUMMYFUNCTION("IFNA(FILTER(IMPORTRANGE(""https://docs.google.com/spreadsheets/d/1kGrh75X1cNR1D7_FcY9zMnHP8iPO4M5RCRjy6nZY0TY/edit#gid=1248694442"",""Table 2: MMC!H5:H114""), $A48=IMPORTRANGE(""https://docs.google.com/spreadsheets/d/1kGrh75X1cNR1D7_FcY9zMnHP8iPO4M5RCRjy6"&amp;"nZY0TY/edit#gid=1248694442"",""Table 2: MMC!A5:A114"")),"""")"),"")</f>
        <v/>
      </c>
      <c r="G48" s="14" t="str">
        <f>IFERROR(__xludf.DUMMYFUNCTION("IFNA(FILTER(IMPORTRANGE(""https://docs.google.com/spreadsheets/d/1kGrh75X1cNR1D7_FcY9zMnHP8iPO4M5RCRjy6nZY0TY/edit#gid=1248694442"",""Table 2: MMC!I5:I114""), $A48=IMPORTRANGE(""https://docs.google.com/spreadsheets/d/1kGrh75X1cNR1D7_FcY9zMnHP8iPO4M5RCRjy6"&amp;"nZY0TY/edit#gid=1248694442"",""Table 2: MMC!A5:A114"")),"""")"),"")</f>
        <v/>
      </c>
      <c r="H48" s="14" t="str">
        <f>IFERROR(__xludf.DUMMYFUNCTION("IFNA(FILTER(IMPORTRANGE(""https://docs.google.com/spreadsheets/d/1kGrh75X1cNR1D7_FcY9zMnHP8iPO4M5RCRjy6nZY0TY/edit#gid=1248694442"",""Table 2: MMC!J5:J114""), $A48=IMPORTRANGE(""https://docs.google.com/spreadsheets/d/1kGrh75X1cNR1D7_FcY9zMnHP8iPO4M5RCRjy6"&amp;"nZY0TY/edit#gid=1248694442"",""Table 2: MMC!A5:A114"")),"""")"),"post-natal")</f>
        <v>post-natal</v>
      </c>
      <c r="I48" s="14" t="str">
        <f>IFERROR(__xludf.DUMMYFUNCTION("IFNA(FILTER(IMPORTRANGE(""https://docs.google.com/spreadsheets/d/1kGrh75X1cNR1D7_FcY9zMnHP8iPO4M5RCRjy6nZY0TY/edit#gid=1248694442"",""Table 2: MMC!M5:M114""), $A48=IMPORTRANGE(""https://docs.google.com/spreadsheets/d/1kGrh75X1cNR1D7_FcY9zMnHP8iPO4M5RCRjy6"&amp;"nZY0TY/edit#gid=1248694442"",""Table 2: MMC!A5:A114"")),"""")"),"")</f>
        <v/>
      </c>
      <c r="J48" s="14" t="str">
        <f>IFERROR(__xludf.DUMMYFUNCTION("IFNA(FILTER(IMPORTRANGE(""https://docs.google.com/spreadsheets/d/1kGrh75X1cNR1D7_FcY9zMnHP8iPO4M5RCRjy6nZY0TY/edit#gid=1248694442"",""Table 2: MMC!Q5:Q114""), $A48=IMPORTRANGE(""https://docs.google.com/spreadsheets/d/1kGrh75X1cNR1D7_FcY9zMnHP8iPO4M5RCRjy6"&amp;"nZY0TY/edit#gid=1248694442"",""Table 2: MMC!A5:A114"")),"""")"),"")</f>
        <v/>
      </c>
      <c r="K48" s="14" t="str">
        <f>IFERROR(__xludf.DUMMYFUNCTION("IFNA(FILTER(IMPORTRANGE(""https://docs.google.com/spreadsheets/d/1kGrh75X1cNR1D7_FcY9zMnHP8iPO4M5RCRjy6nZY0TY/edit#gid=1248694442"",""Table 2: MMC!R5:R114""), $A48=IMPORTRANGE(""https://docs.google.com/spreadsheets/d/1kGrh75X1cNR1D7_FcY9zMnHP8iPO4M5RCRjy6"&amp;"nZY0TY/edit#gid=1248694442"",""Table 2: MMC!A5:A114"")),"""")"),"")</f>
        <v/>
      </c>
      <c r="L48" s="14" t="str">
        <f>IFERROR(__xludf.DUMMYFUNCTION("IFNA(FILTER(IMPORTRANGE(""https://docs.google.com/spreadsheets/d/1kGrh75X1cNR1D7_FcY9zMnHP8iPO4M5RCRjy6nZY0TY/edit#gid=1248694442"",""Table 2: MMC!S5:S114""), $A48=IMPORTRANGE(""https://docs.google.com/spreadsheets/d/1kGrh75X1cNR1D7_FcY9zMnHP8iPO4M5RCRjy6"&amp;"nZY0TY/edit#gid=1248694442"",""Table 2: MMC!A5:A114"")),"""")"),"")</f>
        <v/>
      </c>
      <c r="M48" s="14" t="str">
        <f>IFERROR(__xludf.DUMMYFUNCTION("IFNA(FILTER(IMPORTRANGE(""https://docs.google.com/spreadsheets/d/1kGrh75X1cNR1D7_FcY9zMnHP8iPO4M5RCRjy6nZY0TY/edit#gid=1248694442"",""Table 3: 1st-line HC!D5:D111""), $A48=IMPORTRANGE(""https://docs.google.com/spreadsheets/d/1kGrh75X1cNR1D7_FcY9zMnHP8iPO4"&amp;"M5RCRjy6nZY0TY/edit#gid=1248694442"",""Table 3: 1st-line HC!A5:A111"")),"""")"),"")</f>
        <v/>
      </c>
      <c r="N48" s="14" t="str">
        <f>IFERROR(__xludf.DUMMYFUNCTION("IFNA(FILTER(IMPORTRANGE(""https://docs.google.com/spreadsheets/d/1kGrh75X1cNR1D7_FcY9zMnHP8iPO4M5RCRjy6nZY0TY/edit#gid=1248694442"",""Table 3: 1st-line HC!E5:E111""), $A48=IMPORTRANGE(""https://docs.google.com/spreadsheets/d/1kGrh75X1cNR1D7_FcY9zMnHP8iPO4"&amp;"M5RCRjy6nZY0TY/edit#gid=1248694442"",""Table 3: 1st-line HC!A5:A111"")),"""")"),"")</f>
        <v/>
      </c>
      <c r="O48" s="14" t="str">
        <f>IFERROR(__xludf.DUMMYFUNCTION("IFNA(FILTER(IMPORTRANGE(""https://docs.google.com/spreadsheets/d/1kGrh75X1cNR1D7_FcY9zMnHP8iPO4M5RCRjy6nZY0TY/edit#gid=1248694442"",""Table 3: 1st-line HC!K5:K111""), $A48=IMPORTRANGE(""https://docs.google.com/spreadsheets/d/1kGrh75X1cNR1D7_FcY9zMnHP8iPO4"&amp;"M5RCRjy6nZY0TY/edit#gid=1248694442"",""Table 3: 1st-line HC!A5:A111"")),"""")"),"")</f>
        <v/>
      </c>
      <c r="P48" s="14" t="str">
        <f>IFERROR(__xludf.DUMMYFUNCTION("IFNA(FILTER(IMPORTRANGE(""https://docs.google.com/spreadsheets/d/1kGrh75X1cNR1D7_FcY9zMnHP8iPO4M5RCRjy6nZY0TY/edit#gid=1248694442"",""Table 3: 1st-line HC!L5:L111""), $A48=IMPORTRANGE(""https://docs.google.com/spreadsheets/d/1kGrh75X1cNR1D7_FcY9zMnHP8iPO4"&amp;"M5RCRjy6nZY0TY/edit#gid=1248694442"",""Table 3: 1st-line HC!A5:A111"")),"""")"),"")</f>
        <v/>
      </c>
      <c r="Q48" s="14" t="str">
        <f>IFERROR(__xludf.DUMMYFUNCTION("IFNA(FILTER(IMPORTRANGE(""https://docs.google.com/spreadsheets/d/1kGrh75X1cNR1D7_FcY9zMnHP8iPO4M5RCRjy6nZY0TY/edit#gid=1248694442"",""Table 3: 1st-line HC!M5:M111""), $A48=IMPORTRANGE(""https://docs.google.com/spreadsheets/d/1kGrh75X1cNR1D7_FcY9zMnHP8iPO4"&amp;"M5RCRjy6nZY0TY/edit#gid=1248694442"",""Table 3: 1st-line HC!A5:A111"")),"""")"),"")</f>
        <v/>
      </c>
      <c r="R48" s="14" t="str">
        <f>IFERROR(__xludf.DUMMYFUNCTION("IFNA(FILTER(IMPORTRANGE(""https://docs.google.com/spreadsheets/d/1kGrh75X1cNR1D7_FcY9zMnHP8iPO4M5RCRjy6nZY0TY/edit#gid=1248694442"",""Table 3: 1st-line HC!N5:N111""), $A48=IMPORTRANGE(""https://docs.google.com/spreadsheets/d/1kGrh75X1cNR1D7_FcY9zMnHP8iPO4"&amp;"M5RCRjy6nZY0TY/edit#gid=1248694442"",""Table 3: 1st-line HC!A5:A111"")),"""")"),"")</f>
        <v/>
      </c>
      <c r="S48" s="14" t="str">
        <f>IFERROR(__xludf.DUMMYFUNCTION("IFNA(FILTER(IMPORTRANGE(""https://docs.google.com/spreadsheets/d/1kGrh75X1cNR1D7_FcY9zMnHP8iPO4M5RCRjy6nZY0TY/edit#gid=1248694442"",""Table 3: 1st-line HC!T5:T111""), $A48=IMPORTRANGE(""https://docs.google.com/spreadsheets/d/1kGrh75X1cNR1D7_FcY9zMnHP8iPO4"&amp;"M5RCRjy6nZY0TY/edit#gid=1248694442"",""Table 3: 1st-line HC!A5:A111"")),"""")"),"")</f>
        <v/>
      </c>
      <c r="T48" s="14" t="str">
        <f>IFERROR(__xludf.DUMMYFUNCTION("IFNA(FILTER(IMPORTRANGE(""https://docs.google.com/spreadsheets/d/1kGrh75X1cNR1D7_FcY9zMnHP8iPO4M5RCRjy6nZY0TY/edit#gid=1248694442"",""Table 3: 1st-line HC!U5:U111""), $A48=IMPORTRANGE(""https://docs.google.com/spreadsheets/d/1kGrh75X1cNR1D7_FcY9zMnHP8iPO4"&amp;"M5RCRjy6nZY0TY/edit#gid=1248694442"",""Table 3: 1st-line HC!A5:A111"")),"""")"),"")</f>
        <v/>
      </c>
      <c r="U48" s="14" t="str">
        <f>IFERROR(__xludf.DUMMYFUNCTION("IFNA(FILTER(IMPORTRANGE(""https://docs.google.com/spreadsheets/d/1kGrh75X1cNR1D7_FcY9zMnHP8iPO4M5RCRjy6nZY0TY/edit#gid=1248694442"",""Table 3: 1st-line HC!V5:V111""), $A48=IMPORTRANGE(""https://docs.google.com/spreadsheets/d/1kGrh75X1cNR1D7_FcY9zMnHP8iPO4"&amp;"M5RCRjy6nZY0TY/edit#gid=1248694442"",""Table 3: 1st-line HC!A5:A111"")),"""")"),"")</f>
        <v/>
      </c>
      <c r="V48" s="14" t="str">
        <f>IFERROR(__xludf.DUMMYFUNCTION("IFNA(FILTER(IMPORTRANGE(""https://docs.google.com/spreadsheets/d/1kGrh75X1cNR1D7_FcY9zMnHP8iPO4M5RCRjy6nZY0TY/edit#gid=1248694442"",""Table 3: 1st-line HC!AE5:AE111""), $A48=IMPORTRANGE(""https://docs.google.com/spreadsheets/d/1kGrh75X1cNR1D7_FcY9zMnHP8iP"&amp;"O4M5RCRjy6nZY0TY/edit#gid=1248694442"",""Table 3: 1st-line HC!A5:A111"")),"""")"),"")</f>
        <v/>
      </c>
      <c r="W48" s="14" t="str">
        <f>IFERROR(__xludf.DUMMYFUNCTION("IFNA(FILTER(IMPORTRANGE(""https://docs.google.com/spreadsheets/d/1kGrh75X1cNR1D7_FcY9zMnHP8iPO4M5RCRjy6nZY0TY/edit#gid=1248694442"",""Table 3: 1st-line HC!AG5:AG111""), $A48=IMPORTRANGE(""https://docs.google.com/spreadsheets/d/1kGrh75X1cNR1D7_FcY9zMnHP8iP"&amp;"O4M5RCRjy6nZY0TY/edit#gid=1248694442"",""Table 3: 1st-line HC!A5:A111"")),"""")"),"")</f>
        <v/>
      </c>
      <c r="X48" s="14">
        <f>IFERROR(__xludf.DUMMYFUNCTION("IFNA(FILTER(IMPORTRANGE(""https://docs.google.com/spreadsheets/d/1kGrh75X1cNR1D7_FcY9zMnHP8iPO4M5RCRjy6nZY0TY/edit#gid=1248694442"",""Table 3: 1st-line HC!AI5:AI111""), $A48=IMPORTRANGE(""https://docs.google.com/spreadsheets/d/1kGrh75X1cNR1D7_FcY9zMnHP8iP"&amp;"O4M5RCRjy6nZY0TY/edit#gid=1248694442"",""Table 3: 1st-line HC!A5:A111"")),"""")"),52.0)</f>
        <v>52</v>
      </c>
    </row>
    <row r="49">
      <c r="A49" s="4" t="str">
        <f>IFERROR(__xludf.DUMMYFUNCTION("""COMPUTED_VALUE"""),"ID 97")</f>
        <v>ID 97</v>
      </c>
      <c r="B49" s="14" t="str">
        <f>IFERROR(__xludf.DUMMYFUNCTION("IFNA(FILTER(IMPORTRANGE(""https://docs.google.com/spreadsheets/d/1kGrh75X1cNR1D7_FcY9zMnHP8iPO4M5RCRjy6nZY0TY/edit#gid=1248694442"",""Table 2: MMC!D5:D114""), $A49=IMPORTRANGE(""https://docs.google.com/spreadsheets/d/1kGrh75X1cNR1D7_FcY9zMnHP8iPO4M5RCRjy6"&amp;"nZY0TY/edit#gid=1248694442"",""Table 2: MMC!A5:A114"")),"""")"),"")</f>
        <v/>
      </c>
      <c r="C49" s="14" t="str">
        <f>IFERROR(__xludf.DUMMYFUNCTION("IFNA(FILTER(IMPORTRANGE(""https://docs.google.com/spreadsheets/d/1kGrh75X1cNR1D7_FcY9zMnHP8iPO4M5RCRjy6nZY0TY/edit#gid=1248694442"",""Table 2: MMC!E5:E114""), $A49=IMPORTRANGE(""https://docs.google.com/spreadsheets/d/1kGrh75X1cNR1D7_FcY9zMnHP8iPO4M5RCRjy6"&amp;"nZY0TY/edit#gid=1248694442"",""Table 2: MMC!A5:A114"")),"""")"),"")</f>
        <v/>
      </c>
      <c r="D49" s="14" t="str">
        <f>IFERROR(__xludf.DUMMYFUNCTION("IFNA(FILTER(IMPORTRANGE(""https://docs.google.com/spreadsheets/d/1kGrh75X1cNR1D7_FcY9zMnHP8iPO4M5RCRjy6nZY0TY/edit#gid=1248694442"",""Table 2: MMC!F5:F114""), $A49=IMPORTRANGE(""https://docs.google.com/spreadsheets/d/1kGrh75X1cNR1D7_FcY9zMnHP8iPO4M5RCRjy6"&amp;"nZY0TY/edit#gid=1248694442"",""Table 2: MMC!A5:A114"")),"""")"),"")</f>
        <v/>
      </c>
      <c r="E49" s="14" t="str">
        <f>IFERROR(__xludf.DUMMYFUNCTION("IFNA(FILTER(IMPORTRANGE(""https://docs.google.com/spreadsheets/d/1kGrh75X1cNR1D7_FcY9zMnHP8iPO4M5RCRjy6nZY0TY/edit#gid=1248694442"",""Table 2: MMC!G5:G114""), $A49=IMPORTRANGE(""https://docs.google.com/spreadsheets/d/1kGrh75X1cNR1D7_FcY9zMnHP8iPO4M5RCRjy6"&amp;"nZY0TY/edit#gid=1248694442"",""Table 2: MMC!A5:A114"")),"""")"),"")</f>
        <v/>
      </c>
      <c r="F49" s="14" t="str">
        <f>IFERROR(__xludf.DUMMYFUNCTION("IFNA(FILTER(IMPORTRANGE(""https://docs.google.com/spreadsheets/d/1kGrh75X1cNR1D7_FcY9zMnHP8iPO4M5RCRjy6nZY0TY/edit#gid=1248694442"",""Table 2: MMC!H5:H114""), $A49=IMPORTRANGE(""https://docs.google.com/spreadsheets/d/1kGrh75X1cNR1D7_FcY9zMnHP8iPO4M5RCRjy6"&amp;"nZY0TY/edit#gid=1248694442"",""Table 2: MMC!A5:A114"")),"""")"),"")</f>
        <v/>
      </c>
      <c r="G49" s="14" t="str">
        <f>IFERROR(__xludf.DUMMYFUNCTION("IFNA(FILTER(IMPORTRANGE(""https://docs.google.com/spreadsheets/d/1kGrh75X1cNR1D7_FcY9zMnHP8iPO4M5RCRjy6nZY0TY/edit#gid=1248694442"",""Table 2: MMC!I5:I114""), $A49=IMPORTRANGE(""https://docs.google.com/spreadsheets/d/1kGrh75X1cNR1D7_FcY9zMnHP8iPO4M5RCRjy6"&amp;"nZY0TY/edit#gid=1248694442"",""Table 2: MMC!A5:A114"")),"""")"),"")</f>
        <v/>
      </c>
      <c r="H49" s="14" t="str">
        <f>IFERROR(__xludf.DUMMYFUNCTION("IFNA(FILTER(IMPORTRANGE(""https://docs.google.com/spreadsheets/d/1kGrh75X1cNR1D7_FcY9zMnHP8iPO4M5RCRjy6nZY0TY/edit#gid=1248694442"",""Table 2: MMC!J5:J114""), $A49=IMPORTRANGE(""https://docs.google.com/spreadsheets/d/1kGrh75X1cNR1D7_FcY9zMnHP8iPO4M5RCRjy6"&amp;"nZY0TY/edit#gid=1248694442"",""Table 2: MMC!A5:A114"")),"""")"),"")</f>
        <v/>
      </c>
      <c r="I49" s="14" t="str">
        <f>IFERROR(__xludf.DUMMYFUNCTION("IFNA(FILTER(IMPORTRANGE(""https://docs.google.com/spreadsheets/d/1kGrh75X1cNR1D7_FcY9zMnHP8iPO4M5RCRjy6nZY0TY/edit#gid=1248694442"",""Table 2: MMC!M5:M114""), $A49=IMPORTRANGE(""https://docs.google.com/spreadsheets/d/1kGrh75X1cNR1D7_FcY9zMnHP8iPO4M5RCRjy6"&amp;"nZY0TY/edit#gid=1248694442"",""Table 2: MMC!A5:A114"")),"""")"),"")</f>
        <v/>
      </c>
      <c r="J49" s="14" t="str">
        <f>IFERROR(__xludf.DUMMYFUNCTION("IFNA(FILTER(IMPORTRANGE(""https://docs.google.com/spreadsheets/d/1kGrh75X1cNR1D7_FcY9zMnHP8iPO4M5RCRjy6nZY0TY/edit#gid=1248694442"",""Table 2: MMC!Q5:Q114""), $A49=IMPORTRANGE(""https://docs.google.com/spreadsheets/d/1kGrh75X1cNR1D7_FcY9zMnHP8iPO4M5RCRjy6"&amp;"nZY0TY/edit#gid=1248694442"",""Table 2: MMC!A5:A114"")),"""")"),"")</f>
        <v/>
      </c>
      <c r="K49" s="14" t="str">
        <f>IFERROR(__xludf.DUMMYFUNCTION("IFNA(FILTER(IMPORTRANGE(""https://docs.google.com/spreadsheets/d/1kGrh75X1cNR1D7_FcY9zMnHP8iPO4M5RCRjy6nZY0TY/edit#gid=1248694442"",""Table 2: MMC!R5:R114""), $A49=IMPORTRANGE(""https://docs.google.com/spreadsheets/d/1kGrh75X1cNR1D7_FcY9zMnHP8iPO4M5RCRjy6"&amp;"nZY0TY/edit#gid=1248694442"",""Table 2: MMC!A5:A114"")),"""")"),"")</f>
        <v/>
      </c>
      <c r="L49" s="14" t="str">
        <f>IFERROR(__xludf.DUMMYFUNCTION("IFNA(FILTER(IMPORTRANGE(""https://docs.google.com/spreadsheets/d/1kGrh75X1cNR1D7_FcY9zMnHP8iPO4M5RCRjy6nZY0TY/edit#gid=1248694442"",""Table 2: MMC!S5:S114""), $A49=IMPORTRANGE(""https://docs.google.com/spreadsheets/d/1kGrh75X1cNR1D7_FcY9zMnHP8iPO4M5RCRjy6"&amp;"nZY0TY/edit#gid=1248694442"",""Table 2: MMC!A5:A114"")),"""")"),"")</f>
        <v/>
      </c>
      <c r="M49" s="14" t="str">
        <f>IFERROR(__xludf.DUMMYFUNCTION("IFNA(FILTER(IMPORTRANGE(""https://docs.google.com/spreadsheets/d/1kGrh75X1cNR1D7_FcY9zMnHP8iPO4M5RCRjy6nZY0TY/edit#gid=1248694442"",""Table 3: 1st-line HC!D5:D111""), $A49=IMPORTRANGE(""https://docs.google.com/spreadsheets/d/1kGrh75X1cNR1D7_FcY9zMnHP8iPO4"&amp;"M5RCRjy6nZY0TY/edit#gid=1248694442"",""Table 3: 1st-line HC!A5:A111"")),"""")"),"")</f>
        <v/>
      </c>
      <c r="N49" s="14" t="str">
        <f>IFERROR(__xludf.DUMMYFUNCTION("IFNA(FILTER(IMPORTRANGE(""https://docs.google.com/spreadsheets/d/1kGrh75X1cNR1D7_FcY9zMnHP8iPO4M5RCRjy6nZY0TY/edit#gid=1248694442"",""Table 3: 1st-line HC!E5:E111""), $A49=IMPORTRANGE(""https://docs.google.com/spreadsheets/d/1kGrh75X1cNR1D7_FcY9zMnHP8iPO4"&amp;"M5RCRjy6nZY0TY/edit#gid=1248694442"",""Table 3: 1st-line HC!A5:A111"")),"""")"),"")</f>
        <v/>
      </c>
      <c r="O49" s="14" t="str">
        <f>IFERROR(__xludf.DUMMYFUNCTION("IFNA(FILTER(IMPORTRANGE(""https://docs.google.com/spreadsheets/d/1kGrh75X1cNR1D7_FcY9zMnHP8iPO4M5RCRjy6nZY0TY/edit#gid=1248694442"",""Table 3: 1st-line HC!K5:K111""), $A49=IMPORTRANGE(""https://docs.google.com/spreadsheets/d/1kGrh75X1cNR1D7_FcY9zMnHP8iPO4"&amp;"M5RCRjy6nZY0TY/edit#gid=1248694442"",""Table 3: 1st-line HC!A5:A111"")),"""")"),"")</f>
        <v/>
      </c>
      <c r="P49" s="14" t="str">
        <f>IFERROR(__xludf.DUMMYFUNCTION("IFNA(FILTER(IMPORTRANGE(""https://docs.google.com/spreadsheets/d/1kGrh75X1cNR1D7_FcY9zMnHP8iPO4M5RCRjy6nZY0TY/edit#gid=1248694442"",""Table 3: 1st-line HC!L5:L111""), $A49=IMPORTRANGE(""https://docs.google.com/spreadsheets/d/1kGrh75X1cNR1D7_FcY9zMnHP8iPO4"&amp;"M5RCRjy6nZY0TY/edit#gid=1248694442"",""Table 3: 1st-line HC!A5:A111"")),"""")"),"")</f>
        <v/>
      </c>
      <c r="Q49" s="14" t="str">
        <f>IFERROR(__xludf.DUMMYFUNCTION("IFNA(FILTER(IMPORTRANGE(""https://docs.google.com/spreadsheets/d/1kGrh75X1cNR1D7_FcY9zMnHP8iPO4M5RCRjy6nZY0TY/edit#gid=1248694442"",""Table 3: 1st-line HC!M5:M111""), $A49=IMPORTRANGE(""https://docs.google.com/spreadsheets/d/1kGrh75X1cNR1D7_FcY9zMnHP8iPO4"&amp;"M5RCRjy6nZY0TY/edit#gid=1248694442"",""Table 3: 1st-line HC!A5:A111"")),"""")"),"")</f>
        <v/>
      </c>
      <c r="R49" s="14" t="str">
        <f>IFERROR(__xludf.DUMMYFUNCTION("IFNA(FILTER(IMPORTRANGE(""https://docs.google.com/spreadsheets/d/1kGrh75X1cNR1D7_FcY9zMnHP8iPO4M5RCRjy6nZY0TY/edit#gid=1248694442"",""Table 3: 1st-line HC!N5:N111""), $A49=IMPORTRANGE(""https://docs.google.com/spreadsheets/d/1kGrh75X1cNR1D7_FcY9zMnHP8iPO4"&amp;"M5RCRjy6nZY0TY/edit#gid=1248694442"",""Table 3: 1st-line HC!A5:A111"")),"""")"),"")</f>
        <v/>
      </c>
      <c r="S49" s="14" t="str">
        <f>IFERROR(__xludf.DUMMYFUNCTION("IFNA(FILTER(IMPORTRANGE(""https://docs.google.com/spreadsheets/d/1kGrh75X1cNR1D7_FcY9zMnHP8iPO4M5RCRjy6nZY0TY/edit#gid=1248694442"",""Table 3: 1st-line HC!T5:T111""), $A49=IMPORTRANGE(""https://docs.google.com/spreadsheets/d/1kGrh75X1cNR1D7_FcY9zMnHP8iPO4"&amp;"M5RCRjy6nZY0TY/edit#gid=1248694442"",""Table 3: 1st-line HC!A5:A111"")),"""")"),"")</f>
        <v/>
      </c>
      <c r="T49" s="14" t="str">
        <f>IFERROR(__xludf.DUMMYFUNCTION("IFNA(FILTER(IMPORTRANGE(""https://docs.google.com/spreadsheets/d/1kGrh75X1cNR1D7_FcY9zMnHP8iPO4M5RCRjy6nZY0TY/edit#gid=1248694442"",""Table 3: 1st-line HC!U5:U111""), $A49=IMPORTRANGE(""https://docs.google.com/spreadsheets/d/1kGrh75X1cNR1D7_FcY9zMnHP8iPO4"&amp;"M5RCRjy6nZY0TY/edit#gid=1248694442"",""Table 3: 1st-line HC!A5:A111"")),"""")"),"")</f>
        <v/>
      </c>
      <c r="U49" s="14" t="str">
        <f>IFERROR(__xludf.DUMMYFUNCTION("IFNA(FILTER(IMPORTRANGE(""https://docs.google.com/spreadsheets/d/1kGrh75X1cNR1D7_FcY9zMnHP8iPO4M5RCRjy6nZY0TY/edit#gid=1248694442"",""Table 3: 1st-line HC!V5:V111""), $A49=IMPORTRANGE(""https://docs.google.com/spreadsheets/d/1kGrh75X1cNR1D7_FcY9zMnHP8iPO4"&amp;"M5RCRjy6nZY0TY/edit#gid=1248694442"",""Table 3: 1st-line HC!A5:A111"")),"""")"),"")</f>
        <v/>
      </c>
      <c r="V49" s="14" t="str">
        <f>IFERROR(__xludf.DUMMYFUNCTION("IFNA(FILTER(IMPORTRANGE(""https://docs.google.com/spreadsheets/d/1kGrh75X1cNR1D7_FcY9zMnHP8iPO4M5RCRjy6nZY0TY/edit#gid=1248694442"",""Table 3: 1st-line HC!AE5:AE111""), $A49=IMPORTRANGE(""https://docs.google.com/spreadsheets/d/1kGrh75X1cNR1D7_FcY9zMnHP8iP"&amp;"O4M5RCRjy6nZY0TY/edit#gid=1248694442"",""Table 3: 1st-line HC!A5:A111"")),"""")"),"")</f>
        <v/>
      </c>
      <c r="W49" s="14" t="str">
        <f>IFERROR(__xludf.DUMMYFUNCTION("IFNA(FILTER(IMPORTRANGE(""https://docs.google.com/spreadsheets/d/1kGrh75X1cNR1D7_FcY9zMnHP8iPO4M5RCRjy6nZY0TY/edit#gid=1248694442"",""Table 3: 1st-line HC!AG5:AG111""), $A49=IMPORTRANGE(""https://docs.google.com/spreadsheets/d/1kGrh75X1cNR1D7_FcY9zMnHP8iP"&amp;"O4M5RCRjy6nZY0TY/edit#gid=1248694442"",""Table 3: 1st-line HC!A5:A111"")),"""")"),"")</f>
        <v/>
      </c>
      <c r="X49" s="14" t="str">
        <f>IFERROR(__xludf.DUMMYFUNCTION("IFNA(FILTER(IMPORTRANGE(""https://docs.google.com/spreadsheets/d/1kGrh75X1cNR1D7_FcY9zMnHP8iPO4M5RCRjy6nZY0TY/edit#gid=1248694442"",""Table 3: 1st-line HC!AI5:AI111""), $A49=IMPORTRANGE(""https://docs.google.com/spreadsheets/d/1kGrh75X1cNR1D7_FcY9zMnHP8iP"&amp;"O4M5RCRjy6nZY0TY/edit#gid=1248694442"",""Table 3: 1st-line HC!A5:A111"")),"""")"),"")</f>
        <v/>
      </c>
    </row>
    <row r="50">
      <c r="A50" s="4" t="str">
        <f>IFERROR(__xludf.DUMMYFUNCTION("""COMPUTED_VALUE"""),"ID 98")</f>
        <v>ID 98</v>
      </c>
      <c r="B50" s="14" t="str">
        <f>IFERROR(__xludf.DUMMYFUNCTION("IFNA(FILTER(IMPORTRANGE(""https://docs.google.com/spreadsheets/d/1kGrh75X1cNR1D7_FcY9zMnHP8iPO4M5RCRjy6nZY0TY/edit#gid=1248694442"",""Table 2: MMC!D5:D114""), $A50=IMPORTRANGE(""https://docs.google.com/spreadsheets/d/1kGrh75X1cNR1D7_FcY9zMnHP8iPO4M5RCRjy6"&amp;"nZY0TY/edit#gid=1248694442"",""Table 2: MMC!A5:A114"")),"""")"),"")</f>
        <v/>
      </c>
      <c r="C50" s="14" t="str">
        <f>IFERROR(__xludf.DUMMYFUNCTION("IFNA(FILTER(IMPORTRANGE(""https://docs.google.com/spreadsheets/d/1kGrh75X1cNR1D7_FcY9zMnHP8iPO4M5RCRjy6nZY0TY/edit#gid=1248694442"",""Table 2: MMC!E5:E114""), $A50=IMPORTRANGE(""https://docs.google.com/spreadsheets/d/1kGrh75X1cNR1D7_FcY9zMnHP8iPO4M5RCRjy6"&amp;"nZY0TY/edit#gid=1248694442"",""Table 2: MMC!A5:A114"")),"""")"),"")</f>
        <v/>
      </c>
      <c r="D50" s="14" t="str">
        <f>IFERROR(__xludf.DUMMYFUNCTION("IFNA(FILTER(IMPORTRANGE(""https://docs.google.com/spreadsheets/d/1kGrh75X1cNR1D7_FcY9zMnHP8iPO4M5RCRjy6nZY0TY/edit#gid=1248694442"",""Table 2: MMC!F5:F114""), $A50=IMPORTRANGE(""https://docs.google.com/spreadsheets/d/1kGrh75X1cNR1D7_FcY9zMnHP8iPO4M5RCRjy6"&amp;"nZY0TY/edit#gid=1248694442"",""Table 2: MMC!A5:A114"")),"""")"),"")</f>
        <v/>
      </c>
      <c r="E50" s="14" t="str">
        <f>IFERROR(__xludf.DUMMYFUNCTION("IFNA(FILTER(IMPORTRANGE(""https://docs.google.com/spreadsheets/d/1kGrh75X1cNR1D7_FcY9zMnHP8iPO4M5RCRjy6nZY0TY/edit#gid=1248694442"",""Table 2: MMC!G5:G114""), $A50=IMPORTRANGE(""https://docs.google.com/spreadsheets/d/1kGrh75X1cNR1D7_FcY9zMnHP8iPO4M5RCRjy6"&amp;"nZY0TY/edit#gid=1248694442"",""Table 2: MMC!A5:A114"")),"""")"),"")</f>
        <v/>
      </c>
      <c r="F50" s="14" t="str">
        <f>IFERROR(__xludf.DUMMYFUNCTION("IFNA(FILTER(IMPORTRANGE(""https://docs.google.com/spreadsheets/d/1kGrh75X1cNR1D7_FcY9zMnHP8iPO4M5RCRjy6nZY0TY/edit#gid=1248694442"",""Table 2: MMC!H5:H114""), $A50=IMPORTRANGE(""https://docs.google.com/spreadsheets/d/1kGrh75X1cNR1D7_FcY9zMnHP8iPO4M5RCRjy6"&amp;"nZY0TY/edit#gid=1248694442"",""Table 2: MMC!A5:A114"")),"""")"),"")</f>
        <v/>
      </c>
      <c r="G50" s="14" t="str">
        <f>IFERROR(__xludf.DUMMYFUNCTION("IFNA(FILTER(IMPORTRANGE(""https://docs.google.com/spreadsheets/d/1kGrh75X1cNR1D7_FcY9zMnHP8iPO4M5RCRjy6nZY0TY/edit#gid=1248694442"",""Table 2: MMC!I5:I114""), $A50=IMPORTRANGE(""https://docs.google.com/spreadsheets/d/1kGrh75X1cNR1D7_FcY9zMnHP8iPO4M5RCRjy6"&amp;"nZY0TY/edit#gid=1248694442"",""Table 2: MMC!A5:A114"")),"""")"),"")</f>
        <v/>
      </c>
      <c r="H50" s="14" t="str">
        <f>IFERROR(__xludf.DUMMYFUNCTION("IFNA(FILTER(IMPORTRANGE(""https://docs.google.com/spreadsheets/d/1kGrh75X1cNR1D7_FcY9zMnHP8iPO4M5RCRjy6nZY0TY/edit#gid=1248694442"",""Table 2: MMC!J5:J114""), $A50=IMPORTRANGE(""https://docs.google.com/spreadsheets/d/1kGrh75X1cNR1D7_FcY9zMnHP8iPO4M5RCRjy6"&amp;"nZY0TY/edit#gid=1248694442"",""Table 2: MMC!A5:A114"")),"""")"),"")</f>
        <v/>
      </c>
      <c r="I50" s="14" t="str">
        <f>IFERROR(__xludf.DUMMYFUNCTION("IFNA(FILTER(IMPORTRANGE(""https://docs.google.com/spreadsheets/d/1kGrh75X1cNR1D7_FcY9zMnHP8iPO4M5RCRjy6nZY0TY/edit#gid=1248694442"",""Table 2: MMC!M5:M114""), $A50=IMPORTRANGE(""https://docs.google.com/spreadsheets/d/1kGrh75X1cNR1D7_FcY9zMnHP8iPO4M5RCRjy6"&amp;"nZY0TY/edit#gid=1248694442"",""Table 2: MMC!A5:A114"")),"""")"),"")</f>
        <v/>
      </c>
      <c r="J50" s="14" t="str">
        <f>IFERROR(__xludf.DUMMYFUNCTION("IFNA(FILTER(IMPORTRANGE(""https://docs.google.com/spreadsheets/d/1kGrh75X1cNR1D7_FcY9zMnHP8iPO4M5RCRjy6nZY0TY/edit#gid=1248694442"",""Table 2: MMC!Q5:Q114""), $A50=IMPORTRANGE(""https://docs.google.com/spreadsheets/d/1kGrh75X1cNR1D7_FcY9zMnHP8iPO4M5RCRjy6"&amp;"nZY0TY/edit#gid=1248694442"",""Table 2: MMC!A5:A114"")),"""")"),"")</f>
        <v/>
      </c>
      <c r="K50" s="14" t="str">
        <f>IFERROR(__xludf.DUMMYFUNCTION("IFNA(FILTER(IMPORTRANGE(""https://docs.google.com/spreadsheets/d/1kGrh75X1cNR1D7_FcY9zMnHP8iPO4M5RCRjy6nZY0TY/edit#gid=1248694442"",""Table 2: MMC!R5:R114""), $A50=IMPORTRANGE(""https://docs.google.com/spreadsheets/d/1kGrh75X1cNR1D7_FcY9zMnHP8iPO4M5RCRjy6"&amp;"nZY0TY/edit#gid=1248694442"",""Table 2: MMC!A5:A114"")),"""")"),"")</f>
        <v/>
      </c>
      <c r="L50" s="14" t="str">
        <f>IFERROR(__xludf.DUMMYFUNCTION("IFNA(FILTER(IMPORTRANGE(""https://docs.google.com/spreadsheets/d/1kGrh75X1cNR1D7_FcY9zMnHP8iPO4M5RCRjy6nZY0TY/edit#gid=1248694442"",""Table 2: MMC!S5:S114""), $A50=IMPORTRANGE(""https://docs.google.com/spreadsheets/d/1kGrh75X1cNR1D7_FcY9zMnHP8iPO4M5RCRjy6"&amp;"nZY0TY/edit#gid=1248694442"",""Table 2: MMC!A5:A114"")),"""")"),"")</f>
        <v/>
      </c>
      <c r="M50" s="14" t="str">
        <f>IFERROR(__xludf.DUMMYFUNCTION("IFNA(FILTER(IMPORTRANGE(""https://docs.google.com/spreadsheets/d/1kGrh75X1cNR1D7_FcY9zMnHP8iPO4M5RCRjy6nZY0TY/edit#gid=1248694442"",""Table 3: 1st-line HC!D5:D111""), $A50=IMPORTRANGE(""https://docs.google.com/spreadsheets/d/1kGrh75X1cNR1D7_FcY9zMnHP8iPO4"&amp;"M5RCRjy6nZY0TY/edit#gid=1248694442"",""Table 3: 1st-line HC!A5:A111"")),"""")"),"")</f>
        <v/>
      </c>
      <c r="N50" s="14" t="str">
        <f>IFERROR(__xludf.DUMMYFUNCTION("IFNA(FILTER(IMPORTRANGE(""https://docs.google.com/spreadsheets/d/1kGrh75X1cNR1D7_FcY9zMnHP8iPO4M5RCRjy6nZY0TY/edit#gid=1248694442"",""Table 3: 1st-line HC!E5:E111""), $A50=IMPORTRANGE(""https://docs.google.com/spreadsheets/d/1kGrh75X1cNR1D7_FcY9zMnHP8iPO4"&amp;"M5RCRjy6nZY0TY/edit#gid=1248694442"",""Table 3: 1st-line HC!A5:A111"")),"""")"),"")</f>
        <v/>
      </c>
      <c r="O50" s="14" t="str">
        <f>IFERROR(__xludf.DUMMYFUNCTION("IFNA(FILTER(IMPORTRANGE(""https://docs.google.com/spreadsheets/d/1kGrh75X1cNR1D7_FcY9zMnHP8iPO4M5RCRjy6nZY0TY/edit#gid=1248694442"",""Table 3: 1st-line HC!K5:K111""), $A50=IMPORTRANGE(""https://docs.google.com/spreadsheets/d/1kGrh75X1cNR1D7_FcY9zMnHP8iPO4"&amp;"M5RCRjy6nZY0TY/edit#gid=1248694442"",""Table 3: 1st-line HC!A5:A111"")),"""")"),"")</f>
        <v/>
      </c>
      <c r="P50" s="14" t="str">
        <f>IFERROR(__xludf.DUMMYFUNCTION("IFNA(FILTER(IMPORTRANGE(""https://docs.google.com/spreadsheets/d/1kGrh75X1cNR1D7_FcY9zMnHP8iPO4M5RCRjy6nZY0TY/edit#gid=1248694442"",""Table 3: 1st-line HC!L5:L111""), $A50=IMPORTRANGE(""https://docs.google.com/spreadsheets/d/1kGrh75X1cNR1D7_FcY9zMnHP8iPO4"&amp;"M5RCRjy6nZY0TY/edit#gid=1248694442"",""Table 3: 1st-line HC!A5:A111"")),"""")"),"")</f>
        <v/>
      </c>
      <c r="Q50" s="14" t="str">
        <f>IFERROR(__xludf.DUMMYFUNCTION("IFNA(FILTER(IMPORTRANGE(""https://docs.google.com/spreadsheets/d/1kGrh75X1cNR1D7_FcY9zMnHP8iPO4M5RCRjy6nZY0TY/edit#gid=1248694442"",""Table 3: 1st-line HC!M5:M111""), $A50=IMPORTRANGE(""https://docs.google.com/spreadsheets/d/1kGrh75X1cNR1D7_FcY9zMnHP8iPO4"&amp;"M5RCRjy6nZY0TY/edit#gid=1248694442"",""Table 3: 1st-line HC!A5:A111"")),"""")"),"")</f>
        <v/>
      </c>
      <c r="R50" s="14" t="str">
        <f>IFERROR(__xludf.DUMMYFUNCTION("IFNA(FILTER(IMPORTRANGE(""https://docs.google.com/spreadsheets/d/1kGrh75X1cNR1D7_FcY9zMnHP8iPO4M5RCRjy6nZY0TY/edit#gid=1248694442"",""Table 3: 1st-line HC!N5:N111""), $A50=IMPORTRANGE(""https://docs.google.com/spreadsheets/d/1kGrh75X1cNR1D7_FcY9zMnHP8iPO4"&amp;"M5RCRjy6nZY0TY/edit#gid=1248694442"",""Table 3: 1st-line HC!A5:A111"")),"""")"),"")</f>
        <v/>
      </c>
      <c r="S50" s="14" t="str">
        <f>IFERROR(__xludf.DUMMYFUNCTION("IFNA(FILTER(IMPORTRANGE(""https://docs.google.com/spreadsheets/d/1kGrh75X1cNR1D7_FcY9zMnHP8iPO4M5RCRjy6nZY0TY/edit#gid=1248694442"",""Table 3: 1st-line HC!T5:T111""), $A50=IMPORTRANGE(""https://docs.google.com/spreadsheets/d/1kGrh75X1cNR1D7_FcY9zMnHP8iPO4"&amp;"M5RCRjy6nZY0TY/edit#gid=1248694442"",""Table 3: 1st-line HC!A5:A111"")),"""")"),"")</f>
        <v/>
      </c>
      <c r="T50" s="14" t="str">
        <f>IFERROR(__xludf.DUMMYFUNCTION("IFNA(FILTER(IMPORTRANGE(""https://docs.google.com/spreadsheets/d/1kGrh75X1cNR1D7_FcY9zMnHP8iPO4M5RCRjy6nZY0TY/edit#gid=1248694442"",""Table 3: 1st-line HC!U5:U111""), $A50=IMPORTRANGE(""https://docs.google.com/spreadsheets/d/1kGrh75X1cNR1D7_FcY9zMnHP8iPO4"&amp;"M5RCRjy6nZY0TY/edit#gid=1248694442"",""Table 3: 1st-line HC!A5:A111"")),"""")"),"")</f>
        <v/>
      </c>
      <c r="U50" s="14" t="str">
        <f>IFERROR(__xludf.DUMMYFUNCTION("IFNA(FILTER(IMPORTRANGE(""https://docs.google.com/spreadsheets/d/1kGrh75X1cNR1D7_FcY9zMnHP8iPO4M5RCRjy6nZY0TY/edit#gid=1248694442"",""Table 3: 1st-line HC!V5:V111""), $A50=IMPORTRANGE(""https://docs.google.com/spreadsheets/d/1kGrh75X1cNR1D7_FcY9zMnHP8iPO4"&amp;"M5RCRjy6nZY0TY/edit#gid=1248694442"",""Table 3: 1st-line HC!A5:A111"")),"""")"),"")</f>
        <v/>
      </c>
      <c r="V50" s="14" t="str">
        <f>IFERROR(__xludf.DUMMYFUNCTION("IFNA(FILTER(IMPORTRANGE(""https://docs.google.com/spreadsheets/d/1kGrh75X1cNR1D7_FcY9zMnHP8iPO4M5RCRjy6nZY0TY/edit#gid=1248694442"",""Table 3: 1st-line HC!AE5:AE111""), $A50=IMPORTRANGE(""https://docs.google.com/spreadsheets/d/1kGrh75X1cNR1D7_FcY9zMnHP8iP"&amp;"O4M5RCRjy6nZY0TY/edit#gid=1248694442"",""Table 3: 1st-line HC!A5:A111"")),"""")"),"")</f>
        <v/>
      </c>
      <c r="W50" s="14" t="str">
        <f>IFERROR(__xludf.DUMMYFUNCTION("IFNA(FILTER(IMPORTRANGE(""https://docs.google.com/spreadsheets/d/1kGrh75X1cNR1D7_FcY9zMnHP8iPO4M5RCRjy6nZY0TY/edit#gid=1248694442"",""Table 3: 1st-line HC!AG5:AG111""), $A50=IMPORTRANGE(""https://docs.google.com/spreadsheets/d/1kGrh75X1cNR1D7_FcY9zMnHP8iP"&amp;"O4M5RCRjy6nZY0TY/edit#gid=1248694442"",""Table 3: 1st-line HC!A5:A111"")),"""")"),"")</f>
        <v/>
      </c>
      <c r="X50" s="14" t="str">
        <f>IFERROR(__xludf.DUMMYFUNCTION("IFNA(FILTER(IMPORTRANGE(""https://docs.google.com/spreadsheets/d/1kGrh75X1cNR1D7_FcY9zMnHP8iPO4M5RCRjy6nZY0TY/edit#gid=1248694442"",""Table 3: 1st-line HC!AI5:AI111""), $A50=IMPORTRANGE(""https://docs.google.com/spreadsheets/d/1kGrh75X1cNR1D7_FcY9zMnHP8iP"&amp;"O4M5RCRjy6nZY0TY/edit#gid=1248694442"",""Table 3: 1st-line HC!A5:A111"")),"""")"),"")</f>
        <v/>
      </c>
    </row>
    <row r="51">
      <c r="A51" s="4" t="str">
        <f>IFERROR(__xludf.DUMMYFUNCTION("""COMPUTED_VALUE"""),"ID 101")</f>
        <v>ID 101</v>
      </c>
      <c r="B51" s="14" t="str">
        <f>IFERROR(__xludf.DUMMYFUNCTION("IFNA(FILTER(IMPORTRANGE(""https://docs.google.com/spreadsheets/d/1kGrh75X1cNR1D7_FcY9zMnHP8iPO4M5RCRjy6nZY0TY/edit#gid=1248694442"",""Table 2: MMC!D5:D114""), $A51=IMPORTRANGE(""https://docs.google.com/spreadsheets/d/1kGrh75X1cNR1D7_FcY9zMnHP8iPO4M5RCRjy6"&amp;"nZY0TY/edit#gid=1248694442"",""Table 2: MMC!A5:A114"")),"""")"),"")</f>
        <v/>
      </c>
      <c r="C51" s="14" t="str">
        <f>IFERROR(__xludf.DUMMYFUNCTION("IFNA(FILTER(IMPORTRANGE(""https://docs.google.com/spreadsheets/d/1kGrh75X1cNR1D7_FcY9zMnHP8iPO4M5RCRjy6nZY0TY/edit#gid=1248694442"",""Table 2: MMC!E5:E114""), $A51=IMPORTRANGE(""https://docs.google.com/spreadsheets/d/1kGrh75X1cNR1D7_FcY9zMnHP8iPO4M5RCRjy6"&amp;"nZY0TY/edit#gid=1248694442"",""Table 2: MMC!A5:A114"")),"""")"),"")</f>
        <v/>
      </c>
      <c r="D51" s="14" t="str">
        <f>IFERROR(__xludf.DUMMYFUNCTION("IFNA(FILTER(IMPORTRANGE(""https://docs.google.com/spreadsheets/d/1kGrh75X1cNR1D7_FcY9zMnHP8iPO4M5RCRjy6nZY0TY/edit#gid=1248694442"",""Table 2: MMC!F5:F114""), $A51=IMPORTRANGE(""https://docs.google.com/spreadsheets/d/1kGrh75X1cNR1D7_FcY9zMnHP8iPO4M5RCRjy6"&amp;"nZY0TY/edit#gid=1248694442"",""Table 2: MMC!A5:A114"")),"""")"),"")</f>
        <v/>
      </c>
      <c r="E51" s="14" t="str">
        <f>IFERROR(__xludf.DUMMYFUNCTION("IFNA(FILTER(IMPORTRANGE(""https://docs.google.com/spreadsheets/d/1kGrh75X1cNR1D7_FcY9zMnHP8iPO4M5RCRjy6nZY0TY/edit#gid=1248694442"",""Table 2: MMC!G5:G114""), $A51=IMPORTRANGE(""https://docs.google.com/spreadsheets/d/1kGrh75X1cNR1D7_FcY9zMnHP8iPO4M5RCRjy6"&amp;"nZY0TY/edit#gid=1248694442"",""Table 2: MMC!A5:A114"")),"""")"),"")</f>
        <v/>
      </c>
      <c r="F51" s="14" t="str">
        <f>IFERROR(__xludf.DUMMYFUNCTION("IFNA(FILTER(IMPORTRANGE(""https://docs.google.com/spreadsheets/d/1kGrh75X1cNR1D7_FcY9zMnHP8iPO4M5RCRjy6nZY0TY/edit#gid=1248694442"",""Table 2: MMC!H5:H114""), $A51=IMPORTRANGE(""https://docs.google.com/spreadsheets/d/1kGrh75X1cNR1D7_FcY9zMnHP8iPO4M5RCRjy6"&amp;"nZY0TY/edit#gid=1248694442"",""Table 2: MMC!A5:A114"")),"""")"),"")</f>
        <v/>
      </c>
      <c r="G51" s="14" t="str">
        <f>IFERROR(__xludf.DUMMYFUNCTION("IFNA(FILTER(IMPORTRANGE(""https://docs.google.com/spreadsheets/d/1kGrh75X1cNR1D7_FcY9zMnHP8iPO4M5RCRjy6nZY0TY/edit#gid=1248694442"",""Table 2: MMC!I5:I114""), $A51=IMPORTRANGE(""https://docs.google.com/spreadsheets/d/1kGrh75X1cNR1D7_FcY9zMnHP8iPO4M5RCRjy6"&amp;"nZY0TY/edit#gid=1248694442"",""Table 2: MMC!A5:A114"")),"""")"),"")</f>
        <v/>
      </c>
      <c r="H51" s="14" t="str">
        <f>IFERROR(__xludf.DUMMYFUNCTION("IFNA(FILTER(IMPORTRANGE(""https://docs.google.com/spreadsheets/d/1kGrh75X1cNR1D7_FcY9zMnHP8iPO4M5RCRjy6nZY0TY/edit#gid=1248694442"",""Table 2: MMC!J5:J114""), $A51=IMPORTRANGE(""https://docs.google.com/spreadsheets/d/1kGrh75X1cNR1D7_FcY9zMnHP8iPO4M5RCRjy6"&amp;"nZY0TY/edit#gid=1248694442"",""Table 2: MMC!A5:A114"")),"""")"),"post-natal")</f>
        <v>post-natal</v>
      </c>
      <c r="I51" s="14" t="str">
        <f>IFERROR(__xludf.DUMMYFUNCTION("IFNA(FILTER(IMPORTRANGE(""https://docs.google.com/spreadsheets/d/1kGrh75X1cNR1D7_FcY9zMnHP8iPO4M5RCRjy6nZY0TY/edit#gid=1248694442"",""Table 2: MMC!M5:M114""), $A51=IMPORTRANGE(""https://docs.google.com/spreadsheets/d/1kGrh75X1cNR1D7_FcY9zMnHP8iPO4M5RCRjy6"&amp;"nZY0TY/edit#gid=1248694442"",""Table 2: MMC!A5:A114"")),"""")"),"")</f>
        <v/>
      </c>
      <c r="J51" s="14" t="str">
        <f>IFERROR(__xludf.DUMMYFUNCTION("IFNA(FILTER(IMPORTRANGE(""https://docs.google.com/spreadsheets/d/1kGrh75X1cNR1D7_FcY9zMnHP8iPO4M5RCRjy6nZY0TY/edit#gid=1248694442"",""Table 2: MMC!Q5:Q114""), $A51=IMPORTRANGE(""https://docs.google.com/spreadsheets/d/1kGrh75X1cNR1D7_FcY9zMnHP8iPO4M5RCRjy6"&amp;"nZY0TY/edit#gid=1248694442"",""Table 2: MMC!A5:A114"")),"""")"),"")</f>
        <v/>
      </c>
      <c r="K51" s="14" t="str">
        <f>IFERROR(__xludf.DUMMYFUNCTION("IFNA(FILTER(IMPORTRANGE(""https://docs.google.com/spreadsheets/d/1kGrh75X1cNR1D7_FcY9zMnHP8iPO4M5RCRjy6nZY0TY/edit#gid=1248694442"",""Table 2: MMC!R5:R114""), $A51=IMPORTRANGE(""https://docs.google.com/spreadsheets/d/1kGrh75X1cNR1D7_FcY9zMnHP8iPO4M5RCRjy6"&amp;"nZY0TY/edit#gid=1248694442"",""Table 2: MMC!A5:A114"")),"""")"),"")</f>
        <v/>
      </c>
      <c r="L51" s="14" t="str">
        <f>IFERROR(__xludf.DUMMYFUNCTION("IFNA(FILTER(IMPORTRANGE(""https://docs.google.com/spreadsheets/d/1kGrh75X1cNR1D7_FcY9zMnHP8iPO4M5RCRjy6nZY0TY/edit#gid=1248694442"",""Table 2: MMC!S5:S114""), $A51=IMPORTRANGE(""https://docs.google.com/spreadsheets/d/1kGrh75X1cNR1D7_FcY9zMnHP8iPO4M5RCRjy6"&amp;"nZY0TY/edit#gid=1248694442"",""Table 2: MMC!A5:A114"")),"""")"),"")</f>
        <v/>
      </c>
      <c r="M51" s="14" t="str">
        <f>IFERROR(__xludf.DUMMYFUNCTION("IFNA(FILTER(IMPORTRANGE(""https://docs.google.com/spreadsheets/d/1kGrh75X1cNR1D7_FcY9zMnHP8iPO4M5RCRjy6nZY0TY/edit#gid=1248694442"",""Table 3: 1st-line HC!D5:D111""), $A51=IMPORTRANGE(""https://docs.google.com/spreadsheets/d/1kGrh75X1cNR1D7_FcY9zMnHP8iPO4"&amp;"M5RCRjy6nZY0TY/edit#gid=1248694442"",""Table 3: 1st-line HC!A5:A111"")),"""")"),"")</f>
        <v/>
      </c>
      <c r="N51" s="14" t="str">
        <f>IFERROR(__xludf.DUMMYFUNCTION("IFNA(FILTER(IMPORTRANGE(""https://docs.google.com/spreadsheets/d/1kGrh75X1cNR1D7_FcY9zMnHP8iPO4M5RCRjy6nZY0TY/edit#gid=1248694442"",""Table 3: 1st-line HC!E5:E111""), $A51=IMPORTRANGE(""https://docs.google.com/spreadsheets/d/1kGrh75X1cNR1D7_FcY9zMnHP8iPO4"&amp;"M5RCRjy6nZY0TY/edit#gid=1248694442"",""Table 3: 1st-line HC!A5:A111"")),"""")"),"")</f>
        <v/>
      </c>
      <c r="O51" s="14" t="str">
        <f>IFERROR(__xludf.DUMMYFUNCTION("IFNA(FILTER(IMPORTRANGE(""https://docs.google.com/spreadsheets/d/1kGrh75X1cNR1D7_FcY9zMnHP8iPO4M5RCRjy6nZY0TY/edit#gid=1248694442"",""Table 3: 1st-line HC!K5:K111""), $A51=IMPORTRANGE(""https://docs.google.com/spreadsheets/d/1kGrh75X1cNR1D7_FcY9zMnHP8iPO4"&amp;"M5RCRjy6nZY0TY/edit#gid=1248694442"",""Table 3: 1st-line HC!A5:A111"")),"""")"),"")</f>
        <v/>
      </c>
      <c r="P51" s="14" t="str">
        <f>IFERROR(__xludf.DUMMYFUNCTION("IFNA(FILTER(IMPORTRANGE(""https://docs.google.com/spreadsheets/d/1kGrh75X1cNR1D7_FcY9zMnHP8iPO4M5RCRjy6nZY0TY/edit#gid=1248694442"",""Table 3: 1st-line HC!L5:L111""), $A51=IMPORTRANGE(""https://docs.google.com/spreadsheets/d/1kGrh75X1cNR1D7_FcY9zMnHP8iPO4"&amp;"M5RCRjy6nZY0TY/edit#gid=1248694442"",""Table 3: 1st-line HC!A5:A111"")),"""")"),"")</f>
        <v/>
      </c>
      <c r="Q51" s="14" t="str">
        <f>IFERROR(__xludf.DUMMYFUNCTION("IFNA(FILTER(IMPORTRANGE(""https://docs.google.com/spreadsheets/d/1kGrh75X1cNR1D7_FcY9zMnHP8iPO4M5RCRjy6nZY0TY/edit#gid=1248694442"",""Table 3: 1st-line HC!M5:M111""), $A51=IMPORTRANGE(""https://docs.google.com/spreadsheets/d/1kGrh75X1cNR1D7_FcY9zMnHP8iPO4"&amp;"M5RCRjy6nZY0TY/edit#gid=1248694442"",""Table 3: 1st-line HC!A5:A111"")),"""")"),"")</f>
        <v/>
      </c>
      <c r="R51" s="14" t="str">
        <f>IFERROR(__xludf.DUMMYFUNCTION("IFNA(FILTER(IMPORTRANGE(""https://docs.google.com/spreadsheets/d/1kGrh75X1cNR1D7_FcY9zMnHP8iPO4M5RCRjy6nZY0TY/edit#gid=1248694442"",""Table 3: 1st-line HC!N5:N111""), $A51=IMPORTRANGE(""https://docs.google.com/spreadsheets/d/1kGrh75X1cNR1D7_FcY9zMnHP8iPO4"&amp;"M5RCRjy6nZY0TY/edit#gid=1248694442"",""Table 3: 1st-line HC!A5:A111"")),"""")"),"")</f>
        <v/>
      </c>
      <c r="S51" s="14" t="str">
        <f>IFERROR(__xludf.DUMMYFUNCTION("IFNA(FILTER(IMPORTRANGE(""https://docs.google.com/spreadsheets/d/1kGrh75X1cNR1D7_FcY9zMnHP8iPO4M5RCRjy6nZY0TY/edit#gid=1248694442"",""Table 3: 1st-line HC!T5:T111""), $A51=IMPORTRANGE(""https://docs.google.com/spreadsheets/d/1kGrh75X1cNR1D7_FcY9zMnHP8iPO4"&amp;"M5RCRjy6nZY0TY/edit#gid=1248694442"",""Table 3: 1st-line HC!A5:A111"")),"""")"),"")</f>
        <v/>
      </c>
      <c r="T51" s="14" t="str">
        <f>IFERROR(__xludf.DUMMYFUNCTION("IFNA(FILTER(IMPORTRANGE(""https://docs.google.com/spreadsheets/d/1kGrh75X1cNR1D7_FcY9zMnHP8iPO4M5RCRjy6nZY0TY/edit#gid=1248694442"",""Table 3: 1st-line HC!U5:U111""), $A51=IMPORTRANGE(""https://docs.google.com/spreadsheets/d/1kGrh75X1cNR1D7_FcY9zMnHP8iPO4"&amp;"M5RCRjy6nZY0TY/edit#gid=1248694442"",""Table 3: 1st-line HC!A5:A111"")),"""")"),"")</f>
        <v/>
      </c>
      <c r="U51" s="14" t="str">
        <f>IFERROR(__xludf.DUMMYFUNCTION("IFNA(FILTER(IMPORTRANGE(""https://docs.google.com/spreadsheets/d/1kGrh75X1cNR1D7_FcY9zMnHP8iPO4M5RCRjy6nZY0TY/edit#gid=1248694442"",""Table 3: 1st-line HC!V5:V111""), $A51=IMPORTRANGE(""https://docs.google.com/spreadsheets/d/1kGrh75X1cNR1D7_FcY9zMnHP8iPO4"&amp;"M5RCRjy6nZY0TY/edit#gid=1248694442"",""Table 3: 1st-line HC!A5:A111"")),"""")"),"")</f>
        <v/>
      </c>
      <c r="V51" s="14" t="str">
        <f>IFERROR(__xludf.DUMMYFUNCTION("IFNA(FILTER(IMPORTRANGE(""https://docs.google.com/spreadsheets/d/1kGrh75X1cNR1D7_FcY9zMnHP8iPO4M5RCRjy6nZY0TY/edit#gid=1248694442"",""Table 3: 1st-line HC!AE5:AE111""), $A51=IMPORTRANGE(""https://docs.google.com/spreadsheets/d/1kGrh75X1cNR1D7_FcY9zMnHP8iP"&amp;"O4M5RCRjy6nZY0TY/edit#gid=1248694442"",""Table 3: 1st-line HC!A5:A111"")),"""")"),"")</f>
        <v/>
      </c>
      <c r="W51" s="14" t="str">
        <f>IFERROR(__xludf.DUMMYFUNCTION("IFNA(FILTER(IMPORTRANGE(""https://docs.google.com/spreadsheets/d/1kGrh75X1cNR1D7_FcY9zMnHP8iPO4M5RCRjy6nZY0TY/edit#gid=1248694442"",""Table 3: 1st-line HC!AG5:AG111""), $A51=IMPORTRANGE(""https://docs.google.com/spreadsheets/d/1kGrh75X1cNR1D7_FcY9zMnHP8iP"&amp;"O4M5RCRjy6nZY0TY/edit#gid=1248694442"",""Table 3: 1st-line HC!A5:A111"")),"""")"),"")</f>
        <v/>
      </c>
      <c r="X51" s="14" t="str">
        <f>IFERROR(__xludf.DUMMYFUNCTION("IFNA(FILTER(IMPORTRANGE(""https://docs.google.com/spreadsheets/d/1kGrh75X1cNR1D7_FcY9zMnHP8iPO4M5RCRjy6nZY0TY/edit#gid=1248694442"",""Table 3: 1st-line HC!AI5:AI111""), $A51=IMPORTRANGE(""https://docs.google.com/spreadsheets/d/1kGrh75X1cNR1D7_FcY9zMnHP8iP"&amp;"O4M5RCRjy6nZY0TY/edit#gid=1248694442"",""Table 3: 1st-line HC!A5:A111"")),"""")"),"range: 26.07 - 286.79")</f>
        <v>range: 26.07 - 286.79</v>
      </c>
    </row>
    <row r="52">
      <c r="A52" s="4" t="str">
        <f>IFERROR(__xludf.DUMMYFUNCTION("""COMPUTED_VALUE"""),"ID 102")</f>
        <v>ID 102</v>
      </c>
      <c r="B52" s="14" t="str">
        <f>IFERROR(__xludf.DUMMYFUNCTION("IFNA(FILTER(IMPORTRANGE(""https://docs.google.com/spreadsheets/d/1kGrh75X1cNR1D7_FcY9zMnHP8iPO4M5RCRjy6nZY0TY/edit#gid=1248694442"",""Table 2: MMC!D5:D114""), $A52=IMPORTRANGE(""https://docs.google.com/spreadsheets/d/1kGrh75X1cNR1D7_FcY9zMnHP8iPO4M5RCRjy6"&amp;"nZY0TY/edit#gid=1248694442"",""Table 2: MMC!A5:A114"")),"""")"),"")</f>
        <v/>
      </c>
      <c r="C52" s="14">
        <f>IFERROR(__xludf.DUMMYFUNCTION("IFNA(FILTER(IMPORTRANGE(""https://docs.google.com/spreadsheets/d/1kGrh75X1cNR1D7_FcY9zMnHP8iPO4M5RCRjy6nZY0TY/edit#gid=1248694442"",""Table 2: MMC!E5:E114""), $A52=IMPORTRANGE(""https://docs.google.com/spreadsheets/d/1kGrh75X1cNR1D7_FcY9zMnHP8iPO4M5RCRjy6"&amp;"nZY0TY/edit#gid=1248694442"",""Table 2: MMC!A5:A114"")),"""")"),18.0)</f>
        <v>18</v>
      </c>
      <c r="D52" s="14">
        <f>IFERROR(__xludf.DUMMYFUNCTION("IFNA(FILTER(IMPORTRANGE(""https://docs.google.com/spreadsheets/d/1kGrh75X1cNR1D7_FcY9zMnHP8iPO4M5RCRjy6nZY0TY/edit#gid=1248694442"",""Table 2: MMC!F5:F114""), $A52=IMPORTRANGE(""https://docs.google.com/spreadsheets/d/1kGrh75X1cNR1D7_FcY9zMnHP8iPO4M5RCRjy6"&amp;"nZY0TY/edit#gid=1248694442"",""Table 2: MMC!A5:A114"")),"""")"),16.0)</f>
        <v>16</v>
      </c>
      <c r="E52" s="14">
        <f>IFERROR(__xludf.DUMMYFUNCTION("IFNA(FILTER(IMPORTRANGE(""https://docs.google.com/spreadsheets/d/1kGrh75X1cNR1D7_FcY9zMnHP8iPO4M5RCRjy6nZY0TY/edit#gid=1248694442"",""Table 2: MMC!G5:G114""), $A52=IMPORTRANGE(""https://docs.google.com/spreadsheets/d/1kGrh75X1cNR1D7_FcY9zMnHP8iPO4M5RCRjy6"&amp;"nZY0TY/edit#gid=1248694442"",""Table 2: MMC!A5:A114"")),"""")"),38.0)</f>
        <v>38</v>
      </c>
      <c r="F52" s="14">
        <f>IFERROR(__xludf.DUMMYFUNCTION("IFNA(FILTER(IMPORTRANGE(""https://docs.google.com/spreadsheets/d/1kGrh75X1cNR1D7_FcY9zMnHP8iPO4M5RCRjy6nZY0TY/edit#gid=1248694442"",""Table 2: MMC!H5:H114""), $A52=IMPORTRANGE(""https://docs.google.com/spreadsheets/d/1kGrh75X1cNR1D7_FcY9zMnHP8iPO4M5RCRjy6"&amp;"nZY0TY/edit#gid=1248694442"",""Table 2: MMC!A5:A114"")),"""")"),32.0)</f>
        <v>32</v>
      </c>
      <c r="G52" s="14">
        <f>IFERROR(__xludf.DUMMYFUNCTION("IFNA(FILTER(IMPORTRANGE(""https://docs.google.com/spreadsheets/d/1kGrh75X1cNR1D7_FcY9zMnHP8iPO4M5RCRjy6nZY0TY/edit#gid=1248694442"",""Table 2: MMC!I5:I114""), $A52=IMPORTRANGE(""https://docs.google.com/spreadsheets/d/1kGrh75X1cNR1D7_FcY9zMnHP8iPO4M5RCRjy6"&amp;"nZY0TY/edit#gid=1248694442"",""Table 2: MMC!A5:A114"")),"""")"),5.0)</f>
        <v>5</v>
      </c>
      <c r="H52" s="14" t="str">
        <f>IFERROR(__xludf.DUMMYFUNCTION("IFNA(FILTER(IMPORTRANGE(""https://docs.google.com/spreadsheets/d/1kGrh75X1cNR1D7_FcY9zMnHP8iPO4M5RCRjy6nZY0TY/edit#gid=1248694442"",""Table 2: MMC!J5:J114""), $A52=IMPORTRANGE(""https://docs.google.com/spreadsheets/d/1kGrh75X1cNR1D7_FcY9zMnHP8iPO4M5RCRjy6"&amp;"nZY0TY/edit#gid=1248694442"",""Table 2: MMC!A5:A114"")),"""")"),"post-natal")</f>
        <v>post-natal</v>
      </c>
      <c r="I52" s="14" t="str">
        <f>IFERROR(__xludf.DUMMYFUNCTION("IFNA(FILTER(IMPORTRANGE(""https://docs.google.com/spreadsheets/d/1kGrh75X1cNR1D7_FcY9zMnHP8iPO4M5RCRjy6nZY0TY/edit#gid=1248694442"",""Table 2: MMC!M5:M114""), $A52=IMPORTRANGE(""https://docs.google.com/spreadsheets/d/1kGrh75X1cNR1D7_FcY9zMnHP8iPO4M5RCRjy6"&amp;"nZY0TY/edit#gid=1248694442"",""Table 2: MMC!A5:A114"")),"""")"),"")</f>
        <v/>
      </c>
      <c r="J52" s="14" t="str">
        <f>IFERROR(__xludf.DUMMYFUNCTION("IFNA(FILTER(IMPORTRANGE(""https://docs.google.com/spreadsheets/d/1kGrh75X1cNR1D7_FcY9zMnHP8iPO4M5RCRjy6nZY0TY/edit#gid=1248694442"",""Table 2: MMC!Q5:Q114""), $A52=IMPORTRANGE(""https://docs.google.com/spreadsheets/d/1kGrh75X1cNR1D7_FcY9zMnHP8iPO4M5RCRjy6"&amp;"nZY0TY/edit#gid=1248694442"",""Table 2: MMC!A5:A114"")),"""")"),"")</f>
        <v/>
      </c>
      <c r="K52" s="14" t="str">
        <f>IFERROR(__xludf.DUMMYFUNCTION("IFNA(FILTER(IMPORTRANGE(""https://docs.google.com/spreadsheets/d/1kGrh75X1cNR1D7_FcY9zMnHP8iPO4M5RCRjy6nZY0TY/edit#gid=1248694442"",""Table 2: MMC!R5:R114""), $A52=IMPORTRANGE(""https://docs.google.com/spreadsheets/d/1kGrh75X1cNR1D7_FcY9zMnHP8iPO4M5RCRjy6"&amp;"nZY0TY/edit#gid=1248694442"",""Table 2: MMC!A5:A114"")),"""")"),"")</f>
        <v/>
      </c>
      <c r="L52" s="14" t="str">
        <f>IFERROR(__xludf.DUMMYFUNCTION("IFNA(FILTER(IMPORTRANGE(""https://docs.google.com/spreadsheets/d/1kGrh75X1cNR1D7_FcY9zMnHP8iPO4M5RCRjy6nZY0TY/edit#gid=1248694442"",""Table 2: MMC!S5:S114""), $A52=IMPORTRANGE(""https://docs.google.com/spreadsheets/d/1kGrh75X1cNR1D7_FcY9zMnHP8iPO4M5RCRjy6"&amp;"nZY0TY/edit#gid=1248694442"",""Table 2: MMC!A5:A114"")),"""")"),"")</f>
        <v/>
      </c>
      <c r="M52" s="14" t="str">
        <f>IFERROR(__xludf.DUMMYFUNCTION("IFNA(FILTER(IMPORTRANGE(""https://docs.google.com/spreadsheets/d/1kGrh75X1cNR1D7_FcY9zMnHP8iPO4M5RCRjy6nZY0TY/edit#gid=1248694442"",""Table 3: 1st-line HC!D5:D111""), $A52=IMPORTRANGE(""https://docs.google.com/spreadsheets/d/1kGrh75X1cNR1D7_FcY9zMnHP8iPO4"&amp;"M5RCRjy6nZY0TY/edit#gid=1248694442"",""Table 3: 1st-line HC!A5:A111"")),"""")"),"")</f>
        <v/>
      </c>
      <c r="N52" s="14" t="str">
        <f>IFERROR(__xludf.DUMMYFUNCTION("IFNA(FILTER(IMPORTRANGE(""https://docs.google.com/spreadsheets/d/1kGrh75X1cNR1D7_FcY9zMnHP8iPO4M5RCRjy6nZY0TY/edit#gid=1248694442"",""Table 3: 1st-line HC!E5:E111""), $A52=IMPORTRANGE(""https://docs.google.com/spreadsheets/d/1kGrh75X1cNR1D7_FcY9zMnHP8iPO4"&amp;"M5RCRjy6nZY0TY/edit#gid=1248694442"",""Table 3: 1st-line HC!A5:A111"")),"""")"),"")</f>
        <v/>
      </c>
      <c r="O52" s="14" t="str">
        <f>IFERROR(__xludf.DUMMYFUNCTION("IFNA(FILTER(IMPORTRANGE(""https://docs.google.com/spreadsheets/d/1kGrh75X1cNR1D7_FcY9zMnHP8iPO4M5RCRjy6nZY0TY/edit#gid=1248694442"",""Table 3: 1st-line HC!K5:K111""), $A52=IMPORTRANGE(""https://docs.google.com/spreadsheets/d/1kGrh75X1cNR1D7_FcY9zMnHP8iPO4"&amp;"M5RCRjy6nZY0TY/edit#gid=1248694442"",""Table 3: 1st-line HC!A5:A111"")),"""")"),"")</f>
        <v/>
      </c>
      <c r="P52" s="14" t="str">
        <f>IFERROR(__xludf.DUMMYFUNCTION("IFNA(FILTER(IMPORTRANGE(""https://docs.google.com/spreadsheets/d/1kGrh75X1cNR1D7_FcY9zMnHP8iPO4M5RCRjy6nZY0TY/edit#gid=1248694442"",""Table 3: 1st-line HC!L5:L111""), $A52=IMPORTRANGE(""https://docs.google.com/spreadsheets/d/1kGrh75X1cNR1D7_FcY9zMnHP8iPO4"&amp;"M5RCRjy6nZY0TY/edit#gid=1248694442"",""Table 3: 1st-line HC!A5:A111"")),"""")"),"")</f>
        <v/>
      </c>
      <c r="Q52" s="14" t="str">
        <f>IFERROR(__xludf.DUMMYFUNCTION("IFNA(FILTER(IMPORTRANGE(""https://docs.google.com/spreadsheets/d/1kGrh75X1cNR1D7_FcY9zMnHP8iPO4M5RCRjy6nZY0TY/edit#gid=1248694442"",""Table 3: 1st-line HC!M5:M111""), $A52=IMPORTRANGE(""https://docs.google.com/spreadsheets/d/1kGrh75X1cNR1D7_FcY9zMnHP8iPO4"&amp;"M5RCRjy6nZY0TY/edit#gid=1248694442"",""Table 3: 1st-line HC!A5:A111"")),"""")"),"")</f>
        <v/>
      </c>
      <c r="R52" s="14">
        <f>IFERROR(__xludf.DUMMYFUNCTION("IFNA(FILTER(IMPORTRANGE(""https://docs.google.com/spreadsheets/d/1kGrh75X1cNR1D7_FcY9zMnHP8iPO4M5RCRjy6nZY0TY/edit#gid=1248694442"",""Table 3: 1st-line HC!N5:N111""), $A52=IMPORTRANGE(""https://docs.google.com/spreadsheets/d/1kGrh75X1cNR1D7_FcY9zMnHP8iPO4"&amp;"M5RCRjy6nZY0TY/edit#gid=1248694442"",""Table 3: 1st-line HC!A5:A111"")),"""")"),109.0)</f>
        <v>109</v>
      </c>
      <c r="S52" s="14" t="str">
        <f>IFERROR(__xludf.DUMMYFUNCTION("IFNA(FILTER(IMPORTRANGE(""https://docs.google.com/spreadsheets/d/1kGrh75X1cNR1D7_FcY9zMnHP8iPO4M5RCRjy6nZY0TY/edit#gid=1248694442"",""Table 3: 1st-line HC!T5:T111""), $A52=IMPORTRANGE(""https://docs.google.com/spreadsheets/d/1kGrh75X1cNR1D7_FcY9zMnHP8iPO4"&amp;"M5RCRjy6nZY0TY/edit#gid=1248694442"",""Table 3: 1st-line HC!A5:A111"")),"""")"),"")</f>
        <v/>
      </c>
      <c r="T52" s="14" t="str">
        <f>IFERROR(__xludf.DUMMYFUNCTION("IFNA(FILTER(IMPORTRANGE(""https://docs.google.com/spreadsheets/d/1kGrh75X1cNR1D7_FcY9zMnHP8iPO4M5RCRjy6nZY0TY/edit#gid=1248694442"",""Table 3: 1st-line HC!U5:U111""), $A52=IMPORTRANGE(""https://docs.google.com/spreadsheets/d/1kGrh75X1cNR1D7_FcY9zMnHP8iPO4"&amp;"M5RCRjy6nZY0TY/edit#gid=1248694442"",""Table 3: 1st-line HC!A5:A111"")),"""")"),"")</f>
        <v/>
      </c>
      <c r="U52" s="14" t="str">
        <f>IFERROR(__xludf.DUMMYFUNCTION("IFNA(FILTER(IMPORTRANGE(""https://docs.google.com/spreadsheets/d/1kGrh75X1cNR1D7_FcY9zMnHP8iPO4M5RCRjy6nZY0TY/edit#gid=1248694442"",""Table 3: 1st-line HC!V5:V111""), $A52=IMPORTRANGE(""https://docs.google.com/spreadsheets/d/1kGrh75X1cNR1D7_FcY9zMnHP8iPO4"&amp;"M5RCRjy6nZY0TY/edit#gid=1248694442"",""Table 3: 1st-line HC!A5:A111"")),"""")"),"")</f>
        <v/>
      </c>
      <c r="V52" s="14" t="str">
        <f>IFERROR(__xludf.DUMMYFUNCTION("IFNA(FILTER(IMPORTRANGE(""https://docs.google.com/spreadsheets/d/1kGrh75X1cNR1D7_FcY9zMnHP8iPO4M5RCRjy6nZY0TY/edit#gid=1248694442"",""Table 3: 1st-line HC!AE5:AE111""), $A52=IMPORTRANGE(""https://docs.google.com/spreadsheets/d/1kGrh75X1cNR1D7_FcY9zMnHP8iP"&amp;"O4M5RCRjy6nZY0TY/edit#gid=1248694442"",""Table 3: 1st-line HC!A5:A111"")),"""")"),"")</f>
        <v/>
      </c>
      <c r="W52" s="14" t="str">
        <f>IFERROR(__xludf.DUMMYFUNCTION("IFNA(FILTER(IMPORTRANGE(""https://docs.google.com/spreadsheets/d/1kGrh75X1cNR1D7_FcY9zMnHP8iPO4M5RCRjy6nZY0TY/edit#gid=1248694442"",""Table 3: 1st-line HC!AG5:AG111""), $A52=IMPORTRANGE(""https://docs.google.com/spreadsheets/d/1kGrh75X1cNR1D7_FcY9zMnHP8iP"&amp;"O4M5RCRjy6nZY0TY/edit#gid=1248694442"",""Table 3: 1st-line HC!A5:A111"")),"""")"),"")</f>
        <v/>
      </c>
      <c r="X52" s="14" t="str">
        <f>IFERROR(__xludf.DUMMYFUNCTION("IFNA(FILTER(IMPORTRANGE(""https://docs.google.com/spreadsheets/d/1kGrh75X1cNR1D7_FcY9zMnHP8iPO4M5RCRjy6nZY0TY/edit#gid=1248694442"",""Table 3: 1st-line HC!AI5:AI111""), $A52=IMPORTRANGE(""https://docs.google.com/spreadsheets/d/1kGrh75X1cNR1D7_FcY9zMnHP8iP"&amp;"O4M5RCRjy6nZY0TY/edit#gid=1248694442"",""Table 3: 1st-line HC!A5:A111"")),"""")"),"average; Seizure (Absent)= 16.3; (Present)=17.1")</f>
        <v>average; Seizure (Absent)= 16.3; (Present)=17.1</v>
      </c>
    </row>
    <row r="53">
      <c r="A53" s="4" t="str">
        <f>IFERROR(__xludf.DUMMYFUNCTION("""COMPUTED_VALUE"""),"ID 104")</f>
        <v>ID 104</v>
      </c>
      <c r="B53" s="14" t="str">
        <f>IFERROR(__xludf.DUMMYFUNCTION("IFNA(FILTER(IMPORTRANGE(""https://docs.google.com/spreadsheets/d/1kGrh75X1cNR1D7_FcY9zMnHP8iPO4M5RCRjy6nZY0TY/edit#gid=1248694442"",""Table 2: MMC!D5:D114""), $A53=IMPORTRANGE(""https://docs.google.com/spreadsheets/d/1kGrh75X1cNR1D7_FcY9zMnHP8iPO4M5RCRjy6"&amp;"nZY0TY/edit#gid=1248694442"",""Table 2: MMC!A5:A114"")),"""")"),"")</f>
        <v/>
      </c>
      <c r="C53" s="14" t="str">
        <f>IFERROR(__xludf.DUMMYFUNCTION("IFNA(FILTER(IMPORTRANGE(""https://docs.google.com/spreadsheets/d/1kGrh75X1cNR1D7_FcY9zMnHP8iPO4M5RCRjy6nZY0TY/edit#gid=1248694442"",""Table 2: MMC!E5:E114""), $A53=IMPORTRANGE(""https://docs.google.com/spreadsheets/d/1kGrh75X1cNR1D7_FcY9zMnHP8iPO4M5RCRjy6"&amp;"nZY0TY/edit#gid=1248694442"",""Table 2: MMC!A5:A114"")),"""")"),"")</f>
        <v/>
      </c>
      <c r="D53" s="14" t="str">
        <f>IFERROR(__xludf.DUMMYFUNCTION("IFNA(FILTER(IMPORTRANGE(""https://docs.google.com/spreadsheets/d/1kGrh75X1cNR1D7_FcY9zMnHP8iPO4M5RCRjy6nZY0TY/edit#gid=1248694442"",""Table 2: MMC!F5:F114""), $A53=IMPORTRANGE(""https://docs.google.com/spreadsheets/d/1kGrh75X1cNR1D7_FcY9zMnHP8iPO4M5RCRjy6"&amp;"nZY0TY/edit#gid=1248694442"",""Table 2: MMC!A5:A114"")),"""")"),"")</f>
        <v/>
      </c>
      <c r="E53" s="14">
        <f>IFERROR(__xludf.DUMMYFUNCTION("IFNA(FILTER(IMPORTRANGE(""https://docs.google.com/spreadsheets/d/1kGrh75X1cNR1D7_FcY9zMnHP8iPO4M5RCRjy6nZY0TY/edit#gid=1248694442"",""Table 2: MMC!G5:G114""), $A53=IMPORTRANGE(""https://docs.google.com/spreadsheets/d/1kGrh75X1cNR1D7_FcY9zMnHP8iPO4M5RCRjy6"&amp;"nZY0TY/edit#gid=1248694442"",""Table 2: MMC!A5:A114"")),"""")"),6.0)</f>
        <v>6</v>
      </c>
      <c r="F53" s="14" t="str">
        <f>IFERROR(__xludf.DUMMYFUNCTION("IFNA(FILTER(IMPORTRANGE(""https://docs.google.com/spreadsheets/d/1kGrh75X1cNR1D7_FcY9zMnHP8iPO4M5RCRjy6nZY0TY/edit#gid=1248694442"",""Table 2: MMC!H5:H114""), $A53=IMPORTRANGE(""https://docs.google.com/spreadsheets/d/1kGrh75X1cNR1D7_FcY9zMnHP8iPO4M5RCRjy6"&amp;"nZY0TY/edit#gid=1248694442"",""Table 2: MMC!A5:A114"")),"""")"),"")</f>
        <v/>
      </c>
      <c r="G53" s="14" t="str">
        <f>IFERROR(__xludf.DUMMYFUNCTION("IFNA(FILTER(IMPORTRANGE(""https://docs.google.com/spreadsheets/d/1kGrh75X1cNR1D7_FcY9zMnHP8iPO4M5RCRjy6nZY0TY/edit#gid=1248694442"",""Table 2: MMC!I5:I114""), $A53=IMPORTRANGE(""https://docs.google.com/spreadsheets/d/1kGrh75X1cNR1D7_FcY9zMnHP8iPO4M5RCRjy6"&amp;"nZY0TY/edit#gid=1248694442"",""Table 2: MMC!A5:A114"")),"""")"),"")</f>
        <v/>
      </c>
      <c r="H53" s="14" t="str">
        <f>IFERROR(__xludf.DUMMYFUNCTION("IFNA(FILTER(IMPORTRANGE(""https://docs.google.com/spreadsheets/d/1kGrh75X1cNR1D7_FcY9zMnHP8iPO4M5RCRjy6nZY0TY/edit#gid=1248694442"",""Table 2: MMC!J5:J114""), $A53=IMPORTRANGE(""https://docs.google.com/spreadsheets/d/1kGrh75X1cNR1D7_FcY9zMnHP8iPO4M5RCRjy6"&amp;"nZY0TY/edit#gid=1248694442"",""Table 2: MMC!A5:A114"")),"""")"),"Ante-natal")</f>
        <v>Ante-natal</v>
      </c>
      <c r="I53" s="14">
        <f>IFERROR(__xludf.DUMMYFUNCTION("IFNA(FILTER(IMPORTRANGE(""https://docs.google.com/spreadsheets/d/1kGrh75X1cNR1D7_FcY9zMnHP8iPO4M5RCRjy6nZY0TY/edit#gid=1248694442"",""Table 2: MMC!M5:M114""), $A53=IMPORTRANGE(""https://docs.google.com/spreadsheets/d/1kGrh75X1cNR1D7_FcY9zMnHP8iPO4M5RCRjy6"&amp;"nZY0TY/edit#gid=1248694442"",""Table 2: MMC!A5:A114"")),"""")"),173.6)</f>
        <v>173.6</v>
      </c>
      <c r="J53" s="14">
        <f>IFERROR(__xludf.DUMMYFUNCTION("IFNA(FILTER(IMPORTRANGE(""https://docs.google.com/spreadsheets/d/1kGrh75X1cNR1D7_FcY9zMnHP8iPO4M5RCRjy6nZY0TY/edit#gid=1248694442"",""Table 2: MMC!Q5:Q114""), $A53=IMPORTRANGE(""https://docs.google.com/spreadsheets/d/1kGrh75X1cNR1D7_FcY9zMnHP8iPO4M5RCRjy6"&amp;"nZY0TY/edit#gid=1248694442"",""Table 2: MMC!A5:A114"")),"""")"),0.0)</f>
        <v>0</v>
      </c>
      <c r="K53" s="14">
        <f>IFERROR(__xludf.DUMMYFUNCTION("IFNA(FILTER(IMPORTRANGE(""https://docs.google.com/spreadsheets/d/1kGrh75X1cNR1D7_FcY9zMnHP8iPO4M5RCRjy6nZY0TY/edit#gid=1248694442"",""Table 2: MMC!R5:R114""), $A53=IMPORTRANGE(""https://docs.google.com/spreadsheets/d/1kGrh75X1cNR1D7_FcY9zMnHP8iPO4M5RCRjy6"&amp;"nZY0TY/edit#gid=1248694442"",""Table 2: MMC!A5:A114"")),"""")"),0.0)</f>
        <v>0</v>
      </c>
      <c r="L53" s="14" t="str">
        <f>IFERROR(__xludf.DUMMYFUNCTION("IFNA(FILTER(IMPORTRANGE(""https://docs.google.com/spreadsheets/d/1kGrh75X1cNR1D7_FcY9zMnHP8iPO4M5RCRjy6nZY0TY/edit#gid=1248694442"",""Table 2: MMC!S5:S114""), $A53=IMPORTRANGE(""https://docs.google.com/spreadsheets/d/1kGrh75X1cNR1D7_FcY9zMnHP8iPO4M5RCRjy6"&amp;"nZY0TY/edit#gid=1248694442"",""Table 2: MMC!A5:A114"")),"""")"),"")</f>
        <v/>
      </c>
      <c r="M53" s="14">
        <f>IFERROR(__xludf.DUMMYFUNCTION("IFNA(FILTER(IMPORTRANGE(""https://docs.google.com/spreadsheets/d/1kGrh75X1cNR1D7_FcY9zMnHP8iPO4M5RCRjy6nZY0TY/edit#gid=1248694442"",""Table 3: 1st-line HC!D5:D111""), $A53=IMPORTRANGE(""https://docs.google.com/spreadsheets/d/1kGrh75X1cNR1D7_FcY9zMnHP8iPO4"&amp;"M5RCRjy6nZY0TY/edit#gid=1248694442"",""Table 3: 1st-line HC!A5:A111"")),"""")"),130.0)</f>
        <v>130</v>
      </c>
      <c r="N53" s="14" t="str">
        <f>IFERROR(__xludf.DUMMYFUNCTION("IFNA(FILTER(IMPORTRANGE(""https://docs.google.com/spreadsheets/d/1kGrh75X1cNR1D7_FcY9zMnHP8iPO4M5RCRjy6nZY0TY/edit#gid=1248694442"",""Table 3: 1st-line HC!E5:E111""), $A53=IMPORTRANGE(""https://docs.google.com/spreadsheets/d/1kGrh75X1cNR1D7_FcY9zMnHP8iPO4"&amp;"M5RCRjy6nZY0TY/edit#gid=1248694442"",""Table 3: 1st-line HC!A5:A111"")),"""")"),"")</f>
        <v/>
      </c>
      <c r="O53" s="14" t="str">
        <f>IFERROR(__xludf.DUMMYFUNCTION("IFNA(FILTER(IMPORTRANGE(""https://docs.google.com/spreadsheets/d/1kGrh75X1cNR1D7_FcY9zMnHP8iPO4M5RCRjy6nZY0TY/edit#gid=1248694442"",""Table 3: 1st-line HC!K5:K111""), $A53=IMPORTRANGE(""https://docs.google.com/spreadsheets/d/1kGrh75X1cNR1D7_FcY9zMnHP8iPO4"&amp;"M5RCRjy6nZY0TY/edit#gid=1248694442"",""Table 3: 1st-line HC!A5:A111"")),"""")"),"")</f>
        <v/>
      </c>
      <c r="P53" s="14">
        <f>IFERROR(__xludf.DUMMYFUNCTION("IFNA(FILTER(IMPORTRANGE(""https://docs.google.com/spreadsheets/d/1kGrh75X1cNR1D7_FcY9zMnHP8iPO4M5RCRjy6nZY0TY/edit#gid=1248694442"",""Table 3: 1st-line HC!L5:L111""), $A53=IMPORTRANGE(""https://docs.google.com/spreadsheets/d/1kGrh75X1cNR1D7_FcY9zMnHP8iPO4"&amp;"M5RCRjy6nZY0TY/edit#gid=1248694442"",""Table 3: 1st-line HC!A5:A111"")),"""")"),3.0)</f>
        <v>3</v>
      </c>
      <c r="Q53" s="14" t="str">
        <f>IFERROR(__xludf.DUMMYFUNCTION("IFNA(FILTER(IMPORTRANGE(""https://docs.google.com/spreadsheets/d/1kGrh75X1cNR1D7_FcY9zMnHP8iPO4M5RCRjy6nZY0TY/edit#gid=1248694442"",""Table 3: 1st-line HC!M5:M111""), $A53=IMPORTRANGE(""https://docs.google.com/spreadsheets/d/1kGrh75X1cNR1D7_FcY9zMnHP8iPO4"&amp;"M5RCRjy6nZY0TY/edit#gid=1248694442"",""Table 3: 1st-line HC!A5:A111"")),"""")"),"")</f>
        <v/>
      </c>
      <c r="R53" s="14" t="str">
        <f>IFERROR(__xludf.DUMMYFUNCTION("IFNA(FILTER(IMPORTRANGE(""https://docs.google.com/spreadsheets/d/1kGrh75X1cNR1D7_FcY9zMnHP8iPO4M5RCRjy6nZY0TY/edit#gid=1248694442"",""Table 3: 1st-line HC!N5:N111""), $A53=IMPORTRANGE(""https://docs.google.com/spreadsheets/d/1kGrh75X1cNR1D7_FcY9zMnHP8iPO4"&amp;"M5RCRjy6nZY0TY/edit#gid=1248694442"",""Table 3: 1st-line HC!A5:A111"")),"""")"),"")</f>
        <v/>
      </c>
      <c r="S53" s="14" t="str">
        <f>IFERROR(__xludf.DUMMYFUNCTION("IFNA(FILTER(IMPORTRANGE(""https://docs.google.com/spreadsheets/d/1kGrh75X1cNR1D7_FcY9zMnHP8iPO4M5RCRjy6nZY0TY/edit#gid=1248694442"",""Table 3: 1st-line HC!T5:T111""), $A53=IMPORTRANGE(""https://docs.google.com/spreadsheets/d/1kGrh75X1cNR1D7_FcY9zMnHP8iPO4"&amp;"M5RCRjy6nZY0TY/edit#gid=1248694442"",""Table 3: 1st-line HC!A5:A111"")),"""")"),"")</f>
        <v/>
      </c>
      <c r="T53" s="14" t="str">
        <f>IFERROR(__xludf.DUMMYFUNCTION("IFNA(FILTER(IMPORTRANGE(""https://docs.google.com/spreadsheets/d/1kGrh75X1cNR1D7_FcY9zMnHP8iPO4M5RCRjy6nZY0TY/edit#gid=1248694442"",""Table 3: 1st-line HC!U5:U111""), $A53=IMPORTRANGE(""https://docs.google.com/spreadsheets/d/1kGrh75X1cNR1D7_FcY9zMnHP8iPO4"&amp;"M5RCRjy6nZY0TY/edit#gid=1248694442"",""Table 3: 1st-line HC!A5:A111"")),"""")"),"")</f>
        <v/>
      </c>
      <c r="U53" s="14" t="str">
        <f>IFERROR(__xludf.DUMMYFUNCTION("IFNA(FILTER(IMPORTRANGE(""https://docs.google.com/spreadsheets/d/1kGrh75X1cNR1D7_FcY9zMnHP8iPO4M5RCRjy6nZY0TY/edit#gid=1248694442"",""Table 3: 1st-line HC!V5:V111""), $A53=IMPORTRANGE(""https://docs.google.com/spreadsheets/d/1kGrh75X1cNR1D7_FcY9zMnHP8iPO4"&amp;"M5RCRjy6nZY0TY/edit#gid=1248694442"",""Table 3: 1st-line HC!A5:A111"")),"""")"),"")</f>
        <v/>
      </c>
      <c r="V53" s="14">
        <f>IFERROR(__xludf.DUMMYFUNCTION("IFNA(FILTER(IMPORTRANGE(""https://docs.google.com/spreadsheets/d/1kGrh75X1cNR1D7_FcY9zMnHP8iPO4M5RCRjy6nZY0TY/edit#gid=1248694442"",""Table 3: 1st-line HC!AE5:AE111""), $A53=IMPORTRANGE(""https://docs.google.com/spreadsheets/d/1kGrh75X1cNR1D7_FcY9zMnHP8iP"&amp;"O4M5RCRjy6nZY0TY/edit#gid=1248694442"",""Table 3: 1st-line HC!A5:A111"")),"""")"),130.7)</f>
        <v>130.7</v>
      </c>
      <c r="W53" s="14" t="str">
        <f>IFERROR(__xludf.DUMMYFUNCTION("IFNA(FILTER(IMPORTRANGE(""https://docs.google.com/spreadsheets/d/1kGrh75X1cNR1D7_FcY9zMnHP8iPO4M5RCRjy6nZY0TY/edit#gid=1248694442"",""Table 3: 1st-line HC!AG5:AG111""), $A53=IMPORTRANGE(""https://docs.google.com/spreadsheets/d/1kGrh75X1cNR1D7_FcY9zMnHP8iP"&amp;"O4M5RCRjy6nZY0TY/edit#gid=1248694442"",""Table 3: 1st-line HC!A5:A111"")),"""")"),"")</f>
        <v/>
      </c>
      <c r="X53" s="14" t="str">
        <f>IFERROR(__xludf.DUMMYFUNCTION("IFNA(FILTER(IMPORTRANGE(""https://docs.google.com/spreadsheets/d/1kGrh75X1cNR1D7_FcY9zMnHP8iPO4M5RCRjy6nZY0TY/edit#gid=1248694442"",""Table 3: 1st-line HC!AI5:AI111""), $A53=IMPORTRANGE(""https://docs.google.com/spreadsheets/d/1kGrh75X1cNR1D7_FcY9zMnHP8iP"&amp;"O4M5RCRjy6nZY0TY/edit#gid=1248694442"",""Table 3: 1st-line HC!A5:A111"")),"""")"),"52-208")</f>
        <v>52-208</v>
      </c>
    </row>
    <row r="54">
      <c r="A54" s="4" t="str">
        <f>IFERROR(__xludf.DUMMYFUNCTION("""COMPUTED_VALUE"""),"ID 107")</f>
        <v>ID 107</v>
      </c>
      <c r="B54" s="14" t="str">
        <f>IFERROR(__xludf.DUMMYFUNCTION("IFNA(FILTER(IMPORTRANGE(""https://docs.google.com/spreadsheets/d/1kGrh75X1cNR1D7_FcY9zMnHP8iPO4M5RCRjy6nZY0TY/edit#gid=1248694442"",""Table 2: MMC!D5:D114""), $A54=IMPORTRANGE(""https://docs.google.com/spreadsheets/d/1kGrh75X1cNR1D7_FcY9zMnHP8iPO4M5RCRjy6"&amp;"nZY0TY/edit#gid=1248694442"",""Table 2: MMC!A5:A114"")),"""")"),"")</f>
        <v/>
      </c>
      <c r="C54" s="14" t="str">
        <f>IFERROR(__xludf.DUMMYFUNCTION("IFNA(FILTER(IMPORTRANGE(""https://docs.google.com/spreadsheets/d/1kGrh75X1cNR1D7_FcY9zMnHP8iPO4M5RCRjy6nZY0TY/edit#gid=1248694442"",""Table 2: MMC!E5:E114""), $A54=IMPORTRANGE(""https://docs.google.com/spreadsheets/d/1kGrh75X1cNR1D7_FcY9zMnHP8iPO4M5RCRjy6"&amp;"nZY0TY/edit#gid=1248694442"",""Table 2: MMC!A5:A114"")),"""")"),"")</f>
        <v/>
      </c>
      <c r="D54" s="14" t="str">
        <f>IFERROR(__xludf.DUMMYFUNCTION("IFNA(FILTER(IMPORTRANGE(""https://docs.google.com/spreadsheets/d/1kGrh75X1cNR1D7_FcY9zMnHP8iPO4M5RCRjy6nZY0TY/edit#gid=1248694442"",""Table 2: MMC!F5:F114""), $A54=IMPORTRANGE(""https://docs.google.com/spreadsheets/d/1kGrh75X1cNR1D7_FcY9zMnHP8iPO4M5RCRjy6"&amp;"nZY0TY/edit#gid=1248694442"",""Table 2: MMC!A5:A114"")),"""")"),"")</f>
        <v/>
      </c>
      <c r="E54" s="14" t="str">
        <f>IFERROR(__xludf.DUMMYFUNCTION("IFNA(FILTER(IMPORTRANGE(""https://docs.google.com/spreadsheets/d/1kGrh75X1cNR1D7_FcY9zMnHP8iPO4M5RCRjy6nZY0TY/edit#gid=1248694442"",""Table 2: MMC!G5:G114""), $A54=IMPORTRANGE(""https://docs.google.com/spreadsheets/d/1kGrh75X1cNR1D7_FcY9zMnHP8iPO4M5RCRjy6"&amp;"nZY0TY/edit#gid=1248694442"",""Table 2: MMC!A5:A114"")),"""")"),"")</f>
        <v/>
      </c>
      <c r="F54" s="14" t="str">
        <f>IFERROR(__xludf.DUMMYFUNCTION("IFNA(FILTER(IMPORTRANGE(""https://docs.google.com/spreadsheets/d/1kGrh75X1cNR1D7_FcY9zMnHP8iPO4M5RCRjy6nZY0TY/edit#gid=1248694442"",""Table 2: MMC!H5:H114""), $A54=IMPORTRANGE(""https://docs.google.com/spreadsheets/d/1kGrh75X1cNR1D7_FcY9zMnHP8iPO4M5RCRjy6"&amp;"nZY0TY/edit#gid=1248694442"",""Table 2: MMC!A5:A114"")),"""")"),"")</f>
        <v/>
      </c>
      <c r="G54" s="14" t="str">
        <f>IFERROR(__xludf.DUMMYFUNCTION("IFNA(FILTER(IMPORTRANGE(""https://docs.google.com/spreadsheets/d/1kGrh75X1cNR1D7_FcY9zMnHP8iPO4M5RCRjy6nZY0TY/edit#gid=1248694442"",""Table 2: MMC!I5:I114""), $A54=IMPORTRANGE(""https://docs.google.com/spreadsheets/d/1kGrh75X1cNR1D7_FcY9zMnHP8iPO4M5RCRjy6"&amp;"nZY0TY/edit#gid=1248694442"",""Table 2: MMC!A5:A114"")),"""")"),"")</f>
        <v/>
      </c>
      <c r="H54" s="14" t="str">
        <f>IFERROR(__xludf.DUMMYFUNCTION("IFNA(FILTER(IMPORTRANGE(""https://docs.google.com/spreadsheets/d/1kGrh75X1cNR1D7_FcY9zMnHP8iPO4M5RCRjy6nZY0TY/edit#gid=1248694442"",""Table 2: MMC!J5:J114""), $A54=IMPORTRANGE(""https://docs.google.com/spreadsheets/d/1kGrh75X1cNR1D7_FcY9zMnHP8iPO4M5RCRjy6"&amp;"nZY0TY/edit#gid=1248694442"",""Table 2: MMC!A5:A114"")),"""")"),"post-natal")</f>
        <v>post-natal</v>
      </c>
      <c r="I54" s="14" t="str">
        <f>IFERROR(__xludf.DUMMYFUNCTION("IFNA(FILTER(IMPORTRANGE(""https://docs.google.com/spreadsheets/d/1kGrh75X1cNR1D7_FcY9zMnHP8iPO4M5RCRjy6nZY0TY/edit#gid=1248694442"",""Table 2: MMC!M5:M114""), $A54=IMPORTRANGE(""https://docs.google.com/spreadsheets/d/1kGrh75X1cNR1D7_FcY9zMnHP8iPO4M5RCRjy6"&amp;"nZY0TY/edit#gid=1248694442"",""Table 2: MMC!A5:A114"")),"""")"),"")</f>
        <v/>
      </c>
      <c r="J54" s="14" t="str">
        <f>IFERROR(__xludf.DUMMYFUNCTION("IFNA(FILTER(IMPORTRANGE(""https://docs.google.com/spreadsheets/d/1kGrh75X1cNR1D7_FcY9zMnHP8iPO4M5RCRjy6nZY0TY/edit#gid=1248694442"",""Table 2: MMC!Q5:Q114""), $A54=IMPORTRANGE(""https://docs.google.com/spreadsheets/d/1kGrh75X1cNR1D7_FcY9zMnHP8iPO4M5RCRjy6"&amp;"nZY0TY/edit#gid=1248694442"",""Table 2: MMC!A5:A114"")),"""")"),"")</f>
        <v/>
      </c>
      <c r="K54" s="14" t="str">
        <f>IFERROR(__xludf.DUMMYFUNCTION("IFNA(FILTER(IMPORTRANGE(""https://docs.google.com/spreadsheets/d/1kGrh75X1cNR1D7_FcY9zMnHP8iPO4M5RCRjy6nZY0TY/edit#gid=1248694442"",""Table 2: MMC!R5:R114""), $A54=IMPORTRANGE(""https://docs.google.com/spreadsheets/d/1kGrh75X1cNR1D7_FcY9zMnHP8iPO4M5RCRjy6"&amp;"nZY0TY/edit#gid=1248694442"",""Table 2: MMC!A5:A114"")),"""")"),"")</f>
        <v/>
      </c>
      <c r="L54" s="14" t="str">
        <f>IFERROR(__xludf.DUMMYFUNCTION("IFNA(FILTER(IMPORTRANGE(""https://docs.google.com/spreadsheets/d/1kGrh75X1cNR1D7_FcY9zMnHP8iPO4M5RCRjy6nZY0TY/edit#gid=1248694442"",""Table 2: MMC!S5:S114""), $A54=IMPORTRANGE(""https://docs.google.com/spreadsheets/d/1kGrh75X1cNR1D7_FcY9zMnHP8iPO4M5RCRjy6"&amp;"nZY0TY/edit#gid=1248694442"",""Table 2: MMC!A5:A114"")),"""")"),"")</f>
        <v/>
      </c>
      <c r="M54" s="14" t="str">
        <f>IFERROR(__xludf.DUMMYFUNCTION("IFNA(FILTER(IMPORTRANGE(""https://docs.google.com/spreadsheets/d/1kGrh75X1cNR1D7_FcY9zMnHP8iPO4M5RCRjy6nZY0TY/edit#gid=1248694442"",""Table 3: 1st-line HC!D5:D111""), $A54=IMPORTRANGE(""https://docs.google.com/spreadsheets/d/1kGrh75X1cNR1D7_FcY9zMnHP8iPO4"&amp;"M5RCRjy6nZY0TY/edit#gid=1248694442"",""Table 3: 1st-line HC!A5:A111"")),"""")"),"")</f>
        <v/>
      </c>
      <c r="N54" s="14" t="str">
        <f>IFERROR(__xludf.DUMMYFUNCTION("IFNA(FILTER(IMPORTRANGE(""https://docs.google.com/spreadsheets/d/1kGrh75X1cNR1D7_FcY9zMnHP8iPO4M5RCRjy6nZY0TY/edit#gid=1248694442"",""Table 3: 1st-line HC!E5:E111""), $A54=IMPORTRANGE(""https://docs.google.com/spreadsheets/d/1kGrh75X1cNR1D7_FcY9zMnHP8iPO4"&amp;"M5RCRjy6nZY0TY/edit#gid=1248694442"",""Table 3: 1st-line HC!A5:A111"")),"""")"),"")</f>
        <v/>
      </c>
      <c r="O54" s="14" t="str">
        <f>IFERROR(__xludf.DUMMYFUNCTION("IFNA(FILTER(IMPORTRANGE(""https://docs.google.com/spreadsheets/d/1kGrh75X1cNR1D7_FcY9zMnHP8iPO4M5RCRjy6nZY0TY/edit#gid=1248694442"",""Table 3: 1st-line HC!K5:K111""), $A54=IMPORTRANGE(""https://docs.google.com/spreadsheets/d/1kGrh75X1cNR1D7_FcY9zMnHP8iPO4"&amp;"M5RCRjy6nZY0TY/edit#gid=1248694442"",""Table 3: 1st-line HC!A5:A111"")),"""")"),"")</f>
        <v/>
      </c>
      <c r="P54" s="14" t="str">
        <f>IFERROR(__xludf.DUMMYFUNCTION("IFNA(FILTER(IMPORTRANGE(""https://docs.google.com/spreadsheets/d/1kGrh75X1cNR1D7_FcY9zMnHP8iPO4M5RCRjy6nZY0TY/edit#gid=1248694442"",""Table 3: 1st-line HC!L5:L111""), $A54=IMPORTRANGE(""https://docs.google.com/spreadsheets/d/1kGrh75X1cNR1D7_FcY9zMnHP8iPO4"&amp;"M5RCRjy6nZY0TY/edit#gid=1248694442"",""Table 3: 1st-line HC!A5:A111"")),"""")"),"")</f>
        <v/>
      </c>
      <c r="Q54" s="14" t="str">
        <f>IFERROR(__xludf.DUMMYFUNCTION("IFNA(FILTER(IMPORTRANGE(""https://docs.google.com/spreadsheets/d/1kGrh75X1cNR1D7_FcY9zMnHP8iPO4M5RCRjy6nZY0TY/edit#gid=1248694442"",""Table 3: 1st-line HC!M5:M111""), $A54=IMPORTRANGE(""https://docs.google.com/spreadsheets/d/1kGrh75X1cNR1D7_FcY9zMnHP8iPO4"&amp;"M5RCRjy6nZY0TY/edit#gid=1248694442"",""Table 3: 1st-line HC!A5:A111"")),"""")"),"")</f>
        <v/>
      </c>
      <c r="R54" s="14" t="str">
        <f>IFERROR(__xludf.DUMMYFUNCTION("IFNA(FILTER(IMPORTRANGE(""https://docs.google.com/spreadsheets/d/1kGrh75X1cNR1D7_FcY9zMnHP8iPO4M5RCRjy6nZY0TY/edit#gid=1248694442"",""Table 3: 1st-line HC!N5:N111""), $A54=IMPORTRANGE(""https://docs.google.com/spreadsheets/d/1kGrh75X1cNR1D7_FcY9zMnHP8iPO4"&amp;"M5RCRjy6nZY0TY/edit#gid=1248694442"",""Table 3: 1st-line HC!A5:A111"")),"""")"),"")</f>
        <v/>
      </c>
      <c r="S54" s="14" t="str">
        <f>IFERROR(__xludf.DUMMYFUNCTION("IFNA(FILTER(IMPORTRANGE(""https://docs.google.com/spreadsheets/d/1kGrh75X1cNR1D7_FcY9zMnHP8iPO4M5RCRjy6nZY0TY/edit#gid=1248694442"",""Table 3: 1st-line HC!T5:T111""), $A54=IMPORTRANGE(""https://docs.google.com/spreadsheets/d/1kGrh75X1cNR1D7_FcY9zMnHP8iPO4"&amp;"M5RCRjy6nZY0TY/edit#gid=1248694442"",""Table 3: 1st-line HC!A5:A111"")),"""")"),"")</f>
        <v/>
      </c>
      <c r="T54" s="14" t="str">
        <f>IFERROR(__xludf.DUMMYFUNCTION("IFNA(FILTER(IMPORTRANGE(""https://docs.google.com/spreadsheets/d/1kGrh75X1cNR1D7_FcY9zMnHP8iPO4M5RCRjy6nZY0TY/edit#gid=1248694442"",""Table 3: 1st-line HC!U5:U111""), $A54=IMPORTRANGE(""https://docs.google.com/spreadsheets/d/1kGrh75X1cNR1D7_FcY9zMnHP8iPO4"&amp;"M5RCRjy6nZY0TY/edit#gid=1248694442"",""Table 3: 1st-line HC!A5:A111"")),"""")"),"")</f>
        <v/>
      </c>
      <c r="U54" s="14" t="str">
        <f>IFERROR(__xludf.DUMMYFUNCTION("IFNA(FILTER(IMPORTRANGE(""https://docs.google.com/spreadsheets/d/1kGrh75X1cNR1D7_FcY9zMnHP8iPO4M5RCRjy6nZY0TY/edit#gid=1248694442"",""Table 3: 1st-line HC!V5:V111""), $A54=IMPORTRANGE(""https://docs.google.com/spreadsheets/d/1kGrh75X1cNR1D7_FcY9zMnHP8iPO4"&amp;"M5RCRjy6nZY0TY/edit#gid=1248694442"",""Table 3: 1st-line HC!A5:A111"")),"""")"),"")</f>
        <v/>
      </c>
      <c r="V54" s="14" t="str">
        <f>IFERROR(__xludf.DUMMYFUNCTION("IFNA(FILTER(IMPORTRANGE(""https://docs.google.com/spreadsheets/d/1kGrh75X1cNR1D7_FcY9zMnHP8iPO4M5RCRjy6nZY0TY/edit#gid=1248694442"",""Table 3: 1st-line HC!AE5:AE111""), $A54=IMPORTRANGE(""https://docs.google.com/spreadsheets/d/1kGrh75X1cNR1D7_FcY9zMnHP8iP"&amp;"O4M5RCRjy6nZY0TY/edit#gid=1248694442"",""Table 3: 1st-line HC!A5:A111"")),"""")"),"")</f>
        <v/>
      </c>
      <c r="W54" s="14" t="str">
        <f>IFERROR(__xludf.DUMMYFUNCTION("IFNA(FILTER(IMPORTRANGE(""https://docs.google.com/spreadsheets/d/1kGrh75X1cNR1D7_FcY9zMnHP8iPO4M5RCRjy6nZY0TY/edit#gid=1248694442"",""Table 3: 1st-line HC!AG5:AG111""), $A54=IMPORTRANGE(""https://docs.google.com/spreadsheets/d/1kGrh75X1cNR1D7_FcY9zMnHP8iP"&amp;"O4M5RCRjy6nZY0TY/edit#gid=1248694442"",""Table 3: 1st-line HC!A5:A111"")),"""")"),"")</f>
        <v/>
      </c>
      <c r="X54" s="14" t="str">
        <f>IFERROR(__xludf.DUMMYFUNCTION("IFNA(FILTER(IMPORTRANGE(""https://docs.google.com/spreadsheets/d/1kGrh75X1cNR1D7_FcY9zMnHP8iPO4M5RCRjy6nZY0TY/edit#gid=1248694442"",""Table 3: 1st-line HC!AI5:AI111""), $A54=IMPORTRANGE(""https://docs.google.com/spreadsheets/d/1kGrh75X1cNR1D7_FcY9zMnHP8iP"&amp;"O4M5RCRjy6nZY0TY/edit#gid=1248694442"",""Table 3: 1st-line HC!A5:A111"")),"""")"),"33-330")</f>
        <v>33-330</v>
      </c>
    </row>
    <row r="55">
      <c r="A55" s="4" t="str">
        <f>IFERROR(__xludf.DUMMYFUNCTION("""COMPUTED_VALUE"""),"ID 111")</f>
        <v>ID 111</v>
      </c>
      <c r="B55" s="14" t="str">
        <f>IFERROR(__xludf.DUMMYFUNCTION("IFNA(FILTER(IMPORTRANGE(""https://docs.google.com/spreadsheets/d/1kGrh75X1cNR1D7_FcY9zMnHP8iPO4M5RCRjy6nZY0TY/edit#gid=1248694442"",""Table 2: MMC!D5:D114""), $A55=IMPORTRANGE(""https://docs.google.com/spreadsheets/d/1kGrh75X1cNR1D7_FcY9zMnHP8iPO4M5RCRjy6"&amp;"nZY0TY/edit#gid=1248694442"",""Table 2: MMC!A5:A114"")),"""")"),"")</f>
        <v/>
      </c>
      <c r="C55" s="14">
        <f>IFERROR(__xludf.DUMMYFUNCTION("IFNA(FILTER(IMPORTRANGE(""https://docs.google.com/spreadsheets/d/1kGrh75X1cNR1D7_FcY9zMnHP8iPO4M5RCRjy6nZY0TY/edit#gid=1248694442"",""Table 2: MMC!E5:E114""), $A55=IMPORTRANGE(""https://docs.google.com/spreadsheets/d/1kGrh75X1cNR1D7_FcY9zMnHP8iPO4M5RCRjy6"&amp;"nZY0TY/edit#gid=1248694442"",""Table 2: MMC!A5:A114"")),"""")"),5.0)</f>
        <v>5</v>
      </c>
      <c r="D55" s="14">
        <f>IFERROR(__xludf.DUMMYFUNCTION("IFNA(FILTER(IMPORTRANGE(""https://docs.google.com/spreadsheets/d/1kGrh75X1cNR1D7_FcY9zMnHP8iPO4M5RCRjy6nZY0TY/edit#gid=1248694442"",""Table 2: MMC!F5:F114""), $A55=IMPORTRANGE(""https://docs.google.com/spreadsheets/d/1kGrh75X1cNR1D7_FcY9zMnHP8iPO4M5RCRjy6"&amp;"nZY0TY/edit#gid=1248694442"",""Table 2: MMC!A5:A114"")),"""")"),3.0)</f>
        <v>3</v>
      </c>
      <c r="E55" s="14">
        <f>IFERROR(__xludf.DUMMYFUNCTION("IFNA(FILTER(IMPORTRANGE(""https://docs.google.com/spreadsheets/d/1kGrh75X1cNR1D7_FcY9zMnHP8iPO4M5RCRjy6nZY0TY/edit#gid=1248694442"",""Table 2: MMC!G5:G114""), $A55=IMPORTRANGE(""https://docs.google.com/spreadsheets/d/1kGrh75X1cNR1D7_FcY9zMnHP8iPO4M5RCRjy6"&amp;"nZY0TY/edit#gid=1248694442"",""Table 2: MMC!A5:A114"")),"""")"),3.0)</f>
        <v>3</v>
      </c>
      <c r="F55" s="14">
        <f>IFERROR(__xludf.DUMMYFUNCTION("IFNA(FILTER(IMPORTRANGE(""https://docs.google.com/spreadsheets/d/1kGrh75X1cNR1D7_FcY9zMnHP8iPO4M5RCRjy6nZY0TY/edit#gid=1248694442"",""Table 2: MMC!H5:H114""), $A55=IMPORTRANGE(""https://docs.google.com/spreadsheets/d/1kGrh75X1cNR1D7_FcY9zMnHP8iPO4M5RCRjy6"&amp;"nZY0TY/edit#gid=1248694442"",""Table 2: MMC!A5:A114"")),"""")"),22.0)</f>
        <v>22</v>
      </c>
      <c r="G55" s="14">
        <f>IFERROR(__xludf.DUMMYFUNCTION("IFNA(FILTER(IMPORTRANGE(""https://docs.google.com/spreadsheets/d/1kGrh75X1cNR1D7_FcY9zMnHP8iPO4M5RCRjy6nZY0TY/edit#gid=1248694442"",""Table 2: MMC!I5:I114""), $A55=IMPORTRANGE(""https://docs.google.com/spreadsheets/d/1kGrh75X1cNR1D7_FcY9zMnHP8iPO4M5RCRjy6"&amp;"nZY0TY/edit#gid=1248694442"",""Table 2: MMC!A5:A114"")),"""")"),9.0)</f>
        <v>9</v>
      </c>
      <c r="H55" s="14" t="str">
        <f>IFERROR(__xludf.DUMMYFUNCTION("IFNA(FILTER(IMPORTRANGE(""https://docs.google.com/spreadsheets/d/1kGrh75X1cNR1D7_FcY9zMnHP8iPO4M5RCRjy6nZY0TY/edit#gid=1248694442"",""Table 2: MMC!J5:J114""), $A55=IMPORTRANGE(""https://docs.google.com/spreadsheets/d/1kGrh75X1cNR1D7_FcY9zMnHP8iPO4M5RCRjy6"&amp;"nZY0TY/edit#gid=1248694442"",""Table 2: MMC!A5:A114"")),"""")"),"post-natal")</f>
        <v>post-natal</v>
      </c>
      <c r="I55" s="14" t="str">
        <f>IFERROR(__xludf.DUMMYFUNCTION("IFNA(FILTER(IMPORTRANGE(""https://docs.google.com/spreadsheets/d/1kGrh75X1cNR1D7_FcY9zMnHP8iPO4M5RCRjy6nZY0TY/edit#gid=1248694442"",""Table 2: MMC!M5:M114""), $A55=IMPORTRANGE(""https://docs.google.com/spreadsheets/d/1kGrh75X1cNR1D7_FcY9zMnHP8iPO4M5RCRjy6"&amp;"nZY0TY/edit#gid=1248694442"",""Table 2: MMC!A5:A114"")),"""")"),"")</f>
        <v/>
      </c>
      <c r="J55" s="14" t="str">
        <f>IFERROR(__xludf.DUMMYFUNCTION("IFNA(FILTER(IMPORTRANGE(""https://docs.google.com/spreadsheets/d/1kGrh75X1cNR1D7_FcY9zMnHP8iPO4M5RCRjy6nZY0TY/edit#gid=1248694442"",""Table 2: MMC!Q5:Q114""), $A55=IMPORTRANGE(""https://docs.google.com/spreadsheets/d/1kGrh75X1cNR1D7_FcY9zMnHP8iPO4M5RCRjy6"&amp;"nZY0TY/edit#gid=1248694442"",""Table 2: MMC!A5:A114"")),"""")"),"")</f>
        <v/>
      </c>
      <c r="K55" s="14">
        <f>IFERROR(__xludf.DUMMYFUNCTION("IFNA(FILTER(IMPORTRANGE(""https://docs.google.com/spreadsheets/d/1kGrh75X1cNR1D7_FcY9zMnHP8iPO4M5RCRjy6nZY0TY/edit#gid=1248694442"",""Table 2: MMC!R5:R114""), $A55=IMPORTRANGE(""https://docs.google.com/spreadsheets/d/1kGrh75X1cNR1D7_FcY9zMnHP8iPO4M5RCRjy6"&amp;"nZY0TY/edit#gid=1248694442"",""Table 2: MMC!A5:A114"")),"""")"),6.0)</f>
        <v>6</v>
      </c>
      <c r="L55" s="14" t="str">
        <f>IFERROR(__xludf.DUMMYFUNCTION("IFNA(FILTER(IMPORTRANGE(""https://docs.google.com/spreadsheets/d/1kGrh75X1cNR1D7_FcY9zMnHP8iPO4M5RCRjy6nZY0TY/edit#gid=1248694442"",""Table 2: MMC!S5:S114""), $A55=IMPORTRANGE(""https://docs.google.com/spreadsheets/d/1kGrh75X1cNR1D7_FcY9zMnHP8iPO4M5RCRjy6"&amp;"nZY0TY/edit#gid=1248694442"",""Table 2: MMC!A5:A114"")),"""")"),"ventriculitis=4; meningitis=1; respiratory arrest=1")</f>
        <v>ventriculitis=4; meningitis=1; respiratory arrest=1</v>
      </c>
      <c r="M55" s="14" t="str">
        <f>IFERROR(__xludf.DUMMYFUNCTION("IFNA(FILTER(IMPORTRANGE(""https://docs.google.com/spreadsheets/d/1kGrh75X1cNR1D7_FcY9zMnHP8iPO4M5RCRjy6nZY0TY/edit#gid=1248694442"",""Table 3: 1st-line HC!D5:D111""), $A55=IMPORTRANGE(""https://docs.google.com/spreadsheets/d/1kGrh75X1cNR1D7_FcY9zMnHP8iPO4"&amp;"M5RCRjy6nZY0TY/edit#gid=1248694442"",""Table 3: 1st-line HC!A5:A111"")),"""")"),"")</f>
        <v/>
      </c>
      <c r="N55" s="14" t="str">
        <f>IFERROR(__xludf.DUMMYFUNCTION("IFNA(FILTER(IMPORTRANGE(""https://docs.google.com/spreadsheets/d/1kGrh75X1cNR1D7_FcY9zMnHP8iPO4M5RCRjy6nZY0TY/edit#gid=1248694442"",""Table 3: 1st-line HC!E5:E111""), $A55=IMPORTRANGE(""https://docs.google.com/spreadsheets/d/1kGrh75X1cNR1D7_FcY9zMnHP8iPO4"&amp;"M5RCRjy6nZY0TY/edit#gid=1248694442"",""Table 3: 1st-line HC!A5:A111"")),"""")"),"")</f>
        <v/>
      </c>
      <c r="O55" s="14" t="str">
        <f>IFERROR(__xludf.DUMMYFUNCTION("IFNA(FILTER(IMPORTRANGE(""https://docs.google.com/spreadsheets/d/1kGrh75X1cNR1D7_FcY9zMnHP8iPO4M5RCRjy6nZY0TY/edit#gid=1248694442"",""Table 3: 1st-line HC!K5:K111""), $A55=IMPORTRANGE(""https://docs.google.com/spreadsheets/d/1kGrh75X1cNR1D7_FcY9zMnHP8iPO4"&amp;"M5RCRjy6nZY0TY/edit#gid=1248694442"",""Table 3: 1st-line HC!A5:A111"")),"""")"),"")</f>
        <v/>
      </c>
      <c r="P55" s="14" t="str">
        <f>IFERROR(__xludf.DUMMYFUNCTION("IFNA(FILTER(IMPORTRANGE(""https://docs.google.com/spreadsheets/d/1kGrh75X1cNR1D7_FcY9zMnHP8iPO4M5RCRjy6nZY0TY/edit#gid=1248694442"",""Table 3: 1st-line HC!L5:L111""), $A55=IMPORTRANGE(""https://docs.google.com/spreadsheets/d/1kGrh75X1cNR1D7_FcY9zMnHP8iPO4"&amp;"M5RCRjy6nZY0TY/edit#gid=1248694442"",""Table 3: 1st-line HC!A5:A111"")),"""")"),"")</f>
        <v/>
      </c>
      <c r="Q55" s="14" t="str">
        <f>IFERROR(__xludf.DUMMYFUNCTION("IFNA(FILTER(IMPORTRANGE(""https://docs.google.com/spreadsheets/d/1kGrh75X1cNR1D7_FcY9zMnHP8iPO4M5RCRjy6nZY0TY/edit#gid=1248694442"",""Table 3: 1st-line HC!M5:M111""), $A55=IMPORTRANGE(""https://docs.google.com/spreadsheets/d/1kGrh75X1cNR1D7_FcY9zMnHP8iPO4"&amp;"M5RCRjy6nZY0TY/edit#gid=1248694442"",""Table 3: 1st-line HC!A5:A111"")),"""")"),"")</f>
        <v/>
      </c>
      <c r="R55" s="14" t="str">
        <f>IFERROR(__xludf.DUMMYFUNCTION("IFNA(FILTER(IMPORTRANGE(""https://docs.google.com/spreadsheets/d/1kGrh75X1cNR1D7_FcY9zMnHP8iPO4M5RCRjy6nZY0TY/edit#gid=1248694442"",""Table 3: 1st-line HC!N5:N111""), $A55=IMPORTRANGE(""https://docs.google.com/spreadsheets/d/1kGrh75X1cNR1D7_FcY9zMnHP8iPO4"&amp;"M5RCRjy6nZY0TY/edit#gid=1248694442"",""Table 3: 1st-line HC!A5:A111"")),"""")"),"")</f>
        <v/>
      </c>
      <c r="S55" s="14" t="str">
        <f>IFERROR(__xludf.DUMMYFUNCTION("IFNA(FILTER(IMPORTRANGE(""https://docs.google.com/spreadsheets/d/1kGrh75X1cNR1D7_FcY9zMnHP8iPO4M5RCRjy6nZY0TY/edit#gid=1248694442"",""Table 3: 1st-line HC!T5:T111""), $A55=IMPORTRANGE(""https://docs.google.com/spreadsheets/d/1kGrh75X1cNR1D7_FcY9zMnHP8iPO4"&amp;"M5RCRjy6nZY0TY/edit#gid=1248694442"",""Table 3: 1st-line HC!A5:A111"")),"""")"),"")</f>
        <v/>
      </c>
      <c r="T55" s="14" t="str">
        <f>IFERROR(__xludf.DUMMYFUNCTION("IFNA(FILTER(IMPORTRANGE(""https://docs.google.com/spreadsheets/d/1kGrh75X1cNR1D7_FcY9zMnHP8iPO4M5RCRjy6nZY0TY/edit#gid=1248694442"",""Table 3: 1st-line HC!U5:U111""), $A55=IMPORTRANGE(""https://docs.google.com/spreadsheets/d/1kGrh75X1cNR1D7_FcY9zMnHP8iPO4"&amp;"M5RCRjy6nZY0TY/edit#gid=1248694442"",""Table 3: 1st-line HC!A5:A111"")),"""")"),"")</f>
        <v/>
      </c>
      <c r="U55" s="14" t="str">
        <f>IFERROR(__xludf.DUMMYFUNCTION("IFNA(FILTER(IMPORTRANGE(""https://docs.google.com/spreadsheets/d/1kGrh75X1cNR1D7_FcY9zMnHP8iPO4M5RCRjy6nZY0TY/edit#gid=1248694442"",""Table 3: 1st-line HC!V5:V111""), $A55=IMPORTRANGE(""https://docs.google.com/spreadsheets/d/1kGrh75X1cNR1D7_FcY9zMnHP8iPO4"&amp;"M5RCRjy6nZY0TY/edit#gid=1248694442"",""Table 3: 1st-line HC!A5:A111"")),"""")"),"")</f>
        <v/>
      </c>
      <c r="V55" s="14" t="str">
        <f>IFERROR(__xludf.DUMMYFUNCTION("IFNA(FILTER(IMPORTRANGE(""https://docs.google.com/spreadsheets/d/1kGrh75X1cNR1D7_FcY9zMnHP8iPO4M5RCRjy6nZY0TY/edit#gid=1248694442"",""Table 3: 1st-line HC!AE5:AE111""), $A55=IMPORTRANGE(""https://docs.google.com/spreadsheets/d/1kGrh75X1cNR1D7_FcY9zMnHP8iP"&amp;"O4M5RCRjy6nZY0TY/edit#gid=1248694442"",""Table 3: 1st-line HC!A5:A111"")),"""")"),"")</f>
        <v/>
      </c>
      <c r="W55" s="14" t="str">
        <f>IFERROR(__xludf.DUMMYFUNCTION("IFNA(FILTER(IMPORTRANGE(""https://docs.google.com/spreadsheets/d/1kGrh75X1cNR1D7_FcY9zMnHP8iPO4M5RCRjy6nZY0TY/edit#gid=1248694442"",""Table 3: 1st-line HC!AG5:AG111""), $A55=IMPORTRANGE(""https://docs.google.com/spreadsheets/d/1kGrh75X1cNR1D7_FcY9zMnHP8iP"&amp;"O4M5RCRjy6nZY0TY/edit#gid=1248694442"",""Table 3: 1st-line HC!A5:A111"")),"""")"),"")</f>
        <v/>
      </c>
      <c r="X55" s="14" t="str">
        <f>IFERROR(__xludf.DUMMYFUNCTION("IFNA(FILTER(IMPORTRANGE(""https://docs.google.com/spreadsheets/d/1kGrh75X1cNR1D7_FcY9zMnHP8iPO4M5RCRjy6nZY0TY/edit#gid=1248694442"",""Table 3: 1st-line HC!AI5:AI111""), $A55=IMPORTRANGE(""https://docs.google.com/spreadsheets/d/1kGrh75X1cNR1D7_FcY9zMnHP8iP"&amp;"O4M5RCRjy6nZY0TY/edit#gid=1248694442"",""Table 3: 1st-line HC!A5:A111"")),"""")"),"")</f>
        <v/>
      </c>
    </row>
    <row r="56">
      <c r="A56" s="4" t="str">
        <f>IFERROR(__xludf.DUMMYFUNCTION("""COMPUTED_VALUE"""),"ID 112")</f>
        <v>ID 112</v>
      </c>
      <c r="B56" s="14">
        <f>IFERROR(__xludf.DUMMYFUNCTION("IFNA(FILTER(IMPORTRANGE(""https://docs.google.com/spreadsheets/d/1kGrh75X1cNR1D7_FcY9zMnHP8iPO4M5RCRjy6nZY0TY/edit#gid=1248694442"",""Table 2: MMC!D5:D114""), $A56=IMPORTRANGE(""https://docs.google.com/spreadsheets/d/1kGrh75X1cNR1D7_FcY9zMnHP8iPO4M5RCRjy6"&amp;"nZY0TY/edit#gid=1248694442"",""Table 2: MMC!A5:A114"")),"""")"),1.0)</f>
        <v>1</v>
      </c>
      <c r="C56" s="14" t="str">
        <f>IFERROR(__xludf.DUMMYFUNCTION("IFNA(FILTER(IMPORTRANGE(""https://docs.google.com/spreadsheets/d/1kGrh75X1cNR1D7_FcY9zMnHP8iPO4M5RCRjy6nZY0TY/edit#gid=1248694442"",""Table 2: MMC!E5:E114""), $A56=IMPORTRANGE(""https://docs.google.com/spreadsheets/d/1kGrh75X1cNR1D7_FcY9zMnHP8iPO4M5RCRjy6"&amp;"nZY0TY/edit#gid=1248694442"",""Table 2: MMC!A5:A114"")),"""")"),"")</f>
        <v/>
      </c>
      <c r="D56" s="14">
        <f>IFERROR(__xludf.DUMMYFUNCTION("IFNA(FILTER(IMPORTRANGE(""https://docs.google.com/spreadsheets/d/1kGrh75X1cNR1D7_FcY9zMnHP8iPO4M5RCRjy6nZY0TY/edit#gid=1248694442"",""Table 2: MMC!F5:F114""), $A56=IMPORTRANGE(""https://docs.google.com/spreadsheets/d/1kGrh75X1cNR1D7_FcY9zMnHP8iPO4M5RCRjy6"&amp;"nZY0TY/edit#gid=1248694442"",""Table 2: MMC!A5:A114"")),"""")"),2.0)</f>
        <v>2</v>
      </c>
      <c r="E56" s="14">
        <f>IFERROR(__xludf.DUMMYFUNCTION("IFNA(FILTER(IMPORTRANGE(""https://docs.google.com/spreadsheets/d/1kGrh75X1cNR1D7_FcY9zMnHP8iPO4M5RCRjy6nZY0TY/edit#gid=1248694442"",""Table 2: MMC!G5:G114""), $A56=IMPORTRANGE(""https://docs.google.com/spreadsheets/d/1kGrh75X1cNR1D7_FcY9zMnHP8iPO4M5RCRjy6"&amp;"nZY0TY/edit#gid=1248694442"",""Table 2: MMC!A5:A114"")),"""")"),1.0)</f>
        <v>1</v>
      </c>
      <c r="F56" s="14">
        <f>IFERROR(__xludf.DUMMYFUNCTION("IFNA(FILTER(IMPORTRANGE(""https://docs.google.com/spreadsheets/d/1kGrh75X1cNR1D7_FcY9zMnHP8iPO4M5RCRjy6nZY0TY/edit#gid=1248694442"",""Table 2: MMC!H5:H114""), $A56=IMPORTRANGE(""https://docs.google.com/spreadsheets/d/1kGrh75X1cNR1D7_FcY9zMnHP8iPO4M5RCRjy6"&amp;"nZY0TY/edit#gid=1248694442"",""Table 2: MMC!A5:A114"")),"""")"),3.0)</f>
        <v>3</v>
      </c>
      <c r="G56" s="14" t="str">
        <f>IFERROR(__xludf.DUMMYFUNCTION("IFNA(FILTER(IMPORTRANGE(""https://docs.google.com/spreadsheets/d/1kGrh75X1cNR1D7_FcY9zMnHP8iPO4M5RCRjy6nZY0TY/edit#gid=1248694442"",""Table 2: MMC!I5:I114""), $A56=IMPORTRANGE(""https://docs.google.com/spreadsheets/d/1kGrh75X1cNR1D7_FcY9zMnHP8iPO4M5RCRjy6"&amp;"nZY0TY/edit#gid=1248694442"",""Table 2: MMC!A5:A114"")),"""")"),"")</f>
        <v/>
      </c>
      <c r="H56" s="14" t="str">
        <f>IFERROR(__xludf.DUMMYFUNCTION("IFNA(FILTER(IMPORTRANGE(""https://docs.google.com/spreadsheets/d/1kGrh75X1cNR1D7_FcY9zMnHP8iPO4M5RCRjy6nZY0TY/edit#gid=1248694442"",""Table 2: MMC!J5:J114""), $A56=IMPORTRANGE(""https://docs.google.com/spreadsheets/d/1kGrh75X1cNR1D7_FcY9zMnHP8iPO4M5RCRjy6"&amp;"nZY0TY/edit#gid=1248694442"",""Table 2: MMC!A5:A114"")),"""")"),"post-natal")</f>
        <v>post-natal</v>
      </c>
      <c r="I56" s="14">
        <f>IFERROR(__xludf.DUMMYFUNCTION("IFNA(FILTER(IMPORTRANGE(""https://docs.google.com/spreadsheets/d/1kGrh75X1cNR1D7_FcY9zMnHP8iPO4M5RCRjy6nZY0TY/edit#gid=1248694442"",""Table 2: MMC!M5:M114""), $A56=IMPORTRANGE(""https://docs.google.com/spreadsheets/d/1kGrh75X1cNR1D7_FcY9zMnHP8iPO4M5RCRjy6"&amp;"nZY0TY/edit#gid=1248694442"",""Table 2: MMC!A5:A114"")),"""")"),27.1)</f>
        <v>27.1</v>
      </c>
      <c r="J56" s="14" t="str">
        <f>IFERROR(__xludf.DUMMYFUNCTION("IFNA(FILTER(IMPORTRANGE(""https://docs.google.com/spreadsheets/d/1kGrh75X1cNR1D7_FcY9zMnHP8iPO4M5RCRjy6nZY0TY/edit#gid=1248694442"",""Table 2: MMC!Q5:Q114""), $A56=IMPORTRANGE(""https://docs.google.com/spreadsheets/d/1kGrh75X1cNR1D7_FcY9zMnHP8iPO4M5RCRjy6"&amp;"nZY0TY/edit#gid=1248694442"",""Table 2: MMC!A5:A114"")),"""")"),"")</f>
        <v/>
      </c>
      <c r="K56" s="14" t="str">
        <f>IFERROR(__xludf.DUMMYFUNCTION("IFNA(FILTER(IMPORTRANGE(""https://docs.google.com/spreadsheets/d/1kGrh75X1cNR1D7_FcY9zMnHP8iPO4M5RCRjy6nZY0TY/edit#gid=1248694442"",""Table 2: MMC!R5:R114""), $A56=IMPORTRANGE(""https://docs.google.com/spreadsheets/d/1kGrh75X1cNR1D7_FcY9zMnHP8iPO4M5RCRjy6"&amp;"nZY0TY/edit#gid=1248694442"",""Table 2: MMC!A5:A114"")),"""")"),"")</f>
        <v/>
      </c>
      <c r="L56" s="14" t="str">
        <f>IFERROR(__xludf.DUMMYFUNCTION("IFNA(FILTER(IMPORTRANGE(""https://docs.google.com/spreadsheets/d/1kGrh75X1cNR1D7_FcY9zMnHP8iPO4M5RCRjy6nZY0TY/edit#gid=1248694442"",""Table 2: MMC!S5:S114""), $A56=IMPORTRANGE(""https://docs.google.com/spreadsheets/d/1kGrh75X1cNR1D7_FcY9zMnHP8iPO4M5RCRjy6"&amp;"nZY0TY/edit#gid=1248694442"",""Table 2: MMC!A5:A114"")),"""")"),"")</f>
        <v/>
      </c>
      <c r="M56" s="14" t="str">
        <f>IFERROR(__xludf.DUMMYFUNCTION("IFNA(FILTER(IMPORTRANGE(""https://docs.google.com/spreadsheets/d/1kGrh75X1cNR1D7_FcY9zMnHP8iPO4M5RCRjy6nZY0TY/edit#gid=1248694442"",""Table 3: 1st-line HC!D5:D111""), $A56=IMPORTRANGE(""https://docs.google.com/spreadsheets/d/1kGrh75X1cNR1D7_FcY9zMnHP8iPO4"&amp;"M5RCRjy6nZY0TY/edit#gid=1248694442"",""Table 3: 1st-line HC!A5:A111"")),"""")"),"")</f>
        <v/>
      </c>
      <c r="N56" s="14" t="str">
        <f>IFERROR(__xludf.DUMMYFUNCTION("IFNA(FILTER(IMPORTRANGE(""https://docs.google.com/spreadsheets/d/1kGrh75X1cNR1D7_FcY9zMnHP8iPO4M5RCRjy6nZY0TY/edit#gid=1248694442"",""Table 3: 1st-line HC!E5:E111""), $A56=IMPORTRANGE(""https://docs.google.com/spreadsheets/d/1kGrh75X1cNR1D7_FcY9zMnHP8iPO4"&amp;"M5RCRjy6nZY0TY/edit#gid=1248694442"",""Table 3: 1st-line HC!A5:A111"")),"""")"),"")</f>
        <v/>
      </c>
      <c r="O56" s="14" t="str">
        <f>IFERROR(__xludf.DUMMYFUNCTION("IFNA(FILTER(IMPORTRANGE(""https://docs.google.com/spreadsheets/d/1kGrh75X1cNR1D7_FcY9zMnHP8iPO4M5RCRjy6nZY0TY/edit#gid=1248694442"",""Table 3: 1st-line HC!K5:K111""), $A56=IMPORTRANGE(""https://docs.google.com/spreadsheets/d/1kGrh75X1cNR1D7_FcY9zMnHP8iPO4"&amp;"M5RCRjy6nZY0TY/edit#gid=1248694442"",""Table 3: 1st-line HC!A5:A111"")),"""")"),"")</f>
        <v/>
      </c>
      <c r="P56" s="14" t="str">
        <f>IFERROR(__xludf.DUMMYFUNCTION("IFNA(FILTER(IMPORTRANGE(""https://docs.google.com/spreadsheets/d/1kGrh75X1cNR1D7_FcY9zMnHP8iPO4M5RCRjy6nZY0TY/edit#gid=1248694442"",""Table 3: 1st-line HC!L5:L111""), $A56=IMPORTRANGE(""https://docs.google.com/spreadsheets/d/1kGrh75X1cNR1D7_FcY9zMnHP8iPO4"&amp;"M5RCRjy6nZY0TY/edit#gid=1248694442"",""Table 3: 1st-line HC!A5:A111"")),"""")"),"")</f>
        <v/>
      </c>
      <c r="Q56" s="14" t="str">
        <f>IFERROR(__xludf.DUMMYFUNCTION("IFNA(FILTER(IMPORTRANGE(""https://docs.google.com/spreadsheets/d/1kGrh75X1cNR1D7_FcY9zMnHP8iPO4M5RCRjy6nZY0TY/edit#gid=1248694442"",""Table 3: 1st-line HC!M5:M111""), $A56=IMPORTRANGE(""https://docs.google.com/spreadsheets/d/1kGrh75X1cNR1D7_FcY9zMnHP8iPO4"&amp;"M5RCRjy6nZY0TY/edit#gid=1248694442"",""Table 3: 1st-line HC!A5:A111"")),"""")"),"")</f>
        <v/>
      </c>
      <c r="R56" s="14" t="str">
        <f>IFERROR(__xludf.DUMMYFUNCTION("IFNA(FILTER(IMPORTRANGE(""https://docs.google.com/spreadsheets/d/1kGrh75X1cNR1D7_FcY9zMnHP8iPO4M5RCRjy6nZY0TY/edit#gid=1248694442"",""Table 3: 1st-line HC!N5:N111""), $A56=IMPORTRANGE(""https://docs.google.com/spreadsheets/d/1kGrh75X1cNR1D7_FcY9zMnHP8iPO4"&amp;"M5RCRjy6nZY0TY/edit#gid=1248694442"",""Table 3: 1st-line HC!A5:A111"")),"""")"),"")</f>
        <v/>
      </c>
      <c r="S56" s="14" t="str">
        <f>IFERROR(__xludf.DUMMYFUNCTION("IFNA(FILTER(IMPORTRANGE(""https://docs.google.com/spreadsheets/d/1kGrh75X1cNR1D7_FcY9zMnHP8iPO4M5RCRjy6nZY0TY/edit#gid=1248694442"",""Table 3: 1st-line HC!T5:T111""), $A56=IMPORTRANGE(""https://docs.google.com/spreadsheets/d/1kGrh75X1cNR1D7_FcY9zMnHP8iPO4"&amp;"M5RCRjy6nZY0TY/edit#gid=1248694442"",""Table 3: 1st-line HC!A5:A111"")),"""")"),"")</f>
        <v/>
      </c>
      <c r="T56" s="14" t="str">
        <f>IFERROR(__xludf.DUMMYFUNCTION("IFNA(FILTER(IMPORTRANGE(""https://docs.google.com/spreadsheets/d/1kGrh75X1cNR1D7_FcY9zMnHP8iPO4M5RCRjy6nZY0TY/edit#gid=1248694442"",""Table 3: 1st-line HC!U5:U111""), $A56=IMPORTRANGE(""https://docs.google.com/spreadsheets/d/1kGrh75X1cNR1D7_FcY9zMnHP8iPO4"&amp;"M5RCRjy6nZY0TY/edit#gid=1248694442"",""Table 3: 1st-line HC!A5:A111"")),"""")"),"")</f>
        <v/>
      </c>
      <c r="U56" s="14" t="str">
        <f>IFERROR(__xludf.DUMMYFUNCTION("IFNA(FILTER(IMPORTRANGE(""https://docs.google.com/spreadsheets/d/1kGrh75X1cNR1D7_FcY9zMnHP8iPO4M5RCRjy6nZY0TY/edit#gid=1248694442"",""Table 3: 1st-line HC!V5:V111""), $A56=IMPORTRANGE(""https://docs.google.com/spreadsheets/d/1kGrh75X1cNR1D7_FcY9zMnHP8iPO4"&amp;"M5RCRjy6nZY0TY/edit#gid=1248694442"",""Table 3: 1st-line HC!A5:A111"")),"""")"),"")</f>
        <v/>
      </c>
      <c r="V56" s="14">
        <f>IFERROR(__xludf.DUMMYFUNCTION("IFNA(FILTER(IMPORTRANGE(""https://docs.google.com/spreadsheets/d/1kGrh75X1cNR1D7_FcY9zMnHP8iPO4M5RCRjy6nZY0TY/edit#gid=1248694442"",""Table 3: 1st-line HC!AE5:AE111""), $A56=IMPORTRANGE(""https://docs.google.com/spreadsheets/d/1kGrh75X1cNR1D7_FcY9zMnHP8iP"&amp;"O4M5RCRjy6nZY0TY/edit#gid=1248694442"",""Table 3: 1st-line HC!A5:A111"")),"""")"),27.1)</f>
        <v>27.1</v>
      </c>
      <c r="W56" s="14" t="str">
        <f>IFERROR(__xludf.DUMMYFUNCTION("IFNA(FILTER(IMPORTRANGE(""https://docs.google.com/spreadsheets/d/1kGrh75X1cNR1D7_FcY9zMnHP8iPO4M5RCRjy6nZY0TY/edit#gid=1248694442"",""Table 3: 1st-line HC!AG5:AG111""), $A56=IMPORTRANGE(""https://docs.google.com/spreadsheets/d/1kGrh75X1cNR1D7_FcY9zMnHP8iP"&amp;"O4M5RCRjy6nZY0TY/edit#gid=1248694442"",""Table 3: 1st-line HC!A5:A111"")),"""")"),"")</f>
        <v/>
      </c>
      <c r="X56" s="14" t="str">
        <f>IFERROR(__xludf.DUMMYFUNCTION("IFNA(FILTER(IMPORTRANGE(""https://docs.google.com/spreadsheets/d/1kGrh75X1cNR1D7_FcY9zMnHP8iPO4M5RCRjy6nZY0TY/edit#gid=1248694442"",""Table 3: 1st-line HC!AI5:AI111""), $A56=IMPORTRANGE(""https://docs.google.com/spreadsheets/d/1kGrh75X1cNR1D7_FcY9zMnHP8iP"&amp;"O4M5RCRjy6nZY0TY/edit#gid=1248694442"",""Table 3: 1st-line HC!A5:A111"")),"""")"),"41.7-260")</f>
        <v>41.7-260</v>
      </c>
    </row>
    <row r="57">
      <c r="A57" s="4" t="str">
        <f>IFERROR(__xludf.DUMMYFUNCTION("""COMPUTED_VALUE"""),"ID 117")</f>
        <v>ID 117</v>
      </c>
      <c r="B57" s="14" t="str">
        <f>IFERROR(__xludf.DUMMYFUNCTION("IFNA(FILTER(IMPORTRANGE(""https://docs.google.com/spreadsheets/d/1kGrh75X1cNR1D7_FcY9zMnHP8iPO4M5RCRjy6nZY0TY/edit#gid=1248694442"",""Table 2: MMC!D5:D114""), $A57=IMPORTRANGE(""https://docs.google.com/spreadsheets/d/1kGrh75X1cNR1D7_FcY9zMnHP8iPO4M5RCRjy6"&amp;"nZY0TY/edit#gid=1248694442"",""Table 2: MMC!A5:A114"")),"""")"),"")</f>
        <v/>
      </c>
      <c r="C57" s="14">
        <f>IFERROR(__xludf.DUMMYFUNCTION("IFNA(FILTER(IMPORTRANGE(""https://docs.google.com/spreadsheets/d/1kGrh75X1cNR1D7_FcY9zMnHP8iPO4M5RCRjy6nZY0TY/edit#gid=1248694442"",""Table 2: MMC!E5:E114""), $A57=IMPORTRANGE(""https://docs.google.com/spreadsheets/d/1kGrh75X1cNR1D7_FcY9zMnHP8iPO4M5RCRjy6"&amp;"nZY0TY/edit#gid=1248694442"",""Table 2: MMC!A5:A114"")),"""")"),7.0)</f>
        <v>7</v>
      </c>
      <c r="D57" s="14">
        <f>IFERROR(__xludf.DUMMYFUNCTION("IFNA(FILTER(IMPORTRANGE(""https://docs.google.com/spreadsheets/d/1kGrh75X1cNR1D7_FcY9zMnHP8iPO4M5RCRjy6nZY0TY/edit#gid=1248694442"",""Table 2: MMC!F5:F114""), $A57=IMPORTRANGE(""https://docs.google.com/spreadsheets/d/1kGrh75X1cNR1D7_FcY9zMnHP8iPO4M5RCRjy6"&amp;"nZY0TY/edit#gid=1248694442"",""Table 2: MMC!A5:A114"")),"""")"),47.0)</f>
        <v>47</v>
      </c>
      <c r="E57" s="14">
        <f>IFERROR(__xludf.DUMMYFUNCTION("IFNA(FILTER(IMPORTRANGE(""https://docs.google.com/spreadsheets/d/1kGrh75X1cNR1D7_FcY9zMnHP8iPO4M5RCRjy6nZY0TY/edit#gid=1248694442"",""Table 2: MMC!G5:G114""), $A57=IMPORTRANGE(""https://docs.google.com/spreadsheets/d/1kGrh75X1cNR1D7_FcY9zMnHP8iPO4M5RCRjy6"&amp;"nZY0TY/edit#gid=1248694442"",""Table 2: MMC!A5:A114"")),"""")"),25.0)</f>
        <v>25</v>
      </c>
      <c r="F57" s="14">
        <f>IFERROR(__xludf.DUMMYFUNCTION("IFNA(FILTER(IMPORTRANGE(""https://docs.google.com/spreadsheets/d/1kGrh75X1cNR1D7_FcY9zMnHP8iPO4M5RCRjy6nZY0TY/edit#gid=1248694442"",""Table 2: MMC!H5:H114""), $A57=IMPORTRANGE(""https://docs.google.com/spreadsheets/d/1kGrh75X1cNR1D7_FcY9zMnHP8iPO4M5RCRjy6"&amp;"nZY0TY/edit#gid=1248694442"",""Table 2: MMC!A5:A114"")),"""")"),100.0)</f>
        <v>100</v>
      </c>
      <c r="G57" s="14">
        <f>IFERROR(__xludf.DUMMYFUNCTION("IFNA(FILTER(IMPORTRANGE(""https://docs.google.com/spreadsheets/d/1kGrh75X1cNR1D7_FcY9zMnHP8iPO4M5RCRjy6nZY0TY/edit#gid=1248694442"",""Table 2: MMC!I5:I114""), $A57=IMPORTRANGE(""https://docs.google.com/spreadsheets/d/1kGrh75X1cNR1D7_FcY9zMnHP8iPO4M5RCRjy6"&amp;"nZY0TY/edit#gid=1248694442"",""Table 2: MMC!A5:A114"")),"""")"),14.0)</f>
        <v>14</v>
      </c>
      <c r="H57" s="14" t="str">
        <f>IFERROR(__xludf.DUMMYFUNCTION("IFNA(FILTER(IMPORTRANGE(""https://docs.google.com/spreadsheets/d/1kGrh75X1cNR1D7_FcY9zMnHP8iPO4M5RCRjy6nZY0TY/edit#gid=1248694442"",""Table 2: MMC!J5:J114""), $A57=IMPORTRANGE(""https://docs.google.com/spreadsheets/d/1kGrh75X1cNR1D7_FcY9zMnHP8iPO4M5RCRjy6"&amp;"nZY0TY/edit#gid=1248694442"",""Table 2: MMC!A5:A114"")),"""")"),"post-natal")</f>
        <v>post-natal</v>
      </c>
      <c r="I57" s="14">
        <f>IFERROR(__xludf.DUMMYFUNCTION("IFNA(FILTER(IMPORTRANGE(""https://docs.google.com/spreadsheets/d/1kGrh75X1cNR1D7_FcY9zMnHP8iPO4M5RCRjy6nZY0TY/edit#gid=1248694442"",""Table 2: MMC!M5:M114""), $A57=IMPORTRANGE(""https://docs.google.com/spreadsheets/d/1kGrh75X1cNR1D7_FcY9zMnHP8iPO4M5RCRjy6"&amp;"nZY0TY/edit#gid=1248694442"",""Table 2: MMC!A5:A114"")),"""")"),651.0)</f>
        <v>651</v>
      </c>
      <c r="J57" s="14" t="str">
        <f>IFERROR(__xludf.DUMMYFUNCTION("IFNA(FILTER(IMPORTRANGE(""https://docs.google.com/spreadsheets/d/1kGrh75X1cNR1D7_FcY9zMnHP8iPO4M5RCRjy6nZY0TY/edit#gid=1248694442"",""Table 2: MMC!Q5:Q114""), $A57=IMPORTRANGE(""https://docs.google.com/spreadsheets/d/1kGrh75X1cNR1D7_FcY9zMnHP8iPO4M5RCRjy6"&amp;"nZY0TY/edit#gid=1248694442"",""Table 2: MMC!A5:A114"")),"""")"),"")</f>
        <v/>
      </c>
      <c r="K57" s="14" t="str">
        <f>IFERROR(__xludf.DUMMYFUNCTION("IFNA(FILTER(IMPORTRANGE(""https://docs.google.com/spreadsheets/d/1kGrh75X1cNR1D7_FcY9zMnHP8iPO4M5RCRjy6nZY0TY/edit#gid=1248694442"",""Table 2: MMC!R5:R114""), $A57=IMPORTRANGE(""https://docs.google.com/spreadsheets/d/1kGrh75X1cNR1D7_FcY9zMnHP8iPO4M5RCRjy6"&amp;"nZY0TY/edit#gid=1248694442"",""Table 2: MMC!A5:A114"")),"""")"),"")</f>
        <v/>
      </c>
      <c r="L57" s="14" t="str">
        <f>IFERROR(__xludf.DUMMYFUNCTION("IFNA(FILTER(IMPORTRANGE(""https://docs.google.com/spreadsheets/d/1kGrh75X1cNR1D7_FcY9zMnHP8iPO4M5RCRjy6nZY0TY/edit#gid=1248694442"",""Table 2: MMC!S5:S114""), $A57=IMPORTRANGE(""https://docs.google.com/spreadsheets/d/1kGrh75X1cNR1D7_FcY9zMnHP8iPO4M5RCRjy6"&amp;"nZY0TY/edit#gid=1248694442"",""Table 2: MMC!A5:A114"")),"""")"),"")</f>
        <v/>
      </c>
      <c r="M57" s="14" t="str">
        <f>IFERROR(__xludf.DUMMYFUNCTION("IFNA(FILTER(IMPORTRANGE(""https://docs.google.com/spreadsheets/d/1kGrh75X1cNR1D7_FcY9zMnHP8iPO4M5RCRjy6nZY0TY/edit#gid=1248694442"",""Table 3: 1st-line HC!D5:D111""), $A57=IMPORTRANGE(""https://docs.google.com/spreadsheets/d/1kGrh75X1cNR1D7_FcY9zMnHP8iPO4"&amp;"M5RCRjy6nZY0TY/edit#gid=1248694442"",""Table 3: 1st-line HC!A5:A111"")),"""")"),"")</f>
        <v/>
      </c>
      <c r="N57" s="14">
        <f>IFERROR(__xludf.DUMMYFUNCTION("IFNA(FILTER(IMPORTRANGE(""https://docs.google.com/spreadsheets/d/1kGrh75X1cNR1D7_FcY9zMnHP8iPO4M5RCRjy6nZY0TY/edit#gid=1248694442"",""Table 3: 1st-line HC!E5:E111""), $A57=IMPORTRANGE(""https://docs.google.com/spreadsheets/d/1kGrh75X1cNR1D7_FcY9zMnHP8iPO4"&amp;"M5RCRjy6nZY0TY/edit#gid=1248694442"",""Table 3: 1st-line HC!A5:A111"")),"""")"),0.0)</f>
        <v>0</v>
      </c>
      <c r="O57" s="14" t="str">
        <f>IFERROR(__xludf.DUMMYFUNCTION("IFNA(FILTER(IMPORTRANGE(""https://docs.google.com/spreadsheets/d/1kGrh75X1cNR1D7_FcY9zMnHP8iPO4M5RCRjy6nZY0TY/edit#gid=1248694442"",""Table 3: 1st-line HC!K5:K111""), $A57=IMPORTRANGE(""https://docs.google.com/spreadsheets/d/1kGrh75X1cNR1D7_FcY9zMnHP8iPO4"&amp;"M5RCRjy6nZY0TY/edit#gid=1248694442"",""Table 3: 1st-line HC!A5:A111"")),"""")"),"")</f>
        <v/>
      </c>
      <c r="P57" s="14">
        <f>IFERROR(__xludf.DUMMYFUNCTION("IFNA(FILTER(IMPORTRANGE(""https://docs.google.com/spreadsheets/d/1kGrh75X1cNR1D7_FcY9zMnHP8iPO4M5RCRjy6nZY0TY/edit#gid=1248694442"",""Table 3: 1st-line HC!L5:L111""), $A57=IMPORTRANGE(""https://docs.google.com/spreadsheets/d/1kGrh75X1cNR1D7_FcY9zMnHP8iPO4"&amp;"M5RCRjy6nZY0TY/edit#gid=1248694442"",""Table 3: 1st-line HC!A5:A111"")),"""")"),212.0)</f>
        <v>212</v>
      </c>
      <c r="Q57" s="14" t="str">
        <f>IFERROR(__xludf.DUMMYFUNCTION("IFNA(FILTER(IMPORTRANGE(""https://docs.google.com/spreadsheets/d/1kGrh75X1cNR1D7_FcY9zMnHP8iPO4M5RCRjy6nZY0TY/edit#gid=1248694442"",""Table 3: 1st-line HC!M5:M111""), $A57=IMPORTRANGE(""https://docs.google.com/spreadsheets/d/1kGrh75X1cNR1D7_FcY9zMnHP8iPO4"&amp;"M5RCRjy6nZY0TY/edit#gid=1248694442"",""Table 3: 1st-line HC!A5:A111"")),"""")"),"")</f>
        <v/>
      </c>
      <c r="R57" s="14" t="str">
        <f>IFERROR(__xludf.DUMMYFUNCTION("IFNA(FILTER(IMPORTRANGE(""https://docs.google.com/spreadsheets/d/1kGrh75X1cNR1D7_FcY9zMnHP8iPO4M5RCRjy6nZY0TY/edit#gid=1248694442"",""Table 3: 1st-line HC!N5:N111""), $A57=IMPORTRANGE(""https://docs.google.com/spreadsheets/d/1kGrh75X1cNR1D7_FcY9zMnHP8iPO4"&amp;"M5RCRjy6nZY0TY/edit#gid=1248694442"",""Table 3: 1st-line HC!A5:A111"")),"""")"),"")</f>
        <v/>
      </c>
      <c r="S57" s="14" t="str">
        <f>IFERROR(__xludf.DUMMYFUNCTION("IFNA(FILTER(IMPORTRANGE(""https://docs.google.com/spreadsheets/d/1kGrh75X1cNR1D7_FcY9zMnHP8iPO4M5RCRjy6nZY0TY/edit#gid=1248694442"",""Table 3: 1st-line HC!T5:T111""), $A57=IMPORTRANGE(""https://docs.google.com/spreadsheets/d/1kGrh75X1cNR1D7_FcY9zMnHP8iPO4"&amp;"M5RCRjy6nZY0TY/edit#gid=1248694442"",""Table 3: 1st-line HC!A5:A111"")),"""")"),"")</f>
        <v/>
      </c>
      <c r="T57" s="14" t="str">
        <f>IFERROR(__xludf.DUMMYFUNCTION("IFNA(FILTER(IMPORTRANGE(""https://docs.google.com/spreadsheets/d/1kGrh75X1cNR1D7_FcY9zMnHP8iPO4M5RCRjy6nZY0TY/edit#gid=1248694442"",""Table 3: 1st-line HC!U5:U111""), $A57=IMPORTRANGE(""https://docs.google.com/spreadsheets/d/1kGrh75X1cNR1D7_FcY9zMnHP8iPO4"&amp;"M5RCRjy6nZY0TY/edit#gid=1248694442"",""Table 3: 1st-line HC!A5:A111"")),"""")"),"")</f>
        <v/>
      </c>
      <c r="U57" s="14" t="str">
        <f>IFERROR(__xludf.DUMMYFUNCTION("IFNA(FILTER(IMPORTRANGE(""https://docs.google.com/spreadsheets/d/1kGrh75X1cNR1D7_FcY9zMnHP8iPO4M5RCRjy6nZY0TY/edit#gid=1248694442"",""Table 3: 1st-line HC!V5:V111""), $A57=IMPORTRANGE(""https://docs.google.com/spreadsheets/d/1kGrh75X1cNR1D7_FcY9zMnHP8iPO4"&amp;"M5RCRjy6nZY0TY/edit#gid=1248694442"",""Table 3: 1st-line HC!A5:A111"")),"""")"),"")</f>
        <v/>
      </c>
      <c r="V57" s="14" t="str">
        <f>IFERROR(__xludf.DUMMYFUNCTION("IFNA(FILTER(IMPORTRANGE(""https://docs.google.com/spreadsheets/d/1kGrh75X1cNR1D7_FcY9zMnHP8iPO4M5RCRjy6nZY0TY/edit#gid=1248694442"",""Table 3: 1st-line HC!AE5:AE111""), $A57=IMPORTRANGE(""https://docs.google.com/spreadsheets/d/1kGrh75X1cNR1D7_FcY9zMnHP8iP"&amp;"O4M5RCRjy6nZY0TY/edit#gid=1248694442"",""Table 3: 1st-line HC!A5:A111"")),"""")"),"")</f>
        <v/>
      </c>
      <c r="W57" s="14" t="str">
        <f>IFERROR(__xludf.DUMMYFUNCTION("IFNA(FILTER(IMPORTRANGE(""https://docs.google.com/spreadsheets/d/1kGrh75X1cNR1D7_FcY9zMnHP8iPO4M5RCRjy6nZY0TY/edit#gid=1248694442"",""Table 3: 1st-line HC!AG5:AG111""), $A57=IMPORTRANGE(""https://docs.google.com/spreadsheets/d/1kGrh75X1cNR1D7_FcY9zMnHP8iP"&amp;"O4M5RCRjy6nZY0TY/edit#gid=1248694442"",""Table 3: 1st-line HC!A5:A111"")),"""")"),"")</f>
        <v/>
      </c>
      <c r="X57" s="14" t="str">
        <f>IFERROR(__xludf.DUMMYFUNCTION("IFNA(FILTER(IMPORTRANGE(""https://docs.google.com/spreadsheets/d/1kGrh75X1cNR1D7_FcY9zMnHP8iPO4M5RCRjy6nZY0TY/edit#gid=1248694442"",""Table 3: 1st-line HC!AI5:AI111""), $A57=IMPORTRANGE(""https://docs.google.com/spreadsheets/d/1kGrh75X1cNR1D7_FcY9zMnHP8iP"&amp;"O4M5RCRjy6nZY0TY/edit#gid=1248694442"",""Table 3: 1st-line HC!A5:A111"")),"""")"),"52-1040")</f>
        <v>52-1040</v>
      </c>
    </row>
    <row r="58">
      <c r="A58" s="4" t="str">
        <f>IFERROR(__xludf.DUMMYFUNCTION("""COMPUTED_VALUE"""),"ID 120")</f>
        <v>ID 120</v>
      </c>
      <c r="B58" s="14" t="str">
        <f>IFERROR(__xludf.DUMMYFUNCTION("IFNA(FILTER(IMPORTRANGE(""https://docs.google.com/spreadsheets/d/1kGrh75X1cNR1D7_FcY9zMnHP8iPO4M5RCRjy6nZY0TY/edit#gid=1248694442"",""Table 2: MMC!D5:D114""), $A58=IMPORTRANGE(""https://docs.google.com/spreadsheets/d/1kGrh75X1cNR1D7_FcY9zMnHP8iPO4M5RCRjy6"&amp;"nZY0TY/edit#gid=1248694442"",""Table 2: MMC!A5:A114"")),"""")"),"")</f>
        <v/>
      </c>
      <c r="C58" s="14" t="str">
        <f>IFERROR(__xludf.DUMMYFUNCTION("IFNA(FILTER(IMPORTRANGE(""https://docs.google.com/spreadsheets/d/1kGrh75X1cNR1D7_FcY9zMnHP8iPO4M5RCRjy6nZY0TY/edit#gid=1248694442"",""Table 2: MMC!E5:E114""), $A58=IMPORTRANGE(""https://docs.google.com/spreadsheets/d/1kGrh75X1cNR1D7_FcY9zMnHP8iPO4M5RCRjy6"&amp;"nZY0TY/edit#gid=1248694442"",""Table 2: MMC!A5:A114"")),"""")"),"")</f>
        <v/>
      </c>
      <c r="D58" s="14" t="str">
        <f>IFERROR(__xludf.DUMMYFUNCTION("IFNA(FILTER(IMPORTRANGE(""https://docs.google.com/spreadsheets/d/1kGrh75X1cNR1D7_FcY9zMnHP8iPO4M5RCRjy6nZY0TY/edit#gid=1248694442"",""Table 2: MMC!F5:F114""), $A58=IMPORTRANGE(""https://docs.google.com/spreadsheets/d/1kGrh75X1cNR1D7_FcY9zMnHP8iPO4M5RCRjy6"&amp;"nZY0TY/edit#gid=1248694442"",""Table 2: MMC!A5:A114"")),"""")"),"")</f>
        <v/>
      </c>
      <c r="E58" s="14" t="str">
        <f>IFERROR(__xludf.DUMMYFUNCTION("IFNA(FILTER(IMPORTRANGE(""https://docs.google.com/spreadsheets/d/1kGrh75X1cNR1D7_FcY9zMnHP8iPO4M5RCRjy6nZY0TY/edit#gid=1248694442"",""Table 2: MMC!G5:G114""), $A58=IMPORTRANGE(""https://docs.google.com/spreadsheets/d/1kGrh75X1cNR1D7_FcY9zMnHP8iPO4M5RCRjy6"&amp;"nZY0TY/edit#gid=1248694442"",""Table 2: MMC!A5:A114"")),"""")"),"")</f>
        <v/>
      </c>
      <c r="F58" s="14" t="str">
        <f>IFERROR(__xludf.DUMMYFUNCTION("IFNA(FILTER(IMPORTRANGE(""https://docs.google.com/spreadsheets/d/1kGrh75X1cNR1D7_FcY9zMnHP8iPO4M5RCRjy6nZY0TY/edit#gid=1248694442"",""Table 2: MMC!H5:H114""), $A58=IMPORTRANGE(""https://docs.google.com/spreadsheets/d/1kGrh75X1cNR1D7_FcY9zMnHP8iPO4M5RCRjy6"&amp;"nZY0TY/edit#gid=1248694442"",""Table 2: MMC!A5:A114"")),"""")"),"")</f>
        <v/>
      </c>
      <c r="G58" s="14" t="str">
        <f>IFERROR(__xludf.DUMMYFUNCTION("IFNA(FILTER(IMPORTRANGE(""https://docs.google.com/spreadsheets/d/1kGrh75X1cNR1D7_FcY9zMnHP8iPO4M5RCRjy6nZY0TY/edit#gid=1248694442"",""Table 2: MMC!I5:I114""), $A58=IMPORTRANGE(""https://docs.google.com/spreadsheets/d/1kGrh75X1cNR1D7_FcY9zMnHP8iPO4M5RCRjy6"&amp;"nZY0TY/edit#gid=1248694442"",""Table 2: MMC!A5:A114"")),"""")"),"")</f>
        <v/>
      </c>
      <c r="H58" s="14" t="str">
        <f>IFERROR(__xludf.DUMMYFUNCTION("IFNA(FILTER(IMPORTRANGE(""https://docs.google.com/spreadsheets/d/1kGrh75X1cNR1D7_FcY9zMnHP8iPO4M5RCRjy6nZY0TY/edit#gid=1248694442"",""Table 2: MMC!J5:J114""), $A58=IMPORTRANGE(""https://docs.google.com/spreadsheets/d/1kGrh75X1cNR1D7_FcY9zMnHP8iPO4M5RCRjy6"&amp;"nZY0TY/edit#gid=1248694442"",""Table 2: MMC!A5:A114"")),"""")"),"post-natal")</f>
        <v>post-natal</v>
      </c>
      <c r="I58" s="14" t="str">
        <f>IFERROR(__xludf.DUMMYFUNCTION("IFNA(FILTER(IMPORTRANGE(""https://docs.google.com/spreadsheets/d/1kGrh75X1cNR1D7_FcY9zMnHP8iPO4M5RCRjy6nZY0TY/edit#gid=1248694442"",""Table 2: MMC!M5:M114""), $A58=IMPORTRANGE(""https://docs.google.com/spreadsheets/d/1kGrh75X1cNR1D7_FcY9zMnHP8iPO4M5RCRjy6"&amp;"nZY0TY/edit#gid=1248694442"",""Table 2: MMC!A5:A114"")),"""")"),"")</f>
        <v/>
      </c>
      <c r="J58" s="14" t="str">
        <f>IFERROR(__xludf.DUMMYFUNCTION("IFNA(FILTER(IMPORTRANGE(""https://docs.google.com/spreadsheets/d/1kGrh75X1cNR1D7_FcY9zMnHP8iPO4M5RCRjy6nZY0TY/edit#gid=1248694442"",""Table 2: MMC!Q5:Q114""), $A58=IMPORTRANGE(""https://docs.google.com/spreadsheets/d/1kGrh75X1cNR1D7_FcY9zMnHP8iPO4M5RCRjy6"&amp;"nZY0TY/edit#gid=1248694442"",""Table 2: MMC!A5:A114"")),"""")"),"")</f>
        <v/>
      </c>
      <c r="K58" s="14" t="str">
        <f>IFERROR(__xludf.DUMMYFUNCTION("IFNA(FILTER(IMPORTRANGE(""https://docs.google.com/spreadsheets/d/1kGrh75X1cNR1D7_FcY9zMnHP8iPO4M5RCRjy6nZY0TY/edit#gid=1248694442"",""Table 2: MMC!R5:R114""), $A58=IMPORTRANGE(""https://docs.google.com/spreadsheets/d/1kGrh75X1cNR1D7_FcY9zMnHP8iPO4M5RCRjy6"&amp;"nZY0TY/edit#gid=1248694442"",""Table 2: MMC!A5:A114"")),"""")"),"")</f>
        <v/>
      </c>
      <c r="L58" s="14" t="str">
        <f>IFERROR(__xludf.DUMMYFUNCTION("IFNA(FILTER(IMPORTRANGE(""https://docs.google.com/spreadsheets/d/1kGrh75X1cNR1D7_FcY9zMnHP8iPO4M5RCRjy6nZY0TY/edit#gid=1248694442"",""Table 2: MMC!S5:S114""), $A58=IMPORTRANGE(""https://docs.google.com/spreadsheets/d/1kGrh75X1cNR1D7_FcY9zMnHP8iPO4M5RCRjy6"&amp;"nZY0TY/edit#gid=1248694442"",""Table 2: MMC!A5:A114"")),"""")"),"")</f>
        <v/>
      </c>
      <c r="M58" s="14" t="str">
        <f>IFERROR(__xludf.DUMMYFUNCTION("IFNA(FILTER(IMPORTRANGE(""https://docs.google.com/spreadsheets/d/1kGrh75X1cNR1D7_FcY9zMnHP8iPO4M5RCRjy6nZY0TY/edit#gid=1248694442"",""Table 3: 1st-line HC!D5:D111""), $A58=IMPORTRANGE(""https://docs.google.com/spreadsheets/d/1kGrh75X1cNR1D7_FcY9zMnHP8iPO4"&amp;"M5RCRjy6nZY0TY/edit#gid=1248694442"",""Table 3: 1st-line HC!A5:A111"")),"""")"),"")</f>
        <v/>
      </c>
      <c r="N58" s="14" t="str">
        <f>IFERROR(__xludf.DUMMYFUNCTION("IFNA(FILTER(IMPORTRANGE(""https://docs.google.com/spreadsheets/d/1kGrh75X1cNR1D7_FcY9zMnHP8iPO4M5RCRjy6nZY0TY/edit#gid=1248694442"",""Table 3: 1st-line HC!E5:E111""), $A58=IMPORTRANGE(""https://docs.google.com/spreadsheets/d/1kGrh75X1cNR1D7_FcY9zMnHP8iPO4"&amp;"M5RCRjy6nZY0TY/edit#gid=1248694442"",""Table 3: 1st-line HC!A5:A111"")),"""")"),"")</f>
        <v/>
      </c>
      <c r="O58" s="14" t="str">
        <f>IFERROR(__xludf.DUMMYFUNCTION("IFNA(FILTER(IMPORTRANGE(""https://docs.google.com/spreadsheets/d/1kGrh75X1cNR1D7_FcY9zMnHP8iPO4M5RCRjy6nZY0TY/edit#gid=1248694442"",""Table 3: 1st-line HC!K5:K111""), $A58=IMPORTRANGE(""https://docs.google.com/spreadsheets/d/1kGrh75X1cNR1D7_FcY9zMnHP8iPO4"&amp;"M5RCRjy6nZY0TY/edit#gid=1248694442"",""Table 3: 1st-line HC!A5:A111"")),"""")"),"")</f>
        <v/>
      </c>
      <c r="P58" s="14" t="str">
        <f>IFERROR(__xludf.DUMMYFUNCTION("IFNA(FILTER(IMPORTRANGE(""https://docs.google.com/spreadsheets/d/1kGrh75X1cNR1D7_FcY9zMnHP8iPO4M5RCRjy6nZY0TY/edit#gid=1248694442"",""Table 3: 1st-line HC!L5:L111""), $A58=IMPORTRANGE(""https://docs.google.com/spreadsheets/d/1kGrh75X1cNR1D7_FcY9zMnHP8iPO4"&amp;"M5RCRjy6nZY0TY/edit#gid=1248694442"",""Table 3: 1st-line HC!A5:A111"")),"""")"),"")</f>
        <v/>
      </c>
      <c r="Q58" s="14" t="str">
        <f>IFERROR(__xludf.DUMMYFUNCTION("IFNA(FILTER(IMPORTRANGE(""https://docs.google.com/spreadsheets/d/1kGrh75X1cNR1D7_FcY9zMnHP8iPO4M5RCRjy6nZY0TY/edit#gid=1248694442"",""Table 3: 1st-line HC!M5:M111""), $A58=IMPORTRANGE(""https://docs.google.com/spreadsheets/d/1kGrh75X1cNR1D7_FcY9zMnHP8iPO4"&amp;"M5RCRjy6nZY0TY/edit#gid=1248694442"",""Table 3: 1st-line HC!A5:A111"")),"""")"),"")</f>
        <v/>
      </c>
      <c r="R58" s="14" t="str">
        <f>IFERROR(__xludf.DUMMYFUNCTION("IFNA(FILTER(IMPORTRANGE(""https://docs.google.com/spreadsheets/d/1kGrh75X1cNR1D7_FcY9zMnHP8iPO4M5RCRjy6nZY0TY/edit#gid=1248694442"",""Table 3: 1st-line HC!N5:N111""), $A58=IMPORTRANGE(""https://docs.google.com/spreadsheets/d/1kGrh75X1cNR1D7_FcY9zMnHP8iPO4"&amp;"M5RCRjy6nZY0TY/edit#gid=1248694442"",""Table 3: 1st-line HC!A5:A111"")),"""")"),"")</f>
        <v/>
      </c>
      <c r="S58" s="14" t="str">
        <f>IFERROR(__xludf.DUMMYFUNCTION("IFNA(FILTER(IMPORTRANGE(""https://docs.google.com/spreadsheets/d/1kGrh75X1cNR1D7_FcY9zMnHP8iPO4M5RCRjy6nZY0TY/edit#gid=1248694442"",""Table 3: 1st-line HC!T5:T111""), $A58=IMPORTRANGE(""https://docs.google.com/spreadsheets/d/1kGrh75X1cNR1D7_FcY9zMnHP8iPO4"&amp;"M5RCRjy6nZY0TY/edit#gid=1248694442"",""Table 3: 1st-line HC!A5:A111"")),"""")"),"")</f>
        <v/>
      </c>
      <c r="T58" s="14" t="str">
        <f>IFERROR(__xludf.DUMMYFUNCTION("IFNA(FILTER(IMPORTRANGE(""https://docs.google.com/spreadsheets/d/1kGrh75X1cNR1D7_FcY9zMnHP8iPO4M5RCRjy6nZY0TY/edit#gid=1248694442"",""Table 3: 1st-line HC!U5:U111""), $A58=IMPORTRANGE(""https://docs.google.com/spreadsheets/d/1kGrh75X1cNR1D7_FcY9zMnHP8iPO4"&amp;"M5RCRjy6nZY0TY/edit#gid=1248694442"",""Table 3: 1st-line HC!A5:A111"")),"""")"),"")</f>
        <v/>
      </c>
      <c r="U58" s="14" t="str">
        <f>IFERROR(__xludf.DUMMYFUNCTION("IFNA(FILTER(IMPORTRANGE(""https://docs.google.com/spreadsheets/d/1kGrh75X1cNR1D7_FcY9zMnHP8iPO4M5RCRjy6nZY0TY/edit#gid=1248694442"",""Table 3: 1st-line HC!V5:V111""), $A58=IMPORTRANGE(""https://docs.google.com/spreadsheets/d/1kGrh75X1cNR1D7_FcY9zMnHP8iPO4"&amp;"M5RCRjy6nZY0TY/edit#gid=1248694442"",""Table 3: 1st-line HC!A5:A111"")),"""")"),"")</f>
        <v/>
      </c>
      <c r="V58" s="14">
        <f>IFERROR(__xludf.DUMMYFUNCTION("IFNA(FILTER(IMPORTRANGE(""https://docs.google.com/spreadsheets/d/1kGrh75X1cNR1D7_FcY9zMnHP8iPO4M5RCRjy6nZY0TY/edit#gid=1248694442"",""Table 3: 1st-line HC!AE5:AE111""), $A58=IMPORTRANGE(""https://docs.google.com/spreadsheets/d/1kGrh75X1cNR1D7_FcY9zMnHP8iP"&amp;"O4M5RCRjy6nZY0TY/edit#gid=1248694442"",""Table 3: 1st-line HC!A5:A111"")),"""")"),23.0)</f>
        <v>23</v>
      </c>
      <c r="W58" s="14" t="str">
        <f>IFERROR(__xludf.DUMMYFUNCTION("IFNA(FILTER(IMPORTRANGE(""https://docs.google.com/spreadsheets/d/1kGrh75X1cNR1D7_FcY9zMnHP8iPO4M5RCRjy6nZY0TY/edit#gid=1248694442"",""Table 3: 1st-line HC!AG5:AG111""), $A58=IMPORTRANGE(""https://docs.google.com/spreadsheets/d/1kGrh75X1cNR1D7_FcY9zMnHP8iP"&amp;"O4M5RCRjy6nZY0TY/edit#gid=1248694442"",""Table 3: 1st-line HC!A5:A111"")),"""")"),"")</f>
        <v/>
      </c>
      <c r="X58" s="14" t="str">
        <f>IFERROR(__xludf.DUMMYFUNCTION("IFNA(FILTER(IMPORTRANGE(""https://docs.google.com/spreadsheets/d/1kGrh75X1cNR1D7_FcY9zMnHP8iPO4M5RCRjy6nZY0TY/edit#gid=1248694442"",""Table 3: 1st-line HC!AI5:AI111""), $A58=IMPORTRANGE(""https://docs.google.com/spreadsheets/d/1kGrh75X1cNR1D7_FcY9zMnHP8iP"&amp;"O4M5RCRjy6nZY0TY/edit#gid=1248694442"",""Table 3: 1st-line HC!A5:A111"")),"""")"),"Mean = 8 years 7 months; range = 2 to 18 years")</f>
        <v>Mean = 8 years 7 months; range = 2 to 18 years</v>
      </c>
    </row>
    <row r="59">
      <c r="A59" s="4" t="str">
        <f>IFERROR(__xludf.DUMMYFUNCTION("""COMPUTED_VALUE"""),"ID 123")</f>
        <v>ID 123</v>
      </c>
      <c r="B59" s="14" t="str">
        <f>IFERROR(__xludf.DUMMYFUNCTION("IFNA(FILTER(IMPORTRANGE(""https://docs.google.com/spreadsheets/d/1kGrh75X1cNR1D7_FcY9zMnHP8iPO4M5RCRjy6nZY0TY/edit#gid=1248694442"",""Table 2: MMC!D5:D114""), $A59=IMPORTRANGE(""https://docs.google.com/spreadsheets/d/1kGrh75X1cNR1D7_FcY9zMnHP8iPO4M5RCRjy6"&amp;"nZY0TY/edit#gid=1248694442"",""Table 2: MMC!A5:A114"")),"""")"),"")</f>
        <v/>
      </c>
      <c r="C59" s="14" t="str">
        <f>IFERROR(__xludf.DUMMYFUNCTION("IFNA(FILTER(IMPORTRANGE(""https://docs.google.com/spreadsheets/d/1kGrh75X1cNR1D7_FcY9zMnHP8iPO4M5RCRjy6nZY0TY/edit#gid=1248694442"",""Table 2: MMC!E5:E114""), $A59=IMPORTRANGE(""https://docs.google.com/spreadsheets/d/1kGrh75X1cNR1D7_FcY9zMnHP8iPO4M5RCRjy6"&amp;"nZY0TY/edit#gid=1248694442"",""Table 2: MMC!A5:A114"")),"""")"),"")</f>
        <v/>
      </c>
      <c r="D59" s="14" t="str">
        <f>IFERROR(__xludf.DUMMYFUNCTION("IFNA(FILTER(IMPORTRANGE(""https://docs.google.com/spreadsheets/d/1kGrh75X1cNR1D7_FcY9zMnHP8iPO4M5RCRjy6nZY0TY/edit#gid=1248694442"",""Table 2: MMC!F5:F114""), $A59=IMPORTRANGE(""https://docs.google.com/spreadsheets/d/1kGrh75X1cNR1D7_FcY9zMnHP8iPO4M5RCRjy6"&amp;"nZY0TY/edit#gid=1248694442"",""Table 2: MMC!A5:A114"")),"""")"),"")</f>
        <v/>
      </c>
      <c r="E59" s="14" t="str">
        <f>IFERROR(__xludf.DUMMYFUNCTION("IFNA(FILTER(IMPORTRANGE(""https://docs.google.com/spreadsheets/d/1kGrh75X1cNR1D7_FcY9zMnHP8iPO4M5RCRjy6nZY0TY/edit#gid=1248694442"",""Table 2: MMC!G5:G114""), $A59=IMPORTRANGE(""https://docs.google.com/spreadsheets/d/1kGrh75X1cNR1D7_FcY9zMnHP8iPO4M5RCRjy6"&amp;"nZY0TY/edit#gid=1248694442"",""Table 2: MMC!A5:A114"")),"""")"),"")</f>
        <v/>
      </c>
      <c r="F59" s="14" t="str">
        <f>IFERROR(__xludf.DUMMYFUNCTION("IFNA(FILTER(IMPORTRANGE(""https://docs.google.com/spreadsheets/d/1kGrh75X1cNR1D7_FcY9zMnHP8iPO4M5RCRjy6nZY0TY/edit#gid=1248694442"",""Table 2: MMC!H5:H114""), $A59=IMPORTRANGE(""https://docs.google.com/spreadsheets/d/1kGrh75X1cNR1D7_FcY9zMnHP8iPO4M5RCRjy6"&amp;"nZY0TY/edit#gid=1248694442"",""Table 2: MMC!A5:A114"")),"""")"),"")</f>
        <v/>
      </c>
      <c r="G59" s="14" t="str">
        <f>IFERROR(__xludf.DUMMYFUNCTION("IFNA(FILTER(IMPORTRANGE(""https://docs.google.com/spreadsheets/d/1kGrh75X1cNR1D7_FcY9zMnHP8iPO4M5RCRjy6nZY0TY/edit#gid=1248694442"",""Table 2: MMC!I5:I114""), $A59=IMPORTRANGE(""https://docs.google.com/spreadsheets/d/1kGrh75X1cNR1D7_FcY9zMnHP8iPO4M5RCRjy6"&amp;"nZY0TY/edit#gid=1248694442"",""Table 2: MMC!A5:A114"")),"""")"),"")</f>
        <v/>
      </c>
      <c r="H59" s="14" t="str">
        <f>IFERROR(__xludf.DUMMYFUNCTION("IFNA(FILTER(IMPORTRANGE(""https://docs.google.com/spreadsheets/d/1kGrh75X1cNR1D7_FcY9zMnHP8iPO4M5RCRjy6nZY0TY/edit#gid=1248694442"",""Table 2: MMC!J5:J114""), $A59=IMPORTRANGE(""https://docs.google.com/spreadsheets/d/1kGrh75X1cNR1D7_FcY9zMnHP8iPO4M5RCRjy6"&amp;"nZY0TY/edit#gid=1248694442"",""Table 2: MMC!A5:A114"")),"""")"),"")</f>
        <v/>
      </c>
      <c r="I59" s="14" t="str">
        <f>IFERROR(__xludf.DUMMYFUNCTION("IFNA(FILTER(IMPORTRANGE(""https://docs.google.com/spreadsheets/d/1kGrh75X1cNR1D7_FcY9zMnHP8iPO4M5RCRjy6nZY0TY/edit#gid=1248694442"",""Table 2: MMC!M5:M114""), $A59=IMPORTRANGE(""https://docs.google.com/spreadsheets/d/1kGrh75X1cNR1D7_FcY9zMnHP8iPO4M5RCRjy6"&amp;"nZY0TY/edit#gid=1248694442"",""Table 2: MMC!A5:A114"")),"""")"),"")</f>
        <v/>
      </c>
      <c r="J59" s="14" t="str">
        <f>IFERROR(__xludf.DUMMYFUNCTION("IFNA(FILTER(IMPORTRANGE(""https://docs.google.com/spreadsheets/d/1kGrh75X1cNR1D7_FcY9zMnHP8iPO4M5RCRjy6nZY0TY/edit#gid=1248694442"",""Table 2: MMC!Q5:Q114""), $A59=IMPORTRANGE(""https://docs.google.com/spreadsheets/d/1kGrh75X1cNR1D7_FcY9zMnHP8iPO4M5RCRjy6"&amp;"nZY0TY/edit#gid=1248694442"",""Table 2: MMC!A5:A114"")),"""")"),"")</f>
        <v/>
      </c>
      <c r="K59" s="14" t="str">
        <f>IFERROR(__xludf.DUMMYFUNCTION("IFNA(FILTER(IMPORTRANGE(""https://docs.google.com/spreadsheets/d/1kGrh75X1cNR1D7_FcY9zMnHP8iPO4M5RCRjy6nZY0TY/edit#gid=1248694442"",""Table 2: MMC!R5:R114""), $A59=IMPORTRANGE(""https://docs.google.com/spreadsheets/d/1kGrh75X1cNR1D7_FcY9zMnHP8iPO4M5RCRjy6"&amp;"nZY0TY/edit#gid=1248694442"",""Table 2: MMC!A5:A114"")),"""")"),"")</f>
        <v/>
      </c>
      <c r="L59" s="14" t="str">
        <f>IFERROR(__xludf.DUMMYFUNCTION("IFNA(FILTER(IMPORTRANGE(""https://docs.google.com/spreadsheets/d/1kGrh75X1cNR1D7_FcY9zMnHP8iPO4M5RCRjy6nZY0TY/edit#gid=1248694442"",""Table 2: MMC!S5:S114""), $A59=IMPORTRANGE(""https://docs.google.com/spreadsheets/d/1kGrh75X1cNR1D7_FcY9zMnHP8iPO4M5RCRjy6"&amp;"nZY0TY/edit#gid=1248694442"",""Table 2: MMC!A5:A114"")),"""")"),"")</f>
        <v/>
      </c>
      <c r="M59" s="14" t="str">
        <f>IFERROR(__xludf.DUMMYFUNCTION("IFNA(FILTER(IMPORTRANGE(""https://docs.google.com/spreadsheets/d/1kGrh75X1cNR1D7_FcY9zMnHP8iPO4M5RCRjy6nZY0TY/edit#gid=1248694442"",""Table 3: 1st-line HC!D5:D111""), $A59=IMPORTRANGE(""https://docs.google.com/spreadsheets/d/1kGrh75X1cNR1D7_FcY9zMnHP8iPO4"&amp;"M5RCRjy6nZY0TY/edit#gid=1248694442"",""Table 3: 1st-line HC!A5:A111"")),"""")"),"")</f>
        <v/>
      </c>
      <c r="N59" s="14" t="str">
        <f>IFERROR(__xludf.DUMMYFUNCTION("IFNA(FILTER(IMPORTRANGE(""https://docs.google.com/spreadsheets/d/1kGrh75X1cNR1D7_FcY9zMnHP8iPO4M5RCRjy6nZY0TY/edit#gid=1248694442"",""Table 3: 1st-line HC!E5:E111""), $A59=IMPORTRANGE(""https://docs.google.com/spreadsheets/d/1kGrh75X1cNR1D7_FcY9zMnHP8iPO4"&amp;"M5RCRjy6nZY0TY/edit#gid=1248694442"",""Table 3: 1st-line HC!A5:A111"")),"""")"),"")</f>
        <v/>
      </c>
      <c r="O59" s="14" t="str">
        <f>IFERROR(__xludf.DUMMYFUNCTION("IFNA(FILTER(IMPORTRANGE(""https://docs.google.com/spreadsheets/d/1kGrh75X1cNR1D7_FcY9zMnHP8iPO4M5RCRjy6nZY0TY/edit#gid=1248694442"",""Table 3: 1st-line HC!K5:K111""), $A59=IMPORTRANGE(""https://docs.google.com/spreadsheets/d/1kGrh75X1cNR1D7_FcY9zMnHP8iPO4"&amp;"M5RCRjy6nZY0TY/edit#gid=1248694442"",""Table 3: 1st-line HC!A5:A111"")),"""")"),"")</f>
        <v/>
      </c>
      <c r="P59" s="14" t="str">
        <f>IFERROR(__xludf.DUMMYFUNCTION("IFNA(FILTER(IMPORTRANGE(""https://docs.google.com/spreadsheets/d/1kGrh75X1cNR1D7_FcY9zMnHP8iPO4M5RCRjy6nZY0TY/edit#gid=1248694442"",""Table 3: 1st-line HC!L5:L111""), $A59=IMPORTRANGE(""https://docs.google.com/spreadsheets/d/1kGrh75X1cNR1D7_FcY9zMnHP8iPO4"&amp;"M5RCRjy6nZY0TY/edit#gid=1248694442"",""Table 3: 1st-line HC!A5:A111"")),"""")"),"")</f>
        <v/>
      </c>
      <c r="Q59" s="14" t="str">
        <f>IFERROR(__xludf.DUMMYFUNCTION("IFNA(FILTER(IMPORTRANGE(""https://docs.google.com/spreadsheets/d/1kGrh75X1cNR1D7_FcY9zMnHP8iPO4M5RCRjy6nZY0TY/edit#gid=1248694442"",""Table 3: 1st-line HC!M5:M111""), $A59=IMPORTRANGE(""https://docs.google.com/spreadsheets/d/1kGrh75X1cNR1D7_FcY9zMnHP8iPO4"&amp;"M5RCRjy6nZY0TY/edit#gid=1248694442"",""Table 3: 1st-line HC!A5:A111"")),"""")"),"")</f>
        <v/>
      </c>
      <c r="R59" s="14" t="str">
        <f>IFERROR(__xludf.DUMMYFUNCTION("IFNA(FILTER(IMPORTRANGE(""https://docs.google.com/spreadsheets/d/1kGrh75X1cNR1D7_FcY9zMnHP8iPO4M5RCRjy6nZY0TY/edit#gid=1248694442"",""Table 3: 1st-line HC!N5:N111""), $A59=IMPORTRANGE(""https://docs.google.com/spreadsheets/d/1kGrh75X1cNR1D7_FcY9zMnHP8iPO4"&amp;"M5RCRjy6nZY0TY/edit#gid=1248694442"",""Table 3: 1st-line HC!A5:A111"")),"""")"),"")</f>
        <v/>
      </c>
      <c r="S59" s="14" t="str">
        <f>IFERROR(__xludf.DUMMYFUNCTION("IFNA(FILTER(IMPORTRANGE(""https://docs.google.com/spreadsheets/d/1kGrh75X1cNR1D7_FcY9zMnHP8iPO4M5RCRjy6nZY0TY/edit#gid=1248694442"",""Table 3: 1st-line HC!T5:T111""), $A59=IMPORTRANGE(""https://docs.google.com/spreadsheets/d/1kGrh75X1cNR1D7_FcY9zMnHP8iPO4"&amp;"M5RCRjy6nZY0TY/edit#gid=1248694442"",""Table 3: 1st-line HC!A5:A111"")),"""")"),"")</f>
        <v/>
      </c>
      <c r="T59" s="14" t="str">
        <f>IFERROR(__xludf.DUMMYFUNCTION("IFNA(FILTER(IMPORTRANGE(""https://docs.google.com/spreadsheets/d/1kGrh75X1cNR1D7_FcY9zMnHP8iPO4M5RCRjy6nZY0TY/edit#gid=1248694442"",""Table 3: 1st-line HC!U5:U111""), $A59=IMPORTRANGE(""https://docs.google.com/spreadsheets/d/1kGrh75X1cNR1D7_FcY9zMnHP8iPO4"&amp;"M5RCRjy6nZY0TY/edit#gid=1248694442"",""Table 3: 1st-line HC!A5:A111"")),"""")"),"")</f>
        <v/>
      </c>
      <c r="U59" s="14" t="str">
        <f>IFERROR(__xludf.DUMMYFUNCTION("IFNA(FILTER(IMPORTRANGE(""https://docs.google.com/spreadsheets/d/1kGrh75X1cNR1D7_FcY9zMnHP8iPO4M5RCRjy6nZY0TY/edit#gid=1248694442"",""Table 3: 1st-line HC!V5:V111""), $A59=IMPORTRANGE(""https://docs.google.com/spreadsheets/d/1kGrh75X1cNR1D7_FcY9zMnHP8iPO4"&amp;"M5RCRjy6nZY0TY/edit#gid=1248694442"",""Table 3: 1st-line HC!A5:A111"")),"""")"),"")</f>
        <v/>
      </c>
      <c r="V59" s="14" t="str">
        <f>IFERROR(__xludf.DUMMYFUNCTION("IFNA(FILTER(IMPORTRANGE(""https://docs.google.com/spreadsheets/d/1kGrh75X1cNR1D7_FcY9zMnHP8iPO4M5RCRjy6nZY0TY/edit#gid=1248694442"",""Table 3: 1st-line HC!AE5:AE111""), $A59=IMPORTRANGE(""https://docs.google.com/spreadsheets/d/1kGrh75X1cNR1D7_FcY9zMnHP8iP"&amp;"O4M5RCRjy6nZY0TY/edit#gid=1248694442"",""Table 3: 1st-line HC!A5:A111"")),"""")"),"")</f>
        <v/>
      </c>
      <c r="W59" s="14" t="str">
        <f>IFERROR(__xludf.DUMMYFUNCTION("IFNA(FILTER(IMPORTRANGE(""https://docs.google.com/spreadsheets/d/1kGrh75X1cNR1D7_FcY9zMnHP8iPO4M5RCRjy6nZY0TY/edit#gid=1248694442"",""Table 3: 1st-line HC!AG5:AG111""), $A59=IMPORTRANGE(""https://docs.google.com/spreadsheets/d/1kGrh75X1cNR1D7_FcY9zMnHP8iP"&amp;"O4M5RCRjy6nZY0TY/edit#gid=1248694442"",""Table 3: 1st-line HC!A5:A111"")),"""")"),"")</f>
        <v/>
      </c>
      <c r="X59" s="14" t="str">
        <f>IFERROR(__xludf.DUMMYFUNCTION("IFNA(FILTER(IMPORTRANGE(""https://docs.google.com/spreadsheets/d/1kGrh75X1cNR1D7_FcY9zMnHP8iPO4M5RCRjy6nZY0TY/edit#gid=1248694442"",""Table 3: 1st-line HC!AI5:AI111""), $A59=IMPORTRANGE(""https://docs.google.com/spreadsheets/d/1kGrh75X1cNR1D7_FcY9zMnHP8iP"&amp;"O4M5RCRjy6nZY0TY/edit#gid=1248694442"",""Table 3: 1st-line HC!A5:A111"")),"""")"),"")</f>
        <v/>
      </c>
    </row>
    <row r="60">
      <c r="A60" s="4" t="str">
        <f>IFERROR(__xludf.DUMMYFUNCTION("""COMPUTED_VALUE"""),"ID 126")</f>
        <v>ID 126</v>
      </c>
      <c r="B60" s="14">
        <f>IFERROR(__xludf.DUMMYFUNCTION("IFNA(FILTER(IMPORTRANGE(""https://docs.google.com/spreadsheets/d/1kGrh75X1cNR1D7_FcY9zMnHP8iPO4M5RCRjy6nZY0TY/edit#gid=1248694442"",""Table 2: MMC!D5:D114""), $A60=IMPORTRANGE(""https://docs.google.com/spreadsheets/d/1kGrh75X1cNR1D7_FcY9zMnHP8iPO4M5RCRjy6"&amp;"nZY0TY/edit#gid=1248694442"",""Table 2: MMC!A5:A114"")),"""")"),2.0)</f>
        <v>2</v>
      </c>
      <c r="C60" s="14">
        <f>IFERROR(__xludf.DUMMYFUNCTION("IFNA(FILTER(IMPORTRANGE(""https://docs.google.com/spreadsheets/d/1kGrh75X1cNR1D7_FcY9zMnHP8iPO4M5RCRjy6nZY0TY/edit#gid=1248694442"",""Table 2: MMC!E5:E114""), $A60=IMPORTRANGE(""https://docs.google.com/spreadsheets/d/1kGrh75X1cNR1D7_FcY9zMnHP8iPO4M5RCRjy6"&amp;"nZY0TY/edit#gid=1248694442"",""Table 2: MMC!A5:A114"")),"""")"),2.0)</f>
        <v>2</v>
      </c>
      <c r="D60" s="14">
        <f>IFERROR(__xludf.DUMMYFUNCTION("IFNA(FILTER(IMPORTRANGE(""https://docs.google.com/spreadsheets/d/1kGrh75X1cNR1D7_FcY9zMnHP8iPO4M5RCRjy6nZY0TY/edit#gid=1248694442"",""Table 2: MMC!F5:F114""), $A60=IMPORTRANGE(""https://docs.google.com/spreadsheets/d/1kGrh75X1cNR1D7_FcY9zMnHP8iPO4M5RCRjy6"&amp;"nZY0TY/edit#gid=1248694442"",""Table 2: MMC!A5:A114"")),"""")"),19.0)</f>
        <v>19</v>
      </c>
      <c r="E60" s="14">
        <f>IFERROR(__xludf.DUMMYFUNCTION("IFNA(FILTER(IMPORTRANGE(""https://docs.google.com/spreadsheets/d/1kGrh75X1cNR1D7_FcY9zMnHP8iPO4M5RCRjy6nZY0TY/edit#gid=1248694442"",""Table 2: MMC!G5:G114""), $A60=IMPORTRANGE(""https://docs.google.com/spreadsheets/d/1kGrh75X1cNR1D7_FcY9zMnHP8iPO4M5RCRjy6"&amp;"nZY0TY/edit#gid=1248694442"",""Table 2: MMC!A5:A114"")),"""")"),42.0)</f>
        <v>42</v>
      </c>
      <c r="F60" s="14">
        <f>IFERROR(__xludf.DUMMYFUNCTION("IFNA(FILTER(IMPORTRANGE(""https://docs.google.com/spreadsheets/d/1kGrh75X1cNR1D7_FcY9zMnHP8iPO4M5RCRjy6nZY0TY/edit#gid=1248694442"",""Table 2: MMC!H5:H114""), $A60=IMPORTRANGE(""https://docs.google.com/spreadsheets/d/1kGrh75X1cNR1D7_FcY9zMnHP8iPO4M5RCRjy6"&amp;"nZY0TY/edit#gid=1248694442"",""Table 2: MMC!A5:A114"")),"""")"),99.0)</f>
        <v>99</v>
      </c>
      <c r="G60" s="14">
        <f>IFERROR(__xludf.DUMMYFUNCTION("IFNA(FILTER(IMPORTRANGE(""https://docs.google.com/spreadsheets/d/1kGrh75X1cNR1D7_FcY9zMnHP8iPO4M5RCRjy6nZY0TY/edit#gid=1248694442"",""Table 2: MMC!I5:I114""), $A60=IMPORTRANGE(""https://docs.google.com/spreadsheets/d/1kGrh75X1cNR1D7_FcY9zMnHP8iPO4M5RCRjy6"&amp;"nZY0TY/edit#gid=1248694442"",""Table 2: MMC!A5:A114"")),"""")"),6.0)</f>
        <v>6</v>
      </c>
      <c r="H60" s="14" t="str">
        <f>IFERROR(__xludf.DUMMYFUNCTION("IFNA(FILTER(IMPORTRANGE(""https://docs.google.com/spreadsheets/d/1kGrh75X1cNR1D7_FcY9zMnHP8iPO4M5RCRjy6nZY0TY/edit#gid=1248694442"",""Table 2: MMC!J5:J114""), $A60=IMPORTRANGE(""https://docs.google.com/spreadsheets/d/1kGrh75X1cNR1D7_FcY9zMnHP8iPO4M5RCRjy6"&amp;"nZY0TY/edit#gid=1248694442"",""Table 2: MMC!A5:A114"")),"""")"),"post-natal")</f>
        <v>post-natal</v>
      </c>
      <c r="I60" s="14" t="str">
        <f>IFERROR(__xludf.DUMMYFUNCTION("IFNA(FILTER(IMPORTRANGE(""https://docs.google.com/spreadsheets/d/1kGrh75X1cNR1D7_FcY9zMnHP8iPO4M5RCRjy6nZY0TY/edit#gid=1248694442"",""Table 2: MMC!M5:M114""), $A60=IMPORTRANGE(""https://docs.google.com/spreadsheets/d/1kGrh75X1cNR1D7_FcY9zMnHP8iPO4M5RCRjy6"&amp;"nZY0TY/edit#gid=1248694442"",""Table 2: MMC!A5:A114"")),"""")"),"")</f>
        <v/>
      </c>
      <c r="J60" s="14">
        <f>IFERROR(__xludf.DUMMYFUNCTION("IFNA(FILTER(IMPORTRANGE(""https://docs.google.com/spreadsheets/d/1kGrh75X1cNR1D7_FcY9zMnHP8iPO4M5RCRjy6nZY0TY/edit#gid=1248694442"",""Table 2: MMC!Q5:Q114""), $A60=IMPORTRANGE(""https://docs.google.com/spreadsheets/d/1kGrh75X1cNR1D7_FcY9zMnHP8iPO4M5RCRjy6"&amp;"nZY0TY/edit#gid=1248694442"",""Table 2: MMC!A5:A114"")),"""")"),0.0)</f>
        <v>0</v>
      </c>
      <c r="K60" s="14">
        <f>IFERROR(__xludf.DUMMYFUNCTION("IFNA(FILTER(IMPORTRANGE(""https://docs.google.com/spreadsheets/d/1kGrh75X1cNR1D7_FcY9zMnHP8iPO4M5RCRjy6nZY0TY/edit#gid=1248694442"",""Table 2: MMC!R5:R114""), $A60=IMPORTRANGE(""https://docs.google.com/spreadsheets/d/1kGrh75X1cNR1D7_FcY9zMnHP8iPO4M5RCRjy6"&amp;"nZY0TY/edit#gid=1248694442"",""Table 2: MMC!A5:A114"")),"""")"),0.0)</f>
        <v>0</v>
      </c>
      <c r="L60" s="14" t="str">
        <f>IFERROR(__xludf.DUMMYFUNCTION("IFNA(FILTER(IMPORTRANGE(""https://docs.google.com/spreadsheets/d/1kGrh75X1cNR1D7_FcY9zMnHP8iPO4M5RCRjy6nZY0TY/edit#gid=1248694442"",""Table 2: MMC!S5:S114""), $A60=IMPORTRANGE(""https://docs.google.com/spreadsheets/d/1kGrh75X1cNR1D7_FcY9zMnHP8iPO4M5RCRjy6"&amp;"nZY0TY/edit#gid=1248694442"",""Table 2: MMC!A5:A114"")),"""")"),"")</f>
        <v/>
      </c>
      <c r="M60" s="14" t="str">
        <f>IFERROR(__xludf.DUMMYFUNCTION("IFNA(FILTER(IMPORTRANGE(""https://docs.google.com/spreadsheets/d/1kGrh75X1cNR1D7_FcY9zMnHP8iPO4M5RCRjy6nZY0TY/edit#gid=1248694442"",""Table 3: 1st-line HC!D5:D111""), $A60=IMPORTRANGE(""https://docs.google.com/spreadsheets/d/1kGrh75X1cNR1D7_FcY9zMnHP8iPO4"&amp;"M5RCRjy6nZY0TY/edit#gid=1248694442"",""Table 3: 1st-line HC!A5:A111"")),"""")"),"")</f>
        <v/>
      </c>
      <c r="N60" s="14" t="str">
        <f>IFERROR(__xludf.DUMMYFUNCTION("IFNA(FILTER(IMPORTRANGE(""https://docs.google.com/spreadsheets/d/1kGrh75X1cNR1D7_FcY9zMnHP8iPO4M5RCRjy6nZY0TY/edit#gid=1248694442"",""Table 3: 1st-line HC!E5:E111""), $A60=IMPORTRANGE(""https://docs.google.com/spreadsheets/d/1kGrh75X1cNR1D7_FcY9zMnHP8iPO4"&amp;"M5RCRjy6nZY0TY/edit#gid=1248694442"",""Table 3: 1st-line HC!A5:A111"")),"""")"),"")</f>
        <v/>
      </c>
      <c r="O60" s="14" t="str">
        <f>IFERROR(__xludf.DUMMYFUNCTION("IFNA(FILTER(IMPORTRANGE(""https://docs.google.com/spreadsheets/d/1kGrh75X1cNR1D7_FcY9zMnHP8iPO4M5RCRjy6nZY0TY/edit#gid=1248694442"",""Table 3: 1st-line HC!K5:K111""), $A60=IMPORTRANGE(""https://docs.google.com/spreadsheets/d/1kGrh75X1cNR1D7_FcY9zMnHP8iPO4"&amp;"M5RCRjy6nZY0TY/edit#gid=1248694442"",""Table 3: 1st-line HC!A5:A111"")),"""")"),"")</f>
        <v/>
      </c>
      <c r="P60" s="14" t="str">
        <f>IFERROR(__xludf.DUMMYFUNCTION("IFNA(FILTER(IMPORTRANGE(""https://docs.google.com/spreadsheets/d/1kGrh75X1cNR1D7_FcY9zMnHP8iPO4M5RCRjy6nZY0TY/edit#gid=1248694442"",""Table 3: 1st-line HC!L5:L111""), $A60=IMPORTRANGE(""https://docs.google.com/spreadsheets/d/1kGrh75X1cNR1D7_FcY9zMnHP8iPO4"&amp;"M5RCRjy6nZY0TY/edit#gid=1248694442"",""Table 3: 1st-line HC!A5:A111"")),"""")"),"")</f>
        <v/>
      </c>
      <c r="Q60" s="14" t="str">
        <f>IFERROR(__xludf.DUMMYFUNCTION("IFNA(FILTER(IMPORTRANGE(""https://docs.google.com/spreadsheets/d/1kGrh75X1cNR1D7_FcY9zMnHP8iPO4M5RCRjy6nZY0TY/edit#gid=1248694442"",""Table 3: 1st-line HC!M5:M111""), $A60=IMPORTRANGE(""https://docs.google.com/spreadsheets/d/1kGrh75X1cNR1D7_FcY9zMnHP8iPO4"&amp;"M5RCRjy6nZY0TY/edit#gid=1248694442"",""Table 3: 1st-line HC!A5:A111"")),"""")"),"")</f>
        <v/>
      </c>
      <c r="R60" s="14" t="str">
        <f>IFERROR(__xludf.DUMMYFUNCTION("IFNA(FILTER(IMPORTRANGE(""https://docs.google.com/spreadsheets/d/1kGrh75X1cNR1D7_FcY9zMnHP8iPO4M5RCRjy6nZY0TY/edit#gid=1248694442"",""Table 3: 1st-line HC!N5:N111""), $A60=IMPORTRANGE(""https://docs.google.com/spreadsheets/d/1kGrh75X1cNR1D7_FcY9zMnHP8iPO4"&amp;"M5RCRjy6nZY0TY/edit#gid=1248694442"",""Table 3: 1st-line HC!A5:A111"")),"""")"),"")</f>
        <v/>
      </c>
      <c r="S60" s="14" t="str">
        <f>IFERROR(__xludf.DUMMYFUNCTION("IFNA(FILTER(IMPORTRANGE(""https://docs.google.com/spreadsheets/d/1kGrh75X1cNR1D7_FcY9zMnHP8iPO4M5RCRjy6nZY0TY/edit#gid=1248694442"",""Table 3: 1st-line HC!T5:T111""), $A60=IMPORTRANGE(""https://docs.google.com/spreadsheets/d/1kGrh75X1cNR1D7_FcY9zMnHP8iPO4"&amp;"M5RCRjy6nZY0TY/edit#gid=1248694442"",""Table 3: 1st-line HC!A5:A111"")),"""")"),"")</f>
        <v/>
      </c>
      <c r="T60" s="14" t="str">
        <f>IFERROR(__xludf.DUMMYFUNCTION("IFNA(FILTER(IMPORTRANGE(""https://docs.google.com/spreadsheets/d/1kGrh75X1cNR1D7_FcY9zMnHP8iPO4M5RCRjy6nZY0TY/edit#gid=1248694442"",""Table 3: 1st-line HC!U5:U111""), $A60=IMPORTRANGE(""https://docs.google.com/spreadsheets/d/1kGrh75X1cNR1D7_FcY9zMnHP8iPO4"&amp;"M5RCRjy6nZY0TY/edit#gid=1248694442"",""Table 3: 1st-line HC!A5:A111"")),"""")"),"")</f>
        <v/>
      </c>
      <c r="U60" s="14" t="str">
        <f>IFERROR(__xludf.DUMMYFUNCTION("IFNA(FILTER(IMPORTRANGE(""https://docs.google.com/spreadsheets/d/1kGrh75X1cNR1D7_FcY9zMnHP8iPO4M5RCRjy6nZY0TY/edit#gid=1248694442"",""Table 3: 1st-line HC!V5:V111""), $A60=IMPORTRANGE(""https://docs.google.com/spreadsheets/d/1kGrh75X1cNR1D7_FcY9zMnHP8iPO4"&amp;"M5RCRjy6nZY0TY/edit#gid=1248694442"",""Table 3: 1st-line HC!A5:A111"")),"""")"),"")</f>
        <v/>
      </c>
      <c r="V60" s="14" t="str">
        <f>IFERROR(__xludf.DUMMYFUNCTION("IFNA(FILTER(IMPORTRANGE(""https://docs.google.com/spreadsheets/d/1kGrh75X1cNR1D7_FcY9zMnHP8iPO4M5RCRjy6nZY0TY/edit#gid=1248694442"",""Table 3: 1st-line HC!AE5:AE111""), $A60=IMPORTRANGE(""https://docs.google.com/spreadsheets/d/1kGrh75X1cNR1D7_FcY9zMnHP8iP"&amp;"O4M5RCRjy6nZY0TY/edit#gid=1248694442"",""Table 3: 1st-line HC!A5:A111"")),"""")"),"")</f>
        <v/>
      </c>
      <c r="W60" s="14" t="str">
        <f>IFERROR(__xludf.DUMMYFUNCTION("IFNA(FILTER(IMPORTRANGE(""https://docs.google.com/spreadsheets/d/1kGrh75X1cNR1D7_FcY9zMnHP8iPO4M5RCRjy6nZY0TY/edit#gid=1248694442"",""Table 3: 1st-line HC!AG5:AG111""), $A60=IMPORTRANGE(""https://docs.google.com/spreadsheets/d/1kGrh75X1cNR1D7_FcY9zMnHP8iP"&amp;"O4M5RCRjy6nZY0TY/edit#gid=1248694442"",""Table 3: 1st-line HC!A5:A111"")),"""")"),"")</f>
        <v/>
      </c>
      <c r="X60" s="14">
        <f>IFERROR(__xludf.DUMMYFUNCTION("IFNA(FILTER(IMPORTRANGE(""https://docs.google.com/spreadsheets/d/1kGrh75X1cNR1D7_FcY9zMnHP8iPO4M5RCRjy6nZY0TY/edit#gid=1248694442"",""Table 3: 1st-line HC!AI5:AI111""), $A60=IMPORTRANGE(""https://docs.google.com/spreadsheets/d/1kGrh75X1cNR1D7_FcY9zMnHP8iP"&amp;"O4M5RCRjy6nZY0TY/edit#gid=1248694442"",""Table 3: 1st-line HC!A5:A111"")),"""")"),52.0)</f>
        <v>52</v>
      </c>
    </row>
    <row r="61">
      <c r="A61" s="4" t="str">
        <f>IFERROR(__xludf.DUMMYFUNCTION("""COMPUTED_VALUE"""),"ID 129")</f>
        <v>ID 129</v>
      </c>
      <c r="B61" s="14" t="str">
        <f>IFERROR(__xludf.DUMMYFUNCTION("IFNA(FILTER(IMPORTRANGE(""https://docs.google.com/spreadsheets/d/1kGrh75X1cNR1D7_FcY9zMnHP8iPO4M5RCRjy6nZY0TY/edit#gid=1248694442"",""Table 2: MMC!D5:D114""), $A61=IMPORTRANGE(""https://docs.google.com/spreadsheets/d/1kGrh75X1cNR1D7_FcY9zMnHP8iPO4M5RCRjy6"&amp;"nZY0TY/edit#gid=1248694442"",""Table 2: MMC!A5:A114"")),"""")"),"")</f>
        <v/>
      </c>
      <c r="C61" s="14" t="str">
        <f>IFERROR(__xludf.DUMMYFUNCTION("IFNA(FILTER(IMPORTRANGE(""https://docs.google.com/spreadsheets/d/1kGrh75X1cNR1D7_FcY9zMnHP8iPO4M5RCRjy6nZY0TY/edit#gid=1248694442"",""Table 2: MMC!E5:E114""), $A61=IMPORTRANGE(""https://docs.google.com/spreadsheets/d/1kGrh75X1cNR1D7_FcY9zMnHP8iPO4M5RCRjy6"&amp;"nZY0TY/edit#gid=1248694442"",""Table 2: MMC!A5:A114"")),"""")"),"")</f>
        <v/>
      </c>
      <c r="D61" s="14">
        <f>IFERROR(__xludf.DUMMYFUNCTION("IFNA(FILTER(IMPORTRANGE(""https://docs.google.com/spreadsheets/d/1kGrh75X1cNR1D7_FcY9zMnHP8iPO4M5RCRjy6nZY0TY/edit#gid=1248694442"",""Table 2: MMC!F5:F114""), $A61=IMPORTRANGE(""https://docs.google.com/spreadsheets/d/1kGrh75X1cNR1D7_FcY9zMnHP8iPO4M5RCRjy6"&amp;"nZY0TY/edit#gid=1248694442"",""Table 2: MMC!A5:A114"")),"""")"),10.0)</f>
        <v>10</v>
      </c>
      <c r="E61" s="14" t="str">
        <f>IFERROR(__xludf.DUMMYFUNCTION("IFNA(FILTER(IMPORTRANGE(""https://docs.google.com/spreadsheets/d/1kGrh75X1cNR1D7_FcY9zMnHP8iPO4M5RCRjy6nZY0TY/edit#gid=1248694442"",""Table 2: MMC!G5:G114""), $A61=IMPORTRANGE(""https://docs.google.com/spreadsheets/d/1kGrh75X1cNR1D7_FcY9zMnHP8iPO4M5RCRjy6"&amp;"nZY0TY/edit#gid=1248694442"",""Table 2: MMC!A5:A114"")),"""")"),"")</f>
        <v/>
      </c>
      <c r="F61" s="14">
        <f>IFERROR(__xludf.DUMMYFUNCTION("IFNA(FILTER(IMPORTRANGE(""https://docs.google.com/spreadsheets/d/1kGrh75X1cNR1D7_FcY9zMnHP8iPO4M5RCRjy6nZY0TY/edit#gid=1248694442"",""Table 2: MMC!H5:H114""), $A61=IMPORTRANGE(""https://docs.google.com/spreadsheets/d/1kGrh75X1cNR1D7_FcY9zMnHP8iPO4M5RCRjy6"&amp;"nZY0TY/edit#gid=1248694442"",""Table 2: MMC!A5:A114"")),"""")"),1.0)</f>
        <v>1</v>
      </c>
      <c r="G61" s="14">
        <f>IFERROR(__xludf.DUMMYFUNCTION("IFNA(FILTER(IMPORTRANGE(""https://docs.google.com/spreadsheets/d/1kGrh75X1cNR1D7_FcY9zMnHP8iPO4M5RCRjy6nZY0TY/edit#gid=1248694442"",""Table 2: MMC!I5:I114""), $A61=IMPORTRANGE(""https://docs.google.com/spreadsheets/d/1kGrh75X1cNR1D7_FcY9zMnHP8iPO4M5RCRjy6"&amp;"nZY0TY/edit#gid=1248694442"",""Table 2: MMC!A5:A114"")),"""")"),1.0)</f>
        <v>1</v>
      </c>
      <c r="H61" s="14" t="str">
        <f>IFERROR(__xludf.DUMMYFUNCTION("IFNA(FILTER(IMPORTRANGE(""https://docs.google.com/spreadsheets/d/1kGrh75X1cNR1D7_FcY9zMnHP8iPO4M5RCRjy6nZY0TY/edit#gid=1248694442"",""Table 2: MMC!J5:J114""), $A61=IMPORTRANGE(""https://docs.google.com/spreadsheets/d/1kGrh75X1cNR1D7_FcY9zMnHP8iPO4M5RCRjy6"&amp;"nZY0TY/edit#gid=1248694442"",""Table 2: MMC!A5:A114"")),"""")"),"post-natal")</f>
        <v>post-natal</v>
      </c>
      <c r="I61" s="14" t="str">
        <f>IFERROR(__xludf.DUMMYFUNCTION("IFNA(FILTER(IMPORTRANGE(""https://docs.google.com/spreadsheets/d/1kGrh75X1cNR1D7_FcY9zMnHP8iPO4M5RCRjy6nZY0TY/edit#gid=1248694442"",""Table 2: MMC!M5:M114""), $A61=IMPORTRANGE(""https://docs.google.com/spreadsheets/d/1kGrh75X1cNR1D7_FcY9zMnHP8iPO4M5RCRjy6"&amp;"nZY0TY/edit#gid=1248694442"",""Table 2: MMC!A5:A114"")),"""")"),"")</f>
        <v/>
      </c>
      <c r="J61" s="14" t="str">
        <f>IFERROR(__xludf.DUMMYFUNCTION("IFNA(FILTER(IMPORTRANGE(""https://docs.google.com/spreadsheets/d/1kGrh75X1cNR1D7_FcY9zMnHP8iPO4M5RCRjy6nZY0TY/edit#gid=1248694442"",""Table 2: MMC!Q5:Q114""), $A61=IMPORTRANGE(""https://docs.google.com/spreadsheets/d/1kGrh75X1cNR1D7_FcY9zMnHP8iPO4M5RCRjy6"&amp;"nZY0TY/edit#gid=1248694442"",""Table 2: MMC!A5:A114"")),"""")"),"")</f>
        <v/>
      </c>
      <c r="K61" s="14" t="str">
        <f>IFERROR(__xludf.DUMMYFUNCTION("IFNA(FILTER(IMPORTRANGE(""https://docs.google.com/spreadsheets/d/1kGrh75X1cNR1D7_FcY9zMnHP8iPO4M5RCRjy6nZY0TY/edit#gid=1248694442"",""Table 2: MMC!R5:R114""), $A61=IMPORTRANGE(""https://docs.google.com/spreadsheets/d/1kGrh75X1cNR1D7_FcY9zMnHP8iPO4M5RCRjy6"&amp;"nZY0TY/edit#gid=1248694442"",""Table 2: MMC!A5:A114"")),"""")"),"")</f>
        <v/>
      </c>
      <c r="L61" s="14" t="str">
        <f>IFERROR(__xludf.DUMMYFUNCTION("IFNA(FILTER(IMPORTRANGE(""https://docs.google.com/spreadsheets/d/1kGrh75X1cNR1D7_FcY9zMnHP8iPO4M5RCRjy6nZY0TY/edit#gid=1248694442"",""Table 2: MMC!S5:S114""), $A61=IMPORTRANGE(""https://docs.google.com/spreadsheets/d/1kGrh75X1cNR1D7_FcY9zMnHP8iPO4M5RCRjy6"&amp;"nZY0TY/edit#gid=1248694442"",""Table 2: MMC!A5:A114"")),"""")"),"")</f>
        <v/>
      </c>
      <c r="M61" s="14" t="str">
        <f>IFERROR(__xludf.DUMMYFUNCTION("IFNA(FILTER(IMPORTRANGE(""https://docs.google.com/spreadsheets/d/1kGrh75X1cNR1D7_FcY9zMnHP8iPO4M5RCRjy6nZY0TY/edit#gid=1248694442"",""Table 3: 1st-line HC!D5:D111""), $A61=IMPORTRANGE(""https://docs.google.com/spreadsheets/d/1kGrh75X1cNR1D7_FcY9zMnHP8iPO4"&amp;"M5RCRjy6nZY0TY/edit#gid=1248694442"",""Table 3: 1st-line HC!A5:A111"")),"""")"),"")</f>
        <v/>
      </c>
      <c r="N61" s="14" t="str">
        <f>IFERROR(__xludf.DUMMYFUNCTION("IFNA(FILTER(IMPORTRANGE(""https://docs.google.com/spreadsheets/d/1kGrh75X1cNR1D7_FcY9zMnHP8iPO4M5RCRjy6nZY0TY/edit#gid=1248694442"",""Table 3: 1st-line HC!E5:E111""), $A61=IMPORTRANGE(""https://docs.google.com/spreadsheets/d/1kGrh75X1cNR1D7_FcY9zMnHP8iPO4"&amp;"M5RCRjy6nZY0TY/edit#gid=1248694442"",""Table 3: 1st-line HC!A5:A111"")),"""")"),"")</f>
        <v/>
      </c>
      <c r="O61" s="14" t="str">
        <f>IFERROR(__xludf.DUMMYFUNCTION("IFNA(FILTER(IMPORTRANGE(""https://docs.google.com/spreadsheets/d/1kGrh75X1cNR1D7_FcY9zMnHP8iPO4M5RCRjy6nZY0TY/edit#gid=1248694442"",""Table 3: 1st-line HC!K5:K111""), $A61=IMPORTRANGE(""https://docs.google.com/spreadsheets/d/1kGrh75X1cNR1D7_FcY9zMnHP8iPO4"&amp;"M5RCRjy6nZY0TY/edit#gid=1248694442"",""Table 3: 1st-line HC!A5:A111"")),"""")"),"")</f>
        <v/>
      </c>
      <c r="P61" s="14" t="str">
        <f>IFERROR(__xludf.DUMMYFUNCTION("IFNA(FILTER(IMPORTRANGE(""https://docs.google.com/spreadsheets/d/1kGrh75X1cNR1D7_FcY9zMnHP8iPO4M5RCRjy6nZY0TY/edit#gid=1248694442"",""Table 3: 1st-line HC!L5:L111""), $A61=IMPORTRANGE(""https://docs.google.com/spreadsheets/d/1kGrh75X1cNR1D7_FcY9zMnHP8iPO4"&amp;"M5RCRjy6nZY0TY/edit#gid=1248694442"",""Table 3: 1st-line HC!A5:A111"")),"""")"),"")</f>
        <v/>
      </c>
      <c r="Q61" s="14" t="str">
        <f>IFERROR(__xludf.DUMMYFUNCTION("IFNA(FILTER(IMPORTRANGE(""https://docs.google.com/spreadsheets/d/1kGrh75X1cNR1D7_FcY9zMnHP8iPO4M5RCRjy6nZY0TY/edit#gid=1248694442"",""Table 3: 1st-line HC!M5:M111""), $A61=IMPORTRANGE(""https://docs.google.com/spreadsheets/d/1kGrh75X1cNR1D7_FcY9zMnHP8iPO4"&amp;"M5RCRjy6nZY0TY/edit#gid=1248694442"",""Table 3: 1st-line HC!A5:A111"")),"""")"),"")</f>
        <v/>
      </c>
      <c r="R61" s="14" t="str">
        <f>IFERROR(__xludf.DUMMYFUNCTION("IFNA(FILTER(IMPORTRANGE(""https://docs.google.com/spreadsheets/d/1kGrh75X1cNR1D7_FcY9zMnHP8iPO4M5RCRjy6nZY0TY/edit#gid=1248694442"",""Table 3: 1st-line HC!N5:N111""), $A61=IMPORTRANGE(""https://docs.google.com/spreadsheets/d/1kGrh75X1cNR1D7_FcY9zMnHP8iPO4"&amp;"M5RCRjy6nZY0TY/edit#gid=1248694442"",""Table 3: 1st-line HC!A5:A111"")),"""")"),"")</f>
        <v/>
      </c>
      <c r="S61" s="14" t="str">
        <f>IFERROR(__xludf.DUMMYFUNCTION("IFNA(FILTER(IMPORTRANGE(""https://docs.google.com/spreadsheets/d/1kGrh75X1cNR1D7_FcY9zMnHP8iPO4M5RCRjy6nZY0TY/edit#gid=1248694442"",""Table 3: 1st-line HC!T5:T111""), $A61=IMPORTRANGE(""https://docs.google.com/spreadsheets/d/1kGrh75X1cNR1D7_FcY9zMnHP8iPO4"&amp;"M5RCRjy6nZY0TY/edit#gid=1248694442"",""Table 3: 1st-line HC!A5:A111"")),"""")"),"")</f>
        <v/>
      </c>
      <c r="T61" s="14" t="str">
        <f>IFERROR(__xludf.DUMMYFUNCTION("IFNA(FILTER(IMPORTRANGE(""https://docs.google.com/spreadsheets/d/1kGrh75X1cNR1D7_FcY9zMnHP8iPO4M5RCRjy6nZY0TY/edit#gid=1248694442"",""Table 3: 1st-line HC!U5:U111""), $A61=IMPORTRANGE(""https://docs.google.com/spreadsheets/d/1kGrh75X1cNR1D7_FcY9zMnHP8iPO4"&amp;"M5RCRjy6nZY0TY/edit#gid=1248694442"",""Table 3: 1st-line HC!A5:A111"")),"""")"),"")</f>
        <v/>
      </c>
      <c r="U61" s="14" t="str">
        <f>IFERROR(__xludf.DUMMYFUNCTION("IFNA(FILTER(IMPORTRANGE(""https://docs.google.com/spreadsheets/d/1kGrh75X1cNR1D7_FcY9zMnHP8iPO4M5RCRjy6nZY0TY/edit#gid=1248694442"",""Table 3: 1st-line HC!V5:V111""), $A61=IMPORTRANGE(""https://docs.google.com/spreadsheets/d/1kGrh75X1cNR1D7_FcY9zMnHP8iPO4"&amp;"M5RCRjy6nZY0TY/edit#gid=1248694442"",""Table 3: 1st-line HC!A5:A111"")),"""")"),"")</f>
        <v/>
      </c>
      <c r="V61" s="14" t="str">
        <f>IFERROR(__xludf.DUMMYFUNCTION("IFNA(FILTER(IMPORTRANGE(""https://docs.google.com/spreadsheets/d/1kGrh75X1cNR1D7_FcY9zMnHP8iPO4M5RCRjy6nZY0TY/edit#gid=1248694442"",""Table 3: 1st-line HC!AE5:AE111""), $A61=IMPORTRANGE(""https://docs.google.com/spreadsheets/d/1kGrh75X1cNR1D7_FcY9zMnHP8iP"&amp;"O4M5RCRjy6nZY0TY/edit#gid=1248694442"",""Table 3: 1st-line HC!A5:A111"")),"""")"),"")</f>
        <v/>
      </c>
      <c r="W61" s="14" t="str">
        <f>IFERROR(__xludf.DUMMYFUNCTION("IFNA(FILTER(IMPORTRANGE(""https://docs.google.com/spreadsheets/d/1kGrh75X1cNR1D7_FcY9zMnHP8iPO4M5RCRjy6nZY0TY/edit#gid=1248694442"",""Table 3: 1st-line HC!AG5:AG111""), $A61=IMPORTRANGE(""https://docs.google.com/spreadsheets/d/1kGrh75X1cNR1D7_FcY9zMnHP8iP"&amp;"O4M5RCRjy6nZY0TY/edit#gid=1248694442"",""Table 3: 1st-line HC!A5:A111"")),"""")"),"")</f>
        <v/>
      </c>
      <c r="X61" s="14" t="str">
        <f>IFERROR(__xludf.DUMMYFUNCTION("IFNA(FILTER(IMPORTRANGE(""https://docs.google.com/spreadsheets/d/1kGrh75X1cNR1D7_FcY9zMnHP8iPO4M5RCRjy6nZY0TY/edit#gid=1248694442"",""Table 3: 1st-line HC!AI5:AI111""), $A61=IMPORTRANGE(""https://docs.google.com/spreadsheets/d/1kGrh75X1cNR1D7_FcY9zMnHP8iP"&amp;"O4M5RCRjy6nZY0TY/edit#gid=1248694442"",""Table 3: 1st-line HC!A5:A111"")),"""")"),"")</f>
        <v/>
      </c>
    </row>
    <row r="62">
      <c r="A62" s="4" t="str">
        <f>IFERROR(__xludf.DUMMYFUNCTION("""COMPUTED_VALUE"""),"ID 130")</f>
        <v>ID 130</v>
      </c>
      <c r="B62" s="14" t="str">
        <f>IFERROR(__xludf.DUMMYFUNCTION("IFNA(FILTER(IMPORTRANGE(""https://docs.google.com/spreadsheets/d/1kGrh75X1cNR1D7_FcY9zMnHP8iPO4M5RCRjy6nZY0TY/edit#gid=1248694442"",""Table 2: MMC!D5:D114""), $A62=IMPORTRANGE(""https://docs.google.com/spreadsheets/d/1kGrh75X1cNR1D7_FcY9zMnHP8iPO4M5RCRjy6"&amp;"nZY0TY/edit#gid=1248694442"",""Table 2: MMC!A5:A114"")),"""")"),"")</f>
        <v/>
      </c>
      <c r="C62" s="14" t="str">
        <f>IFERROR(__xludf.DUMMYFUNCTION("IFNA(FILTER(IMPORTRANGE(""https://docs.google.com/spreadsheets/d/1kGrh75X1cNR1D7_FcY9zMnHP8iPO4M5RCRjy6nZY0TY/edit#gid=1248694442"",""Table 2: MMC!E5:E114""), $A62=IMPORTRANGE(""https://docs.google.com/spreadsheets/d/1kGrh75X1cNR1D7_FcY9zMnHP8iPO4M5RCRjy6"&amp;"nZY0TY/edit#gid=1248694442"",""Table 2: MMC!A5:A114"")),"""")"),"")</f>
        <v/>
      </c>
      <c r="D62" s="14" t="str">
        <f>IFERROR(__xludf.DUMMYFUNCTION("IFNA(FILTER(IMPORTRANGE(""https://docs.google.com/spreadsheets/d/1kGrh75X1cNR1D7_FcY9zMnHP8iPO4M5RCRjy6nZY0TY/edit#gid=1248694442"",""Table 2: MMC!F5:F114""), $A62=IMPORTRANGE(""https://docs.google.com/spreadsheets/d/1kGrh75X1cNR1D7_FcY9zMnHP8iPO4M5RCRjy6"&amp;"nZY0TY/edit#gid=1248694442"",""Table 2: MMC!A5:A114"")),"""")"),"")</f>
        <v/>
      </c>
      <c r="E62" s="14" t="str">
        <f>IFERROR(__xludf.DUMMYFUNCTION("IFNA(FILTER(IMPORTRANGE(""https://docs.google.com/spreadsheets/d/1kGrh75X1cNR1D7_FcY9zMnHP8iPO4M5RCRjy6nZY0TY/edit#gid=1248694442"",""Table 2: MMC!G5:G114""), $A62=IMPORTRANGE(""https://docs.google.com/spreadsheets/d/1kGrh75X1cNR1D7_FcY9zMnHP8iPO4M5RCRjy6"&amp;"nZY0TY/edit#gid=1248694442"",""Table 2: MMC!A5:A114"")),"""")"),"")</f>
        <v/>
      </c>
      <c r="F62" s="14" t="str">
        <f>IFERROR(__xludf.DUMMYFUNCTION("IFNA(FILTER(IMPORTRANGE(""https://docs.google.com/spreadsheets/d/1kGrh75X1cNR1D7_FcY9zMnHP8iPO4M5RCRjy6nZY0TY/edit#gid=1248694442"",""Table 2: MMC!H5:H114""), $A62=IMPORTRANGE(""https://docs.google.com/spreadsheets/d/1kGrh75X1cNR1D7_FcY9zMnHP8iPO4M5RCRjy6"&amp;"nZY0TY/edit#gid=1248694442"",""Table 2: MMC!A5:A114"")),"""")"),"")</f>
        <v/>
      </c>
      <c r="G62" s="14" t="str">
        <f>IFERROR(__xludf.DUMMYFUNCTION("IFNA(FILTER(IMPORTRANGE(""https://docs.google.com/spreadsheets/d/1kGrh75X1cNR1D7_FcY9zMnHP8iPO4M5RCRjy6nZY0TY/edit#gid=1248694442"",""Table 2: MMC!I5:I114""), $A62=IMPORTRANGE(""https://docs.google.com/spreadsheets/d/1kGrh75X1cNR1D7_FcY9zMnHP8iPO4M5RCRjy6"&amp;"nZY0TY/edit#gid=1248694442"",""Table 2: MMC!A5:A114"")),"""")"),"")</f>
        <v/>
      </c>
      <c r="H62" s="14" t="str">
        <f>IFERROR(__xludf.DUMMYFUNCTION("IFNA(FILTER(IMPORTRANGE(""https://docs.google.com/spreadsheets/d/1kGrh75X1cNR1D7_FcY9zMnHP8iPO4M5RCRjy6nZY0TY/edit#gid=1248694442"",""Table 2: MMC!J5:J114""), $A62=IMPORTRANGE(""https://docs.google.com/spreadsheets/d/1kGrh75X1cNR1D7_FcY9zMnHP8iPO4M5RCRjy6"&amp;"nZY0TY/edit#gid=1248694442"",""Table 2: MMC!A5:A114"")),"""")"),"")</f>
        <v/>
      </c>
      <c r="I62" s="14" t="str">
        <f>IFERROR(__xludf.DUMMYFUNCTION("IFNA(FILTER(IMPORTRANGE(""https://docs.google.com/spreadsheets/d/1kGrh75X1cNR1D7_FcY9zMnHP8iPO4M5RCRjy6nZY0TY/edit#gid=1248694442"",""Table 2: MMC!M5:M114""), $A62=IMPORTRANGE(""https://docs.google.com/spreadsheets/d/1kGrh75X1cNR1D7_FcY9zMnHP8iPO4M5RCRjy6"&amp;"nZY0TY/edit#gid=1248694442"",""Table 2: MMC!A5:A114"")),"""")"),"")</f>
        <v/>
      </c>
      <c r="J62" s="14" t="str">
        <f>IFERROR(__xludf.DUMMYFUNCTION("IFNA(FILTER(IMPORTRANGE(""https://docs.google.com/spreadsheets/d/1kGrh75X1cNR1D7_FcY9zMnHP8iPO4M5RCRjy6nZY0TY/edit#gid=1248694442"",""Table 2: MMC!Q5:Q114""), $A62=IMPORTRANGE(""https://docs.google.com/spreadsheets/d/1kGrh75X1cNR1D7_FcY9zMnHP8iPO4M5RCRjy6"&amp;"nZY0TY/edit#gid=1248694442"",""Table 2: MMC!A5:A114"")),"""")"),"")</f>
        <v/>
      </c>
      <c r="K62" s="14" t="str">
        <f>IFERROR(__xludf.DUMMYFUNCTION("IFNA(FILTER(IMPORTRANGE(""https://docs.google.com/spreadsheets/d/1kGrh75X1cNR1D7_FcY9zMnHP8iPO4M5RCRjy6nZY0TY/edit#gid=1248694442"",""Table 2: MMC!R5:R114""), $A62=IMPORTRANGE(""https://docs.google.com/spreadsheets/d/1kGrh75X1cNR1D7_FcY9zMnHP8iPO4M5RCRjy6"&amp;"nZY0TY/edit#gid=1248694442"",""Table 2: MMC!A5:A114"")),"""")"),"")</f>
        <v/>
      </c>
      <c r="L62" s="14" t="str">
        <f>IFERROR(__xludf.DUMMYFUNCTION("IFNA(FILTER(IMPORTRANGE(""https://docs.google.com/spreadsheets/d/1kGrh75X1cNR1D7_FcY9zMnHP8iPO4M5RCRjy6nZY0TY/edit#gid=1248694442"",""Table 2: MMC!S5:S114""), $A62=IMPORTRANGE(""https://docs.google.com/spreadsheets/d/1kGrh75X1cNR1D7_FcY9zMnHP8iPO4M5RCRjy6"&amp;"nZY0TY/edit#gid=1248694442"",""Table 2: MMC!A5:A114"")),"""")"),"")</f>
        <v/>
      </c>
      <c r="M62" s="14" t="str">
        <f>IFERROR(__xludf.DUMMYFUNCTION("IFNA(FILTER(IMPORTRANGE(""https://docs.google.com/spreadsheets/d/1kGrh75X1cNR1D7_FcY9zMnHP8iPO4M5RCRjy6nZY0TY/edit#gid=1248694442"",""Table 3: 1st-line HC!D5:D111""), $A62=IMPORTRANGE(""https://docs.google.com/spreadsheets/d/1kGrh75X1cNR1D7_FcY9zMnHP8iPO4"&amp;"M5RCRjy6nZY0TY/edit#gid=1248694442"",""Table 3: 1st-line HC!A5:A111"")),"""")"),"")</f>
        <v/>
      </c>
      <c r="N62" s="14" t="str">
        <f>IFERROR(__xludf.DUMMYFUNCTION("IFNA(FILTER(IMPORTRANGE(""https://docs.google.com/spreadsheets/d/1kGrh75X1cNR1D7_FcY9zMnHP8iPO4M5RCRjy6nZY0TY/edit#gid=1248694442"",""Table 3: 1st-line HC!E5:E111""), $A62=IMPORTRANGE(""https://docs.google.com/spreadsheets/d/1kGrh75X1cNR1D7_FcY9zMnHP8iPO4"&amp;"M5RCRjy6nZY0TY/edit#gid=1248694442"",""Table 3: 1st-line HC!A5:A111"")),"""")"),"")</f>
        <v/>
      </c>
      <c r="O62" s="14" t="str">
        <f>IFERROR(__xludf.DUMMYFUNCTION("IFNA(FILTER(IMPORTRANGE(""https://docs.google.com/spreadsheets/d/1kGrh75X1cNR1D7_FcY9zMnHP8iPO4M5RCRjy6nZY0TY/edit#gid=1248694442"",""Table 3: 1st-line HC!K5:K111""), $A62=IMPORTRANGE(""https://docs.google.com/spreadsheets/d/1kGrh75X1cNR1D7_FcY9zMnHP8iPO4"&amp;"M5RCRjy6nZY0TY/edit#gid=1248694442"",""Table 3: 1st-line HC!A5:A111"")),"""")"),"")</f>
        <v/>
      </c>
      <c r="P62" s="14" t="str">
        <f>IFERROR(__xludf.DUMMYFUNCTION("IFNA(FILTER(IMPORTRANGE(""https://docs.google.com/spreadsheets/d/1kGrh75X1cNR1D7_FcY9zMnHP8iPO4M5RCRjy6nZY0TY/edit#gid=1248694442"",""Table 3: 1st-line HC!L5:L111""), $A62=IMPORTRANGE(""https://docs.google.com/spreadsheets/d/1kGrh75X1cNR1D7_FcY9zMnHP8iPO4"&amp;"M5RCRjy6nZY0TY/edit#gid=1248694442"",""Table 3: 1st-line HC!A5:A111"")),"""")"),"")</f>
        <v/>
      </c>
      <c r="Q62" s="14" t="str">
        <f>IFERROR(__xludf.DUMMYFUNCTION("IFNA(FILTER(IMPORTRANGE(""https://docs.google.com/spreadsheets/d/1kGrh75X1cNR1D7_FcY9zMnHP8iPO4M5RCRjy6nZY0TY/edit#gid=1248694442"",""Table 3: 1st-line HC!M5:M111""), $A62=IMPORTRANGE(""https://docs.google.com/spreadsheets/d/1kGrh75X1cNR1D7_FcY9zMnHP8iPO4"&amp;"M5RCRjy6nZY0TY/edit#gid=1248694442"",""Table 3: 1st-line HC!A5:A111"")),"""")"),"")</f>
        <v/>
      </c>
      <c r="R62" s="14" t="str">
        <f>IFERROR(__xludf.DUMMYFUNCTION("IFNA(FILTER(IMPORTRANGE(""https://docs.google.com/spreadsheets/d/1kGrh75X1cNR1D7_FcY9zMnHP8iPO4M5RCRjy6nZY0TY/edit#gid=1248694442"",""Table 3: 1st-line HC!N5:N111""), $A62=IMPORTRANGE(""https://docs.google.com/spreadsheets/d/1kGrh75X1cNR1D7_FcY9zMnHP8iPO4"&amp;"M5RCRjy6nZY0TY/edit#gid=1248694442"",""Table 3: 1st-line HC!A5:A111"")),"""")"),"")</f>
        <v/>
      </c>
      <c r="S62" s="14" t="str">
        <f>IFERROR(__xludf.DUMMYFUNCTION("IFNA(FILTER(IMPORTRANGE(""https://docs.google.com/spreadsheets/d/1kGrh75X1cNR1D7_FcY9zMnHP8iPO4M5RCRjy6nZY0TY/edit#gid=1248694442"",""Table 3: 1st-line HC!T5:T111""), $A62=IMPORTRANGE(""https://docs.google.com/spreadsheets/d/1kGrh75X1cNR1D7_FcY9zMnHP8iPO4"&amp;"M5RCRjy6nZY0TY/edit#gid=1248694442"",""Table 3: 1st-line HC!A5:A111"")),"""")"),"")</f>
        <v/>
      </c>
      <c r="T62" s="14" t="str">
        <f>IFERROR(__xludf.DUMMYFUNCTION("IFNA(FILTER(IMPORTRANGE(""https://docs.google.com/spreadsheets/d/1kGrh75X1cNR1D7_FcY9zMnHP8iPO4M5RCRjy6nZY0TY/edit#gid=1248694442"",""Table 3: 1st-line HC!U5:U111""), $A62=IMPORTRANGE(""https://docs.google.com/spreadsheets/d/1kGrh75X1cNR1D7_FcY9zMnHP8iPO4"&amp;"M5RCRjy6nZY0TY/edit#gid=1248694442"",""Table 3: 1st-line HC!A5:A111"")),"""")"),"")</f>
        <v/>
      </c>
      <c r="U62" s="14" t="str">
        <f>IFERROR(__xludf.DUMMYFUNCTION("IFNA(FILTER(IMPORTRANGE(""https://docs.google.com/spreadsheets/d/1kGrh75X1cNR1D7_FcY9zMnHP8iPO4M5RCRjy6nZY0TY/edit#gid=1248694442"",""Table 3: 1st-line HC!V5:V111""), $A62=IMPORTRANGE(""https://docs.google.com/spreadsheets/d/1kGrh75X1cNR1D7_FcY9zMnHP8iPO4"&amp;"M5RCRjy6nZY0TY/edit#gid=1248694442"",""Table 3: 1st-line HC!A5:A111"")),"""")"),"")</f>
        <v/>
      </c>
      <c r="V62" s="14" t="str">
        <f>IFERROR(__xludf.DUMMYFUNCTION("IFNA(FILTER(IMPORTRANGE(""https://docs.google.com/spreadsheets/d/1kGrh75X1cNR1D7_FcY9zMnHP8iPO4M5RCRjy6nZY0TY/edit#gid=1248694442"",""Table 3: 1st-line HC!AE5:AE111""), $A62=IMPORTRANGE(""https://docs.google.com/spreadsheets/d/1kGrh75X1cNR1D7_FcY9zMnHP8iP"&amp;"O4M5RCRjy6nZY0TY/edit#gid=1248694442"",""Table 3: 1st-line HC!A5:A111"")),"""")"),"")</f>
        <v/>
      </c>
      <c r="W62" s="14" t="str">
        <f>IFERROR(__xludf.DUMMYFUNCTION("IFNA(FILTER(IMPORTRANGE(""https://docs.google.com/spreadsheets/d/1kGrh75X1cNR1D7_FcY9zMnHP8iPO4M5RCRjy6nZY0TY/edit#gid=1248694442"",""Table 3: 1st-line HC!AG5:AG111""), $A62=IMPORTRANGE(""https://docs.google.com/spreadsheets/d/1kGrh75X1cNR1D7_FcY9zMnHP8iP"&amp;"O4M5RCRjy6nZY0TY/edit#gid=1248694442"",""Table 3: 1st-line HC!A5:A111"")),"""")"),"")</f>
        <v/>
      </c>
      <c r="X62" s="14" t="str">
        <f>IFERROR(__xludf.DUMMYFUNCTION("IFNA(FILTER(IMPORTRANGE(""https://docs.google.com/spreadsheets/d/1kGrh75X1cNR1D7_FcY9zMnHP8iPO4M5RCRjy6nZY0TY/edit#gid=1248694442"",""Table 3: 1st-line HC!AI5:AI111""), $A62=IMPORTRANGE(""https://docs.google.com/spreadsheets/d/1kGrh75X1cNR1D7_FcY9zMnHP8iP"&amp;"O4M5RCRjy6nZY0TY/edit#gid=1248694442"",""Table 3: 1st-line HC!A5:A111"")),"""")"),"")</f>
        <v/>
      </c>
    </row>
    <row r="63">
      <c r="A63" s="4" t="str">
        <f>IFERROR(__xludf.DUMMYFUNCTION("""COMPUTED_VALUE"""),"ID 131")</f>
        <v>ID 131</v>
      </c>
      <c r="B63" s="14" t="str">
        <f>IFERROR(__xludf.DUMMYFUNCTION("IFNA(FILTER(IMPORTRANGE(""https://docs.google.com/spreadsheets/d/1kGrh75X1cNR1D7_FcY9zMnHP8iPO4M5RCRjy6nZY0TY/edit#gid=1248694442"",""Table 2: MMC!D5:D114""), $A63=IMPORTRANGE(""https://docs.google.com/spreadsheets/d/1kGrh75X1cNR1D7_FcY9zMnHP8iPO4M5RCRjy6"&amp;"nZY0TY/edit#gid=1248694442"",""Table 2: MMC!A5:A114"")),"""")"),"")</f>
        <v/>
      </c>
      <c r="C63" s="14" t="str">
        <f>IFERROR(__xludf.DUMMYFUNCTION("IFNA(FILTER(IMPORTRANGE(""https://docs.google.com/spreadsheets/d/1kGrh75X1cNR1D7_FcY9zMnHP8iPO4M5RCRjy6nZY0TY/edit#gid=1248694442"",""Table 2: MMC!E5:E114""), $A63=IMPORTRANGE(""https://docs.google.com/spreadsheets/d/1kGrh75X1cNR1D7_FcY9zMnHP8iPO4M5RCRjy6"&amp;"nZY0TY/edit#gid=1248694442"",""Table 2: MMC!A5:A114"")),"""")"),"")</f>
        <v/>
      </c>
      <c r="D63" s="14" t="str">
        <f>IFERROR(__xludf.DUMMYFUNCTION("IFNA(FILTER(IMPORTRANGE(""https://docs.google.com/spreadsheets/d/1kGrh75X1cNR1D7_FcY9zMnHP8iPO4M5RCRjy6nZY0TY/edit#gid=1248694442"",""Table 2: MMC!F5:F114""), $A63=IMPORTRANGE(""https://docs.google.com/spreadsheets/d/1kGrh75X1cNR1D7_FcY9zMnHP8iPO4M5RCRjy6"&amp;"nZY0TY/edit#gid=1248694442"",""Table 2: MMC!A5:A114"")),"""")"),"")</f>
        <v/>
      </c>
      <c r="E63" s="14" t="str">
        <f>IFERROR(__xludf.DUMMYFUNCTION("IFNA(FILTER(IMPORTRANGE(""https://docs.google.com/spreadsheets/d/1kGrh75X1cNR1D7_FcY9zMnHP8iPO4M5RCRjy6nZY0TY/edit#gid=1248694442"",""Table 2: MMC!G5:G114""), $A63=IMPORTRANGE(""https://docs.google.com/spreadsheets/d/1kGrh75X1cNR1D7_FcY9zMnHP8iPO4M5RCRjy6"&amp;"nZY0TY/edit#gid=1248694442"",""Table 2: MMC!A5:A114"")),"""")"),"")</f>
        <v/>
      </c>
      <c r="F63" s="14" t="str">
        <f>IFERROR(__xludf.DUMMYFUNCTION("IFNA(FILTER(IMPORTRANGE(""https://docs.google.com/spreadsheets/d/1kGrh75X1cNR1D7_FcY9zMnHP8iPO4M5RCRjy6nZY0TY/edit#gid=1248694442"",""Table 2: MMC!H5:H114""), $A63=IMPORTRANGE(""https://docs.google.com/spreadsheets/d/1kGrh75X1cNR1D7_FcY9zMnHP8iPO4M5RCRjy6"&amp;"nZY0TY/edit#gid=1248694442"",""Table 2: MMC!A5:A114"")),"""")"),"")</f>
        <v/>
      </c>
      <c r="G63" s="14" t="str">
        <f>IFERROR(__xludf.DUMMYFUNCTION("IFNA(FILTER(IMPORTRANGE(""https://docs.google.com/spreadsheets/d/1kGrh75X1cNR1D7_FcY9zMnHP8iPO4M5RCRjy6nZY0TY/edit#gid=1248694442"",""Table 2: MMC!I5:I114""), $A63=IMPORTRANGE(""https://docs.google.com/spreadsheets/d/1kGrh75X1cNR1D7_FcY9zMnHP8iPO4M5RCRjy6"&amp;"nZY0TY/edit#gid=1248694442"",""Table 2: MMC!A5:A114"")),"""")"),"")</f>
        <v/>
      </c>
      <c r="H63" s="14" t="str">
        <f>IFERROR(__xludf.DUMMYFUNCTION("IFNA(FILTER(IMPORTRANGE(""https://docs.google.com/spreadsheets/d/1kGrh75X1cNR1D7_FcY9zMnHP8iPO4M5RCRjy6nZY0TY/edit#gid=1248694442"",""Table 2: MMC!J5:J114""), $A63=IMPORTRANGE(""https://docs.google.com/spreadsheets/d/1kGrh75X1cNR1D7_FcY9zMnHP8iPO4M5RCRjy6"&amp;"nZY0TY/edit#gid=1248694442"",""Table 2: MMC!A5:A114"")),"""")"),"")</f>
        <v/>
      </c>
      <c r="I63" s="14" t="str">
        <f>IFERROR(__xludf.DUMMYFUNCTION("IFNA(FILTER(IMPORTRANGE(""https://docs.google.com/spreadsheets/d/1kGrh75X1cNR1D7_FcY9zMnHP8iPO4M5RCRjy6nZY0TY/edit#gid=1248694442"",""Table 2: MMC!M5:M114""), $A63=IMPORTRANGE(""https://docs.google.com/spreadsheets/d/1kGrh75X1cNR1D7_FcY9zMnHP8iPO4M5RCRjy6"&amp;"nZY0TY/edit#gid=1248694442"",""Table 2: MMC!A5:A114"")),"""")"),"")</f>
        <v/>
      </c>
      <c r="J63" s="14" t="str">
        <f>IFERROR(__xludf.DUMMYFUNCTION("IFNA(FILTER(IMPORTRANGE(""https://docs.google.com/spreadsheets/d/1kGrh75X1cNR1D7_FcY9zMnHP8iPO4M5RCRjy6nZY0TY/edit#gid=1248694442"",""Table 2: MMC!Q5:Q114""), $A63=IMPORTRANGE(""https://docs.google.com/spreadsheets/d/1kGrh75X1cNR1D7_FcY9zMnHP8iPO4M5RCRjy6"&amp;"nZY0TY/edit#gid=1248694442"",""Table 2: MMC!A5:A114"")),"""")"),"")</f>
        <v/>
      </c>
      <c r="K63" s="14" t="str">
        <f>IFERROR(__xludf.DUMMYFUNCTION("IFNA(FILTER(IMPORTRANGE(""https://docs.google.com/spreadsheets/d/1kGrh75X1cNR1D7_FcY9zMnHP8iPO4M5RCRjy6nZY0TY/edit#gid=1248694442"",""Table 2: MMC!R5:R114""), $A63=IMPORTRANGE(""https://docs.google.com/spreadsheets/d/1kGrh75X1cNR1D7_FcY9zMnHP8iPO4M5RCRjy6"&amp;"nZY0TY/edit#gid=1248694442"",""Table 2: MMC!A5:A114"")),"""")"),"")</f>
        <v/>
      </c>
      <c r="L63" s="14" t="str">
        <f>IFERROR(__xludf.DUMMYFUNCTION("IFNA(FILTER(IMPORTRANGE(""https://docs.google.com/spreadsheets/d/1kGrh75X1cNR1D7_FcY9zMnHP8iPO4M5RCRjy6nZY0TY/edit#gid=1248694442"",""Table 2: MMC!S5:S114""), $A63=IMPORTRANGE(""https://docs.google.com/spreadsheets/d/1kGrh75X1cNR1D7_FcY9zMnHP8iPO4M5RCRjy6"&amp;"nZY0TY/edit#gid=1248694442"",""Table 2: MMC!A5:A114"")),"""")"),"")</f>
        <v/>
      </c>
      <c r="M63" s="14" t="str">
        <f>IFERROR(__xludf.DUMMYFUNCTION("IFNA(FILTER(IMPORTRANGE(""https://docs.google.com/spreadsheets/d/1kGrh75X1cNR1D7_FcY9zMnHP8iPO4M5RCRjy6nZY0TY/edit#gid=1248694442"",""Table 3: 1st-line HC!D5:D111""), $A63=IMPORTRANGE(""https://docs.google.com/spreadsheets/d/1kGrh75X1cNR1D7_FcY9zMnHP8iPO4"&amp;"M5RCRjy6nZY0TY/edit#gid=1248694442"",""Table 3: 1st-line HC!A5:A111"")),"""")"),"")</f>
        <v/>
      </c>
      <c r="N63" s="14" t="str">
        <f>IFERROR(__xludf.DUMMYFUNCTION("IFNA(FILTER(IMPORTRANGE(""https://docs.google.com/spreadsheets/d/1kGrh75X1cNR1D7_FcY9zMnHP8iPO4M5RCRjy6nZY0TY/edit#gid=1248694442"",""Table 3: 1st-line HC!E5:E111""), $A63=IMPORTRANGE(""https://docs.google.com/spreadsheets/d/1kGrh75X1cNR1D7_FcY9zMnHP8iPO4"&amp;"M5RCRjy6nZY0TY/edit#gid=1248694442"",""Table 3: 1st-line HC!A5:A111"")),"""")"),"")</f>
        <v/>
      </c>
      <c r="O63" s="14" t="str">
        <f>IFERROR(__xludf.DUMMYFUNCTION("IFNA(FILTER(IMPORTRANGE(""https://docs.google.com/spreadsheets/d/1kGrh75X1cNR1D7_FcY9zMnHP8iPO4M5RCRjy6nZY0TY/edit#gid=1248694442"",""Table 3: 1st-line HC!K5:K111""), $A63=IMPORTRANGE(""https://docs.google.com/spreadsheets/d/1kGrh75X1cNR1D7_FcY9zMnHP8iPO4"&amp;"M5RCRjy6nZY0TY/edit#gid=1248694442"",""Table 3: 1st-line HC!A5:A111"")),"""")"),"")</f>
        <v/>
      </c>
      <c r="P63" s="14" t="str">
        <f>IFERROR(__xludf.DUMMYFUNCTION("IFNA(FILTER(IMPORTRANGE(""https://docs.google.com/spreadsheets/d/1kGrh75X1cNR1D7_FcY9zMnHP8iPO4M5RCRjy6nZY0TY/edit#gid=1248694442"",""Table 3: 1st-line HC!L5:L111""), $A63=IMPORTRANGE(""https://docs.google.com/spreadsheets/d/1kGrh75X1cNR1D7_FcY9zMnHP8iPO4"&amp;"M5RCRjy6nZY0TY/edit#gid=1248694442"",""Table 3: 1st-line HC!A5:A111"")),"""")"),"")</f>
        <v/>
      </c>
      <c r="Q63" s="14" t="str">
        <f>IFERROR(__xludf.DUMMYFUNCTION("IFNA(FILTER(IMPORTRANGE(""https://docs.google.com/spreadsheets/d/1kGrh75X1cNR1D7_FcY9zMnHP8iPO4M5RCRjy6nZY0TY/edit#gid=1248694442"",""Table 3: 1st-line HC!M5:M111""), $A63=IMPORTRANGE(""https://docs.google.com/spreadsheets/d/1kGrh75X1cNR1D7_FcY9zMnHP8iPO4"&amp;"M5RCRjy6nZY0TY/edit#gid=1248694442"",""Table 3: 1st-line HC!A5:A111"")),"""")"),"")</f>
        <v/>
      </c>
      <c r="R63" s="14" t="str">
        <f>IFERROR(__xludf.DUMMYFUNCTION("IFNA(FILTER(IMPORTRANGE(""https://docs.google.com/spreadsheets/d/1kGrh75X1cNR1D7_FcY9zMnHP8iPO4M5RCRjy6nZY0TY/edit#gid=1248694442"",""Table 3: 1st-line HC!N5:N111""), $A63=IMPORTRANGE(""https://docs.google.com/spreadsheets/d/1kGrh75X1cNR1D7_FcY9zMnHP8iPO4"&amp;"M5RCRjy6nZY0TY/edit#gid=1248694442"",""Table 3: 1st-line HC!A5:A111"")),"""")"),"")</f>
        <v/>
      </c>
      <c r="S63" s="14" t="str">
        <f>IFERROR(__xludf.DUMMYFUNCTION("IFNA(FILTER(IMPORTRANGE(""https://docs.google.com/spreadsheets/d/1kGrh75X1cNR1D7_FcY9zMnHP8iPO4M5RCRjy6nZY0TY/edit#gid=1248694442"",""Table 3: 1st-line HC!T5:T111""), $A63=IMPORTRANGE(""https://docs.google.com/spreadsheets/d/1kGrh75X1cNR1D7_FcY9zMnHP8iPO4"&amp;"M5RCRjy6nZY0TY/edit#gid=1248694442"",""Table 3: 1st-line HC!A5:A111"")),"""")"),"")</f>
        <v/>
      </c>
      <c r="T63" s="14" t="str">
        <f>IFERROR(__xludf.DUMMYFUNCTION("IFNA(FILTER(IMPORTRANGE(""https://docs.google.com/spreadsheets/d/1kGrh75X1cNR1D7_FcY9zMnHP8iPO4M5RCRjy6nZY0TY/edit#gid=1248694442"",""Table 3: 1st-line HC!U5:U111""), $A63=IMPORTRANGE(""https://docs.google.com/spreadsheets/d/1kGrh75X1cNR1D7_FcY9zMnHP8iPO4"&amp;"M5RCRjy6nZY0TY/edit#gid=1248694442"",""Table 3: 1st-line HC!A5:A111"")),"""")"),"")</f>
        <v/>
      </c>
      <c r="U63" s="14" t="str">
        <f>IFERROR(__xludf.DUMMYFUNCTION("IFNA(FILTER(IMPORTRANGE(""https://docs.google.com/spreadsheets/d/1kGrh75X1cNR1D7_FcY9zMnHP8iPO4M5RCRjy6nZY0TY/edit#gid=1248694442"",""Table 3: 1st-line HC!V5:V111""), $A63=IMPORTRANGE(""https://docs.google.com/spreadsheets/d/1kGrh75X1cNR1D7_FcY9zMnHP8iPO4"&amp;"M5RCRjy6nZY0TY/edit#gid=1248694442"",""Table 3: 1st-line HC!A5:A111"")),"""")"),"")</f>
        <v/>
      </c>
      <c r="V63" s="14" t="str">
        <f>IFERROR(__xludf.DUMMYFUNCTION("IFNA(FILTER(IMPORTRANGE(""https://docs.google.com/spreadsheets/d/1kGrh75X1cNR1D7_FcY9zMnHP8iPO4M5RCRjy6nZY0TY/edit#gid=1248694442"",""Table 3: 1st-line HC!AE5:AE111""), $A63=IMPORTRANGE(""https://docs.google.com/spreadsheets/d/1kGrh75X1cNR1D7_FcY9zMnHP8iP"&amp;"O4M5RCRjy6nZY0TY/edit#gid=1248694442"",""Table 3: 1st-line HC!A5:A111"")),"""")"),"")</f>
        <v/>
      </c>
      <c r="W63" s="14" t="str">
        <f>IFERROR(__xludf.DUMMYFUNCTION("IFNA(FILTER(IMPORTRANGE(""https://docs.google.com/spreadsheets/d/1kGrh75X1cNR1D7_FcY9zMnHP8iPO4M5RCRjy6nZY0TY/edit#gid=1248694442"",""Table 3: 1st-line HC!AG5:AG111""), $A63=IMPORTRANGE(""https://docs.google.com/spreadsheets/d/1kGrh75X1cNR1D7_FcY9zMnHP8iP"&amp;"O4M5RCRjy6nZY0TY/edit#gid=1248694442"",""Table 3: 1st-line HC!A5:A111"")),"""")"),"")</f>
        <v/>
      </c>
      <c r="X63" s="14" t="str">
        <f>IFERROR(__xludf.DUMMYFUNCTION("IFNA(FILTER(IMPORTRANGE(""https://docs.google.com/spreadsheets/d/1kGrh75X1cNR1D7_FcY9zMnHP8iPO4M5RCRjy6nZY0TY/edit#gid=1248694442"",""Table 3: 1st-line HC!AI5:AI111""), $A63=IMPORTRANGE(""https://docs.google.com/spreadsheets/d/1kGrh75X1cNR1D7_FcY9zMnHP8iP"&amp;"O4M5RCRjy6nZY0TY/edit#gid=1248694442"",""Table 3: 1st-line HC!A5:A111"")),"""")"),"")</f>
        <v/>
      </c>
    </row>
    <row r="64">
      <c r="A64" s="4" t="str">
        <f>IFERROR(__xludf.DUMMYFUNCTION("""COMPUTED_VALUE"""),"ID 132")</f>
        <v>ID 132</v>
      </c>
      <c r="B64" s="14" t="str">
        <f>IFERROR(__xludf.DUMMYFUNCTION("IFNA(FILTER(IMPORTRANGE(""https://docs.google.com/spreadsheets/d/1kGrh75X1cNR1D7_FcY9zMnHP8iPO4M5RCRjy6nZY0TY/edit#gid=1248694442"",""Table 2: MMC!D5:D114""), $A64=IMPORTRANGE(""https://docs.google.com/spreadsheets/d/1kGrh75X1cNR1D7_FcY9zMnHP8iPO4M5RCRjy6"&amp;"nZY0TY/edit#gid=1248694442"",""Table 2: MMC!A5:A114"")),"""")"),"")</f>
        <v/>
      </c>
      <c r="C64" s="14" t="str">
        <f>IFERROR(__xludf.DUMMYFUNCTION("IFNA(FILTER(IMPORTRANGE(""https://docs.google.com/spreadsheets/d/1kGrh75X1cNR1D7_FcY9zMnHP8iPO4M5RCRjy6nZY0TY/edit#gid=1248694442"",""Table 2: MMC!E5:E114""), $A64=IMPORTRANGE(""https://docs.google.com/spreadsheets/d/1kGrh75X1cNR1D7_FcY9zMnHP8iPO4M5RCRjy6"&amp;"nZY0TY/edit#gid=1248694442"",""Table 2: MMC!A5:A114"")),"""")"),"")</f>
        <v/>
      </c>
      <c r="D64" s="14" t="str">
        <f>IFERROR(__xludf.DUMMYFUNCTION("IFNA(FILTER(IMPORTRANGE(""https://docs.google.com/spreadsheets/d/1kGrh75X1cNR1D7_FcY9zMnHP8iPO4M5RCRjy6nZY0TY/edit#gid=1248694442"",""Table 2: MMC!F5:F114""), $A64=IMPORTRANGE(""https://docs.google.com/spreadsheets/d/1kGrh75X1cNR1D7_FcY9zMnHP8iPO4M5RCRjy6"&amp;"nZY0TY/edit#gid=1248694442"",""Table 2: MMC!A5:A114"")),"""")"),"")</f>
        <v/>
      </c>
      <c r="E64" s="14" t="str">
        <f>IFERROR(__xludf.DUMMYFUNCTION("IFNA(FILTER(IMPORTRANGE(""https://docs.google.com/spreadsheets/d/1kGrh75X1cNR1D7_FcY9zMnHP8iPO4M5RCRjy6nZY0TY/edit#gid=1248694442"",""Table 2: MMC!G5:G114""), $A64=IMPORTRANGE(""https://docs.google.com/spreadsheets/d/1kGrh75X1cNR1D7_FcY9zMnHP8iPO4M5RCRjy6"&amp;"nZY0TY/edit#gid=1248694442"",""Table 2: MMC!A5:A114"")),"""")"),"")</f>
        <v/>
      </c>
      <c r="F64" s="14">
        <f>IFERROR(__xludf.DUMMYFUNCTION("IFNA(FILTER(IMPORTRANGE(""https://docs.google.com/spreadsheets/d/1kGrh75X1cNR1D7_FcY9zMnHP8iPO4M5RCRjy6nZY0TY/edit#gid=1248694442"",""Table 2: MMC!H5:H114""), $A64=IMPORTRANGE(""https://docs.google.com/spreadsheets/d/1kGrh75X1cNR1D7_FcY9zMnHP8iPO4M5RCRjy6"&amp;"nZY0TY/edit#gid=1248694442"",""Table 2: MMC!A5:A114"")),"""")"),28.0)</f>
        <v>28</v>
      </c>
      <c r="G64" s="14" t="str">
        <f>IFERROR(__xludf.DUMMYFUNCTION("IFNA(FILTER(IMPORTRANGE(""https://docs.google.com/spreadsheets/d/1kGrh75X1cNR1D7_FcY9zMnHP8iPO4M5RCRjy6nZY0TY/edit#gid=1248694442"",""Table 2: MMC!I5:I114""), $A64=IMPORTRANGE(""https://docs.google.com/spreadsheets/d/1kGrh75X1cNR1D7_FcY9zMnHP8iPO4M5RCRjy6"&amp;"nZY0TY/edit#gid=1248694442"",""Table 2: MMC!A5:A114"")),"""")"),"")</f>
        <v/>
      </c>
      <c r="H64" s="14" t="str">
        <f>IFERROR(__xludf.DUMMYFUNCTION("IFNA(FILTER(IMPORTRANGE(""https://docs.google.com/spreadsheets/d/1kGrh75X1cNR1D7_FcY9zMnHP8iPO4M5RCRjy6nZY0TY/edit#gid=1248694442"",""Table 2: MMC!J5:J114""), $A64=IMPORTRANGE(""https://docs.google.com/spreadsheets/d/1kGrh75X1cNR1D7_FcY9zMnHP8iPO4M5RCRjy6"&amp;"nZY0TY/edit#gid=1248694442"",""Table 2: MMC!A5:A114"")),"""")"),"post-natal")</f>
        <v>post-natal</v>
      </c>
      <c r="I64" s="14" t="str">
        <f>IFERROR(__xludf.DUMMYFUNCTION("IFNA(FILTER(IMPORTRANGE(""https://docs.google.com/spreadsheets/d/1kGrh75X1cNR1D7_FcY9zMnHP8iPO4M5RCRjy6nZY0TY/edit#gid=1248694442"",""Table 2: MMC!M5:M114""), $A64=IMPORTRANGE(""https://docs.google.com/spreadsheets/d/1kGrh75X1cNR1D7_FcY9zMnHP8iPO4M5RCRjy6"&amp;"nZY0TY/edit#gid=1248694442"",""Table 2: MMC!A5:A114"")),"""")"),"")</f>
        <v/>
      </c>
      <c r="J64" s="14">
        <f>IFERROR(__xludf.DUMMYFUNCTION("IFNA(FILTER(IMPORTRANGE(""https://docs.google.com/spreadsheets/d/1kGrh75X1cNR1D7_FcY9zMnHP8iPO4M5RCRjy6nZY0TY/edit#gid=1248694442"",""Table 2: MMC!Q5:Q114""), $A64=IMPORTRANGE(""https://docs.google.com/spreadsheets/d/1kGrh75X1cNR1D7_FcY9zMnHP8iPO4M5RCRjy6"&amp;"nZY0TY/edit#gid=1248694442"",""Table 2: MMC!A5:A114"")),"""")"),0.0)</f>
        <v>0</v>
      </c>
      <c r="K64" s="14">
        <f>IFERROR(__xludf.DUMMYFUNCTION("IFNA(FILTER(IMPORTRANGE(""https://docs.google.com/spreadsheets/d/1kGrh75X1cNR1D7_FcY9zMnHP8iPO4M5RCRjy6nZY0TY/edit#gid=1248694442"",""Table 2: MMC!R5:R114""), $A64=IMPORTRANGE(""https://docs.google.com/spreadsheets/d/1kGrh75X1cNR1D7_FcY9zMnHP8iPO4M5RCRjy6"&amp;"nZY0TY/edit#gid=1248694442"",""Table 2: MMC!A5:A114"")),"""")"),4.0)</f>
        <v>4</v>
      </c>
      <c r="L64" s="14" t="str">
        <f>IFERROR(__xludf.DUMMYFUNCTION("IFNA(FILTER(IMPORTRANGE(""https://docs.google.com/spreadsheets/d/1kGrh75X1cNR1D7_FcY9zMnHP8iPO4M5RCRjy6nZY0TY/edit#gid=1248694442"",""Table 2: MMC!S5:S114""), $A64=IMPORTRANGE(""https://docs.google.com/spreadsheets/d/1kGrh75X1cNR1D7_FcY9zMnHP8iPO4M5RCRjy6"&amp;"nZY0TY/edit#gid=1248694442"",""Table 2: MMC!A5:A114"")),"""")"),"")</f>
        <v/>
      </c>
      <c r="M64" s="14" t="str">
        <f>IFERROR(__xludf.DUMMYFUNCTION("IFNA(FILTER(IMPORTRANGE(""https://docs.google.com/spreadsheets/d/1kGrh75X1cNR1D7_FcY9zMnHP8iPO4M5RCRjy6nZY0TY/edit#gid=1248694442"",""Table 3: 1st-line HC!D5:D111""), $A64=IMPORTRANGE(""https://docs.google.com/spreadsheets/d/1kGrh75X1cNR1D7_FcY9zMnHP8iPO4"&amp;"M5RCRjy6nZY0TY/edit#gid=1248694442"",""Table 3: 1st-line HC!A5:A111"")),"""")"),"")</f>
        <v/>
      </c>
      <c r="N64" s="14" t="str">
        <f>IFERROR(__xludf.DUMMYFUNCTION("IFNA(FILTER(IMPORTRANGE(""https://docs.google.com/spreadsheets/d/1kGrh75X1cNR1D7_FcY9zMnHP8iPO4M5RCRjy6nZY0TY/edit#gid=1248694442"",""Table 3: 1st-line HC!E5:E111""), $A64=IMPORTRANGE(""https://docs.google.com/spreadsheets/d/1kGrh75X1cNR1D7_FcY9zMnHP8iPO4"&amp;"M5RCRjy6nZY0TY/edit#gid=1248694442"",""Table 3: 1st-line HC!A5:A111"")),"""")"),"")</f>
        <v/>
      </c>
      <c r="O64" s="14" t="str">
        <f>IFERROR(__xludf.DUMMYFUNCTION("IFNA(FILTER(IMPORTRANGE(""https://docs.google.com/spreadsheets/d/1kGrh75X1cNR1D7_FcY9zMnHP8iPO4M5RCRjy6nZY0TY/edit#gid=1248694442"",""Table 3: 1st-line HC!K5:K111""), $A64=IMPORTRANGE(""https://docs.google.com/spreadsheets/d/1kGrh75X1cNR1D7_FcY9zMnHP8iPO4"&amp;"M5RCRjy6nZY0TY/edit#gid=1248694442"",""Table 3: 1st-line HC!A5:A111"")),"""")"),"")</f>
        <v/>
      </c>
      <c r="P64" s="14">
        <f>IFERROR(__xludf.DUMMYFUNCTION("IFNA(FILTER(IMPORTRANGE(""https://docs.google.com/spreadsheets/d/1kGrh75X1cNR1D7_FcY9zMnHP8iPO4M5RCRjy6nZY0TY/edit#gid=1248694442"",""Table 3: 1st-line HC!L5:L111""), $A64=IMPORTRANGE(""https://docs.google.com/spreadsheets/d/1kGrh75X1cNR1D7_FcY9zMnHP8iPO4"&amp;"M5RCRjy6nZY0TY/edit#gid=1248694442"",""Table 3: 1st-line HC!A5:A111"")),"""")"),28.0)</f>
        <v>28</v>
      </c>
      <c r="Q64" s="14" t="str">
        <f>IFERROR(__xludf.DUMMYFUNCTION("IFNA(FILTER(IMPORTRANGE(""https://docs.google.com/spreadsheets/d/1kGrh75X1cNR1D7_FcY9zMnHP8iPO4M5RCRjy6nZY0TY/edit#gid=1248694442"",""Table 3: 1st-line HC!M5:M111""), $A64=IMPORTRANGE(""https://docs.google.com/spreadsheets/d/1kGrh75X1cNR1D7_FcY9zMnHP8iPO4"&amp;"M5RCRjy6nZY0TY/edit#gid=1248694442"",""Table 3: 1st-line HC!A5:A111"")),"""")"),"")</f>
        <v/>
      </c>
      <c r="R64" s="14" t="str">
        <f>IFERROR(__xludf.DUMMYFUNCTION("IFNA(FILTER(IMPORTRANGE(""https://docs.google.com/spreadsheets/d/1kGrh75X1cNR1D7_FcY9zMnHP8iPO4M5RCRjy6nZY0TY/edit#gid=1248694442"",""Table 3: 1st-line HC!N5:N111""), $A64=IMPORTRANGE(""https://docs.google.com/spreadsheets/d/1kGrh75X1cNR1D7_FcY9zMnHP8iPO4"&amp;"M5RCRjy6nZY0TY/edit#gid=1248694442"",""Table 3: 1st-line HC!A5:A111"")),"""")"),"")</f>
        <v/>
      </c>
      <c r="S64" s="14" t="str">
        <f>IFERROR(__xludf.DUMMYFUNCTION("IFNA(FILTER(IMPORTRANGE(""https://docs.google.com/spreadsheets/d/1kGrh75X1cNR1D7_FcY9zMnHP8iPO4M5RCRjy6nZY0TY/edit#gid=1248694442"",""Table 3: 1st-line HC!T5:T111""), $A64=IMPORTRANGE(""https://docs.google.com/spreadsheets/d/1kGrh75X1cNR1D7_FcY9zMnHP8iPO4"&amp;"M5RCRjy6nZY0TY/edit#gid=1248694442"",""Table 3: 1st-line HC!A5:A111"")),"""")"),"")</f>
        <v/>
      </c>
      <c r="T64" s="14" t="str">
        <f>IFERROR(__xludf.DUMMYFUNCTION("IFNA(FILTER(IMPORTRANGE(""https://docs.google.com/spreadsheets/d/1kGrh75X1cNR1D7_FcY9zMnHP8iPO4M5RCRjy6nZY0TY/edit#gid=1248694442"",""Table 3: 1st-line HC!U5:U111""), $A64=IMPORTRANGE(""https://docs.google.com/spreadsheets/d/1kGrh75X1cNR1D7_FcY9zMnHP8iPO4"&amp;"M5RCRjy6nZY0TY/edit#gid=1248694442"",""Table 3: 1st-line HC!A5:A111"")),"""")"),"")</f>
        <v/>
      </c>
      <c r="U64" s="14" t="str">
        <f>IFERROR(__xludf.DUMMYFUNCTION("IFNA(FILTER(IMPORTRANGE(""https://docs.google.com/spreadsheets/d/1kGrh75X1cNR1D7_FcY9zMnHP8iPO4M5RCRjy6nZY0TY/edit#gid=1248694442"",""Table 3: 1st-line HC!V5:V111""), $A64=IMPORTRANGE(""https://docs.google.com/spreadsheets/d/1kGrh75X1cNR1D7_FcY9zMnHP8iPO4"&amp;"M5RCRjy6nZY0TY/edit#gid=1248694442"",""Table 3: 1st-line HC!A5:A111"")),"""")"),"")</f>
        <v/>
      </c>
      <c r="V64" s="14" t="str">
        <f>IFERROR(__xludf.DUMMYFUNCTION("IFNA(FILTER(IMPORTRANGE(""https://docs.google.com/spreadsheets/d/1kGrh75X1cNR1D7_FcY9zMnHP8iPO4M5RCRjy6nZY0TY/edit#gid=1248694442"",""Table 3: 1st-line HC!AE5:AE111""), $A64=IMPORTRANGE(""https://docs.google.com/spreadsheets/d/1kGrh75X1cNR1D7_FcY9zMnHP8iP"&amp;"O4M5RCRjy6nZY0TY/edit#gid=1248694442"",""Table 3: 1st-line HC!A5:A111"")),"""")"),"")</f>
        <v/>
      </c>
      <c r="W64" s="14" t="str">
        <f>IFERROR(__xludf.DUMMYFUNCTION("IFNA(FILTER(IMPORTRANGE(""https://docs.google.com/spreadsheets/d/1kGrh75X1cNR1D7_FcY9zMnHP8iPO4M5RCRjy6nZY0TY/edit#gid=1248694442"",""Table 3: 1st-line HC!AG5:AG111""), $A64=IMPORTRANGE(""https://docs.google.com/spreadsheets/d/1kGrh75X1cNR1D7_FcY9zMnHP8iP"&amp;"O4M5RCRjy6nZY0TY/edit#gid=1248694442"",""Table 3: 1st-line HC!A5:A111"")),"""")"),"")</f>
        <v/>
      </c>
      <c r="X64" s="14" t="str">
        <f>IFERROR(__xludf.DUMMYFUNCTION("IFNA(FILTER(IMPORTRANGE(""https://docs.google.com/spreadsheets/d/1kGrh75X1cNR1D7_FcY9zMnHP8iPO4M5RCRjy6nZY0TY/edit#gid=1248694442"",""Table 3: 1st-line HC!AI5:AI111""), $A64=IMPORTRANGE(""https://docs.google.com/spreadsheets/d/1kGrh75X1cNR1D7_FcY9zMnHP8iP"&amp;"O4M5RCRjy6nZY0TY/edit#gid=1248694442"",""Table 3: 1st-line HC!A5:A111"")),"""")"),"")</f>
        <v/>
      </c>
    </row>
    <row r="65">
      <c r="A65" s="4" t="str">
        <f>IFERROR(__xludf.DUMMYFUNCTION("""COMPUTED_VALUE"""),"ID 135")</f>
        <v>ID 135</v>
      </c>
      <c r="B65" s="14">
        <f>IFERROR(__xludf.DUMMYFUNCTION("IFNA(FILTER(IMPORTRANGE(""https://docs.google.com/spreadsheets/d/1kGrh75X1cNR1D7_FcY9zMnHP8iPO4M5RCRjy6nZY0TY/edit#gid=1248694442"",""Table 2: MMC!D5:D114""), $A65=IMPORTRANGE(""https://docs.google.com/spreadsheets/d/1kGrh75X1cNR1D7_FcY9zMnHP8iPO4M5RCRjy6"&amp;"nZY0TY/edit#gid=1248694442"",""Table 2: MMC!A5:A114"")),"""")"),3.0)</f>
        <v>3</v>
      </c>
      <c r="C65" s="14" t="str">
        <f>IFERROR(__xludf.DUMMYFUNCTION("IFNA(FILTER(IMPORTRANGE(""https://docs.google.com/spreadsheets/d/1kGrh75X1cNR1D7_FcY9zMnHP8iPO4M5RCRjy6nZY0TY/edit#gid=1248694442"",""Table 2: MMC!E5:E114""), $A65=IMPORTRANGE(""https://docs.google.com/spreadsheets/d/1kGrh75X1cNR1D7_FcY9zMnHP8iPO4M5RCRjy6"&amp;"nZY0TY/edit#gid=1248694442"",""Table 2: MMC!A5:A114"")),"""")"),"")</f>
        <v/>
      </c>
      <c r="D65" s="14" t="str">
        <f>IFERROR(__xludf.DUMMYFUNCTION("IFNA(FILTER(IMPORTRANGE(""https://docs.google.com/spreadsheets/d/1kGrh75X1cNR1D7_FcY9zMnHP8iPO4M5RCRjy6nZY0TY/edit#gid=1248694442"",""Table 2: MMC!F5:F114""), $A65=IMPORTRANGE(""https://docs.google.com/spreadsheets/d/1kGrh75X1cNR1D7_FcY9zMnHP8iPO4M5RCRjy6"&amp;"nZY0TY/edit#gid=1248694442"",""Table 2: MMC!A5:A114"")),"""")"),"")</f>
        <v/>
      </c>
      <c r="E65" s="14">
        <f>IFERROR(__xludf.DUMMYFUNCTION("IFNA(FILTER(IMPORTRANGE(""https://docs.google.com/spreadsheets/d/1kGrh75X1cNR1D7_FcY9zMnHP8iPO4M5RCRjy6nZY0TY/edit#gid=1248694442"",""Table 2: MMC!G5:G114""), $A65=IMPORTRANGE(""https://docs.google.com/spreadsheets/d/1kGrh75X1cNR1D7_FcY9zMnHP8iPO4M5RCRjy6"&amp;"nZY0TY/edit#gid=1248694442"",""Table 2: MMC!A5:A114"")),"""")"),47.0)</f>
        <v>47</v>
      </c>
      <c r="F65" s="14">
        <f>IFERROR(__xludf.DUMMYFUNCTION("IFNA(FILTER(IMPORTRANGE(""https://docs.google.com/spreadsheets/d/1kGrh75X1cNR1D7_FcY9zMnHP8iPO4M5RCRjy6nZY0TY/edit#gid=1248694442"",""Table 2: MMC!H5:H114""), $A65=IMPORTRANGE(""https://docs.google.com/spreadsheets/d/1kGrh75X1cNR1D7_FcY9zMnHP8iPO4M5RCRjy6"&amp;"nZY0TY/edit#gid=1248694442"",""Table 2: MMC!A5:A114"")),"""")"),25.0)</f>
        <v>25</v>
      </c>
      <c r="G65" s="14" t="str">
        <f>IFERROR(__xludf.DUMMYFUNCTION("IFNA(FILTER(IMPORTRANGE(""https://docs.google.com/spreadsheets/d/1kGrh75X1cNR1D7_FcY9zMnHP8iPO4M5RCRjy6nZY0TY/edit#gid=1248694442"",""Table 2: MMC!I5:I114""), $A65=IMPORTRANGE(""https://docs.google.com/spreadsheets/d/1kGrh75X1cNR1D7_FcY9zMnHP8iPO4M5RCRjy6"&amp;"nZY0TY/edit#gid=1248694442"",""Table 2: MMC!A5:A114"")),"""")"),"")</f>
        <v/>
      </c>
      <c r="H65" s="14" t="str">
        <f>IFERROR(__xludf.DUMMYFUNCTION("IFNA(FILTER(IMPORTRANGE(""https://docs.google.com/spreadsheets/d/1kGrh75X1cNR1D7_FcY9zMnHP8iPO4M5RCRjy6nZY0TY/edit#gid=1248694442"",""Table 2: MMC!J5:J114""), $A65=IMPORTRANGE(""https://docs.google.com/spreadsheets/d/1kGrh75X1cNR1D7_FcY9zMnHP8iPO4M5RCRjy6"&amp;"nZY0TY/edit#gid=1248694442"",""Table 2: MMC!A5:A114"")),"""")"),"post-natal")</f>
        <v>post-natal</v>
      </c>
      <c r="I65" s="14" t="str">
        <f>IFERROR(__xludf.DUMMYFUNCTION("IFNA(FILTER(IMPORTRANGE(""https://docs.google.com/spreadsheets/d/1kGrh75X1cNR1D7_FcY9zMnHP8iPO4M5RCRjy6nZY0TY/edit#gid=1248694442"",""Table 2: MMC!M5:M114""), $A65=IMPORTRANGE(""https://docs.google.com/spreadsheets/d/1kGrh75X1cNR1D7_FcY9zMnHP8iPO4M5RCRjy6"&amp;"nZY0TY/edit#gid=1248694442"",""Table 2: MMC!A5:A114"")),"""")"),"")</f>
        <v/>
      </c>
      <c r="J65" s="14" t="str">
        <f>IFERROR(__xludf.DUMMYFUNCTION("IFNA(FILTER(IMPORTRANGE(""https://docs.google.com/spreadsheets/d/1kGrh75X1cNR1D7_FcY9zMnHP8iPO4M5RCRjy6nZY0TY/edit#gid=1248694442"",""Table 2: MMC!Q5:Q114""), $A65=IMPORTRANGE(""https://docs.google.com/spreadsheets/d/1kGrh75X1cNR1D7_FcY9zMnHP8iPO4M5RCRjy6"&amp;"nZY0TY/edit#gid=1248694442"",""Table 2: MMC!A5:A114"")),"""")"),"")</f>
        <v/>
      </c>
      <c r="K65" s="14" t="str">
        <f>IFERROR(__xludf.DUMMYFUNCTION("IFNA(FILTER(IMPORTRANGE(""https://docs.google.com/spreadsheets/d/1kGrh75X1cNR1D7_FcY9zMnHP8iPO4M5RCRjy6nZY0TY/edit#gid=1248694442"",""Table 2: MMC!R5:R114""), $A65=IMPORTRANGE(""https://docs.google.com/spreadsheets/d/1kGrh75X1cNR1D7_FcY9zMnHP8iPO4M5RCRjy6"&amp;"nZY0TY/edit#gid=1248694442"",""Table 2: MMC!A5:A114"")),"""")"),"")</f>
        <v/>
      </c>
      <c r="L65" s="14" t="str">
        <f>IFERROR(__xludf.DUMMYFUNCTION("IFNA(FILTER(IMPORTRANGE(""https://docs.google.com/spreadsheets/d/1kGrh75X1cNR1D7_FcY9zMnHP8iPO4M5RCRjy6nZY0TY/edit#gid=1248694442"",""Table 2: MMC!S5:S114""), $A65=IMPORTRANGE(""https://docs.google.com/spreadsheets/d/1kGrh75X1cNR1D7_FcY9zMnHP8iPO4M5RCRjy6"&amp;"nZY0TY/edit#gid=1248694442"",""Table 2: MMC!A5:A114"")),"""")"),"")</f>
        <v/>
      </c>
      <c r="M65" s="14" t="str">
        <f>IFERROR(__xludf.DUMMYFUNCTION("IFNA(FILTER(IMPORTRANGE(""https://docs.google.com/spreadsheets/d/1kGrh75X1cNR1D7_FcY9zMnHP8iPO4M5RCRjy6nZY0TY/edit#gid=1248694442"",""Table 3: 1st-line HC!D5:D111""), $A65=IMPORTRANGE(""https://docs.google.com/spreadsheets/d/1kGrh75X1cNR1D7_FcY9zMnHP8iPO4"&amp;"M5RCRjy6nZY0TY/edit#gid=1248694442"",""Table 3: 1st-line HC!A5:A111"")),"""")"),"")</f>
        <v/>
      </c>
      <c r="N65" s="14" t="str">
        <f>IFERROR(__xludf.DUMMYFUNCTION("IFNA(FILTER(IMPORTRANGE(""https://docs.google.com/spreadsheets/d/1kGrh75X1cNR1D7_FcY9zMnHP8iPO4M5RCRjy6nZY0TY/edit#gid=1248694442"",""Table 3: 1st-line HC!E5:E111""), $A65=IMPORTRANGE(""https://docs.google.com/spreadsheets/d/1kGrh75X1cNR1D7_FcY9zMnHP8iPO4"&amp;"M5RCRjy6nZY0TY/edit#gid=1248694442"",""Table 3: 1st-line HC!A5:A111"")),"""")"),"")</f>
        <v/>
      </c>
      <c r="O65" s="14" t="str">
        <f>IFERROR(__xludf.DUMMYFUNCTION("IFNA(FILTER(IMPORTRANGE(""https://docs.google.com/spreadsheets/d/1kGrh75X1cNR1D7_FcY9zMnHP8iPO4M5RCRjy6nZY0TY/edit#gid=1248694442"",""Table 3: 1st-line HC!K5:K111""), $A65=IMPORTRANGE(""https://docs.google.com/spreadsheets/d/1kGrh75X1cNR1D7_FcY9zMnHP8iPO4"&amp;"M5RCRjy6nZY0TY/edit#gid=1248694442"",""Table 3: 1st-line HC!A5:A111"")),"""")"),"")</f>
        <v/>
      </c>
      <c r="P65" s="14" t="str">
        <f>IFERROR(__xludf.DUMMYFUNCTION("IFNA(FILTER(IMPORTRANGE(""https://docs.google.com/spreadsheets/d/1kGrh75X1cNR1D7_FcY9zMnHP8iPO4M5RCRjy6nZY0TY/edit#gid=1248694442"",""Table 3: 1st-line HC!L5:L111""), $A65=IMPORTRANGE(""https://docs.google.com/spreadsheets/d/1kGrh75X1cNR1D7_FcY9zMnHP8iPO4"&amp;"M5RCRjy6nZY0TY/edit#gid=1248694442"",""Table 3: 1st-line HC!A5:A111"")),"""")"),"")</f>
        <v/>
      </c>
      <c r="Q65" s="14" t="str">
        <f>IFERROR(__xludf.DUMMYFUNCTION("IFNA(FILTER(IMPORTRANGE(""https://docs.google.com/spreadsheets/d/1kGrh75X1cNR1D7_FcY9zMnHP8iPO4M5RCRjy6nZY0TY/edit#gid=1248694442"",""Table 3: 1st-line HC!M5:M111""), $A65=IMPORTRANGE(""https://docs.google.com/spreadsheets/d/1kGrh75X1cNR1D7_FcY9zMnHP8iPO4"&amp;"M5RCRjy6nZY0TY/edit#gid=1248694442"",""Table 3: 1st-line HC!A5:A111"")),"""")"),"")</f>
        <v/>
      </c>
      <c r="R65" s="14" t="str">
        <f>IFERROR(__xludf.DUMMYFUNCTION("IFNA(FILTER(IMPORTRANGE(""https://docs.google.com/spreadsheets/d/1kGrh75X1cNR1D7_FcY9zMnHP8iPO4M5RCRjy6nZY0TY/edit#gid=1248694442"",""Table 3: 1st-line HC!N5:N111""), $A65=IMPORTRANGE(""https://docs.google.com/spreadsheets/d/1kGrh75X1cNR1D7_FcY9zMnHP8iPO4"&amp;"M5RCRjy6nZY0TY/edit#gid=1248694442"",""Table 3: 1st-line HC!A5:A111"")),"""")"),"")</f>
        <v/>
      </c>
      <c r="S65" s="14" t="str">
        <f>IFERROR(__xludf.DUMMYFUNCTION("IFNA(FILTER(IMPORTRANGE(""https://docs.google.com/spreadsheets/d/1kGrh75X1cNR1D7_FcY9zMnHP8iPO4M5RCRjy6nZY0TY/edit#gid=1248694442"",""Table 3: 1st-line HC!T5:T111""), $A65=IMPORTRANGE(""https://docs.google.com/spreadsheets/d/1kGrh75X1cNR1D7_FcY9zMnHP8iPO4"&amp;"M5RCRjy6nZY0TY/edit#gid=1248694442"",""Table 3: 1st-line HC!A5:A111"")),"""")"),"")</f>
        <v/>
      </c>
      <c r="T65" s="14" t="str">
        <f>IFERROR(__xludf.DUMMYFUNCTION("IFNA(FILTER(IMPORTRANGE(""https://docs.google.com/spreadsheets/d/1kGrh75X1cNR1D7_FcY9zMnHP8iPO4M5RCRjy6nZY0TY/edit#gid=1248694442"",""Table 3: 1st-line HC!U5:U111""), $A65=IMPORTRANGE(""https://docs.google.com/spreadsheets/d/1kGrh75X1cNR1D7_FcY9zMnHP8iPO4"&amp;"M5RCRjy6nZY0TY/edit#gid=1248694442"",""Table 3: 1st-line HC!A5:A111"")),"""")"),"")</f>
        <v/>
      </c>
      <c r="U65" s="14" t="str">
        <f>IFERROR(__xludf.DUMMYFUNCTION("IFNA(FILTER(IMPORTRANGE(""https://docs.google.com/spreadsheets/d/1kGrh75X1cNR1D7_FcY9zMnHP8iPO4M5RCRjy6nZY0TY/edit#gid=1248694442"",""Table 3: 1st-line HC!V5:V111""), $A65=IMPORTRANGE(""https://docs.google.com/spreadsheets/d/1kGrh75X1cNR1D7_FcY9zMnHP8iPO4"&amp;"M5RCRjy6nZY0TY/edit#gid=1248694442"",""Table 3: 1st-line HC!A5:A111"")),"""")"),"")</f>
        <v/>
      </c>
      <c r="V65" s="14" t="str">
        <f>IFERROR(__xludf.DUMMYFUNCTION("IFNA(FILTER(IMPORTRANGE(""https://docs.google.com/spreadsheets/d/1kGrh75X1cNR1D7_FcY9zMnHP8iPO4M5RCRjy6nZY0TY/edit#gid=1248694442"",""Table 3: 1st-line HC!AE5:AE111""), $A65=IMPORTRANGE(""https://docs.google.com/spreadsheets/d/1kGrh75X1cNR1D7_FcY9zMnHP8iP"&amp;"O4M5RCRjy6nZY0TY/edit#gid=1248694442"",""Table 3: 1st-line HC!A5:A111"")),"""")"),"")</f>
        <v/>
      </c>
      <c r="W65" s="14" t="str">
        <f>IFERROR(__xludf.DUMMYFUNCTION("IFNA(FILTER(IMPORTRANGE(""https://docs.google.com/spreadsheets/d/1kGrh75X1cNR1D7_FcY9zMnHP8iPO4M5RCRjy6nZY0TY/edit#gid=1248694442"",""Table 3: 1st-line HC!AG5:AG111""), $A65=IMPORTRANGE(""https://docs.google.com/spreadsheets/d/1kGrh75X1cNR1D7_FcY9zMnHP8iP"&amp;"O4M5RCRjy6nZY0TY/edit#gid=1248694442"",""Table 3: 1st-line HC!A5:A111"")),"""")"),"")</f>
        <v/>
      </c>
      <c r="X65" s="14" t="str">
        <f>IFERROR(__xludf.DUMMYFUNCTION("IFNA(FILTER(IMPORTRANGE(""https://docs.google.com/spreadsheets/d/1kGrh75X1cNR1D7_FcY9zMnHP8iPO4M5RCRjy6nZY0TY/edit#gid=1248694442"",""Table 3: 1st-line HC!AI5:AI111""), $A65=IMPORTRANGE(""https://docs.google.com/spreadsheets/d/1kGrh75X1cNR1D7_FcY9zMnHP8iP"&amp;"O4M5RCRjy6nZY0TY/edit#gid=1248694442"",""Table 3: 1st-line HC!A5:A111"")),"""")"),"")</f>
        <v/>
      </c>
    </row>
    <row r="66">
      <c r="A66" s="4" t="str">
        <f>IFERROR(__xludf.DUMMYFUNCTION("""COMPUTED_VALUE"""),"ID 146")</f>
        <v>ID 146</v>
      </c>
      <c r="B66" s="14" t="str">
        <f>IFERROR(__xludf.DUMMYFUNCTION("IFNA(FILTER(IMPORTRANGE(""https://docs.google.com/spreadsheets/d/1kGrh75X1cNR1D7_FcY9zMnHP8iPO4M5RCRjy6nZY0TY/edit#gid=1248694442"",""Table 2: MMC!D5:D114""), $A66=IMPORTRANGE(""https://docs.google.com/spreadsheets/d/1kGrh75X1cNR1D7_FcY9zMnHP8iPO4M5RCRjy6"&amp;"nZY0TY/edit#gid=1248694442"",""Table 2: MMC!A5:A114"")),"""")"),"")</f>
        <v/>
      </c>
      <c r="C66" s="14" t="str">
        <f>IFERROR(__xludf.DUMMYFUNCTION("IFNA(FILTER(IMPORTRANGE(""https://docs.google.com/spreadsheets/d/1kGrh75X1cNR1D7_FcY9zMnHP8iPO4M5RCRjy6nZY0TY/edit#gid=1248694442"",""Table 2: MMC!E5:E114""), $A66=IMPORTRANGE(""https://docs.google.com/spreadsheets/d/1kGrh75X1cNR1D7_FcY9zMnHP8iPO4M5RCRjy6"&amp;"nZY0TY/edit#gid=1248694442"",""Table 2: MMC!A5:A114"")),"""")"),"")</f>
        <v/>
      </c>
      <c r="D66" s="14" t="str">
        <f>IFERROR(__xludf.DUMMYFUNCTION("IFNA(FILTER(IMPORTRANGE(""https://docs.google.com/spreadsheets/d/1kGrh75X1cNR1D7_FcY9zMnHP8iPO4M5RCRjy6nZY0TY/edit#gid=1248694442"",""Table 2: MMC!F5:F114""), $A66=IMPORTRANGE(""https://docs.google.com/spreadsheets/d/1kGrh75X1cNR1D7_FcY9zMnHP8iPO4M5RCRjy6"&amp;"nZY0TY/edit#gid=1248694442"",""Table 2: MMC!A5:A114"")),"""")"),"")</f>
        <v/>
      </c>
      <c r="E66" s="14" t="str">
        <f>IFERROR(__xludf.DUMMYFUNCTION("IFNA(FILTER(IMPORTRANGE(""https://docs.google.com/spreadsheets/d/1kGrh75X1cNR1D7_FcY9zMnHP8iPO4M5RCRjy6nZY0TY/edit#gid=1248694442"",""Table 2: MMC!G5:G114""), $A66=IMPORTRANGE(""https://docs.google.com/spreadsheets/d/1kGrh75X1cNR1D7_FcY9zMnHP8iPO4M5RCRjy6"&amp;"nZY0TY/edit#gid=1248694442"",""Table 2: MMC!A5:A114"")),"""")"),"")</f>
        <v/>
      </c>
      <c r="F66" s="14">
        <f>IFERROR(__xludf.DUMMYFUNCTION("IFNA(FILTER(IMPORTRANGE(""https://docs.google.com/spreadsheets/d/1kGrh75X1cNR1D7_FcY9zMnHP8iPO4M5RCRjy6nZY0TY/edit#gid=1248694442"",""Table 2: MMC!H5:H114""), $A66=IMPORTRANGE(""https://docs.google.com/spreadsheets/d/1kGrh75X1cNR1D7_FcY9zMnHP8iPO4M5RCRjy6"&amp;"nZY0TY/edit#gid=1248694442"",""Table 2: MMC!A5:A114"")),"""")"),9.0)</f>
        <v>9</v>
      </c>
      <c r="G66" s="14" t="str">
        <f>IFERROR(__xludf.DUMMYFUNCTION("IFNA(FILTER(IMPORTRANGE(""https://docs.google.com/spreadsheets/d/1kGrh75X1cNR1D7_FcY9zMnHP8iPO4M5RCRjy6nZY0TY/edit#gid=1248694442"",""Table 2: MMC!I5:I114""), $A66=IMPORTRANGE(""https://docs.google.com/spreadsheets/d/1kGrh75X1cNR1D7_FcY9zMnHP8iPO4M5RCRjy6"&amp;"nZY0TY/edit#gid=1248694442"",""Table 2: MMC!A5:A114"")),"""")"),"")</f>
        <v/>
      </c>
      <c r="H66" s="14" t="str">
        <f>IFERROR(__xludf.DUMMYFUNCTION("IFNA(FILTER(IMPORTRANGE(""https://docs.google.com/spreadsheets/d/1kGrh75X1cNR1D7_FcY9zMnHP8iPO4M5RCRjy6nZY0TY/edit#gid=1248694442"",""Table 2: MMC!J5:J114""), $A66=IMPORTRANGE(""https://docs.google.com/spreadsheets/d/1kGrh75X1cNR1D7_FcY9zMnHP8iPO4M5RCRjy6"&amp;"nZY0TY/edit#gid=1248694442"",""Table 2: MMC!A5:A114"")),"""")"),"post-natal")</f>
        <v>post-natal</v>
      </c>
      <c r="I66" s="14" t="str">
        <f>IFERROR(__xludf.DUMMYFUNCTION("IFNA(FILTER(IMPORTRANGE(""https://docs.google.com/spreadsheets/d/1kGrh75X1cNR1D7_FcY9zMnHP8iPO4M5RCRjy6nZY0TY/edit#gid=1248694442"",""Table 2: MMC!M5:M114""), $A66=IMPORTRANGE(""https://docs.google.com/spreadsheets/d/1kGrh75X1cNR1D7_FcY9zMnHP8iPO4M5RCRjy6"&amp;"nZY0TY/edit#gid=1248694442"",""Table 2: MMC!A5:A114"")),"""")"),"")</f>
        <v/>
      </c>
      <c r="J66" s="14">
        <f>IFERROR(__xludf.DUMMYFUNCTION("IFNA(FILTER(IMPORTRANGE(""https://docs.google.com/spreadsheets/d/1kGrh75X1cNR1D7_FcY9zMnHP8iPO4M5RCRjy6nZY0TY/edit#gid=1248694442"",""Table 2: MMC!Q5:Q114""), $A66=IMPORTRANGE(""https://docs.google.com/spreadsheets/d/1kGrh75X1cNR1D7_FcY9zMnHP8iPO4M5RCRjy6"&amp;"nZY0TY/edit#gid=1248694442"",""Table 2: MMC!A5:A114"")),"""")"),0.0)</f>
        <v>0</v>
      </c>
      <c r="K66" s="14">
        <f>IFERROR(__xludf.DUMMYFUNCTION("IFNA(FILTER(IMPORTRANGE(""https://docs.google.com/spreadsheets/d/1kGrh75X1cNR1D7_FcY9zMnHP8iPO4M5RCRjy6nZY0TY/edit#gid=1248694442"",""Table 2: MMC!R5:R114""), $A66=IMPORTRANGE(""https://docs.google.com/spreadsheets/d/1kGrh75X1cNR1D7_FcY9zMnHP8iPO4M5RCRjy6"&amp;"nZY0TY/edit#gid=1248694442"",""Table 2: MMC!A5:A114"")),"""")"),0.0)</f>
        <v>0</v>
      </c>
      <c r="L66" s="14" t="str">
        <f>IFERROR(__xludf.DUMMYFUNCTION("IFNA(FILTER(IMPORTRANGE(""https://docs.google.com/spreadsheets/d/1kGrh75X1cNR1D7_FcY9zMnHP8iPO4M5RCRjy6nZY0TY/edit#gid=1248694442"",""Table 2: MMC!S5:S114""), $A66=IMPORTRANGE(""https://docs.google.com/spreadsheets/d/1kGrh75X1cNR1D7_FcY9zMnHP8iPO4M5RCRjy6"&amp;"nZY0TY/edit#gid=1248694442"",""Table 2: MMC!A5:A114"")),"""")"),"")</f>
        <v/>
      </c>
      <c r="M66" s="14" t="str">
        <f>IFERROR(__xludf.DUMMYFUNCTION("IFNA(FILTER(IMPORTRANGE(""https://docs.google.com/spreadsheets/d/1kGrh75X1cNR1D7_FcY9zMnHP8iPO4M5RCRjy6nZY0TY/edit#gid=1248694442"",""Table 3: 1st-line HC!D5:D111""), $A66=IMPORTRANGE(""https://docs.google.com/spreadsheets/d/1kGrh75X1cNR1D7_FcY9zMnHP8iPO4"&amp;"M5RCRjy6nZY0TY/edit#gid=1248694442"",""Table 3: 1st-line HC!A5:A111"")),"""")"),"")</f>
        <v/>
      </c>
      <c r="N66" s="14" t="str">
        <f>IFERROR(__xludf.DUMMYFUNCTION("IFNA(FILTER(IMPORTRANGE(""https://docs.google.com/spreadsheets/d/1kGrh75X1cNR1D7_FcY9zMnHP8iPO4M5RCRjy6nZY0TY/edit#gid=1248694442"",""Table 3: 1st-line HC!E5:E111""), $A66=IMPORTRANGE(""https://docs.google.com/spreadsheets/d/1kGrh75X1cNR1D7_FcY9zMnHP8iPO4"&amp;"M5RCRjy6nZY0TY/edit#gid=1248694442"",""Table 3: 1st-line HC!A5:A111"")),"""")"),"")</f>
        <v/>
      </c>
      <c r="O66" s="14" t="str">
        <f>IFERROR(__xludf.DUMMYFUNCTION("IFNA(FILTER(IMPORTRANGE(""https://docs.google.com/spreadsheets/d/1kGrh75X1cNR1D7_FcY9zMnHP8iPO4M5RCRjy6nZY0TY/edit#gid=1248694442"",""Table 3: 1st-line HC!K5:K111""), $A66=IMPORTRANGE(""https://docs.google.com/spreadsheets/d/1kGrh75X1cNR1D7_FcY9zMnHP8iPO4"&amp;"M5RCRjy6nZY0TY/edit#gid=1248694442"",""Table 3: 1st-line HC!A5:A111"")),"""")"),"")</f>
        <v/>
      </c>
      <c r="P66" s="14" t="str">
        <f>IFERROR(__xludf.DUMMYFUNCTION("IFNA(FILTER(IMPORTRANGE(""https://docs.google.com/spreadsheets/d/1kGrh75X1cNR1D7_FcY9zMnHP8iPO4M5RCRjy6nZY0TY/edit#gid=1248694442"",""Table 3: 1st-line HC!L5:L111""), $A66=IMPORTRANGE(""https://docs.google.com/spreadsheets/d/1kGrh75X1cNR1D7_FcY9zMnHP8iPO4"&amp;"M5RCRjy6nZY0TY/edit#gid=1248694442"",""Table 3: 1st-line HC!A5:A111"")),"""")"),"")</f>
        <v/>
      </c>
      <c r="Q66" s="14" t="str">
        <f>IFERROR(__xludf.DUMMYFUNCTION("IFNA(FILTER(IMPORTRANGE(""https://docs.google.com/spreadsheets/d/1kGrh75X1cNR1D7_FcY9zMnHP8iPO4M5RCRjy6nZY0TY/edit#gid=1248694442"",""Table 3: 1st-line HC!M5:M111""), $A66=IMPORTRANGE(""https://docs.google.com/spreadsheets/d/1kGrh75X1cNR1D7_FcY9zMnHP8iPO4"&amp;"M5RCRjy6nZY0TY/edit#gid=1248694442"",""Table 3: 1st-line HC!A5:A111"")),"""")"),"")</f>
        <v/>
      </c>
      <c r="R66" s="14" t="str">
        <f>IFERROR(__xludf.DUMMYFUNCTION("IFNA(FILTER(IMPORTRANGE(""https://docs.google.com/spreadsheets/d/1kGrh75X1cNR1D7_FcY9zMnHP8iPO4M5RCRjy6nZY0TY/edit#gid=1248694442"",""Table 3: 1st-line HC!N5:N111""), $A66=IMPORTRANGE(""https://docs.google.com/spreadsheets/d/1kGrh75X1cNR1D7_FcY9zMnHP8iPO4"&amp;"M5RCRjy6nZY0TY/edit#gid=1248694442"",""Table 3: 1st-line HC!A5:A111"")),"""")"),"")</f>
        <v/>
      </c>
      <c r="S66" s="14" t="str">
        <f>IFERROR(__xludf.DUMMYFUNCTION("IFNA(FILTER(IMPORTRANGE(""https://docs.google.com/spreadsheets/d/1kGrh75X1cNR1D7_FcY9zMnHP8iPO4M5RCRjy6nZY0TY/edit#gid=1248694442"",""Table 3: 1st-line HC!T5:T111""), $A66=IMPORTRANGE(""https://docs.google.com/spreadsheets/d/1kGrh75X1cNR1D7_FcY9zMnHP8iPO4"&amp;"M5RCRjy6nZY0TY/edit#gid=1248694442"",""Table 3: 1st-line HC!A5:A111"")),"""")"),"")</f>
        <v/>
      </c>
      <c r="T66" s="14" t="str">
        <f>IFERROR(__xludf.DUMMYFUNCTION("IFNA(FILTER(IMPORTRANGE(""https://docs.google.com/spreadsheets/d/1kGrh75X1cNR1D7_FcY9zMnHP8iPO4M5RCRjy6nZY0TY/edit#gid=1248694442"",""Table 3: 1st-line HC!U5:U111""), $A66=IMPORTRANGE(""https://docs.google.com/spreadsheets/d/1kGrh75X1cNR1D7_FcY9zMnHP8iPO4"&amp;"M5RCRjy6nZY0TY/edit#gid=1248694442"",""Table 3: 1st-line HC!A5:A111"")),"""")"),"")</f>
        <v/>
      </c>
      <c r="U66" s="14" t="str">
        <f>IFERROR(__xludf.DUMMYFUNCTION("IFNA(FILTER(IMPORTRANGE(""https://docs.google.com/spreadsheets/d/1kGrh75X1cNR1D7_FcY9zMnHP8iPO4M5RCRjy6nZY0TY/edit#gid=1248694442"",""Table 3: 1st-line HC!V5:V111""), $A66=IMPORTRANGE(""https://docs.google.com/spreadsheets/d/1kGrh75X1cNR1D7_FcY9zMnHP8iPO4"&amp;"M5RCRjy6nZY0TY/edit#gid=1248694442"",""Table 3: 1st-line HC!A5:A111"")),"""")"),"")</f>
        <v/>
      </c>
      <c r="V66" s="14">
        <f>IFERROR(__xludf.DUMMYFUNCTION("IFNA(FILTER(IMPORTRANGE(""https://docs.google.com/spreadsheets/d/1kGrh75X1cNR1D7_FcY9zMnHP8iPO4M5RCRjy6nZY0TY/edit#gid=1248694442"",""Table 3: 1st-line HC!AE5:AE111""), $A66=IMPORTRANGE(""https://docs.google.com/spreadsheets/d/1kGrh75X1cNR1D7_FcY9zMnHP8iP"&amp;"O4M5RCRjy6nZY0TY/edit#gid=1248694442"",""Table 3: 1st-line HC!A5:A111"")),"""")"),125.0)</f>
        <v>125</v>
      </c>
      <c r="W66" s="14" t="str">
        <f>IFERROR(__xludf.DUMMYFUNCTION("IFNA(FILTER(IMPORTRANGE(""https://docs.google.com/spreadsheets/d/1kGrh75X1cNR1D7_FcY9zMnHP8iPO4M5RCRjy6nZY0TY/edit#gid=1248694442"",""Table 3: 1st-line HC!AG5:AG111""), $A66=IMPORTRANGE(""https://docs.google.com/spreadsheets/d/1kGrh75X1cNR1D7_FcY9zMnHP8iP"&amp;"O4M5RCRjy6nZY0TY/edit#gid=1248694442"",""Table 3: 1st-line HC!A5:A111"")),"""")"),"")</f>
        <v/>
      </c>
      <c r="X66" s="14">
        <f>IFERROR(__xludf.DUMMYFUNCTION("IFNA(FILTER(IMPORTRANGE(""https://docs.google.com/spreadsheets/d/1kGrh75X1cNR1D7_FcY9zMnHP8iPO4M5RCRjy6nZY0TY/edit#gid=1248694442"",""Table 3: 1st-line HC!AI5:AI111""), $A66=IMPORTRANGE(""https://docs.google.com/spreadsheets/d/1kGrh75X1cNR1D7_FcY9zMnHP8iP"&amp;"O4M5RCRjy6nZY0TY/edit#gid=1248694442"",""Table 3: 1st-line HC!A5:A111"")),"""")"),52.0)</f>
        <v>52</v>
      </c>
    </row>
    <row r="67">
      <c r="A67" s="4" t="str">
        <f>IFERROR(__xludf.DUMMYFUNCTION("""COMPUTED_VALUE"""),"ID 149")</f>
        <v>ID 149</v>
      </c>
      <c r="B67" s="14" t="str">
        <f>IFERROR(__xludf.DUMMYFUNCTION("IFNA(FILTER(IMPORTRANGE(""https://docs.google.com/spreadsheets/d/1kGrh75X1cNR1D7_FcY9zMnHP8iPO4M5RCRjy6nZY0TY/edit#gid=1248694442"",""Table 2: MMC!D5:D114""), $A67=IMPORTRANGE(""https://docs.google.com/spreadsheets/d/1kGrh75X1cNR1D7_FcY9zMnHP8iPO4M5RCRjy6"&amp;"nZY0TY/edit#gid=1248694442"",""Table 2: MMC!A5:A114"")),"""")"),"")</f>
        <v/>
      </c>
      <c r="C67" s="14">
        <f>IFERROR(__xludf.DUMMYFUNCTION("IFNA(FILTER(IMPORTRANGE(""https://docs.google.com/spreadsheets/d/1kGrh75X1cNR1D7_FcY9zMnHP8iPO4M5RCRjy6nZY0TY/edit#gid=1248694442"",""Table 2: MMC!E5:E114""), $A67=IMPORTRANGE(""https://docs.google.com/spreadsheets/d/1kGrh75X1cNR1D7_FcY9zMnHP8iPO4M5RCRjy6"&amp;"nZY0TY/edit#gid=1248694442"",""Table 2: MMC!A5:A114"")),"""")"),1.0)</f>
        <v>1</v>
      </c>
      <c r="D67" s="14">
        <f>IFERROR(__xludf.DUMMYFUNCTION("IFNA(FILTER(IMPORTRANGE(""https://docs.google.com/spreadsheets/d/1kGrh75X1cNR1D7_FcY9zMnHP8iPO4M5RCRjy6nZY0TY/edit#gid=1248694442"",""Table 2: MMC!F5:F114""), $A67=IMPORTRANGE(""https://docs.google.com/spreadsheets/d/1kGrh75X1cNR1D7_FcY9zMnHP8iPO4M5RCRjy6"&amp;"nZY0TY/edit#gid=1248694442"",""Table 2: MMC!A5:A114"")),"""")"),10.0)</f>
        <v>10</v>
      </c>
      <c r="E67" s="14">
        <f>IFERROR(__xludf.DUMMYFUNCTION("IFNA(FILTER(IMPORTRANGE(""https://docs.google.com/spreadsheets/d/1kGrh75X1cNR1D7_FcY9zMnHP8iPO4M5RCRjy6nZY0TY/edit#gid=1248694442"",""Table 2: MMC!G5:G114""), $A67=IMPORTRANGE(""https://docs.google.com/spreadsheets/d/1kGrh75X1cNR1D7_FcY9zMnHP8iPO4M5RCRjy6"&amp;"nZY0TY/edit#gid=1248694442"",""Table 2: MMC!A5:A114"")),"""")"),11.0)</f>
        <v>11</v>
      </c>
      <c r="F67" s="14">
        <f>IFERROR(__xludf.DUMMYFUNCTION("IFNA(FILTER(IMPORTRANGE(""https://docs.google.com/spreadsheets/d/1kGrh75X1cNR1D7_FcY9zMnHP8iPO4M5RCRjy6nZY0TY/edit#gid=1248694442"",""Table 2: MMC!H5:H114""), $A67=IMPORTRANGE(""https://docs.google.com/spreadsheets/d/1kGrh75X1cNR1D7_FcY9zMnHP8iPO4M5RCRjy6"&amp;"nZY0TY/edit#gid=1248694442"",""Table 2: MMC!A5:A114"")),"""")"),22.0)</f>
        <v>22</v>
      </c>
      <c r="G67" s="14">
        <f>IFERROR(__xludf.DUMMYFUNCTION("IFNA(FILTER(IMPORTRANGE(""https://docs.google.com/spreadsheets/d/1kGrh75X1cNR1D7_FcY9zMnHP8iPO4M5RCRjy6nZY0TY/edit#gid=1248694442"",""Table 2: MMC!I5:I114""), $A67=IMPORTRANGE(""https://docs.google.com/spreadsheets/d/1kGrh75X1cNR1D7_FcY9zMnHP8iPO4M5RCRjy6"&amp;"nZY0TY/edit#gid=1248694442"",""Table 2: MMC!A5:A114"")),"""")"),10.0)</f>
        <v>10</v>
      </c>
      <c r="H67" s="14" t="str">
        <f>IFERROR(__xludf.DUMMYFUNCTION("IFNA(FILTER(IMPORTRANGE(""https://docs.google.com/spreadsheets/d/1kGrh75X1cNR1D7_FcY9zMnHP8iPO4M5RCRjy6nZY0TY/edit#gid=1248694442"",""Table 2: MMC!J5:J114""), $A67=IMPORTRANGE(""https://docs.google.com/spreadsheets/d/1kGrh75X1cNR1D7_FcY9zMnHP8iPO4M5RCRjy6"&amp;"nZY0TY/edit#gid=1248694442"",""Table 2: MMC!A5:A114"")),"""")"),"post-natal")</f>
        <v>post-natal</v>
      </c>
      <c r="I67" s="14" t="str">
        <f>IFERROR(__xludf.DUMMYFUNCTION("IFNA(FILTER(IMPORTRANGE(""https://docs.google.com/spreadsheets/d/1kGrh75X1cNR1D7_FcY9zMnHP8iPO4M5RCRjy6nZY0TY/edit#gid=1248694442"",""Table 2: MMC!M5:M114""), $A67=IMPORTRANGE(""https://docs.google.com/spreadsheets/d/1kGrh75X1cNR1D7_FcY9zMnHP8iPO4M5RCRjy6"&amp;"nZY0TY/edit#gid=1248694442"",""Table 2: MMC!A5:A114"")),"""")"),"")</f>
        <v/>
      </c>
      <c r="J67" s="14" t="str">
        <f>IFERROR(__xludf.DUMMYFUNCTION("IFNA(FILTER(IMPORTRANGE(""https://docs.google.com/spreadsheets/d/1kGrh75X1cNR1D7_FcY9zMnHP8iPO4M5RCRjy6nZY0TY/edit#gid=1248694442"",""Table 2: MMC!Q5:Q114""), $A67=IMPORTRANGE(""https://docs.google.com/spreadsheets/d/1kGrh75X1cNR1D7_FcY9zMnHP8iPO4M5RCRjy6"&amp;"nZY0TY/edit#gid=1248694442"",""Table 2: MMC!A5:A114"")),"""")"),"")</f>
        <v/>
      </c>
      <c r="K67" s="14" t="str">
        <f>IFERROR(__xludf.DUMMYFUNCTION("IFNA(FILTER(IMPORTRANGE(""https://docs.google.com/spreadsheets/d/1kGrh75X1cNR1D7_FcY9zMnHP8iPO4M5RCRjy6nZY0TY/edit#gid=1248694442"",""Table 2: MMC!R5:R114""), $A67=IMPORTRANGE(""https://docs.google.com/spreadsheets/d/1kGrh75X1cNR1D7_FcY9zMnHP8iPO4M5RCRjy6"&amp;"nZY0TY/edit#gid=1248694442"",""Table 2: MMC!A5:A114"")),"""")"),"")</f>
        <v/>
      </c>
      <c r="L67" s="14" t="str">
        <f>IFERROR(__xludf.DUMMYFUNCTION("IFNA(FILTER(IMPORTRANGE(""https://docs.google.com/spreadsheets/d/1kGrh75X1cNR1D7_FcY9zMnHP8iPO4M5RCRjy6nZY0TY/edit#gid=1248694442"",""Table 2: MMC!S5:S114""), $A67=IMPORTRANGE(""https://docs.google.com/spreadsheets/d/1kGrh75X1cNR1D7_FcY9zMnHP8iPO4M5RCRjy6"&amp;"nZY0TY/edit#gid=1248694442"",""Table 2: MMC!A5:A114"")),"""")"),"")</f>
        <v/>
      </c>
      <c r="M67" s="14" t="str">
        <f>IFERROR(__xludf.DUMMYFUNCTION("IFNA(FILTER(IMPORTRANGE(""https://docs.google.com/spreadsheets/d/1kGrh75X1cNR1D7_FcY9zMnHP8iPO4M5RCRjy6nZY0TY/edit#gid=1248694442"",""Table 3: 1st-line HC!D5:D111""), $A67=IMPORTRANGE(""https://docs.google.com/spreadsheets/d/1kGrh75X1cNR1D7_FcY9zMnHP8iPO4"&amp;"M5RCRjy6nZY0TY/edit#gid=1248694442"",""Table 3: 1st-line HC!A5:A111"")),"""")"),"")</f>
        <v/>
      </c>
      <c r="N67" s="14" t="str">
        <f>IFERROR(__xludf.DUMMYFUNCTION("IFNA(FILTER(IMPORTRANGE(""https://docs.google.com/spreadsheets/d/1kGrh75X1cNR1D7_FcY9zMnHP8iPO4M5RCRjy6nZY0TY/edit#gid=1248694442"",""Table 3: 1st-line HC!E5:E111""), $A67=IMPORTRANGE(""https://docs.google.com/spreadsheets/d/1kGrh75X1cNR1D7_FcY9zMnHP8iPO4"&amp;"M5RCRjy6nZY0TY/edit#gid=1248694442"",""Table 3: 1st-line HC!A5:A111"")),"""")"),"")</f>
        <v/>
      </c>
      <c r="O67" s="14">
        <f>IFERROR(__xludf.DUMMYFUNCTION("IFNA(FILTER(IMPORTRANGE(""https://docs.google.com/spreadsheets/d/1kGrh75X1cNR1D7_FcY9zMnHP8iPO4M5RCRjy6nZY0TY/edit#gid=1248694442"",""Table 3: 1st-line HC!K5:K111""), $A67=IMPORTRANGE(""https://docs.google.com/spreadsheets/d/1kGrh75X1cNR1D7_FcY9zMnHP8iPO4"&amp;"M5RCRjy6nZY0TY/edit#gid=1248694442"",""Table 3: 1st-line HC!A5:A111"")),"""")"),37.0)</f>
        <v>37</v>
      </c>
      <c r="P67" s="14">
        <f>IFERROR(__xludf.DUMMYFUNCTION("IFNA(FILTER(IMPORTRANGE(""https://docs.google.com/spreadsheets/d/1kGrh75X1cNR1D7_FcY9zMnHP8iPO4M5RCRjy6nZY0TY/edit#gid=1248694442"",""Table 3: 1st-line HC!L5:L111""), $A67=IMPORTRANGE(""https://docs.google.com/spreadsheets/d/1kGrh75X1cNR1D7_FcY9zMnHP8iPO4"&amp;"M5RCRjy6nZY0TY/edit#gid=1248694442"",""Table 3: 1st-line HC!A5:A111"")),"""")"),37.0)</f>
        <v>37</v>
      </c>
      <c r="Q67" s="14" t="str">
        <f>IFERROR(__xludf.DUMMYFUNCTION("IFNA(FILTER(IMPORTRANGE(""https://docs.google.com/spreadsheets/d/1kGrh75X1cNR1D7_FcY9zMnHP8iPO4M5RCRjy6nZY0TY/edit#gid=1248694442"",""Table 3: 1st-line HC!M5:M111""), $A67=IMPORTRANGE(""https://docs.google.com/spreadsheets/d/1kGrh75X1cNR1D7_FcY9zMnHP8iPO4"&amp;"M5RCRjy6nZY0TY/edit#gid=1248694442"",""Table 3: 1st-line HC!A5:A111"")),"""")"),"")</f>
        <v/>
      </c>
      <c r="R67" s="14" t="str">
        <f>IFERROR(__xludf.DUMMYFUNCTION("IFNA(FILTER(IMPORTRANGE(""https://docs.google.com/spreadsheets/d/1kGrh75X1cNR1D7_FcY9zMnHP8iPO4M5RCRjy6nZY0TY/edit#gid=1248694442"",""Table 3: 1st-line HC!N5:N111""), $A67=IMPORTRANGE(""https://docs.google.com/spreadsheets/d/1kGrh75X1cNR1D7_FcY9zMnHP8iPO4"&amp;"M5RCRjy6nZY0TY/edit#gid=1248694442"",""Table 3: 1st-line HC!A5:A111"")),"""")"),"")</f>
        <v/>
      </c>
      <c r="S67" s="14" t="str">
        <f>IFERROR(__xludf.DUMMYFUNCTION("IFNA(FILTER(IMPORTRANGE(""https://docs.google.com/spreadsheets/d/1kGrh75X1cNR1D7_FcY9zMnHP8iPO4M5RCRjy6nZY0TY/edit#gid=1248694442"",""Table 3: 1st-line HC!T5:T111""), $A67=IMPORTRANGE(""https://docs.google.com/spreadsheets/d/1kGrh75X1cNR1D7_FcY9zMnHP8iPO4"&amp;"M5RCRjy6nZY0TY/edit#gid=1248694442"",""Table 3: 1st-line HC!A5:A111"")),"""")"),"")</f>
        <v/>
      </c>
      <c r="T67" s="14" t="str">
        <f>IFERROR(__xludf.DUMMYFUNCTION("IFNA(FILTER(IMPORTRANGE(""https://docs.google.com/spreadsheets/d/1kGrh75X1cNR1D7_FcY9zMnHP8iPO4M5RCRjy6nZY0TY/edit#gid=1248694442"",""Table 3: 1st-line HC!U5:U111""), $A67=IMPORTRANGE(""https://docs.google.com/spreadsheets/d/1kGrh75X1cNR1D7_FcY9zMnHP8iPO4"&amp;"M5RCRjy6nZY0TY/edit#gid=1248694442"",""Table 3: 1st-line HC!A5:A111"")),"""")"),"")</f>
        <v/>
      </c>
      <c r="U67" s="14" t="str">
        <f>IFERROR(__xludf.DUMMYFUNCTION("IFNA(FILTER(IMPORTRANGE(""https://docs.google.com/spreadsheets/d/1kGrh75X1cNR1D7_FcY9zMnHP8iPO4M5RCRjy6nZY0TY/edit#gid=1248694442"",""Table 3: 1st-line HC!V5:V111""), $A67=IMPORTRANGE(""https://docs.google.com/spreadsheets/d/1kGrh75X1cNR1D7_FcY9zMnHP8iPO4"&amp;"M5RCRjy6nZY0TY/edit#gid=1248694442"",""Table 3: 1st-line HC!A5:A111"")),"""")"),"")</f>
        <v/>
      </c>
      <c r="V67" s="14" t="str">
        <f>IFERROR(__xludf.DUMMYFUNCTION("IFNA(FILTER(IMPORTRANGE(""https://docs.google.com/spreadsheets/d/1kGrh75X1cNR1D7_FcY9zMnHP8iPO4M5RCRjy6nZY0TY/edit#gid=1248694442"",""Table 3: 1st-line HC!AE5:AE111""), $A67=IMPORTRANGE(""https://docs.google.com/spreadsheets/d/1kGrh75X1cNR1D7_FcY9zMnHP8iP"&amp;"O4M5RCRjy6nZY0TY/edit#gid=1248694442"",""Table 3: 1st-line HC!A5:A111"")),"""")"),"")</f>
        <v/>
      </c>
      <c r="W67" s="14" t="str">
        <f>IFERROR(__xludf.DUMMYFUNCTION("IFNA(FILTER(IMPORTRANGE(""https://docs.google.com/spreadsheets/d/1kGrh75X1cNR1D7_FcY9zMnHP8iPO4M5RCRjy6nZY0TY/edit#gid=1248694442"",""Table 3: 1st-line HC!AG5:AG111""), $A67=IMPORTRANGE(""https://docs.google.com/spreadsheets/d/1kGrh75X1cNR1D7_FcY9zMnHP8iP"&amp;"O4M5RCRjy6nZY0TY/edit#gid=1248694442"",""Table 3: 1st-line HC!A5:A111"")),"""")"),"")</f>
        <v/>
      </c>
      <c r="X67" s="14">
        <f>IFERROR(__xludf.DUMMYFUNCTION("IFNA(FILTER(IMPORTRANGE(""https://docs.google.com/spreadsheets/d/1kGrh75X1cNR1D7_FcY9zMnHP8iPO4M5RCRjy6nZY0TY/edit#gid=1248694442"",""Table 3: 1st-line HC!AI5:AI111""), $A67=IMPORTRANGE(""https://docs.google.com/spreadsheets/d/1kGrh75X1cNR1D7_FcY9zMnHP8iP"&amp;"O4M5RCRjy6nZY0TY/edit#gid=1248694442"",""Table 3: 1st-line HC!A5:A111"")),"""")"),48.0)</f>
        <v>48</v>
      </c>
    </row>
    <row r="68">
      <c r="A68" s="4" t="str">
        <f>IFERROR(__xludf.DUMMYFUNCTION("""COMPUTED_VALUE"""),"ID 151")</f>
        <v>ID 151</v>
      </c>
      <c r="B68" s="14">
        <f>IFERROR(__xludf.DUMMYFUNCTION("IFNA(FILTER(IMPORTRANGE(""https://docs.google.com/spreadsheets/d/1kGrh75X1cNR1D7_FcY9zMnHP8iPO4M5RCRjy6nZY0TY/edit#gid=1248694442"",""Table 2: MMC!D5:D114""), $A68=IMPORTRANGE(""https://docs.google.com/spreadsheets/d/1kGrh75X1cNR1D7_FcY9zMnHP8iPO4M5RCRjy6"&amp;"nZY0TY/edit#gid=1248694442"",""Table 2: MMC!A5:A114"")),"""")"),3.0)</f>
        <v>3</v>
      </c>
      <c r="C68" s="14">
        <f>IFERROR(__xludf.DUMMYFUNCTION("IFNA(FILTER(IMPORTRANGE(""https://docs.google.com/spreadsheets/d/1kGrh75X1cNR1D7_FcY9zMnHP8iPO4M5RCRjy6nZY0TY/edit#gid=1248694442"",""Table 2: MMC!E5:E114""), $A68=IMPORTRANGE(""https://docs.google.com/spreadsheets/d/1kGrh75X1cNR1D7_FcY9zMnHP8iPO4M5RCRjy6"&amp;"nZY0TY/edit#gid=1248694442"",""Table 2: MMC!A5:A114"")),"""")"),6.0)</f>
        <v>6</v>
      </c>
      <c r="D68" s="14" t="str">
        <f>IFERROR(__xludf.DUMMYFUNCTION("IFNA(FILTER(IMPORTRANGE(""https://docs.google.com/spreadsheets/d/1kGrh75X1cNR1D7_FcY9zMnHP8iPO4M5RCRjy6nZY0TY/edit#gid=1248694442"",""Table 2: MMC!F5:F114""), $A68=IMPORTRANGE(""https://docs.google.com/spreadsheets/d/1kGrh75X1cNR1D7_FcY9zMnHP8iPO4M5RCRjy6"&amp;"nZY0TY/edit#gid=1248694442"",""Table 2: MMC!A5:A114"")),"""")"),"")</f>
        <v/>
      </c>
      <c r="E68" s="14" t="str">
        <f>IFERROR(__xludf.DUMMYFUNCTION("IFNA(FILTER(IMPORTRANGE(""https://docs.google.com/spreadsheets/d/1kGrh75X1cNR1D7_FcY9zMnHP8iPO4M5RCRjy6nZY0TY/edit#gid=1248694442"",""Table 2: MMC!G5:G114""), $A68=IMPORTRANGE(""https://docs.google.com/spreadsheets/d/1kGrh75X1cNR1D7_FcY9zMnHP8iPO4M5RCRjy6"&amp;"nZY0TY/edit#gid=1248694442"",""Table 2: MMC!A5:A114"")),"""")"),"")</f>
        <v/>
      </c>
      <c r="F68" s="14">
        <f>IFERROR(__xludf.DUMMYFUNCTION("IFNA(FILTER(IMPORTRANGE(""https://docs.google.com/spreadsheets/d/1kGrh75X1cNR1D7_FcY9zMnHP8iPO4M5RCRjy6nZY0TY/edit#gid=1248694442"",""Table 2: MMC!H5:H114""), $A68=IMPORTRANGE(""https://docs.google.com/spreadsheets/d/1kGrh75X1cNR1D7_FcY9zMnHP8iPO4M5RCRjy6"&amp;"nZY0TY/edit#gid=1248694442"",""Table 2: MMC!A5:A114"")),"""")"),58.0)</f>
        <v>58</v>
      </c>
      <c r="G68" s="14" t="str">
        <f>IFERROR(__xludf.DUMMYFUNCTION("IFNA(FILTER(IMPORTRANGE(""https://docs.google.com/spreadsheets/d/1kGrh75X1cNR1D7_FcY9zMnHP8iPO4M5RCRjy6nZY0TY/edit#gid=1248694442"",""Table 2: MMC!I5:I114""), $A68=IMPORTRANGE(""https://docs.google.com/spreadsheets/d/1kGrh75X1cNR1D7_FcY9zMnHP8iPO4M5RCRjy6"&amp;"nZY0TY/edit#gid=1248694442"",""Table 2: MMC!A5:A114"")),"""")"),"")</f>
        <v/>
      </c>
      <c r="H68" s="14" t="str">
        <f>IFERROR(__xludf.DUMMYFUNCTION("IFNA(FILTER(IMPORTRANGE(""https://docs.google.com/spreadsheets/d/1kGrh75X1cNR1D7_FcY9zMnHP8iPO4M5RCRjy6nZY0TY/edit#gid=1248694442"",""Table 2: MMC!J5:J114""), $A68=IMPORTRANGE(""https://docs.google.com/spreadsheets/d/1kGrh75X1cNR1D7_FcY9zMnHP8iPO4M5RCRjy6"&amp;"nZY0TY/edit#gid=1248694442"",""Table 2: MMC!A5:A114"")),"""")"),"post-natal")</f>
        <v>post-natal</v>
      </c>
      <c r="I68" s="14">
        <f>IFERROR(__xludf.DUMMYFUNCTION("IFNA(FILTER(IMPORTRANGE(""https://docs.google.com/spreadsheets/d/1kGrh75X1cNR1D7_FcY9zMnHP8iPO4M5RCRjy6nZY0TY/edit#gid=1248694442"",""Table 2: MMC!M5:M114""), $A68=IMPORTRANGE(""https://docs.google.com/spreadsheets/d/1kGrh75X1cNR1D7_FcY9zMnHP8iPO4M5RCRjy6"&amp;"nZY0TY/edit#gid=1248694442"",""Table 2: MMC!A5:A114"")),"""")"),7.0)</f>
        <v>7</v>
      </c>
      <c r="J68" s="14" t="str">
        <f>IFERROR(__xludf.DUMMYFUNCTION("IFNA(FILTER(IMPORTRANGE(""https://docs.google.com/spreadsheets/d/1kGrh75X1cNR1D7_FcY9zMnHP8iPO4M5RCRjy6nZY0TY/edit#gid=1248694442"",""Table 2: MMC!Q5:Q114""), $A68=IMPORTRANGE(""https://docs.google.com/spreadsheets/d/1kGrh75X1cNR1D7_FcY9zMnHP8iPO4M5RCRjy6"&amp;"nZY0TY/edit#gid=1248694442"",""Table 2: MMC!A5:A114"")),"""")"),"")</f>
        <v/>
      </c>
      <c r="K68" s="14" t="str">
        <f>IFERROR(__xludf.DUMMYFUNCTION("IFNA(FILTER(IMPORTRANGE(""https://docs.google.com/spreadsheets/d/1kGrh75X1cNR1D7_FcY9zMnHP8iPO4M5RCRjy6nZY0TY/edit#gid=1248694442"",""Table 2: MMC!R5:R114""), $A68=IMPORTRANGE(""https://docs.google.com/spreadsheets/d/1kGrh75X1cNR1D7_FcY9zMnHP8iPO4M5RCRjy6"&amp;"nZY0TY/edit#gid=1248694442"",""Table 2: MMC!A5:A114"")),"""")"),"")</f>
        <v/>
      </c>
      <c r="L68" s="14" t="str">
        <f>IFERROR(__xludf.DUMMYFUNCTION("IFNA(FILTER(IMPORTRANGE(""https://docs.google.com/spreadsheets/d/1kGrh75X1cNR1D7_FcY9zMnHP8iPO4M5RCRjy6nZY0TY/edit#gid=1248694442"",""Table 2: MMC!S5:S114""), $A68=IMPORTRANGE(""https://docs.google.com/spreadsheets/d/1kGrh75X1cNR1D7_FcY9zMnHP8iPO4M5RCRjy6"&amp;"nZY0TY/edit#gid=1248694442"",""Table 2: MMC!A5:A114"")),"""")"),"")</f>
        <v/>
      </c>
      <c r="M68" s="14" t="str">
        <f>IFERROR(__xludf.DUMMYFUNCTION("IFNA(FILTER(IMPORTRANGE(""https://docs.google.com/spreadsheets/d/1kGrh75X1cNR1D7_FcY9zMnHP8iPO4M5RCRjy6nZY0TY/edit#gid=1248694442"",""Table 3: 1st-line HC!D5:D111""), $A68=IMPORTRANGE(""https://docs.google.com/spreadsheets/d/1kGrh75X1cNR1D7_FcY9zMnHP8iPO4"&amp;"M5RCRjy6nZY0TY/edit#gid=1248694442"",""Table 3: 1st-line HC!A5:A111"")),"""")"),"")</f>
        <v/>
      </c>
      <c r="N68" s="14" t="str">
        <f>IFERROR(__xludf.DUMMYFUNCTION("IFNA(FILTER(IMPORTRANGE(""https://docs.google.com/spreadsheets/d/1kGrh75X1cNR1D7_FcY9zMnHP8iPO4M5RCRjy6nZY0TY/edit#gid=1248694442"",""Table 3: 1st-line HC!E5:E111""), $A68=IMPORTRANGE(""https://docs.google.com/spreadsheets/d/1kGrh75X1cNR1D7_FcY9zMnHP8iPO4"&amp;"M5RCRjy6nZY0TY/edit#gid=1248694442"",""Table 3: 1st-line HC!A5:A111"")),"""")"),"")</f>
        <v/>
      </c>
      <c r="O68" s="14" t="str">
        <f>IFERROR(__xludf.DUMMYFUNCTION("IFNA(FILTER(IMPORTRANGE(""https://docs.google.com/spreadsheets/d/1kGrh75X1cNR1D7_FcY9zMnHP8iPO4M5RCRjy6nZY0TY/edit#gid=1248694442"",""Table 3: 1st-line HC!K5:K111""), $A68=IMPORTRANGE(""https://docs.google.com/spreadsheets/d/1kGrh75X1cNR1D7_FcY9zMnHP8iPO4"&amp;"M5RCRjy6nZY0TY/edit#gid=1248694442"",""Table 3: 1st-line HC!A5:A111"")),"""")"),"")</f>
        <v/>
      </c>
      <c r="P68" s="14" t="str">
        <f>IFERROR(__xludf.DUMMYFUNCTION("IFNA(FILTER(IMPORTRANGE(""https://docs.google.com/spreadsheets/d/1kGrh75X1cNR1D7_FcY9zMnHP8iPO4M5RCRjy6nZY0TY/edit#gid=1248694442"",""Table 3: 1st-line HC!L5:L111""), $A68=IMPORTRANGE(""https://docs.google.com/spreadsheets/d/1kGrh75X1cNR1D7_FcY9zMnHP8iPO4"&amp;"M5RCRjy6nZY0TY/edit#gid=1248694442"",""Table 3: 1st-line HC!A5:A111"")),"""")"),"")</f>
        <v/>
      </c>
      <c r="Q68" s="14" t="str">
        <f>IFERROR(__xludf.DUMMYFUNCTION("IFNA(FILTER(IMPORTRANGE(""https://docs.google.com/spreadsheets/d/1kGrh75X1cNR1D7_FcY9zMnHP8iPO4M5RCRjy6nZY0TY/edit#gid=1248694442"",""Table 3: 1st-line HC!M5:M111""), $A68=IMPORTRANGE(""https://docs.google.com/spreadsheets/d/1kGrh75X1cNR1D7_FcY9zMnHP8iPO4"&amp;"M5RCRjy6nZY0TY/edit#gid=1248694442"",""Table 3: 1st-line HC!A5:A111"")),"""")"),"")</f>
        <v/>
      </c>
      <c r="R68" s="14" t="str">
        <f>IFERROR(__xludf.DUMMYFUNCTION("IFNA(FILTER(IMPORTRANGE(""https://docs.google.com/spreadsheets/d/1kGrh75X1cNR1D7_FcY9zMnHP8iPO4M5RCRjy6nZY0TY/edit#gid=1248694442"",""Table 3: 1st-line HC!N5:N111""), $A68=IMPORTRANGE(""https://docs.google.com/spreadsheets/d/1kGrh75X1cNR1D7_FcY9zMnHP8iPO4"&amp;"M5RCRjy6nZY0TY/edit#gid=1248694442"",""Table 3: 1st-line HC!A5:A111"")),"""")"),"")</f>
        <v/>
      </c>
      <c r="S68" s="14" t="str">
        <f>IFERROR(__xludf.DUMMYFUNCTION("IFNA(FILTER(IMPORTRANGE(""https://docs.google.com/spreadsheets/d/1kGrh75X1cNR1D7_FcY9zMnHP8iPO4M5RCRjy6nZY0TY/edit#gid=1248694442"",""Table 3: 1st-line HC!T5:T111""), $A68=IMPORTRANGE(""https://docs.google.com/spreadsheets/d/1kGrh75X1cNR1D7_FcY9zMnHP8iPO4"&amp;"M5RCRjy6nZY0TY/edit#gid=1248694442"",""Table 3: 1st-line HC!A5:A111"")),"""")"),"")</f>
        <v/>
      </c>
      <c r="T68" s="14" t="str">
        <f>IFERROR(__xludf.DUMMYFUNCTION("IFNA(FILTER(IMPORTRANGE(""https://docs.google.com/spreadsheets/d/1kGrh75X1cNR1D7_FcY9zMnHP8iPO4M5RCRjy6nZY0TY/edit#gid=1248694442"",""Table 3: 1st-line HC!U5:U111""), $A68=IMPORTRANGE(""https://docs.google.com/spreadsheets/d/1kGrh75X1cNR1D7_FcY9zMnHP8iPO4"&amp;"M5RCRjy6nZY0TY/edit#gid=1248694442"",""Table 3: 1st-line HC!A5:A111"")),"""")"),"")</f>
        <v/>
      </c>
      <c r="U68" s="14" t="str">
        <f>IFERROR(__xludf.DUMMYFUNCTION("IFNA(FILTER(IMPORTRANGE(""https://docs.google.com/spreadsheets/d/1kGrh75X1cNR1D7_FcY9zMnHP8iPO4M5RCRjy6nZY0TY/edit#gid=1248694442"",""Table 3: 1st-line HC!V5:V111""), $A68=IMPORTRANGE(""https://docs.google.com/spreadsheets/d/1kGrh75X1cNR1D7_FcY9zMnHP8iPO4"&amp;"M5RCRjy6nZY0TY/edit#gid=1248694442"",""Table 3: 1st-line HC!A5:A111"")),"""")"),"")</f>
        <v/>
      </c>
      <c r="V68" s="14" t="str">
        <f>IFERROR(__xludf.DUMMYFUNCTION("IFNA(FILTER(IMPORTRANGE(""https://docs.google.com/spreadsheets/d/1kGrh75X1cNR1D7_FcY9zMnHP8iPO4M5RCRjy6nZY0TY/edit#gid=1248694442"",""Table 3: 1st-line HC!AE5:AE111""), $A68=IMPORTRANGE(""https://docs.google.com/spreadsheets/d/1kGrh75X1cNR1D7_FcY9zMnHP8iP"&amp;"O4M5RCRjy6nZY0TY/edit#gid=1248694442"",""Table 3: 1st-line HC!A5:A111"")),"""")"),"")</f>
        <v/>
      </c>
      <c r="W68" s="14" t="str">
        <f>IFERROR(__xludf.DUMMYFUNCTION("IFNA(FILTER(IMPORTRANGE(""https://docs.google.com/spreadsheets/d/1kGrh75X1cNR1D7_FcY9zMnHP8iPO4M5RCRjy6nZY0TY/edit#gid=1248694442"",""Table 3: 1st-line HC!AG5:AG111""), $A68=IMPORTRANGE(""https://docs.google.com/spreadsheets/d/1kGrh75X1cNR1D7_FcY9zMnHP8iP"&amp;"O4M5RCRjy6nZY0TY/edit#gid=1248694442"",""Table 3: 1st-line HC!A5:A111"")),"""")"),"")</f>
        <v/>
      </c>
      <c r="X68" s="14" t="str">
        <f>IFERROR(__xludf.DUMMYFUNCTION("IFNA(FILTER(IMPORTRANGE(""https://docs.google.com/spreadsheets/d/1kGrh75X1cNR1D7_FcY9zMnHP8iPO4M5RCRjy6nZY0TY/edit#gid=1248694442"",""Table 3: 1st-line HC!AI5:AI111""), $A68=IMPORTRANGE(""https://docs.google.com/spreadsheets/d/1kGrh75X1cNR1D7_FcY9zMnHP8iP"&amp;"O4M5RCRjy6nZY0TY/edit#gid=1248694442"",""Table 3: 1st-line HC!A5:A111"")),"""")"),"")</f>
        <v/>
      </c>
    </row>
    <row r="69">
      <c r="A69" s="4" t="str">
        <f>IFERROR(__xludf.DUMMYFUNCTION("""COMPUTED_VALUE"""),"ID 152")</f>
        <v>ID 152</v>
      </c>
      <c r="B69" s="14" t="str">
        <f>IFERROR(__xludf.DUMMYFUNCTION("IFNA(FILTER(IMPORTRANGE(""https://docs.google.com/spreadsheets/d/1kGrh75X1cNR1D7_FcY9zMnHP8iPO4M5RCRjy6nZY0TY/edit#gid=1248694442"",""Table 2: MMC!D5:D114""), $A69=IMPORTRANGE(""https://docs.google.com/spreadsheets/d/1kGrh75X1cNR1D7_FcY9zMnHP8iPO4M5RCRjy6"&amp;"nZY0TY/edit#gid=1248694442"",""Table 2: MMC!A5:A114"")),"""")"),"")</f>
        <v/>
      </c>
      <c r="C69" s="14" t="str">
        <f>IFERROR(__xludf.DUMMYFUNCTION("IFNA(FILTER(IMPORTRANGE(""https://docs.google.com/spreadsheets/d/1kGrh75X1cNR1D7_FcY9zMnHP8iPO4M5RCRjy6nZY0TY/edit#gid=1248694442"",""Table 2: MMC!E5:E114""), $A69=IMPORTRANGE(""https://docs.google.com/spreadsheets/d/1kGrh75X1cNR1D7_FcY9zMnHP8iPO4M5RCRjy6"&amp;"nZY0TY/edit#gid=1248694442"",""Table 2: MMC!A5:A114"")),"""")"),"")</f>
        <v/>
      </c>
      <c r="D69" s="14" t="str">
        <f>IFERROR(__xludf.DUMMYFUNCTION("IFNA(FILTER(IMPORTRANGE(""https://docs.google.com/spreadsheets/d/1kGrh75X1cNR1D7_FcY9zMnHP8iPO4M5RCRjy6nZY0TY/edit#gid=1248694442"",""Table 2: MMC!F5:F114""), $A69=IMPORTRANGE(""https://docs.google.com/spreadsheets/d/1kGrh75X1cNR1D7_FcY9zMnHP8iPO4M5RCRjy6"&amp;"nZY0TY/edit#gid=1248694442"",""Table 2: MMC!A5:A114"")),"""")"),"")</f>
        <v/>
      </c>
      <c r="E69" s="14" t="str">
        <f>IFERROR(__xludf.DUMMYFUNCTION("IFNA(FILTER(IMPORTRANGE(""https://docs.google.com/spreadsheets/d/1kGrh75X1cNR1D7_FcY9zMnHP8iPO4M5RCRjy6nZY0TY/edit#gid=1248694442"",""Table 2: MMC!G5:G114""), $A69=IMPORTRANGE(""https://docs.google.com/spreadsheets/d/1kGrh75X1cNR1D7_FcY9zMnHP8iPO4M5RCRjy6"&amp;"nZY0TY/edit#gid=1248694442"",""Table 2: MMC!A5:A114"")),"""")"),"")</f>
        <v/>
      </c>
      <c r="F69" s="14" t="str">
        <f>IFERROR(__xludf.DUMMYFUNCTION("IFNA(FILTER(IMPORTRANGE(""https://docs.google.com/spreadsheets/d/1kGrh75X1cNR1D7_FcY9zMnHP8iPO4M5RCRjy6nZY0TY/edit#gid=1248694442"",""Table 2: MMC!H5:H114""), $A69=IMPORTRANGE(""https://docs.google.com/spreadsheets/d/1kGrh75X1cNR1D7_FcY9zMnHP8iPO4M5RCRjy6"&amp;"nZY0TY/edit#gid=1248694442"",""Table 2: MMC!A5:A114"")),"""")"),"")</f>
        <v/>
      </c>
      <c r="G69" s="14" t="str">
        <f>IFERROR(__xludf.DUMMYFUNCTION("IFNA(FILTER(IMPORTRANGE(""https://docs.google.com/spreadsheets/d/1kGrh75X1cNR1D7_FcY9zMnHP8iPO4M5RCRjy6nZY0TY/edit#gid=1248694442"",""Table 2: MMC!I5:I114""), $A69=IMPORTRANGE(""https://docs.google.com/spreadsheets/d/1kGrh75X1cNR1D7_FcY9zMnHP8iPO4M5RCRjy6"&amp;"nZY0TY/edit#gid=1248694442"",""Table 2: MMC!A5:A114"")),"""")"),"")</f>
        <v/>
      </c>
      <c r="H69" s="14" t="str">
        <f>IFERROR(__xludf.DUMMYFUNCTION("IFNA(FILTER(IMPORTRANGE(""https://docs.google.com/spreadsheets/d/1kGrh75X1cNR1D7_FcY9zMnHP8iPO4M5RCRjy6nZY0TY/edit#gid=1248694442"",""Table 2: MMC!J5:J114""), $A69=IMPORTRANGE(""https://docs.google.com/spreadsheets/d/1kGrh75X1cNR1D7_FcY9zMnHP8iPO4M5RCRjy6"&amp;"nZY0TY/edit#gid=1248694442"",""Table 2: MMC!A5:A114"")),"""")"),"post-natal")</f>
        <v>post-natal</v>
      </c>
      <c r="I69" s="14" t="str">
        <f>IFERROR(__xludf.DUMMYFUNCTION("IFNA(FILTER(IMPORTRANGE(""https://docs.google.com/spreadsheets/d/1kGrh75X1cNR1D7_FcY9zMnHP8iPO4M5RCRjy6nZY0TY/edit#gid=1248694442"",""Table 2: MMC!M5:M114""), $A69=IMPORTRANGE(""https://docs.google.com/spreadsheets/d/1kGrh75X1cNR1D7_FcY9zMnHP8iPO4M5RCRjy6"&amp;"nZY0TY/edit#gid=1248694442"",""Table 2: MMC!A5:A114"")),"""")"),"")</f>
        <v/>
      </c>
      <c r="J69" s="14" t="str">
        <f>IFERROR(__xludf.DUMMYFUNCTION("IFNA(FILTER(IMPORTRANGE(""https://docs.google.com/spreadsheets/d/1kGrh75X1cNR1D7_FcY9zMnHP8iPO4M5RCRjy6nZY0TY/edit#gid=1248694442"",""Table 2: MMC!Q5:Q114""), $A69=IMPORTRANGE(""https://docs.google.com/spreadsheets/d/1kGrh75X1cNR1D7_FcY9zMnHP8iPO4M5RCRjy6"&amp;"nZY0TY/edit#gid=1248694442"",""Table 2: MMC!A5:A114"")),"""")"),"")</f>
        <v/>
      </c>
      <c r="K69" s="14" t="str">
        <f>IFERROR(__xludf.DUMMYFUNCTION("IFNA(FILTER(IMPORTRANGE(""https://docs.google.com/spreadsheets/d/1kGrh75X1cNR1D7_FcY9zMnHP8iPO4M5RCRjy6nZY0TY/edit#gid=1248694442"",""Table 2: MMC!R5:R114""), $A69=IMPORTRANGE(""https://docs.google.com/spreadsheets/d/1kGrh75X1cNR1D7_FcY9zMnHP8iPO4M5RCRjy6"&amp;"nZY0TY/edit#gid=1248694442"",""Table 2: MMC!A5:A114"")),"""")"),"")</f>
        <v/>
      </c>
      <c r="L69" s="14" t="str">
        <f>IFERROR(__xludf.DUMMYFUNCTION("IFNA(FILTER(IMPORTRANGE(""https://docs.google.com/spreadsheets/d/1kGrh75X1cNR1D7_FcY9zMnHP8iPO4M5RCRjy6nZY0TY/edit#gid=1248694442"",""Table 2: MMC!S5:S114""), $A69=IMPORTRANGE(""https://docs.google.com/spreadsheets/d/1kGrh75X1cNR1D7_FcY9zMnHP8iPO4M5RCRjy6"&amp;"nZY0TY/edit#gid=1248694442"",""Table 2: MMC!A5:A114"")),"""")"),"")</f>
        <v/>
      </c>
      <c r="M69" s="14" t="str">
        <f>IFERROR(__xludf.DUMMYFUNCTION("IFNA(FILTER(IMPORTRANGE(""https://docs.google.com/spreadsheets/d/1kGrh75X1cNR1D7_FcY9zMnHP8iPO4M5RCRjy6nZY0TY/edit#gid=1248694442"",""Table 3: 1st-line HC!D5:D111""), $A69=IMPORTRANGE(""https://docs.google.com/spreadsheets/d/1kGrh75X1cNR1D7_FcY9zMnHP8iPO4"&amp;"M5RCRjy6nZY0TY/edit#gid=1248694442"",""Table 3: 1st-line HC!A5:A111"")),"""")"),"")</f>
        <v/>
      </c>
      <c r="N69" s="14" t="str">
        <f>IFERROR(__xludf.DUMMYFUNCTION("IFNA(FILTER(IMPORTRANGE(""https://docs.google.com/spreadsheets/d/1kGrh75X1cNR1D7_FcY9zMnHP8iPO4M5RCRjy6nZY0TY/edit#gid=1248694442"",""Table 3: 1st-line HC!E5:E111""), $A69=IMPORTRANGE(""https://docs.google.com/spreadsheets/d/1kGrh75X1cNR1D7_FcY9zMnHP8iPO4"&amp;"M5RCRjy6nZY0TY/edit#gid=1248694442"",""Table 3: 1st-line HC!A5:A111"")),"""")"),"")</f>
        <v/>
      </c>
      <c r="O69" s="14" t="str">
        <f>IFERROR(__xludf.DUMMYFUNCTION("IFNA(FILTER(IMPORTRANGE(""https://docs.google.com/spreadsheets/d/1kGrh75X1cNR1D7_FcY9zMnHP8iPO4M5RCRjy6nZY0TY/edit#gid=1248694442"",""Table 3: 1st-line HC!K5:K111""), $A69=IMPORTRANGE(""https://docs.google.com/spreadsheets/d/1kGrh75X1cNR1D7_FcY9zMnHP8iPO4"&amp;"M5RCRjy6nZY0TY/edit#gid=1248694442"",""Table 3: 1st-line HC!A5:A111"")),"""")"),"")</f>
        <v/>
      </c>
      <c r="P69" s="14" t="str">
        <f>IFERROR(__xludf.DUMMYFUNCTION("IFNA(FILTER(IMPORTRANGE(""https://docs.google.com/spreadsheets/d/1kGrh75X1cNR1D7_FcY9zMnHP8iPO4M5RCRjy6nZY0TY/edit#gid=1248694442"",""Table 3: 1st-line HC!L5:L111""), $A69=IMPORTRANGE(""https://docs.google.com/spreadsheets/d/1kGrh75X1cNR1D7_FcY9zMnHP8iPO4"&amp;"M5RCRjy6nZY0TY/edit#gid=1248694442"",""Table 3: 1st-line HC!A5:A111"")),"""")"),"")</f>
        <v/>
      </c>
      <c r="Q69" s="14" t="str">
        <f>IFERROR(__xludf.DUMMYFUNCTION("IFNA(FILTER(IMPORTRANGE(""https://docs.google.com/spreadsheets/d/1kGrh75X1cNR1D7_FcY9zMnHP8iPO4M5RCRjy6nZY0TY/edit#gid=1248694442"",""Table 3: 1st-line HC!M5:M111""), $A69=IMPORTRANGE(""https://docs.google.com/spreadsheets/d/1kGrh75X1cNR1D7_FcY9zMnHP8iPO4"&amp;"M5RCRjy6nZY0TY/edit#gid=1248694442"",""Table 3: 1st-line HC!A5:A111"")),"""")"),"")</f>
        <v/>
      </c>
      <c r="R69" s="14" t="str">
        <f>IFERROR(__xludf.DUMMYFUNCTION("IFNA(FILTER(IMPORTRANGE(""https://docs.google.com/spreadsheets/d/1kGrh75X1cNR1D7_FcY9zMnHP8iPO4M5RCRjy6nZY0TY/edit#gid=1248694442"",""Table 3: 1st-line HC!N5:N111""), $A69=IMPORTRANGE(""https://docs.google.com/spreadsheets/d/1kGrh75X1cNR1D7_FcY9zMnHP8iPO4"&amp;"M5RCRjy6nZY0TY/edit#gid=1248694442"",""Table 3: 1st-line HC!A5:A111"")),"""")"),"")</f>
        <v/>
      </c>
      <c r="S69" s="14" t="str">
        <f>IFERROR(__xludf.DUMMYFUNCTION("IFNA(FILTER(IMPORTRANGE(""https://docs.google.com/spreadsheets/d/1kGrh75X1cNR1D7_FcY9zMnHP8iPO4M5RCRjy6nZY0TY/edit#gid=1248694442"",""Table 3: 1st-line HC!T5:T111""), $A69=IMPORTRANGE(""https://docs.google.com/spreadsheets/d/1kGrh75X1cNR1D7_FcY9zMnHP8iPO4"&amp;"M5RCRjy6nZY0TY/edit#gid=1248694442"",""Table 3: 1st-line HC!A5:A111"")),"""")"),"")</f>
        <v/>
      </c>
      <c r="T69" s="14" t="str">
        <f>IFERROR(__xludf.DUMMYFUNCTION("IFNA(FILTER(IMPORTRANGE(""https://docs.google.com/spreadsheets/d/1kGrh75X1cNR1D7_FcY9zMnHP8iPO4M5RCRjy6nZY0TY/edit#gid=1248694442"",""Table 3: 1st-line HC!U5:U111""), $A69=IMPORTRANGE(""https://docs.google.com/spreadsheets/d/1kGrh75X1cNR1D7_FcY9zMnHP8iPO4"&amp;"M5RCRjy6nZY0TY/edit#gid=1248694442"",""Table 3: 1st-line HC!A5:A111"")),"""")"),"")</f>
        <v/>
      </c>
      <c r="U69" s="14" t="str">
        <f>IFERROR(__xludf.DUMMYFUNCTION("IFNA(FILTER(IMPORTRANGE(""https://docs.google.com/spreadsheets/d/1kGrh75X1cNR1D7_FcY9zMnHP8iPO4M5RCRjy6nZY0TY/edit#gid=1248694442"",""Table 3: 1st-line HC!V5:V111""), $A69=IMPORTRANGE(""https://docs.google.com/spreadsheets/d/1kGrh75X1cNR1D7_FcY9zMnHP8iPO4"&amp;"M5RCRjy6nZY0TY/edit#gid=1248694442"",""Table 3: 1st-line HC!A5:A111"")),"""")"),"")</f>
        <v/>
      </c>
      <c r="V69" s="14" t="str">
        <f>IFERROR(__xludf.DUMMYFUNCTION("IFNA(FILTER(IMPORTRANGE(""https://docs.google.com/spreadsheets/d/1kGrh75X1cNR1D7_FcY9zMnHP8iPO4M5RCRjy6nZY0TY/edit#gid=1248694442"",""Table 3: 1st-line HC!AE5:AE111""), $A69=IMPORTRANGE(""https://docs.google.com/spreadsheets/d/1kGrh75X1cNR1D7_FcY9zMnHP8iP"&amp;"O4M5RCRjy6nZY0TY/edit#gid=1248694442"",""Table 3: 1st-line HC!A5:A111"")),"""")"),"")</f>
        <v/>
      </c>
      <c r="W69" s="14" t="str">
        <f>IFERROR(__xludf.DUMMYFUNCTION("IFNA(FILTER(IMPORTRANGE(""https://docs.google.com/spreadsheets/d/1kGrh75X1cNR1D7_FcY9zMnHP8iPO4M5RCRjy6nZY0TY/edit#gid=1248694442"",""Table 3: 1st-line HC!AG5:AG111""), $A69=IMPORTRANGE(""https://docs.google.com/spreadsheets/d/1kGrh75X1cNR1D7_FcY9zMnHP8iP"&amp;"O4M5RCRjy6nZY0TY/edit#gid=1248694442"",""Table 3: 1st-line HC!A5:A111"")),"""")"),"")</f>
        <v/>
      </c>
      <c r="X69" s="14" t="str">
        <f>IFERROR(__xludf.DUMMYFUNCTION("IFNA(FILTER(IMPORTRANGE(""https://docs.google.com/spreadsheets/d/1kGrh75X1cNR1D7_FcY9zMnHP8iPO4M5RCRjy6nZY0TY/edit#gid=1248694442"",""Table 3: 1st-line HC!AI5:AI111""), $A69=IMPORTRANGE(""https://docs.google.com/spreadsheets/d/1kGrh75X1cNR1D7_FcY9zMnHP8iP"&amp;"O4M5RCRjy6nZY0TY/edit#gid=1248694442"",""Table 3: 1st-line HC!A5:A111"")),"""")"),"52-260")</f>
        <v>52-260</v>
      </c>
    </row>
    <row r="70">
      <c r="A70" s="4" t="str">
        <f>IFERROR(__xludf.DUMMYFUNCTION("""COMPUTED_VALUE"""),"ID 153")</f>
        <v>ID 153</v>
      </c>
      <c r="B70" s="14" t="str">
        <f>IFERROR(__xludf.DUMMYFUNCTION("IFNA(FILTER(IMPORTRANGE(""https://docs.google.com/spreadsheets/d/1kGrh75X1cNR1D7_FcY9zMnHP8iPO4M5RCRjy6nZY0TY/edit#gid=1248694442"",""Table 2: MMC!D5:D114""), $A70=IMPORTRANGE(""https://docs.google.com/spreadsheets/d/1kGrh75X1cNR1D7_FcY9zMnHP8iPO4M5RCRjy6"&amp;"nZY0TY/edit#gid=1248694442"",""Table 2: MMC!A5:A114"")),"""")"),"")</f>
        <v/>
      </c>
      <c r="C70" s="14" t="str">
        <f>IFERROR(__xludf.DUMMYFUNCTION("IFNA(FILTER(IMPORTRANGE(""https://docs.google.com/spreadsheets/d/1kGrh75X1cNR1D7_FcY9zMnHP8iPO4M5RCRjy6nZY0TY/edit#gid=1248694442"",""Table 2: MMC!E5:E114""), $A70=IMPORTRANGE(""https://docs.google.com/spreadsheets/d/1kGrh75X1cNR1D7_FcY9zMnHP8iPO4M5RCRjy6"&amp;"nZY0TY/edit#gid=1248694442"",""Table 2: MMC!A5:A114"")),"""")"),"")</f>
        <v/>
      </c>
      <c r="D70" s="14" t="str">
        <f>IFERROR(__xludf.DUMMYFUNCTION("IFNA(FILTER(IMPORTRANGE(""https://docs.google.com/spreadsheets/d/1kGrh75X1cNR1D7_FcY9zMnHP8iPO4M5RCRjy6nZY0TY/edit#gid=1248694442"",""Table 2: MMC!F5:F114""), $A70=IMPORTRANGE(""https://docs.google.com/spreadsheets/d/1kGrh75X1cNR1D7_FcY9zMnHP8iPO4M5RCRjy6"&amp;"nZY0TY/edit#gid=1248694442"",""Table 2: MMC!A5:A114"")),"""")"),"")</f>
        <v/>
      </c>
      <c r="E70" s="14" t="str">
        <f>IFERROR(__xludf.DUMMYFUNCTION("IFNA(FILTER(IMPORTRANGE(""https://docs.google.com/spreadsheets/d/1kGrh75X1cNR1D7_FcY9zMnHP8iPO4M5RCRjy6nZY0TY/edit#gid=1248694442"",""Table 2: MMC!G5:G114""), $A70=IMPORTRANGE(""https://docs.google.com/spreadsheets/d/1kGrh75X1cNR1D7_FcY9zMnHP8iPO4M5RCRjy6"&amp;"nZY0TY/edit#gid=1248694442"",""Table 2: MMC!A5:A114"")),"""")"),"")</f>
        <v/>
      </c>
      <c r="F70" s="14" t="str">
        <f>IFERROR(__xludf.DUMMYFUNCTION("IFNA(FILTER(IMPORTRANGE(""https://docs.google.com/spreadsheets/d/1kGrh75X1cNR1D7_FcY9zMnHP8iPO4M5RCRjy6nZY0TY/edit#gid=1248694442"",""Table 2: MMC!H5:H114""), $A70=IMPORTRANGE(""https://docs.google.com/spreadsheets/d/1kGrh75X1cNR1D7_FcY9zMnHP8iPO4M5RCRjy6"&amp;"nZY0TY/edit#gid=1248694442"",""Table 2: MMC!A5:A114"")),"""")"),"")</f>
        <v/>
      </c>
      <c r="G70" s="14" t="str">
        <f>IFERROR(__xludf.DUMMYFUNCTION("IFNA(FILTER(IMPORTRANGE(""https://docs.google.com/spreadsheets/d/1kGrh75X1cNR1D7_FcY9zMnHP8iPO4M5RCRjy6nZY0TY/edit#gid=1248694442"",""Table 2: MMC!I5:I114""), $A70=IMPORTRANGE(""https://docs.google.com/spreadsheets/d/1kGrh75X1cNR1D7_FcY9zMnHP8iPO4M5RCRjy6"&amp;"nZY0TY/edit#gid=1248694442"",""Table 2: MMC!A5:A114"")),"""")"),"")</f>
        <v/>
      </c>
      <c r="H70" s="14" t="str">
        <f>IFERROR(__xludf.DUMMYFUNCTION("IFNA(FILTER(IMPORTRANGE(""https://docs.google.com/spreadsheets/d/1kGrh75X1cNR1D7_FcY9zMnHP8iPO4M5RCRjy6nZY0TY/edit#gid=1248694442"",""Table 2: MMC!J5:J114""), $A70=IMPORTRANGE(""https://docs.google.com/spreadsheets/d/1kGrh75X1cNR1D7_FcY9zMnHP8iPO4M5RCRjy6"&amp;"nZY0TY/edit#gid=1248694442"",""Table 2: MMC!A5:A114"")),"""")"),"post-natal")</f>
        <v>post-natal</v>
      </c>
      <c r="I70" s="14" t="str">
        <f>IFERROR(__xludf.DUMMYFUNCTION("IFNA(FILTER(IMPORTRANGE(""https://docs.google.com/spreadsheets/d/1kGrh75X1cNR1D7_FcY9zMnHP8iPO4M5RCRjy6nZY0TY/edit#gid=1248694442"",""Table 2: MMC!M5:M114""), $A70=IMPORTRANGE(""https://docs.google.com/spreadsheets/d/1kGrh75X1cNR1D7_FcY9zMnHP8iPO4M5RCRjy6"&amp;"nZY0TY/edit#gid=1248694442"",""Table 2: MMC!A5:A114"")),"""")"),"")</f>
        <v/>
      </c>
      <c r="J70" s="14" t="str">
        <f>IFERROR(__xludf.DUMMYFUNCTION("IFNA(FILTER(IMPORTRANGE(""https://docs.google.com/spreadsheets/d/1kGrh75X1cNR1D7_FcY9zMnHP8iPO4M5RCRjy6nZY0TY/edit#gid=1248694442"",""Table 2: MMC!Q5:Q114""), $A70=IMPORTRANGE(""https://docs.google.com/spreadsheets/d/1kGrh75X1cNR1D7_FcY9zMnHP8iPO4M5RCRjy6"&amp;"nZY0TY/edit#gid=1248694442"",""Table 2: MMC!A5:A114"")),"""")"),"")</f>
        <v/>
      </c>
      <c r="K70" s="14" t="str">
        <f>IFERROR(__xludf.DUMMYFUNCTION("IFNA(FILTER(IMPORTRANGE(""https://docs.google.com/spreadsheets/d/1kGrh75X1cNR1D7_FcY9zMnHP8iPO4M5RCRjy6nZY0TY/edit#gid=1248694442"",""Table 2: MMC!R5:R114""), $A70=IMPORTRANGE(""https://docs.google.com/spreadsheets/d/1kGrh75X1cNR1D7_FcY9zMnHP8iPO4M5RCRjy6"&amp;"nZY0TY/edit#gid=1248694442"",""Table 2: MMC!A5:A114"")),"""")"),"")</f>
        <v/>
      </c>
      <c r="L70" s="14" t="str">
        <f>IFERROR(__xludf.DUMMYFUNCTION("IFNA(FILTER(IMPORTRANGE(""https://docs.google.com/spreadsheets/d/1kGrh75X1cNR1D7_FcY9zMnHP8iPO4M5RCRjy6nZY0TY/edit#gid=1248694442"",""Table 2: MMC!S5:S114""), $A70=IMPORTRANGE(""https://docs.google.com/spreadsheets/d/1kGrh75X1cNR1D7_FcY9zMnHP8iPO4M5RCRjy6"&amp;"nZY0TY/edit#gid=1248694442"",""Table 2: MMC!A5:A114"")),"""")"),"")</f>
        <v/>
      </c>
      <c r="M70" s="14" t="str">
        <f>IFERROR(__xludf.DUMMYFUNCTION("IFNA(FILTER(IMPORTRANGE(""https://docs.google.com/spreadsheets/d/1kGrh75X1cNR1D7_FcY9zMnHP8iPO4M5RCRjy6nZY0TY/edit#gid=1248694442"",""Table 3: 1st-line HC!D5:D111""), $A70=IMPORTRANGE(""https://docs.google.com/spreadsheets/d/1kGrh75X1cNR1D7_FcY9zMnHP8iPO4"&amp;"M5RCRjy6nZY0TY/edit#gid=1248694442"",""Table 3: 1st-line HC!A5:A111"")),"""")"),"")</f>
        <v/>
      </c>
      <c r="N70" s="14">
        <f>IFERROR(__xludf.DUMMYFUNCTION("IFNA(FILTER(IMPORTRANGE(""https://docs.google.com/spreadsheets/d/1kGrh75X1cNR1D7_FcY9zMnHP8iPO4M5RCRjy6nZY0TY/edit#gid=1248694442"",""Table 3: 1st-line HC!E5:E111""), $A70=IMPORTRANGE(""https://docs.google.com/spreadsheets/d/1kGrh75X1cNR1D7_FcY9zMnHP8iPO4"&amp;"M5RCRjy6nZY0TY/edit#gid=1248694442"",""Table 3: 1st-line HC!A5:A111"")),"""")"),1.0)</f>
        <v>1</v>
      </c>
      <c r="O70" s="14" t="str">
        <f>IFERROR(__xludf.DUMMYFUNCTION("IFNA(FILTER(IMPORTRANGE(""https://docs.google.com/spreadsheets/d/1kGrh75X1cNR1D7_FcY9zMnHP8iPO4M5RCRjy6nZY0TY/edit#gid=1248694442"",""Table 3: 1st-line HC!K5:K111""), $A70=IMPORTRANGE(""https://docs.google.com/spreadsheets/d/1kGrh75X1cNR1D7_FcY9zMnHP8iPO4"&amp;"M5RCRjy6nZY0TY/edit#gid=1248694442"",""Table 3: 1st-line HC!A5:A111"")),"""")"),"")</f>
        <v/>
      </c>
      <c r="P70" s="14" t="str">
        <f>IFERROR(__xludf.DUMMYFUNCTION("IFNA(FILTER(IMPORTRANGE(""https://docs.google.com/spreadsheets/d/1kGrh75X1cNR1D7_FcY9zMnHP8iPO4M5RCRjy6nZY0TY/edit#gid=1248694442"",""Table 3: 1st-line HC!L5:L111""), $A70=IMPORTRANGE(""https://docs.google.com/spreadsheets/d/1kGrh75X1cNR1D7_FcY9zMnHP8iPO4"&amp;"M5RCRjy6nZY0TY/edit#gid=1248694442"",""Table 3: 1st-line HC!A5:A111"")),"""")"),"")</f>
        <v/>
      </c>
      <c r="Q70" s="14" t="str">
        <f>IFERROR(__xludf.DUMMYFUNCTION("IFNA(FILTER(IMPORTRANGE(""https://docs.google.com/spreadsheets/d/1kGrh75X1cNR1D7_FcY9zMnHP8iPO4M5RCRjy6nZY0TY/edit#gid=1248694442"",""Table 3: 1st-line HC!M5:M111""), $A70=IMPORTRANGE(""https://docs.google.com/spreadsheets/d/1kGrh75X1cNR1D7_FcY9zMnHP8iPO4"&amp;"M5RCRjy6nZY0TY/edit#gid=1248694442"",""Table 3: 1st-line HC!A5:A111"")),"""")"),"")</f>
        <v/>
      </c>
      <c r="R70" s="14" t="str">
        <f>IFERROR(__xludf.DUMMYFUNCTION("IFNA(FILTER(IMPORTRANGE(""https://docs.google.com/spreadsheets/d/1kGrh75X1cNR1D7_FcY9zMnHP8iPO4M5RCRjy6nZY0TY/edit#gid=1248694442"",""Table 3: 1st-line HC!N5:N111""), $A70=IMPORTRANGE(""https://docs.google.com/spreadsheets/d/1kGrh75X1cNR1D7_FcY9zMnHP8iPO4"&amp;"M5RCRjy6nZY0TY/edit#gid=1248694442"",""Table 3: 1st-line HC!A5:A111"")),"""")"),"")</f>
        <v/>
      </c>
      <c r="S70" s="14" t="str">
        <f>IFERROR(__xludf.DUMMYFUNCTION("IFNA(FILTER(IMPORTRANGE(""https://docs.google.com/spreadsheets/d/1kGrh75X1cNR1D7_FcY9zMnHP8iPO4M5RCRjy6nZY0TY/edit#gid=1248694442"",""Table 3: 1st-line HC!T5:T111""), $A70=IMPORTRANGE(""https://docs.google.com/spreadsheets/d/1kGrh75X1cNR1D7_FcY9zMnHP8iPO4"&amp;"M5RCRjy6nZY0TY/edit#gid=1248694442"",""Table 3: 1st-line HC!A5:A111"")),"""")"),"")</f>
        <v/>
      </c>
      <c r="T70" s="14" t="str">
        <f>IFERROR(__xludf.DUMMYFUNCTION("IFNA(FILTER(IMPORTRANGE(""https://docs.google.com/spreadsheets/d/1kGrh75X1cNR1D7_FcY9zMnHP8iPO4M5RCRjy6nZY0TY/edit#gid=1248694442"",""Table 3: 1st-line HC!U5:U111""), $A70=IMPORTRANGE(""https://docs.google.com/spreadsheets/d/1kGrh75X1cNR1D7_FcY9zMnHP8iPO4"&amp;"M5RCRjy6nZY0TY/edit#gid=1248694442"",""Table 3: 1st-line HC!A5:A111"")),"""")"),"")</f>
        <v/>
      </c>
      <c r="U70" s="14" t="str">
        <f>IFERROR(__xludf.DUMMYFUNCTION("IFNA(FILTER(IMPORTRANGE(""https://docs.google.com/spreadsheets/d/1kGrh75X1cNR1D7_FcY9zMnHP8iPO4M5RCRjy6nZY0TY/edit#gid=1248694442"",""Table 3: 1st-line HC!V5:V111""), $A70=IMPORTRANGE(""https://docs.google.com/spreadsheets/d/1kGrh75X1cNR1D7_FcY9zMnHP8iPO4"&amp;"M5RCRjy6nZY0TY/edit#gid=1248694442"",""Table 3: 1st-line HC!A5:A111"")),"""")"),"")</f>
        <v/>
      </c>
      <c r="V70" s="14" t="str">
        <f>IFERROR(__xludf.DUMMYFUNCTION("IFNA(FILTER(IMPORTRANGE(""https://docs.google.com/spreadsheets/d/1kGrh75X1cNR1D7_FcY9zMnHP8iPO4M5RCRjy6nZY0TY/edit#gid=1248694442"",""Table 3: 1st-line HC!AE5:AE111""), $A70=IMPORTRANGE(""https://docs.google.com/spreadsheets/d/1kGrh75X1cNR1D7_FcY9zMnHP8iP"&amp;"O4M5RCRjy6nZY0TY/edit#gid=1248694442"",""Table 3: 1st-line HC!A5:A111"")),"""")"),"")</f>
        <v/>
      </c>
      <c r="W70" s="14" t="str">
        <f>IFERROR(__xludf.DUMMYFUNCTION("IFNA(FILTER(IMPORTRANGE(""https://docs.google.com/spreadsheets/d/1kGrh75X1cNR1D7_FcY9zMnHP8iPO4M5RCRjy6nZY0TY/edit#gid=1248694442"",""Table 3: 1st-line HC!AG5:AG111""), $A70=IMPORTRANGE(""https://docs.google.com/spreadsheets/d/1kGrh75X1cNR1D7_FcY9zMnHP8iP"&amp;"O4M5RCRjy6nZY0TY/edit#gid=1248694442"",""Table 3: 1st-line HC!A5:A111"")),"""")"),"")</f>
        <v/>
      </c>
      <c r="X70" s="14" t="str">
        <f>IFERROR(__xludf.DUMMYFUNCTION("IFNA(FILTER(IMPORTRANGE(""https://docs.google.com/spreadsheets/d/1kGrh75X1cNR1D7_FcY9zMnHP8iPO4M5RCRjy6nZY0TY/edit#gid=1248694442"",""Table 3: 1st-line HC!AI5:AI111""), $A70=IMPORTRANGE(""https://docs.google.com/spreadsheets/d/1kGrh75X1cNR1D7_FcY9zMnHP8iP"&amp;"O4M5RCRjy6nZY0TY/edit#gid=1248694442"",""Table 3: 1st-line HC!A5:A111"")),"""")"),"52 (26-104)")</f>
        <v>52 (26-104)</v>
      </c>
    </row>
    <row r="71">
      <c r="A71" s="4" t="str">
        <f>IFERROR(__xludf.DUMMYFUNCTION("""COMPUTED_VALUE"""),"ID 154")</f>
        <v>ID 154</v>
      </c>
      <c r="B71" s="14" t="str">
        <f>IFERROR(__xludf.DUMMYFUNCTION("IFNA(FILTER(IMPORTRANGE(""https://docs.google.com/spreadsheets/d/1kGrh75X1cNR1D7_FcY9zMnHP8iPO4M5RCRjy6nZY0TY/edit#gid=1248694442"",""Table 2: MMC!D5:D114""), $A71=IMPORTRANGE(""https://docs.google.com/spreadsheets/d/1kGrh75X1cNR1D7_FcY9zMnHP8iPO4M5RCRjy6"&amp;"nZY0TY/edit#gid=1248694442"",""Table 2: MMC!A5:A114"")),"""")"),"")</f>
        <v/>
      </c>
      <c r="C71" s="14" t="str">
        <f>IFERROR(__xludf.DUMMYFUNCTION("IFNA(FILTER(IMPORTRANGE(""https://docs.google.com/spreadsheets/d/1kGrh75X1cNR1D7_FcY9zMnHP8iPO4M5RCRjy6nZY0TY/edit#gid=1248694442"",""Table 2: MMC!E5:E114""), $A71=IMPORTRANGE(""https://docs.google.com/spreadsheets/d/1kGrh75X1cNR1D7_FcY9zMnHP8iPO4M5RCRjy6"&amp;"nZY0TY/edit#gid=1248694442"",""Table 2: MMC!A5:A114"")),"""")"),"")</f>
        <v/>
      </c>
      <c r="D71" s="14" t="str">
        <f>IFERROR(__xludf.DUMMYFUNCTION("IFNA(FILTER(IMPORTRANGE(""https://docs.google.com/spreadsheets/d/1kGrh75X1cNR1D7_FcY9zMnHP8iPO4M5RCRjy6nZY0TY/edit#gid=1248694442"",""Table 2: MMC!F5:F114""), $A71=IMPORTRANGE(""https://docs.google.com/spreadsheets/d/1kGrh75X1cNR1D7_FcY9zMnHP8iPO4M5RCRjy6"&amp;"nZY0TY/edit#gid=1248694442"",""Table 2: MMC!A5:A114"")),"""")"),"")</f>
        <v/>
      </c>
      <c r="E71" s="14" t="str">
        <f>IFERROR(__xludf.DUMMYFUNCTION("IFNA(FILTER(IMPORTRANGE(""https://docs.google.com/spreadsheets/d/1kGrh75X1cNR1D7_FcY9zMnHP8iPO4M5RCRjy6nZY0TY/edit#gid=1248694442"",""Table 2: MMC!G5:G114""), $A71=IMPORTRANGE(""https://docs.google.com/spreadsheets/d/1kGrh75X1cNR1D7_FcY9zMnHP8iPO4M5RCRjy6"&amp;"nZY0TY/edit#gid=1248694442"",""Table 2: MMC!A5:A114"")),"""")"),"")</f>
        <v/>
      </c>
      <c r="F71" s="14" t="str">
        <f>IFERROR(__xludf.DUMMYFUNCTION("IFNA(FILTER(IMPORTRANGE(""https://docs.google.com/spreadsheets/d/1kGrh75X1cNR1D7_FcY9zMnHP8iPO4M5RCRjy6nZY0TY/edit#gid=1248694442"",""Table 2: MMC!H5:H114""), $A71=IMPORTRANGE(""https://docs.google.com/spreadsheets/d/1kGrh75X1cNR1D7_FcY9zMnHP8iPO4M5RCRjy6"&amp;"nZY0TY/edit#gid=1248694442"",""Table 2: MMC!A5:A114"")),"""")"),"")</f>
        <v/>
      </c>
      <c r="G71" s="14" t="str">
        <f>IFERROR(__xludf.DUMMYFUNCTION("IFNA(FILTER(IMPORTRANGE(""https://docs.google.com/spreadsheets/d/1kGrh75X1cNR1D7_FcY9zMnHP8iPO4M5RCRjy6nZY0TY/edit#gid=1248694442"",""Table 2: MMC!I5:I114""), $A71=IMPORTRANGE(""https://docs.google.com/spreadsheets/d/1kGrh75X1cNR1D7_FcY9zMnHP8iPO4M5RCRjy6"&amp;"nZY0TY/edit#gid=1248694442"",""Table 2: MMC!A5:A114"")),"""")"),"")</f>
        <v/>
      </c>
      <c r="H71" s="14" t="str">
        <f>IFERROR(__xludf.DUMMYFUNCTION("IFNA(FILTER(IMPORTRANGE(""https://docs.google.com/spreadsheets/d/1kGrh75X1cNR1D7_FcY9zMnHP8iPO4M5RCRjy6nZY0TY/edit#gid=1248694442"",""Table 2: MMC!J5:J114""), $A71=IMPORTRANGE(""https://docs.google.com/spreadsheets/d/1kGrh75X1cNR1D7_FcY9zMnHP8iPO4M5RCRjy6"&amp;"nZY0TY/edit#gid=1248694442"",""Table 2: MMC!A5:A114"")),"""")"),"post-natal")</f>
        <v>post-natal</v>
      </c>
      <c r="I71" s="14" t="str">
        <f>IFERROR(__xludf.DUMMYFUNCTION("IFNA(FILTER(IMPORTRANGE(""https://docs.google.com/spreadsheets/d/1kGrh75X1cNR1D7_FcY9zMnHP8iPO4M5RCRjy6nZY0TY/edit#gid=1248694442"",""Table 2: MMC!M5:M114""), $A71=IMPORTRANGE(""https://docs.google.com/spreadsheets/d/1kGrh75X1cNR1D7_FcY9zMnHP8iPO4M5RCRjy6"&amp;"nZY0TY/edit#gid=1248694442"",""Table 2: MMC!A5:A114"")),"""")"),"")</f>
        <v/>
      </c>
      <c r="J71" s="14" t="str">
        <f>IFERROR(__xludf.DUMMYFUNCTION("IFNA(FILTER(IMPORTRANGE(""https://docs.google.com/spreadsheets/d/1kGrh75X1cNR1D7_FcY9zMnHP8iPO4M5RCRjy6nZY0TY/edit#gid=1248694442"",""Table 2: MMC!Q5:Q114""), $A71=IMPORTRANGE(""https://docs.google.com/spreadsheets/d/1kGrh75X1cNR1D7_FcY9zMnHP8iPO4M5RCRjy6"&amp;"nZY0TY/edit#gid=1248694442"",""Table 2: MMC!A5:A114"")),"""")"),"")</f>
        <v/>
      </c>
      <c r="K71" s="14" t="str">
        <f>IFERROR(__xludf.DUMMYFUNCTION("IFNA(FILTER(IMPORTRANGE(""https://docs.google.com/spreadsheets/d/1kGrh75X1cNR1D7_FcY9zMnHP8iPO4M5RCRjy6nZY0TY/edit#gid=1248694442"",""Table 2: MMC!R5:R114""), $A71=IMPORTRANGE(""https://docs.google.com/spreadsheets/d/1kGrh75X1cNR1D7_FcY9zMnHP8iPO4M5RCRjy6"&amp;"nZY0TY/edit#gid=1248694442"",""Table 2: MMC!A5:A114"")),"""")"),"")</f>
        <v/>
      </c>
      <c r="L71" s="14" t="str">
        <f>IFERROR(__xludf.DUMMYFUNCTION("IFNA(FILTER(IMPORTRANGE(""https://docs.google.com/spreadsheets/d/1kGrh75X1cNR1D7_FcY9zMnHP8iPO4M5RCRjy6nZY0TY/edit#gid=1248694442"",""Table 2: MMC!S5:S114""), $A71=IMPORTRANGE(""https://docs.google.com/spreadsheets/d/1kGrh75X1cNR1D7_FcY9zMnHP8iPO4M5RCRjy6"&amp;"nZY0TY/edit#gid=1248694442"",""Table 2: MMC!A5:A114"")),"""")"),"")</f>
        <v/>
      </c>
      <c r="M71" s="14" t="str">
        <f>IFERROR(__xludf.DUMMYFUNCTION("IFNA(FILTER(IMPORTRANGE(""https://docs.google.com/spreadsheets/d/1kGrh75X1cNR1D7_FcY9zMnHP8iPO4M5RCRjy6nZY0TY/edit#gid=1248694442"",""Table 3: 1st-line HC!D5:D111""), $A71=IMPORTRANGE(""https://docs.google.com/spreadsheets/d/1kGrh75X1cNR1D7_FcY9zMnHP8iPO4"&amp;"M5RCRjy6nZY0TY/edit#gid=1248694442"",""Table 3: 1st-line HC!A5:A111"")),"""")"),"")</f>
        <v/>
      </c>
      <c r="N71" s="14" t="str">
        <f>IFERROR(__xludf.DUMMYFUNCTION("IFNA(FILTER(IMPORTRANGE(""https://docs.google.com/spreadsheets/d/1kGrh75X1cNR1D7_FcY9zMnHP8iPO4M5RCRjy6nZY0TY/edit#gid=1248694442"",""Table 3: 1st-line HC!E5:E111""), $A71=IMPORTRANGE(""https://docs.google.com/spreadsheets/d/1kGrh75X1cNR1D7_FcY9zMnHP8iPO4"&amp;"M5RCRjy6nZY0TY/edit#gid=1248694442"",""Table 3: 1st-line HC!A5:A111"")),"""")"),"")</f>
        <v/>
      </c>
      <c r="O71" s="14" t="str">
        <f>IFERROR(__xludf.DUMMYFUNCTION("IFNA(FILTER(IMPORTRANGE(""https://docs.google.com/spreadsheets/d/1kGrh75X1cNR1D7_FcY9zMnHP8iPO4M5RCRjy6nZY0TY/edit#gid=1248694442"",""Table 3: 1st-line HC!K5:K111""), $A71=IMPORTRANGE(""https://docs.google.com/spreadsheets/d/1kGrh75X1cNR1D7_FcY9zMnHP8iPO4"&amp;"M5RCRjy6nZY0TY/edit#gid=1248694442"",""Table 3: 1st-line HC!A5:A111"")),"""")"),"")</f>
        <v/>
      </c>
      <c r="P71" s="14" t="str">
        <f>IFERROR(__xludf.DUMMYFUNCTION("IFNA(FILTER(IMPORTRANGE(""https://docs.google.com/spreadsheets/d/1kGrh75X1cNR1D7_FcY9zMnHP8iPO4M5RCRjy6nZY0TY/edit#gid=1248694442"",""Table 3: 1st-line HC!L5:L111""), $A71=IMPORTRANGE(""https://docs.google.com/spreadsheets/d/1kGrh75X1cNR1D7_FcY9zMnHP8iPO4"&amp;"M5RCRjy6nZY0TY/edit#gid=1248694442"",""Table 3: 1st-line HC!A5:A111"")),"""")"),"")</f>
        <v/>
      </c>
      <c r="Q71" s="14" t="str">
        <f>IFERROR(__xludf.DUMMYFUNCTION("IFNA(FILTER(IMPORTRANGE(""https://docs.google.com/spreadsheets/d/1kGrh75X1cNR1D7_FcY9zMnHP8iPO4M5RCRjy6nZY0TY/edit#gid=1248694442"",""Table 3: 1st-line HC!M5:M111""), $A71=IMPORTRANGE(""https://docs.google.com/spreadsheets/d/1kGrh75X1cNR1D7_FcY9zMnHP8iPO4"&amp;"M5RCRjy6nZY0TY/edit#gid=1248694442"",""Table 3: 1st-line HC!A5:A111"")),"""")"),"")</f>
        <v/>
      </c>
      <c r="R71" s="14" t="str">
        <f>IFERROR(__xludf.DUMMYFUNCTION("IFNA(FILTER(IMPORTRANGE(""https://docs.google.com/spreadsheets/d/1kGrh75X1cNR1D7_FcY9zMnHP8iPO4M5RCRjy6nZY0TY/edit#gid=1248694442"",""Table 3: 1st-line HC!N5:N111""), $A71=IMPORTRANGE(""https://docs.google.com/spreadsheets/d/1kGrh75X1cNR1D7_FcY9zMnHP8iPO4"&amp;"M5RCRjy6nZY0TY/edit#gid=1248694442"",""Table 3: 1st-line HC!A5:A111"")),"""")"),"")</f>
        <v/>
      </c>
      <c r="S71" s="14" t="str">
        <f>IFERROR(__xludf.DUMMYFUNCTION("IFNA(FILTER(IMPORTRANGE(""https://docs.google.com/spreadsheets/d/1kGrh75X1cNR1D7_FcY9zMnHP8iPO4M5RCRjy6nZY0TY/edit#gid=1248694442"",""Table 3: 1st-line HC!T5:T111""), $A71=IMPORTRANGE(""https://docs.google.com/spreadsheets/d/1kGrh75X1cNR1D7_FcY9zMnHP8iPO4"&amp;"M5RCRjy6nZY0TY/edit#gid=1248694442"",""Table 3: 1st-line HC!A5:A111"")),"""")"),"")</f>
        <v/>
      </c>
      <c r="T71" s="14" t="str">
        <f>IFERROR(__xludf.DUMMYFUNCTION("IFNA(FILTER(IMPORTRANGE(""https://docs.google.com/spreadsheets/d/1kGrh75X1cNR1D7_FcY9zMnHP8iPO4M5RCRjy6nZY0TY/edit#gid=1248694442"",""Table 3: 1st-line HC!U5:U111""), $A71=IMPORTRANGE(""https://docs.google.com/spreadsheets/d/1kGrh75X1cNR1D7_FcY9zMnHP8iPO4"&amp;"M5RCRjy6nZY0TY/edit#gid=1248694442"",""Table 3: 1st-line HC!A5:A111"")),"""")"),"")</f>
        <v/>
      </c>
      <c r="U71" s="14" t="str">
        <f>IFERROR(__xludf.DUMMYFUNCTION("IFNA(FILTER(IMPORTRANGE(""https://docs.google.com/spreadsheets/d/1kGrh75X1cNR1D7_FcY9zMnHP8iPO4M5RCRjy6nZY0TY/edit#gid=1248694442"",""Table 3: 1st-line HC!V5:V111""), $A71=IMPORTRANGE(""https://docs.google.com/spreadsheets/d/1kGrh75X1cNR1D7_FcY9zMnHP8iPO4"&amp;"M5RCRjy6nZY0TY/edit#gid=1248694442"",""Table 3: 1st-line HC!A5:A111"")),"""")"),"")</f>
        <v/>
      </c>
      <c r="V71" s="14" t="str">
        <f>IFERROR(__xludf.DUMMYFUNCTION("IFNA(FILTER(IMPORTRANGE(""https://docs.google.com/spreadsheets/d/1kGrh75X1cNR1D7_FcY9zMnHP8iPO4M5RCRjy6nZY0TY/edit#gid=1248694442"",""Table 3: 1st-line HC!AE5:AE111""), $A71=IMPORTRANGE(""https://docs.google.com/spreadsheets/d/1kGrh75X1cNR1D7_FcY9zMnHP8iP"&amp;"O4M5RCRjy6nZY0TY/edit#gid=1248694442"",""Table 3: 1st-line HC!A5:A111"")),"""")"),"")</f>
        <v/>
      </c>
      <c r="W71" s="14" t="str">
        <f>IFERROR(__xludf.DUMMYFUNCTION("IFNA(FILTER(IMPORTRANGE(""https://docs.google.com/spreadsheets/d/1kGrh75X1cNR1D7_FcY9zMnHP8iPO4M5RCRjy6nZY0TY/edit#gid=1248694442"",""Table 3: 1st-line HC!AG5:AG111""), $A71=IMPORTRANGE(""https://docs.google.com/spreadsheets/d/1kGrh75X1cNR1D7_FcY9zMnHP8iP"&amp;"O4M5RCRjy6nZY0TY/edit#gid=1248694442"",""Table 3: 1st-line HC!A5:A111"")),"""")"),"")</f>
        <v/>
      </c>
      <c r="X71" s="14" t="str">
        <f>IFERROR(__xludf.DUMMYFUNCTION("IFNA(FILTER(IMPORTRANGE(""https://docs.google.com/spreadsheets/d/1kGrh75X1cNR1D7_FcY9zMnHP8iPO4M5RCRjy6nZY0TY/edit#gid=1248694442"",""Table 3: 1st-line HC!AI5:AI111""), $A71=IMPORTRANGE(""https://docs.google.com/spreadsheets/d/1kGrh75X1cNR1D7_FcY9zMnHP8iP"&amp;"O4M5RCRjy6nZY0TY/edit#gid=1248694442"",""Table 3: 1st-line HC!A5:A111"")),"""")"),"")</f>
        <v/>
      </c>
    </row>
    <row r="72">
      <c r="A72" s="4" t="str">
        <f>IFERROR(__xludf.DUMMYFUNCTION("""COMPUTED_VALUE"""),"ID 157")</f>
        <v>ID 157</v>
      </c>
      <c r="B72" s="14" t="str">
        <f>IFERROR(__xludf.DUMMYFUNCTION("IFNA(FILTER(IMPORTRANGE(""https://docs.google.com/spreadsheets/d/1kGrh75X1cNR1D7_FcY9zMnHP8iPO4M5RCRjy6nZY0TY/edit#gid=1248694442"",""Table 2: MMC!D5:D114""), $A72=IMPORTRANGE(""https://docs.google.com/spreadsheets/d/1kGrh75X1cNR1D7_FcY9zMnHP8iPO4M5RCRjy6"&amp;"nZY0TY/edit#gid=1248694442"",""Table 2: MMC!A5:A114"")),"""")"),"")</f>
        <v/>
      </c>
      <c r="C72" s="14">
        <f>IFERROR(__xludf.DUMMYFUNCTION("IFNA(FILTER(IMPORTRANGE(""https://docs.google.com/spreadsheets/d/1kGrh75X1cNR1D7_FcY9zMnHP8iPO4M5RCRjy6nZY0TY/edit#gid=1248694442"",""Table 2: MMC!E5:E114""), $A72=IMPORTRANGE(""https://docs.google.com/spreadsheets/d/1kGrh75X1cNR1D7_FcY9zMnHP8iPO4M5RCRjy6"&amp;"nZY0TY/edit#gid=1248694442"",""Table 2: MMC!A5:A114"")),"""")"),2.0)</f>
        <v>2</v>
      </c>
      <c r="D72" s="14">
        <f>IFERROR(__xludf.DUMMYFUNCTION("IFNA(FILTER(IMPORTRANGE(""https://docs.google.com/spreadsheets/d/1kGrh75X1cNR1D7_FcY9zMnHP8iPO4M5RCRjy6nZY0TY/edit#gid=1248694442"",""Table 2: MMC!F5:F114""), $A72=IMPORTRANGE(""https://docs.google.com/spreadsheets/d/1kGrh75X1cNR1D7_FcY9zMnHP8iPO4M5RCRjy6"&amp;"nZY0TY/edit#gid=1248694442"",""Table 2: MMC!A5:A114"")),"""")"),9.0)</f>
        <v>9</v>
      </c>
      <c r="E72" s="14">
        <f>IFERROR(__xludf.DUMMYFUNCTION("IFNA(FILTER(IMPORTRANGE(""https://docs.google.com/spreadsheets/d/1kGrh75X1cNR1D7_FcY9zMnHP8iPO4M5RCRjy6nZY0TY/edit#gid=1248694442"",""Table 2: MMC!G5:G114""), $A72=IMPORTRANGE(""https://docs.google.com/spreadsheets/d/1kGrh75X1cNR1D7_FcY9zMnHP8iPO4M5RCRjy6"&amp;"nZY0TY/edit#gid=1248694442"",""Table 2: MMC!A5:A114"")),"""")"),9.0)</f>
        <v>9</v>
      </c>
      <c r="F72" s="14">
        <f>IFERROR(__xludf.DUMMYFUNCTION("IFNA(FILTER(IMPORTRANGE(""https://docs.google.com/spreadsheets/d/1kGrh75X1cNR1D7_FcY9zMnHP8iPO4M5RCRjy6nZY0TY/edit#gid=1248694442"",""Table 2: MMC!H5:H114""), $A72=IMPORTRANGE(""https://docs.google.com/spreadsheets/d/1kGrh75X1cNR1D7_FcY9zMnHP8iPO4M5RCRjy6"&amp;"nZY0TY/edit#gid=1248694442"",""Table 2: MMC!A5:A114"")),"""")"),3.0)</f>
        <v>3</v>
      </c>
      <c r="G72" s="14">
        <f>IFERROR(__xludf.DUMMYFUNCTION("IFNA(FILTER(IMPORTRANGE(""https://docs.google.com/spreadsheets/d/1kGrh75X1cNR1D7_FcY9zMnHP8iPO4M5RCRjy6nZY0TY/edit#gid=1248694442"",""Table 2: MMC!I5:I114""), $A72=IMPORTRANGE(""https://docs.google.com/spreadsheets/d/1kGrh75X1cNR1D7_FcY9zMnHP8iPO4M5RCRjy6"&amp;"nZY0TY/edit#gid=1248694442"",""Table 2: MMC!A5:A114"")),"""")"),2.0)</f>
        <v>2</v>
      </c>
      <c r="H72" s="14" t="str">
        <f>IFERROR(__xludf.DUMMYFUNCTION("IFNA(FILTER(IMPORTRANGE(""https://docs.google.com/spreadsheets/d/1kGrh75X1cNR1D7_FcY9zMnHP8iPO4M5RCRjy6nZY0TY/edit#gid=1248694442"",""Table 2: MMC!J5:J114""), $A72=IMPORTRANGE(""https://docs.google.com/spreadsheets/d/1kGrh75X1cNR1D7_FcY9zMnHP8iPO4M5RCRjy6"&amp;"nZY0TY/edit#gid=1248694442"",""Table 2: MMC!A5:A114"")),"""")"),"post-natal")</f>
        <v>post-natal</v>
      </c>
      <c r="I72" s="14" t="str">
        <f>IFERROR(__xludf.DUMMYFUNCTION("IFNA(FILTER(IMPORTRANGE(""https://docs.google.com/spreadsheets/d/1kGrh75X1cNR1D7_FcY9zMnHP8iPO4M5RCRjy6nZY0TY/edit#gid=1248694442"",""Table 2: MMC!M5:M114""), $A72=IMPORTRANGE(""https://docs.google.com/spreadsheets/d/1kGrh75X1cNR1D7_FcY9zMnHP8iPO4M5RCRjy6"&amp;"nZY0TY/edit#gid=1248694442"",""Table 2: MMC!A5:A114"")),"""")"),"")</f>
        <v/>
      </c>
      <c r="J72" s="14" t="str">
        <f>IFERROR(__xludf.DUMMYFUNCTION("IFNA(FILTER(IMPORTRANGE(""https://docs.google.com/spreadsheets/d/1kGrh75X1cNR1D7_FcY9zMnHP8iPO4M5RCRjy6nZY0TY/edit#gid=1248694442"",""Table 2: MMC!Q5:Q114""), $A72=IMPORTRANGE(""https://docs.google.com/spreadsheets/d/1kGrh75X1cNR1D7_FcY9zMnHP8iPO4M5RCRjy6"&amp;"nZY0TY/edit#gid=1248694442"",""Table 2: MMC!A5:A114"")),"""")"),"")</f>
        <v/>
      </c>
      <c r="K72" s="14" t="str">
        <f>IFERROR(__xludf.DUMMYFUNCTION("IFNA(FILTER(IMPORTRANGE(""https://docs.google.com/spreadsheets/d/1kGrh75X1cNR1D7_FcY9zMnHP8iPO4M5RCRjy6nZY0TY/edit#gid=1248694442"",""Table 2: MMC!R5:R114""), $A72=IMPORTRANGE(""https://docs.google.com/spreadsheets/d/1kGrh75X1cNR1D7_FcY9zMnHP8iPO4M5RCRjy6"&amp;"nZY0TY/edit#gid=1248694442"",""Table 2: MMC!A5:A114"")),"""")"),"")</f>
        <v/>
      </c>
      <c r="L72" s="14" t="str">
        <f>IFERROR(__xludf.DUMMYFUNCTION("IFNA(FILTER(IMPORTRANGE(""https://docs.google.com/spreadsheets/d/1kGrh75X1cNR1D7_FcY9zMnHP8iPO4M5RCRjy6nZY0TY/edit#gid=1248694442"",""Table 2: MMC!S5:S114""), $A72=IMPORTRANGE(""https://docs.google.com/spreadsheets/d/1kGrh75X1cNR1D7_FcY9zMnHP8iPO4M5RCRjy6"&amp;"nZY0TY/edit#gid=1248694442"",""Table 2: MMC!A5:A114"")),"""")"),"")</f>
        <v/>
      </c>
      <c r="M72" s="14" t="str">
        <f>IFERROR(__xludf.DUMMYFUNCTION("IFNA(FILTER(IMPORTRANGE(""https://docs.google.com/spreadsheets/d/1kGrh75X1cNR1D7_FcY9zMnHP8iPO4M5RCRjy6nZY0TY/edit#gid=1248694442"",""Table 3: 1st-line HC!D5:D111""), $A72=IMPORTRANGE(""https://docs.google.com/spreadsheets/d/1kGrh75X1cNR1D7_FcY9zMnHP8iPO4"&amp;"M5RCRjy6nZY0TY/edit#gid=1248694442"",""Table 3: 1st-line HC!A5:A111"")),"""")"),"")</f>
        <v/>
      </c>
      <c r="N72" s="14" t="str">
        <f>IFERROR(__xludf.DUMMYFUNCTION("IFNA(FILTER(IMPORTRANGE(""https://docs.google.com/spreadsheets/d/1kGrh75X1cNR1D7_FcY9zMnHP8iPO4M5RCRjy6nZY0TY/edit#gid=1248694442"",""Table 3: 1st-line HC!E5:E111""), $A72=IMPORTRANGE(""https://docs.google.com/spreadsheets/d/1kGrh75X1cNR1D7_FcY9zMnHP8iPO4"&amp;"M5RCRjy6nZY0TY/edit#gid=1248694442"",""Table 3: 1st-line HC!A5:A111"")),"""")"),"")</f>
        <v/>
      </c>
      <c r="O72" s="14" t="str">
        <f>IFERROR(__xludf.DUMMYFUNCTION("IFNA(FILTER(IMPORTRANGE(""https://docs.google.com/spreadsheets/d/1kGrh75X1cNR1D7_FcY9zMnHP8iPO4M5RCRjy6nZY0TY/edit#gid=1248694442"",""Table 3: 1st-line HC!K5:K111""), $A72=IMPORTRANGE(""https://docs.google.com/spreadsheets/d/1kGrh75X1cNR1D7_FcY9zMnHP8iPO4"&amp;"M5RCRjy6nZY0TY/edit#gid=1248694442"",""Table 3: 1st-line HC!A5:A111"")),"""")"),"")</f>
        <v/>
      </c>
      <c r="P72" s="14">
        <f>IFERROR(__xludf.DUMMYFUNCTION("IFNA(FILTER(IMPORTRANGE(""https://docs.google.com/spreadsheets/d/1kGrh75X1cNR1D7_FcY9zMnHP8iPO4M5RCRjy6nZY0TY/edit#gid=1248694442"",""Table 3: 1st-line HC!L5:L111""), $A72=IMPORTRANGE(""https://docs.google.com/spreadsheets/d/1kGrh75X1cNR1D7_FcY9zMnHP8iPO4"&amp;"M5RCRjy6nZY0TY/edit#gid=1248694442"",""Table 3: 1st-line HC!A5:A111"")),"""")"),25.0)</f>
        <v>25</v>
      </c>
      <c r="Q72" s="14" t="str">
        <f>IFERROR(__xludf.DUMMYFUNCTION("IFNA(FILTER(IMPORTRANGE(""https://docs.google.com/spreadsheets/d/1kGrh75X1cNR1D7_FcY9zMnHP8iPO4M5RCRjy6nZY0TY/edit#gid=1248694442"",""Table 3: 1st-line HC!M5:M111""), $A72=IMPORTRANGE(""https://docs.google.com/spreadsheets/d/1kGrh75X1cNR1D7_FcY9zMnHP8iPO4"&amp;"M5RCRjy6nZY0TY/edit#gid=1248694442"",""Table 3: 1st-line HC!A5:A111"")),"""")"),"")</f>
        <v/>
      </c>
      <c r="R72" s="14" t="str">
        <f>IFERROR(__xludf.DUMMYFUNCTION("IFNA(FILTER(IMPORTRANGE(""https://docs.google.com/spreadsheets/d/1kGrh75X1cNR1D7_FcY9zMnHP8iPO4M5RCRjy6nZY0TY/edit#gid=1248694442"",""Table 3: 1st-line HC!N5:N111""), $A72=IMPORTRANGE(""https://docs.google.com/spreadsheets/d/1kGrh75X1cNR1D7_FcY9zMnHP8iPO4"&amp;"M5RCRjy6nZY0TY/edit#gid=1248694442"",""Table 3: 1st-line HC!A5:A111"")),"""")"),"")</f>
        <v/>
      </c>
      <c r="S72" s="14" t="str">
        <f>IFERROR(__xludf.DUMMYFUNCTION("IFNA(FILTER(IMPORTRANGE(""https://docs.google.com/spreadsheets/d/1kGrh75X1cNR1D7_FcY9zMnHP8iPO4M5RCRjy6nZY0TY/edit#gid=1248694442"",""Table 3: 1st-line HC!T5:T111""), $A72=IMPORTRANGE(""https://docs.google.com/spreadsheets/d/1kGrh75X1cNR1D7_FcY9zMnHP8iPO4"&amp;"M5RCRjy6nZY0TY/edit#gid=1248694442"",""Table 3: 1st-line HC!A5:A111"")),"""")"),"")</f>
        <v/>
      </c>
      <c r="T72" s="14" t="str">
        <f>IFERROR(__xludf.DUMMYFUNCTION("IFNA(FILTER(IMPORTRANGE(""https://docs.google.com/spreadsheets/d/1kGrh75X1cNR1D7_FcY9zMnHP8iPO4M5RCRjy6nZY0TY/edit#gid=1248694442"",""Table 3: 1st-line HC!U5:U111""), $A72=IMPORTRANGE(""https://docs.google.com/spreadsheets/d/1kGrh75X1cNR1D7_FcY9zMnHP8iPO4"&amp;"M5RCRjy6nZY0TY/edit#gid=1248694442"",""Table 3: 1st-line HC!A5:A111"")),"""")"),"")</f>
        <v/>
      </c>
      <c r="U72" s="14" t="str">
        <f>IFERROR(__xludf.DUMMYFUNCTION("IFNA(FILTER(IMPORTRANGE(""https://docs.google.com/spreadsheets/d/1kGrh75X1cNR1D7_FcY9zMnHP8iPO4M5RCRjy6nZY0TY/edit#gid=1248694442"",""Table 3: 1st-line HC!V5:V111""), $A72=IMPORTRANGE(""https://docs.google.com/spreadsheets/d/1kGrh75X1cNR1D7_FcY9zMnHP8iPO4"&amp;"M5RCRjy6nZY0TY/edit#gid=1248694442"",""Table 3: 1st-line HC!A5:A111"")),"""")"),"")</f>
        <v/>
      </c>
      <c r="V72" s="14" t="str">
        <f>IFERROR(__xludf.DUMMYFUNCTION("IFNA(FILTER(IMPORTRANGE(""https://docs.google.com/spreadsheets/d/1kGrh75X1cNR1D7_FcY9zMnHP8iPO4M5RCRjy6nZY0TY/edit#gid=1248694442"",""Table 3: 1st-line HC!AE5:AE111""), $A72=IMPORTRANGE(""https://docs.google.com/spreadsheets/d/1kGrh75X1cNR1D7_FcY9zMnHP8iP"&amp;"O4M5RCRjy6nZY0TY/edit#gid=1248694442"",""Table 3: 1st-line HC!A5:A111"")),"""")"),"")</f>
        <v/>
      </c>
      <c r="W72" s="14" t="str">
        <f>IFERROR(__xludf.DUMMYFUNCTION("IFNA(FILTER(IMPORTRANGE(""https://docs.google.com/spreadsheets/d/1kGrh75X1cNR1D7_FcY9zMnHP8iPO4M5RCRjy6nZY0TY/edit#gid=1248694442"",""Table 3: 1st-line HC!AG5:AG111""), $A72=IMPORTRANGE(""https://docs.google.com/spreadsheets/d/1kGrh75X1cNR1D7_FcY9zMnHP8iP"&amp;"O4M5RCRjy6nZY0TY/edit#gid=1248694442"",""Table 3: 1st-line HC!A5:A111"")),"""")"),"")</f>
        <v/>
      </c>
      <c r="X72" s="14" t="str">
        <f>IFERROR(__xludf.DUMMYFUNCTION("IFNA(FILTER(IMPORTRANGE(""https://docs.google.com/spreadsheets/d/1kGrh75X1cNR1D7_FcY9zMnHP8iPO4M5RCRjy6nZY0TY/edit#gid=1248694442"",""Table 3: 1st-line HC!AI5:AI111""), $A72=IMPORTRANGE(""https://docs.google.com/spreadsheets/d/1kGrh75X1cNR1D7_FcY9zMnHP8iP"&amp;"O4M5RCRjy6nZY0TY/edit#gid=1248694442"",""Table 3: 1st-line HC!A5:A111"")),"""")"),"")</f>
        <v/>
      </c>
    </row>
    <row r="73">
      <c r="A73" s="4" t="str">
        <f>IFERROR(__xludf.DUMMYFUNCTION("""COMPUTED_VALUE"""),"ID 159")</f>
        <v>ID 159</v>
      </c>
      <c r="B73" s="14" t="str">
        <f>IFERROR(__xludf.DUMMYFUNCTION("IFNA(FILTER(IMPORTRANGE(""https://docs.google.com/spreadsheets/d/1kGrh75X1cNR1D7_FcY9zMnHP8iPO4M5RCRjy6nZY0TY/edit#gid=1248694442"",""Table 2: MMC!D5:D114""), $A73=IMPORTRANGE(""https://docs.google.com/spreadsheets/d/1kGrh75X1cNR1D7_FcY9zMnHP8iPO4M5RCRjy6"&amp;"nZY0TY/edit#gid=1248694442"",""Table 2: MMC!A5:A114"")),"""")"),"")</f>
        <v/>
      </c>
      <c r="C73" s="14" t="str">
        <f>IFERROR(__xludf.DUMMYFUNCTION("IFNA(FILTER(IMPORTRANGE(""https://docs.google.com/spreadsheets/d/1kGrh75X1cNR1D7_FcY9zMnHP8iPO4M5RCRjy6nZY0TY/edit#gid=1248694442"",""Table 2: MMC!E5:E114""), $A73=IMPORTRANGE(""https://docs.google.com/spreadsheets/d/1kGrh75X1cNR1D7_FcY9zMnHP8iPO4M5RCRjy6"&amp;"nZY0TY/edit#gid=1248694442"",""Table 2: MMC!A5:A114"")),"""")"),"")</f>
        <v/>
      </c>
      <c r="D73" s="14" t="str">
        <f>IFERROR(__xludf.DUMMYFUNCTION("IFNA(FILTER(IMPORTRANGE(""https://docs.google.com/spreadsheets/d/1kGrh75X1cNR1D7_FcY9zMnHP8iPO4M5RCRjy6nZY0TY/edit#gid=1248694442"",""Table 2: MMC!F5:F114""), $A73=IMPORTRANGE(""https://docs.google.com/spreadsheets/d/1kGrh75X1cNR1D7_FcY9zMnHP8iPO4M5RCRjy6"&amp;"nZY0TY/edit#gid=1248694442"",""Table 2: MMC!A5:A114"")),"""")"),"")</f>
        <v/>
      </c>
      <c r="E73" s="14" t="str">
        <f>IFERROR(__xludf.DUMMYFUNCTION("IFNA(FILTER(IMPORTRANGE(""https://docs.google.com/spreadsheets/d/1kGrh75X1cNR1D7_FcY9zMnHP8iPO4M5RCRjy6nZY0TY/edit#gid=1248694442"",""Table 2: MMC!G5:G114""), $A73=IMPORTRANGE(""https://docs.google.com/spreadsheets/d/1kGrh75X1cNR1D7_FcY9zMnHP8iPO4M5RCRjy6"&amp;"nZY0TY/edit#gid=1248694442"",""Table 2: MMC!A5:A114"")),"""")"),"")</f>
        <v/>
      </c>
      <c r="F73" s="14" t="str">
        <f>IFERROR(__xludf.DUMMYFUNCTION("IFNA(FILTER(IMPORTRANGE(""https://docs.google.com/spreadsheets/d/1kGrh75X1cNR1D7_FcY9zMnHP8iPO4M5RCRjy6nZY0TY/edit#gid=1248694442"",""Table 2: MMC!H5:H114""), $A73=IMPORTRANGE(""https://docs.google.com/spreadsheets/d/1kGrh75X1cNR1D7_FcY9zMnHP8iPO4M5RCRjy6"&amp;"nZY0TY/edit#gid=1248694442"",""Table 2: MMC!A5:A114"")),"""")"),"")</f>
        <v/>
      </c>
      <c r="G73" s="14" t="str">
        <f>IFERROR(__xludf.DUMMYFUNCTION("IFNA(FILTER(IMPORTRANGE(""https://docs.google.com/spreadsheets/d/1kGrh75X1cNR1D7_FcY9zMnHP8iPO4M5RCRjy6nZY0TY/edit#gid=1248694442"",""Table 2: MMC!I5:I114""), $A73=IMPORTRANGE(""https://docs.google.com/spreadsheets/d/1kGrh75X1cNR1D7_FcY9zMnHP8iPO4M5RCRjy6"&amp;"nZY0TY/edit#gid=1248694442"",""Table 2: MMC!A5:A114"")),"""")"),"")</f>
        <v/>
      </c>
      <c r="H73" s="14" t="str">
        <f>IFERROR(__xludf.DUMMYFUNCTION("IFNA(FILTER(IMPORTRANGE(""https://docs.google.com/spreadsheets/d/1kGrh75X1cNR1D7_FcY9zMnHP8iPO4M5RCRjy6nZY0TY/edit#gid=1248694442"",""Table 2: MMC!J5:J114""), $A73=IMPORTRANGE(""https://docs.google.com/spreadsheets/d/1kGrh75X1cNR1D7_FcY9zMnHP8iPO4M5RCRjy6"&amp;"nZY0TY/edit#gid=1248694442"",""Table 2: MMC!A5:A114"")),"""")"),"post-natal")</f>
        <v>post-natal</v>
      </c>
      <c r="I73" s="14" t="str">
        <f>IFERROR(__xludf.DUMMYFUNCTION("IFNA(FILTER(IMPORTRANGE(""https://docs.google.com/spreadsheets/d/1kGrh75X1cNR1D7_FcY9zMnHP8iPO4M5RCRjy6nZY0TY/edit#gid=1248694442"",""Table 2: MMC!M5:M114""), $A73=IMPORTRANGE(""https://docs.google.com/spreadsheets/d/1kGrh75X1cNR1D7_FcY9zMnHP8iPO4M5RCRjy6"&amp;"nZY0TY/edit#gid=1248694442"",""Table 2: MMC!A5:A114"")),"""")"),"")</f>
        <v/>
      </c>
      <c r="J73" s="14" t="str">
        <f>IFERROR(__xludf.DUMMYFUNCTION("IFNA(FILTER(IMPORTRANGE(""https://docs.google.com/spreadsheets/d/1kGrh75X1cNR1D7_FcY9zMnHP8iPO4M5RCRjy6nZY0TY/edit#gid=1248694442"",""Table 2: MMC!Q5:Q114""), $A73=IMPORTRANGE(""https://docs.google.com/spreadsheets/d/1kGrh75X1cNR1D7_FcY9zMnHP8iPO4M5RCRjy6"&amp;"nZY0TY/edit#gid=1248694442"",""Table 2: MMC!A5:A114"")),"""")"),"")</f>
        <v/>
      </c>
      <c r="K73" s="14" t="str">
        <f>IFERROR(__xludf.DUMMYFUNCTION("IFNA(FILTER(IMPORTRANGE(""https://docs.google.com/spreadsheets/d/1kGrh75X1cNR1D7_FcY9zMnHP8iPO4M5RCRjy6nZY0TY/edit#gid=1248694442"",""Table 2: MMC!R5:R114""), $A73=IMPORTRANGE(""https://docs.google.com/spreadsheets/d/1kGrh75X1cNR1D7_FcY9zMnHP8iPO4M5RCRjy6"&amp;"nZY0TY/edit#gid=1248694442"",""Table 2: MMC!A5:A114"")),"""")"),"")</f>
        <v/>
      </c>
      <c r="L73" s="14" t="str">
        <f>IFERROR(__xludf.DUMMYFUNCTION("IFNA(FILTER(IMPORTRANGE(""https://docs.google.com/spreadsheets/d/1kGrh75X1cNR1D7_FcY9zMnHP8iPO4M5RCRjy6nZY0TY/edit#gid=1248694442"",""Table 2: MMC!S5:S114""), $A73=IMPORTRANGE(""https://docs.google.com/spreadsheets/d/1kGrh75X1cNR1D7_FcY9zMnHP8iPO4M5RCRjy6"&amp;"nZY0TY/edit#gid=1248694442"",""Table 2: MMC!A5:A114"")),"""")"),"")</f>
        <v/>
      </c>
      <c r="M73" s="14" t="str">
        <f>IFERROR(__xludf.DUMMYFUNCTION("IFNA(FILTER(IMPORTRANGE(""https://docs.google.com/spreadsheets/d/1kGrh75X1cNR1D7_FcY9zMnHP8iPO4M5RCRjy6nZY0TY/edit#gid=1248694442"",""Table 3: 1st-line HC!D5:D111""), $A73=IMPORTRANGE(""https://docs.google.com/spreadsheets/d/1kGrh75X1cNR1D7_FcY9zMnHP8iPO4"&amp;"M5RCRjy6nZY0TY/edit#gid=1248694442"",""Table 3: 1st-line HC!A5:A111"")),"""")"),"")</f>
        <v/>
      </c>
      <c r="N73" s="14" t="str">
        <f>IFERROR(__xludf.DUMMYFUNCTION("IFNA(FILTER(IMPORTRANGE(""https://docs.google.com/spreadsheets/d/1kGrh75X1cNR1D7_FcY9zMnHP8iPO4M5RCRjy6nZY0TY/edit#gid=1248694442"",""Table 3: 1st-line HC!E5:E111""), $A73=IMPORTRANGE(""https://docs.google.com/spreadsheets/d/1kGrh75X1cNR1D7_FcY9zMnHP8iPO4"&amp;"M5RCRjy6nZY0TY/edit#gid=1248694442"",""Table 3: 1st-line HC!A5:A111"")),"""")"),"")</f>
        <v/>
      </c>
      <c r="O73" s="14" t="str">
        <f>IFERROR(__xludf.DUMMYFUNCTION("IFNA(FILTER(IMPORTRANGE(""https://docs.google.com/spreadsheets/d/1kGrh75X1cNR1D7_FcY9zMnHP8iPO4M5RCRjy6nZY0TY/edit#gid=1248694442"",""Table 3: 1st-line HC!K5:K111""), $A73=IMPORTRANGE(""https://docs.google.com/spreadsheets/d/1kGrh75X1cNR1D7_FcY9zMnHP8iPO4"&amp;"M5RCRjy6nZY0TY/edit#gid=1248694442"",""Table 3: 1st-line HC!A5:A111"")),"""")"),"")</f>
        <v/>
      </c>
      <c r="P73" s="14" t="str">
        <f>IFERROR(__xludf.DUMMYFUNCTION("IFNA(FILTER(IMPORTRANGE(""https://docs.google.com/spreadsheets/d/1kGrh75X1cNR1D7_FcY9zMnHP8iPO4M5RCRjy6nZY0TY/edit#gid=1248694442"",""Table 3: 1st-line HC!L5:L111""), $A73=IMPORTRANGE(""https://docs.google.com/spreadsheets/d/1kGrh75X1cNR1D7_FcY9zMnHP8iPO4"&amp;"M5RCRjy6nZY0TY/edit#gid=1248694442"",""Table 3: 1st-line HC!A5:A111"")),"""")"),"")</f>
        <v/>
      </c>
      <c r="Q73" s="14" t="str">
        <f>IFERROR(__xludf.DUMMYFUNCTION("IFNA(FILTER(IMPORTRANGE(""https://docs.google.com/spreadsheets/d/1kGrh75X1cNR1D7_FcY9zMnHP8iPO4M5RCRjy6nZY0TY/edit#gid=1248694442"",""Table 3: 1st-line HC!M5:M111""), $A73=IMPORTRANGE(""https://docs.google.com/spreadsheets/d/1kGrh75X1cNR1D7_FcY9zMnHP8iPO4"&amp;"M5RCRjy6nZY0TY/edit#gid=1248694442"",""Table 3: 1st-line HC!A5:A111"")),"""")"),"")</f>
        <v/>
      </c>
      <c r="R73" s="14" t="str">
        <f>IFERROR(__xludf.DUMMYFUNCTION("IFNA(FILTER(IMPORTRANGE(""https://docs.google.com/spreadsheets/d/1kGrh75X1cNR1D7_FcY9zMnHP8iPO4M5RCRjy6nZY0TY/edit#gid=1248694442"",""Table 3: 1st-line HC!N5:N111""), $A73=IMPORTRANGE(""https://docs.google.com/spreadsheets/d/1kGrh75X1cNR1D7_FcY9zMnHP8iPO4"&amp;"M5RCRjy6nZY0TY/edit#gid=1248694442"",""Table 3: 1st-line HC!A5:A111"")),"""")"),"")</f>
        <v/>
      </c>
      <c r="S73" s="14">
        <f>IFERROR(__xludf.DUMMYFUNCTION("IFNA(FILTER(IMPORTRANGE(""https://docs.google.com/spreadsheets/d/1kGrh75X1cNR1D7_FcY9zMnHP8iPO4M5RCRjy6nZY0TY/edit#gid=1248694442"",""Table 3: 1st-line HC!T5:T111""), $A73=IMPORTRANGE(""https://docs.google.com/spreadsheets/d/1kGrh75X1cNR1D7_FcY9zMnHP8iPO4"&amp;"M5RCRjy6nZY0TY/edit#gid=1248694442"",""Table 3: 1st-line HC!A5:A111"")),"""")"),1.0)</f>
        <v>1</v>
      </c>
      <c r="T73" s="14" t="str">
        <f>IFERROR(__xludf.DUMMYFUNCTION("IFNA(FILTER(IMPORTRANGE(""https://docs.google.com/spreadsheets/d/1kGrh75X1cNR1D7_FcY9zMnHP8iPO4M5RCRjy6nZY0TY/edit#gid=1248694442"",""Table 3: 1st-line HC!U5:U111""), $A73=IMPORTRANGE(""https://docs.google.com/spreadsheets/d/1kGrh75X1cNR1D7_FcY9zMnHP8iPO4"&amp;"M5RCRjy6nZY0TY/edit#gid=1248694442"",""Table 3: 1st-line HC!A5:A111"")),"""")"),"")</f>
        <v/>
      </c>
      <c r="U73" s="14" t="str">
        <f>IFERROR(__xludf.DUMMYFUNCTION("IFNA(FILTER(IMPORTRANGE(""https://docs.google.com/spreadsheets/d/1kGrh75X1cNR1D7_FcY9zMnHP8iPO4M5RCRjy6nZY0TY/edit#gid=1248694442"",""Table 3: 1st-line HC!V5:V111""), $A73=IMPORTRANGE(""https://docs.google.com/spreadsheets/d/1kGrh75X1cNR1D7_FcY9zMnHP8iPO4"&amp;"M5RCRjy6nZY0TY/edit#gid=1248694442"",""Table 3: 1st-line HC!A5:A111"")),"""")"),"")</f>
        <v/>
      </c>
      <c r="V73" s="14" t="str">
        <f>IFERROR(__xludf.DUMMYFUNCTION("IFNA(FILTER(IMPORTRANGE(""https://docs.google.com/spreadsheets/d/1kGrh75X1cNR1D7_FcY9zMnHP8iPO4M5RCRjy6nZY0TY/edit#gid=1248694442"",""Table 3: 1st-line HC!AE5:AE111""), $A73=IMPORTRANGE(""https://docs.google.com/spreadsheets/d/1kGrh75X1cNR1D7_FcY9zMnHP8iP"&amp;"O4M5RCRjy6nZY0TY/edit#gid=1248694442"",""Table 3: 1st-line HC!A5:A111"")),"""")"),"")</f>
        <v/>
      </c>
      <c r="W73" s="14" t="str">
        <f>IFERROR(__xludf.DUMMYFUNCTION("IFNA(FILTER(IMPORTRANGE(""https://docs.google.com/spreadsheets/d/1kGrh75X1cNR1D7_FcY9zMnHP8iPO4M5RCRjy6nZY0TY/edit#gid=1248694442"",""Table 3: 1st-line HC!AG5:AG111""), $A73=IMPORTRANGE(""https://docs.google.com/spreadsheets/d/1kGrh75X1cNR1D7_FcY9zMnHP8iP"&amp;"O4M5RCRjy6nZY0TY/edit#gid=1248694442"",""Table 3: 1st-line HC!A5:A111"")),"""")"),"")</f>
        <v/>
      </c>
      <c r="X73" s="14">
        <f>IFERROR(__xludf.DUMMYFUNCTION("IFNA(FILTER(IMPORTRANGE(""https://docs.google.com/spreadsheets/d/1kGrh75X1cNR1D7_FcY9zMnHP8iPO4M5RCRjy6nZY0TY/edit#gid=1248694442"",""Table 3: 1st-line HC!AI5:AI111""), $A73=IMPORTRANGE(""https://docs.google.com/spreadsheets/d/1kGrh75X1cNR1D7_FcY9zMnHP8iP"&amp;"O4M5RCRjy6nZY0TY/edit#gid=1248694442"",""Table 3: 1st-line HC!A5:A111"")),"""")"),310.71)</f>
        <v>310.71</v>
      </c>
    </row>
    <row r="74">
      <c r="A74" s="4" t="str">
        <f>IFERROR(__xludf.DUMMYFUNCTION("""COMPUTED_VALUE"""),"ID 160")</f>
        <v>ID 160</v>
      </c>
      <c r="B74" s="14" t="str">
        <f>IFERROR(__xludf.DUMMYFUNCTION("IFNA(FILTER(IMPORTRANGE(""https://docs.google.com/spreadsheets/d/1kGrh75X1cNR1D7_FcY9zMnHP8iPO4M5RCRjy6nZY0TY/edit#gid=1248694442"",""Table 2: MMC!D5:D114""), $A74=IMPORTRANGE(""https://docs.google.com/spreadsheets/d/1kGrh75X1cNR1D7_FcY9zMnHP8iPO4M5RCRjy6"&amp;"nZY0TY/edit#gid=1248694442"",""Table 2: MMC!A5:A114"")),"""")"),"")</f>
        <v/>
      </c>
      <c r="C74" s="14" t="str">
        <f>IFERROR(__xludf.DUMMYFUNCTION("IFNA(FILTER(IMPORTRANGE(""https://docs.google.com/spreadsheets/d/1kGrh75X1cNR1D7_FcY9zMnHP8iPO4M5RCRjy6nZY0TY/edit#gid=1248694442"",""Table 2: MMC!E5:E114""), $A74=IMPORTRANGE(""https://docs.google.com/spreadsheets/d/1kGrh75X1cNR1D7_FcY9zMnHP8iPO4M5RCRjy6"&amp;"nZY0TY/edit#gid=1248694442"",""Table 2: MMC!A5:A114"")),"""")"),"")</f>
        <v/>
      </c>
      <c r="D74" s="14" t="str">
        <f>IFERROR(__xludf.DUMMYFUNCTION("IFNA(FILTER(IMPORTRANGE(""https://docs.google.com/spreadsheets/d/1kGrh75X1cNR1D7_FcY9zMnHP8iPO4M5RCRjy6nZY0TY/edit#gid=1248694442"",""Table 2: MMC!F5:F114""), $A74=IMPORTRANGE(""https://docs.google.com/spreadsheets/d/1kGrh75X1cNR1D7_FcY9zMnHP8iPO4M5RCRjy6"&amp;"nZY0TY/edit#gid=1248694442"",""Table 2: MMC!A5:A114"")),"""")"),"")</f>
        <v/>
      </c>
      <c r="E74" s="14" t="str">
        <f>IFERROR(__xludf.DUMMYFUNCTION("IFNA(FILTER(IMPORTRANGE(""https://docs.google.com/spreadsheets/d/1kGrh75X1cNR1D7_FcY9zMnHP8iPO4M5RCRjy6nZY0TY/edit#gid=1248694442"",""Table 2: MMC!G5:G114""), $A74=IMPORTRANGE(""https://docs.google.com/spreadsheets/d/1kGrh75X1cNR1D7_FcY9zMnHP8iPO4M5RCRjy6"&amp;"nZY0TY/edit#gid=1248694442"",""Table 2: MMC!A5:A114"")),"""")"),"")</f>
        <v/>
      </c>
      <c r="F74" s="14" t="str">
        <f>IFERROR(__xludf.DUMMYFUNCTION("IFNA(FILTER(IMPORTRANGE(""https://docs.google.com/spreadsheets/d/1kGrh75X1cNR1D7_FcY9zMnHP8iPO4M5RCRjy6nZY0TY/edit#gid=1248694442"",""Table 2: MMC!H5:H114""), $A74=IMPORTRANGE(""https://docs.google.com/spreadsheets/d/1kGrh75X1cNR1D7_FcY9zMnHP8iPO4M5RCRjy6"&amp;"nZY0TY/edit#gid=1248694442"",""Table 2: MMC!A5:A114"")),"""")"),"")</f>
        <v/>
      </c>
      <c r="G74" s="14" t="str">
        <f>IFERROR(__xludf.DUMMYFUNCTION("IFNA(FILTER(IMPORTRANGE(""https://docs.google.com/spreadsheets/d/1kGrh75X1cNR1D7_FcY9zMnHP8iPO4M5RCRjy6nZY0TY/edit#gid=1248694442"",""Table 2: MMC!I5:I114""), $A74=IMPORTRANGE(""https://docs.google.com/spreadsheets/d/1kGrh75X1cNR1D7_FcY9zMnHP8iPO4M5RCRjy6"&amp;"nZY0TY/edit#gid=1248694442"",""Table 2: MMC!A5:A114"")),"""")"),"")</f>
        <v/>
      </c>
      <c r="H74" s="14" t="str">
        <f>IFERROR(__xludf.DUMMYFUNCTION("IFNA(FILTER(IMPORTRANGE(""https://docs.google.com/spreadsheets/d/1kGrh75X1cNR1D7_FcY9zMnHP8iPO4M5RCRjy6nZY0TY/edit#gid=1248694442"",""Table 2: MMC!J5:J114""), $A74=IMPORTRANGE(""https://docs.google.com/spreadsheets/d/1kGrh75X1cNR1D7_FcY9zMnHP8iPO4M5RCRjy6"&amp;"nZY0TY/edit#gid=1248694442"",""Table 2: MMC!A5:A114"")),"""")"),"post-natal")</f>
        <v>post-natal</v>
      </c>
      <c r="I74" s="14" t="str">
        <f>IFERROR(__xludf.DUMMYFUNCTION("IFNA(FILTER(IMPORTRANGE(""https://docs.google.com/spreadsheets/d/1kGrh75X1cNR1D7_FcY9zMnHP8iPO4M5RCRjy6nZY0TY/edit#gid=1248694442"",""Table 2: MMC!M5:M114""), $A74=IMPORTRANGE(""https://docs.google.com/spreadsheets/d/1kGrh75X1cNR1D7_FcY9zMnHP8iPO4M5RCRjy6"&amp;"nZY0TY/edit#gid=1248694442"",""Table 2: MMC!A5:A114"")),"""")"),"")</f>
        <v/>
      </c>
      <c r="J74" s="14" t="str">
        <f>IFERROR(__xludf.DUMMYFUNCTION("IFNA(FILTER(IMPORTRANGE(""https://docs.google.com/spreadsheets/d/1kGrh75X1cNR1D7_FcY9zMnHP8iPO4M5RCRjy6nZY0TY/edit#gid=1248694442"",""Table 2: MMC!Q5:Q114""), $A74=IMPORTRANGE(""https://docs.google.com/spreadsheets/d/1kGrh75X1cNR1D7_FcY9zMnHP8iPO4M5RCRjy6"&amp;"nZY0TY/edit#gid=1248694442"",""Table 2: MMC!A5:A114"")),"""")"),"")</f>
        <v/>
      </c>
      <c r="K74" s="14" t="str">
        <f>IFERROR(__xludf.DUMMYFUNCTION("IFNA(FILTER(IMPORTRANGE(""https://docs.google.com/spreadsheets/d/1kGrh75X1cNR1D7_FcY9zMnHP8iPO4M5RCRjy6nZY0TY/edit#gid=1248694442"",""Table 2: MMC!R5:R114""), $A74=IMPORTRANGE(""https://docs.google.com/spreadsheets/d/1kGrh75X1cNR1D7_FcY9zMnHP8iPO4M5RCRjy6"&amp;"nZY0TY/edit#gid=1248694442"",""Table 2: MMC!A5:A114"")),"""")"),"")</f>
        <v/>
      </c>
      <c r="L74" s="14" t="str">
        <f>IFERROR(__xludf.DUMMYFUNCTION("IFNA(FILTER(IMPORTRANGE(""https://docs.google.com/spreadsheets/d/1kGrh75X1cNR1D7_FcY9zMnHP8iPO4M5RCRjy6nZY0TY/edit#gid=1248694442"",""Table 2: MMC!S5:S114""), $A74=IMPORTRANGE(""https://docs.google.com/spreadsheets/d/1kGrh75X1cNR1D7_FcY9zMnHP8iPO4M5RCRjy6"&amp;"nZY0TY/edit#gid=1248694442"",""Table 2: MMC!A5:A114"")),"""")"),"")</f>
        <v/>
      </c>
      <c r="M74" s="14" t="str">
        <f>IFERROR(__xludf.DUMMYFUNCTION("IFNA(FILTER(IMPORTRANGE(""https://docs.google.com/spreadsheets/d/1kGrh75X1cNR1D7_FcY9zMnHP8iPO4M5RCRjy6nZY0TY/edit#gid=1248694442"",""Table 3: 1st-line HC!D5:D111""), $A74=IMPORTRANGE(""https://docs.google.com/spreadsheets/d/1kGrh75X1cNR1D7_FcY9zMnHP8iPO4"&amp;"M5RCRjy6nZY0TY/edit#gid=1248694442"",""Table 3: 1st-line HC!A5:A111"")),"""")"),"")</f>
        <v/>
      </c>
      <c r="N74" s="14" t="str">
        <f>IFERROR(__xludf.DUMMYFUNCTION("IFNA(FILTER(IMPORTRANGE(""https://docs.google.com/spreadsheets/d/1kGrh75X1cNR1D7_FcY9zMnHP8iPO4M5RCRjy6nZY0TY/edit#gid=1248694442"",""Table 3: 1st-line HC!E5:E111""), $A74=IMPORTRANGE(""https://docs.google.com/spreadsheets/d/1kGrh75X1cNR1D7_FcY9zMnHP8iPO4"&amp;"M5RCRjy6nZY0TY/edit#gid=1248694442"",""Table 3: 1st-line HC!A5:A111"")),"""")"),"")</f>
        <v/>
      </c>
      <c r="O74" s="14" t="str">
        <f>IFERROR(__xludf.DUMMYFUNCTION("IFNA(FILTER(IMPORTRANGE(""https://docs.google.com/spreadsheets/d/1kGrh75X1cNR1D7_FcY9zMnHP8iPO4M5RCRjy6nZY0TY/edit#gid=1248694442"",""Table 3: 1st-line HC!K5:K111""), $A74=IMPORTRANGE(""https://docs.google.com/spreadsheets/d/1kGrh75X1cNR1D7_FcY9zMnHP8iPO4"&amp;"M5RCRjy6nZY0TY/edit#gid=1248694442"",""Table 3: 1st-line HC!A5:A111"")),"""")"),"")</f>
        <v/>
      </c>
      <c r="P74" s="14" t="str">
        <f>IFERROR(__xludf.DUMMYFUNCTION("IFNA(FILTER(IMPORTRANGE(""https://docs.google.com/spreadsheets/d/1kGrh75X1cNR1D7_FcY9zMnHP8iPO4M5RCRjy6nZY0TY/edit#gid=1248694442"",""Table 3: 1st-line HC!L5:L111""), $A74=IMPORTRANGE(""https://docs.google.com/spreadsheets/d/1kGrh75X1cNR1D7_FcY9zMnHP8iPO4"&amp;"M5RCRjy6nZY0TY/edit#gid=1248694442"",""Table 3: 1st-line HC!A5:A111"")),"""")"),"")</f>
        <v/>
      </c>
      <c r="Q74" s="14" t="str">
        <f>IFERROR(__xludf.DUMMYFUNCTION("IFNA(FILTER(IMPORTRANGE(""https://docs.google.com/spreadsheets/d/1kGrh75X1cNR1D7_FcY9zMnHP8iPO4M5RCRjy6nZY0TY/edit#gid=1248694442"",""Table 3: 1st-line HC!M5:M111""), $A74=IMPORTRANGE(""https://docs.google.com/spreadsheets/d/1kGrh75X1cNR1D7_FcY9zMnHP8iPO4"&amp;"M5RCRjy6nZY0TY/edit#gid=1248694442"",""Table 3: 1st-line HC!A5:A111"")),"""")"),"")</f>
        <v/>
      </c>
      <c r="R74" s="14" t="str">
        <f>IFERROR(__xludf.DUMMYFUNCTION("IFNA(FILTER(IMPORTRANGE(""https://docs.google.com/spreadsheets/d/1kGrh75X1cNR1D7_FcY9zMnHP8iPO4M5RCRjy6nZY0TY/edit#gid=1248694442"",""Table 3: 1st-line HC!N5:N111""), $A74=IMPORTRANGE(""https://docs.google.com/spreadsheets/d/1kGrh75X1cNR1D7_FcY9zMnHP8iPO4"&amp;"M5RCRjy6nZY0TY/edit#gid=1248694442"",""Table 3: 1st-line HC!A5:A111"")),"""")"),"")</f>
        <v/>
      </c>
      <c r="S74" s="14" t="str">
        <f>IFERROR(__xludf.DUMMYFUNCTION("IFNA(FILTER(IMPORTRANGE(""https://docs.google.com/spreadsheets/d/1kGrh75X1cNR1D7_FcY9zMnHP8iPO4M5RCRjy6nZY0TY/edit#gid=1248694442"",""Table 3: 1st-line HC!T5:T111""), $A74=IMPORTRANGE(""https://docs.google.com/spreadsheets/d/1kGrh75X1cNR1D7_FcY9zMnHP8iPO4"&amp;"M5RCRjy6nZY0TY/edit#gid=1248694442"",""Table 3: 1st-line HC!A5:A111"")),"""")"),"")</f>
        <v/>
      </c>
      <c r="T74" s="14" t="str">
        <f>IFERROR(__xludf.DUMMYFUNCTION("IFNA(FILTER(IMPORTRANGE(""https://docs.google.com/spreadsheets/d/1kGrh75X1cNR1D7_FcY9zMnHP8iPO4M5RCRjy6nZY0TY/edit#gid=1248694442"",""Table 3: 1st-line HC!U5:U111""), $A74=IMPORTRANGE(""https://docs.google.com/spreadsheets/d/1kGrh75X1cNR1D7_FcY9zMnHP8iPO4"&amp;"M5RCRjy6nZY0TY/edit#gid=1248694442"",""Table 3: 1st-line HC!A5:A111"")),"""")"),"")</f>
        <v/>
      </c>
      <c r="U74" s="14" t="str">
        <f>IFERROR(__xludf.DUMMYFUNCTION("IFNA(FILTER(IMPORTRANGE(""https://docs.google.com/spreadsheets/d/1kGrh75X1cNR1D7_FcY9zMnHP8iPO4M5RCRjy6nZY0TY/edit#gid=1248694442"",""Table 3: 1st-line HC!V5:V111""), $A74=IMPORTRANGE(""https://docs.google.com/spreadsheets/d/1kGrh75X1cNR1D7_FcY9zMnHP8iPO4"&amp;"M5RCRjy6nZY0TY/edit#gid=1248694442"",""Table 3: 1st-line HC!A5:A111"")),"""")"),"")</f>
        <v/>
      </c>
      <c r="V74" s="14" t="str">
        <f>IFERROR(__xludf.DUMMYFUNCTION("IFNA(FILTER(IMPORTRANGE(""https://docs.google.com/spreadsheets/d/1kGrh75X1cNR1D7_FcY9zMnHP8iPO4M5RCRjy6nZY0TY/edit#gid=1248694442"",""Table 3: 1st-line HC!AE5:AE111""), $A74=IMPORTRANGE(""https://docs.google.com/spreadsheets/d/1kGrh75X1cNR1D7_FcY9zMnHP8iP"&amp;"O4M5RCRjy6nZY0TY/edit#gid=1248694442"",""Table 3: 1st-line HC!A5:A111"")),"""")"),"")</f>
        <v/>
      </c>
      <c r="W74" s="14" t="str">
        <f>IFERROR(__xludf.DUMMYFUNCTION("IFNA(FILTER(IMPORTRANGE(""https://docs.google.com/spreadsheets/d/1kGrh75X1cNR1D7_FcY9zMnHP8iPO4M5RCRjy6nZY0TY/edit#gid=1248694442"",""Table 3: 1st-line HC!AG5:AG111""), $A74=IMPORTRANGE(""https://docs.google.com/spreadsheets/d/1kGrh75X1cNR1D7_FcY9zMnHP8iP"&amp;"O4M5RCRjy6nZY0TY/edit#gid=1248694442"",""Table 3: 1st-line HC!A5:A111"")),"""")"),"")</f>
        <v/>
      </c>
      <c r="X74" s="14" t="str">
        <f>IFERROR(__xludf.DUMMYFUNCTION("IFNA(FILTER(IMPORTRANGE(""https://docs.google.com/spreadsheets/d/1kGrh75X1cNR1D7_FcY9zMnHP8iPO4M5RCRjy6nZY0TY/edit#gid=1248694442"",""Table 3: 1st-line HC!AI5:AI111""), $A74=IMPORTRANGE(""https://docs.google.com/spreadsheets/d/1kGrh75X1cNR1D7_FcY9zMnHP8iP"&amp;"O4M5RCRjy6nZY0TY/edit#gid=1248694442"",""Table 3: 1st-line HC!A5:A111"")),"""")"),"")</f>
        <v/>
      </c>
    </row>
    <row r="75">
      <c r="A75" s="4" t="str">
        <f>IFERROR(__xludf.DUMMYFUNCTION("""COMPUTED_VALUE"""),"ID 161")</f>
        <v>ID 161</v>
      </c>
      <c r="B75" s="14" t="str">
        <f>IFERROR(__xludf.DUMMYFUNCTION("IFNA(FILTER(IMPORTRANGE(""https://docs.google.com/spreadsheets/d/1kGrh75X1cNR1D7_FcY9zMnHP8iPO4M5RCRjy6nZY0TY/edit#gid=1248694442"",""Table 2: MMC!D5:D114""), $A75=IMPORTRANGE(""https://docs.google.com/spreadsheets/d/1kGrh75X1cNR1D7_FcY9zMnHP8iPO4M5RCRjy6"&amp;"nZY0TY/edit#gid=1248694442"",""Table 2: MMC!A5:A114"")),"""")"),"")</f>
        <v/>
      </c>
      <c r="C75" s="14">
        <f>IFERROR(__xludf.DUMMYFUNCTION("IFNA(FILTER(IMPORTRANGE(""https://docs.google.com/spreadsheets/d/1kGrh75X1cNR1D7_FcY9zMnHP8iPO4M5RCRjy6nZY0TY/edit#gid=1248694442"",""Table 2: MMC!E5:E114""), $A75=IMPORTRANGE(""https://docs.google.com/spreadsheets/d/1kGrh75X1cNR1D7_FcY9zMnHP8iPO4M5RCRjy6"&amp;"nZY0TY/edit#gid=1248694442"",""Table 2: MMC!A5:A114"")),"""")"),4.0)</f>
        <v>4</v>
      </c>
      <c r="D75" s="14" t="str">
        <f>IFERROR(__xludf.DUMMYFUNCTION("IFNA(FILTER(IMPORTRANGE(""https://docs.google.com/spreadsheets/d/1kGrh75X1cNR1D7_FcY9zMnHP8iPO4M5RCRjy6nZY0TY/edit#gid=1248694442"",""Table 2: MMC!F5:F114""), $A75=IMPORTRANGE(""https://docs.google.com/spreadsheets/d/1kGrh75X1cNR1D7_FcY9zMnHP8iPO4M5RCRjy6"&amp;"nZY0TY/edit#gid=1248694442"",""Table 2: MMC!A5:A114"")),"""")"),"")</f>
        <v/>
      </c>
      <c r="E75" s="14">
        <f>IFERROR(__xludf.DUMMYFUNCTION("IFNA(FILTER(IMPORTRANGE(""https://docs.google.com/spreadsheets/d/1kGrh75X1cNR1D7_FcY9zMnHP8iPO4M5RCRjy6nZY0TY/edit#gid=1248694442"",""Table 2: MMC!G5:G114""), $A75=IMPORTRANGE(""https://docs.google.com/spreadsheets/d/1kGrh75X1cNR1D7_FcY9zMnHP8iPO4M5RCRjy6"&amp;"nZY0TY/edit#gid=1248694442"",""Table 2: MMC!A5:A114"")),"""")"),48.0)</f>
        <v>48</v>
      </c>
      <c r="F75" s="14" t="str">
        <f>IFERROR(__xludf.DUMMYFUNCTION("IFNA(FILTER(IMPORTRANGE(""https://docs.google.com/spreadsheets/d/1kGrh75X1cNR1D7_FcY9zMnHP8iPO4M5RCRjy6nZY0TY/edit#gid=1248694442"",""Table 2: MMC!H5:H114""), $A75=IMPORTRANGE(""https://docs.google.com/spreadsheets/d/1kGrh75X1cNR1D7_FcY9zMnHP8iPO4M5RCRjy6"&amp;"nZY0TY/edit#gid=1248694442"",""Table 2: MMC!A5:A114"")),"""")"),"")</f>
        <v/>
      </c>
      <c r="G75" s="14">
        <f>IFERROR(__xludf.DUMMYFUNCTION("IFNA(FILTER(IMPORTRANGE(""https://docs.google.com/spreadsheets/d/1kGrh75X1cNR1D7_FcY9zMnHP8iPO4M5RCRjy6nZY0TY/edit#gid=1248694442"",""Table 2: MMC!I5:I114""), $A75=IMPORTRANGE(""https://docs.google.com/spreadsheets/d/1kGrh75X1cNR1D7_FcY9zMnHP8iPO4M5RCRjy6"&amp;"nZY0TY/edit#gid=1248694442"",""Table 2: MMC!A5:A114"")),"""")"),2.0)</f>
        <v>2</v>
      </c>
      <c r="H75" s="14" t="str">
        <f>IFERROR(__xludf.DUMMYFUNCTION("IFNA(FILTER(IMPORTRANGE(""https://docs.google.com/spreadsheets/d/1kGrh75X1cNR1D7_FcY9zMnHP8iPO4M5RCRjy6nZY0TY/edit#gid=1248694442"",""Table 2: MMC!J5:J114""), $A75=IMPORTRANGE(""https://docs.google.com/spreadsheets/d/1kGrh75X1cNR1D7_FcY9zMnHP8iPO4M5RCRjy6"&amp;"nZY0TY/edit#gid=1248694442"",""Table 2: MMC!A5:A114"")),"""")"),"Both")</f>
        <v>Both</v>
      </c>
      <c r="I75" s="14" t="str">
        <f>IFERROR(__xludf.DUMMYFUNCTION("IFNA(FILTER(IMPORTRANGE(""https://docs.google.com/spreadsheets/d/1kGrh75X1cNR1D7_FcY9zMnHP8iPO4M5RCRjy6nZY0TY/edit#gid=1248694442"",""Table 2: MMC!M5:M114""), $A75=IMPORTRANGE(""https://docs.google.com/spreadsheets/d/1kGrh75X1cNR1D7_FcY9zMnHP8iPO4M5RCRjy6"&amp;"nZY0TY/edit#gid=1248694442"",""Table 2: MMC!A5:A114"")),"""")"),"")</f>
        <v/>
      </c>
      <c r="J75" s="14" t="str">
        <f>IFERROR(__xludf.DUMMYFUNCTION("IFNA(FILTER(IMPORTRANGE(""https://docs.google.com/spreadsheets/d/1kGrh75X1cNR1D7_FcY9zMnHP8iPO4M5RCRjy6nZY0TY/edit#gid=1248694442"",""Table 2: MMC!Q5:Q114""), $A75=IMPORTRANGE(""https://docs.google.com/spreadsheets/d/1kGrh75X1cNR1D7_FcY9zMnHP8iPO4M5RCRjy6"&amp;"nZY0TY/edit#gid=1248694442"",""Table 2: MMC!A5:A114"")),"""")"),"")</f>
        <v/>
      </c>
      <c r="K75" s="14" t="str">
        <f>IFERROR(__xludf.DUMMYFUNCTION("IFNA(FILTER(IMPORTRANGE(""https://docs.google.com/spreadsheets/d/1kGrh75X1cNR1D7_FcY9zMnHP8iPO4M5RCRjy6nZY0TY/edit#gid=1248694442"",""Table 2: MMC!R5:R114""), $A75=IMPORTRANGE(""https://docs.google.com/spreadsheets/d/1kGrh75X1cNR1D7_FcY9zMnHP8iPO4M5RCRjy6"&amp;"nZY0TY/edit#gid=1248694442"",""Table 2: MMC!A5:A114"")),"""")"),"")</f>
        <v/>
      </c>
      <c r="L75" s="14" t="str">
        <f>IFERROR(__xludf.DUMMYFUNCTION("IFNA(FILTER(IMPORTRANGE(""https://docs.google.com/spreadsheets/d/1kGrh75X1cNR1D7_FcY9zMnHP8iPO4M5RCRjy6nZY0TY/edit#gid=1248694442"",""Table 2: MMC!S5:S114""), $A75=IMPORTRANGE(""https://docs.google.com/spreadsheets/d/1kGrh75X1cNR1D7_FcY9zMnHP8iPO4M5RCRjy6"&amp;"nZY0TY/edit#gid=1248694442"",""Table 2: MMC!A5:A114"")),"""")"),"")</f>
        <v/>
      </c>
      <c r="M75" s="14" t="str">
        <f>IFERROR(__xludf.DUMMYFUNCTION("IFNA(FILTER(IMPORTRANGE(""https://docs.google.com/spreadsheets/d/1kGrh75X1cNR1D7_FcY9zMnHP8iPO4M5RCRjy6nZY0TY/edit#gid=1248694442"",""Table 3: 1st-line HC!D5:D111""), $A75=IMPORTRANGE(""https://docs.google.com/spreadsheets/d/1kGrh75X1cNR1D7_FcY9zMnHP8iPO4"&amp;"M5RCRjy6nZY0TY/edit#gid=1248694442"",""Table 3: 1st-line HC!A5:A111"")),"""")"),"")</f>
        <v/>
      </c>
      <c r="N75" s="14">
        <f>IFERROR(__xludf.DUMMYFUNCTION("IFNA(FILTER(IMPORTRANGE(""https://docs.google.com/spreadsheets/d/1kGrh75X1cNR1D7_FcY9zMnHP8iPO4M5RCRjy6nZY0TY/edit#gid=1248694442"",""Table 3: 1st-line HC!E5:E111""), $A75=IMPORTRANGE(""https://docs.google.com/spreadsheets/d/1kGrh75X1cNR1D7_FcY9zMnHP8iPO4"&amp;"M5RCRjy6nZY0TY/edit#gid=1248694442"",""Table 3: 1st-line HC!A5:A111"")),"""")"),61.6)</f>
        <v>61.6</v>
      </c>
      <c r="O75" s="14" t="str">
        <f>IFERROR(__xludf.DUMMYFUNCTION("IFNA(FILTER(IMPORTRANGE(""https://docs.google.com/spreadsheets/d/1kGrh75X1cNR1D7_FcY9zMnHP8iPO4M5RCRjy6nZY0TY/edit#gid=1248694442"",""Table 3: 1st-line HC!K5:K111""), $A75=IMPORTRANGE(""https://docs.google.com/spreadsheets/d/1kGrh75X1cNR1D7_FcY9zMnHP8iPO4"&amp;"M5RCRjy6nZY0TY/edit#gid=1248694442"",""Table 3: 1st-line HC!A5:A111"")),"""")"),"")</f>
        <v/>
      </c>
      <c r="P75" s="14" t="str">
        <f>IFERROR(__xludf.DUMMYFUNCTION("IFNA(FILTER(IMPORTRANGE(""https://docs.google.com/spreadsheets/d/1kGrh75X1cNR1D7_FcY9zMnHP8iPO4M5RCRjy6nZY0TY/edit#gid=1248694442"",""Table 3: 1st-line HC!L5:L111""), $A75=IMPORTRANGE(""https://docs.google.com/spreadsheets/d/1kGrh75X1cNR1D7_FcY9zMnHP8iPO4"&amp;"M5RCRjy6nZY0TY/edit#gid=1248694442"",""Table 3: 1st-line HC!A5:A111"")),"""")"),"")</f>
        <v/>
      </c>
      <c r="Q75" s="14" t="str">
        <f>IFERROR(__xludf.DUMMYFUNCTION("IFNA(FILTER(IMPORTRANGE(""https://docs.google.com/spreadsheets/d/1kGrh75X1cNR1D7_FcY9zMnHP8iPO4M5RCRjy6nZY0TY/edit#gid=1248694442"",""Table 3: 1st-line HC!M5:M111""), $A75=IMPORTRANGE(""https://docs.google.com/spreadsheets/d/1kGrh75X1cNR1D7_FcY9zMnHP8iPO4"&amp;"M5RCRjy6nZY0TY/edit#gid=1248694442"",""Table 3: 1st-line HC!A5:A111"")),"""")"),"")</f>
        <v/>
      </c>
      <c r="R75" s="14" t="str">
        <f>IFERROR(__xludf.DUMMYFUNCTION("IFNA(FILTER(IMPORTRANGE(""https://docs.google.com/spreadsheets/d/1kGrh75X1cNR1D7_FcY9zMnHP8iPO4M5RCRjy6nZY0TY/edit#gid=1248694442"",""Table 3: 1st-line HC!N5:N111""), $A75=IMPORTRANGE(""https://docs.google.com/spreadsheets/d/1kGrh75X1cNR1D7_FcY9zMnHP8iPO4"&amp;"M5RCRjy6nZY0TY/edit#gid=1248694442"",""Table 3: 1st-line HC!A5:A111"")),"""")"),"")</f>
        <v/>
      </c>
      <c r="S75" s="14" t="str">
        <f>IFERROR(__xludf.DUMMYFUNCTION("IFNA(FILTER(IMPORTRANGE(""https://docs.google.com/spreadsheets/d/1kGrh75X1cNR1D7_FcY9zMnHP8iPO4M5RCRjy6nZY0TY/edit#gid=1248694442"",""Table 3: 1st-line HC!T5:T111""), $A75=IMPORTRANGE(""https://docs.google.com/spreadsheets/d/1kGrh75X1cNR1D7_FcY9zMnHP8iPO4"&amp;"M5RCRjy6nZY0TY/edit#gid=1248694442"",""Table 3: 1st-line HC!A5:A111"")),"""")"),"")</f>
        <v/>
      </c>
      <c r="T75" s="14" t="str">
        <f>IFERROR(__xludf.DUMMYFUNCTION("IFNA(FILTER(IMPORTRANGE(""https://docs.google.com/spreadsheets/d/1kGrh75X1cNR1D7_FcY9zMnHP8iPO4M5RCRjy6nZY0TY/edit#gid=1248694442"",""Table 3: 1st-line HC!U5:U111""), $A75=IMPORTRANGE(""https://docs.google.com/spreadsheets/d/1kGrh75X1cNR1D7_FcY9zMnHP8iPO4"&amp;"M5RCRjy6nZY0TY/edit#gid=1248694442"",""Table 3: 1st-line HC!A5:A111"")),"""")"),"")</f>
        <v/>
      </c>
      <c r="U75" s="14" t="str">
        <f>IFERROR(__xludf.DUMMYFUNCTION("IFNA(FILTER(IMPORTRANGE(""https://docs.google.com/spreadsheets/d/1kGrh75X1cNR1D7_FcY9zMnHP8iPO4M5RCRjy6nZY0TY/edit#gid=1248694442"",""Table 3: 1st-line HC!V5:V111""), $A75=IMPORTRANGE(""https://docs.google.com/spreadsheets/d/1kGrh75X1cNR1D7_FcY9zMnHP8iPO4"&amp;"M5RCRjy6nZY0TY/edit#gid=1248694442"",""Table 3: 1st-line HC!A5:A111"")),"""")"),"")</f>
        <v/>
      </c>
      <c r="V75" s="14">
        <f>IFERROR(__xludf.DUMMYFUNCTION("IFNA(FILTER(IMPORTRANGE(""https://docs.google.com/spreadsheets/d/1kGrh75X1cNR1D7_FcY9zMnHP8iPO4M5RCRjy6nZY0TY/edit#gid=1248694442"",""Table 3: 1st-line HC!AE5:AE111""), $A75=IMPORTRANGE(""https://docs.google.com/spreadsheets/d/1kGrh75X1cNR1D7_FcY9zMnHP8iP"&amp;"O4M5RCRjy6nZY0TY/edit#gid=1248694442"",""Table 3: 1st-line HC!A5:A111"")),"""")"),131.6)</f>
        <v>131.6</v>
      </c>
      <c r="W75" s="14" t="str">
        <f>IFERROR(__xludf.DUMMYFUNCTION("IFNA(FILTER(IMPORTRANGE(""https://docs.google.com/spreadsheets/d/1kGrh75X1cNR1D7_FcY9zMnHP8iPO4M5RCRjy6nZY0TY/edit#gid=1248694442"",""Table 3: 1st-line HC!AG5:AG111""), $A75=IMPORTRANGE(""https://docs.google.com/spreadsheets/d/1kGrh75X1cNR1D7_FcY9zMnHP8iP"&amp;"O4M5RCRjy6nZY0TY/edit#gid=1248694442"",""Table 3: 1st-line HC!A5:A111"")),"""")"),"")</f>
        <v/>
      </c>
      <c r="X75" s="14" t="str">
        <f>IFERROR(__xludf.DUMMYFUNCTION("IFNA(FILTER(IMPORTRANGE(""https://docs.google.com/spreadsheets/d/1kGrh75X1cNR1D7_FcY9zMnHP8iPO4M5RCRjy6nZY0TY/edit#gid=1248694442"",""Table 3: 1st-line HC!AI5:AI111""), $A75=IMPORTRANGE(""https://docs.google.com/spreadsheets/d/1kGrh75X1cNR1D7_FcY9zMnHP8iP"&amp;"O4M5RCRjy6nZY0TY/edit#gid=1248694442"",""Table 3: 1st-line HC!A5:A111"")),"""")"),"28-52")</f>
        <v>28-52</v>
      </c>
    </row>
    <row r="76">
      <c r="A76" s="4" t="str">
        <f>IFERROR(__xludf.DUMMYFUNCTION("""COMPUTED_VALUE"""),"ID 162")</f>
        <v>ID 162</v>
      </c>
      <c r="B76" s="14">
        <f>IFERROR(__xludf.DUMMYFUNCTION("IFNA(FILTER(IMPORTRANGE(""https://docs.google.com/spreadsheets/d/1kGrh75X1cNR1D7_FcY9zMnHP8iPO4M5RCRjy6nZY0TY/edit#gid=1248694442"",""Table 2: MMC!D5:D114""), $A76=IMPORTRANGE(""https://docs.google.com/spreadsheets/d/1kGrh75X1cNR1D7_FcY9zMnHP8iPO4M5RCRjy6"&amp;"nZY0TY/edit#gid=1248694442"",""Table 2: MMC!A5:A114"")),"""")"),4.0)</f>
        <v>4</v>
      </c>
      <c r="C76" s="14" t="str">
        <f>IFERROR(__xludf.DUMMYFUNCTION("IFNA(FILTER(IMPORTRANGE(""https://docs.google.com/spreadsheets/d/1kGrh75X1cNR1D7_FcY9zMnHP8iPO4M5RCRjy6nZY0TY/edit#gid=1248694442"",""Table 2: MMC!E5:E114""), $A76=IMPORTRANGE(""https://docs.google.com/spreadsheets/d/1kGrh75X1cNR1D7_FcY9zMnHP8iPO4M5RCRjy6"&amp;"nZY0TY/edit#gid=1248694442"",""Table 2: MMC!A5:A114"")),"""")"),"")</f>
        <v/>
      </c>
      <c r="D76" s="14">
        <f>IFERROR(__xludf.DUMMYFUNCTION("IFNA(FILTER(IMPORTRANGE(""https://docs.google.com/spreadsheets/d/1kGrh75X1cNR1D7_FcY9zMnHP8iPO4M5RCRjy6nZY0TY/edit#gid=1248694442"",""Table 2: MMC!F5:F114""), $A76=IMPORTRANGE(""https://docs.google.com/spreadsheets/d/1kGrh75X1cNR1D7_FcY9zMnHP8iPO4M5RCRjy6"&amp;"nZY0TY/edit#gid=1248694442"",""Table 2: MMC!A5:A114"")),"""")"),23.0)</f>
        <v>23</v>
      </c>
      <c r="E76" s="14">
        <f>IFERROR(__xludf.DUMMYFUNCTION("IFNA(FILTER(IMPORTRANGE(""https://docs.google.com/spreadsheets/d/1kGrh75X1cNR1D7_FcY9zMnHP8iPO4M5RCRjy6nZY0TY/edit#gid=1248694442"",""Table 2: MMC!G5:G114""), $A76=IMPORTRANGE(""https://docs.google.com/spreadsheets/d/1kGrh75X1cNR1D7_FcY9zMnHP8iPO4M5RCRjy6"&amp;"nZY0TY/edit#gid=1248694442"",""Table 2: MMC!A5:A114"")),"""")"),44.0)</f>
        <v>44</v>
      </c>
      <c r="F76" s="14" t="str">
        <f>IFERROR(__xludf.DUMMYFUNCTION("IFNA(FILTER(IMPORTRANGE(""https://docs.google.com/spreadsheets/d/1kGrh75X1cNR1D7_FcY9zMnHP8iPO4M5RCRjy6nZY0TY/edit#gid=1248694442"",""Table 2: MMC!H5:H114""), $A76=IMPORTRANGE(""https://docs.google.com/spreadsheets/d/1kGrh75X1cNR1D7_FcY9zMnHP8iPO4M5RCRjy6"&amp;"nZY0TY/edit#gid=1248694442"",""Table 2: MMC!A5:A114"")),"""")"),"")</f>
        <v/>
      </c>
      <c r="G76" s="14" t="str">
        <f>IFERROR(__xludf.DUMMYFUNCTION("IFNA(FILTER(IMPORTRANGE(""https://docs.google.com/spreadsheets/d/1kGrh75X1cNR1D7_FcY9zMnHP8iPO4M5RCRjy6nZY0TY/edit#gid=1248694442"",""Table 2: MMC!I5:I114""), $A76=IMPORTRANGE(""https://docs.google.com/spreadsheets/d/1kGrh75X1cNR1D7_FcY9zMnHP8iPO4M5RCRjy6"&amp;"nZY0TY/edit#gid=1248694442"",""Table 2: MMC!A5:A114"")),"""")"),"")</f>
        <v/>
      </c>
      <c r="H76" s="14" t="str">
        <f>IFERROR(__xludf.DUMMYFUNCTION("IFNA(FILTER(IMPORTRANGE(""https://docs.google.com/spreadsheets/d/1kGrh75X1cNR1D7_FcY9zMnHP8iPO4M5RCRjy6nZY0TY/edit#gid=1248694442"",""Table 2: MMC!J5:J114""), $A76=IMPORTRANGE(""https://docs.google.com/spreadsheets/d/1kGrh75X1cNR1D7_FcY9zMnHP8iPO4M5RCRjy6"&amp;"nZY0TY/edit#gid=1248694442"",""Table 2: MMC!A5:A114"")),"""")"),"post-natal")</f>
        <v>post-natal</v>
      </c>
      <c r="I76" s="14" t="str">
        <f>IFERROR(__xludf.DUMMYFUNCTION("IFNA(FILTER(IMPORTRANGE(""https://docs.google.com/spreadsheets/d/1kGrh75X1cNR1D7_FcY9zMnHP8iPO4M5RCRjy6nZY0TY/edit#gid=1248694442"",""Table 2: MMC!M5:M114""), $A76=IMPORTRANGE(""https://docs.google.com/spreadsheets/d/1kGrh75X1cNR1D7_FcY9zMnHP8iPO4M5RCRjy6"&amp;"nZY0TY/edit#gid=1248694442"",""Table 2: MMC!A5:A114"")),"""")"),"")</f>
        <v/>
      </c>
      <c r="J76" s="14" t="str">
        <f>IFERROR(__xludf.DUMMYFUNCTION("IFNA(FILTER(IMPORTRANGE(""https://docs.google.com/spreadsheets/d/1kGrh75X1cNR1D7_FcY9zMnHP8iPO4M5RCRjy6nZY0TY/edit#gid=1248694442"",""Table 2: MMC!Q5:Q114""), $A76=IMPORTRANGE(""https://docs.google.com/spreadsheets/d/1kGrh75X1cNR1D7_FcY9zMnHP8iPO4M5RCRjy6"&amp;"nZY0TY/edit#gid=1248694442"",""Table 2: MMC!A5:A114"")),"""")"),"")</f>
        <v/>
      </c>
      <c r="K76" s="14" t="str">
        <f>IFERROR(__xludf.DUMMYFUNCTION("IFNA(FILTER(IMPORTRANGE(""https://docs.google.com/spreadsheets/d/1kGrh75X1cNR1D7_FcY9zMnHP8iPO4M5RCRjy6nZY0TY/edit#gid=1248694442"",""Table 2: MMC!R5:R114""), $A76=IMPORTRANGE(""https://docs.google.com/spreadsheets/d/1kGrh75X1cNR1D7_FcY9zMnHP8iPO4M5RCRjy6"&amp;"nZY0TY/edit#gid=1248694442"",""Table 2: MMC!A5:A114"")),"""")"),"")</f>
        <v/>
      </c>
      <c r="L76" s="14" t="str">
        <f>IFERROR(__xludf.DUMMYFUNCTION("IFNA(FILTER(IMPORTRANGE(""https://docs.google.com/spreadsheets/d/1kGrh75X1cNR1D7_FcY9zMnHP8iPO4M5RCRjy6nZY0TY/edit#gid=1248694442"",""Table 2: MMC!S5:S114""), $A76=IMPORTRANGE(""https://docs.google.com/spreadsheets/d/1kGrh75X1cNR1D7_FcY9zMnHP8iPO4M5RCRjy6"&amp;"nZY0TY/edit#gid=1248694442"",""Table 2: MMC!A5:A114"")),"""")"),"")</f>
        <v/>
      </c>
      <c r="M76" s="14" t="str">
        <f>IFERROR(__xludf.DUMMYFUNCTION("IFNA(FILTER(IMPORTRANGE(""https://docs.google.com/spreadsheets/d/1kGrh75X1cNR1D7_FcY9zMnHP8iPO4M5RCRjy6nZY0TY/edit#gid=1248694442"",""Table 3: 1st-line HC!D5:D111""), $A76=IMPORTRANGE(""https://docs.google.com/spreadsheets/d/1kGrh75X1cNR1D7_FcY9zMnHP8iPO4"&amp;"M5RCRjy6nZY0TY/edit#gid=1248694442"",""Table 3: 1st-line HC!A5:A111"")),"""")"),"")</f>
        <v/>
      </c>
      <c r="N76" s="14" t="str">
        <f>IFERROR(__xludf.DUMMYFUNCTION("IFNA(FILTER(IMPORTRANGE(""https://docs.google.com/spreadsheets/d/1kGrh75X1cNR1D7_FcY9zMnHP8iPO4M5RCRjy6nZY0TY/edit#gid=1248694442"",""Table 3: 1st-line HC!E5:E111""), $A76=IMPORTRANGE(""https://docs.google.com/spreadsheets/d/1kGrh75X1cNR1D7_FcY9zMnHP8iPO4"&amp;"M5RCRjy6nZY0TY/edit#gid=1248694442"",""Table 3: 1st-line HC!A5:A111"")),"""")"),"")</f>
        <v/>
      </c>
      <c r="O76" s="14" t="str">
        <f>IFERROR(__xludf.DUMMYFUNCTION("IFNA(FILTER(IMPORTRANGE(""https://docs.google.com/spreadsheets/d/1kGrh75X1cNR1D7_FcY9zMnHP8iPO4M5RCRjy6nZY0TY/edit#gid=1248694442"",""Table 3: 1st-line HC!K5:K111""), $A76=IMPORTRANGE(""https://docs.google.com/spreadsheets/d/1kGrh75X1cNR1D7_FcY9zMnHP8iPO4"&amp;"M5RCRjy6nZY0TY/edit#gid=1248694442"",""Table 3: 1st-line HC!A5:A111"")),"""")"),"")</f>
        <v/>
      </c>
      <c r="P76" s="14" t="str">
        <f>IFERROR(__xludf.DUMMYFUNCTION("IFNA(FILTER(IMPORTRANGE(""https://docs.google.com/spreadsheets/d/1kGrh75X1cNR1D7_FcY9zMnHP8iPO4M5RCRjy6nZY0TY/edit#gid=1248694442"",""Table 3: 1st-line HC!L5:L111""), $A76=IMPORTRANGE(""https://docs.google.com/spreadsheets/d/1kGrh75X1cNR1D7_FcY9zMnHP8iPO4"&amp;"M5RCRjy6nZY0TY/edit#gid=1248694442"",""Table 3: 1st-line HC!A5:A111"")),"""")"),"")</f>
        <v/>
      </c>
      <c r="Q76" s="14" t="str">
        <f>IFERROR(__xludf.DUMMYFUNCTION("IFNA(FILTER(IMPORTRANGE(""https://docs.google.com/spreadsheets/d/1kGrh75X1cNR1D7_FcY9zMnHP8iPO4M5RCRjy6nZY0TY/edit#gid=1248694442"",""Table 3: 1st-line HC!M5:M111""), $A76=IMPORTRANGE(""https://docs.google.com/spreadsheets/d/1kGrh75X1cNR1D7_FcY9zMnHP8iPO4"&amp;"M5RCRjy6nZY0TY/edit#gid=1248694442"",""Table 3: 1st-line HC!A5:A111"")),"""")"),"")</f>
        <v/>
      </c>
      <c r="R76" s="14" t="str">
        <f>IFERROR(__xludf.DUMMYFUNCTION("IFNA(FILTER(IMPORTRANGE(""https://docs.google.com/spreadsheets/d/1kGrh75X1cNR1D7_FcY9zMnHP8iPO4M5RCRjy6nZY0TY/edit#gid=1248694442"",""Table 3: 1st-line HC!N5:N111""), $A76=IMPORTRANGE(""https://docs.google.com/spreadsheets/d/1kGrh75X1cNR1D7_FcY9zMnHP8iPO4"&amp;"M5RCRjy6nZY0TY/edit#gid=1248694442"",""Table 3: 1st-line HC!A5:A111"")),"""")"),"")</f>
        <v/>
      </c>
      <c r="S76" s="14" t="str">
        <f>IFERROR(__xludf.DUMMYFUNCTION("IFNA(FILTER(IMPORTRANGE(""https://docs.google.com/spreadsheets/d/1kGrh75X1cNR1D7_FcY9zMnHP8iPO4M5RCRjy6nZY0TY/edit#gid=1248694442"",""Table 3: 1st-line HC!T5:T111""), $A76=IMPORTRANGE(""https://docs.google.com/spreadsheets/d/1kGrh75X1cNR1D7_FcY9zMnHP8iPO4"&amp;"M5RCRjy6nZY0TY/edit#gid=1248694442"",""Table 3: 1st-line HC!A5:A111"")),"""")"),"")</f>
        <v/>
      </c>
      <c r="T76" s="14" t="str">
        <f>IFERROR(__xludf.DUMMYFUNCTION("IFNA(FILTER(IMPORTRANGE(""https://docs.google.com/spreadsheets/d/1kGrh75X1cNR1D7_FcY9zMnHP8iPO4M5RCRjy6nZY0TY/edit#gid=1248694442"",""Table 3: 1st-line HC!U5:U111""), $A76=IMPORTRANGE(""https://docs.google.com/spreadsheets/d/1kGrh75X1cNR1D7_FcY9zMnHP8iPO4"&amp;"M5RCRjy6nZY0TY/edit#gid=1248694442"",""Table 3: 1st-line HC!A5:A111"")),"""")"),"")</f>
        <v/>
      </c>
      <c r="U76" s="14" t="str">
        <f>IFERROR(__xludf.DUMMYFUNCTION("IFNA(FILTER(IMPORTRANGE(""https://docs.google.com/spreadsheets/d/1kGrh75X1cNR1D7_FcY9zMnHP8iPO4M5RCRjy6nZY0TY/edit#gid=1248694442"",""Table 3: 1st-line HC!V5:V111""), $A76=IMPORTRANGE(""https://docs.google.com/spreadsheets/d/1kGrh75X1cNR1D7_FcY9zMnHP8iPO4"&amp;"M5RCRjy6nZY0TY/edit#gid=1248694442"",""Table 3: 1st-line HC!A5:A111"")),"""")"),"")</f>
        <v/>
      </c>
      <c r="V76" s="14" t="str">
        <f>IFERROR(__xludf.DUMMYFUNCTION("IFNA(FILTER(IMPORTRANGE(""https://docs.google.com/spreadsheets/d/1kGrh75X1cNR1D7_FcY9zMnHP8iPO4M5RCRjy6nZY0TY/edit#gid=1248694442"",""Table 3: 1st-line HC!AE5:AE111""), $A76=IMPORTRANGE(""https://docs.google.com/spreadsheets/d/1kGrh75X1cNR1D7_FcY9zMnHP8iP"&amp;"O4M5RCRjy6nZY0TY/edit#gid=1248694442"",""Table 3: 1st-line HC!A5:A111"")),"""")"),"")</f>
        <v/>
      </c>
      <c r="W76" s="14" t="str">
        <f>IFERROR(__xludf.DUMMYFUNCTION("IFNA(FILTER(IMPORTRANGE(""https://docs.google.com/spreadsheets/d/1kGrh75X1cNR1D7_FcY9zMnHP8iPO4M5RCRjy6nZY0TY/edit#gid=1248694442"",""Table 3: 1st-line HC!AG5:AG111""), $A76=IMPORTRANGE(""https://docs.google.com/spreadsheets/d/1kGrh75X1cNR1D7_FcY9zMnHP8iP"&amp;"O4M5RCRjy6nZY0TY/edit#gid=1248694442"",""Table 3: 1st-line HC!A5:A111"")),"""")"),"")</f>
        <v/>
      </c>
      <c r="X76" s="14" t="str">
        <f>IFERROR(__xludf.DUMMYFUNCTION("IFNA(FILTER(IMPORTRANGE(""https://docs.google.com/spreadsheets/d/1kGrh75X1cNR1D7_FcY9zMnHP8iPO4M5RCRjy6nZY0TY/edit#gid=1248694442"",""Table 3: 1st-line HC!AI5:AI111""), $A76=IMPORTRANGE(""https://docs.google.com/spreadsheets/d/1kGrh75X1cNR1D7_FcY9zMnHP8iP"&amp;"O4M5RCRjy6nZY0TY/edit#gid=1248694442"",""Table 3: 1st-line HC!A5:A111"")),"""")"),"144-152")</f>
        <v>144-152</v>
      </c>
    </row>
    <row r="77">
      <c r="A77" s="4" t="str">
        <f>IFERROR(__xludf.DUMMYFUNCTION("""COMPUTED_VALUE"""),"ID 163")</f>
        <v>ID 163</v>
      </c>
      <c r="B77" s="14" t="str">
        <f>IFERROR(__xludf.DUMMYFUNCTION("IFNA(FILTER(IMPORTRANGE(""https://docs.google.com/spreadsheets/d/1kGrh75X1cNR1D7_FcY9zMnHP8iPO4M5RCRjy6nZY0TY/edit#gid=1248694442"",""Table 2: MMC!D5:D114""), $A77=IMPORTRANGE(""https://docs.google.com/spreadsheets/d/1kGrh75X1cNR1D7_FcY9zMnHP8iPO4M5RCRjy6"&amp;"nZY0TY/edit#gid=1248694442"",""Table 2: MMC!A5:A114"")),"""")"),"")</f>
        <v/>
      </c>
      <c r="C77" s="14">
        <f>IFERROR(__xludf.DUMMYFUNCTION("IFNA(FILTER(IMPORTRANGE(""https://docs.google.com/spreadsheets/d/1kGrh75X1cNR1D7_FcY9zMnHP8iPO4M5RCRjy6nZY0TY/edit#gid=1248694442"",""Table 2: MMC!E5:E114""), $A77=IMPORTRANGE(""https://docs.google.com/spreadsheets/d/1kGrh75X1cNR1D7_FcY9zMnHP8iPO4M5RCRjy6"&amp;"nZY0TY/edit#gid=1248694442"",""Table 2: MMC!A5:A114"")),"""")"),138.0)</f>
        <v>138</v>
      </c>
      <c r="D77" s="14" t="str">
        <f>IFERROR(__xludf.DUMMYFUNCTION("IFNA(FILTER(IMPORTRANGE(""https://docs.google.com/spreadsheets/d/1kGrh75X1cNR1D7_FcY9zMnHP8iPO4M5RCRjy6nZY0TY/edit#gid=1248694442"",""Table 2: MMC!F5:F114""), $A77=IMPORTRANGE(""https://docs.google.com/spreadsheets/d/1kGrh75X1cNR1D7_FcY9zMnHP8iPO4M5RCRjy6"&amp;"nZY0TY/edit#gid=1248694442"",""Table 2: MMC!A5:A114"")),"""")"),"")</f>
        <v/>
      </c>
      <c r="E77" s="14">
        <f>IFERROR(__xludf.DUMMYFUNCTION("IFNA(FILTER(IMPORTRANGE(""https://docs.google.com/spreadsheets/d/1kGrh75X1cNR1D7_FcY9zMnHP8iPO4M5RCRjy6nZY0TY/edit#gid=1248694442"",""Table 2: MMC!G5:G114""), $A77=IMPORTRANGE(""https://docs.google.com/spreadsheets/d/1kGrh75X1cNR1D7_FcY9zMnHP8iPO4M5RCRjy6"&amp;"nZY0TY/edit#gid=1248694442"",""Table 2: MMC!A5:A114"")),"""")"),80.0)</f>
        <v>80</v>
      </c>
      <c r="F77" s="14" t="str">
        <f>IFERROR(__xludf.DUMMYFUNCTION("IFNA(FILTER(IMPORTRANGE(""https://docs.google.com/spreadsheets/d/1kGrh75X1cNR1D7_FcY9zMnHP8iPO4M5RCRjy6nZY0TY/edit#gid=1248694442"",""Table 2: MMC!H5:H114""), $A77=IMPORTRANGE(""https://docs.google.com/spreadsheets/d/1kGrh75X1cNR1D7_FcY9zMnHP8iPO4M5RCRjy6"&amp;"nZY0TY/edit#gid=1248694442"",""Table 2: MMC!A5:A114"")),"""")"),"")</f>
        <v/>
      </c>
      <c r="G77" s="14">
        <f>IFERROR(__xludf.DUMMYFUNCTION("IFNA(FILTER(IMPORTRANGE(""https://docs.google.com/spreadsheets/d/1kGrh75X1cNR1D7_FcY9zMnHP8iPO4M5RCRjy6nZY0TY/edit#gid=1248694442"",""Table 2: MMC!I5:I114""), $A77=IMPORTRANGE(""https://docs.google.com/spreadsheets/d/1kGrh75X1cNR1D7_FcY9zMnHP8iPO4M5RCRjy6"&amp;"nZY0TY/edit#gid=1248694442"",""Table 2: MMC!A5:A114"")),"""")"),20.0)</f>
        <v>20</v>
      </c>
      <c r="H77" s="14" t="str">
        <f>IFERROR(__xludf.DUMMYFUNCTION("IFNA(FILTER(IMPORTRANGE(""https://docs.google.com/spreadsheets/d/1kGrh75X1cNR1D7_FcY9zMnHP8iPO4M5RCRjy6nZY0TY/edit#gid=1248694442"",""Table 2: MMC!J5:J114""), $A77=IMPORTRANGE(""https://docs.google.com/spreadsheets/d/1kGrh75X1cNR1D7_FcY9zMnHP8iPO4M5RCRjy6"&amp;"nZY0TY/edit#gid=1248694442"",""Table 2: MMC!A5:A114"")),"""")"),"post-natal")</f>
        <v>post-natal</v>
      </c>
      <c r="I77" s="14" t="str">
        <f>IFERROR(__xludf.DUMMYFUNCTION("IFNA(FILTER(IMPORTRANGE(""https://docs.google.com/spreadsheets/d/1kGrh75X1cNR1D7_FcY9zMnHP8iPO4M5RCRjy6nZY0TY/edit#gid=1248694442"",""Table 2: MMC!M5:M114""), $A77=IMPORTRANGE(""https://docs.google.com/spreadsheets/d/1kGrh75X1cNR1D7_FcY9zMnHP8iPO4M5RCRjy6"&amp;"nZY0TY/edit#gid=1248694442"",""Table 2: MMC!A5:A114"")),"""")"),"")</f>
        <v/>
      </c>
      <c r="J77" s="14" t="str">
        <f>IFERROR(__xludf.DUMMYFUNCTION("IFNA(FILTER(IMPORTRANGE(""https://docs.google.com/spreadsheets/d/1kGrh75X1cNR1D7_FcY9zMnHP8iPO4M5RCRjy6nZY0TY/edit#gid=1248694442"",""Table 2: MMC!Q5:Q114""), $A77=IMPORTRANGE(""https://docs.google.com/spreadsheets/d/1kGrh75X1cNR1D7_FcY9zMnHP8iPO4M5RCRjy6"&amp;"nZY0TY/edit#gid=1248694442"",""Table 2: MMC!A5:A114"")),"""")"),"")</f>
        <v/>
      </c>
      <c r="K77" s="14" t="str">
        <f>IFERROR(__xludf.DUMMYFUNCTION("IFNA(FILTER(IMPORTRANGE(""https://docs.google.com/spreadsheets/d/1kGrh75X1cNR1D7_FcY9zMnHP8iPO4M5RCRjy6nZY0TY/edit#gid=1248694442"",""Table 2: MMC!R5:R114""), $A77=IMPORTRANGE(""https://docs.google.com/spreadsheets/d/1kGrh75X1cNR1D7_FcY9zMnHP8iPO4M5RCRjy6"&amp;"nZY0TY/edit#gid=1248694442"",""Table 2: MMC!A5:A114"")),"""")"),"")</f>
        <v/>
      </c>
      <c r="L77" s="14" t="str">
        <f>IFERROR(__xludf.DUMMYFUNCTION("IFNA(FILTER(IMPORTRANGE(""https://docs.google.com/spreadsheets/d/1kGrh75X1cNR1D7_FcY9zMnHP8iPO4M5RCRjy6nZY0TY/edit#gid=1248694442"",""Table 2: MMC!S5:S114""), $A77=IMPORTRANGE(""https://docs.google.com/spreadsheets/d/1kGrh75X1cNR1D7_FcY9zMnHP8iPO4M5RCRjy6"&amp;"nZY0TY/edit#gid=1248694442"",""Table 2: MMC!A5:A114"")),"""")"),"")</f>
        <v/>
      </c>
      <c r="M77" s="14" t="str">
        <f>IFERROR(__xludf.DUMMYFUNCTION("IFNA(FILTER(IMPORTRANGE(""https://docs.google.com/spreadsheets/d/1kGrh75X1cNR1D7_FcY9zMnHP8iPO4M5RCRjy6nZY0TY/edit#gid=1248694442"",""Table 3: 1st-line HC!D5:D111""), $A77=IMPORTRANGE(""https://docs.google.com/spreadsheets/d/1kGrh75X1cNR1D7_FcY9zMnHP8iPO4"&amp;"M5RCRjy6nZY0TY/edit#gid=1248694442"",""Table 3: 1st-line HC!A5:A111"")),"""")"),"")</f>
        <v/>
      </c>
      <c r="N77" s="14" t="str">
        <f>IFERROR(__xludf.DUMMYFUNCTION("IFNA(FILTER(IMPORTRANGE(""https://docs.google.com/spreadsheets/d/1kGrh75X1cNR1D7_FcY9zMnHP8iPO4M5RCRjy6nZY0TY/edit#gid=1248694442"",""Table 3: 1st-line HC!E5:E111""), $A77=IMPORTRANGE(""https://docs.google.com/spreadsheets/d/1kGrh75X1cNR1D7_FcY9zMnHP8iPO4"&amp;"M5RCRjy6nZY0TY/edit#gid=1248694442"",""Table 3: 1st-line HC!A5:A111"")),"""")"),"")</f>
        <v/>
      </c>
      <c r="O77" s="14">
        <f>IFERROR(__xludf.DUMMYFUNCTION("IFNA(FILTER(IMPORTRANGE(""https://docs.google.com/spreadsheets/d/1kGrh75X1cNR1D7_FcY9zMnHP8iPO4M5RCRjy6nZY0TY/edit#gid=1248694442"",""Table 3: 1st-line HC!K5:K111""), $A77=IMPORTRANGE(""https://docs.google.com/spreadsheets/d/1kGrh75X1cNR1D7_FcY9zMnHP8iPO4"&amp;"M5RCRjy6nZY0TY/edit#gid=1248694442"",""Table 3: 1st-line HC!A5:A111"")),"""")"),276.0)</f>
        <v>276</v>
      </c>
      <c r="P77" s="14">
        <f>IFERROR(__xludf.DUMMYFUNCTION("IFNA(FILTER(IMPORTRANGE(""https://docs.google.com/spreadsheets/d/1kGrh75X1cNR1D7_FcY9zMnHP8iPO4M5RCRjy6nZY0TY/edit#gid=1248694442"",""Table 3: 1st-line HC!L5:L111""), $A77=IMPORTRANGE(""https://docs.google.com/spreadsheets/d/1kGrh75X1cNR1D7_FcY9zMnHP8iPO4"&amp;"M5RCRjy6nZY0TY/edit#gid=1248694442"",""Table 3: 1st-line HC!A5:A111"")),"""")"),276.0)</f>
        <v>276</v>
      </c>
      <c r="Q77" s="14" t="str">
        <f>IFERROR(__xludf.DUMMYFUNCTION("IFNA(FILTER(IMPORTRANGE(""https://docs.google.com/spreadsheets/d/1kGrh75X1cNR1D7_FcY9zMnHP8iPO4M5RCRjy6nZY0TY/edit#gid=1248694442"",""Table 3: 1st-line HC!M5:M111""), $A77=IMPORTRANGE(""https://docs.google.com/spreadsheets/d/1kGrh75X1cNR1D7_FcY9zMnHP8iPO4"&amp;"M5RCRjy6nZY0TY/edit#gid=1248694442"",""Table 3: 1st-line HC!A5:A111"")),"""")"),"")</f>
        <v/>
      </c>
      <c r="R77" s="14" t="str">
        <f>IFERROR(__xludf.DUMMYFUNCTION("IFNA(FILTER(IMPORTRANGE(""https://docs.google.com/spreadsheets/d/1kGrh75X1cNR1D7_FcY9zMnHP8iPO4M5RCRjy6nZY0TY/edit#gid=1248694442"",""Table 3: 1st-line HC!N5:N111""), $A77=IMPORTRANGE(""https://docs.google.com/spreadsheets/d/1kGrh75X1cNR1D7_FcY9zMnHP8iPO4"&amp;"M5RCRjy6nZY0TY/edit#gid=1248694442"",""Table 3: 1st-line HC!A5:A111"")),"""")"),"")</f>
        <v/>
      </c>
      <c r="S77" s="14" t="str">
        <f>IFERROR(__xludf.DUMMYFUNCTION("IFNA(FILTER(IMPORTRANGE(""https://docs.google.com/spreadsheets/d/1kGrh75X1cNR1D7_FcY9zMnHP8iPO4M5RCRjy6nZY0TY/edit#gid=1248694442"",""Table 3: 1st-line HC!T5:T111""), $A77=IMPORTRANGE(""https://docs.google.com/spreadsheets/d/1kGrh75X1cNR1D7_FcY9zMnHP8iPO4"&amp;"M5RCRjy6nZY0TY/edit#gid=1248694442"",""Table 3: 1st-line HC!A5:A111"")),"""")"),"")</f>
        <v/>
      </c>
      <c r="T77" s="14" t="str">
        <f>IFERROR(__xludf.DUMMYFUNCTION("IFNA(FILTER(IMPORTRANGE(""https://docs.google.com/spreadsheets/d/1kGrh75X1cNR1D7_FcY9zMnHP8iPO4M5RCRjy6nZY0TY/edit#gid=1248694442"",""Table 3: 1st-line HC!U5:U111""), $A77=IMPORTRANGE(""https://docs.google.com/spreadsheets/d/1kGrh75X1cNR1D7_FcY9zMnHP8iPO4"&amp;"M5RCRjy6nZY0TY/edit#gid=1248694442"",""Table 3: 1st-line HC!A5:A111"")),"""")"),"")</f>
        <v/>
      </c>
      <c r="U77" s="14" t="str">
        <f>IFERROR(__xludf.DUMMYFUNCTION("IFNA(FILTER(IMPORTRANGE(""https://docs.google.com/spreadsheets/d/1kGrh75X1cNR1D7_FcY9zMnHP8iPO4M5RCRjy6nZY0TY/edit#gid=1248694442"",""Table 3: 1st-line HC!V5:V111""), $A77=IMPORTRANGE(""https://docs.google.com/spreadsheets/d/1kGrh75X1cNR1D7_FcY9zMnHP8iPO4"&amp;"M5RCRjy6nZY0TY/edit#gid=1248694442"",""Table 3: 1st-line HC!A5:A111"")),"""")"),"")</f>
        <v/>
      </c>
      <c r="V77" s="14" t="str">
        <f>IFERROR(__xludf.DUMMYFUNCTION("IFNA(FILTER(IMPORTRANGE(""https://docs.google.com/spreadsheets/d/1kGrh75X1cNR1D7_FcY9zMnHP8iPO4M5RCRjy6nZY0TY/edit#gid=1248694442"",""Table 3: 1st-line HC!AE5:AE111""), $A77=IMPORTRANGE(""https://docs.google.com/spreadsheets/d/1kGrh75X1cNR1D7_FcY9zMnHP8iP"&amp;"O4M5RCRjy6nZY0TY/edit#gid=1248694442"",""Table 3: 1st-line HC!A5:A111"")),"""")"),"")</f>
        <v/>
      </c>
      <c r="W77" s="14" t="str">
        <f>IFERROR(__xludf.DUMMYFUNCTION("IFNA(FILTER(IMPORTRANGE(""https://docs.google.com/spreadsheets/d/1kGrh75X1cNR1D7_FcY9zMnHP8iPO4M5RCRjy6nZY0TY/edit#gid=1248694442"",""Table 3: 1st-line HC!AG5:AG111""), $A77=IMPORTRANGE(""https://docs.google.com/spreadsheets/d/1kGrh75X1cNR1D7_FcY9zMnHP8iP"&amp;"O4M5RCRjy6nZY0TY/edit#gid=1248694442"",""Table 3: 1st-line HC!A5:A111"")),"""")"),"")</f>
        <v/>
      </c>
      <c r="X77" s="14">
        <f>IFERROR(__xludf.DUMMYFUNCTION("IFNA(FILTER(IMPORTRANGE(""https://docs.google.com/spreadsheets/d/1kGrh75X1cNR1D7_FcY9zMnHP8iPO4M5RCRjy6nZY0TY/edit#gid=1248694442"",""Table 3: 1st-line HC!AI5:AI111""), $A77=IMPORTRANGE(""https://docs.google.com/spreadsheets/d/1kGrh75X1cNR1D7_FcY9zMnHP8iP"&amp;"O4M5RCRjy6nZY0TY/edit#gid=1248694442"",""Table 3: 1st-line HC!A5:A111"")),"""")"),82.8)</f>
        <v>82.8</v>
      </c>
    </row>
    <row r="78">
      <c r="A78" s="4" t="str">
        <f>IFERROR(__xludf.DUMMYFUNCTION("""COMPUTED_VALUE"""),"ID 164")</f>
        <v>ID 164</v>
      </c>
      <c r="B78" s="14" t="str">
        <f>IFERROR(__xludf.DUMMYFUNCTION("IFNA(FILTER(IMPORTRANGE(""https://docs.google.com/spreadsheets/d/1kGrh75X1cNR1D7_FcY9zMnHP8iPO4M5RCRjy6nZY0TY/edit#gid=1248694442"",""Table 2: MMC!D5:D114""), $A78=IMPORTRANGE(""https://docs.google.com/spreadsheets/d/1kGrh75X1cNR1D7_FcY9zMnHP8iPO4M5RCRjy6"&amp;"nZY0TY/edit#gid=1248694442"",""Table 2: MMC!A5:A114"")),"""")"),"")</f>
        <v/>
      </c>
      <c r="C78" s="14" t="str">
        <f>IFERROR(__xludf.DUMMYFUNCTION("IFNA(FILTER(IMPORTRANGE(""https://docs.google.com/spreadsheets/d/1kGrh75X1cNR1D7_FcY9zMnHP8iPO4M5RCRjy6nZY0TY/edit#gid=1248694442"",""Table 2: MMC!E5:E114""), $A78=IMPORTRANGE(""https://docs.google.com/spreadsheets/d/1kGrh75X1cNR1D7_FcY9zMnHP8iPO4M5RCRjy6"&amp;"nZY0TY/edit#gid=1248694442"",""Table 2: MMC!A5:A114"")),"""")"),"")</f>
        <v/>
      </c>
      <c r="D78" s="14" t="str">
        <f>IFERROR(__xludf.DUMMYFUNCTION("IFNA(FILTER(IMPORTRANGE(""https://docs.google.com/spreadsheets/d/1kGrh75X1cNR1D7_FcY9zMnHP8iPO4M5RCRjy6nZY0TY/edit#gid=1248694442"",""Table 2: MMC!F5:F114""), $A78=IMPORTRANGE(""https://docs.google.com/spreadsheets/d/1kGrh75X1cNR1D7_FcY9zMnHP8iPO4M5RCRjy6"&amp;"nZY0TY/edit#gid=1248694442"",""Table 2: MMC!A5:A114"")),"""")"),"")</f>
        <v/>
      </c>
      <c r="E78" s="14" t="str">
        <f>IFERROR(__xludf.DUMMYFUNCTION("IFNA(FILTER(IMPORTRANGE(""https://docs.google.com/spreadsheets/d/1kGrh75X1cNR1D7_FcY9zMnHP8iPO4M5RCRjy6nZY0TY/edit#gid=1248694442"",""Table 2: MMC!G5:G114""), $A78=IMPORTRANGE(""https://docs.google.com/spreadsheets/d/1kGrh75X1cNR1D7_FcY9zMnHP8iPO4M5RCRjy6"&amp;"nZY0TY/edit#gid=1248694442"",""Table 2: MMC!A5:A114"")),"""")"),"")</f>
        <v/>
      </c>
      <c r="F78" s="14">
        <f>IFERROR(__xludf.DUMMYFUNCTION("IFNA(FILTER(IMPORTRANGE(""https://docs.google.com/spreadsheets/d/1kGrh75X1cNR1D7_FcY9zMnHP8iPO4M5RCRjy6nZY0TY/edit#gid=1248694442"",""Table 2: MMC!H5:H114""), $A78=IMPORTRANGE(""https://docs.google.com/spreadsheets/d/1kGrh75X1cNR1D7_FcY9zMnHP8iPO4M5RCRjy6"&amp;"nZY0TY/edit#gid=1248694442"",""Table 2: MMC!A5:A114"")),"""")"),5.0)</f>
        <v>5</v>
      </c>
      <c r="G78" s="14" t="str">
        <f>IFERROR(__xludf.DUMMYFUNCTION("IFNA(FILTER(IMPORTRANGE(""https://docs.google.com/spreadsheets/d/1kGrh75X1cNR1D7_FcY9zMnHP8iPO4M5RCRjy6nZY0TY/edit#gid=1248694442"",""Table 2: MMC!I5:I114""), $A78=IMPORTRANGE(""https://docs.google.com/spreadsheets/d/1kGrh75X1cNR1D7_FcY9zMnHP8iPO4M5RCRjy6"&amp;"nZY0TY/edit#gid=1248694442"",""Table 2: MMC!A5:A114"")),"""")"),"")</f>
        <v/>
      </c>
      <c r="H78" s="14" t="str">
        <f>IFERROR(__xludf.DUMMYFUNCTION("IFNA(FILTER(IMPORTRANGE(""https://docs.google.com/spreadsheets/d/1kGrh75X1cNR1D7_FcY9zMnHP8iPO4M5RCRjy6nZY0TY/edit#gid=1248694442"",""Table 2: MMC!J5:J114""), $A78=IMPORTRANGE(""https://docs.google.com/spreadsheets/d/1kGrh75X1cNR1D7_FcY9zMnHP8iPO4M5RCRjy6"&amp;"nZY0TY/edit#gid=1248694442"",""Table 2: MMC!A5:A114"")),"""")"),"post-natal")</f>
        <v>post-natal</v>
      </c>
      <c r="I78" s="14" t="str">
        <f>IFERROR(__xludf.DUMMYFUNCTION("IFNA(FILTER(IMPORTRANGE(""https://docs.google.com/spreadsheets/d/1kGrh75X1cNR1D7_FcY9zMnHP8iPO4M5RCRjy6nZY0TY/edit#gid=1248694442"",""Table 2: MMC!M5:M114""), $A78=IMPORTRANGE(""https://docs.google.com/spreadsheets/d/1kGrh75X1cNR1D7_FcY9zMnHP8iPO4M5RCRjy6"&amp;"nZY0TY/edit#gid=1248694442"",""Table 2: MMC!A5:A114"")),"""")"),"")</f>
        <v/>
      </c>
      <c r="J78" s="14" t="str">
        <f>IFERROR(__xludf.DUMMYFUNCTION("IFNA(FILTER(IMPORTRANGE(""https://docs.google.com/spreadsheets/d/1kGrh75X1cNR1D7_FcY9zMnHP8iPO4M5RCRjy6nZY0TY/edit#gid=1248694442"",""Table 2: MMC!Q5:Q114""), $A78=IMPORTRANGE(""https://docs.google.com/spreadsheets/d/1kGrh75X1cNR1D7_FcY9zMnHP8iPO4M5RCRjy6"&amp;"nZY0TY/edit#gid=1248694442"",""Table 2: MMC!A5:A114"")),"""")"),"")</f>
        <v/>
      </c>
      <c r="K78" s="14" t="str">
        <f>IFERROR(__xludf.DUMMYFUNCTION("IFNA(FILTER(IMPORTRANGE(""https://docs.google.com/spreadsheets/d/1kGrh75X1cNR1D7_FcY9zMnHP8iPO4M5RCRjy6nZY0TY/edit#gid=1248694442"",""Table 2: MMC!R5:R114""), $A78=IMPORTRANGE(""https://docs.google.com/spreadsheets/d/1kGrh75X1cNR1D7_FcY9zMnHP8iPO4M5RCRjy6"&amp;"nZY0TY/edit#gid=1248694442"",""Table 2: MMC!A5:A114"")),"""")"),"")</f>
        <v/>
      </c>
      <c r="L78" s="14" t="str">
        <f>IFERROR(__xludf.DUMMYFUNCTION("IFNA(FILTER(IMPORTRANGE(""https://docs.google.com/spreadsheets/d/1kGrh75X1cNR1D7_FcY9zMnHP8iPO4M5RCRjy6nZY0TY/edit#gid=1248694442"",""Table 2: MMC!S5:S114""), $A78=IMPORTRANGE(""https://docs.google.com/spreadsheets/d/1kGrh75X1cNR1D7_FcY9zMnHP8iPO4M5RCRjy6"&amp;"nZY0TY/edit#gid=1248694442"",""Table 2: MMC!A5:A114"")),"""")"),"")</f>
        <v/>
      </c>
      <c r="M78" s="14" t="str">
        <f>IFERROR(__xludf.DUMMYFUNCTION("IFNA(FILTER(IMPORTRANGE(""https://docs.google.com/spreadsheets/d/1kGrh75X1cNR1D7_FcY9zMnHP8iPO4M5RCRjy6nZY0TY/edit#gid=1248694442"",""Table 3: 1st-line HC!D5:D111""), $A78=IMPORTRANGE(""https://docs.google.com/spreadsheets/d/1kGrh75X1cNR1D7_FcY9zMnHP8iPO4"&amp;"M5RCRjy6nZY0TY/edit#gid=1248694442"",""Table 3: 1st-line HC!A5:A111"")),"""")"),"")</f>
        <v/>
      </c>
      <c r="N78" s="14" t="str">
        <f>IFERROR(__xludf.DUMMYFUNCTION("IFNA(FILTER(IMPORTRANGE(""https://docs.google.com/spreadsheets/d/1kGrh75X1cNR1D7_FcY9zMnHP8iPO4M5RCRjy6nZY0TY/edit#gid=1248694442"",""Table 3: 1st-line HC!E5:E111""), $A78=IMPORTRANGE(""https://docs.google.com/spreadsheets/d/1kGrh75X1cNR1D7_FcY9zMnHP8iPO4"&amp;"M5RCRjy6nZY0TY/edit#gid=1248694442"",""Table 3: 1st-line HC!A5:A111"")),"""")"),"")</f>
        <v/>
      </c>
      <c r="O78" s="14">
        <f>IFERROR(__xludf.DUMMYFUNCTION("IFNA(FILTER(IMPORTRANGE(""https://docs.google.com/spreadsheets/d/1kGrh75X1cNR1D7_FcY9zMnHP8iPO4M5RCRjy6nZY0TY/edit#gid=1248694442"",""Table 3: 1st-line HC!K5:K111""), $A78=IMPORTRANGE(""https://docs.google.com/spreadsheets/d/1kGrh75X1cNR1D7_FcY9zMnHP8iPO4"&amp;"M5RCRjy6nZY0TY/edit#gid=1248694442"",""Table 3: 1st-line HC!A5:A111"")),"""")"),5.0)</f>
        <v>5</v>
      </c>
      <c r="P78" s="14">
        <f>IFERROR(__xludf.DUMMYFUNCTION("IFNA(FILTER(IMPORTRANGE(""https://docs.google.com/spreadsheets/d/1kGrh75X1cNR1D7_FcY9zMnHP8iPO4M5RCRjy6nZY0TY/edit#gid=1248694442"",""Table 3: 1st-line HC!L5:L111""), $A78=IMPORTRANGE(""https://docs.google.com/spreadsheets/d/1kGrh75X1cNR1D7_FcY9zMnHP8iPO4"&amp;"M5RCRjy6nZY0TY/edit#gid=1248694442"",""Table 3: 1st-line HC!A5:A111"")),"""")"),5.0)</f>
        <v>5</v>
      </c>
      <c r="Q78" s="14" t="str">
        <f>IFERROR(__xludf.DUMMYFUNCTION("IFNA(FILTER(IMPORTRANGE(""https://docs.google.com/spreadsheets/d/1kGrh75X1cNR1D7_FcY9zMnHP8iPO4M5RCRjy6nZY0TY/edit#gid=1248694442"",""Table 3: 1st-line HC!M5:M111""), $A78=IMPORTRANGE(""https://docs.google.com/spreadsheets/d/1kGrh75X1cNR1D7_FcY9zMnHP8iPO4"&amp;"M5RCRjy6nZY0TY/edit#gid=1248694442"",""Table 3: 1st-line HC!A5:A111"")),"""")"),"")</f>
        <v/>
      </c>
      <c r="R78" s="14">
        <f>IFERROR(__xludf.DUMMYFUNCTION("IFNA(FILTER(IMPORTRANGE(""https://docs.google.com/spreadsheets/d/1kGrh75X1cNR1D7_FcY9zMnHP8iPO4M5RCRjy6nZY0TY/edit#gid=1248694442"",""Table 3: 1st-line HC!N5:N111""), $A78=IMPORTRANGE(""https://docs.google.com/spreadsheets/d/1kGrh75X1cNR1D7_FcY9zMnHP8iPO4"&amp;"M5RCRjy6nZY0TY/edit#gid=1248694442"",""Table 3: 1st-line HC!A5:A111"")),"""")"),2.0)</f>
        <v>2</v>
      </c>
      <c r="S78" s="14" t="str">
        <f>IFERROR(__xludf.DUMMYFUNCTION("IFNA(FILTER(IMPORTRANGE(""https://docs.google.com/spreadsheets/d/1kGrh75X1cNR1D7_FcY9zMnHP8iPO4M5RCRjy6nZY0TY/edit#gid=1248694442"",""Table 3: 1st-line HC!T5:T111""), $A78=IMPORTRANGE(""https://docs.google.com/spreadsheets/d/1kGrh75X1cNR1D7_FcY9zMnHP8iPO4"&amp;"M5RCRjy6nZY0TY/edit#gid=1248694442"",""Table 3: 1st-line HC!A5:A111"")),"""")"),"")</f>
        <v/>
      </c>
      <c r="T78" s="14" t="str">
        <f>IFERROR(__xludf.DUMMYFUNCTION("IFNA(FILTER(IMPORTRANGE(""https://docs.google.com/spreadsheets/d/1kGrh75X1cNR1D7_FcY9zMnHP8iPO4M5RCRjy6nZY0TY/edit#gid=1248694442"",""Table 3: 1st-line HC!U5:U111""), $A78=IMPORTRANGE(""https://docs.google.com/spreadsheets/d/1kGrh75X1cNR1D7_FcY9zMnHP8iPO4"&amp;"M5RCRjy6nZY0TY/edit#gid=1248694442"",""Table 3: 1st-line HC!A5:A111"")),"""")"),"")</f>
        <v/>
      </c>
      <c r="U78" s="14" t="str">
        <f>IFERROR(__xludf.DUMMYFUNCTION("IFNA(FILTER(IMPORTRANGE(""https://docs.google.com/spreadsheets/d/1kGrh75X1cNR1D7_FcY9zMnHP8iPO4M5RCRjy6nZY0TY/edit#gid=1248694442"",""Table 3: 1st-line HC!V5:V111""), $A78=IMPORTRANGE(""https://docs.google.com/spreadsheets/d/1kGrh75X1cNR1D7_FcY9zMnHP8iPO4"&amp;"M5RCRjy6nZY0TY/edit#gid=1248694442"",""Table 3: 1st-line HC!A5:A111"")),"""")"),"")</f>
        <v/>
      </c>
      <c r="V78" s="14">
        <f>IFERROR(__xludf.DUMMYFUNCTION("IFNA(FILTER(IMPORTRANGE(""https://docs.google.com/spreadsheets/d/1kGrh75X1cNR1D7_FcY9zMnHP8iPO4M5RCRjy6nZY0TY/edit#gid=1248694442"",""Table 3: 1st-line HC!AE5:AE111""), $A78=IMPORTRANGE(""https://docs.google.com/spreadsheets/d/1kGrh75X1cNR1D7_FcY9zMnHP8iP"&amp;"O4M5RCRjy6nZY0TY/edit#gid=1248694442"",""Table 3: 1st-line HC!A5:A111"")),"""")"),112.0)</f>
        <v>112</v>
      </c>
      <c r="W78" s="14" t="str">
        <f>IFERROR(__xludf.DUMMYFUNCTION("IFNA(FILTER(IMPORTRANGE(""https://docs.google.com/spreadsheets/d/1kGrh75X1cNR1D7_FcY9zMnHP8iPO4M5RCRjy6nZY0TY/edit#gid=1248694442"",""Table 3: 1st-line HC!AG5:AG111""), $A78=IMPORTRANGE(""https://docs.google.com/spreadsheets/d/1kGrh75X1cNR1D7_FcY9zMnHP8iP"&amp;"O4M5RCRjy6nZY0TY/edit#gid=1248694442"",""Table 3: 1st-line HC!A5:A111"")),"""")"),"")</f>
        <v/>
      </c>
      <c r="X78" s="14">
        <f>IFERROR(__xludf.DUMMYFUNCTION("IFNA(FILTER(IMPORTRANGE(""https://docs.google.com/spreadsheets/d/1kGrh75X1cNR1D7_FcY9zMnHP8iPO4M5RCRjy6nZY0TY/edit#gid=1248694442"",""Table 3: 1st-line HC!AI5:AI111""), $A78=IMPORTRANGE(""https://docs.google.com/spreadsheets/d/1kGrh75X1cNR1D7_FcY9zMnHP8iP"&amp;"O4M5RCRjy6nZY0TY/edit#gid=1248694442"",""Table 3: 1st-line HC!A5:A111"")),"""")"),52.0)</f>
        <v>52</v>
      </c>
    </row>
    <row r="79">
      <c r="A79" s="4" t="str">
        <f>IFERROR(__xludf.DUMMYFUNCTION("""COMPUTED_VALUE"""),"ID 165")</f>
        <v>ID 165</v>
      </c>
      <c r="B79" s="14" t="str">
        <f>IFERROR(__xludf.DUMMYFUNCTION("IFNA(FILTER(IMPORTRANGE(""https://docs.google.com/spreadsheets/d/1kGrh75X1cNR1D7_FcY9zMnHP8iPO4M5RCRjy6nZY0TY/edit#gid=1248694442"",""Table 2: MMC!D5:D114""), $A79=IMPORTRANGE(""https://docs.google.com/spreadsheets/d/1kGrh75X1cNR1D7_FcY9zMnHP8iPO4M5RCRjy6"&amp;"nZY0TY/edit#gid=1248694442"",""Table 2: MMC!A5:A114"")),"""")"),"")</f>
        <v/>
      </c>
      <c r="C79" s="14" t="str">
        <f>IFERROR(__xludf.DUMMYFUNCTION("IFNA(FILTER(IMPORTRANGE(""https://docs.google.com/spreadsheets/d/1kGrh75X1cNR1D7_FcY9zMnHP8iPO4M5RCRjy6nZY0TY/edit#gid=1248694442"",""Table 2: MMC!E5:E114""), $A79=IMPORTRANGE(""https://docs.google.com/spreadsheets/d/1kGrh75X1cNR1D7_FcY9zMnHP8iPO4M5RCRjy6"&amp;"nZY0TY/edit#gid=1248694442"",""Table 2: MMC!A5:A114"")),"""")"),"")</f>
        <v/>
      </c>
      <c r="D79" s="14" t="str">
        <f>IFERROR(__xludf.DUMMYFUNCTION("IFNA(FILTER(IMPORTRANGE(""https://docs.google.com/spreadsheets/d/1kGrh75X1cNR1D7_FcY9zMnHP8iPO4M5RCRjy6nZY0TY/edit#gid=1248694442"",""Table 2: MMC!F5:F114""), $A79=IMPORTRANGE(""https://docs.google.com/spreadsheets/d/1kGrh75X1cNR1D7_FcY9zMnHP8iPO4M5RCRjy6"&amp;"nZY0TY/edit#gid=1248694442"",""Table 2: MMC!A5:A114"")),"""")"),"")</f>
        <v/>
      </c>
      <c r="E79" s="14" t="str">
        <f>IFERROR(__xludf.DUMMYFUNCTION("IFNA(FILTER(IMPORTRANGE(""https://docs.google.com/spreadsheets/d/1kGrh75X1cNR1D7_FcY9zMnHP8iPO4M5RCRjy6nZY0TY/edit#gid=1248694442"",""Table 2: MMC!G5:G114""), $A79=IMPORTRANGE(""https://docs.google.com/spreadsheets/d/1kGrh75X1cNR1D7_FcY9zMnHP8iPO4M5RCRjy6"&amp;"nZY0TY/edit#gid=1248694442"",""Table 2: MMC!A5:A114"")),"""")"),"")</f>
        <v/>
      </c>
      <c r="F79" s="14" t="str">
        <f>IFERROR(__xludf.DUMMYFUNCTION("IFNA(FILTER(IMPORTRANGE(""https://docs.google.com/spreadsheets/d/1kGrh75X1cNR1D7_FcY9zMnHP8iPO4M5RCRjy6nZY0TY/edit#gid=1248694442"",""Table 2: MMC!H5:H114""), $A79=IMPORTRANGE(""https://docs.google.com/spreadsheets/d/1kGrh75X1cNR1D7_FcY9zMnHP8iPO4M5RCRjy6"&amp;"nZY0TY/edit#gid=1248694442"",""Table 2: MMC!A5:A114"")),"""")"),"")</f>
        <v/>
      </c>
      <c r="G79" s="14" t="str">
        <f>IFERROR(__xludf.DUMMYFUNCTION("IFNA(FILTER(IMPORTRANGE(""https://docs.google.com/spreadsheets/d/1kGrh75X1cNR1D7_FcY9zMnHP8iPO4M5RCRjy6nZY0TY/edit#gid=1248694442"",""Table 2: MMC!I5:I114""), $A79=IMPORTRANGE(""https://docs.google.com/spreadsheets/d/1kGrh75X1cNR1D7_FcY9zMnHP8iPO4M5RCRjy6"&amp;"nZY0TY/edit#gid=1248694442"",""Table 2: MMC!A5:A114"")),"""")"),"")</f>
        <v/>
      </c>
      <c r="H79" s="14" t="str">
        <f>IFERROR(__xludf.DUMMYFUNCTION("IFNA(FILTER(IMPORTRANGE(""https://docs.google.com/spreadsheets/d/1kGrh75X1cNR1D7_FcY9zMnHP8iPO4M5RCRjy6nZY0TY/edit#gid=1248694442"",""Table 2: MMC!J5:J114""), $A79=IMPORTRANGE(""https://docs.google.com/spreadsheets/d/1kGrh75X1cNR1D7_FcY9zMnHP8iPO4M5RCRjy6"&amp;"nZY0TY/edit#gid=1248694442"",""Table 2: MMC!A5:A114"")),"""")"),"post-natal")</f>
        <v>post-natal</v>
      </c>
      <c r="I79" s="14" t="str">
        <f>IFERROR(__xludf.DUMMYFUNCTION("IFNA(FILTER(IMPORTRANGE(""https://docs.google.com/spreadsheets/d/1kGrh75X1cNR1D7_FcY9zMnHP8iPO4M5RCRjy6nZY0TY/edit#gid=1248694442"",""Table 2: MMC!M5:M114""), $A79=IMPORTRANGE(""https://docs.google.com/spreadsheets/d/1kGrh75X1cNR1D7_FcY9zMnHP8iPO4M5RCRjy6"&amp;"nZY0TY/edit#gid=1248694442"",""Table 2: MMC!A5:A114"")),"""")"),"")</f>
        <v/>
      </c>
      <c r="J79" s="14" t="str">
        <f>IFERROR(__xludf.DUMMYFUNCTION("IFNA(FILTER(IMPORTRANGE(""https://docs.google.com/spreadsheets/d/1kGrh75X1cNR1D7_FcY9zMnHP8iPO4M5RCRjy6nZY0TY/edit#gid=1248694442"",""Table 2: MMC!Q5:Q114""), $A79=IMPORTRANGE(""https://docs.google.com/spreadsheets/d/1kGrh75X1cNR1D7_FcY9zMnHP8iPO4M5RCRjy6"&amp;"nZY0TY/edit#gid=1248694442"",""Table 2: MMC!A5:A114"")),"""")"),"")</f>
        <v/>
      </c>
      <c r="K79" s="14" t="str">
        <f>IFERROR(__xludf.DUMMYFUNCTION("IFNA(FILTER(IMPORTRANGE(""https://docs.google.com/spreadsheets/d/1kGrh75X1cNR1D7_FcY9zMnHP8iPO4M5RCRjy6nZY0TY/edit#gid=1248694442"",""Table 2: MMC!R5:R114""), $A79=IMPORTRANGE(""https://docs.google.com/spreadsheets/d/1kGrh75X1cNR1D7_FcY9zMnHP8iPO4M5RCRjy6"&amp;"nZY0TY/edit#gid=1248694442"",""Table 2: MMC!A5:A114"")),"""")"),"")</f>
        <v/>
      </c>
      <c r="L79" s="14" t="str">
        <f>IFERROR(__xludf.DUMMYFUNCTION("IFNA(FILTER(IMPORTRANGE(""https://docs.google.com/spreadsheets/d/1kGrh75X1cNR1D7_FcY9zMnHP8iPO4M5RCRjy6nZY0TY/edit#gid=1248694442"",""Table 2: MMC!S5:S114""), $A79=IMPORTRANGE(""https://docs.google.com/spreadsheets/d/1kGrh75X1cNR1D7_FcY9zMnHP8iPO4M5RCRjy6"&amp;"nZY0TY/edit#gid=1248694442"",""Table 2: MMC!A5:A114"")),"""")"),"")</f>
        <v/>
      </c>
      <c r="M79" s="14" t="str">
        <f>IFERROR(__xludf.DUMMYFUNCTION("IFNA(FILTER(IMPORTRANGE(""https://docs.google.com/spreadsheets/d/1kGrh75X1cNR1D7_FcY9zMnHP8iPO4M5RCRjy6nZY0TY/edit#gid=1248694442"",""Table 3: 1st-line HC!D5:D111""), $A79=IMPORTRANGE(""https://docs.google.com/spreadsheets/d/1kGrh75X1cNR1D7_FcY9zMnHP8iPO4"&amp;"M5RCRjy6nZY0TY/edit#gid=1248694442"",""Table 3: 1st-line HC!A5:A111"")),"""")"),"")</f>
        <v/>
      </c>
      <c r="N79" s="14" t="str">
        <f>IFERROR(__xludf.DUMMYFUNCTION("IFNA(FILTER(IMPORTRANGE(""https://docs.google.com/spreadsheets/d/1kGrh75X1cNR1D7_FcY9zMnHP8iPO4M5RCRjy6nZY0TY/edit#gid=1248694442"",""Table 3: 1st-line HC!E5:E111""), $A79=IMPORTRANGE(""https://docs.google.com/spreadsheets/d/1kGrh75X1cNR1D7_FcY9zMnHP8iPO4"&amp;"M5RCRjy6nZY0TY/edit#gid=1248694442"",""Table 3: 1st-line HC!A5:A111"")),"""")"),"")</f>
        <v/>
      </c>
      <c r="O79" s="14" t="str">
        <f>IFERROR(__xludf.DUMMYFUNCTION("IFNA(FILTER(IMPORTRANGE(""https://docs.google.com/spreadsheets/d/1kGrh75X1cNR1D7_FcY9zMnHP8iPO4M5RCRjy6nZY0TY/edit#gid=1248694442"",""Table 3: 1st-line HC!K5:K111""), $A79=IMPORTRANGE(""https://docs.google.com/spreadsheets/d/1kGrh75X1cNR1D7_FcY9zMnHP8iPO4"&amp;"M5RCRjy6nZY0TY/edit#gid=1248694442"",""Table 3: 1st-line HC!A5:A111"")),"""")"),"")</f>
        <v/>
      </c>
      <c r="P79" s="14" t="str">
        <f>IFERROR(__xludf.DUMMYFUNCTION("IFNA(FILTER(IMPORTRANGE(""https://docs.google.com/spreadsheets/d/1kGrh75X1cNR1D7_FcY9zMnHP8iPO4M5RCRjy6nZY0TY/edit#gid=1248694442"",""Table 3: 1st-line HC!L5:L111""), $A79=IMPORTRANGE(""https://docs.google.com/spreadsheets/d/1kGrh75X1cNR1D7_FcY9zMnHP8iPO4"&amp;"M5RCRjy6nZY0TY/edit#gid=1248694442"",""Table 3: 1st-line HC!A5:A111"")),"""")"),"")</f>
        <v/>
      </c>
      <c r="Q79" s="14" t="str">
        <f>IFERROR(__xludf.DUMMYFUNCTION("IFNA(FILTER(IMPORTRANGE(""https://docs.google.com/spreadsheets/d/1kGrh75X1cNR1D7_FcY9zMnHP8iPO4M5RCRjy6nZY0TY/edit#gid=1248694442"",""Table 3: 1st-line HC!M5:M111""), $A79=IMPORTRANGE(""https://docs.google.com/spreadsheets/d/1kGrh75X1cNR1D7_FcY9zMnHP8iPO4"&amp;"M5RCRjy6nZY0TY/edit#gid=1248694442"",""Table 3: 1st-line HC!A5:A111"")),"""")"),"")</f>
        <v/>
      </c>
      <c r="R79" s="14" t="str">
        <f>IFERROR(__xludf.DUMMYFUNCTION("IFNA(FILTER(IMPORTRANGE(""https://docs.google.com/spreadsheets/d/1kGrh75X1cNR1D7_FcY9zMnHP8iPO4M5RCRjy6nZY0TY/edit#gid=1248694442"",""Table 3: 1st-line HC!N5:N111""), $A79=IMPORTRANGE(""https://docs.google.com/spreadsheets/d/1kGrh75X1cNR1D7_FcY9zMnHP8iPO4"&amp;"M5RCRjy6nZY0TY/edit#gid=1248694442"",""Table 3: 1st-line HC!A5:A111"")),"""")"),"")</f>
        <v/>
      </c>
      <c r="S79" s="14" t="str">
        <f>IFERROR(__xludf.DUMMYFUNCTION("IFNA(FILTER(IMPORTRANGE(""https://docs.google.com/spreadsheets/d/1kGrh75X1cNR1D7_FcY9zMnHP8iPO4M5RCRjy6nZY0TY/edit#gid=1248694442"",""Table 3: 1st-line HC!T5:T111""), $A79=IMPORTRANGE(""https://docs.google.com/spreadsheets/d/1kGrh75X1cNR1D7_FcY9zMnHP8iPO4"&amp;"M5RCRjy6nZY0TY/edit#gid=1248694442"",""Table 3: 1st-line HC!A5:A111"")),"""")"),"")</f>
        <v/>
      </c>
      <c r="T79" s="14" t="str">
        <f>IFERROR(__xludf.DUMMYFUNCTION("IFNA(FILTER(IMPORTRANGE(""https://docs.google.com/spreadsheets/d/1kGrh75X1cNR1D7_FcY9zMnHP8iPO4M5RCRjy6nZY0TY/edit#gid=1248694442"",""Table 3: 1st-line HC!U5:U111""), $A79=IMPORTRANGE(""https://docs.google.com/spreadsheets/d/1kGrh75X1cNR1D7_FcY9zMnHP8iPO4"&amp;"M5RCRjy6nZY0TY/edit#gid=1248694442"",""Table 3: 1st-line HC!A5:A111"")),"""")"),"")</f>
        <v/>
      </c>
      <c r="U79" s="14" t="str">
        <f>IFERROR(__xludf.DUMMYFUNCTION("IFNA(FILTER(IMPORTRANGE(""https://docs.google.com/spreadsheets/d/1kGrh75X1cNR1D7_FcY9zMnHP8iPO4M5RCRjy6nZY0TY/edit#gid=1248694442"",""Table 3: 1st-line HC!V5:V111""), $A79=IMPORTRANGE(""https://docs.google.com/spreadsheets/d/1kGrh75X1cNR1D7_FcY9zMnHP8iPO4"&amp;"M5RCRjy6nZY0TY/edit#gid=1248694442"",""Table 3: 1st-line HC!A5:A111"")),"""")"),"")</f>
        <v/>
      </c>
      <c r="V79" s="14" t="str">
        <f>IFERROR(__xludf.DUMMYFUNCTION("IFNA(FILTER(IMPORTRANGE(""https://docs.google.com/spreadsheets/d/1kGrh75X1cNR1D7_FcY9zMnHP8iPO4M5RCRjy6nZY0TY/edit#gid=1248694442"",""Table 3: 1st-line HC!AE5:AE111""), $A79=IMPORTRANGE(""https://docs.google.com/spreadsheets/d/1kGrh75X1cNR1D7_FcY9zMnHP8iP"&amp;"O4M5RCRjy6nZY0TY/edit#gid=1248694442"",""Table 3: 1st-line HC!A5:A111"")),"""")"),"")</f>
        <v/>
      </c>
      <c r="W79" s="14" t="str">
        <f>IFERROR(__xludf.DUMMYFUNCTION("IFNA(FILTER(IMPORTRANGE(""https://docs.google.com/spreadsheets/d/1kGrh75X1cNR1D7_FcY9zMnHP8iPO4M5RCRjy6nZY0TY/edit#gid=1248694442"",""Table 3: 1st-line HC!AG5:AG111""), $A79=IMPORTRANGE(""https://docs.google.com/spreadsheets/d/1kGrh75X1cNR1D7_FcY9zMnHP8iP"&amp;"O4M5RCRjy6nZY0TY/edit#gid=1248694442"",""Table 3: 1st-line HC!A5:A111"")),"""")"),"")</f>
        <v/>
      </c>
      <c r="X79" s="14" t="str">
        <f>IFERROR(__xludf.DUMMYFUNCTION("IFNA(FILTER(IMPORTRANGE(""https://docs.google.com/spreadsheets/d/1kGrh75X1cNR1D7_FcY9zMnHP8iPO4M5RCRjy6nZY0TY/edit#gid=1248694442"",""Table 3: 1st-line HC!AI5:AI111""), $A79=IMPORTRANGE(""https://docs.google.com/spreadsheets/d/1kGrh75X1cNR1D7_FcY9zMnHP8iP"&amp;"O4M5RCRjy6nZY0TY/edit#gid=1248694442"",""Table 3: 1st-line HC!A5:A111"")),"""")"),"12-678")</f>
        <v>12-678</v>
      </c>
    </row>
    <row r="80">
      <c r="A80" s="4" t="str">
        <f>IFERROR(__xludf.DUMMYFUNCTION("""COMPUTED_VALUE"""),"ID 166")</f>
        <v>ID 166</v>
      </c>
      <c r="B80" s="14">
        <f>IFERROR(__xludf.DUMMYFUNCTION("IFNA(FILTER(IMPORTRANGE(""https://docs.google.com/spreadsheets/d/1kGrh75X1cNR1D7_FcY9zMnHP8iPO4M5RCRjy6nZY0TY/edit#gid=1248694442"",""Table 2: MMC!D5:D114""), $A80=IMPORTRANGE(""https://docs.google.com/spreadsheets/d/1kGrh75X1cNR1D7_FcY9zMnHP8iPO4M5RCRjy6"&amp;"nZY0TY/edit#gid=1248694442"",""Table 2: MMC!A5:A114"")),"""")"),1.0)</f>
        <v>1</v>
      </c>
      <c r="C80" s="14">
        <f>IFERROR(__xludf.DUMMYFUNCTION("IFNA(FILTER(IMPORTRANGE(""https://docs.google.com/spreadsheets/d/1kGrh75X1cNR1D7_FcY9zMnHP8iPO4M5RCRjy6nZY0TY/edit#gid=1248694442"",""Table 2: MMC!E5:E114""), $A80=IMPORTRANGE(""https://docs.google.com/spreadsheets/d/1kGrh75X1cNR1D7_FcY9zMnHP8iPO4M5RCRjy6"&amp;"nZY0TY/edit#gid=1248694442"",""Table 2: MMC!A5:A114"")),"""")"),3.0)</f>
        <v>3</v>
      </c>
      <c r="D80" s="14">
        <f>IFERROR(__xludf.DUMMYFUNCTION("IFNA(FILTER(IMPORTRANGE(""https://docs.google.com/spreadsheets/d/1kGrh75X1cNR1D7_FcY9zMnHP8iPO4M5RCRjy6nZY0TY/edit#gid=1248694442"",""Table 2: MMC!F5:F114""), $A80=IMPORTRANGE(""https://docs.google.com/spreadsheets/d/1kGrh75X1cNR1D7_FcY9zMnHP8iPO4M5RCRjy6"&amp;"nZY0TY/edit#gid=1248694442"",""Table 2: MMC!A5:A114"")),"""")"),11.0)</f>
        <v>11</v>
      </c>
      <c r="E80" s="14">
        <f>IFERROR(__xludf.DUMMYFUNCTION("IFNA(FILTER(IMPORTRANGE(""https://docs.google.com/spreadsheets/d/1kGrh75X1cNR1D7_FcY9zMnHP8iPO4M5RCRjy6nZY0TY/edit#gid=1248694442"",""Table 2: MMC!G5:G114""), $A80=IMPORTRANGE(""https://docs.google.com/spreadsheets/d/1kGrh75X1cNR1D7_FcY9zMnHP8iPO4M5RCRjy6"&amp;"nZY0TY/edit#gid=1248694442"",""Table 2: MMC!A5:A114"")),"""")"),19.0)</f>
        <v>19</v>
      </c>
      <c r="F80" s="14">
        <f>IFERROR(__xludf.DUMMYFUNCTION("IFNA(FILTER(IMPORTRANGE(""https://docs.google.com/spreadsheets/d/1kGrh75X1cNR1D7_FcY9zMnHP8iPO4M5RCRjy6nZY0TY/edit#gid=1248694442"",""Table 2: MMC!H5:H114""), $A80=IMPORTRANGE(""https://docs.google.com/spreadsheets/d/1kGrh75X1cNR1D7_FcY9zMnHP8iPO4M5RCRjy6"&amp;"nZY0TY/edit#gid=1248694442"",""Table 2: MMC!A5:A114"")),"""")"),12.0)</f>
        <v>12</v>
      </c>
      <c r="G80" s="14">
        <f>IFERROR(__xludf.DUMMYFUNCTION("IFNA(FILTER(IMPORTRANGE(""https://docs.google.com/spreadsheets/d/1kGrh75X1cNR1D7_FcY9zMnHP8iPO4M5RCRjy6nZY0TY/edit#gid=1248694442"",""Table 2: MMC!I5:I114""), $A80=IMPORTRANGE(""https://docs.google.com/spreadsheets/d/1kGrh75X1cNR1D7_FcY9zMnHP8iPO4M5RCRjy6"&amp;"nZY0TY/edit#gid=1248694442"",""Table 2: MMC!A5:A114"")),"""")"),1.0)</f>
        <v>1</v>
      </c>
      <c r="H80" s="14" t="str">
        <f>IFERROR(__xludf.DUMMYFUNCTION("IFNA(FILTER(IMPORTRANGE(""https://docs.google.com/spreadsheets/d/1kGrh75X1cNR1D7_FcY9zMnHP8iPO4M5RCRjy6nZY0TY/edit#gid=1248694442"",""Table 2: MMC!J5:J114""), $A80=IMPORTRANGE(""https://docs.google.com/spreadsheets/d/1kGrh75X1cNR1D7_FcY9zMnHP8iPO4M5RCRjy6"&amp;"nZY0TY/edit#gid=1248694442"",""Table 2: MMC!A5:A114"")),"""")"),"post-natal")</f>
        <v>post-natal</v>
      </c>
      <c r="I80" s="14" t="str">
        <f>IFERROR(__xludf.DUMMYFUNCTION("IFNA(FILTER(IMPORTRANGE(""https://docs.google.com/spreadsheets/d/1kGrh75X1cNR1D7_FcY9zMnHP8iPO4M5RCRjy6nZY0TY/edit#gid=1248694442"",""Table 2: MMC!M5:M114""), $A80=IMPORTRANGE(""https://docs.google.com/spreadsheets/d/1kGrh75X1cNR1D7_FcY9zMnHP8iPO4M5RCRjy6"&amp;"nZY0TY/edit#gid=1248694442"",""Table 2: MMC!A5:A114"")),"""")"),"")</f>
        <v/>
      </c>
      <c r="J80" s="14">
        <f>IFERROR(__xludf.DUMMYFUNCTION("IFNA(FILTER(IMPORTRANGE(""https://docs.google.com/spreadsheets/d/1kGrh75X1cNR1D7_FcY9zMnHP8iPO4M5RCRjy6nZY0TY/edit#gid=1248694442"",""Table 2: MMC!Q5:Q114""), $A80=IMPORTRANGE(""https://docs.google.com/spreadsheets/d/1kGrh75X1cNR1D7_FcY9zMnHP8iPO4M5RCRjy6"&amp;"nZY0TY/edit#gid=1248694442"",""Table 2: MMC!A5:A114"")),"""")"),0.0)</f>
        <v>0</v>
      </c>
      <c r="K80" s="14">
        <f>IFERROR(__xludf.DUMMYFUNCTION("IFNA(FILTER(IMPORTRANGE(""https://docs.google.com/spreadsheets/d/1kGrh75X1cNR1D7_FcY9zMnHP8iPO4M5RCRjy6nZY0TY/edit#gid=1248694442"",""Table 2: MMC!R5:R114""), $A80=IMPORTRANGE(""https://docs.google.com/spreadsheets/d/1kGrh75X1cNR1D7_FcY9zMnHP8iPO4M5RCRjy6"&amp;"nZY0TY/edit#gid=1248694442"",""Table 2: MMC!A5:A114"")),"""")"),0.0)</f>
        <v>0</v>
      </c>
      <c r="L80" s="14" t="str">
        <f>IFERROR(__xludf.DUMMYFUNCTION("IFNA(FILTER(IMPORTRANGE(""https://docs.google.com/spreadsheets/d/1kGrh75X1cNR1D7_FcY9zMnHP8iPO4M5RCRjy6nZY0TY/edit#gid=1248694442"",""Table 2: MMC!S5:S114""), $A80=IMPORTRANGE(""https://docs.google.com/spreadsheets/d/1kGrh75X1cNR1D7_FcY9zMnHP8iPO4M5RCRjy6"&amp;"nZY0TY/edit#gid=1248694442"",""Table 2: MMC!A5:A114"")),"""")"),"")</f>
        <v/>
      </c>
      <c r="M80" s="14" t="str">
        <f>IFERROR(__xludf.DUMMYFUNCTION("IFNA(FILTER(IMPORTRANGE(""https://docs.google.com/spreadsheets/d/1kGrh75X1cNR1D7_FcY9zMnHP8iPO4M5RCRjy6nZY0TY/edit#gid=1248694442"",""Table 3: 1st-line HC!D5:D111""), $A80=IMPORTRANGE(""https://docs.google.com/spreadsheets/d/1kGrh75X1cNR1D7_FcY9zMnHP8iPO4"&amp;"M5RCRjy6nZY0TY/edit#gid=1248694442"",""Table 3: 1st-line HC!A5:A111"")),"""")"),"")</f>
        <v/>
      </c>
      <c r="N80" s="14" t="str">
        <f>IFERROR(__xludf.DUMMYFUNCTION("IFNA(FILTER(IMPORTRANGE(""https://docs.google.com/spreadsheets/d/1kGrh75X1cNR1D7_FcY9zMnHP8iPO4M5RCRjy6nZY0TY/edit#gid=1248694442"",""Table 3: 1st-line HC!E5:E111""), $A80=IMPORTRANGE(""https://docs.google.com/spreadsheets/d/1kGrh75X1cNR1D7_FcY9zMnHP8iPO4"&amp;"M5RCRjy6nZY0TY/edit#gid=1248694442"",""Table 3: 1st-line HC!A5:A111"")),"""")"),"")</f>
        <v/>
      </c>
      <c r="O80" s="14" t="str">
        <f>IFERROR(__xludf.DUMMYFUNCTION("IFNA(FILTER(IMPORTRANGE(""https://docs.google.com/spreadsheets/d/1kGrh75X1cNR1D7_FcY9zMnHP8iPO4M5RCRjy6nZY0TY/edit#gid=1248694442"",""Table 3: 1st-line HC!K5:K111""), $A80=IMPORTRANGE(""https://docs.google.com/spreadsheets/d/1kGrh75X1cNR1D7_FcY9zMnHP8iPO4"&amp;"M5RCRjy6nZY0TY/edit#gid=1248694442"",""Table 3: 1st-line HC!A5:A111"")),"""")"),"")</f>
        <v/>
      </c>
      <c r="P80" s="14" t="str">
        <f>IFERROR(__xludf.DUMMYFUNCTION("IFNA(FILTER(IMPORTRANGE(""https://docs.google.com/spreadsheets/d/1kGrh75X1cNR1D7_FcY9zMnHP8iPO4M5RCRjy6nZY0TY/edit#gid=1248694442"",""Table 3: 1st-line HC!L5:L111""), $A80=IMPORTRANGE(""https://docs.google.com/spreadsheets/d/1kGrh75X1cNR1D7_FcY9zMnHP8iPO4"&amp;"M5RCRjy6nZY0TY/edit#gid=1248694442"",""Table 3: 1st-line HC!A5:A111"")),"""")"),"")</f>
        <v/>
      </c>
      <c r="Q80" s="14" t="str">
        <f>IFERROR(__xludf.DUMMYFUNCTION("IFNA(FILTER(IMPORTRANGE(""https://docs.google.com/spreadsheets/d/1kGrh75X1cNR1D7_FcY9zMnHP8iPO4M5RCRjy6nZY0TY/edit#gid=1248694442"",""Table 3: 1st-line HC!M5:M111""), $A80=IMPORTRANGE(""https://docs.google.com/spreadsheets/d/1kGrh75X1cNR1D7_FcY9zMnHP8iPO4"&amp;"M5RCRjy6nZY0TY/edit#gid=1248694442"",""Table 3: 1st-line HC!A5:A111"")),"""")"),"")</f>
        <v/>
      </c>
      <c r="R80" s="14" t="str">
        <f>IFERROR(__xludf.DUMMYFUNCTION("IFNA(FILTER(IMPORTRANGE(""https://docs.google.com/spreadsheets/d/1kGrh75X1cNR1D7_FcY9zMnHP8iPO4M5RCRjy6nZY0TY/edit#gid=1248694442"",""Table 3: 1st-line HC!N5:N111""), $A80=IMPORTRANGE(""https://docs.google.com/spreadsheets/d/1kGrh75X1cNR1D7_FcY9zMnHP8iPO4"&amp;"M5RCRjy6nZY0TY/edit#gid=1248694442"",""Table 3: 1st-line HC!A5:A111"")),"""")"),"")</f>
        <v/>
      </c>
      <c r="S80" s="14" t="str">
        <f>IFERROR(__xludf.DUMMYFUNCTION("IFNA(FILTER(IMPORTRANGE(""https://docs.google.com/spreadsheets/d/1kGrh75X1cNR1D7_FcY9zMnHP8iPO4M5RCRjy6nZY0TY/edit#gid=1248694442"",""Table 3: 1st-line HC!T5:T111""), $A80=IMPORTRANGE(""https://docs.google.com/spreadsheets/d/1kGrh75X1cNR1D7_FcY9zMnHP8iPO4"&amp;"M5RCRjy6nZY0TY/edit#gid=1248694442"",""Table 3: 1st-line HC!A5:A111"")),"""")"),"")</f>
        <v/>
      </c>
      <c r="T80" s="14" t="str">
        <f>IFERROR(__xludf.DUMMYFUNCTION("IFNA(FILTER(IMPORTRANGE(""https://docs.google.com/spreadsheets/d/1kGrh75X1cNR1D7_FcY9zMnHP8iPO4M5RCRjy6nZY0TY/edit#gid=1248694442"",""Table 3: 1st-line HC!U5:U111""), $A80=IMPORTRANGE(""https://docs.google.com/spreadsheets/d/1kGrh75X1cNR1D7_FcY9zMnHP8iPO4"&amp;"M5RCRjy6nZY0TY/edit#gid=1248694442"",""Table 3: 1st-line HC!A5:A111"")),"""")"),"")</f>
        <v/>
      </c>
      <c r="U80" s="14" t="str">
        <f>IFERROR(__xludf.DUMMYFUNCTION("IFNA(FILTER(IMPORTRANGE(""https://docs.google.com/spreadsheets/d/1kGrh75X1cNR1D7_FcY9zMnHP8iPO4M5RCRjy6nZY0TY/edit#gid=1248694442"",""Table 3: 1st-line HC!V5:V111""), $A80=IMPORTRANGE(""https://docs.google.com/spreadsheets/d/1kGrh75X1cNR1D7_FcY9zMnHP8iPO4"&amp;"M5RCRjy6nZY0TY/edit#gid=1248694442"",""Table 3: 1st-line HC!A5:A111"")),"""")"),"")</f>
        <v/>
      </c>
      <c r="V80" s="14" t="str">
        <f>IFERROR(__xludf.DUMMYFUNCTION("IFNA(FILTER(IMPORTRANGE(""https://docs.google.com/spreadsheets/d/1kGrh75X1cNR1D7_FcY9zMnHP8iPO4M5RCRjy6nZY0TY/edit#gid=1248694442"",""Table 3: 1st-line HC!AE5:AE111""), $A80=IMPORTRANGE(""https://docs.google.com/spreadsheets/d/1kGrh75X1cNR1D7_FcY9zMnHP8iP"&amp;"O4M5RCRjy6nZY0TY/edit#gid=1248694442"",""Table 3: 1st-line HC!A5:A111"")),"""")"),"")</f>
        <v/>
      </c>
      <c r="W80" s="14" t="str">
        <f>IFERROR(__xludf.DUMMYFUNCTION("IFNA(FILTER(IMPORTRANGE(""https://docs.google.com/spreadsheets/d/1kGrh75X1cNR1D7_FcY9zMnHP8iPO4M5RCRjy6nZY0TY/edit#gid=1248694442"",""Table 3: 1st-line HC!AG5:AG111""), $A80=IMPORTRANGE(""https://docs.google.com/spreadsheets/d/1kGrh75X1cNR1D7_FcY9zMnHP8iP"&amp;"O4M5RCRjy6nZY0TY/edit#gid=1248694442"",""Table 3: 1st-line HC!A5:A111"")),"""")"),"")</f>
        <v/>
      </c>
      <c r="X80" s="14">
        <f>IFERROR(__xludf.DUMMYFUNCTION("IFNA(FILTER(IMPORTRANGE(""https://docs.google.com/spreadsheets/d/1kGrh75X1cNR1D7_FcY9zMnHP8iPO4M5RCRjy6nZY0TY/edit#gid=1248694442"",""Table 3: 1st-line HC!AI5:AI111""), $A80=IMPORTRANGE(""https://docs.google.com/spreadsheets/d/1kGrh75X1cNR1D7_FcY9zMnHP8iP"&amp;"O4M5RCRjy6nZY0TY/edit#gid=1248694442"",""Table 3: 1st-line HC!A5:A111"")),"""")"),52.0)</f>
        <v>52</v>
      </c>
    </row>
    <row r="81">
      <c r="A81" s="4" t="str">
        <f>IFERROR(__xludf.DUMMYFUNCTION("""COMPUTED_VALUE"""),"ID 167")</f>
        <v>ID 167</v>
      </c>
      <c r="B81" s="14" t="str">
        <f>IFERROR(__xludf.DUMMYFUNCTION("IFNA(FILTER(IMPORTRANGE(""https://docs.google.com/spreadsheets/d/1kGrh75X1cNR1D7_FcY9zMnHP8iPO4M5RCRjy6nZY0TY/edit#gid=1248694442"",""Table 2: MMC!D5:D114""), $A81=IMPORTRANGE(""https://docs.google.com/spreadsheets/d/1kGrh75X1cNR1D7_FcY9zMnHP8iPO4M5RCRjy6"&amp;"nZY0TY/edit#gid=1248694442"",""Table 2: MMC!A5:A114"")),"""")"),"")</f>
        <v/>
      </c>
      <c r="C81" s="14" t="str">
        <f>IFERROR(__xludf.DUMMYFUNCTION("IFNA(FILTER(IMPORTRANGE(""https://docs.google.com/spreadsheets/d/1kGrh75X1cNR1D7_FcY9zMnHP8iPO4M5RCRjy6nZY0TY/edit#gid=1248694442"",""Table 2: MMC!E5:E114""), $A81=IMPORTRANGE(""https://docs.google.com/spreadsheets/d/1kGrh75X1cNR1D7_FcY9zMnHP8iPO4M5RCRjy6"&amp;"nZY0TY/edit#gid=1248694442"",""Table 2: MMC!A5:A114"")),"""")"),"")</f>
        <v/>
      </c>
      <c r="D81" s="14" t="str">
        <f>IFERROR(__xludf.DUMMYFUNCTION("IFNA(FILTER(IMPORTRANGE(""https://docs.google.com/spreadsheets/d/1kGrh75X1cNR1D7_FcY9zMnHP8iPO4M5RCRjy6nZY0TY/edit#gid=1248694442"",""Table 2: MMC!F5:F114""), $A81=IMPORTRANGE(""https://docs.google.com/spreadsheets/d/1kGrh75X1cNR1D7_FcY9zMnHP8iPO4M5RCRjy6"&amp;"nZY0TY/edit#gid=1248694442"",""Table 2: MMC!A5:A114"")),"""")"),"")</f>
        <v/>
      </c>
      <c r="E81" s="14" t="str">
        <f>IFERROR(__xludf.DUMMYFUNCTION("IFNA(FILTER(IMPORTRANGE(""https://docs.google.com/spreadsheets/d/1kGrh75X1cNR1D7_FcY9zMnHP8iPO4M5RCRjy6nZY0TY/edit#gid=1248694442"",""Table 2: MMC!G5:G114""), $A81=IMPORTRANGE(""https://docs.google.com/spreadsheets/d/1kGrh75X1cNR1D7_FcY9zMnHP8iPO4M5RCRjy6"&amp;"nZY0TY/edit#gid=1248694442"",""Table 2: MMC!A5:A114"")),"""")"),"")</f>
        <v/>
      </c>
      <c r="F81" s="14" t="str">
        <f>IFERROR(__xludf.DUMMYFUNCTION("IFNA(FILTER(IMPORTRANGE(""https://docs.google.com/spreadsheets/d/1kGrh75X1cNR1D7_FcY9zMnHP8iPO4M5RCRjy6nZY0TY/edit#gid=1248694442"",""Table 2: MMC!H5:H114""), $A81=IMPORTRANGE(""https://docs.google.com/spreadsheets/d/1kGrh75X1cNR1D7_FcY9zMnHP8iPO4M5RCRjy6"&amp;"nZY0TY/edit#gid=1248694442"",""Table 2: MMC!A5:A114"")),"""")"),"")</f>
        <v/>
      </c>
      <c r="G81" s="14" t="str">
        <f>IFERROR(__xludf.DUMMYFUNCTION("IFNA(FILTER(IMPORTRANGE(""https://docs.google.com/spreadsheets/d/1kGrh75X1cNR1D7_FcY9zMnHP8iPO4M5RCRjy6nZY0TY/edit#gid=1248694442"",""Table 2: MMC!I5:I114""), $A81=IMPORTRANGE(""https://docs.google.com/spreadsheets/d/1kGrh75X1cNR1D7_FcY9zMnHP8iPO4M5RCRjy6"&amp;"nZY0TY/edit#gid=1248694442"",""Table 2: MMC!A5:A114"")),"""")"),"")</f>
        <v/>
      </c>
      <c r="H81" s="14" t="str">
        <f>IFERROR(__xludf.DUMMYFUNCTION("IFNA(FILTER(IMPORTRANGE(""https://docs.google.com/spreadsheets/d/1kGrh75X1cNR1D7_FcY9zMnHP8iPO4M5RCRjy6nZY0TY/edit#gid=1248694442"",""Table 2: MMC!J5:J114""), $A81=IMPORTRANGE(""https://docs.google.com/spreadsheets/d/1kGrh75X1cNR1D7_FcY9zMnHP8iPO4M5RCRjy6"&amp;"nZY0TY/edit#gid=1248694442"",""Table 2: MMC!A5:A114"")),"""")"),"post-natal")</f>
        <v>post-natal</v>
      </c>
      <c r="I81" s="14" t="str">
        <f>IFERROR(__xludf.DUMMYFUNCTION("IFNA(FILTER(IMPORTRANGE(""https://docs.google.com/spreadsheets/d/1kGrh75X1cNR1D7_FcY9zMnHP8iPO4M5RCRjy6nZY0TY/edit#gid=1248694442"",""Table 2: MMC!M5:M114""), $A81=IMPORTRANGE(""https://docs.google.com/spreadsheets/d/1kGrh75X1cNR1D7_FcY9zMnHP8iPO4M5RCRjy6"&amp;"nZY0TY/edit#gid=1248694442"",""Table 2: MMC!A5:A114"")),"""")"),"")</f>
        <v/>
      </c>
      <c r="J81" s="14" t="str">
        <f>IFERROR(__xludf.DUMMYFUNCTION("IFNA(FILTER(IMPORTRANGE(""https://docs.google.com/spreadsheets/d/1kGrh75X1cNR1D7_FcY9zMnHP8iPO4M5RCRjy6nZY0TY/edit#gid=1248694442"",""Table 2: MMC!Q5:Q114""), $A81=IMPORTRANGE(""https://docs.google.com/spreadsheets/d/1kGrh75X1cNR1D7_FcY9zMnHP8iPO4M5RCRjy6"&amp;"nZY0TY/edit#gid=1248694442"",""Table 2: MMC!A5:A114"")),"""")"),"")</f>
        <v/>
      </c>
      <c r="K81" s="14" t="str">
        <f>IFERROR(__xludf.DUMMYFUNCTION("IFNA(FILTER(IMPORTRANGE(""https://docs.google.com/spreadsheets/d/1kGrh75X1cNR1D7_FcY9zMnHP8iPO4M5RCRjy6nZY0TY/edit#gid=1248694442"",""Table 2: MMC!R5:R114""), $A81=IMPORTRANGE(""https://docs.google.com/spreadsheets/d/1kGrh75X1cNR1D7_FcY9zMnHP8iPO4M5RCRjy6"&amp;"nZY0TY/edit#gid=1248694442"",""Table 2: MMC!A5:A114"")),"""")"),"")</f>
        <v/>
      </c>
      <c r="L81" s="14" t="str">
        <f>IFERROR(__xludf.DUMMYFUNCTION("IFNA(FILTER(IMPORTRANGE(""https://docs.google.com/spreadsheets/d/1kGrh75X1cNR1D7_FcY9zMnHP8iPO4M5RCRjy6nZY0TY/edit#gid=1248694442"",""Table 2: MMC!S5:S114""), $A81=IMPORTRANGE(""https://docs.google.com/spreadsheets/d/1kGrh75X1cNR1D7_FcY9zMnHP8iPO4M5RCRjy6"&amp;"nZY0TY/edit#gid=1248694442"",""Table 2: MMC!A5:A114"")),"""")"),"")</f>
        <v/>
      </c>
      <c r="M81" s="14" t="str">
        <f>IFERROR(__xludf.DUMMYFUNCTION("IFNA(FILTER(IMPORTRANGE(""https://docs.google.com/spreadsheets/d/1kGrh75X1cNR1D7_FcY9zMnHP8iPO4M5RCRjy6nZY0TY/edit#gid=1248694442"",""Table 3: 1st-line HC!D5:D111""), $A81=IMPORTRANGE(""https://docs.google.com/spreadsheets/d/1kGrh75X1cNR1D7_FcY9zMnHP8iPO4"&amp;"M5RCRjy6nZY0TY/edit#gid=1248694442"",""Table 3: 1st-line HC!A5:A111"")),"""")"),"")</f>
        <v/>
      </c>
      <c r="N81" s="14" t="str">
        <f>IFERROR(__xludf.DUMMYFUNCTION("IFNA(FILTER(IMPORTRANGE(""https://docs.google.com/spreadsheets/d/1kGrh75X1cNR1D7_FcY9zMnHP8iPO4M5RCRjy6nZY0TY/edit#gid=1248694442"",""Table 3: 1st-line HC!E5:E111""), $A81=IMPORTRANGE(""https://docs.google.com/spreadsheets/d/1kGrh75X1cNR1D7_FcY9zMnHP8iPO4"&amp;"M5RCRjy6nZY0TY/edit#gid=1248694442"",""Table 3: 1st-line HC!A5:A111"")),"""")"),"")</f>
        <v/>
      </c>
      <c r="O81" s="14">
        <f>IFERROR(__xludf.DUMMYFUNCTION("IFNA(FILTER(IMPORTRANGE(""https://docs.google.com/spreadsheets/d/1kGrh75X1cNR1D7_FcY9zMnHP8iPO4M5RCRjy6nZY0TY/edit#gid=1248694442"",""Table 3: 1st-line HC!K5:K111""), $A81=IMPORTRANGE(""https://docs.google.com/spreadsheets/d/1kGrh75X1cNR1D7_FcY9zMnHP8iPO4"&amp;"M5RCRjy6nZY0TY/edit#gid=1248694442"",""Table 3: 1st-line HC!A5:A111"")),"""")"),39.0)</f>
        <v>39</v>
      </c>
      <c r="P81" s="14">
        <f>IFERROR(__xludf.DUMMYFUNCTION("IFNA(FILTER(IMPORTRANGE(""https://docs.google.com/spreadsheets/d/1kGrh75X1cNR1D7_FcY9zMnHP8iPO4M5RCRjy6nZY0TY/edit#gid=1248694442"",""Table 3: 1st-line HC!L5:L111""), $A81=IMPORTRANGE(""https://docs.google.com/spreadsheets/d/1kGrh75X1cNR1D7_FcY9zMnHP8iPO4"&amp;"M5RCRjy6nZY0TY/edit#gid=1248694442"",""Table 3: 1st-line HC!A5:A111"")),"""")"),39.0)</f>
        <v>39</v>
      </c>
      <c r="Q81" s="14" t="str">
        <f>IFERROR(__xludf.DUMMYFUNCTION("IFNA(FILTER(IMPORTRANGE(""https://docs.google.com/spreadsheets/d/1kGrh75X1cNR1D7_FcY9zMnHP8iPO4M5RCRjy6nZY0TY/edit#gid=1248694442"",""Table 3: 1st-line HC!M5:M111""), $A81=IMPORTRANGE(""https://docs.google.com/spreadsheets/d/1kGrh75X1cNR1D7_FcY9zMnHP8iPO4"&amp;"M5RCRjy6nZY0TY/edit#gid=1248694442"",""Table 3: 1st-line HC!A5:A111"")),"""")"),"")</f>
        <v/>
      </c>
      <c r="R81" s="14" t="str">
        <f>IFERROR(__xludf.DUMMYFUNCTION("IFNA(FILTER(IMPORTRANGE(""https://docs.google.com/spreadsheets/d/1kGrh75X1cNR1D7_FcY9zMnHP8iPO4M5RCRjy6nZY0TY/edit#gid=1248694442"",""Table 3: 1st-line HC!N5:N111""), $A81=IMPORTRANGE(""https://docs.google.com/spreadsheets/d/1kGrh75X1cNR1D7_FcY9zMnHP8iPO4"&amp;"M5RCRjy6nZY0TY/edit#gid=1248694442"",""Table 3: 1st-line HC!A5:A111"")),"""")"),"")</f>
        <v/>
      </c>
      <c r="S81" s="14" t="str">
        <f>IFERROR(__xludf.DUMMYFUNCTION("IFNA(FILTER(IMPORTRANGE(""https://docs.google.com/spreadsheets/d/1kGrh75X1cNR1D7_FcY9zMnHP8iPO4M5RCRjy6nZY0TY/edit#gid=1248694442"",""Table 3: 1st-line HC!T5:T111""), $A81=IMPORTRANGE(""https://docs.google.com/spreadsheets/d/1kGrh75X1cNR1D7_FcY9zMnHP8iPO4"&amp;"M5RCRjy6nZY0TY/edit#gid=1248694442"",""Table 3: 1st-line HC!A5:A111"")),"""")"),"")</f>
        <v/>
      </c>
      <c r="T81" s="14" t="str">
        <f>IFERROR(__xludf.DUMMYFUNCTION("IFNA(FILTER(IMPORTRANGE(""https://docs.google.com/spreadsheets/d/1kGrh75X1cNR1D7_FcY9zMnHP8iPO4M5RCRjy6nZY0TY/edit#gid=1248694442"",""Table 3: 1st-line HC!U5:U111""), $A81=IMPORTRANGE(""https://docs.google.com/spreadsheets/d/1kGrh75X1cNR1D7_FcY9zMnHP8iPO4"&amp;"M5RCRjy6nZY0TY/edit#gid=1248694442"",""Table 3: 1st-line HC!A5:A111"")),"""")"),"")</f>
        <v/>
      </c>
      <c r="U81" s="14" t="str">
        <f>IFERROR(__xludf.DUMMYFUNCTION("IFNA(FILTER(IMPORTRANGE(""https://docs.google.com/spreadsheets/d/1kGrh75X1cNR1D7_FcY9zMnHP8iPO4M5RCRjy6nZY0TY/edit#gid=1248694442"",""Table 3: 1st-line HC!V5:V111""), $A81=IMPORTRANGE(""https://docs.google.com/spreadsheets/d/1kGrh75X1cNR1D7_FcY9zMnHP8iPO4"&amp;"M5RCRjy6nZY0TY/edit#gid=1248694442"",""Table 3: 1st-line HC!A5:A111"")),"""")"),"")</f>
        <v/>
      </c>
      <c r="V81" s="14">
        <f>IFERROR(__xludf.DUMMYFUNCTION("IFNA(FILTER(IMPORTRANGE(""https://docs.google.com/spreadsheets/d/1kGrh75X1cNR1D7_FcY9zMnHP8iPO4M5RCRjy6nZY0TY/edit#gid=1248694442"",""Table 3: 1st-line HC!AE5:AE111""), $A81=IMPORTRANGE(""https://docs.google.com/spreadsheets/d/1kGrh75X1cNR1D7_FcY9zMnHP8iP"&amp;"O4M5RCRjy6nZY0TY/edit#gid=1248694442"",""Table 3: 1st-line HC!A5:A111"")),"""")"),255.5)</f>
        <v>255.5</v>
      </c>
      <c r="W81" s="14" t="str">
        <f>IFERROR(__xludf.DUMMYFUNCTION("IFNA(FILTER(IMPORTRANGE(""https://docs.google.com/spreadsheets/d/1kGrh75X1cNR1D7_FcY9zMnHP8iPO4M5RCRjy6nZY0TY/edit#gid=1248694442"",""Table 3: 1st-line HC!AG5:AG111""), $A81=IMPORTRANGE(""https://docs.google.com/spreadsheets/d/1kGrh75X1cNR1D7_FcY9zMnHP8iP"&amp;"O4M5RCRjy6nZY0TY/edit#gid=1248694442"",""Table 3: 1st-line HC!A5:A111"")),"""")"),"")</f>
        <v/>
      </c>
      <c r="X81" s="14" t="str">
        <f>IFERROR(__xludf.DUMMYFUNCTION("IFNA(FILTER(IMPORTRANGE(""https://docs.google.com/spreadsheets/d/1kGrh75X1cNR1D7_FcY9zMnHP8iPO4M5RCRjy6nZY0TY/edit#gid=1248694442"",""Table 3: 1st-line HC!AI5:AI111""), $A81=IMPORTRANGE(""https://docs.google.com/spreadsheets/d/1kGrh75X1cNR1D7_FcY9zMnHP8iP"&amp;"O4M5RCRjy6nZY0TY/edit#gid=1248694442"",""Table 3: 1st-line HC!A5:A111"")),"""")"),"")</f>
        <v/>
      </c>
    </row>
    <row r="82">
      <c r="A82" s="4" t="str">
        <f>IFERROR(__xludf.DUMMYFUNCTION("""COMPUTED_VALUE"""),"ID 168")</f>
        <v>ID 168</v>
      </c>
      <c r="B82" s="14" t="str">
        <f>IFERROR(__xludf.DUMMYFUNCTION("IFNA(FILTER(IMPORTRANGE(""https://docs.google.com/spreadsheets/d/1kGrh75X1cNR1D7_FcY9zMnHP8iPO4M5RCRjy6nZY0TY/edit#gid=1248694442"",""Table 2: MMC!D5:D114""), $A82=IMPORTRANGE(""https://docs.google.com/spreadsheets/d/1kGrh75X1cNR1D7_FcY9zMnHP8iPO4M5RCRjy6"&amp;"nZY0TY/edit#gid=1248694442"",""Table 2: MMC!A5:A114"")),"""")"),"")</f>
        <v/>
      </c>
      <c r="C82" s="14" t="str">
        <f>IFERROR(__xludf.DUMMYFUNCTION("IFNA(FILTER(IMPORTRANGE(""https://docs.google.com/spreadsheets/d/1kGrh75X1cNR1D7_FcY9zMnHP8iPO4M5RCRjy6nZY0TY/edit#gid=1248694442"",""Table 2: MMC!E5:E114""), $A82=IMPORTRANGE(""https://docs.google.com/spreadsheets/d/1kGrh75X1cNR1D7_FcY9zMnHP8iPO4M5RCRjy6"&amp;"nZY0TY/edit#gid=1248694442"",""Table 2: MMC!A5:A114"")),"""")"),"")</f>
        <v/>
      </c>
      <c r="D82" s="14" t="str">
        <f>IFERROR(__xludf.DUMMYFUNCTION("IFNA(FILTER(IMPORTRANGE(""https://docs.google.com/spreadsheets/d/1kGrh75X1cNR1D7_FcY9zMnHP8iPO4M5RCRjy6nZY0TY/edit#gid=1248694442"",""Table 2: MMC!F5:F114""), $A82=IMPORTRANGE(""https://docs.google.com/spreadsheets/d/1kGrh75X1cNR1D7_FcY9zMnHP8iPO4M5RCRjy6"&amp;"nZY0TY/edit#gid=1248694442"",""Table 2: MMC!A5:A114"")),"""")"),"")</f>
        <v/>
      </c>
      <c r="E82" s="14" t="str">
        <f>IFERROR(__xludf.DUMMYFUNCTION("IFNA(FILTER(IMPORTRANGE(""https://docs.google.com/spreadsheets/d/1kGrh75X1cNR1D7_FcY9zMnHP8iPO4M5RCRjy6nZY0TY/edit#gid=1248694442"",""Table 2: MMC!G5:G114""), $A82=IMPORTRANGE(""https://docs.google.com/spreadsheets/d/1kGrh75X1cNR1D7_FcY9zMnHP8iPO4M5RCRjy6"&amp;"nZY0TY/edit#gid=1248694442"",""Table 2: MMC!A5:A114"")),"""")"),"")</f>
        <v/>
      </c>
      <c r="F82" s="14" t="str">
        <f>IFERROR(__xludf.DUMMYFUNCTION("IFNA(FILTER(IMPORTRANGE(""https://docs.google.com/spreadsheets/d/1kGrh75X1cNR1D7_FcY9zMnHP8iPO4M5RCRjy6nZY0TY/edit#gid=1248694442"",""Table 2: MMC!H5:H114""), $A82=IMPORTRANGE(""https://docs.google.com/spreadsheets/d/1kGrh75X1cNR1D7_FcY9zMnHP8iPO4M5RCRjy6"&amp;"nZY0TY/edit#gid=1248694442"",""Table 2: MMC!A5:A114"")),"""")"),"")</f>
        <v/>
      </c>
      <c r="G82" s="14" t="str">
        <f>IFERROR(__xludf.DUMMYFUNCTION("IFNA(FILTER(IMPORTRANGE(""https://docs.google.com/spreadsheets/d/1kGrh75X1cNR1D7_FcY9zMnHP8iPO4M5RCRjy6nZY0TY/edit#gid=1248694442"",""Table 2: MMC!I5:I114""), $A82=IMPORTRANGE(""https://docs.google.com/spreadsheets/d/1kGrh75X1cNR1D7_FcY9zMnHP8iPO4M5RCRjy6"&amp;"nZY0TY/edit#gid=1248694442"",""Table 2: MMC!A5:A114"")),"""")"),"")</f>
        <v/>
      </c>
      <c r="H82" s="14" t="str">
        <f>IFERROR(__xludf.DUMMYFUNCTION("IFNA(FILTER(IMPORTRANGE(""https://docs.google.com/spreadsheets/d/1kGrh75X1cNR1D7_FcY9zMnHP8iPO4M5RCRjy6nZY0TY/edit#gid=1248694442"",""Table 2: MMC!J5:J114""), $A82=IMPORTRANGE(""https://docs.google.com/spreadsheets/d/1kGrh75X1cNR1D7_FcY9zMnHP8iPO4M5RCRjy6"&amp;"nZY0TY/edit#gid=1248694442"",""Table 2: MMC!A5:A114"")),"""")"),"post-natal")</f>
        <v>post-natal</v>
      </c>
      <c r="I82" s="14" t="str">
        <f>IFERROR(__xludf.DUMMYFUNCTION("IFNA(FILTER(IMPORTRANGE(""https://docs.google.com/spreadsheets/d/1kGrh75X1cNR1D7_FcY9zMnHP8iPO4M5RCRjy6nZY0TY/edit#gid=1248694442"",""Table 2: MMC!M5:M114""), $A82=IMPORTRANGE(""https://docs.google.com/spreadsheets/d/1kGrh75X1cNR1D7_FcY9zMnHP8iPO4M5RCRjy6"&amp;"nZY0TY/edit#gid=1248694442"",""Table 2: MMC!A5:A114"")),"""")"),"")</f>
        <v/>
      </c>
      <c r="J82" s="14" t="str">
        <f>IFERROR(__xludf.DUMMYFUNCTION("IFNA(FILTER(IMPORTRANGE(""https://docs.google.com/spreadsheets/d/1kGrh75X1cNR1D7_FcY9zMnHP8iPO4M5RCRjy6nZY0TY/edit#gid=1248694442"",""Table 2: MMC!Q5:Q114""), $A82=IMPORTRANGE(""https://docs.google.com/spreadsheets/d/1kGrh75X1cNR1D7_FcY9zMnHP8iPO4M5RCRjy6"&amp;"nZY0TY/edit#gid=1248694442"",""Table 2: MMC!A5:A114"")),"""")"),"")</f>
        <v/>
      </c>
      <c r="K82" s="14" t="str">
        <f>IFERROR(__xludf.DUMMYFUNCTION("IFNA(FILTER(IMPORTRANGE(""https://docs.google.com/spreadsheets/d/1kGrh75X1cNR1D7_FcY9zMnHP8iPO4M5RCRjy6nZY0TY/edit#gid=1248694442"",""Table 2: MMC!R5:R114""), $A82=IMPORTRANGE(""https://docs.google.com/spreadsheets/d/1kGrh75X1cNR1D7_FcY9zMnHP8iPO4M5RCRjy6"&amp;"nZY0TY/edit#gid=1248694442"",""Table 2: MMC!A5:A114"")),"""")"),"")</f>
        <v/>
      </c>
      <c r="L82" s="14" t="str">
        <f>IFERROR(__xludf.DUMMYFUNCTION("IFNA(FILTER(IMPORTRANGE(""https://docs.google.com/spreadsheets/d/1kGrh75X1cNR1D7_FcY9zMnHP8iPO4M5RCRjy6nZY0TY/edit#gid=1248694442"",""Table 2: MMC!S5:S114""), $A82=IMPORTRANGE(""https://docs.google.com/spreadsheets/d/1kGrh75X1cNR1D7_FcY9zMnHP8iPO4M5RCRjy6"&amp;"nZY0TY/edit#gid=1248694442"",""Table 2: MMC!A5:A114"")),"""")"),"")</f>
        <v/>
      </c>
      <c r="M82" s="14" t="str">
        <f>IFERROR(__xludf.DUMMYFUNCTION("IFNA(FILTER(IMPORTRANGE(""https://docs.google.com/spreadsheets/d/1kGrh75X1cNR1D7_FcY9zMnHP8iPO4M5RCRjy6nZY0TY/edit#gid=1248694442"",""Table 3: 1st-line HC!D5:D111""), $A82=IMPORTRANGE(""https://docs.google.com/spreadsheets/d/1kGrh75X1cNR1D7_FcY9zMnHP8iPO4"&amp;"M5RCRjy6nZY0TY/edit#gid=1248694442"",""Table 3: 1st-line HC!A5:A111"")),"""")"),"")</f>
        <v/>
      </c>
      <c r="N82" s="14" t="str">
        <f>IFERROR(__xludf.DUMMYFUNCTION("IFNA(FILTER(IMPORTRANGE(""https://docs.google.com/spreadsheets/d/1kGrh75X1cNR1D7_FcY9zMnHP8iPO4M5RCRjy6nZY0TY/edit#gid=1248694442"",""Table 3: 1st-line HC!E5:E111""), $A82=IMPORTRANGE(""https://docs.google.com/spreadsheets/d/1kGrh75X1cNR1D7_FcY9zMnHP8iPO4"&amp;"M5RCRjy6nZY0TY/edit#gid=1248694442"",""Table 3: 1st-line HC!A5:A111"")),"""")"),"")</f>
        <v/>
      </c>
      <c r="O82" s="14">
        <f>IFERROR(__xludf.DUMMYFUNCTION("IFNA(FILTER(IMPORTRANGE(""https://docs.google.com/spreadsheets/d/1kGrh75X1cNR1D7_FcY9zMnHP8iPO4M5RCRjy6nZY0TY/edit#gid=1248694442"",""Table 3: 1st-line HC!K5:K111""), $A82=IMPORTRANGE(""https://docs.google.com/spreadsheets/d/1kGrh75X1cNR1D7_FcY9zMnHP8iPO4"&amp;"M5RCRjy6nZY0TY/edit#gid=1248694442"",""Table 3: 1st-line HC!A5:A111"")),"""")"),9.0)</f>
        <v>9</v>
      </c>
      <c r="P82" s="14" t="str">
        <f>IFERROR(__xludf.DUMMYFUNCTION("IFNA(FILTER(IMPORTRANGE(""https://docs.google.com/spreadsheets/d/1kGrh75X1cNR1D7_FcY9zMnHP8iPO4M5RCRjy6nZY0TY/edit#gid=1248694442"",""Table 3: 1st-line HC!L5:L111""), $A82=IMPORTRANGE(""https://docs.google.com/spreadsheets/d/1kGrh75X1cNR1D7_FcY9zMnHP8iPO4"&amp;"M5RCRjy6nZY0TY/edit#gid=1248694442"",""Table 3: 1st-line HC!A5:A111"")),"""")"),"")</f>
        <v/>
      </c>
      <c r="Q82" s="14" t="str">
        <f>IFERROR(__xludf.DUMMYFUNCTION("IFNA(FILTER(IMPORTRANGE(""https://docs.google.com/spreadsheets/d/1kGrh75X1cNR1D7_FcY9zMnHP8iPO4M5RCRjy6nZY0TY/edit#gid=1248694442"",""Table 3: 1st-line HC!M5:M111""), $A82=IMPORTRANGE(""https://docs.google.com/spreadsheets/d/1kGrh75X1cNR1D7_FcY9zMnHP8iPO4"&amp;"M5RCRjy6nZY0TY/edit#gid=1248694442"",""Table 3: 1st-line HC!A5:A111"")),"""")"),"")</f>
        <v/>
      </c>
      <c r="R82" s="14" t="str">
        <f>IFERROR(__xludf.DUMMYFUNCTION("IFNA(FILTER(IMPORTRANGE(""https://docs.google.com/spreadsheets/d/1kGrh75X1cNR1D7_FcY9zMnHP8iPO4M5RCRjy6nZY0TY/edit#gid=1248694442"",""Table 3: 1st-line HC!N5:N111""), $A82=IMPORTRANGE(""https://docs.google.com/spreadsheets/d/1kGrh75X1cNR1D7_FcY9zMnHP8iPO4"&amp;"M5RCRjy6nZY0TY/edit#gid=1248694442"",""Table 3: 1st-line HC!A5:A111"")),"""")"),"")</f>
        <v/>
      </c>
      <c r="S82" s="14" t="str">
        <f>IFERROR(__xludf.DUMMYFUNCTION("IFNA(FILTER(IMPORTRANGE(""https://docs.google.com/spreadsheets/d/1kGrh75X1cNR1D7_FcY9zMnHP8iPO4M5RCRjy6nZY0TY/edit#gid=1248694442"",""Table 3: 1st-line HC!T5:T111""), $A82=IMPORTRANGE(""https://docs.google.com/spreadsheets/d/1kGrh75X1cNR1D7_FcY9zMnHP8iPO4"&amp;"M5RCRjy6nZY0TY/edit#gid=1248694442"",""Table 3: 1st-line HC!A5:A111"")),"""")"),"")</f>
        <v/>
      </c>
      <c r="T82" s="14" t="str">
        <f>IFERROR(__xludf.DUMMYFUNCTION("IFNA(FILTER(IMPORTRANGE(""https://docs.google.com/spreadsheets/d/1kGrh75X1cNR1D7_FcY9zMnHP8iPO4M5RCRjy6nZY0TY/edit#gid=1248694442"",""Table 3: 1st-line HC!U5:U111""), $A82=IMPORTRANGE(""https://docs.google.com/spreadsheets/d/1kGrh75X1cNR1D7_FcY9zMnHP8iPO4"&amp;"M5RCRjy6nZY0TY/edit#gid=1248694442"",""Table 3: 1st-line HC!A5:A111"")),"""")"),"")</f>
        <v/>
      </c>
      <c r="U82" s="14" t="str">
        <f>IFERROR(__xludf.DUMMYFUNCTION("IFNA(FILTER(IMPORTRANGE(""https://docs.google.com/spreadsheets/d/1kGrh75X1cNR1D7_FcY9zMnHP8iPO4M5RCRjy6nZY0TY/edit#gid=1248694442"",""Table 3: 1st-line HC!V5:V111""), $A82=IMPORTRANGE(""https://docs.google.com/spreadsheets/d/1kGrh75X1cNR1D7_FcY9zMnHP8iPO4"&amp;"M5RCRjy6nZY0TY/edit#gid=1248694442"",""Table 3: 1st-line HC!A5:A111"")),"""")"),"")</f>
        <v/>
      </c>
      <c r="V82" s="14">
        <f>IFERROR(__xludf.DUMMYFUNCTION("IFNA(FILTER(IMPORTRANGE(""https://docs.google.com/spreadsheets/d/1kGrh75X1cNR1D7_FcY9zMnHP8iPO4M5RCRjy6nZY0TY/edit#gid=1248694442"",""Table 3: 1st-line HC!AE5:AE111""), $A82=IMPORTRANGE(""https://docs.google.com/spreadsheets/d/1kGrh75X1cNR1D7_FcY9zMnHP8iP"&amp;"O4M5RCRjy6nZY0TY/edit#gid=1248694442"",""Table 3: 1st-line HC!A5:A111"")),"""")"),10.01)</f>
        <v>10.01</v>
      </c>
      <c r="W82" s="14">
        <f>IFERROR(__xludf.DUMMYFUNCTION("IFNA(FILTER(IMPORTRANGE(""https://docs.google.com/spreadsheets/d/1kGrh75X1cNR1D7_FcY9zMnHP8iPO4M5RCRjy6nZY0TY/edit#gid=1248694442"",""Table 3: 1st-line HC!AG5:AG111""), $A82=IMPORTRANGE(""https://docs.google.com/spreadsheets/d/1kGrh75X1cNR1D7_FcY9zMnHP8iP"&amp;"O4M5RCRjy6nZY0TY/edit#gid=1248694442"",""Table 3: 1st-line HC!A5:A111"")),"""")"),4.48)</f>
        <v>4.48</v>
      </c>
      <c r="X82" s="14">
        <f>IFERROR(__xludf.DUMMYFUNCTION("IFNA(FILTER(IMPORTRANGE(""https://docs.google.com/spreadsheets/d/1kGrh75X1cNR1D7_FcY9zMnHP8iPO4M5RCRjy6nZY0TY/edit#gid=1248694442"",""Table 3: 1st-line HC!AI5:AI111""), $A82=IMPORTRANGE(""https://docs.google.com/spreadsheets/d/1kGrh75X1cNR1D7_FcY9zMnHP8iP"&amp;"O4M5RCRjy6nZY0TY/edit#gid=1248694442"",""Table 3: 1st-line HC!A5:A111"")),"""")"),238.0)</f>
        <v>238</v>
      </c>
    </row>
    <row r="83">
      <c r="A83" s="4" t="str">
        <f>IFERROR(__xludf.DUMMYFUNCTION("""COMPUTED_VALUE"""),"ID 169")</f>
        <v>ID 169</v>
      </c>
      <c r="B83" s="14" t="str">
        <f>IFERROR(__xludf.DUMMYFUNCTION("IFNA(FILTER(IMPORTRANGE(""https://docs.google.com/spreadsheets/d/1kGrh75X1cNR1D7_FcY9zMnHP8iPO4M5RCRjy6nZY0TY/edit#gid=1248694442"",""Table 2: MMC!D5:D114""), $A83=IMPORTRANGE(""https://docs.google.com/spreadsheets/d/1kGrh75X1cNR1D7_FcY9zMnHP8iPO4M5RCRjy6"&amp;"nZY0TY/edit#gid=1248694442"",""Table 2: MMC!A5:A114"")),"""")"),"")</f>
        <v/>
      </c>
      <c r="C83" s="14" t="str">
        <f>IFERROR(__xludf.DUMMYFUNCTION("IFNA(FILTER(IMPORTRANGE(""https://docs.google.com/spreadsheets/d/1kGrh75X1cNR1D7_FcY9zMnHP8iPO4M5RCRjy6nZY0TY/edit#gid=1248694442"",""Table 2: MMC!E5:E114""), $A83=IMPORTRANGE(""https://docs.google.com/spreadsheets/d/1kGrh75X1cNR1D7_FcY9zMnHP8iPO4M5RCRjy6"&amp;"nZY0TY/edit#gid=1248694442"",""Table 2: MMC!A5:A114"")),"""")"),"")</f>
        <v/>
      </c>
      <c r="D83" s="14" t="str">
        <f>IFERROR(__xludf.DUMMYFUNCTION("IFNA(FILTER(IMPORTRANGE(""https://docs.google.com/spreadsheets/d/1kGrh75X1cNR1D7_FcY9zMnHP8iPO4M5RCRjy6nZY0TY/edit#gid=1248694442"",""Table 2: MMC!F5:F114""), $A83=IMPORTRANGE(""https://docs.google.com/spreadsheets/d/1kGrh75X1cNR1D7_FcY9zMnHP8iPO4M5RCRjy6"&amp;"nZY0TY/edit#gid=1248694442"",""Table 2: MMC!A5:A114"")),"""")"),"")</f>
        <v/>
      </c>
      <c r="E83" s="14" t="str">
        <f>IFERROR(__xludf.DUMMYFUNCTION("IFNA(FILTER(IMPORTRANGE(""https://docs.google.com/spreadsheets/d/1kGrh75X1cNR1D7_FcY9zMnHP8iPO4M5RCRjy6nZY0TY/edit#gid=1248694442"",""Table 2: MMC!G5:G114""), $A83=IMPORTRANGE(""https://docs.google.com/spreadsheets/d/1kGrh75X1cNR1D7_FcY9zMnHP8iPO4M5RCRjy6"&amp;"nZY0TY/edit#gid=1248694442"",""Table 2: MMC!A5:A114"")),"""")"),"")</f>
        <v/>
      </c>
      <c r="F83" s="14">
        <f>IFERROR(__xludf.DUMMYFUNCTION("IFNA(FILTER(IMPORTRANGE(""https://docs.google.com/spreadsheets/d/1kGrh75X1cNR1D7_FcY9zMnHP8iPO4M5RCRjy6nZY0TY/edit#gid=1248694442"",""Table 2: MMC!H5:H114""), $A83=IMPORTRANGE(""https://docs.google.com/spreadsheets/d/1kGrh75X1cNR1D7_FcY9zMnHP8iPO4M5RCRjy6"&amp;"nZY0TY/edit#gid=1248694442"",""Table 2: MMC!A5:A114"")),"""")"),2.0)</f>
        <v>2</v>
      </c>
      <c r="G83" s="14" t="str">
        <f>IFERROR(__xludf.DUMMYFUNCTION("IFNA(FILTER(IMPORTRANGE(""https://docs.google.com/spreadsheets/d/1kGrh75X1cNR1D7_FcY9zMnHP8iPO4M5RCRjy6nZY0TY/edit#gid=1248694442"",""Table 2: MMC!I5:I114""), $A83=IMPORTRANGE(""https://docs.google.com/spreadsheets/d/1kGrh75X1cNR1D7_FcY9zMnHP8iPO4M5RCRjy6"&amp;"nZY0TY/edit#gid=1248694442"",""Table 2: MMC!A5:A114"")),"""")"),"")</f>
        <v/>
      </c>
      <c r="H83" s="14" t="str">
        <f>IFERROR(__xludf.DUMMYFUNCTION("IFNA(FILTER(IMPORTRANGE(""https://docs.google.com/spreadsheets/d/1kGrh75X1cNR1D7_FcY9zMnHP8iPO4M5RCRjy6nZY0TY/edit#gid=1248694442"",""Table 2: MMC!J5:J114""), $A83=IMPORTRANGE(""https://docs.google.com/spreadsheets/d/1kGrh75X1cNR1D7_FcY9zMnHP8iPO4M5RCRjy6"&amp;"nZY0TY/edit#gid=1248694442"",""Table 2: MMC!A5:A114"")),"""")"),"post-natal")</f>
        <v>post-natal</v>
      </c>
      <c r="I83" s="14">
        <f>IFERROR(__xludf.DUMMYFUNCTION("IFNA(FILTER(IMPORTRANGE(""https://docs.google.com/spreadsheets/d/1kGrh75X1cNR1D7_FcY9zMnHP8iPO4M5RCRjy6nZY0TY/edit#gid=1248694442"",""Table 2: MMC!M5:M114""), $A83=IMPORTRANGE(""https://docs.google.com/spreadsheets/d/1kGrh75X1cNR1D7_FcY9zMnHP8iPO4M5RCRjy6"&amp;"nZY0TY/edit#gid=1248694442"",""Table 2: MMC!A5:A114"")),"""")"),77.0)</f>
        <v>77</v>
      </c>
      <c r="J83" s="14" t="str">
        <f>IFERROR(__xludf.DUMMYFUNCTION("IFNA(FILTER(IMPORTRANGE(""https://docs.google.com/spreadsheets/d/1kGrh75X1cNR1D7_FcY9zMnHP8iPO4M5RCRjy6nZY0TY/edit#gid=1248694442"",""Table 2: MMC!Q5:Q114""), $A83=IMPORTRANGE(""https://docs.google.com/spreadsheets/d/1kGrh75X1cNR1D7_FcY9zMnHP8iPO4M5RCRjy6"&amp;"nZY0TY/edit#gid=1248694442"",""Table 2: MMC!A5:A114"")),"""")"),"")</f>
        <v/>
      </c>
      <c r="K83" s="14" t="str">
        <f>IFERROR(__xludf.DUMMYFUNCTION("IFNA(FILTER(IMPORTRANGE(""https://docs.google.com/spreadsheets/d/1kGrh75X1cNR1D7_FcY9zMnHP8iPO4M5RCRjy6nZY0TY/edit#gid=1248694442"",""Table 2: MMC!R5:R114""), $A83=IMPORTRANGE(""https://docs.google.com/spreadsheets/d/1kGrh75X1cNR1D7_FcY9zMnHP8iPO4M5RCRjy6"&amp;"nZY0TY/edit#gid=1248694442"",""Table 2: MMC!A5:A114"")),"""")"),"")</f>
        <v/>
      </c>
      <c r="L83" s="14" t="str">
        <f>IFERROR(__xludf.DUMMYFUNCTION("IFNA(FILTER(IMPORTRANGE(""https://docs.google.com/spreadsheets/d/1kGrh75X1cNR1D7_FcY9zMnHP8iPO4M5RCRjy6nZY0TY/edit#gid=1248694442"",""Table 2: MMC!S5:S114""), $A83=IMPORTRANGE(""https://docs.google.com/spreadsheets/d/1kGrh75X1cNR1D7_FcY9zMnHP8iPO4M5RCRjy6"&amp;"nZY0TY/edit#gid=1248694442"",""Table 2: MMC!A5:A114"")),"""")"),"")</f>
        <v/>
      </c>
      <c r="M83" s="14" t="str">
        <f>IFERROR(__xludf.DUMMYFUNCTION("IFNA(FILTER(IMPORTRANGE(""https://docs.google.com/spreadsheets/d/1kGrh75X1cNR1D7_FcY9zMnHP8iPO4M5RCRjy6nZY0TY/edit#gid=1248694442"",""Table 3: 1st-line HC!D5:D111""), $A83=IMPORTRANGE(""https://docs.google.com/spreadsheets/d/1kGrh75X1cNR1D7_FcY9zMnHP8iPO4"&amp;"M5RCRjy6nZY0TY/edit#gid=1248694442"",""Table 3: 1st-line HC!A5:A111"")),"""")"),"")</f>
        <v/>
      </c>
      <c r="N83" s="14">
        <f>IFERROR(__xludf.DUMMYFUNCTION("IFNA(FILTER(IMPORTRANGE(""https://docs.google.com/spreadsheets/d/1kGrh75X1cNR1D7_FcY9zMnHP8iPO4M5RCRjy6nZY0TY/edit#gid=1248694442"",""Table 3: 1st-line HC!E5:E111""), $A83=IMPORTRANGE(""https://docs.google.com/spreadsheets/d/1kGrh75X1cNR1D7_FcY9zMnHP8iPO4"&amp;"M5RCRjy6nZY0TY/edit#gid=1248694442"",""Table 3: 1st-line HC!A5:A111"")),"""")"),2.0)</f>
        <v>2</v>
      </c>
      <c r="O83" s="14">
        <f>IFERROR(__xludf.DUMMYFUNCTION("IFNA(FILTER(IMPORTRANGE(""https://docs.google.com/spreadsheets/d/1kGrh75X1cNR1D7_FcY9zMnHP8iPO4M5RCRjy6nZY0TY/edit#gid=1248694442"",""Table 3: 1st-line HC!K5:K111""), $A83=IMPORTRANGE(""https://docs.google.com/spreadsheets/d/1kGrh75X1cNR1D7_FcY9zMnHP8iPO4"&amp;"M5RCRjy6nZY0TY/edit#gid=1248694442"",""Table 3: 1st-line HC!A5:A111"")),"""")"),2.0)</f>
        <v>2</v>
      </c>
      <c r="P83" s="14">
        <f>IFERROR(__xludf.DUMMYFUNCTION("IFNA(FILTER(IMPORTRANGE(""https://docs.google.com/spreadsheets/d/1kGrh75X1cNR1D7_FcY9zMnHP8iPO4M5RCRjy6nZY0TY/edit#gid=1248694442"",""Table 3: 1st-line HC!L5:L111""), $A83=IMPORTRANGE(""https://docs.google.com/spreadsheets/d/1kGrh75X1cNR1D7_FcY9zMnHP8iPO4"&amp;"M5RCRjy6nZY0TY/edit#gid=1248694442"",""Table 3: 1st-line HC!A5:A111"")),"""")"),2.0)</f>
        <v>2</v>
      </c>
      <c r="Q83" s="14" t="str">
        <f>IFERROR(__xludf.DUMMYFUNCTION("IFNA(FILTER(IMPORTRANGE(""https://docs.google.com/spreadsheets/d/1kGrh75X1cNR1D7_FcY9zMnHP8iPO4M5RCRjy6nZY0TY/edit#gid=1248694442"",""Table 3: 1st-line HC!M5:M111""), $A83=IMPORTRANGE(""https://docs.google.com/spreadsheets/d/1kGrh75X1cNR1D7_FcY9zMnHP8iPO4"&amp;"M5RCRjy6nZY0TY/edit#gid=1248694442"",""Table 3: 1st-line HC!A5:A111"")),"""")"),"")</f>
        <v/>
      </c>
      <c r="R83" s="14" t="str">
        <f>IFERROR(__xludf.DUMMYFUNCTION("IFNA(FILTER(IMPORTRANGE(""https://docs.google.com/spreadsheets/d/1kGrh75X1cNR1D7_FcY9zMnHP8iPO4M5RCRjy6nZY0TY/edit#gid=1248694442"",""Table 3: 1st-line HC!N5:N111""), $A83=IMPORTRANGE(""https://docs.google.com/spreadsheets/d/1kGrh75X1cNR1D7_FcY9zMnHP8iPO4"&amp;"M5RCRjy6nZY0TY/edit#gid=1248694442"",""Table 3: 1st-line HC!A5:A111"")),"""")"),"")</f>
        <v/>
      </c>
      <c r="S83" s="14" t="str">
        <f>IFERROR(__xludf.DUMMYFUNCTION("IFNA(FILTER(IMPORTRANGE(""https://docs.google.com/spreadsheets/d/1kGrh75X1cNR1D7_FcY9zMnHP8iPO4M5RCRjy6nZY0TY/edit#gid=1248694442"",""Table 3: 1st-line HC!T5:T111""), $A83=IMPORTRANGE(""https://docs.google.com/spreadsheets/d/1kGrh75X1cNR1D7_FcY9zMnHP8iPO4"&amp;"M5RCRjy6nZY0TY/edit#gid=1248694442"",""Table 3: 1st-line HC!A5:A111"")),"""")"),"")</f>
        <v/>
      </c>
      <c r="T83" s="14" t="str">
        <f>IFERROR(__xludf.DUMMYFUNCTION("IFNA(FILTER(IMPORTRANGE(""https://docs.google.com/spreadsheets/d/1kGrh75X1cNR1D7_FcY9zMnHP8iPO4M5RCRjy6nZY0TY/edit#gid=1248694442"",""Table 3: 1st-line HC!U5:U111""), $A83=IMPORTRANGE(""https://docs.google.com/spreadsheets/d/1kGrh75X1cNR1D7_FcY9zMnHP8iPO4"&amp;"M5RCRjy6nZY0TY/edit#gid=1248694442"",""Table 3: 1st-line HC!A5:A111"")),"""")"),"")</f>
        <v/>
      </c>
      <c r="U83" s="14" t="str">
        <f>IFERROR(__xludf.DUMMYFUNCTION("IFNA(FILTER(IMPORTRANGE(""https://docs.google.com/spreadsheets/d/1kGrh75X1cNR1D7_FcY9zMnHP8iPO4M5RCRjy6nZY0TY/edit#gid=1248694442"",""Table 3: 1st-line HC!V5:V111""), $A83=IMPORTRANGE(""https://docs.google.com/spreadsheets/d/1kGrh75X1cNR1D7_FcY9zMnHP8iPO4"&amp;"M5RCRjy6nZY0TY/edit#gid=1248694442"",""Table 3: 1st-line HC!A5:A111"")),"""")"),"")</f>
        <v/>
      </c>
      <c r="V83" s="14" t="str">
        <f>IFERROR(__xludf.DUMMYFUNCTION("IFNA(FILTER(IMPORTRANGE(""https://docs.google.com/spreadsheets/d/1kGrh75X1cNR1D7_FcY9zMnHP8iPO4M5RCRjy6nZY0TY/edit#gid=1248694442"",""Table 3: 1st-line HC!AE5:AE111""), $A83=IMPORTRANGE(""https://docs.google.com/spreadsheets/d/1kGrh75X1cNR1D7_FcY9zMnHP8iP"&amp;"O4M5RCRjy6nZY0TY/edit#gid=1248694442"",""Table 3: 1st-line HC!A5:A111"")),"""")"),"")</f>
        <v/>
      </c>
      <c r="W83" s="14" t="str">
        <f>IFERROR(__xludf.DUMMYFUNCTION("IFNA(FILTER(IMPORTRANGE(""https://docs.google.com/spreadsheets/d/1kGrh75X1cNR1D7_FcY9zMnHP8iPO4M5RCRjy6nZY0TY/edit#gid=1248694442"",""Table 3: 1st-line HC!AG5:AG111""), $A83=IMPORTRANGE(""https://docs.google.com/spreadsheets/d/1kGrh75X1cNR1D7_FcY9zMnHP8iP"&amp;"O4M5RCRjy6nZY0TY/edit#gid=1248694442"",""Table 3: 1st-line HC!A5:A111"")),"""")"),"")</f>
        <v/>
      </c>
      <c r="X83" s="14" t="str">
        <f>IFERROR(__xludf.DUMMYFUNCTION("IFNA(FILTER(IMPORTRANGE(""https://docs.google.com/spreadsheets/d/1kGrh75X1cNR1D7_FcY9zMnHP8iPO4M5RCRjy6nZY0TY/edit#gid=1248694442"",""Table 3: 1st-line HC!AI5:AI111""), $A83=IMPORTRANGE(""https://docs.google.com/spreadsheets/d/1kGrh75X1cNR1D7_FcY9zMnHP8iP"&amp;"O4M5RCRjy6nZY0TY/edit#gid=1248694442"",""Table 3: 1st-line HC!A5:A111"")),"""")"),"")</f>
        <v/>
      </c>
    </row>
    <row r="84">
      <c r="A84" s="4" t="str">
        <f>IFERROR(__xludf.DUMMYFUNCTION("""COMPUTED_VALUE"""),"ID 170")</f>
        <v>ID 170</v>
      </c>
      <c r="B84" s="14" t="str">
        <f>IFERROR(__xludf.DUMMYFUNCTION("IFNA(FILTER(IMPORTRANGE(""https://docs.google.com/spreadsheets/d/1kGrh75X1cNR1D7_FcY9zMnHP8iPO4M5RCRjy6nZY0TY/edit#gid=1248694442"",""Table 2: MMC!D5:D114""), $A84=IMPORTRANGE(""https://docs.google.com/spreadsheets/d/1kGrh75X1cNR1D7_FcY9zMnHP8iPO4M5RCRjy6"&amp;"nZY0TY/edit#gid=1248694442"",""Table 2: MMC!A5:A114"")),"""")"),"")</f>
        <v/>
      </c>
      <c r="C84" s="14" t="str">
        <f>IFERROR(__xludf.DUMMYFUNCTION("IFNA(FILTER(IMPORTRANGE(""https://docs.google.com/spreadsheets/d/1kGrh75X1cNR1D7_FcY9zMnHP8iPO4M5RCRjy6nZY0TY/edit#gid=1248694442"",""Table 2: MMC!E5:E114""), $A84=IMPORTRANGE(""https://docs.google.com/spreadsheets/d/1kGrh75X1cNR1D7_FcY9zMnHP8iPO4M5RCRjy6"&amp;"nZY0TY/edit#gid=1248694442"",""Table 2: MMC!A5:A114"")),"""")"),"")</f>
        <v/>
      </c>
      <c r="D84" s="14" t="str">
        <f>IFERROR(__xludf.DUMMYFUNCTION("IFNA(FILTER(IMPORTRANGE(""https://docs.google.com/spreadsheets/d/1kGrh75X1cNR1D7_FcY9zMnHP8iPO4M5RCRjy6nZY0TY/edit#gid=1248694442"",""Table 2: MMC!F5:F114""), $A84=IMPORTRANGE(""https://docs.google.com/spreadsheets/d/1kGrh75X1cNR1D7_FcY9zMnHP8iPO4M5RCRjy6"&amp;"nZY0TY/edit#gid=1248694442"",""Table 2: MMC!A5:A114"")),"""")"),"")</f>
        <v/>
      </c>
      <c r="E84" s="14" t="str">
        <f>IFERROR(__xludf.DUMMYFUNCTION("IFNA(FILTER(IMPORTRANGE(""https://docs.google.com/spreadsheets/d/1kGrh75X1cNR1D7_FcY9zMnHP8iPO4M5RCRjy6nZY0TY/edit#gid=1248694442"",""Table 2: MMC!G5:G114""), $A84=IMPORTRANGE(""https://docs.google.com/spreadsheets/d/1kGrh75X1cNR1D7_FcY9zMnHP8iPO4M5RCRjy6"&amp;"nZY0TY/edit#gid=1248694442"",""Table 2: MMC!A5:A114"")),"""")"),"")</f>
        <v/>
      </c>
      <c r="F84" s="14" t="str">
        <f>IFERROR(__xludf.DUMMYFUNCTION("IFNA(FILTER(IMPORTRANGE(""https://docs.google.com/spreadsheets/d/1kGrh75X1cNR1D7_FcY9zMnHP8iPO4M5RCRjy6nZY0TY/edit#gid=1248694442"",""Table 2: MMC!H5:H114""), $A84=IMPORTRANGE(""https://docs.google.com/spreadsheets/d/1kGrh75X1cNR1D7_FcY9zMnHP8iPO4M5RCRjy6"&amp;"nZY0TY/edit#gid=1248694442"",""Table 2: MMC!A5:A114"")),"""")"),"")</f>
        <v/>
      </c>
      <c r="G84" s="14" t="str">
        <f>IFERROR(__xludf.DUMMYFUNCTION("IFNA(FILTER(IMPORTRANGE(""https://docs.google.com/spreadsheets/d/1kGrh75X1cNR1D7_FcY9zMnHP8iPO4M5RCRjy6nZY0TY/edit#gid=1248694442"",""Table 2: MMC!I5:I114""), $A84=IMPORTRANGE(""https://docs.google.com/spreadsheets/d/1kGrh75X1cNR1D7_FcY9zMnHP8iPO4M5RCRjy6"&amp;"nZY0TY/edit#gid=1248694442"",""Table 2: MMC!A5:A114"")),"""")"),"")</f>
        <v/>
      </c>
      <c r="H84" s="14" t="str">
        <f>IFERROR(__xludf.DUMMYFUNCTION("IFNA(FILTER(IMPORTRANGE(""https://docs.google.com/spreadsheets/d/1kGrh75X1cNR1D7_FcY9zMnHP8iPO4M5RCRjy6nZY0TY/edit#gid=1248694442"",""Table 2: MMC!J5:J114""), $A84=IMPORTRANGE(""https://docs.google.com/spreadsheets/d/1kGrh75X1cNR1D7_FcY9zMnHP8iPO4M5RCRjy6"&amp;"nZY0TY/edit#gid=1248694442"",""Table 2: MMC!A5:A114"")),"""")"),"post-natal")</f>
        <v>post-natal</v>
      </c>
      <c r="I84" s="14">
        <f>IFERROR(__xludf.DUMMYFUNCTION("IFNA(FILTER(IMPORTRANGE(""https://docs.google.com/spreadsheets/d/1kGrh75X1cNR1D7_FcY9zMnHP8iPO4M5RCRjy6nZY0TY/edit#gid=1248694442"",""Table 2: MMC!M5:M114""), $A84=IMPORTRANGE(""https://docs.google.com/spreadsheets/d/1kGrh75X1cNR1D7_FcY9zMnHP8iPO4M5RCRjy6"&amp;"nZY0TY/edit#gid=1248694442"",""Table 2: MMC!A5:A114"")),"""")"),2.0)</f>
        <v>2</v>
      </c>
      <c r="J84" s="14" t="str">
        <f>IFERROR(__xludf.DUMMYFUNCTION("IFNA(FILTER(IMPORTRANGE(""https://docs.google.com/spreadsheets/d/1kGrh75X1cNR1D7_FcY9zMnHP8iPO4M5RCRjy6nZY0TY/edit#gid=1248694442"",""Table 2: MMC!Q5:Q114""), $A84=IMPORTRANGE(""https://docs.google.com/spreadsheets/d/1kGrh75X1cNR1D7_FcY9zMnHP8iPO4M5RCRjy6"&amp;"nZY0TY/edit#gid=1248694442"",""Table 2: MMC!A5:A114"")),"""")"),"")</f>
        <v/>
      </c>
      <c r="K84" s="14" t="str">
        <f>IFERROR(__xludf.DUMMYFUNCTION("IFNA(FILTER(IMPORTRANGE(""https://docs.google.com/spreadsheets/d/1kGrh75X1cNR1D7_FcY9zMnHP8iPO4M5RCRjy6nZY0TY/edit#gid=1248694442"",""Table 2: MMC!R5:R114""), $A84=IMPORTRANGE(""https://docs.google.com/spreadsheets/d/1kGrh75X1cNR1D7_FcY9zMnHP8iPO4M5RCRjy6"&amp;"nZY0TY/edit#gid=1248694442"",""Table 2: MMC!A5:A114"")),"""")"),"")</f>
        <v/>
      </c>
      <c r="L84" s="14" t="str">
        <f>IFERROR(__xludf.DUMMYFUNCTION("IFNA(FILTER(IMPORTRANGE(""https://docs.google.com/spreadsheets/d/1kGrh75X1cNR1D7_FcY9zMnHP8iPO4M5RCRjy6nZY0TY/edit#gid=1248694442"",""Table 2: MMC!S5:S114""), $A84=IMPORTRANGE(""https://docs.google.com/spreadsheets/d/1kGrh75X1cNR1D7_FcY9zMnHP8iPO4M5RCRjy6"&amp;"nZY0TY/edit#gid=1248694442"",""Table 2: MMC!A5:A114"")),"""")"),"")</f>
        <v/>
      </c>
      <c r="M84" s="14" t="str">
        <f>IFERROR(__xludf.DUMMYFUNCTION("IFNA(FILTER(IMPORTRANGE(""https://docs.google.com/spreadsheets/d/1kGrh75X1cNR1D7_FcY9zMnHP8iPO4M5RCRjy6nZY0TY/edit#gid=1248694442"",""Table 3: 1st-line HC!D5:D111""), $A84=IMPORTRANGE(""https://docs.google.com/spreadsheets/d/1kGrh75X1cNR1D7_FcY9zMnHP8iPO4"&amp;"M5RCRjy6nZY0TY/edit#gid=1248694442"",""Table 3: 1st-line HC!A5:A111"")),"""")"),"")</f>
        <v/>
      </c>
      <c r="N84" s="14">
        <f>IFERROR(__xludf.DUMMYFUNCTION("IFNA(FILTER(IMPORTRANGE(""https://docs.google.com/spreadsheets/d/1kGrh75X1cNR1D7_FcY9zMnHP8iPO4M5RCRjy6nZY0TY/edit#gid=1248694442"",""Table 3: 1st-line HC!E5:E111""), $A84=IMPORTRANGE(""https://docs.google.com/spreadsheets/d/1kGrh75X1cNR1D7_FcY9zMnHP8iPO4"&amp;"M5RCRjy6nZY0TY/edit#gid=1248694442"",""Table 3: 1st-line HC!A5:A111"")),"""")"),34.0)</f>
        <v>34</v>
      </c>
      <c r="O84" s="14" t="str">
        <f>IFERROR(__xludf.DUMMYFUNCTION("IFNA(FILTER(IMPORTRANGE(""https://docs.google.com/spreadsheets/d/1kGrh75X1cNR1D7_FcY9zMnHP8iPO4M5RCRjy6nZY0TY/edit#gid=1248694442"",""Table 3: 1st-line HC!K5:K111""), $A84=IMPORTRANGE(""https://docs.google.com/spreadsheets/d/1kGrh75X1cNR1D7_FcY9zMnHP8iPO4"&amp;"M5RCRjy6nZY0TY/edit#gid=1248694442"",""Table 3: 1st-line HC!A5:A111"")),"""")"),"")</f>
        <v/>
      </c>
      <c r="P84" s="14">
        <f>IFERROR(__xludf.DUMMYFUNCTION("IFNA(FILTER(IMPORTRANGE(""https://docs.google.com/spreadsheets/d/1kGrh75X1cNR1D7_FcY9zMnHP8iPO4M5RCRjy6nZY0TY/edit#gid=1248694442"",""Table 3: 1st-line HC!L5:L111""), $A84=IMPORTRANGE(""https://docs.google.com/spreadsheets/d/1kGrh75X1cNR1D7_FcY9zMnHP8iPO4"&amp;"M5RCRjy6nZY0TY/edit#gid=1248694442"",""Table 3: 1st-line HC!A5:A111"")),"""")"),34.0)</f>
        <v>34</v>
      </c>
      <c r="Q84" s="14" t="str">
        <f>IFERROR(__xludf.DUMMYFUNCTION("IFNA(FILTER(IMPORTRANGE(""https://docs.google.com/spreadsheets/d/1kGrh75X1cNR1D7_FcY9zMnHP8iPO4M5RCRjy6nZY0TY/edit#gid=1248694442"",""Table 3: 1st-line HC!M5:M111""), $A84=IMPORTRANGE(""https://docs.google.com/spreadsheets/d/1kGrh75X1cNR1D7_FcY9zMnHP8iPO4"&amp;"M5RCRjy6nZY0TY/edit#gid=1248694442"",""Table 3: 1st-line HC!A5:A111"")),"""")"),"")</f>
        <v/>
      </c>
      <c r="R84" s="14" t="str">
        <f>IFERROR(__xludf.DUMMYFUNCTION("IFNA(FILTER(IMPORTRANGE(""https://docs.google.com/spreadsheets/d/1kGrh75X1cNR1D7_FcY9zMnHP8iPO4M5RCRjy6nZY0TY/edit#gid=1248694442"",""Table 3: 1st-line HC!N5:N111""), $A84=IMPORTRANGE(""https://docs.google.com/spreadsheets/d/1kGrh75X1cNR1D7_FcY9zMnHP8iPO4"&amp;"M5RCRjy6nZY0TY/edit#gid=1248694442"",""Table 3: 1st-line HC!A5:A111"")),"""")"),"")</f>
        <v/>
      </c>
      <c r="S84" s="14" t="str">
        <f>IFERROR(__xludf.DUMMYFUNCTION("IFNA(FILTER(IMPORTRANGE(""https://docs.google.com/spreadsheets/d/1kGrh75X1cNR1D7_FcY9zMnHP8iPO4M5RCRjy6nZY0TY/edit#gid=1248694442"",""Table 3: 1st-line HC!T5:T111""), $A84=IMPORTRANGE(""https://docs.google.com/spreadsheets/d/1kGrh75X1cNR1D7_FcY9zMnHP8iPO4"&amp;"M5RCRjy6nZY0TY/edit#gid=1248694442"",""Table 3: 1st-line HC!A5:A111"")),"""")"),"")</f>
        <v/>
      </c>
      <c r="T84" s="14" t="str">
        <f>IFERROR(__xludf.DUMMYFUNCTION("IFNA(FILTER(IMPORTRANGE(""https://docs.google.com/spreadsheets/d/1kGrh75X1cNR1D7_FcY9zMnHP8iPO4M5RCRjy6nZY0TY/edit#gid=1248694442"",""Table 3: 1st-line HC!U5:U111""), $A84=IMPORTRANGE(""https://docs.google.com/spreadsheets/d/1kGrh75X1cNR1D7_FcY9zMnHP8iPO4"&amp;"M5RCRjy6nZY0TY/edit#gid=1248694442"",""Table 3: 1st-line HC!A5:A111"")),"""")"),"")</f>
        <v/>
      </c>
      <c r="U84" s="14" t="str">
        <f>IFERROR(__xludf.DUMMYFUNCTION("IFNA(FILTER(IMPORTRANGE(""https://docs.google.com/spreadsheets/d/1kGrh75X1cNR1D7_FcY9zMnHP8iPO4M5RCRjy6nZY0TY/edit#gid=1248694442"",""Table 3: 1st-line HC!V5:V111""), $A84=IMPORTRANGE(""https://docs.google.com/spreadsheets/d/1kGrh75X1cNR1D7_FcY9zMnHP8iPO4"&amp;"M5RCRjy6nZY0TY/edit#gid=1248694442"",""Table 3: 1st-line HC!A5:A111"")),"""")"),"")</f>
        <v/>
      </c>
      <c r="V84" s="14" t="str">
        <f>IFERROR(__xludf.DUMMYFUNCTION("IFNA(FILTER(IMPORTRANGE(""https://docs.google.com/spreadsheets/d/1kGrh75X1cNR1D7_FcY9zMnHP8iPO4M5RCRjy6nZY0TY/edit#gid=1248694442"",""Table 3: 1st-line HC!AE5:AE111""), $A84=IMPORTRANGE(""https://docs.google.com/spreadsheets/d/1kGrh75X1cNR1D7_FcY9zMnHP8iP"&amp;"O4M5RCRjy6nZY0TY/edit#gid=1248694442"",""Table 3: 1st-line HC!A5:A111"")),"""")"),"")</f>
        <v/>
      </c>
      <c r="W84" s="14" t="str">
        <f>IFERROR(__xludf.DUMMYFUNCTION("IFNA(FILTER(IMPORTRANGE(""https://docs.google.com/spreadsheets/d/1kGrh75X1cNR1D7_FcY9zMnHP8iPO4M5RCRjy6nZY0TY/edit#gid=1248694442"",""Table 3: 1st-line HC!AG5:AG111""), $A84=IMPORTRANGE(""https://docs.google.com/spreadsheets/d/1kGrh75X1cNR1D7_FcY9zMnHP8iP"&amp;"O4M5RCRjy6nZY0TY/edit#gid=1248694442"",""Table 3: 1st-line HC!A5:A111"")),"""")"),"")</f>
        <v/>
      </c>
      <c r="X84" s="14" t="str">
        <f>IFERROR(__xludf.DUMMYFUNCTION("IFNA(FILTER(IMPORTRANGE(""https://docs.google.com/spreadsheets/d/1kGrh75X1cNR1D7_FcY9zMnHP8iPO4M5RCRjy6nZY0TY/edit#gid=1248694442"",""Table 3: 1st-line HC!AI5:AI111""), $A84=IMPORTRANGE(""https://docs.google.com/spreadsheets/d/1kGrh75X1cNR1D7_FcY9zMnHP8iP"&amp;"O4M5RCRjy6nZY0TY/edit#gid=1248694442"",""Table 3: 1st-line HC!A5:A111"")),"""")"),"")</f>
        <v/>
      </c>
    </row>
    <row r="85">
      <c r="A85" s="4" t="str">
        <f>IFERROR(__xludf.DUMMYFUNCTION("""COMPUTED_VALUE"""),"ID 172")</f>
        <v>ID 172</v>
      </c>
      <c r="B85" s="14" t="str">
        <f>IFERROR(__xludf.DUMMYFUNCTION("IFNA(FILTER(IMPORTRANGE(""https://docs.google.com/spreadsheets/d/1kGrh75X1cNR1D7_FcY9zMnHP8iPO4M5RCRjy6nZY0TY/edit#gid=1248694442"",""Table 2: MMC!D5:D114""), $A85=IMPORTRANGE(""https://docs.google.com/spreadsheets/d/1kGrh75X1cNR1D7_FcY9zMnHP8iPO4M5RCRjy6"&amp;"nZY0TY/edit#gid=1248694442"",""Table 2: MMC!A5:A114"")),"""")"),"")</f>
        <v/>
      </c>
      <c r="C85" s="14" t="str">
        <f>IFERROR(__xludf.DUMMYFUNCTION("IFNA(FILTER(IMPORTRANGE(""https://docs.google.com/spreadsheets/d/1kGrh75X1cNR1D7_FcY9zMnHP8iPO4M5RCRjy6nZY0TY/edit#gid=1248694442"",""Table 2: MMC!E5:E114""), $A85=IMPORTRANGE(""https://docs.google.com/spreadsheets/d/1kGrh75X1cNR1D7_FcY9zMnHP8iPO4M5RCRjy6"&amp;"nZY0TY/edit#gid=1248694442"",""Table 2: MMC!A5:A114"")),"""")"),"")</f>
        <v/>
      </c>
      <c r="D85" s="14" t="str">
        <f>IFERROR(__xludf.DUMMYFUNCTION("IFNA(FILTER(IMPORTRANGE(""https://docs.google.com/spreadsheets/d/1kGrh75X1cNR1D7_FcY9zMnHP8iPO4M5RCRjy6nZY0TY/edit#gid=1248694442"",""Table 2: MMC!F5:F114""), $A85=IMPORTRANGE(""https://docs.google.com/spreadsheets/d/1kGrh75X1cNR1D7_FcY9zMnHP8iPO4M5RCRjy6"&amp;"nZY0TY/edit#gid=1248694442"",""Table 2: MMC!A5:A114"")),"""")"),"")</f>
        <v/>
      </c>
      <c r="E85" s="14" t="str">
        <f>IFERROR(__xludf.DUMMYFUNCTION("IFNA(FILTER(IMPORTRANGE(""https://docs.google.com/spreadsheets/d/1kGrh75X1cNR1D7_FcY9zMnHP8iPO4M5RCRjy6nZY0TY/edit#gid=1248694442"",""Table 2: MMC!G5:G114""), $A85=IMPORTRANGE(""https://docs.google.com/spreadsheets/d/1kGrh75X1cNR1D7_FcY9zMnHP8iPO4M5RCRjy6"&amp;"nZY0TY/edit#gid=1248694442"",""Table 2: MMC!A5:A114"")),"""")"),"")</f>
        <v/>
      </c>
      <c r="F85" s="14" t="str">
        <f>IFERROR(__xludf.DUMMYFUNCTION("IFNA(FILTER(IMPORTRANGE(""https://docs.google.com/spreadsheets/d/1kGrh75X1cNR1D7_FcY9zMnHP8iPO4M5RCRjy6nZY0TY/edit#gid=1248694442"",""Table 2: MMC!H5:H114""), $A85=IMPORTRANGE(""https://docs.google.com/spreadsheets/d/1kGrh75X1cNR1D7_FcY9zMnHP8iPO4M5RCRjy6"&amp;"nZY0TY/edit#gid=1248694442"",""Table 2: MMC!A5:A114"")),"""")"),"")</f>
        <v/>
      </c>
      <c r="G85" s="14" t="str">
        <f>IFERROR(__xludf.DUMMYFUNCTION("IFNA(FILTER(IMPORTRANGE(""https://docs.google.com/spreadsheets/d/1kGrh75X1cNR1D7_FcY9zMnHP8iPO4M5RCRjy6nZY0TY/edit#gid=1248694442"",""Table 2: MMC!I5:I114""), $A85=IMPORTRANGE(""https://docs.google.com/spreadsheets/d/1kGrh75X1cNR1D7_FcY9zMnHP8iPO4M5RCRjy6"&amp;"nZY0TY/edit#gid=1248694442"",""Table 2: MMC!A5:A114"")),"""")"),"")</f>
        <v/>
      </c>
      <c r="H85" s="14" t="str">
        <f>IFERROR(__xludf.DUMMYFUNCTION("IFNA(FILTER(IMPORTRANGE(""https://docs.google.com/spreadsheets/d/1kGrh75X1cNR1D7_FcY9zMnHP8iPO4M5RCRjy6nZY0TY/edit#gid=1248694442"",""Table 2: MMC!J5:J114""), $A85=IMPORTRANGE(""https://docs.google.com/spreadsheets/d/1kGrh75X1cNR1D7_FcY9zMnHP8iPO4M5RCRjy6"&amp;"nZY0TY/edit#gid=1248694442"",""Table 2: MMC!A5:A114"")),"""")"),"post-natal")</f>
        <v>post-natal</v>
      </c>
      <c r="I85" s="14" t="str">
        <f>IFERROR(__xludf.DUMMYFUNCTION("IFNA(FILTER(IMPORTRANGE(""https://docs.google.com/spreadsheets/d/1kGrh75X1cNR1D7_FcY9zMnHP8iPO4M5RCRjy6nZY0TY/edit#gid=1248694442"",""Table 2: MMC!M5:M114""), $A85=IMPORTRANGE(""https://docs.google.com/spreadsheets/d/1kGrh75X1cNR1D7_FcY9zMnHP8iPO4M5RCRjy6"&amp;"nZY0TY/edit#gid=1248694442"",""Table 2: MMC!A5:A114"")),"""")"),"")</f>
        <v/>
      </c>
      <c r="J85" s="14" t="str">
        <f>IFERROR(__xludf.DUMMYFUNCTION("IFNA(FILTER(IMPORTRANGE(""https://docs.google.com/spreadsheets/d/1kGrh75X1cNR1D7_FcY9zMnHP8iPO4M5RCRjy6nZY0TY/edit#gid=1248694442"",""Table 2: MMC!Q5:Q114""), $A85=IMPORTRANGE(""https://docs.google.com/spreadsheets/d/1kGrh75X1cNR1D7_FcY9zMnHP8iPO4M5RCRjy6"&amp;"nZY0TY/edit#gid=1248694442"",""Table 2: MMC!A5:A114"")),"""")"),"")</f>
        <v/>
      </c>
      <c r="K85" s="14" t="str">
        <f>IFERROR(__xludf.DUMMYFUNCTION("IFNA(FILTER(IMPORTRANGE(""https://docs.google.com/spreadsheets/d/1kGrh75X1cNR1D7_FcY9zMnHP8iPO4M5RCRjy6nZY0TY/edit#gid=1248694442"",""Table 2: MMC!R5:R114""), $A85=IMPORTRANGE(""https://docs.google.com/spreadsheets/d/1kGrh75X1cNR1D7_FcY9zMnHP8iPO4M5RCRjy6"&amp;"nZY0TY/edit#gid=1248694442"",""Table 2: MMC!A5:A114"")),"""")"),"")</f>
        <v/>
      </c>
      <c r="L85" s="14" t="str">
        <f>IFERROR(__xludf.DUMMYFUNCTION("IFNA(FILTER(IMPORTRANGE(""https://docs.google.com/spreadsheets/d/1kGrh75X1cNR1D7_FcY9zMnHP8iPO4M5RCRjy6nZY0TY/edit#gid=1248694442"",""Table 2: MMC!S5:S114""), $A85=IMPORTRANGE(""https://docs.google.com/spreadsheets/d/1kGrh75X1cNR1D7_FcY9zMnHP8iPO4M5RCRjy6"&amp;"nZY0TY/edit#gid=1248694442"",""Table 2: MMC!A5:A114"")),"""")"),"")</f>
        <v/>
      </c>
      <c r="M85" s="14" t="str">
        <f>IFERROR(__xludf.DUMMYFUNCTION("IFNA(FILTER(IMPORTRANGE(""https://docs.google.com/spreadsheets/d/1kGrh75X1cNR1D7_FcY9zMnHP8iPO4M5RCRjy6nZY0TY/edit#gid=1248694442"",""Table 3: 1st-line HC!D5:D111""), $A85=IMPORTRANGE(""https://docs.google.com/spreadsheets/d/1kGrh75X1cNR1D7_FcY9zMnHP8iPO4"&amp;"M5RCRjy6nZY0TY/edit#gid=1248694442"",""Table 3: 1st-line HC!A5:A111"")),"""")"),"")</f>
        <v/>
      </c>
      <c r="N85" s="14">
        <f>IFERROR(__xludf.DUMMYFUNCTION("IFNA(FILTER(IMPORTRANGE(""https://docs.google.com/spreadsheets/d/1kGrh75X1cNR1D7_FcY9zMnHP8iPO4M5RCRjy6nZY0TY/edit#gid=1248694442"",""Table 3: 1st-line HC!E5:E111""), $A85=IMPORTRANGE(""https://docs.google.com/spreadsheets/d/1kGrh75X1cNR1D7_FcY9zMnHP8iPO4"&amp;"M5RCRjy6nZY0TY/edit#gid=1248694442"",""Table 3: 1st-line HC!A5:A111"")),"""")"),9.0)</f>
        <v>9</v>
      </c>
      <c r="O85" s="14" t="str">
        <f>IFERROR(__xludf.DUMMYFUNCTION("IFNA(FILTER(IMPORTRANGE(""https://docs.google.com/spreadsheets/d/1kGrh75X1cNR1D7_FcY9zMnHP8iPO4M5RCRjy6nZY0TY/edit#gid=1248694442"",""Table 3: 1st-line HC!K5:K111""), $A85=IMPORTRANGE(""https://docs.google.com/spreadsheets/d/1kGrh75X1cNR1D7_FcY9zMnHP8iPO4"&amp;"M5RCRjy6nZY0TY/edit#gid=1248694442"",""Table 3: 1st-line HC!A5:A111"")),"""")"),"")</f>
        <v/>
      </c>
      <c r="P85" s="14" t="str">
        <f>IFERROR(__xludf.DUMMYFUNCTION("IFNA(FILTER(IMPORTRANGE(""https://docs.google.com/spreadsheets/d/1kGrh75X1cNR1D7_FcY9zMnHP8iPO4M5RCRjy6nZY0TY/edit#gid=1248694442"",""Table 3: 1st-line HC!L5:L111""), $A85=IMPORTRANGE(""https://docs.google.com/spreadsheets/d/1kGrh75X1cNR1D7_FcY9zMnHP8iPO4"&amp;"M5RCRjy6nZY0TY/edit#gid=1248694442"",""Table 3: 1st-line HC!A5:A111"")),"""")"),"")</f>
        <v/>
      </c>
      <c r="Q85" s="14" t="str">
        <f>IFERROR(__xludf.DUMMYFUNCTION("IFNA(FILTER(IMPORTRANGE(""https://docs.google.com/spreadsheets/d/1kGrh75X1cNR1D7_FcY9zMnHP8iPO4M5RCRjy6nZY0TY/edit#gid=1248694442"",""Table 3: 1st-line HC!M5:M111""), $A85=IMPORTRANGE(""https://docs.google.com/spreadsheets/d/1kGrh75X1cNR1D7_FcY9zMnHP8iPO4"&amp;"M5RCRjy6nZY0TY/edit#gid=1248694442"",""Table 3: 1st-line HC!A5:A111"")),"""")"),"")</f>
        <v/>
      </c>
      <c r="R85" s="14" t="str">
        <f>IFERROR(__xludf.DUMMYFUNCTION("IFNA(FILTER(IMPORTRANGE(""https://docs.google.com/spreadsheets/d/1kGrh75X1cNR1D7_FcY9zMnHP8iPO4M5RCRjy6nZY0TY/edit#gid=1248694442"",""Table 3: 1st-line HC!N5:N111""), $A85=IMPORTRANGE(""https://docs.google.com/spreadsheets/d/1kGrh75X1cNR1D7_FcY9zMnHP8iPO4"&amp;"M5RCRjy6nZY0TY/edit#gid=1248694442"",""Table 3: 1st-line HC!A5:A111"")),"""")"),"")</f>
        <v/>
      </c>
      <c r="S85" s="14" t="str">
        <f>IFERROR(__xludf.DUMMYFUNCTION("IFNA(FILTER(IMPORTRANGE(""https://docs.google.com/spreadsheets/d/1kGrh75X1cNR1D7_FcY9zMnHP8iPO4M5RCRjy6nZY0TY/edit#gid=1248694442"",""Table 3: 1st-line HC!T5:T111""), $A85=IMPORTRANGE(""https://docs.google.com/spreadsheets/d/1kGrh75X1cNR1D7_FcY9zMnHP8iPO4"&amp;"M5RCRjy6nZY0TY/edit#gid=1248694442"",""Table 3: 1st-line HC!A5:A111"")),"""")"),"")</f>
        <v/>
      </c>
      <c r="T85" s="14" t="str">
        <f>IFERROR(__xludf.DUMMYFUNCTION("IFNA(FILTER(IMPORTRANGE(""https://docs.google.com/spreadsheets/d/1kGrh75X1cNR1D7_FcY9zMnHP8iPO4M5RCRjy6nZY0TY/edit#gid=1248694442"",""Table 3: 1st-line HC!U5:U111""), $A85=IMPORTRANGE(""https://docs.google.com/spreadsheets/d/1kGrh75X1cNR1D7_FcY9zMnHP8iPO4"&amp;"M5RCRjy6nZY0TY/edit#gid=1248694442"",""Table 3: 1st-line HC!A5:A111"")),"""")"),"")</f>
        <v/>
      </c>
      <c r="U85" s="14" t="str">
        <f>IFERROR(__xludf.DUMMYFUNCTION("IFNA(FILTER(IMPORTRANGE(""https://docs.google.com/spreadsheets/d/1kGrh75X1cNR1D7_FcY9zMnHP8iPO4M5RCRjy6nZY0TY/edit#gid=1248694442"",""Table 3: 1st-line HC!V5:V111""), $A85=IMPORTRANGE(""https://docs.google.com/spreadsheets/d/1kGrh75X1cNR1D7_FcY9zMnHP8iPO4"&amp;"M5RCRjy6nZY0TY/edit#gid=1248694442"",""Table 3: 1st-line HC!A5:A111"")),"""")"),"")</f>
        <v/>
      </c>
      <c r="V85" s="14" t="str">
        <f>IFERROR(__xludf.DUMMYFUNCTION("IFNA(FILTER(IMPORTRANGE(""https://docs.google.com/spreadsheets/d/1kGrh75X1cNR1D7_FcY9zMnHP8iPO4M5RCRjy6nZY0TY/edit#gid=1248694442"",""Table 3: 1st-line HC!AE5:AE111""), $A85=IMPORTRANGE(""https://docs.google.com/spreadsheets/d/1kGrh75X1cNR1D7_FcY9zMnHP8iP"&amp;"O4M5RCRjy6nZY0TY/edit#gid=1248694442"",""Table 3: 1st-line HC!A5:A111"")),"""")"),"")</f>
        <v/>
      </c>
      <c r="W85" s="14" t="str">
        <f>IFERROR(__xludf.DUMMYFUNCTION("IFNA(FILTER(IMPORTRANGE(""https://docs.google.com/spreadsheets/d/1kGrh75X1cNR1D7_FcY9zMnHP8iPO4M5RCRjy6nZY0TY/edit#gid=1248694442"",""Table 3: 1st-line HC!AG5:AG111""), $A85=IMPORTRANGE(""https://docs.google.com/spreadsheets/d/1kGrh75X1cNR1D7_FcY9zMnHP8iP"&amp;"O4M5RCRjy6nZY0TY/edit#gid=1248694442"",""Table 3: 1st-line HC!A5:A111"")),"""")"),"")</f>
        <v/>
      </c>
      <c r="X85" s="14" t="str">
        <f>IFERROR(__xludf.DUMMYFUNCTION("IFNA(FILTER(IMPORTRANGE(""https://docs.google.com/spreadsheets/d/1kGrh75X1cNR1D7_FcY9zMnHP8iPO4M5RCRjy6nZY0TY/edit#gid=1248694442"",""Table 3: 1st-line HC!AI5:AI111""), $A85=IMPORTRANGE(""https://docs.google.com/spreadsheets/d/1kGrh75X1cNR1D7_FcY9zMnHP8iP"&amp;"O4M5RCRjy6nZY0TY/edit#gid=1248694442"",""Table 3: 1st-line HC!A5:A111"")),"""")"),"")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  <col customWidth="1" min="3" max="3" width="14.88"/>
    <col customWidth="1" min="4" max="4" width="11.25"/>
    <col customWidth="1" min="5" max="5" width="13.75"/>
    <col customWidth="1" min="6" max="6" width="17.88"/>
    <col customWidth="1" min="9" max="9" width="15.88"/>
    <col customWidth="1" min="10" max="10" width="18.0"/>
    <col customWidth="1" min="11" max="11" width="21.63"/>
    <col customWidth="1" min="12" max="12" width="13.0"/>
    <col customWidth="1" min="14" max="14" width="18.0"/>
    <col customWidth="1" min="15" max="16" width="11.5"/>
    <col customWidth="1" min="17" max="17" width="15.88"/>
    <col customWidth="1" min="18" max="18" width="18.0"/>
    <col customWidth="1" min="19" max="19" width="21.63"/>
  </cols>
  <sheetData>
    <row r="1">
      <c r="A1" s="1" t="s">
        <v>134</v>
      </c>
      <c r="B1" s="1" t="s">
        <v>266</v>
      </c>
      <c r="C1" s="1" t="s">
        <v>267</v>
      </c>
      <c r="D1" s="1" t="s">
        <v>268</v>
      </c>
      <c r="E1" s="3" t="s">
        <v>269</v>
      </c>
      <c r="F1" s="1" t="s">
        <v>270</v>
      </c>
      <c r="G1" s="1" t="s">
        <v>271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  <c r="M1" s="1" t="s">
        <v>277</v>
      </c>
      <c r="N1" s="1" t="s">
        <v>278</v>
      </c>
      <c r="O1" s="1" t="s">
        <v>279</v>
      </c>
      <c r="P1" s="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s="1" t="s">
        <v>285</v>
      </c>
      <c r="V1" s="1" t="s">
        <v>286</v>
      </c>
      <c r="W1" s="1" t="s">
        <v>287</v>
      </c>
    </row>
    <row r="2">
      <c r="A2" s="4" t="str">
        <f>IFERROR(__xludf.DUMMYFUNCTION("FILTER(IMPORTRANGE(""https://docs.google.com/spreadsheets/d/1kGrh75X1cNR1D7_FcY9zMnHP8iPO4M5RCRjy6nZY0TY/edit#gid=1248694442"",""Table 1: Study characteristics!A4:A175""),IMPORTRANGE(""https://docs.google.com/spreadsheets/d/1kGrh75X1cNR1D7_FcY9zMnHP8iPO4M"&amp;"5RCRjy6nZY0TY/edit#gid=1248694442"",""Table 1: Study characteristics!D4:D175"")=""Passed"")"),"ID 1")</f>
        <v>ID 1</v>
      </c>
      <c r="B2" s="14" t="str">
        <f>IFERROR(__xludf.DUMMYFUNCTION("IFNA(FILTER(IMPORTRANGE(""https://docs.google.com/spreadsheets/d/1kGrh75X1cNR1D7_FcY9zMnHP8iPO4M5RCRjy6nZY0TY/edit#gid=1248694442"",""Table 3: 1st-line HC!AZ5:AZ111""), $A2=IMPORTRANGE(""https://docs.google.com/spreadsheets/d/1kGrh75X1cNR1D7_FcY9zMnHP8iPO"&amp;"4M5RCRjy6nZY0TY/edit#gid=1248694442"",""Table 3: 1st-line HC!A5:A111"")),"""")"),"")</f>
        <v/>
      </c>
      <c r="C2" s="14" t="str">
        <f>IFERROR(__xludf.DUMMYFUNCTION("IFNA(FILTER(IMPORTRANGE(""https://docs.google.com/spreadsheets/d/1kGrh75X1cNR1D7_FcY9zMnHP8iPO4M5RCRjy6nZY0TY/edit#gid=1248694442"",""Table 3: 1st-line HC!BA5:BA111""), $A2=IMPORTRANGE(""https://docs.google.com/spreadsheets/d/1kGrh75X1cNR1D7_FcY9zMnHP8iPO"&amp;"4M5RCRjy6nZY0TY/edit#gid=1248694442"",""Table 3: 1st-line HC!A5:A111"")),"""")"),"")</f>
        <v/>
      </c>
      <c r="D2" s="14" t="str">
        <f>IFERROR(__xludf.DUMMYFUNCTION("IFNA(FILTER(IMPORTRANGE(""https://docs.google.com/spreadsheets/d/1kGrh75X1cNR1D7_FcY9zMnHP8iPO4M5RCRjy6nZY0TY/edit#gid=1248694442"",""Table 3: 1st-line HC!BB5:BB111""), $A2=IMPORTRANGE(""https://docs.google.com/spreadsheets/d/1kGrh75X1cNR1D7_FcY9zMnHP8iPO"&amp;"4M5RCRjy6nZY0TY/edit#gid=1248694442"",""Table 3: 1st-line HC!A5:A111"")),"""")"),"")</f>
        <v/>
      </c>
      <c r="E2" s="19" t="str">
        <f>IFERROR(__xludf.DUMMYFUNCTION("IFNA(FILTER(IMPORTRANGE(""https://docs.google.com/spreadsheets/d/1kGrh75X1cNR1D7_FcY9zMnHP8iPO4M5RCRjy6nZY0TY/edit#gid=1248694442"",""Table 3: 1st-line HC!BC5:BC111""), $A2=IMPORTRANGE(""https://docs.google.com/spreadsheets/d/1kGrh75X1cNR1D7_FcY9zMnHP8iPO"&amp;"4M5RCRjy6nZY0TY/edit#gid=1248694442"",""Table 3: 1st-line HC!A5:A111"")),"""")"),"")</f>
        <v/>
      </c>
      <c r="F2" s="14" t="str">
        <f>IFERROR(__xludf.DUMMYFUNCTION("IFNA(FILTER(IMPORTRANGE(""https://docs.google.com/spreadsheets/d/1kGrh75X1cNR1D7_FcY9zMnHP8iPO4M5RCRjy6nZY0TY/edit#gid=1248694442"",""Table 3: 1st-line HC!Y5:Y111""), $A2=IMPORTRANGE(""https://docs.google.com/spreadsheets/d/1kGrh75X1cNR1D7_FcY9zMnHP8iPO4M"&amp;"5RCRjy6nZY0TY/edit#gid=1248694442"",""Table 3: 1st-line HC!A5:A111"")),"""")"),"")</f>
        <v/>
      </c>
      <c r="G2" s="14">
        <f>IFERROR(__xludf.DUMMYFUNCTION("IFNA(FILTER(IMPORTRANGE(""https://docs.google.com/spreadsheets/d/1kGrh75X1cNR1D7_FcY9zMnHP8iPO4M5RCRjy6nZY0TY/edit#gid=1248694442"",""Table 3: 1st-line HC!Z5:Z111""), $A2=IMPORTRANGE(""https://docs.google.com/spreadsheets/d/1kGrh75X1cNR1D7_FcY9zMnHP8iPO4M"&amp;"5RCRjy6nZY0TY/edit#gid=1248694442"",""Table 3: 1st-line HC!A5:A111"")),"""")"),24.0)</f>
        <v>24</v>
      </c>
      <c r="H2" s="14" t="str">
        <f>IFERROR(__xludf.DUMMYFUNCTION("IFNA(FILTER(IMPORTRANGE(""https://docs.google.com/spreadsheets/d/1kGrh75X1cNR1D7_FcY9zMnHP8iPO4M5RCRjy6nZY0TY/edit#gid=1248694442"",""Table 3: 1st-line HC!AA5:AA111""), $A2=IMPORTRANGE(""https://docs.google.com/spreadsheets/d/1kGrh75X1cNR1D7_FcY9zMnHP8iPO"&amp;"4M5RCRjy6nZY0TY/edit#gid=1248694442"",""Table 3: 1st-line HC!A5:A111"")),"""")"),"")</f>
        <v/>
      </c>
      <c r="I2" s="14" t="str">
        <f>IFERROR(__xludf.DUMMYFUNCTION("IFNA(FILTER(IMPORTRANGE(""https://docs.google.com/spreadsheets/d/1kGrh75X1cNR1D7_FcY9zMnHP8iPO4M5RCRjy6nZY0TY/edit#gid=1248694442"",""Table 3: 1st-line HC!AB5:AB111""), $A2=IMPORTRANGE(""https://docs.google.com/spreadsheets/d/1kGrh75X1cNR1D7_FcY9zMnHP8iPO"&amp;"4M5RCRjy6nZY0TY/edit#gid=1248694442"",""Table 3: 1st-line HC!A5:A111"")),"""")"),"")</f>
        <v/>
      </c>
      <c r="J2" s="14" t="str">
        <f>IFERROR(__xludf.DUMMYFUNCTION("IFNA(FILTER(IMPORTRANGE(""https://docs.google.com/spreadsheets/d/1kGrh75X1cNR1D7_FcY9zMnHP8iPO4M5RCRjy6nZY0TY/edit#gid=1248694442"",""Table 3: 1st-line HC!AC5:AC111""), $A2=IMPORTRANGE(""https://docs.google.com/spreadsheets/d/1kGrh75X1cNR1D7_FcY9zMnHP8iPO"&amp;"4M5RCRjy6nZY0TY/edit#gid=1248694442"",""Table 3: 1st-line HC!A5:A111"")),"""")"),"")</f>
        <v/>
      </c>
      <c r="K2" s="20" t="str">
        <f>IFERROR(__xludf.DUMMYFUNCTION("IFNA(FILTER(IMPORTRANGE(""https://docs.google.com/spreadsheets/d/1kGrh75X1cNR1D7_FcY9zMnHP8iPO4M5RCRjy6nZY0TY/edit#gid=1248694442"",""Table 3: 1st-line HC!AD5:AD111""), $A2=IMPORTRANGE(""https://docs.google.com/spreadsheets/d/1kGrh75X1cNR1D7_FcY9zMnHP8iPO"&amp;"4M5RCRjy6nZY0TY/edit#gid=1248694442"",""Table 3: 1st-line HC!A5:A111"")),"""")"),"")</f>
        <v/>
      </c>
      <c r="L2" s="14" t="str">
        <f>IFERROR(__xludf.DUMMYFUNCTION("IFNA(FILTER(IMPORTRANGE(""https://docs.google.com/spreadsheets/d/1kGrh75X1cNR1D7_FcY9zMnHP8iPO4M5RCRjy6nZY0TY/edit#gid=1248694442"",""Table 3: 1st-line HC!W5:W111""), $A2=IMPORTRANGE(""https://docs.google.com/spreadsheets/d/1kGrh75X1cNR1D7_FcY9zMnHP8iPO4M"&amp;"5RCRjy6nZY0TY/edit#gid=1248694442"",""Table 3: 1st-line HC!A5:A111"")),"""")"),"")</f>
        <v/>
      </c>
      <c r="M2" s="14" t="str">
        <f>IFERROR(__xludf.DUMMYFUNCTION("IFNA(FILTER(IMPORTRANGE(""https://docs.google.com/spreadsheets/d/1kGrh75X1cNR1D7_FcY9zMnHP8iPO4M5RCRjy6nZY0TY/edit#gid=1248694442"",""Table 3: 1st-line HC!X5:X111""), $A2=IMPORTRANGE(""https://docs.google.com/spreadsheets/d/1kGrh75X1cNR1D7_FcY9zMnHP8iPO4M"&amp;"5RCRjy6nZY0TY/edit#gid=1248694442"",""Table 3: 1st-line HC!A5:A111"")),"""")"),"")</f>
        <v/>
      </c>
      <c r="N2" s="14" t="str">
        <f>IFERROR(__xludf.DUMMYFUNCTION("IFNA(FILTER(IMPORTRANGE(""https://docs.google.com/spreadsheets/d/1kGrh75X1cNR1D7_FcY9zMnHP8iPO4M5RCRjy6nZY0TY/edit#gid=1248694442"",""Table 4: 2nd-line HC or more!C5:C85""), $A2=IMPORTRANGE(""https://docs.google.com/spreadsheets/d/1kGrh75X1cNR1D7_FcY9zMnH"&amp;"P8iPO4M5RCRjy6nZY0TY/edit#gid=1248694442"",""Table 4: 2nd-line HC or more!A5:A85"")),"""")"),"")</f>
        <v/>
      </c>
      <c r="O2" s="14" t="str">
        <f>IFERROR(__xludf.DUMMYFUNCTION("IFNA(FILTER(IMPORTRANGE(""https://docs.google.com/spreadsheets/d/1kGrh75X1cNR1D7_FcY9zMnHP8iPO4M5RCRjy6nZY0TY/edit#gid=1248694442"",""Table 4: 2nd-line HC or more!D5:D85""), $A2=IMPORTRANGE(""https://docs.google.com/spreadsheets/d/1kGrh75X1cNR1D7_FcY9zMnH"&amp;"P8iPO4M5RCRjy6nZY0TY/edit#gid=1248694442"",""Table 4: 2nd-line HC or more!A5:A85"")),"""")"),"")</f>
        <v/>
      </c>
      <c r="P2" s="14" t="str">
        <f>IFERROR(__xludf.DUMMYFUNCTION("IFNA(FILTER(IMPORTRANGE(""https://docs.google.com/spreadsheets/d/1kGrh75X1cNR1D7_FcY9zMnHP8iPO4M5RCRjy6nZY0TY/edit#gid=1248694442"",""Table 4: 2nd-line HC or more!E5:E85""), $A2=IMPORTRANGE(""https://docs.google.com/spreadsheets/d/1kGrh75X1cNR1D7_FcY9zMnH"&amp;"P8iPO4M5RCRjy6nZY0TY/edit#gid=1248694442"",""Table 4: 2nd-line HC or more!A5:A85"")),"""")"),"")</f>
        <v/>
      </c>
      <c r="Q2" s="14" t="str">
        <f>IFERROR(__xludf.DUMMYFUNCTION("IFNA(FILTER(IMPORTRANGE(""https://docs.google.com/spreadsheets/d/1kGrh75X1cNR1D7_FcY9zMnHP8iPO4M5RCRjy6nZY0TY/edit#gid=1248694442"",""Table 4: 2nd-line HC or more!F5:F85""), $A2=IMPORTRANGE(""https://docs.google.com/spreadsheets/d/1kGrh75X1cNR1D7_FcY9zMnH"&amp;"P8iPO4M5RCRjy6nZY0TY/edit#gid=1248694442"",""Table 4: 2nd-line HC or more!A5:A85"")),"""")"),"")</f>
        <v/>
      </c>
      <c r="R2" s="14" t="str">
        <f>IFERROR(__xludf.DUMMYFUNCTION("IFNA(FILTER(IMPORTRANGE(""https://docs.google.com/spreadsheets/d/1kGrh75X1cNR1D7_FcY9zMnHP8iPO4M5RCRjy6nZY0TY/edit#gid=1248694442"",""Table 4: 2nd-line HC or more!G5:G85""), $A2=IMPORTRANGE(""https://docs.google.com/spreadsheets/d/1kGrh75X1cNR1D7_FcY9zMnH"&amp;"P8iPO4M5RCRjy6nZY0TY/edit#gid=1248694442"",""Table 4: 2nd-line HC or more!A5:A85"")),"""")"),"")</f>
        <v/>
      </c>
      <c r="S2" s="14" t="str">
        <f>IFERROR(__xludf.DUMMYFUNCTION("IFNA(FILTER(IMPORTRANGE(""https://docs.google.com/spreadsheets/d/1kGrh75X1cNR1D7_FcY9zMnHP8iPO4M5RCRjy6nZY0TY/edit#gid=1248694442"",""Table 4: 2nd-line HC or more!H5:H85""), $A2=IMPORTRANGE(""https://docs.google.com/spreadsheets/d/1kGrh75X1cNR1D7_FcY9zMnH"&amp;"P8iPO4M5RCRjy6nZY0TY/edit#gid=1248694442"",""Table 4: 2nd-line HC or more!A5:A85"")),"""")"),"")</f>
        <v/>
      </c>
      <c r="T2" s="14" t="str">
        <f>IFERROR(__xludf.DUMMYFUNCTION("IFNA(FILTER(IMPORTRANGE(""https://docs.google.com/spreadsheets/d/1kGrh75X1cNR1D7_FcY9zMnHP8iPO4M5RCRjy6nZY0TY/edit#gid=1248694442"",""Table 3: 1st-line HC!F5:F111""), $A2=IMPORTRANGE(""https://docs.google.com/spreadsheets/d/1kGrh75X1cNR1D7_FcY9zMnHP8iPO4M"&amp;"5RCRjy6nZY0TY/edit#gid=1248694442"",""Table 3: 1st-line HC!A5:A111"")),"""")"),"")</f>
        <v/>
      </c>
      <c r="U2" s="14" t="str">
        <f>IFERROR(__xludf.DUMMYFUNCTION("IFNA(FILTER(IMPORTRANGE(""https://docs.google.com/spreadsheets/d/1kGrh75X1cNR1D7_FcY9zMnHP8iPO4M5RCRjy6nZY0TY/edit#gid=1248694442"",""Table 3: 1st-line HC!G5:G111""), $A2=IMPORTRANGE(""https://docs.google.com/spreadsheets/d/1kGrh75X1cNR1D7_FcY9zMnHP8iPO4M"&amp;"5RCRjy6nZY0TY/edit#gid=1248694442"",""Table 3: 1st-line HC!A5:A111"")),"""")"),"")</f>
        <v/>
      </c>
      <c r="V2" s="14">
        <f>IFERROR(__xludf.DUMMYFUNCTION("IFNA(FILTER(IMPORTRANGE(""https://docs.google.com/spreadsheets/d/1kGrh75X1cNR1D7_FcY9zMnHP8iPO4M5RCRjy6nZY0TY/edit#gid=1248694442"",""Table 3: 1st-line HC!H5:H111""), $A2=IMPORTRANGE(""https://docs.google.com/spreadsheets/d/1kGrh75X1cNR1D7_FcY9zMnHP8iPO4M"&amp;"5RCRjy6nZY0TY/edit#gid=1248694442"",""Table 3: 1st-line HC!A5:A111"")),"""")"),39.0)</f>
        <v>39</v>
      </c>
      <c r="W2" s="14" t="str">
        <f>IFERROR(__xludf.DUMMYFUNCTION("IFNA(FILTER(IMPORTRANGE(""https://docs.google.com/spreadsheets/d/1kGrh75X1cNR1D7_FcY9zMnHP8iPO4M5RCRjy6nZY0TY/edit#gid=1248694442"",""Table 3: 1st-line HC!I5:I111""), $A2=IMPORTRANGE(""https://docs.google.com/spreadsheets/d/1kGrh75X1cNR1D7_FcY9zMnHP8iPO4M"&amp;"5RCRjy6nZY0TY/edit#gid=1248694442"",""Table 3: 1st-line HC!A5:A111"")),"""")"),"")</f>
        <v/>
      </c>
    </row>
    <row r="3">
      <c r="A3" s="4" t="str">
        <f>IFERROR(__xludf.DUMMYFUNCTION("""COMPUTED_VALUE"""),"ID 4")</f>
        <v>ID 4</v>
      </c>
      <c r="B3" s="14" t="str">
        <f>IFERROR(__xludf.DUMMYFUNCTION("IFNA(FILTER(IMPORTRANGE(""https://docs.google.com/spreadsheets/d/1kGrh75X1cNR1D7_FcY9zMnHP8iPO4M5RCRjy6nZY0TY/edit#gid=1248694442"",""Table 3: 1st-line HC!AZ5:AZ111""), $A3=IMPORTRANGE(""https://docs.google.com/spreadsheets/d/1kGrh75X1cNR1D7_FcY9zMnHP8iPO"&amp;"4M5RCRjy6nZY0TY/edit#gid=1248694442"",""Table 3: 1st-line HC!A5:A111"")),"""")"),"")</f>
        <v/>
      </c>
      <c r="C3" s="14" t="str">
        <f>IFERROR(__xludf.DUMMYFUNCTION("IFNA(FILTER(IMPORTRANGE(""https://docs.google.com/spreadsheets/d/1kGrh75X1cNR1D7_FcY9zMnHP8iPO4M5RCRjy6nZY0TY/edit#gid=1248694442"",""Table 3: 1st-line HC!BA5:BA111""), $A3=IMPORTRANGE(""https://docs.google.com/spreadsheets/d/1kGrh75X1cNR1D7_FcY9zMnHP8iPO"&amp;"4M5RCRjy6nZY0TY/edit#gid=1248694442"",""Table 3: 1st-line HC!A5:A111"")),"""")"),"")</f>
        <v/>
      </c>
      <c r="D3" s="14" t="str">
        <f>IFERROR(__xludf.DUMMYFUNCTION("IFNA(FILTER(IMPORTRANGE(""https://docs.google.com/spreadsheets/d/1kGrh75X1cNR1D7_FcY9zMnHP8iPO4M5RCRjy6nZY0TY/edit#gid=1248694442"",""Table 3: 1st-line HC!BB5:BB111""), $A3=IMPORTRANGE(""https://docs.google.com/spreadsheets/d/1kGrh75X1cNR1D7_FcY9zMnHP8iPO"&amp;"4M5RCRjy6nZY0TY/edit#gid=1248694442"",""Table 3: 1st-line HC!A5:A111"")),"""")"),"")</f>
        <v/>
      </c>
      <c r="E3" s="19" t="str">
        <f>IFERROR(__xludf.DUMMYFUNCTION("IFNA(FILTER(IMPORTRANGE(""https://docs.google.com/spreadsheets/d/1kGrh75X1cNR1D7_FcY9zMnHP8iPO4M5RCRjy6nZY0TY/edit#gid=1248694442"",""Table 3: 1st-line HC!BC5:BC111""), $A3=IMPORTRANGE(""https://docs.google.com/spreadsheets/d/1kGrh75X1cNR1D7_FcY9zMnHP8iPO"&amp;"4M5RCRjy6nZY0TY/edit#gid=1248694442"",""Table 3: 1st-line HC!A5:A111"")),"""")"),"")</f>
        <v/>
      </c>
      <c r="F3" s="14" t="str">
        <f>IFERROR(__xludf.DUMMYFUNCTION("IFNA(FILTER(IMPORTRANGE(""https://docs.google.com/spreadsheets/d/1kGrh75X1cNR1D7_FcY9zMnHP8iPO4M5RCRjy6nZY0TY/edit#gid=1248694442"",""Table 3: 1st-line HC!Y5:Y111""), $A3=IMPORTRANGE(""https://docs.google.com/spreadsheets/d/1kGrh75X1cNR1D7_FcY9zMnHP8iPO4M"&amp;"5RCRjy6nZY0TY/edit#gid=1248694442"",""Table 3: 1st-line HC!A5:A111"")),"""")"),"")</f>
        <v/>
      </c>
      <c r="G3" s="14">
        <f>IFERROR(__xludf.DUMMYFUNCTION("IFNA(FILTER(IMPORTRANGE(""https://docs.google.com/spreadsheets/d/1kGrh75X1cNR1D7_FcY9zMnHP8iPO4M5RCRjy6nZY0TY/edit#gid=1248694442"",""Table 3: 1st-line HC!Z5:Z111""), $A3=IMPORTRANGE(""https://docs.google.com/spreadsheets/d/1kGrh75X1cNR1D7_FcY9zMnHP8iPO4M"&amp;"5RCRjy6nZY0TY/edit#gid=1248694442"",""Table 3: 1st-line HC!A5:A111"")),"""")"),7.0)</f>
        <v>7</v>
      </c>
      <c r="H3" s="14" t="str">
        <f>IFERROR(__xludf.DUMMYFUNCTION("IFNA(FILTER(IMPORTRANGE(""https://docs.google.com/spreadsheets/d/1kGrh75X1cNR1D7_FcY9zMnHP8iPO4M5RCRjy6nZY0TY/edit#gid=1248694442"",""Table 3: 1st-line HC!AA5:AA111""), $A3=IMPORTRANGE(""https://docs.google.com/spreadsheets/d/1kGrh75X1cNR1D7_FcY9zMnHP8iPO"&amp;"4M5RCRjy6nZY0TY/edit#gid=1248694442"",""Table 3: 1st-line HC!A5:A111"")),"""")"),"")</f>
        <v/>
      </c>
      <c r="I3" s="14" t="str">
        <f>IFERROR(__xludf.DUMMYFUNCTION("IFNA(FILTER(IMPORTRANGE(""https://docs.google.com/spreadsheets/d/1kGrh75X1cNR1D7_FcY9zMnHP8iPO4M5RCRjy6nZY0TY/edit#gid=1248694442"",""Table 3: 1st-line HC!AB5:AB111""), $A3=IMPORTRANGE(""https://docs.google.com/spreadsheets/d/1kGrh75X1cNR1D7_FcY9zMnHP8iPO"&amp;"4M5RCRjy6nZY0TY/edit#gid=1248694442"",""Table 3: 1st-line HC!A5:A111"")),"""")"),"")</f>
        <v/>
      </c>
      <c r="J3" s="14" t="str">
        <f>IFERROR(__xludf.DUMMYFUNCTION("IFNA(FILTER(IMPORTRANGE(""https://docs.google.com/spreadsheets/d/1kGrh75X1cNR1D7_FcY9zMnHP8iPO4M5RCRjy6nZY0TY/edit#gid=1248694442"",""Table 3: 1st-line HC!AC5:AC111""), $A3=IMPORTRANGE(""https://docs.google.com/spreadsheets/d/1kGrh75X1cNR1D7_FcY9zMnHP8iPO"&amp;"4M5RCRjy6nZY0TY/edit#gid=1248694442"",""Table 3: 1st-line HC!A5:A111"")),"""")"),"")</f>
        <v/>
      </c>
      <c r="K3" s="20" t="str">
        <f>IFERROR(__xludf.DUMMYFUNCTION("IFNA(FILTER(IMPORTRANGE(""https://docs.google.com/spreadsheets/d/1kGrh75X1cNR1D7_FcY9zMnHP8iPO4M5RCRjy6nZY0TY/edit#gid=1248694442"",""Table 3: 1st-line HC!AD5:AD111""), $A3=IMPORTRANGE(""https://docs.google.com/spreadsheets/d/1kGrh75X1cNR1D7_FcY9zMnHP8iPO"&amp;"4M5RCRjy6nZY0TY/edit#gid=1248694442"",""Table 3: 1st-line HC!A5:A111"")),"""")"),"")</f>
        <v/>
      </c>
      <c r="L3" s="14" t="str">
        <f>IFERROR(__xludf.DUMMYFUNCTION("IFNA(FILTER(IMPORTRANGE(""https://docs.google.com/spreadsheets/d/1kGrh75X1cNR1D7_FcY9zMnHP8iPO4M5RCRjy6nZY0TY/edit#gid=1248694442"",""Table 3: 1st-line HC!W5:W111""), $A3=IMPORTRANGE(""https://docs.google.com/spreadsheets/d/1kGrh75X1cNR1D7_FcY9zMnHP8iPO4M"&amp;"5RCRjy6nZY0TY/edit#gid=1248694442"",""Table 3: 1st-line HC!A5:A111"")),"""")"),"")</f>
        <v/>
      </c>
      <c r="M3" s="14" t="str">
        <f>IFERROR(__xludf.DUMMYFUNCTION("IFNA(FILTER(IMPORTRANGE(""https://docs.google.com/spreadsheets/d/1kGrh75X1cNR1D7_FcY9zMnHP8iPO4M5RCRjy6nZY0TY/edit#gid=1248694442"",""Table 3: 1st-line HC!X5:X111""), $A3=IMPORTRANGE(""https://docs.google.com/spreadsheets/d/1kGrh75X1cNR1D7_FcY9zMnHP8iPO4M"&amp;"5RCRjy6nZY0TY/edit#gid=1248694442"",""Table 3: 1st-line HC!A5:A111"")),"""")"),"")</f>
        <v/>
      </c>
      <c r="N3" s="14" t="str">
        <f>IFERROR(__xludf.DUMMYFUNCTION("IFNA(FILTER(IMPORTRANGE(""https://docs.google.com/spreadsheets/d/1kGrh75X1cNR1D7_FcY9zMnHP8iPO4M5RCRjy6nZY0TY/edit#gid=1248694442"",""Table 4: 2nd-line HC or more!C5:C85""), $A3=IMPORTRANGE(""https://docs.google.com/spreadsheets/d/1kGrh75X1cNR1D7_FcY9zMnH"&amp;"P8iPO4M5RCRjy6nZY0TY/edit#gid=1248694442"",""Table 4: 2nd-line HC or more!A5:A85"")),"""")"),"")</f>
        <v/>
      </c>
      <c r="O3" s="14" t="str">
        <f>IFERROR(__xludf.DUMMYFUNCTION("IFNA(FILTER(IMPORTRANGE(""https://docs.google.com/spreadsheets/d/1kGrh75X1cNR1D7_FcY9zMnHP8iPO4M5RCRjy6nZY0TY/edit#gid=1248694442"",""Table 4: 2nd-line HC or more!D5:D85""), $A3=IMPORTRANGE(""https://docs.google.com/spreadsheets/d/1kGrh75X1cNR1D7_FcY9zMnH"&amp;"P8iPO4M5RCRjy6nZY0TY/edit#gid=1248694442"",""Table 4: 2nd-line HC or more!A5:A85"")),"""")"),"")</f>
        <v/>
      </c>
      <c r="P3" s="14" t="str">
        <f>IFERROR(__xludf.DUMMYFUNCTION("IFNA(FILTER(IMPORTRANGE(""https://docs.google.com/spreadsheets/d/1kGrh75X1cNR1D7_FcY9zMnHP8iPO4M5RCRjy6nZY0TY/edit#gid=1248694442"",""Table 4: 2nd-line HC or more!E5:E85""), $A3=IMPORTRANGE(""https://docs.google.com/spreadsheets/d/1kGrh75X1cNR1D7_FcY9zMnH"&amp;"P8iPO4M5RCRjy6nZY0TY/edit#gid=1248694442"",""Table 4: 2nd-line HC or more!A5:A85"")),"""")"),"")</f>
        <v/>
      </c>
      <c r="Q3" s="14" t="str">
        <f>IFERROR(__xludf.DUMMYFUNCTION("IFNA(FILTER(IMPORTRANGE(""https://docs.google.com/spreadsheets/d/1kGrh75X1cNR1D7_FcY9zMnHP8iPO4M5RCRjy6nZY0TY/edit#gid=1248694442"",""Table 4: 2nd-line HC or more!F5:F85""), $A3=IMPORTRANGE(""https://docs.google.com/spreadsheets/d/1kGrh75X1cNR1D7_FcY9zMnH"&amp;"P8iPO4M5RCRjy6nZY0TY/edit#gid=1248694442"",""Table 4: 2nd-line HC or more!A5:A85"")),"""")"),"")</f>
        <v/>
      </c>
      <c r="R3" s="14" t="str">
        <f>IFERROR(__xludf.DUMMYFUNCTION("IFNA(FILTER(IMPORTRANGE(""https://docs.google.com/spreadsheets/d/1kGrh75X1cNR1D7_FcY9zMnHP8iPO4M5RCRjy6nZY0TY/edit#gid=1248694442"",""Table 4: 2nd-line HC or more!G5:G85""), $A3=IMPORTRANGE(""https://docs.google.com/spreadsheets/d/1kGrh75X1cNR1D7_FcY9zMnH"&amp;"P8iPO4M5RCRjy6nZY0TY/edit#gid=1248694442"",""Table 4: 2nd-line HC or more!A5:A85"")),"""")"),"")</f>
        <v/>
      </c>
      <c r="S3" s="14" t="str">
        <f>IFERROR(__xludf.DUMMYFUNCTION("IFNA(FILTER(IMPORTRANGE(""https://docs.google.com/spreadsheets/d/1kGrh75X1cNR1D7_FcY9zMnHP8iPO4M5RCRjy6nZY0TY/edit#gid=1248694442"",""Table 4: 2nd-line HC or more!H5:H85""), $A3=IMPORTRANGE(""https://docs.google.com/spreadsheets/d/1kGrh75X1cNR1D7_FcY9zMnH"&amp;"P8iPO4M5RCRjy6nZY0TY/edit#gid=1248694442"",""Table 4: 2nd-line HC or more!A5:A85"")),"""")"),"")</f>
        <v/>
      </c>
      <c r="T3" s="14" t="str">
        <f>IFERROR(__xludf.DUMMYFUNCTION("IFNA(FILTER(IMPORTRANGE(""https://docs.google.com/spreadsheets/d/1kGrh75X1cNR1D7_FcY9zMnHP8iPO4M5RCRjy6nZY0TY/edit#gid=1248694442"",""Table 3: 1st-line HC!F5:F111""), $A3=IMPORTRANGE(""https://docs.google.com/spreadsheets/d/1kGrh75X1cNR1D7_FcY9zMnHP8iPO4M"&amp;"5RCRjy6nZY0TY/edit#gid=1248694442"",""Table 3: 1st-line HC!A5:A111"")),"""")"),"")</f>
        <v/>
      </c>
      <c r="U3" s="14" t="str">
        <f>IFERROR(__xludf.DUMMYFUNCTION("IFNA(FILTER(IMPORTRANGE(""https://docs.google.com/spreadsheets/d/1kGrh75X1cNR1D7_FcY9zMnHP8iPO4M5RCRjy6nZY0TY/edit#gid=1248694442"",""Table 3: 1st-line HC!G5:G111""), $A3=IMPORTRANGE(""https://docs.google.com/spreadsheets/d/1kGrh75X1cNR1D7_FcY9zMnHP8iPO4M"&amp;"5RCRjy6nZY0TY/edit#gid=1248694442"",""Table 3: 1st-line HC!A5:A111"")),"""")"),"")</f>
        <v/>
      </c>
      <c r="V3" s="14" t="str">
        <f>IFERROR(__xludf.DUMMYFUNCTION("IFNA(FILTER(IMPORTRANGE(""https://docs.google.com/spreadsheets/d/1kGrh75X1cNR1D7_FcY9zMnHP8iPO4M5RCRjy6nZY0TY/edit#gid=1248694442"",""Table 3: 1st-line HC!H5:H111""), $A3=IMPORTRANGE(""https://docs.google.com/spreadsheets/d/1kGrh75X1cNR1D7_FcY9zMnHP8iPO4M"&amp;"5RCRjy6nZY0TY/edit#gid=1248694442"",""Table 3: 1st-line HC!A5:A111"")),"""")"),"")</f>
        <v/>
      </c>
      <c r="W3" s="14" t="str">
        <f>IFERROR(__xludf.DUMMYFUNCTION("IFNA(FILTER(IMPORTRANGE(""https://docs.google.com/spreadsheets/d/1kGrh75X1cNR1D7_FcY9zMnHP8iPO4M5RCRjy6nZY0TY/edit#gid=1248694442"",""Table 3: 1st-line HC!I5:I111""), $A3=IMPORTRANGE(""https://docs.google.com/spreadsheets/d/1kGrh75X1cNR1D7_FcY9zMnHP8iPO4M"&amp;"5RCRjy6nZY0TY/edit#gid=1248694442"",""Table 3: 1st-line HC!A5:A111"")),"""")"),"")</f>
        <v/>
      </c>
    </row>
    <row r="4">
      <c r="A4" s="4" t="str">
        <f>IFERROR(__xludf.DUMMYFUNCTION("""COMPUTED_VALUE"""),"ID 5")</f>
        <v>ID 5</v>
      </c>
      <c r="B4" s="14" t="str">
        <f>IFERROR(__xludf.DUMMYFUNCTION("IFNA(FILTER(IMPORTRANGE(""https://docs.google.com/spreadsheets/d/1kGrh75X1cNR1D7_FcY9zMnHP8iPO4M5RCRjy6nZY0TY/edit#gid=1248694442"",""Table 3: 1st-line HC!AZ5:AZ111""), $A4=IMPORTRANGE(""https://docs.google.com/spreadsheets/d/1kGrh75X1cNR1D7_FcY9zMnHP8iPO"&amp;"4M5RCRjy6nZY0TY/edit#gid=1248694442"",""Table 3: 1st-line HC!A5:A111"")),"""")"),"")</f>
        <v/>
      </c>
      <c r="C4" s="14" t="str">
        <f>IFERROR(__xludf.DUMMYFUNCTION("IFNA(FILTER(IMPORTRANGE(""https://docs.google.com/spreadsheets/d/1kGrh75X1cNR1D7_FcY9zMnHP8iPO4M5RCRjy6nZY0TY/edit#gid=1248694442"",""Table 3: 1st-line HC!BA5:BA111""), $A4=IMPORTRANGE(""https://docs.google.com/spreadsheets/d/1kGrh75X1cNR1D7_FcY9zMnHP8iPO"&amp;"4M5RCRjy6nZY0TY/edit#gid=1248694442"",""Table 3: 1st-line HC!A5:A111"")),"""")"),"")</f>
        <v/>
      </c>
      <c r="D4" s="14" t="str">
        <f>IFERROR(__xludf.DUMMYFUNCTION("IFNA(FILTER(IMPORTRANGE(""https://docs.google.com/spreadsheets/d/1kGrh75X1cNR1D7_FcY9zMnHP8iPO4M5RCRjy6nZY0TY/edit#gid=1248694442"",""Table 3: 1st-line HC!BB5:BB111""), $A4=IMPORTRANGE(""https://docs.google.com/spreadsheets/d/1kGrh75X1cNR1D7_FcY9zMnHP8iPO"&amp;"4M5RCRjy6nZY0TY/edit#gid=1248694442"",""Table 3: 1st-line HC!A5:A111"")),"""")"),"")</f>
        <v/>
      </c>
      <c r="E4" s="19" t="str">
        <f>IFERROR(__xludf.DUMMYFUNCTION("IFNA(FILTER(IMPORTRANGE(""https://docs.google.com/spreadsheets/d/1kGrh75X1cNR1D7_FcY9zMnHP8iPO4M5RCRjy6nZY0TY/edit#gid=1248694442"",""Table 3: 1st-line HC!BC5:BC111""), $A4=IMPORTRANGE(""https://docs.google.com/spreadsheets/d/1kGrh75X1cNR1D7_FcY9zMnHP8iPO"&amp;"4M5RCRjy6nZY0TY/edit#gid=1248694442"",""Table 3: 1st-line HC!A5:A111"")),"""")"),"")</f>
        <v/>
      </c>
      <c r="F4" s="14" t="str">
        <f>IFERROR(__xludf.DUMMYFUNCTION("IFNA(FILTER(IMPORTRANGE(""https://docs.google.com/spreadsheets/d/1kGrh75X1cNR1D7_FcY9zMnHP8iPO4M5RCRjy6nZY0TY/edit#gid=1248694442"",""Table 3: 1st-line HC!Y5:Y111""), $A4=IMPORTRANGE(""https://docs.google.com/spreadsheets/d/1kGrh75X1cNR1D7_FcY9zMnHP8iPO4M"&amp;"5RCRjy6nZY0TY/edit#gid=1248694442"",""Table 3: 1st-line HC!A5:A111"")),"""")"),"")</f>
        <v/>
      </c>
      <c r="G4" s="14">
        <f>IFERROR(__xludf.DUMMYFUNCTION("IFNA(FILTER(IMPORTRANGE(""https://docs.google.com/spreadsheets/d/1kGrh75X1cNR1D7_FcY9zMnHP8iPO4M5RCRjy6nZY0TY/edit#gid=1248694442"",""Table 3: 1st-line HC!Z5:Z111""), $A4=IMPORTRANGE(""https://docs.google.com/spreadsheets/d/1kGrh75X1cNR1D7_FcY9zMnHP8iPO4M"&amp;"5RCRjy6nZY0TY/edit#gid=1248694442"",""Table 3: 1st-line HC!A5:A111"")),"""")"),59.0)</f>
        <v>59</v>
      </c>
      <c r="H4" s="14" t="str">
        <f>IFERROR(__xludf.DUMMYFUNCTION("IFNA(FILTER(IMPORTRANGE(""https://docs.google.com/spreadsheets/d/1kGrh75X1cNR1D7_FcY9zMnHP8iPO4M5RCRjy6nZY0TY/edit#gid=1248694442"",""Table 3: 1st-line HC!AA5:AA111""), $A4=IMPORTRANGE(""https://docs.google.com/spreadsheets/d/1kGrh75X1cNR1D7_FcY9zMnHP8iPO"&amp;"4M5RCRjy6nZY0TY/edit#gid=1248694442"",""Table 3: 1st-line HC!A5:A111"")),"""")"),"")</f>
        <v/>
      </c>
      <c r="I4" s="14" t="str">
        <f>IFERROR(__xludf.DUMMYFUNCTION("IFNA(FILTER(IMPORTRANGE(""https://docs.google.com/spreadsheets/d/1kGrh75X1cNR1D7_FcY9zMnHP8iPO4M5RCRjy6nZY0TY/edit#gid=1248694442"",""Table 3: 1st-line HC!AB5:AB111""), $A4=IMPORTRANGE(""https://docs.google.com/spreadsheets/d/1kGrh75X1cNR1D7_FcY9zMnHP8iPO"&amp;"4M5RCRjy6nZY0TY/edit#gid=1248694442"",""Table 3: 1st-line HC!A5:A111"")),"""")"),"")</f>
        <v/>
      </c>
      <c r="J4" s="14" t="str">
        <f>IFERROR(__xludf.DUMMYFUNCTION("IFNA(FILTER(IMPORTRANGE(""https://docs.google.com/spreadsheets/d/1kGrh75X1cNR1D7_FcY9zMnHP8iPO4M5RCRjy6nZY0TY/edit#gid=1248694442"",""Table 3: 1st-line HC!AC5:AC111""), $A4=IMPORTRANGE(""https://docs.google.com/spreadsheets/d/1kGrh75X1cNR1D7_FcY9zMnHP8iPO"&amp;"4M5RCRjy6nZY0TY/edit#gid=1248694442"",""Table 3: 1st-line HC!A5:A111"")),"""")"),"")</f>
        <v/>
      </c>
      <c r="K4" s="20" t="str">
        <f>IFERROR(__xludf.DUMMYFUNCTION("IFNA(FILTER(IMPORTRANGE(""https://docs.google.com/spreadsheets/d/1kGrh75X1cNR1D7_FcY9zMnHP8iPO4M5RCRjy6nZY0TY/edit#gid=1248694442"",""Table 3: 1st-line HC!AD5:AD111""), $A4=IMPORTRANGE(""https://docs.google.com/spreadsheets/d/1kGrh75X1cNR1D7_FcY9zMnHP8iPO"&amp;"4M5RCRjy6nZY0TY/edit#gid=1248694442"",""Table 3: 1st-line HC!A5:A111"")),"""")"),"")</f>
        <v/>
      </c>
      <c r="L4" s="14" t="str">
        <f>IFERROR(__xludf.DUMMYFUNCTION("IFNA(FILTER(IMPORTRANGE(""https://docs.google.com/spreadsheets/d/1kGrh75X1cNR1D7_FcY9zMnHP8iPO4M5RCRjy6nZY0TY/edit#gid=1248694442"",""Table 3: 1st-line HC!W5:W111""), $A4=IMPORTRANGE(""https://docs.google.com/spreadsheets/d/1kGrh75X1cNR1D7_FcY9zMnHP8iPO4M"&amp;"5RCRjy6nZY0TY/edit#gid=1248694442"",""Table 3: 1st-line HC!A5:A111"")),"""")"),"")</f>
        <v/>
      </c>
      <c r="M4" s="14" t="str">
        <f>IFERROR(__xludf.DUMMYFUNCTION("IFNA(FILTER(IMPORTRANGE(""https://docs.google.com/spreadsheets/d/1kGrh75X1cNR1D7_FcY9zMnHP8iPO4M5RCRjy6nZY0TY/edit#gid=1248694442"",""Table 3: 1st-line HC!X5:X111""), $A4=IMPORTRANGE(""https://docs.google.com/spreadsheets/d/1kGrh75X1cNR1D7_FcY9zMnHP8iPO4M"&amp;"5RCRjy6nZY0TY/edit#gid=1248694442"",""Table 3: 1st-line HC!A5:A111"")),"""")"),"")</f>
        <v/>
      </c>
      <c r="N4" s="14" t="str">
        <f>IFERROR(__xludf.DUMMYFUNCTION("IFNA(FILTER(IMPORTRANGE(""https://docs.google.com/spreadsheets/d/1kGrh75X1cNR1D7_FcY9zMnHP8iPO4M5RCRjy6nZY0TY/edit#gid=1248694442"",""Table 4: 2nd-line HC or more!C5:C85""), $A4=IMPORTRANGE(""https://docs.google.com/spreadsheets/d/1kGrh75X1cNR1D7_FcY9zMnH"&amp;"P8iPO4M5RCRjy6nZY0TY/edit#gid=1248694442"",""Table 4: 2nd-line HC or more!A5:A85"")),"""")"),"")</f>
        <v/>
      </c>
      <c r="O4" s="14" t="str">
        <f>IFERROR(__xludf.DUMMYFUNCTION("IFNA(FILTER(IMPORTRANGE(""https://docs.google.com/spreadsheets/d/1kGrh75X1cNR1D7_FcY9zMnHP8iPO4M5RCRjy6nZY0TY/edit#gid=1248694442"",""Table 4: 2nd-line HC or more!D5:D85""), $A4=IMPORTRANGE(""https://docs.google.com/spreadsheets/d/1kGrh75X1cNR1D7_FcY9zMnH"&amp;"P8iPO4M5RCRjy6nZY0TY/edit#gid=1248694442"",""Table 4: 2nd-line HC or more!A5:A85"")),"""")"),"")</f>
        <v/>
      </c>
      <c r="P4" s="14" t="str">
        <f>IFERROR(__xludf.DUMMYFUNCTION("IFNA(FILTER(IMPORTRANGE(""https://docs.google.com/spreadsheets/d/1kGrh75X1cNR1D7_FcY9zMnHP8iPO4M5RCRjy6nZY0TY/edit#gid=1248694442"",""Table 4: 2nd-line HC or more!E5:E85""), $A4=IMPORTRANGE(""https://docs.google.com/spreadsheets/d/1kGrh75X1cNR1D7_FcY9zMnH"&amp;"P8iPO4M5RCRjy6nZY0TY/edit#gid=1248694442"",""Table 4: 2nd-line HC or more!A5:A85"")),"""")"),"")</f>
        <v/>
      </c>
      <c r="Q4" s="14" t="str">
        <f>IFERROR(__xludf.DUMMYFUNCTION("IFNA(FILTER(IMPORTRANGE(""https://docs.google.com/spreadsheets/d/1kGrh75X1cNR1D7_FcY9zMnHP8iPO4M5RCRjy6nZY0TY/edit#gid=1248694442"",""Table 4: 2nd-line HC or more!F5:F85""), $A4=IMPORTRANGE(""https://docs.google.com/spreadsheets/d/1kGrh75X1cNR1D7_FcY9zMnH"&amp;"P8iPO4M5RCRjy6nZY0TY/edit#gid=1248694442"",""Table 4: 2nd-line HC or more!A5:A85"")),"""")"),"")</f>
        <v/>
      </c>
      <c r="R4" s="14" t="str">
        <f>IFERROR(__xludf.DUMMYFUNCTION("IFNA(FILTER(IMPORTRANGE(""https://docs.google.com/spreadsheets/d/1kGrh75X1cNR1D7_FcY9zMnHP8iPO4M5RCRjy6nZY0TY/edit#gid=1248694442"",""Table 4: 2nd-line HC or more!G5:G85""), $A4=IMPORTRANGE(""https://docs.google.com/spreadsheets/d/1kGrh75X1cNR1D7_FcY9zMnH"&amp;"P8iPO4M5RCRjy6nZY0TY/edit#gid=1248694442"",""Table 4: 2nd-line HC or more!A5:A85"")),"""")"),"")</f>
        <v/>
      </c>
      <c r="S4" s="14" t="str">
        <f>IFERROR(__xludf.DUMMYFUNCTION("IFNA(FILTER(IMPORTRANGE(""https://docs.google.com/spreadsheets/d/1kGrh75X1cNR1D7_FcY9zMnHP8iPO4M5RCRjy6nZY0TY/edit#gid=1248694442"",""Table 4: 2nd-line HC or more!H5:H85""), $A4=IMPORTRANGE(""https://docs.google.com/spreadsheets/d/1kGrh75X1cNR1D7_FcY9zMnH"&amp;"P8iPO4M5RCRjy6nZY0TY/edit#gid=1248694442"",""Table 4: 2nd-line HC or more!A5:A85"")),"""")"),"")</f>
        <v/>
      </c>
      <c r="T4" s="14" t="str">
        <f>IFERROR(__xludf.DUMMYFUNCTION("IFNA(FILTER(IMPORTRANGE(""https://docs.google.com/spreadsheets/d/1kGrh75X1cNR1D7_FcY9zMnHP8iPO4M5RCRjy6nZY0TY/edit#gid=1248694442"",""Table 3: 1st-line HC!F5:F111""), $A4=IMPORTRANGE(""https://docs.google.com/spreadsheets/d/1kGrh75X1cNR1D7_FcY9zMnHP8iPO4M"&amp;"5RCRjy6nZY0TY/edit#gid=1248694442"",""Table 3: 1st-line HC!A5:A111"")),"""")"),"")</f>
        <v/>
      </c>
      <c r="U4" s="14" t="str">
        <f>IFERROR(__xludf.DUMMYFUNCTION("IFNA(FILTER(IMPORTRANGE(""https://docs.google.com/spreadsheets/d/1kGrh75X1cNR1D7_FcY9zMnHP8iPO4M5RCRjy6nZY0TY/edit#gid=1248694442"",""Table 3: 1st-line HC!G5:G111""), $A4=IMPORTRANGE(""https://docs.google.com/spreadsheets/d/1kGrh75X1cNR1D7_FcY9zMnHP8iPO4M"&amp;"5RCRjy6nZY0TY/edit#gid=1248694442"",""Table 3: 1st-line HC!A5:A111"")),"""")"),"")</f>
        <v/>
      </c>
      <c r="V4" s="14" t="str">
        <f>IFERROR(__xludf.DUMMYFUNCTION("IFNA(FILTER(IMPORTRANGE(""https://docs.google.com/spreadsheets/d/1kGrh75X1cNR1D7_FcY9zMnHP8iPO4M5RCRjy6nZY0TY/edit#gid=1248694442"",""Table 3: 1st-line HC!H5:H111""), $A4=IMPORTRANGE(""https://docs.google.com/spreadsheets/d/1kGrh75X1cNR1D7_FcY9zMnHP8iPO4M"&amp;"5RCRjy6nZY0TY/edit#gid=1248694442"",""Table 3: 1st-line HC!A5:A111"")),"""")"),"")</f>
        <v/>
      </c>
      <c r="W4" s="14" t="str">
        <f>IFERROR(__xludf.DUMMYFUNCTION("IFNA(FILTER(IMPORTRANGE(""https://docs.google.com/spreadsheets/d/1kGrh75X1cNR1D7_FcY9zMnHP8iPO4M5RCRjy6nZY0TY/edit#gid=1248694442"",""Table 3: 1st-line HC!I5:I111""), $A4=IMPORTRANGE(""https://docs.google.com/spreadsheets/d/1kGrh75X1cNR1D7_FcY9zMnHP8iPO4M"&amp;"5RCRjy6nZY0TY/edit#gid=1248694442"",""Table 3: 1st-line HC!A5:A111"")),"""")"),"")</f>
        <v/>
      </c>
    </row>
    <row r="5">
      <c r="A5" s="4" t="str">
        <f>IFERROR(__xludf.DUMMYFUNCTION("""COMPUTED_VALUE"""),"ID 6")</f>
        <v>ID 6</v>
      </c>
      <c r="B5" s="14" t="str">
        <f>IFERROR(__xludf.DUMMYFUNCTION("IFNA(FILTER(IMPORTRANGE(""https://docs.google.com/spreadsheets/d/1kGrh75X1cNR1D7_FcY9zMnHP8iPO4M5RCRjy6nZY0TY/edit#gid=1248694442"",""Table 3: 1st-line HC!AZ5:AZ111""), $A5=IMPORTRANGE(""https://docs.google.com/spreadsheets/d/1kGrh75X1cNR1D7_FcY9zMnHP8iPO"&amp;"4M5RCRjy6nZY0TY/edit#gid=1248694442"",""Table 3: 1st-line HC!A5:A111"")),"""")"),"")</f>
        <v/>
      </c>
      <c r="C5" s="14" t="str">
        <f>IFERROR(__xludf.DUMMYFUNCTION("IFNA(FILTER(IMPORTRANGE(""https://docs.google.com/spreadsheets/d/1kGrh75X1cNR1D7_FcY9zMnHP8iPO4M5RCRjy6nZY0TY/edit#gid=1248694442"",""Table 3: 1st-line HC!BA5:BA111""), $A5=IMPORTRANGE(""https://docs.google.com/spreadsheets/d/1kGrh75X1cNR1D7_FcY9zMnHP8iPO"&amp;"4M5RCRjy6nZY0TY/edit#gid=1248694442"",""Table 3: 1st-line HC!A5:A111"")),"""")"),"")</f>
        <v/>
      </c>
      <c r="D5" s="14" t="str">
        <f>IFERROR(__xludf.DUMMYFUNCTION("IFNA(FILTER(IMPORTRANGE(""https://docs.google.com/spreadsheets/d/1kGrh75X1cNR1D7_FcY9zMnHP8iPO4M5RCRjy6nZY0TY/edit#gid=1248694442"",""Table 3: 1st-line HC!BB5:BB111""), $A5=IMPORTRANGE(""https://docs.google.com/spreadsheets/d/1kGrh75X1cNR1D7_FcY9zMnHP8iPO"&amp;"4M5RCRjy6nZY0TY/edit#gid=1248694442"",""Table 3: 1st-line HC!A5:A111"")),"""")"),"")</f>
        <v/>
      </c>
      <c r="E5" s="19" t="str">
        <f>IFERROR(__xludf.DUMMYFUNCTION("IFNA(FILTER(IMPORTRANGE(""https://docs.google.com/spreadsheets/d/1kGrh75X1cNR1D7_FcY9zMnHP8iPO4M5RCRjy6nZY0TY/edit#gid=1248694442"",""Table 3: 1st-line HC!BC5:BC111""), $A5=IMPORTRANGE(""https://docs.google.com/spreadsheets/d/1kGrh75X1cNR1D7_FcY9zMnHP8iPO"&amp;"4M5RCRjy6nZY0TY/edit#gid=1248694442"",""Table 3: 1st-line HC!A5:A111"")),"""")"),"")</f>
        <v/>
      </c>
      <c r="F5" s="14" t="str">
        <f>IFERROR(__xludf.DUMMYFUNCTION("IFNA(FILTER(IMPORTRANGE(""https://docs.google.com/spreadsheets/d/1kGrh75X1cNR1D7_FcY9zMnHP8iPO4M5RCRjy6nZY0TY/edit#gid=1248694442"",""Table 3: 1st-line HC!Y5:Y111""), $A5=IMPORTRANGE(""https://docs.google.com/spreadsheets/d/1kGrh75X1cNR1D7_FcY9zMnHP8iPO4M"&amp;"5RCRjy6nZY0TY/edit#gid=1248694442"",""Table 3: 1st-line HC!A5:A111"")),"""")"),"")</f>
        <v/>
      </c>
      <c r="G5" s="14">
        <f>IFERROR(__xludf.DUMMYFUNCTION("IFNA(FILTER(IMPORTRANGE(""https://docs.google.com/spreadsheets/d/1kGrh75X1cNR1D7_FcY9zMnHP8iPO4M5RCRjy6nZY0TY/edit#gid=1248694442"",""Table 3: 1st-line HC!Z5:Z111""), $A5=IMPORTRANGE(""https://docs.google.com/spreadsheets/d/1kGrh75X1cNR1D7_FcY9zMnHP8iPO4M"&amp;"5RCRjy6nZY0TY/edit#gid=1248694442"",""Table 3: 1st-line HC!A5:A111"")),"""")"),5.0)</f>
        <v>5</v>
      </c>
      <c r="H5" s="14" t="str">
        <f>IFERROR(__xludf.DUMMYFUNCTION("IFNA(FILTER(IMPORTRANGE(""https://docs.google.com/spreadsheets/d/1kGrh75X1cNR1D7_FcY9zMnHP8iPO4M5RCRjy6nZY0TY/edit#gid=1248694442"",""Table 3: 1st-line HC!AA5:AA111""), $A5=IMPORTRANGE(""https://docs.google.com/spreadsheets/d/1kGrh75X1cNR1D7_FcY9zMnHP8iPO"&amp;"4M5RCRjy6nZY0TY/edit#gid=1248694442"",""Table 3: 1st-line HC!A5:A111"")),"""")"),"")</f>
        <v/>
      </c>
      <c r="I5" s="14" t="str">
        <f>IFERROR(__xludf.DUMMYFUNCTION("IFNA(FILTER(IMPORTRANGE(""https://docs.google.com/spreadsheets/d/1kGrh75X1cNR1D7_FcY9zMnHP8iPO4M5RCRjy6nZY0TY/edit#gid=1248694442"",""Table 3: 1st-line HC!AB5:AB111""), $A5=IMPORTRANGE(""https://docs.google.com/spreadsheets/d/1kGrh75X1cNR1D7_FcY9zMnHP8iPO"&amp;"4M5RCRjy6nZY0TY/edit#gid=1248694442"",""Table 3: 1st-line HC!A5:A111"")),"""")"),"")</f>
        <v/>
      </c>
      <c r="J5" s="14" t="str">
        <f>IFERROR(__xludf.DUMMYFUNCTION("IFNA(FILTER(IMPORTRANGE(""https://docs.google.com/spreadsheets/d/1kGrh75X1cNR1D7_FcY9zMnHP8iPO4M5RCRjy6nZY0TY/edit#gid=1248694442"",""Table 3: 1st-line HC!AC5:AC111""), $A5=IMPORTRANGE(""https://docs.google.com/spreadsheets/d/1kGrh75X1cNR1D7_FcY9zMnHP8iPO"&amp;"4M5RCRjy6nZY0TY/edit#gid=1248694442"",""Table 3: 1st-line HC!A5:A111"")),"""")"),"")</f>
        <v/>
      </c>
      <c r="K5" s="20" t="str">
        <f>IFERROR(__xludf.DUMMYFUNCTION("IFNA(FILTER(IMPORTRANGE(""https://docs.google.com/spreadsheets/d/1kGrh75X1cNR1D7_FcY9zMnHP8iPO4M5RCRjy6nZY0TY/edit#gid=1248694442"",""Table 3: 1st-line HC!AD5:AD111""), $A5=IMPORTRANGE(""https://docs.google.com/spreadsheets/d/1kGrh75X1cNR1D7_FcY9zMnHP8iPO"&amp;"4M5RCRjy6nZY0TY/edit#gid=1248694442"",""Table 3: 1st-line HC!A5:A111"")),"""")"),"")</f>
        <v/>
      </c>
      <c r="L5" s="14" t="str">
        <f>IFERROR(__xludf.DUMMYFUNCTION("IFNA(FILTER(IMPORTRANGE(""https://docs.google.com/spreadsheets/d/1kGrh75X1cNR1D7_FcY9zMnHP8iPO4M5RCRjy6nZY0TY/edit#gid=1248694442"",""Table 3: 1st-line HC!W5:W111""), $A5=IMPORTRANGE(""https://docs.google.com/spreadsheets/d/1kGrh75X1cNR1D7_FcY9zMnHP8iPO4M"&amp;"5RCRjy6nZY0TY/edit#gid=1248694442"",""Table 3: 1st-line HC!A5:A111"")),"""")"),"")</f>
        <v/>
      </c>
      <c r="M5" s="14" t="str">
        <f>IFERROR(__xludf.DUMMYFUNCTION("IFNA(FILTER(IMPORTRANGE(""https://docs.google.com/spreadsheets/d/1kGrh75X1cNR1D7_FcY9zMnHP8iPO4M5RCRjy6nZY0TY/edit#gid=1248694442"",""Table 3: 1st-line HC!X5:X111""), $A5=IMPORTRANGE(""https://docs.google.com/spreadsheets/d/1kGrh75X1cNR1D7_FcY9zMnHP8iPO4M"&amp;"5RCRjy6nZY0TY/edit#gid=1248694442"",""Table 3: 1st-line HC!A5:A111"")),"""")"),"")</f>
        <v/>
      </c>
      <c r="N5" s="14" t="str">
        <f>IFERROR(__xludf.DUMMYFUNCTION("IFNA(FILTER(IMPORTRANGE(""https://docs.google.com/spreadsheets/d/1kGrh75X1cNR1D7_FcY9zMnHP8iPO4M5RCRjy6nZY0TY/edit#gid=1248694442"",""Table 4: 2nd-line HC or more!C5:C85""), $A5=IMPORTRANGE(""https://docs.google.com/spreadsheets/d/1kGrh75X1cNR1D7_FcY9zMnH"&amp;"P8iPO4M5RCRjy6nZY0TY/edit#gid=1248694442"",""Table 4: 2nd-line HC or more!A5:A85"")),"""")"),"")</f>
        <v/>
      </c>
      <c r="O5" s="14" t="str">
        <f>IFERROR(__xludf.DUMMYFUNCTION("IFNA(FILTER(IMPORTRANGE(""https://docs.google.com/spreadsheets/d/1kGrh75X1cNR1D7_FcY9zMnHP8iPO4M5RCRjy6nZY0TY/edit#gid=1248694442"",""Table 4: 2nd-line HC or more!D5:D85""), $A5=IMPORTRANGE(""https://docs.google.com/spreadsheets/d/1kGrh75X1cNR1D7_FcY9zMnH"&amp;"P8iPO4M5RCRjy6nZY0TY/edit#gid=1248694442"",""Table 4: 2nd-line HC or more!A5:A85"")),"""")"),"")</f>
        <v/>
      </c>
      <c r="P5" s="14" t="str">
        <f>IFERROR(__xludf.DUMMYFUNCTION("IFNA(FILTER(IMPORTRANGE(""https://docs.google.com/spreadsheets/d/1kGrh75X1cNR1D7_FcY9zMnHP8iPO4M5RCRjy6nZY0TY/edit#gid=1248694442"",""Table 4: 2nd-line HC or more!E5:E85""), $A5=IMPORTRANGE(""https://docs.google.com/spreadsheets/d/1kGrh75X1cNR1D7_FcY9zMnH"&amp;"P8iPO4M5RCRjy6nZY0TY/edit#gid=1248694442"",""Table 4: 2nd-line HC or more!A5:A85"")),"""")"),"")</f>
        <v/>
      </c>
      <c r="Q5" s="14" t="str">
        <f>IFERROR(__xludf.DUMMYFUNCTION("IFNA(FILTER(IMPORTRANGE(""https://docs.google.com/spreadsheets/d/1kGrh75X1cNR1D7_FcY9zMnHP8iPO4M5RCRjy6nZY0TY/edit#gid=1248694442"",""Table 4: 2nd-line HC or more!F5:F85""), $A5=IMPORTRANGE(""https://docs.google.com/spreadsheets/d/1kGrh75X1cNR1D7_FcY9zMnH"&amp;"P8iPO4M5RCRjy6nZY0TY/edit#gid=1248694442"",""Table 4: 2nd-line HC or more!A5:A85"")),"""")"),"")</f>
        <v/>
      </c>
      <c r="R5" s="14" t="str">
        <f>IFERROR(__xludf.DUMMYFUNCTION("IFNA(FILTER(IMPORTRANGE(""https://docs.google.com/spreadsheets/d/1kGrh75X1cNR1D7_FcY9zMnHP8iPO4M5RCRjy6nZY0TY/edit#gid=1248694442"",""Table 4: 2nd-line HC or more!G5:G85""), $A5=IMPORTRANGE(""https://docs.google.com/spreadsheets/d/1kGrh75X1cNR1D7_FcY9zMnH"&amp;"P8iPO4M5RCRjy6nZY0TY/edit#gid=1248694442"",""Table 4: 2nd-line HC or more!A5:A85"")),"""")"),"")</f>
        <v/>
      </c>
      <c r="S5" s="14" t="str">
        <f>IFERROR(__xludf.DUMMYFUNCTION("IFNA(FILTER(IMPORTRANGE(""https://docs.google.com/spreadsheets/d/1kGrh75X1cNR1D7_FcY9zMnHP8iPO4M5RCRjy6nZY0TY/edit#gid=1248694442"",""Table 4: 2nd-line HC or more!H5:H85""), $A5=IMPORTRANGE(""https://docs.google.com/spreadsheets/d/1kGrh75X1cNR1D7_FcY9zMnH"&amp;"P8iPO4M5RCRjy6nZY0TY/edit#gid=1248694442"",""Table 4: 2nd-line HC or more!A5:A85"")),"""")"),"shunt revision=1")</f>
        <v>shunt revision=1</v>
      </c>
      <c r="T5" s="14" t="str">
        <f>IFERROR(__xludf.DUMMYFUNCTION("IFNA(FILTER(IMPORTRANGE(""https://docs.google.com/spreadsheets/d/1kGrh75X1cNR1D7_FcY9zMnHP8iPO4M5RCRjy6nZY0TY/edit#gid=1248694442"",""Table 3: 1st-line HC!F5:F111""), $A5=IMPORTRANGE(""https://docs.google.com/spreadsheets/d/1kGrh75X1cNR1D7_FcY9zMnHP8iPO4M"&amp;"5RCRjy6nZY0TY/edit#gid=1248694442"",""Table 3: 1st-line HC!A5:A111"")),"""")"),"")</f>
        <v/>
      </c>
      <c r="U5" s="14" t="str">
        <f>IFERROR(__xludf.DUMMYFUNCTION("IFNA(FILTER(IMPORTRANGE(""https://docs.google.com/spreadsheets/d/1kGrh75X1cNR1D7_FcY9zMnHP8iPO4M5RCRjy6nZY0TY/edit#gid=1248694442"",""Table 3: 1st-line HC!G5:G111""), $A5=IMPORTRANGE(""https://docs.google.com/spreadsheets/d/1kGrh75X1cNR1D7_FcY9zMnHP8iPO4M"&amp;"5RCRjy6nZY0TY/edit#gid=1248694442"",""Table 3: 1st-line HC!A5:A111"")),"""")"),"")</f>
        <v/>
      </c>
      <c r="V5" s="14" t="str">
        <f>IFERROR(__xludf.DUMMYFUNCTION("IFNA(FILTER(IMPORTRANGE(""https://docs.google.com/spreadsheets/d/1kGrh75X1cNR1D7_FcY9zMnHP8iPO4M5RCRjy6nZY0TY/edit#gid=1248694442"",""Table 3: 1st-line HC!H5:H111""), $A5=IMPORTRANGE(""https://docs.google.com/spreadsheets/d/1kGrh75X1cNR1D7_FcY9zMnHP8iPO4M"&amp;"5RCRjy6nZY0TY/edit#gid=1248694442"",""Table 3: 1st-line HC!A5:A111"")),"""")"),"")</f>
        <v/>
      </c>
      <c r="W5" s="14" t="str">
        <f>IFERROR(__xludf.DUMMYFUNCTION("IFNA(FILTER(IMPORTRANGE(""https://docs.google.com/spreadsheets/d/1kGrh75X1cNR1D7_FcY9zMnHP8iPO4M5RCRjy6nZY0TY/edit#gid=1248694442"",""Table 3: 1st-line HC!I5:I111""), $A5=IMPORTRANGE(""https://docs.google.com/spreadsheets/d/1kGrh75X1cNR1D7_FcY9zMnHP8iPO4M"&amp;"5RCRjy6nZY0TY/edit#gid=1248694442"",""Table 3: 1st-line HC!A5:A111"")),"""")"),"")</f>
        <v/>
      </c>
    </row>
    <row r="6">
      <c r="A6" s="4" t="str">
        <f>IFERROR(__xludf.DUMMYFUNCTION("""COMPUTED_VALUE"""),"ID 8")</f>
        <v>ID 8</v>
      </c>
      <c r="B6" s="14" t="str">
        <f>IFERROR(__xludf.DUMMYFUNCTION("IFNA(FILTER(IMPORTRANGE(""https://docs.google.com/spreadsheets/d/1kGrh75X1cNR1D7_FcY9zMnHP8iPO4M5RCRjy6nZY0TY/edit#gid=1248694442"",""Table 3: 1st-line HC!AZ5:AZ111""), $A6=IMPORTRANGE(""https://docs.google.com/spreadsheets/d/1kGrh75X1cNR1D7_FcY9zMnHP8iPO"&amp;"4M5RCRjy6nZY0TY/edit#gid=1248694442"",""Table 3: 1st-line HC!A5:A111"")),"""")"),"")</f>
        <v/>
      </c>
      <c r="C6" s="14" t="str">
        <f>IFERROR(__xludf.DUMMYFUNCTION("IFNA(FILTER(IMPORTRANGE(""https://docs.google.com/spreadsheets/d/1kGrh75X1cNR1D7_FcY9zMnHP8iPO4M5RCRjy6nZY0TY/edit#gid=1248694442"",""Table 3: 1st-line HC!BA5:BA111""), $A6=IMPORTRANGE(""https://docs.google.com/spreadsheets/d/1kGrh75X1cNR1D7_FcY9zMnHP8iPO"&amp;"4M5RCRjy6nZY0TY/edit#gid=1248694442"",""Table 3: 1st-line HC!A5:A111"")),"""")"),"")</f>
        <v/>
      </c>
      <c r="D6" s="14" t="str">
        <f>IFERROR(__xludf.DUMMYFUNCTION("IFNA(FILTER(IMPORTRANGE(""https://docs.google.com/spreadsheets/d/1kGrh75X1cNR1D7_FcY9zMnHP8iPO4M5RCRjy6nZY0TY/edit#gid=1248694442"",""Table 3: 1st-line HC!BB5:BB111""), $A6=IMPORTRANGE(""https://docs.google.com/spreadsheets/d/1kGrh75X1cNR1D7_FcY9zMnHP8iPO"&amp;"4M5RCRjy6nZY0TY/edit#gid=1248694442"",""Table 3: 1st-line HC!A5:A111"")),"""")"),"")</f>
        <v/>
      </c>
      <c r="E6" s="19" t="str">
        <f>IFERROR(__xludf.DUMMYFUNCTION("IFNA(FILTER(IMPORTRANGE(""https://docs.google.com/spreadsheets/d/1kGrh75X1cNR1D7_FcY9zMnHP8iPO4M5RCRjy6nZY0TY/edit#gid=1248694442"",""Table 3: 1st-line HC!BC5:BC111""), $A6=IMPORTRANGE(""https://docs.google.com/spreadsheets/d/1kGrh75X1cNR1D7_FcY9zMnHP8iPO"&amp;"4M5RCRjy6nZY0TY/edit#gid=1248694442"",""Table 3: 1st-line HC!A5:A111"")),"""")"),"")</f>
        <v/>
      </c>
      <c r="F6" s="14" t="str">
        <f>IFERROR(__xludf.DUMMYFUNCTION("IFNA(FILTER(IMPORTRANGE(""https://docs.google.com/spreadsheets/d/1kGrh75X1cNR1D7_FcY9zMnHP8iPO4M5RCRjy6nZY0TY/edit#gid=1248694442"",""Table 3: 1st-line HC!Y5:Y111""), $A6=IMPORTRANGE(""https://docs.google.com/spreadsheets/d/1kGrh75X1cNR1D7_FcY9zMnHP8iPO4M"&amp;"5RCRjy6nZY0TY/edit#gid=1248694442"",""Table 3: 1st-line HC!A5:A111"")),"""")"),"")</f>
        <v/>
      </c>
      <c r="G6" s="14">
        <f>IFERROR(__xludf.DUMMYFUNCTION("IFNA(FILTER(IMPORTRANGE(""https://docs.google.com/spreadsheets/d/1kGrh75X1cNR1D7_FcY9zMnHP8iPO4M5RCRjy6nZY0TY/edit#gid=1248694442"",""Table 3: 1st-line HC!Z5:Z111""), $A6=IMPORTRANGE(""https://docs.google.com/spreadsheets/d/1kGrh75X1cNR1D7_FcY9zMnHP8iPO4M"&amp;"5RCRjy6nZY0TY/edit#gid=1248694442"",""Table 3: 1st-line HC!A5:A111"")),"""")"),1.0)</f>
        <v>1</v>
      </c>
      <c r="H6" s="14" t="str">
        <f>IFERROR(__xludf.DUMMYFUNCTION("IFNA(FILTER(IMPORTRANGE(""https://docs.google.com/spreadsheets/d/1kGrh75X1cNR1D7_FcY9zMnHP8iPO4M5RCRjy6nZY0TY/edit#gid=1248694442"",""Table 3: 1st-line HC!AA5:AA111""), $A6=IMPORTRANGE(""https://docs.google.com/spreadsheets/d/1kGrh75X1cNR1D7_FcY9zMnHP8iPO"&amp;"4M5RCRjy6nZY0TY/edit#gid=1248694442"",""Table 3: 1st-line HC!A5:A111"")),"""")"),"")</f>
        <v/>
      </c>
      <c r="I6" s="14" t="str">
        <f>IFERROR(__xludf.DUMMYFUNCTION("IFNA(FILTER(IMPORTRANGE(""https://docs.google.com/spreadsheets/d/1kGrh75X1cNR1D7_FcY9zMnHP8iPO4M5RCRjy6nZY0TY/edit#gid=1248694442"",""Table 3: 1st-line HC!AB5:AB111""), $A6=IMPORTRANGE(""https://docs.google.com/spreadsheets/d/1kGrh75X1cNR1D7_FcY9zMnHP8iPO"&amp;"4M5RCRjy6nZY0TY/edit#gid=1248694442"",""Table 3: 1st-line HC!A5:A111"")),"""")"),"")</f>
        <v/>
      </c>
      <c r="J6" s="14" t="str">
        <f>IFERROR(__xludf.DUMMYFUNCTION("IFNA(FILTER(IMPORTRANGE(""https://docs.google.com/spreadsheets/d/1kGrh75X1cNR1D7_FcY9zMnHP8iPO4M5RCRjy6nZY0TY/edit#gid=1248694442"",""Table 3: 1st-line HC!AC5:AC111""), $A6=IMPORTRANGE(""https://docs.google.com/spreadsheets/d/1kGrh75X1cNR1D7_FcY9zMnHP8iPO"&amp;"4M5RCRjy6nZY0TY/edit#gid=1248694442"",""Table 3: 1st-line HC!A5:A111"")),"""")"),"")</f>
        <v/>
      </c>
      <c r="K6" s="20" t="str">
        <f>IFERROR(__xludf.DUMMYFUNCTION("IFNA(FILTER(IMPORTRANGE(""https://docs.google.com/spreadsheets/d/1kGrh75X1cNR1D7_FcY9zMnHP8iPO4M5RCRjy6nZY0TY/edit#gid=1248694442"",""Table 3: 1st-line HC!AD5:AD111""), $A6=IMPORTRANGE(""https://docs.google.com/spreadsheets/d/1kGrh75X1cNR1D7_FcY9zMnHP8iPO"&amp;"4M5RCRjy6nZY0TY/edit#gid=1248694442"",""Table 3: 1st-line HC!A5:A111"")),"""")"),"ventriculoatrial shunt=10")</f>
        <v>ventriculoatrial shunt=10</v>
      </c>
      <c r="L6" s="14" t="str">
        <f>IFERROR(__xludf.DUMMYFUNCTION("IFNA(FILTER(IMPORTRANGE(""https://docs.google.com/spreadsheets/d/1kGrh75X1cNR1D7_FcY9zMnHP8iPO4M5RCRjy6nZY0TY/edit#gid=1248694442"",""Table 3: 1st-line HC!W5:W111""), $A6=IMPORTRANGE(""https://docs.google.com/spreadsheets/d/1kGrh75X1cNR1D7_FcY9zMnHP8iPO4M"&amp;"5RCRjy6nZY0TY/edit#gid=1248694442"",""Table 3: 1st-line HC!A5:A111"")),"""")"),"")</f>
        <v/>
      </c>
      <c r="M6" s="14" t="str">
        <f>IFERROR(__xludf.DUMMYFUNCTION("IFNA(FILTER(IMPORTRANGE(""https://docs.google.com/spreadsheets/d/1kGrh75X1cNR1D7_FcY9zMnHP8iPO4M5RCRjy6nZY0TY/edit#gid=1248694442"",""Table 3: 1st-line HC!X5:X111""), $A6=IMPORTRANGE(""https://docs.google.com/spreadsheets/d/1kGrh75X1cNR1D7_FcY9zMnHP8iPO4M"&amp;"5RCRjy6nZY0TY/edit#gid=1248694442"",""Table 3: 1st-line HC!A5:A111"")),"""")"),"")</f>
        <v/>
      </c>
      <c r="N6" s="14" t="str">
        <f>IFERROR(__xludf.DUMMYFUNCTION("IFNA(FILTER(IMPORTRANGE(""https://docs.google.com/spreadsheets/d/1kGrh75X1cNR1D7_FcY9zMnHP8iPO4M5RCRjy6nZY0TY/edit#gid=1248694442"",""Table 4: 2nd-line HC or more!C5:C85""), $A6=IMPORTRANGE(""https://docs.google.com/spreadsheets/d/1kGrh75X1cNR1D7_FcY9zMnH"&amp;"P8iPO4M5RCRjy6nZY0TY/edit#gid=1248694442"",""Table 4: 2nd-line HC or more!A5:A85"")),"""")"),"")</f>
        <v/>
      </c>
      <c r="O6" s="14" t="str">
        <f>IFERROR(__xludf.DUMMYFUNCTION("IFNA(FILTER(IMPORTRANGE(""https://docs.google.com/spreadsheets/d/1kGrh75X1cNR1D7_FcY9zMnHP8iPO4M5RCRjy6nZY0TY/edit#gid=1248694442"",""Table 4: 2nd-line HC or more!D5:D85""), $A6=IMPORTRANGE(""https://docs.google.com/spreadsheets/d/1kGrh75X1cNR1D7_FcY9zMnH"&amp;"P8iPO4M5RCRjy6nZY0TY/edit#gid=1248694442"",""Table 4: 2nd-line HC or more!A5:A85"")),"""")"),"")</f>
        <v/>
      </c>
      <c r="P6" s="14" t="str">
        <f>IFERROR(__xludf.DUMMYFUNCTION("IFNA(FILTER(IMPORTRANGE(""https://docs.google.com/spreadsheets/d/1kGrh75X1cNR1D7_FcY9zMnHP8iPO4M5RCRjy6nZY0TY/edit#gid=1248694442"",""Table 4: 2nd-line HC or more!E5:E85""), $A6=IMPORTRANGE(""https://docs.google.com/spreadsheets/d/1kGrh75X1cNR1D7_FcY9zMnH"&amp;"P8iPO4M5RCRjy6nZY0TY/edit#gid=1248694442"",""Table 4: 2nd-line HC or more!A5:A85"")),"""")"),"")</f>
        <v/>
      </c>
      <c r="Q6" s="14" t="str">
        <f>IFERROR(__xludf.DUMMYFUNCTION("IFNA(FILTER(IMPORTRANGE(""https://docs.google.com/spreadsheets/d/1kGrh75X1cNR1D7_FcY9zMnHP8iPO4M5RCRjy6nZY0TY/edit#gid=1248694442"",""Table 4: 2nd-line HC or more!F5:F85""), $A6=IMPORTRANGE(""https://docs.google.com/spreadsheets/d/1kGrh75X1cNR1D7_FcY9zMnH"&amp;"P8iPO4M5RCRjy6nZY0TY/edit#gid=1248694442"",""Table 4: 2nd-line HC or more!A5:A85"")),"""")"),"")</f>
        <v/>
      </c>
      <c r="R6" s="14" t="str">
        <f>IFERROR(__xludf.DUMMYFUNCTION("IFNA(FILTER(IMPORTRANGE(""https://docs.google.com/spreadsheets/d/1kGrh75X1cNR1D7_FcY9zMnHP8iPO4M5RCRjy6nZY0TY/edit#gid=1248694442"",""Table 4: 2nd-line HC or more!G5:G85""), $A6=IMPORTRANGE(""https://docs.google.com/spreadsheets/d/1kGrh75X1cNR1D7_FcY9zMnH"&amp;"P8iPO4M5RCRjy6nZY0TY/edit#gid=1248694442"",""Table 4: 2nd-line HC or more!A5:A85"")),"""")"),"")</f>
        <v/>
      </c>
      <c r="S6" s="14" t="str">
        <f>IFERROR(__xludf.DUMMYFUNCTION("IFNA(FILTER(IMPORTRANGE(""https://docs.google.com/spreadsheets/d/1kGrh75X1cNR1D7_FcY9zMnHP8iPO4M5RCRjy6nZY0TY/edit#gid=1248694442"",""Table 4: 2nd-line HC or more!H5:H85""), $A6=IMPORTRANGE(""https://docs.google.com/spreadsheets/d/1kGrh75X1cNR1D7_FcY9zMnH"&amp;"P8iPO4M5RCRjy6nZY0TY/edit#gid=1248694442"",""Table 4: 2nd-line HC or more!A5:A85"")),"""")"),"ventricular tap or ventricular drainage or shunt revision")</f>
        <v>ventricular tap or ventricular drainage or shunt re_x0002_vision</v>
      </c>
      <c r="T6" s="14" t="str">
        <f>IFERROR(__xludf.DUMMYFUNCTION("IFNA(FILTER(IMPORTRANGE(""https://docs.google.com/spreadsheets/d/1kGrh75X1cNR1D7_FcY9zMnHP8iPO4M5RCRjy6nZY0TY/edit#gid=1248694442"",""Table 3: 1st-line HC!F5:F111""), $A6=IMPORTRANGE(""https://docs.google.com/spreadsheets/d/1kGrh75X1cNR1D7_FcY9zMnHP8iPO4M"&amp;"5RCRjy6nZY0TY/edit#gid=1248694442"",""Table 3: 1st-line HC!A5:A111"")),"""")"),"")</f>
        <v/>
      </c>
      <c r="U6" s="14" t="str">
        <f>IFERROR(__xludf.DUMMYFUNCTION("IFNA(FILTER(IMPORTRANGE(""https://docs.google.com/spreadsheets/d/1kGrh75X1cNR1D7_FcY9zMnHP8iPO4M5RCRjy6nZY0TY/edit#gid=1248694442"",""Table 3: 1st-line HC!G5:G111""), $A6=IMPORTRANGE(""https://docs.google.com/spreadsheets/d/1kGrh75X1cNR1D7_FcY9zMnHP8iPO4M"&amp;"5RCRjy6nZY0TY/edit#gid=1248694442"",""Table 3: 1st-line HC!A5:A111"")),"""")"),"")</f>
        <v/>
      </c>
      <c r="V6" s="14" t="str">
        <f>IFERROR(__xludf.DUMMYFUNCTION("IFNA(FILTER(IMPORTRANGE(""https://docs.google.com/spreadsheets/d/1kGrh75X1cNR1D7_FcY9zMnHP8iPO4M5RCRjy6nZY0TY/edit#gid=1248694442"",""Table 3: 1st-line HC!H5:H111""), $A6=IMPORTRANGE(""https://docs.google.com/spreadsheets/d/1kGrh75X1cNR1D7_FcY9zMnHP8iPO4M"&amp;"5RCRjy6nZY0TY/edit#gid=1248694442"",""Table 3: 1st-line HC!A5:A111"")),"""")"),"")</f>
        <v/>
      </c>
      <c r="W6" s="14" t="str">
        <f>IFERROR(__xludf.DUMMYFUNCTION("IFNA(FILTER(IMPORTRANGE(""https://docs.google.com/spreadsheets/d/1kGrh75X1cNR1D7_FcY9zMnHP8iPO4M5RCRjy6nZY0TY/edit#gid=1248694442"",""Table 3: 1st-line HC!I5:I111""), $A6=IMPORTRANGE(""https://docs.google.com/spreadsheets/d/1kGrh75X1cNR1D7_FcY9zMnHP8iPO4M"&amp;"5RCRjy6nZY0TY/edit#gid=1248694442"",""Table 3: 1st-line HC!A5:A111"")),"""")"),"")</f>
        <v/>
      </c>
    </row>
    <row r="7">
      <c r="A7" s="4" t="str">
        <f>IFERROR(__xludf.DUMMYFUNCTION("""COMPUTED_VALUE"""),"ID 9")</f>
        <v>ID 9</v>
      </c>
      <c r="B7" s="14" t="str">
        <f>IFERROR(__xludf.DUMMYFUNCTION("IFNA(FILTER(IMPORTRANGE(""https://docs.google.com/spreadsheets/d/1kGrh75X1cNR1D7_FcY9zMnHP8iPO4M5RCRjy6nZY0TY/edit#gid=1248694442"",""Table 3: 1st-line HC!AZ5:AZ111""), $A7=IMPORTRANGE(""https://docs.google.com/spreadsheets/d/1kGrh75X1cNR1D7_FcY9zMnHP8iPO"&amp;"4M5RCRjy6nZY0TY/edit#gid=1248694442"",""Table 3: 1st-line HC!A5:A111"")),"""")"),"")</f>
        <v/>
      </c>
      <c r="C7" s="14" t="str">
        <f>IFERROR(__xludf.DUMMYFUNCTION("IFNA(FILTER(IMPORTRANGE(""https://docs.google.com/spreadsheets/d/1kGrh75X1cNR1D7_FcY9zMnHP8iPO4M5RCRjy6nZY0TY/edit#gid=1248694442"",""Table 3: 1st-line HC!BA5:BA111""), $A7=IMPORTRANGE(""https://docs.google.com/spreadsheets/d/1kGrh75X1cNR1D7_FcY9zMnHP8iPO"&amp;"4M5RCRjy6nZY0TY/edit#gid=1248694442"",""Table 3: 1st-line HC!A5:A111"")),"""")"),"")</f>
        <v/>
      </c>
      <c r="D7" s="14" t="str">
        <f>IFERROR(__xludf.DUMMYFUNCTION("IFNA(FILTER(IMPORTRANGE(""https://docs.google.com/spreadsheets/d/1kGrh75X1cNR1D7_FcY9zMnHP8iPO4M5RCRjy6nZY0TY/edit#gid=1248694442"",""Table 3: 1st-line HC!BB5:BB111""), $A7=IMPORTRANGE(""https://docs.google.com/spreadsheets/d/1kGrh75X1cNR1D7_FcY9zMnHP8iPO"&amp;"4M5RCRjy6nZY0TY/edit#gid=1248694442"",""Table 3: 1st-line HC!A5:A111"")),"""")"),"")</f>
        <v/>
      </c>
      <c r="E7" s="19" t="str">
        <f>IFERROR(__xludf.DUMMYFUNCTION("IFNA(FILTER(IMPORTRANGE(""https://docs.google.com/spreadsheets/d/1kGrh75X1cNR1D7_FcY9zMnHP8iPO4M5RCRjy6nZY0TY/edit#gid=1248694442"",""Table 3: 1st-line HC!BC5:BC111""), $A7=IMPORTRANGE(""https://docs.google.com/spreadsheets/d/1kGrh75X1cNR1D7_FcY9zMnHP8iPO"&amp;"4M5RCRjy6nZY0TY/edit#gid=1248694442"",""Table 3: 1st-line HC!A5:A111"")),"""")"),"")</f>
        <v/>
      </c>
      <c r="F7" s="14" t="str">
        <f>IFERROR(__xludf.DUMMYFUNCTION("IFNA(FILTER(IMPORTRANGE(""https://docs.google.com/spreadsheets/d/1kGrh75X1cNR1D7_FcY9zMnHP8iPO4M5RCRjy6nZY0TY/edit#gid=1248694442"",""Table 3: 1st-line HC!Y5:Y111""), $A7=IMPORTRANGE(""https://docs.google.com/spreadsheets/d/1kGrh75X1cNR1D7_FcY9zMnHP8iPO4M"&amp;"5RCRjy6nZY0TY/edit#gid=1248694442"",""Table 3: 1st-line HC!A5:A111"")),"""")"),"")</f>
        <v/>
      </c>
      <c r="G7" s="14">
        <f>IFERROR(__xludf.DUMMYFUNCTION("IFNA(FILTER(IMPORTRANGE(""https://docs.google.com/spreadsheets/d/1kGrh75X1cNR1D7_FcY9zMnHP8iPO4M5RCRjy6nZY0TY/edit#gid=1248694442"",""Table 3: 1st-line HC!Z5:Z111""), $A7=IMPORTRANGE(""https://docs.google.com/spreadsheets/d/1kGrh75X1cNR1D7_FcY9zMnHP8iPO4M"&amp;"5RCRjy6nZY0TY/edit#gid=1248694442"",""Table 3: 1st-line HC!A5:A111"")),"""")"),779.0)</f>
        <v>779</v>
      </c>
      <c r="H7" s="14" t="str">
        <f>IFERROR(__xludf.DUMMYFUNCTION("IFNA(FILTER(IMPORTRANGE(""https://docs.google.com/spreadsheets/d/1kGrh75X1cNR1D7_FcY9zMnHP8iPO4M5RCRjy6nZY0TY/edit#gid=1248694442"",""Table 3: 1st-line HC!AA5:AA111""), $A7=IMPORTRANGE(""https://docs.google.com/spreadsheets/d/1kGrh75X1cNR1D7_FcY9zMnHP8iPO"&amp;"4M5RCRjy6nZY0TY/edit#gid=1248694442"",""Table 3: 1st-line HC!A5:A111"")),"""")"),"")</f>
        <v/>
      </c>
      <c r="I7" s="14" t="str">
        <f>IFERROR(__xludf.DUMMYFUNCTION("IFNA(FILTER(IMPORTRANGE(""https://docs.google.com/spreadsheets/d/1kGrh75X1cNR1D7_FcY9zMnHP8iPO4M5RCRjy6nZY0TY/edit#gid=1248694442"",""Table 3: 1st-line HC!AB5:AB111""), $A7=IMPORTRANGE(""https://docs.google.com/spreadsheets/d/1kGrh75X1cNR1D7_FcY9zMnHP8iPO"&amp;"4M5RCRjy6nZY0TY/edit#gid=1248694442"",""Table 3: 1st-line HC!A5:A111"")),"""")"),"")</f>
        <v/>
      </c>
      <c r="J7" s="14" t="str">
        <f>IFERROR(__xludf.DUMMYFUNCTION("IFNA(FILTER(IMPORTRANGE(""https://docs.google.com/spreadsheets/d/1kGrh75X1cNR1D7_FcY9zMnHP8iPO4M5RCRjy6nZY0TY/edit#gid=1248694442"",""Table 3: 1st-line HC!AC5:AC111""), $A7=IMPORTRANGE(""https://docs.google.com/spreadsheets/d/1kGrh75X1cNR1D7_FcY9zMnHP8iPO"&amp;"4M5RCRjy6nZY0TY/edit#gid=1248694442"",""Table 3: 1st-line HC!A5:A111"")),"""")"),"")</f>
        <v/>
      </c>
      <c r="K7" s="20" t="str">
        <f>IFERROR(__xludf.DUMMYFUNCTION("IFNA(FILTER(IMPORTRANGE(""https://docs.google.com/spreadsheets/d/1kGrh75X1cNR1D7_FcY9zMnHP8iPO4M5RCRjy6nZY0TY/edit#gid=1248694442"",""Table 3: 1st-line HC!AD5:AD111""), $A7=IMPORTRANGE(""https://docs.google.com/spreadsheets/d/1kGrh75X1cNR1D7_FcY9zMnHP8iPO"&amp;"4M5RCRjy6nZY0TY/edit#gid=1248694442"",""Table 3: 1st-line HC!A5:A111"")),"""")"),"")</f>
        <v/>
      </c>
      <c r="L7" s="14" t="str">
        <f>IFERROR(__xludf.DUMMYFUNCTION("IFNA(FILTER(IMPORTRANGE(""https://docs.google.com/spreadsheets/d/1kGrh75X1cNR1D7_FcY9zMnHP8iPO4M5RCRjy6nZY0TY/edit#gid=1248694442"",""Table 3: 1st-line HC!W5:W111""), $A7=IMPORTRANGE(""https://docs.google.com/spreadsheets/d/1kGrh75X1cNR1D7_FcY9zMnHP8iPO4M"&amp;"5RCRjy6nZY0TY/edit#gid=1248694442"",""Table 3: 1st-line HC!A5:A111"")),"""")"),"")</f>
        <v/>
      </c>
      <c r="M7" s="14" t="str">
        <f>IFERROR(__xludf.DUMMYFUNCTION("IFNA(FILTER(IMPORTRANGE(""https://docs.google.com/spreadsheets/d/1kGrh75X1cNR1D7_FcY9zMnHP8iPO4M5RCRjy6nZY0TY/edit#gid=1248694442"",""Table 3: 1st-line HC!X5:X111""), $A7=IMPORTRANGE(""https://docs.google.com/spreadsheets/d/1kGrh75X1cNR1D7_FcY9zMnHP8iPO4M"&amp;"5RCRjy6nZY0TY/edit#gid=1248694442"",""Table 3: 1st-line HC!A5:A111"")),"""")"),"")</f>
        <v/>
      </c>
      <c r="N7" s="14" t="str">
        <f>IFERROR(__xludf.DUMMYFUNCTION("IFNA(FILTER(IMPORTRANGE(""https://docs.google.com/spreadsheets/d/1kGrh75X1cNR1D7_FcY9zMnHP8iPO4M5RCRjy6nZY0TY/edit#gid=1248694442"",""Table 4: 2nd-line HC or more!C5:C85""), $A7=IMPORTRANGE(""https://docs.google.com/spreadsheets/d/1kGrh75X1cNR1D7_FcY9zMnH"&amp;"P8iPO4M5RCRjy6nZY0TY/edit#gid=1248694442"",""Table 4: 2nd-line HC or more!A5:A85"")),"""")"),"")</f>
        <v/>
      </c>
      <c r="O7" s="14" t="str">
        <f>IFERROR(__xludf.DUMMYFUNCTION("IFNA(FILTER(IMPORTRANGE(""https://docs.google.com/spreadsheets/d/1kGrh75X1cNR1D7_FcY9zMnHP8iPO4M5RCRjy6nZY0TY/edit#gid=1248694442"",""Table 4: 2nd-line HC or more!D5:D85""), $A7=IMPORTRANGE(""https://docs.google.com/spreadsheets/d/1kGrh75X1cNR1D7_FcY9zMnH"&amp;"P8iPO4M5RCRjy6nZY0TY/edit#gid=1248694442"",""Table 4: 2nd-line HC or more!A5:A85"")),"""")"),"")</f>
        <v/>
      </c>
      <c r="P7" s="14" t="str">
        <f>IFERROR(__xludf.DUMMYFUNCTION("IFNA(FILTER(IMPORTRANGE(""https://docs.google.com/spreadsheets/d/1kGrh75X1cNR1D7_FcY9zMnHP8iPO4M5RCRjy6nZY0TY/edit#gid=1248694442"",""Table 4: 2nd-line HC or more!E5:E85""), $A7=IMPORTRANGE(""https://docs.google.com/spreadsheets/d/1kGrh75X1cNR1D7_FcY9zMnH"&amp;"P8iPO4M5RCRjy6nZY0TY/edit#gid=1248694442"",""Table 4: 2nd-line HC or more!A5:A85"")),"""")"),"")</f>
        <v/>
      </c>
      <c r="Q7" s="14" t="str">
        <f>IFERROR(__xludf.DUMMYFUNCTION("IFNA(FILTER(IMPORTRANGE(""https://docs.google.com/spreadsheets/d/1kGrh75X1cNR1D7_FcY9zMnHP8iPO4M5RCRjy6nZY0TY/edit#gid=1248694442"",""Table 4: 2nd-line HC or more!F5:F85""), $A7=IMPORTRANGE(""https://docs.google.com/spreadsheets/d/1kGrh75X1cNR1D7_FcY9zMnH"&amp;"P8iPO4M5RCRjy6nZY0TY/edit#gid=1248694442"",""Table 4: 2nd-line HC or more!A5:A85"")),"""")"),"")</f>
        <v/>
      </c>
      <c r="R7" s="14" t="str">
        <f>IFERROR(__xludf.DUMMYFUNCTION("IFNA(FILTER(IMPORTRANGE(""https://docs.google.com/spreadsheets/d/1kGrh75X1cNR1D7_FcY9zMnHP8iPO4M5RCRjy6nZY0TY/edit#gid=1248694442"",""Table 4: 2nd-line HC or more!G5:G85""), $A7=IMPORTRANGE(""https://docs.google.com/spreadsheets/d/1kGrh75X1cNR1D7_FcY9zMnH"&amp;"P8iPO4M5RCRjy6nZY0TY/edit#gid=1248694442"",""Table 4: 2nd-line HC or more!A5:A85"")),"""")"),"")</f>
        <v/>
      </c>
      <c r="S7" s="14" t="str">
        <f>IFERROR(__xludf.DUMMYFUNCTION("IFNA(FILTER(IMPORTRANGE(""https://docs.google.com/spreadsheets/d/1kGrh75X1cNR1D7_FcY9zMnHP8iPO4M5RCRjy6nZY0TY/edit#gid=1248694442"",""Table 4: 2nd-line HC or more!H5:H85""), $A7=IMPORTRANGE(""https://docs.google.com/spreadsheets/d/1kGrh75X1cNR1D7_FcY9zMnH"&amp;"P8iPO4M5RCRjy6nZY0TY/edit#gid=1248694442"",""Table 4: 2nd-line HC or more!A5:A85"")),"""")"),"")</f>
        <v/>
      </c>
      <c r="T7" s="14" t="str">
        <f>IFERROR(__xludf.DUMMYFUNCTION("IFNA(FILTER(IMPORTRANGE(""https://docs.google.com/spreadsheets/d/1kGrh75X1cNR1D7_FcY9zMnHP8iPO4M5RCRjy6nZY0TY/edit#gid=1248694442"",""Table 3: 1st-line HC!F5:F111""), $A7=IMPORTRANGE(""https://docs.google.com/spreadsheets/d/1kGrh75X1cNR1D7_FcY9zMnHP8iPO4M"&amp;"5RCRjy6nZY0TY/edit#gid=1248694442"",""Table 3: 1st-line HC!A5:A111"")),"""")"),"")</f>
        <v/>
      </c>
      <c r="U7" s="14" t="str">
        <f>IFERROR(__xludf.DUMMYFUNCTION("IFNA(FILTER(IMPORTRANGE(""https://docs.google.com/spreadsheets/d/1kGrh75X1cNR1D7_FcY9zMnHP8iPO4M5RCRjy6nZY0TY/edit#gid=1248694442"",""Table 3: 1st-line HC!G5:G111""), $A7=IMPORTRANGE(""https://docs.google.com/spreadsheets/d/1kGrh75X1cNR1D7_FcY9zMnHP8iPO4M"&amp;"5RCRjy6nZY0TY/edit#gid=1248694442"",""Table 3: 1st-line HC!A5:A111"")),"""")"),"")</f>
        <v/>
      </c>
      <c r="V7" s="14" t="str">
        <f>IFERROR(__xludf.DUMMYFUNCTION("IFNA(FILTER(IMPORTRANGE(""https://docs.google.com/spreadsheets/d/1kGrh75X1cNR1D7_FcY9zMnHP8iPO4M5RCRjy6nZY0TY/edit#gid=1248694442"",""Table 3: 1st-line HC!H5:H111""), $A7=IMPORTRANGE(""https://docs.google.com/spreadsheets/d/1kGrh75X1cNR1D7_FcY9zMnHP8iPO4M"&amp;"5RCRjy6nZY0TY/edit#gid=1248694442"",""Table 3: 1st-line HC!A5:A111"")),"""")"),"")</f>
        <v/>
      </c>
      <c r="W7" s="14" t="str">
        <f>IFERROR(__xludf.DUMMYFUNCTION("IFNA(FILTER(IMPORTRANGE(""https://docs.google.com/spreadsheets/d/1kGrh75X1cNR1D7_FcY9zMnHP8iPO4M5RCRjy6nZY0TY/edit#gid=1248694442"",""Table 3: 1st-line HC!I5:I111""), $A7=IMPORTRANGE(""https://docs.google.com/spreadsheets/d/1kGrh75X1cNR1D7_FcY9zMnHP8iPO4M"&amp;"5RCRjy6nZY0TY/edit#gid=1248694442"",""Table 3: 1st-line HC!A5:A111"")),"""")"),"")</f>
        <v/>
      </c>
    </row>
    <row r="8">
      <c r="A8" s="4" t="str">
        <f>IFERROR(__xludf.DUMMYFUNCTION("""COMPUTED_VALUE"""),"ID 10")</f>
        <v>ID 10</v>
      </c>
      <c r="B8" s="14" t="str">
        <f>IFERROR(__xludf.DUMMYFUNCTION("IFNA(FILTER(IMPORTRANGE(""https://docs.google.com/spreadsheets/d/1kGrh75X1cNR1D7_FcY9zMnHP8iPO4M5RCRjy6nZY0TY/edit#gid=1248694442"",""Table 3: 1st-line HC!AZ5:AZ111""), $A8=IMPORTRANGE(""https://docs.google.com/spreadsheets/d/1kGrh75X1cNR1D7_FcY9zMnHP8iPO"&amp;"4M5RCRjy6nZY0TY/edit#gid=1248694442"",""Table 3: 1st-line HC!A5:A111"")),"""")"),"")</f>
        <v/>
      </c>
      <c r="C8" s="14" t="str">
        <f>IFERROR(__xludf.DUMMYFUNCTION("IFNA(FILTER(IMPORTRANGE(""https://docs.google.com/spreadsheets/d/1kGrh75X1cNR1D7_FcY9zMnHP8iPO4M5RCRjy6nZY0TY/edit#gid=1248694442"",""Table 3: 1st-line HC!BA5:BA111""), $A8=IMPORTRANGE(""https://docs.google.com/spreadsheets/d/1kGrh75X1cNR1D7_FcY9zMnHP8iPO"&amp;"4M5RCRjy6nZY0TY/edit#gid=1248694442"",""Table 3: 1st-line HC!A5:A111"")),"""")"),"")</f>
        <v/>
      </c>
      <c r="D8" s="14" t="str">
        <f>IFERROR(__xludf.DUMMYFUNCTION("IFNA(FILTER(IMPORTRANGE(""https://docs.google.com/spreadsheets/d/1kGrh75X1cNR1D7_FcY9zMnHP8iPO4M5RCRjy6nZY0TY/edit#gid=1248694442"",""Table 3: 1st-line HC!BB5:BB111""), $A8=IMPORTRANGE(""https://docs.google.com/spreadsheets/d/1kGrh75X1cNR1D7_FcY9zMnHP8iPO"&amp;"4M5RCRjy6nZY0TY/edit#gid=1248694442"",""Table 3: 1st-line HC!A5:A111"")),"""")"),"")</f>
        <v/>
      </c>
      <c r="E8" s="19" t="str">
        <f>IFERROR(__xludf.DUMMYFUNCTION("IFNA(FILTER(IMPORTRANGE(""https://docs.google.com/spreadsheets/d/1kGrh75X1cNR1D7_FcY9zMnHP8iPO4M5RCRjy6nZY0TY/edit#gid=1248694442"",""Table 3: 1st-line HC!BC5:BC111""), $A8=IMPORTRANGE(""https://docs.google.com/spreadsheets/d/1kGrh75X1cNR1D7_FcY9zMnHP8iPO"&amp;"4M5RCRjy6nZY0TY/edit#gid=1248694442"",""Table 3: 1st-line HC!A5:A111"")),"""")"),"")</f>
        <v/>
      </c>
      <c r="F8" s="14" t="str">
        <f>IFERROR(__xludf.DUMMYFUNCTION("IFNA(FILTER(IMPORTRANGE(""https://docs.google.com/spreadsheets/d/1kGrh75X1cNR1D7_FcY9zMnHP8iPO4M5RCRjy6nZY0TY/edit#gid=1248694442"",""Table 3: 1st-line HC!Y5:Y111""), $A8=IMPORTRANGE(""https://docs.google.com/spreadsheets/d/1kGrh75X1cNR1D7_FcY9zMnHP8iPO4M"&amp;"5RCRjy6nZY0TY/edit#gid=1248694442"",""Table 3: 1st-line HC!A5:A111"")),"""")"),"")</f>
        <v/>
      </c>
      <c r="G8" s="14">
        <f>IFERROR(__xludf.DUMMYFUNCTION("IFNA(FILTER(IMPORTRANGE(""https://docs.google.com/spreadsheets/d/1kGrh75X1cNR1D7_FcY9zMnHP8iPO4M5RCRjy6nZY0TY/edit#gid=1248694442"",""Table 3: 1st-line HC!Z5:Z111""), $A8=IMPORTRANGE(""https://docs.google.com/spreadsheets/d/1kGrh75X1cNR1D7_FcY9zMnHP8iPO4M"&amp;"5RCRjy6nZY0TY/edit#gid=1248694442"",""Table 3: 1st-line HC!A5:A111"")),"""")"),59.0)</f>
        <v>59</v>
      </c>
      <c r="H8" s="14" t="str">
        <f>IFERROR(__xludf.DUMMYFUNCTION("IFNA(FILTER(IMPORTRANGE(""https://docs.google.com/spreadsheets/d/1kGrh75X1cNR1D7_FcY9zMnHP8iPO4M5RCRjy6nZY0TY/edit#gid=1248694442"",""Table 3: 1st-line HC!AA5:AA111""), $A8=IMPORTRANGE(""https://docs.google.com/spreadsheets/d/1kGrh75X1cNR1D7_FcY9zMnHP8iPO"&amp;"4M5RCRjy6nZY0TY/edit#gid=1248694442"",""Table 3: 1st-line HC!A5:A111"")),"""")"),"")</f>
        <v/>
      </c>
      <c r="I8" s="14" t="str">
        <f>IFERROR(__xludf.DUMMYFUNCTION("IFNA(FILTER(IMPORTRANGE(""https://docs.google.com/spreadsheets/d/1kGrh75X1cNR1D7_FcY9zMnHP8iPO4M5RCRjy6nZY0TY/edit#gid=1248694442"",""Table 3: 1st-line HC!AB5:AB111""), $A8=IMPORTRANGE(""https://docs.google.com/spreadsheets/d/1kGrh75X1cNR1D7_FcY9zMnHP8iPO"&amp;"4M5RCRjy6nZY0TY/edit#gid=1248694442"",""Table 3: 1st-line HC!A5:A111"")),"""")"),"")</f>
        <v/>
      </c>
      <c r="J8" s="14" t="str">
        <f>IFERROR(__xludf.DUMMYFUNCTION("IFNA(FILTER(IMPORTRANGE(""https://docs.google.com/spreadsheets/d/1kGrh75X1cNR1D7_FcY9zMnHP8iPO4M5RCRjy6nZY0TY/edit#gid=1248694442"",""Table 3: 1st-line HC!AC5:AC111""), $A8=IMPORTRANGE(""https://docs.google.com/spreadsheets/d/1kGrh75X1cNR1D7_FcY9zMnHP8iPO"&amp;"4M5RCRjy6nZY0TY/edit#gid=1248694442"",""Table 3: 1st-line HC!A5:A111"")),"""")"),"")</f>
        <v/>
      </c>
      <c r="K8" s="20" t="str">
        <f>IFERROR(__xludf.DUMMYFUNCTION("IFNA(FILTER(IMPORTRANGE(""https://docs.google.com/spreadsheets/d/1kGrh75X1cNR1D7_FcY9zMnHP8iPO4M5RCRjy6nZY0TY/edit#gid=1248694442"",""Table 3: 1st-line HC!AD5:AD111""), $A8=IMPORTRANGE(""https://docs.google.com/spreadsheets/d/1kGrh75X1cNR1D7_FcY9zMnHP8iPO"&amp;"4M5RCRjy6nZY0TY/edit#gid=1248694442"",""Table 3: 1st-line HC!A5:A111"")),"""")"),"")</f>
        <v/>
      </c>
      <c r="L8" s="14" t="str">
        <f>IFERROR(__xludf.DUMMYFUNCTION("IFNA(FILTER(IMPORTRANGE(""https://docs.google.com/spreadsheets/d/1kGrh75X1cNR1D7_FcY9zMnHP8iPO4M5RCRjy6nZY0TY/edit#gid=1248694442"",""Table 3: 1st-line HC!W5:W111""), $A8=IMPORTRANGE(""https://docs.google.com/spreadsheets/d/1kGrh75X1cNR1D7_FcY9zMnHP8iPO4M"&amp;"5RCRjy6nZY0TY/edit#gid=1248694442"",""Table 3: 1st-line HC!A5:A111"")),"""")"),"")</f>
        <v/>
      </c>
      <c r="M8" s="14">
        <f>IFERROR(__xludf.DUMMYFUNCTION("IFNA(FILTER(IMPORTRANGE(""https://docs.google.com/spreadsheets/d/1kGrh75X1cNR1D7_FcY9zMnHP8iPO4M5RCRjy6nZY0TY/edit#gid=1248694442"",""Table 3: 1st-line HC!X5:X111""), $A8=IMPORTRANGE(""https://docs.google.com/spreadsheets/d/1kGrh75X1cNR1D7_FcY9zMnHP8iPO4M"&amp;"5RCRjy6nZY0TY/edit#gid=1248694442"",""Table 3: 1st-line HC!A5:A111"")),"""")"),10.0)</f>
        <v>10</v>
      </c>
      <c r="N8" s="14" t="str">
        <f>IFERROR(__xludf.DUMMYFUNCTION("IFNA(FILTER(IMPORTRANGE(""https://docs.google.com/spreadsheets/d/1kGrh75X1cNR1D7_FcY9zMnHP8iPO4M5RCRjy6nZY0TY/edit#gid=1248694442"",""Table 4: 2nd-line HC or more!C5:C85""), $A8=IMPORTRANGE(""https://docs.google.com/spreadsheets/d/1kGrh75X1cNR1D7_FcY9zMnH"&amp;"P8iPO4M5RCRjy6nZY0TY/edit#gid=1248694442"",""Table 4: 2nd-line HC or more!A5:A85"")),"""")"),"")</f>
        <v/>
      </c>
      <c r="O8" s="14" t="str">
        <f>IFERROR(__xludf.DUMMYFUNCTION("IFNA(FILTER(IMPORTRANGE(""https://docs.google.com/spreadsheets/d/1kGrh75X1cNR1D7_FcY9zMnHP8iPO4M5RCRjy6nZY0TY/edit#gid=1248694442"",""Table 4: 2nd-line HC or more!D5:D85""), $A8=IMPORTRANGE(""https://docs.google.com/spreadsheets/d/1kGrh75X1cNR1D7_FcY9zMnH"&amp;"P8iPO4M5RCRjy6nZY0TY/edit#gid=1248694442"",""Table 4: 2nd-line HC or more!A5:A85"")),"""")"),"")</f>
        <v/>
      </c>
      <c r="P8" s="14" t="str">
        <f>IFERROR(__xludf.DUMMYFUNCTION("IFNA(FILTER(IMPORTRANGE(""https://docs.google.com/spreadsheets/d/1kGrh75X1cNR1D7_FcY9zMnHP8iPO4M5RCRjy6nZY0TY/edit#gid=1248694442"",""Table 4: 2nd-line HC or more!E5:E85""), $A8=IMPORTRANGE(""https://docs.google.com/spreadsheets/d/1kGrh75X1cNR1D7_FcY9zMnH"&amp;"P8iPO4M5RCRjy6nZY0TY/edit#gid=1248694442"",""Table 4: 2nd-line HC or more!A5:A85"")),"""")"),"")</f>
        <v/>
      </c>
      <c r="Q8" s="14" t="str">
        <f>IFERROR(__xludf.DUMMYFUNCTION("IFNA(FILTER(IMPORTRANGE(""https://docs.google.com/spreadsheets/d/1kGrh75X1cNR1D7_FcY9zMnHP8iPO4M5RCRjy6nZY0TY/edit#gid=1248694442"",""Table 4: 2nd-line HC or more!F5:F85""), $A8=IMPORTRANGE(""https://docs.google.com/spreadsheets/d/1kGrh75X1cNR1D7_FcY9zMnH"&amp;"P8iPO4M5RCRjy6nZY0TY/edit#gid=1248694442"",""Table 4: 2nd-line HC or more!A5:A85"")),"""")"),"")</f>
        <v/>
      </c>
      <c r="R8" s="14" t="str">
        <f>IFERROR(__xludf.DUMMYFUNCTION("IFNA(FILTER(IMPORTRANGE(""https://docs.google.com/spreadsheets/d/1kGrh75X1cNR1D7_FcY9zMnHP8iPO4M5RCRjy6nZY0TY/edit#gid=1248694442"",""Table 4: 2nd-line HC or more!G5:G85""), $A8=IMPORTRANGE(""https://docs.google.com/spreadsheets/d/1kGrh75X1cNR1D7_FcY9zMnH"&amp;"P8iPO4M5RCRjy6nZY0TY/edit#gid=1248694442"",""Table 4: 2nd-line HC or more!A5:A85"")),"""")"),"")</f>
        <v/>
      </c>
      <c r="S8" s="14" t="str">
        <f>IFERROR(__xludf.DUMMYFUNCTION("IFNA(FILTER(IMPORTRANGE(""https://docs.google.com/spreadsheets/d/1kGrh75X1cNR1D7_FcY9zMnHP8iPO4M5RCRjy6nZY0TY/edit#gid=1248694442"",""Table 4: 2nd-line HC or more!H5:H85""), $A8=IMPORTRANGE(""https://docs.google.com/spreadsheets/d/1kGrh75X1cNR1D7_FcY9zMnH"&amp;"P8iPO4M5RCRjy6nZY0TY/edit#gid=1248694442"",""Table 4: 2nd-line HC or more!A5:A85"")),"""")"),"")</f>
        <v/>
      </c>
      <c r="T8" s="14" t="str">
        <f>IFERROR(__xludf.DUMMYFUNCTION("IFNA(FILTER(IMPORTRANGE(""https://docs.google.com/spreadsheets/d/1kGrh75X1cNR1D7_FcY9zMnHP8iPO4M5RCRjy6nZY0TY/edit#gid=1248694442"",""Table 3: 1st-line HC!F5:F111""), $A8=IMPORTRANGE(""https://docs.google.com/spreadsheets/d/1kGrh75X1cNR1D7_FcY9zMnHP8iPO4M"&amp;"5RCRjy6nZY0TY/edit#gid=1248694442"",""Table 3: 1st-line HC!A5:A111"")),"""")"),"")</f>
        <v/>
      </c>
      <c r="U8" s="14" t="str">
        <f>IFERROR(__xludf.DUMMYFUNCTION("IFNA(FILTER(IMPORTRANGE(""https://docs.google.com/spreadsheets/d/1kGrh75X1cNR1D7_FcY9zMnHP8iPO4M5RCRjy6nZY0TY/edit#gid=1248694442"",""Table 3: 1st-line HC!G5:G111""), $A8=IMPORTRANGE(""https://docs.google.com/spreadsheets/d/1kGrh75X1cNR1D7_FcY9zMnHP8iPO4M"&amp;"5RCRjy6nZY0TY/edit#gid=1248694442"",""Table 3: 1st-line HC!A5:A111"")),"""")"),"")</f>
        <v/>
      </c>
      <c r="V8" s="14" t="str">
        <f>IFERROR(__xludf.DUMMYFUNCTION("IFNA(FILTER(IMPORTRANGE(""https://docs.google.com/spreadsheets/d/1kGrh75X1cNR1D7_FcY9zMnHP8iPO4M5RCRjy6nZY0TY/edit#gid=1248694442"",""Table 3: 1st-line HC!H5:H111""), $A8=IMPORTRANGE(""https://docs.google.com/spreadsheets/d/1kGrh75X1cNR1D7_FcY9zMnHP8iPO4M"&amp;"5RCRjy6nZY0TY/edit#gid=1248694442"",""Table 3: 1st-line HC!A5:A111"")),"""")"),"")</f>
        <v/>
      </c>
      <c r="W8" s="14" t="str">
        <f>IFERROR(__xludf.DUMMYFUNCTION("IFNA(FILTER(IMPORTRANGE(""https://docs.google.com/spreadsheets/d/1kGrh75X1cNR1D7_FcY9zMnHP8iPO4M5RCRjy6nZY0TY/edit#gid=1248694442"",""Table 3: 1st-line HC!I5:I111""), $A8=IMPORTRANGE(""https://docs.google.com/spreadsheets/d/1kGrh75X1cNR1D7_FcY9zMnHP8iPO4M"&amp;"5RCRjy6nZY0TY/edit#gid=1248694442"",""Table 3: 1st-line HC!A5:A111"")),"""")"),"")</f>
        <v/>
      </c>
    </row>
    <row r="9">
      <c r="A9" s="4" t="str">
        <f>IFERROR(__xludf.DUMMYFUNCTION("""COMPUTED_VALUE"""),"ID 11")</f>
        <v>ID 11</v>
      </c>
      <c r="B9" s="14" t="str">
        <f>IFERROR(__xludf.DUMMYFUNCTION("IFNA(FILTER(IMPORTRANGE(""https://docs.google.com/spreadsheets/d/1kGrh75X1cNR1D7_FcY9zMnHP8iPO4M5RCRjy6nZY0TY/edit#gid=1248694442"",""Table 3: 1st-line HC!AZ5:AZ111""), $A9=IMPORTRANGE(""https://docs.google.com/spreadsheets/d/1kGrh75X1cNR1D7_FcY9zMnHP8iPO"&amp;"4M5RCRjy6nZY0TY/edit#gid=1248694442"",""Table 3: 1st-line HC!A5:A111"")),"""")"),"")</f>
        <v/>
      </c>
      <c r="C9" s="14" t="str">
        <f>IFERROR(__xludf.DUMMYFUNCTION("IFNA(FILTER(IMPORTRANGE(""https://docs.google.com/spreadsheets/d/1kGrh75X1cNR1D7_FcY9zMnHP8iPO4M5RCRjy6nZY0TY/edit#gid=1248694442"",""Table 3: 1st-line HC!BA5:BA111""), $A9=IMPORTRANGE(""https://docs.google.com/spreadsheets/d/1kGrh75X1cNR1D7_FcY9zMnHP8iPO"&amp;"4M5RCRjy6nZY0TY/edit#gid=1248694442"",""Table 3: 1st-line HC!A5:A111"")),"""")"),"")</f>
        <v/>
      </c>
      <c r="D9" s="14" t="str">
        <f>IFERROR(__xludf.DUMMYFUNCTION("IFNA(FILTER(IMPORTRANGE(""https://docs.google.com/spreadsheets/d/1kGrh75X1cNR1D7_FcY9zMnHP8iPO4M5RCRjy6nZY0TY/edit#gid=1248694442"",""Table 3: 1st-line HC!BB5:BB111""), $A9=IMPORTRANGE(""https://docs.google.com/spreadsheets/d/1kGrh75X1cNR1D7_FcY9zMnHP8iPO"&amp;"4M5RCRjy6nZY0TY/edit#gid=1248694442"",""Table 3: 1st-line HC!A5:A111"")),"""")"),"")</f>
        <v/>
      </c>
      <c r="E9" s="19" t="str">
        <f>IFERROR(__xludf.DUMMYFUNCTION("IFNA(FILTER(IMPORTRANGE(""https://docs.google.com/spreadsheets/d/1kGrh75X1cNR1D7_FcY9zMnHP8iPO4M5RCRjy6nZY0TY/edit#gid=1248694442"",""Table 3: 1st-line HC!BC5:BC111""), $A9=IMPORTRANGE(""https://docs.google.com/spreadsheets/d/1kGrh75X1cNR1D7_FcY9zMnHP8iPO"&amp;"4M5RCRjy6nZY0TY/edit#gid=1248694442"",""Table 3: 1st-line HC!A5:A111"")),"""")"),"")</f>
        <v/>
      </c>
      <c r="F9" s="14" t="str">
        <f>IFERROR(__xludf.DUMMYFUNCTION("IFNA(FILTER(IMPORTRANGE(""https://docs.google.com/spreadsheets/d/1kGrh75X1cNR1D7_FcY9zMnHP8iPO4M5RCRjy6nZY0TY/edit#gid=1248694442"",""Table 3: 1st-line HC!Y5:Y111""), $A9=IMPORTRANGE(""https://docs.google.com/spreadsheets/d/1kGrh75X1cNR1D7_FcY9zMnHP8iPO4M"&amp;"5RCRjy6nZY0TY/edit#gid=1248694442"",""Table 3: 1st-line HC!A5:A111"")),"""")"),"")</f>
        <v/>
      </c>
      <c r="G9" s="14">
        <f>IFERROR(__xludf.DUMMYFUNCTION("IFNA(FILTER(IMPORTRANGE(""https://docs.google.com/spreadsheets/d/1kGrh75X1cNR1D7_FcY9zMnHP8iPO4M5RCRjy6nZY0TY/edit#gid=1248694442"",""Table 3: 1st-line HC!Z5:Z111""), $A9=IMPORTRANGE(""https://docs.google.com/spreadsheets/d/1kGrh75X1cNR1D7_FcY9zMnHP8iPO4M"&amp;"5RCRjy6nZY0TY/edit#gid=1248694442"",""Table 3: 1st-line HC!A5:A111"")),"""")"),2.0)</f>
        <v>2</v>
      </c>
      <c r="H9" s="14" t="str">
        <f>IFERROR(__xludf.DUMMYFUNCTION("IFNA(FILTER(IMPORTRANGE(""https://docs.google.com/spreadsheets/d/1kGrh75X1cNR1D7_FcY9zMnHP8iPO4M5RCRjy6nZY0TY/edit#gid=1248694442"",""Table 3: 1st-line HC!AA5:AA111""), $A9=IMPORTRANGE(""https://docs.google.com/spreadsheets/d/1kGrh75X1cNR1D7_FcY9zMnHP8iPO"&amp;"4M5RCRjy6nZY0TY/edit#gid=1248694442"",""Table 3: 1st-line HC!A5:A111"")),"""")"),"")</f>
        <v/>
      </c>
      <c r="I9" s="14" t="str">
        <f>IFERROR(__xludf.DUMMYFUNCTION("IFNA(FILTER(IMPORTRANGE(""https://docs.google.com/spreadsheets/d/1kGrh75X1cNR1D7_FcY9zMnHP8iPO4M5RCRjy6nZY0TY/edit#gid=1248694442"",""Table 3: 1st-line HC!AB5:AB111""), $A9=IMPORTRANGE(""https://docs.google.com/spreadsheets/d/1kGrh75X1cNR1D7_FcY9zMnHP8iPO"&amp;"4M5RCRjy6nZY0TY/edit#gid=1248694442"",""Table 3: 1st-line HC!A5:A111"")),"""")"),"")</f>
        <v/>
      </c>
      <c r="J9" s="14" t="str">
        <f>IFERROR(__xludf.DUMMYFUNCTION("IFNA(FILTER(IMPORTRANGE(""https://docs.google.com/spreadsheets/d/1kGrh75X1cNR1D7_FcY9zMnHP8iPO4M5RCRjy6nZY0TY/edit#gid=1248694442"",""Table 3: 1st-line HC!AC5:AC111""), $A9=IMPORTRANGE(""https://docs.google.com/spreadsheets/d/1kGrh75X1cNR1D7_FcY9zMnHP8iPO"&amp;"4M5RCRjy6nZY0TY/edit#gid=1248694442"",""Table 3: 1st-line HC!A5:A111"")),"""")"),"")</f>
        <v/>
      </c>
      <c r="K9" s="20" t="str">
        <f>IFERROR(__xludf.DUMMYFUNCTION("IFNA(FILTER(IMPORTRANGE(""https://docs.google.com/spreadsheets/d/1kGrh75X1cNR1D7_FcY9zMnHP8iPO4M5RCRjy6nZY0TY/edit#gid=1248694442"",""Table 3: 1st-line HC!AD5:AD111""), $A9=IMPORTRANGE(""https://docs.google.com/spreadsheets/d/1kGrh75X1cNR1D7_FcY9zMnHP8iPO"&amp;"4M5RCRjy6nZY0TY/edit#gid=1248694442"",""Table 3: 1st-line HC!A5:A111"")),"""")"),"")</f>
        <v/>
      </c>
      <c r="L9" s="14" t="str">
        <f>IFERROR(__xludf.DUMMYFUNCTION("IFNA(FILTER(IMPORTRANGE(""https://docs.google.com/spreadsheets/d/1kGrh75X1cNR1D7_FcY9zMnHP8iPO4M5RCRjy6nZY0TY/edit#gid=1248694442"",""Table 3: 1st-line HC!W5:W111""), $A9=IMPORTRANGE(""https://docs.google.com/spreadsheets/d/1kGrh75X1cNR1D7_FcY9zMnHP8iPO4M"&amp;"5RCRjy6nZY0TY/edit#gid=1248694442"",""Table 3: 1st-line HC!A5:A111"")),"""")"),"")</f>
        <v/>
      </c>
      <c r="M9" s="14" t="str">
        <f>IFERROR(__xludf.DUMMYFUNCTION("IFNA(FILTER(IMPORTRANGE(""https://docs.google.com/spreadsheets/d/1kGrh75X1cNR1D7_FcY9zMnHP8iPO4M5RCRjy6nZY0TY/edit#gid=1248694442"",""Table 3: 1st-line HC!X5:X111""), $A9=IMPORTRANGE(""https://docs.google.com/spreadsheets/d/1kGrh75X1cNR1D7_FcY9zMnHP8iPO4M"&amp;"5RCRjy6nZY0TY/edit#gid=1248694442"",""Table 3: 1st-line HC!A5:A111"")),"""")"),"")</f>
        <v/>
      </c>
      <c r="N9" s="14" t="str">
        <f>IFERROR(__xludf.DUMMYFUNCTION("IFNA(FILTER(IMPORTRANGE(""https://docs.google.com/spreadsheets/d/1kGrh75X1cNR1D7_FcY9zMnHP8iPO4M5RCRjy6nZY0TY/edit#gid=1248694442"",""Table 4: 2nd-line HC or more!C5:C85""), $A9=IMPORTRANGE(""https://docs.google.com/spreadsheets/d/1kGrh75X1cNR1D7_FcY9zMnH"&amp;"P8iPO4M5RCRjy6nZY0TY/edit#gid=1248694442"",""Table 4: 2nd-line HC or more!A5:A85"")),"""")"),"")</f>
        <v/>
      </c>
      <c r="O9" s="14" t="str">
        <f>IFERROR(__xludf.DUMMYFUNCTION("IFNA(FILTER(IMPORTRANGE(""https://docs.google.com/spreadsheets/d/1kGrh75X1cNR1D7_FcY9zMnHP8iPO4M5RCRjy6nZY0TY/edit#gid=1248694442"",""Table 4: 2nd-line HC or more!D5:D85""), $A9=IMPORTRANGE(""https://docs.google.com/spreadsheets/d/1kGrh75X1cNR1D7_FcY9zMnH"&amp;"P8iPO4M5RCRjy6nZY0TY/edit#gid=1248694442"",""Table 4: 2nd-line HC or more!A5:A85"")),"""")"),"")</f>
        <v/>
      </c>
      <c r="P9" s="14" t="str">
        <f>IFERROR(__xludf.DUMMYFUNCTION("IFNA(FILTER(IMPORTRANGE(""https://docs.google.com/spreadsheets/d/1kGrh75X1cNR1D7_FcY9zMnHP8iPO4M5RCRjy6nZY0TY/edit#gid=1248694442"",""Table 4: 2nd-line HC or more!E5:E85""), $A9=IMPORTRANGE(""https://docs.google.com/spreadsheets/d/1kGrh75X1cNR1D7_FcY9zMnH"&amp;"P8iPO4M5RCRjy6nZY0TY/edit#gid=1248694442"",""Table 4: 2nd-line HC or more!A5:A85"")),"""")"),"")</f>
        <v/>
      </c>
      <c r="Q9" s="14" t="str">
        <f>IFERROR(__xludf.DUMMYFUNCTION("IFNA(FILTER(IMPORTRANGE(""https://docs.google.com/spreadsheets/d/1kGrh75X1cNR1D7_FcY9zMnHP8iPO4M5RCRjy6nZY0TY/edit#gid=1248694442"",""Table 4: 2nd-line HC or more!F5:F85""), $A9=IMPORTRANGE(""https://docs.google.com/spreadsheets/d/1kGrh75X1cNR1D7_FcY9zMnH"&amp;"P8iPO4M5RCRjy6nZY0TY/edit#gid=1248694442"",""Table 4: 2nd-line HC or more!A5:A85"")),"""")"),"")</f>
        <v/>
      </c>
      <c r="R9" s="14" t="str">
        <f>IFERROR(__xludf.DUMMYFUNCTION("IFNA(FILTER(IMPORTRANGE(""https://docs.google.com/spreadsheets/d/1kGrh75X1cNR1D7_FcY9zMnHP8iPO4M5RCRjy6nZY0TY/edit#gid=1248694442"",""Table 4: 2nd-line HC or more!G5:G85""), $A9=IMPORTRANGE(""https://docs.google.com/spreadsheets/d/1kGrh75X1cNR1D7_FcY9zMnH"&amp;"P8iPO4M5RCRjy6nZY0TY/edit#gid=1248694442"",""Table 4: 2nd-line HC or more!A5:A85"")),"""")"),"")</f>
        <v/>
      </c>
      <c r="S9" s="14" t="str">
        <f>IFERROR(__xludf.DUMMYFUNCTION("IFNA(FILTER(IMPORTRANGE(""https://docs.google.com/spreadsheets/d/1kGrh75X1cNR1D7_FcY9zMnHP8iPO4M5RCRjy6nZY0TY/edit#gid=1248694442"",""Table 4: 2nd-line HC or more!H5:H85""), $A9=IMPORTRANGE(""https://docs.google.com/spreadsheets/d/1kGrh75X1cNR1D7_FcY9zMnH"&amp;"P8iPO4M5RCRjy6nZY0TY/edit#gid=1248694442"",""Table 4: 2nd-line HC or more!A5:A85"")),"""")"),"")</f>
        <v/>
      </c>
      <c r="T9" s="14" t="str">
        <f>IFERROR(__xludf.DUMMYFUNCTION("IFNA(FILTER(IMPORTRANGE(""https://docs.google.com/spreadsheets/d/1kGrh75X1cNR1D7_FcY9zMnHP8iPO4M5RCRjy6nZY0TY/edit#gid=1248694442"",""Table 3: 1st-line HC!F5:F111""), $A9=IMPORTRANGE(""https://docs.google.com/spreadsheets/d/1kGrh75X1cNR1D7_FcY9zMnHP8iPO4M"&amp;"5RCRjy6nZY0TY/edit#gid=1248694442"",""Table 3: 1st-line HC!A5:A111"")),"""")"),"")</f>
        <v/>
      </c>
      <c r="U9" s="14">
        <f>IFERROR(__xludf.DUMMYFUNCTION("IFNA(FILTER(IMPORTRANGE(""https://docs.google.com/spreadsheets/d/1kGrh75X1cNR1D7_FcY9zMnHP8iPO4M5RCRjy6nZY0TY/edit#gid=1248694442"",""Table 3: 1st-line HC!G5:G111""), $A9=IMPORTRANGE(""https://docs.google.com/spreadsheets/d/1kGrh75X1cNR1D7_FcY9zMnHP8iPO4M"&amp;"5RCRjy6nZY0TY/edit#gid=1248694442"",""Table 3: 1st-line HC!A5:A111"")),"""")"),2.0)</f>
        <v>2</v>
      </c>
      <c r="V9" s="14" t="str">
        <f>IFERROR(__xludf.DUMMYFUNCTION("IFNA(FILTER(IMPORTRANGE(""https://docs.google.com/spreadsheets/d/1kGrh75X1cNR1D7_FcY9zMnHP8iPO4M5RCRjy6nZY0TY/edit#gid=1248694442"",""Table 3: 1st-line HC!H5:H111""), $A9=IMPORTRANGE(""https://docs.google.com/spreadsheets/d/1kGrh75X1cNR1D7_FcY9zMnHP8iPO4M"&amp;"5RCRjy6nZY0TY/edit#gid=1248694442"",""Table 3: 1st-line HC!A5:A111"")),"""")"),"")</f>
        <v/>
      </c>
      <c r="W9" s="14" t="str">
        <f>IFERROR(__xludf.DUMMYFUNCTION("IFNA(FILTER(IMPORTRANGE(""https://docs.google.com/spreadsheets/d/1kGrh75X1cNR1D7_FcY9zMnHP8iPO4M5RCRjy6nZY0TY/edit#gid=1248694442"",""Table 3: 1st-line HC!I5:I111""), $A9=IMPORTRANGE(""https://docs.google.com/spreadsheets/d/1kGrh75X1cNR1D7_FcY9zMnHP8iPO4M"&amp;"5RCRjy6nZY0TY/edit#gid=1248694442"",""Table 3: 1st-line HC!A5:A111"")),"""")"),"")</f>
        <v/>
      </c>
    </row>
    <row r="10">
      <c r="A10" s="4" t="str">
        <f>IFERROR(__xludf.DUMMYFUNCTION("""COMPUTED_VALUE"""),"ID 14")</f>
        <v>ID 14</v>
      </c>
      <c r="B10" s="14" t="str">
        <f>IFERROR(__xludf.DUMMYFUNCTION("IFNA(FILTER(IMPORTRANGE(""https://docs.google.com/spreadsheets/d/1kGrh75X1cNR1D7_FcY9zMnHP8iPO4M5RCRjy6nZY0TY/edit#gid=1248694442"",""Table 3: 1st-line HC!AZ5:AZ111""), $A10=IMPORTRANGE(""https://docs.google.com/spreadsheets/d/1kGrh75X1cNR1D7_FcY9zMnHP8iP"&amp;"O4M5RCRjy6nZY0TY/edit#gid=1248694442"",""Table 3: 1st-line HC!A5:A111"")),"""")"),"")</f>
        <v/>
      </c>
      <c r="C10" s="14" t="str">
        <f>IFERROR(__xludf.DUMMYFUNCTION("IFNA(FILTER(IMPORTRANGE(""https://docs.google.com/spreadsheets/d/1kGrh75X1cNR1D7_FcY9zMnHP8iPO4M5RCRjy6nZY0TY/edit#gid=1248694442"",""Table 3: 1st-line HC!BA5:BA111""), $A10=IMPORTRANGE(""https://docs.google.com/spreadsheets/d/1kGrh75X1cNR1D7_FcY9zMnHP8iP"&amp;"O4M5RCRjy6nZY0TY/edit#gid=1248694442"",""Table 3: 1st-line HC!A5:A111"")),"""")"),"")</f>
        <v/>
      </c>
      <c r="D10" s="14" t="str">
        <f>IFERROR(__xludf.DUMMYFUNCTION("IFNA(FILTER(IMPORTRANGE(""https://docs.google.com/spreadsheets/d/1kGrh75X1cNR1D7_FcY9zMnHP8iPO4M5RCRjy6nZY0TY/edit#gid=1248694442"",""Table 3: 1st-line HC!BB5:BB111""), $A10=IMPORTRANGE(""https://docs.google.com/spreadsheets/d/1kGrh75X1cNR1D7_FcY9zMnHP8iP"&amp;"O4M5RCRjy6nZY0TY/edit#gid=1248694442"",""Table 3: 1st-line HC!A5:A111"")),"""")"),"")</f>
        <v/>
      </c>
      <c r="E10" s="19" t="str">
        <f>IFERROR(__xludf.DUMMYFUNCTION("IFNA(FILTER(IMPORTRANGE(""https://docs.google.com/spreadsheets/d/1kGrh75X1cNR1D7_FcY9zMnHP8iPO4M5RCRjy6nZY0TY/edit#gid=1248694442"",""Table 3: 1st-line HC!BC5:BC111""), $A10=IMPORTRANGE(""https://docs.google.com/spreadsheets/d/1kGrh75X1cNR1D7_FcY9zMnHP8iP"&amp;"O4M5RCRjy6nZY0TY/edit#gid=1248694442"",""Table 3: 1st-line HC!A5:A111"")),"""")"),"")</f>
        <v/>
      </c>
      <c r="F10" s="14" t="str">
        <f>IFERROR(__xludf.DUMMYFUNCTION("IFNA(FILTER(IMPORTRANGE(""https://docs.google.com/spreadsheets/d/1kGrh75X1cNR1D7_FcY9zMnHP8iPO4M5RCRjy6nZY0TY/edit#gid=1248694442"",""Table 3: 1st-line HC!Y5:Y111""), $A10=IMPORTRANGE(""https://docs.google.com/spreadsheets/d/1kGrh75X1cNR1D7_FcY9zMnHP8iPO4"&amp;"M5RCRjy6nZY0TY/edit#gid=1248694442"",""Table 3: 1st-line HC!A5:A111"")),"""")"),"")</f>
        <v/>
      </c>
      <c r="G10" s="14" t="str">
        <f>IFERROR(__xludf.DUMMYFUNCTION("IFNA(FILTER(IMPORTRANGE(""https://docs.google.com/spreadsheets/d/1kGrh75X1cNR1D7_FcY9zMnHP8iPO4M5RCRjy6nZY0TY/edit#gid=1248694442"",""Table 3: 1st-line HC!Z5:Z111""), $A10=IMPORTRANGE(""https://docs.google.com/spreadsheets/d/1kGrh75X1cNR1D7_FcY9zMnHP8iPO4"&amp;"M5RCRjy6nZY0TY/edit#gid=1248694442"",""Table 3: 1st-line HC!A5:A111"")),"""")"),"")</f>
        <v/>
      </c>
      <c r="H10" s="14" t="str">
        <f>IFERROR(__xludf.DUMMYFUNCTION("IFNA(FILTER(IMPORTRANGE(""https://docs.google.com/spreadsheets/d/1kGrh75X1cNR1D7_FcY9zMnHP8iPO4M5RCRjy6nZY0TY/edit#gid=1248694442"",""Table 3: 1st-line HC!AA5:AA111""), $A10=IMPORTRANGE(""https://docs.google.com/spreadsheets/d/1kGrh75X1cNR1D7_FcY9zMnHP8iP"&amp;"O4M5RCRjy6nZY0TY/edit#gid=1248694442"",""Table 3: 1st-line HC!A5:A111"")),"""")"),"")</f>
        <v/>
      </c>
      <c r="I10" s="14" t="str">
        <f>IFERROR(__xludf.DUMMYFUNCTION("IFNA(FILTER(IMPORTRANGE(""https://docs.google.com/spreadsheets/d/1kGrh75X1cNR1D7_FcY9zMnHP8iPO4M5RCRjy6nZY0TY/edit#gid=1248694442"",""Table 3: 1st-line HC!AB5:AB111""), $A10=IMPORTRANGE(""https://docs.google.com/spreadsheets/d/1kGrh75X1cNR1D7_FcY9zMnHP8iP"&amp;"O4M5RCRjy6nZY0TY/edit#gid=1248694442"",""Table 3: 1st-line HC!A5:A111"")),"""")"),"")</f>
        <v/>
      </c>
      <c r="J10" s="14" t="str">
        <f>IFERROR(__xludf.DUMMYFUNCTION("IFNA(FILTER(IMPORTRANGE(""https://docs.google.com/spreadsheets/d/1kGrh75X1cNR1D7_FcY9zMnHP8iPO4M5RCRjy6nZY0TY/edit#gid=1248694442"",""Table 3: 1st-line HC!AC5:AC111""), $A10=IMPORTRANGE(""https://docs.google.com/spreadsheets/d/1kGrh75X1cNR1D7_FcY9zMnHP8iP"&amp;"O4M5RCRjy6nZY0TY/edit#gid=1248694442"",""Table 3: 1st-line HC!A5:A111"")),"""")"),"")</f>
        <v/>
      </c>
      <c r="K10" s="20" t="str">
        <f>IFERROR(__xludf.DUMMYFUNCTION("IFNA(FILTER(IMPORTRANGE(""https://docs.google.com/spreadsheets/d/1kGrh75X1cNR1D7_FcY9zMnHP8iPO4M5RCRjy6nZY0TY/edit#gid=1248694442"",""Table 3: 1st-line HC!AD5:AD111""), $A10=IMPORTRANGE(""https://docs.google.com/spreadsheets/d/1kGrh75X1cNR1D7_FcY9zMnHP8iP"&amp;"O4M5RCRjy6nZY0TY/edit#gid=1248694442"",""Table 3: 1st-line HC!A5:A111"")),"""")"),"")</f>
        <v/>
      </c>
      <c r="L10" s="14" t="str">
        <f>IFERROR(__xludf.DUMMYFUNCTION("IFNA(FILTER(IMPORTRANGE(""https://docs.google.com/spreadsheets/d/1kGrh75X1cNR1D7_FcY9zMnHP8iPO4M5RCRjy6nZY0TY/edit#gid=1248694442"",""Table 3: 1st-line HC!W5:W111""), $A10=IMPORTRANGE(""https://docs.google.com/spreadsheets/d/1kGrh75X1cNR1D7_FcY9zMnHP8iPO4"&amp;"M5RCRjy6nZY0TY/edit#gid=1248694442"",""Table 3: 1st-line HC!A5:A111"")),"""")"),"")</f>
        <v/>
      </c>
      <c r="M10" s="14" t="str">
        <f>IFERROR(__xludf.DUMMYFUNCTION("IFNA(FILTER(IMPORTRANGE(""https://docs.google.com/spreadsheets/d/1kGrh75X1cNR1D7_FcY9zMnHP8iPO4M5RCRjy6nZY0TY/edit#gid=1248694442"",""Table 3: 1st-line HC!X5:X111""), $A10=IMPORTRANGE(""https://docs.google.com/spreadsheets/d/1kGrh75X1cNR1D7_FcY9zMnHP8iPO4"&amp;"M5RCRjy6nZY0TY/edit#gid=1248694442"",""Table 3: 1st-line HC!A5:A111"")),"""")"),"")</f>
        <v/>
      </c>
      <c r="N10" s="14" t="str">
        <f>IFERROR(__xludf.DUMMYFUNCTION("IFNA(FILTER(IMPORTRANGE(""https://docs.google.com/spreadsheets/d/1kGrh75X1cNR1D7_FcY9zMnHP8iPO4M5RCRjy6nZY0TY/edit#gid=1248694442"",""Table 4: 2nd-line HC or more!C5:C85""), $A10=IMPORTRANGE(""https://docs.google.com/spreadsheets/d/1kGrh75X1cNR1D7_FcY9zMn"&amp;"HP8iPO4M5RCRjy6nZY0TY/edit#gid=1248694442"",""Table 4: 2nd-line HC or more!A5:A85"")),"""")"),"")</f>
        <v/>
      </c>
      <c r="O10" s="14" t="str">
        <f>IFERROR(__xludf.DUMMYFUNCTION("IFNA(FILTER(IMPORTRANGE(""https://docs.google.com/spreadsheets/d/1kGrh75X1cNR1D7_FcY9zMnHP8iPO4M5RCRjy6nZY0TY/edit#gid=1248694442"",""Table 4: 2nd-line HC or more!D5:D85""), $A10=IMPORTRANGE(""https://docs.google.com/spreadsheets/d/1kGrh75X1cNR1D7_FcY9zMn"&amp;"HP8iPO4M5RCRjy6nZY0TY/edit#gid=1248694442"",""Table 4: 2nd-line HC or more!A5:A85"")),"""")"),"")</f>
        <v/>
      </c>
      <c r="P10" s="14" t="str">
        <f>IFERROR(__xludf.DUMMYFUNCTION("IFNA(FILTER(IMPORTRANGE(""https://docs.google.com/spreadsheets/d/1kGrh75X1cNR1D7_FcY9zMnHP8iPO4M5RCRjy6nZY0TY/edit#gid=1248694442"",""Table 4: 2nd-line HC or more!E5:E85""), $A10=IMPORTRANGE(""https://docs.google.com/spreadsheets/d/1kGrh75X1cNR1D7_FcY9zMn"&amp;"HP8iPO4M5RCRjy6nZY0TY/edit#gid=1248694442"",""Table 4: 2nd-line HC or more!A5:A85"")),"""")"),"")</f>
        <v/>
      </c>
      <c r="Q10" s="14" t="str">
        <f>IFERROR(__xludf.DUMMYFUNCTION("IFNA(FILTER(IMPORTRANGE(""https://docs.google.com/spreadsheets/d/1kGrh75X1cNR1D7_FcY9zMnHP8iPO4M5RCRjy6nZY0TY/edit#gid=1248694442"",""Table 4: 2nd-line HC or more!F5:F85""), $A10=IMPORTRANGE(""https://docs.google.com/spreadsheets/d/1kGrh75X1cNR1D7_FcY9zMn"&amp;"HP8iPO4M5RCRjy6nZY0TY/edit#gid=1248694442"",""Table 4: 2nd-line HC or more!A5:A85"")),"""")"),"")</f>
        <v/>
      </c>
      <c r="R10" s="14" t="str">
        <f>IFERROR(__xludf.DUMMYFUNCTION("IFNA(FILTER(IMPORTRANGE(""https://docs.google.com/spreadsheets/d/1kGrh75X1cNR1D7_FcY9zMnHP8iPO4M5RCRjy6nZY0TY/edit#gid=1248694442"",""Table 4: 2nd-line HC or more!G5:G85""), $A10=IMPORTRANGE(""https://docs.google.com/spreadsheets/d/1kGrh75X1cNR1D7_FcY9zMn"&amp;"HP8iPO4M5RCRjy6nZY0TY/edit#gid=1248694442"",""Table 4: 2nd-line HC or more!A5:A85"")),"""")"),"")</f>
        <v/>
      </c>
      <c r="S10" s="14" t="str">
        <f>IFERROR(__xludf.DUMMYFUNCTION("IFNA(FILTER(IMPORTRANGE(""https://docs.google.com/spreadsheets/d/1kGrh75X1cNR1D7_FcY9zMnHP8iPO4M5RCRjy6nZY0TY/edit#gid=1248694442"",""Table 4: 2nd-line HC or more!H5:H85""), $A10=IMPORTRANGE(""https://docs.google.com/spreadsheets/d/1kGrh75X1cNR1D7_FcY9zMn"&amp;"HP8iPO4M5RCRjy6nZY0TY/edit#gid=1248694442"",""Table 4: 2nd-line HC or more!A5:A85"")),"""")"),"")</f>
        <v/>
      </c>
      <c r="T10" s="14" t="str">
        <f>IFERROR(__xludf.DUMMYFUNCTION("IFNA(FILTER(IMPORTRANGE(""https://docs.google.com/spreadsheets/d/1kGrh75X1cNR1D7_FcY9zMnHP8iPO4M5RCRjy6nZY0TY/edit#gid=1248694442"",""Table 3: 1st-line HC!F5:F111""), $A10=IMPORTRANGE(""https://docs.google.com/spreadsheets/d/1kGrh75X1cNR1D7_FcY9zMnHP8iPO4"&amp;"M5RCRjy6nZY0TY/edit#gid=1248694442"",""Table 3: 1st-line HC!A5:A111"")),"""")"),"")</f>
        <v/>
      </c>
      <c r="U10" s="14" t="str">
        <f>IFERROR(__xludf.DUMMYFUNCTION("IFNA(FILTER(IMPORTRANGE(""https://docs.google.com/spreadsheets/d/1kGrh75X1cNR1D7_FcY9zMnHP8iPO4M5RCRjy6nZY0TY/edit#gid=1248694442"",""Table 3: 1st-line HC!G5:G111""), $A10=IMPORTRANGE(""https://docs.google.com/spreadsheets/d/1kGrh75X1cNR1D7_FcY9zMnHP8iPO4"&amp;"M5RCRjy6nZY0TY/edit#gid=1248694442"",""Table 3: 1st-line HC!A5:A111"")),"""")"),"")</f>
        <v/>
      </c>
      <c r="V10" s="14" t="str">
        <f>IFERROR(__xludf.DUMMYFUNCTION("IFNA(FILTER(IMPORTRANGE(""https://docs.google.com/spreadsheets/d/1kGrh75X1cNR1D7_FcY9zMnHP8iPO4M5RCRjy6nZY0TY/edit#gid=1248694442"",""Table 3: 1st-line HC!H5:H111""), $A10=IMPORTRANGE(""https://docs.google.com/spreadsheets/d/1kGrh75X1cNR1D7_FcY9zMnHP8iPO4"&amp;"M5RCRjy6nZY0TY/edit#gid=1248694442"",""Table 3: 1st-line HC!A5:A111"")),"""")"),"")</f>
        <v/>
      </c>
      <c r="W10" s="14" t="str">
        <f>IFERROR(__xludf.DUMMYFUNCTION("IFNA(FILTER(IMPORTRANGE(""https://docs.google.com/spreadsheets/d/1kGrh75X1cNR1D7_FcY9zMnHP8iPO4M5RCRjy6nZY0TY/edit#gid=1248694442"",""Table 3: 1st-line HC!I5:I111""), $A10=IMPORTRANGE(""https://docs.google.com/spreadsheets/d/1kGrh75X1cNR1D7_FcY9zMnHP8iPO4"&amp;"M5RCRjy6nZY0TY/edit#gid=1248694442"",""Table 3: 1st-line HC!A5:A111"")),"""")"),"")</f>
        <v/>
      </c>
    </row>
    <row r="11">
      <c r="A11" s="4" t="str">
        <f>IFERROR(__xludf.DUMMYFUNCTION("""COMPUTED_VALUE"""),"ID 15")</f>
        <v>ID 15</v>
      </c>
      <c r="B11" s="14" t="str">
        <f>IFERROR(__xludf.DUMMYFUNCTION("IFNA(FILTER(IMPORTRANGE(""https://docs.google.com/spreadsheets/d/1kGrh75X1cNR1D7_FcY9zMnHP8iPO4M5RCRjy6nZY0TY/edit#gid=1248694442"",""Table 3: 1st-line HC!AZ5:AZ111""), $A11=IMPORTRANGE(""https://docs.google.com/spreadsheets/d/1kGrh75X1cNR1D7_FcY9zMnHP8iP"&amp;"O4M5RCRjy6nZY0TY/edit#gid=1248694442"",""Table 3: 1st-line HC!A5:A111"")),"""")"),"")</f>
        <v/>
      </c>
      <c r="C11" s="14" t="str">
        <f>IFERROR(__xludf.DUMMYFUNCTION("IFNA(FILTER(IMPORTRANGE(""https://docs.google.com/spreadsheets/d/1kGrh75X1cNR1D7_FcY9zMnHP8iPO4M5RCRjy6nZY0TY/edit#gid=1248694442"",""Table 3: 1st-line HC!BA5:BA111""), $A11=IMPORTRANGE(""https://docs.google.com/spreadsheets/d/1kGrh75X1cNR1D7_FcY9zMnHP8iP"&amp;"O4M5RCRjy6nZY0TY/edit#gid=1248694442"",""Table 3: 1st-line HC!A5:A111"")),"""")"),"")</f>
        <v/>
      </c>
      <c r="D11" s="14" t="str">
        <f>IFERROR(__xludf.DUMMYFUNCTION("IFNA(FILTER(IMPORTRANGE(""https://docs.google.com/spreadsheets/d/1kGrh75X1cNR1D7_FcY9zMnHP8iPO4M5RCRjy6nZY0TY/edit#gid=1248694442"",""Table 3: 1st-line HC!BB5:BB111""), $A11=IMPORTRANGE(""https://docs.google.com/spreadsheets/d/1kGrh75X1cNR1D7_FcY9zMnHP8iP"&amp;"O4M5RCRjy6nZY0TY/edit#gid=1248694442"",""Table 3: 1st-line HC!A5:A111"")),"""")"),"")</f>
        <v/>
      </c>
      <c r="E11" s="19" t="str">
        <f>IFERROR(__xludf.DUMMYFUNCTION("IFNA(FILTER(IMPORTRANGE(""https://docs.google.com/spreadsheets/d/1kGrh75X1cNR1D7_FcY9zMnHP8iPO4M5RCRjy6nZY0TY/edit#gid=1248694442"",""Table 3: 1st-line HC!BC5:BC111""), $A11=IMPORTRANGE(""https://docs.google.com/spreadsheets/d/1kGrh75X1cNR1D7_FcY9zMnHP8iP"&amp;"O4M5RCRjy6nZY0TY/edit#gid=1248694442"",""Table 3: 1st-line HC!A5:A111"")),"""")"),"")</f>
        <v/>
      </c>
      <c r="F11" s="14" t="str">
        <f>IFERROR(__xludf.DUMMYFUNCTION("IFNA(FILTER(IMPORTRANGE(""https://docs.google.com/spreadsheets/d/1kGrh75X1cNR1D7_FcY9zMnHP8iPO4M5RCRjy6nZY0TY/edit#gid=1248694442"",""Table 3: 1st-line HC!Y5:Y111""), $A11=IMPORTRANGE(""https://docs.google.com/spreadsheets/d/1kGrh75X1cNR1D7_FcY9zMnHP8iPO4"&amp;"M5RCRjy6nZY0TY/edit#gid=1248694442"",""Table 3: 1st-line HC!A5:A111"")),"""")"),"")</f>
        <v/>
      </c>
      <c r="G11" s="14">
        <f>IFERROR(__xludf.DUMMYFUNCTION("IFNA(FILTER(IMPORTRANGE(""https://docs.google.com/spreadsheets/d/1kGrh75X1cNR1D7_FcY9zMnHP8iPO4M5RCRjy6nZY0TY/edit#gid=1248694442"",""Table 3: 1st-line HC!Z5:Z111""), $A11=IMPORTRANGE(""https://docs.google.com/spreadsheets/d/1kGrh75X1cNR1D7_FcY9zMnHP8iPO4"&amp;"M5RCRjy6nZY0TY/edit#gid=1248694442"",""Table 3: 1st-line HC!A5:A111"")),"""")"),5.0)</f>
        <v>5</v>
      </c>
      <c r="H11" s="14" t="str">
        <f>IFERROR(__xludf.DUMMYFUNCTION("IFNA(FILTER(IMPORTRANGE(""https://docs.google.com/spreadsheets/d/1kGrh75X1cNR1D7_FcY9zMnHP8iPO4M5RCRjy6nZY0TY/edit#gid=1248694442"",""Table 3: 1st-line HC!AA5:AA111""), $A11=IMPORTRANGE(""https://docs.google.com/spreadsheets/d/1kGrh75X1cNR1D7_FcY9zMnHP8iP"&amp;"O4M5RCRjy6nZY0TY/edit#gid=1248694442"",""Table 3: 1st-line HC!A5:A111"")),"""")"),"")</f>
        <v/>
      </c>
      <c r="I11" s="14" t="str">
        <f>IFERROR(__xludf.DUMMYFUNCTION("IFNA(FILTER(IMPORTRANGE(""https://docs.google.com/spreadsheets/d/1kGrh75X1cNR1D7_FcY9zMnHP8iPO4M5RCRjy6nZY0TY/edit#gid=1248694442"",""Table 3: 1st-line HC!AB5:AB111""), $A11=IMPORTRANGE(""https://docs.google.com/spreadsheets/d/1kGrh75X1cNR1D7_FcY9zMnHP8iP"&amp;"O4M5RCRjy6nZY0TY/edit#gid=1248694442"",""Table 3: 1st-line HC!A5:A111"")),"""")"),"")</f>
        <v/>
      </c>
      <c r="J11" s="14" t="str">
        <f>IFERROR(__xludf.DUMMYFUNCTION("IFNA(FILTER(IMPORTRANGE(""https://docs.google.com/spreadsheets/d/1kGrh75X1cNR1D7_FcY9zMnHP8iPO4M5RCRjy6nZY0TY/edit#gid=1248694442"",""Table 3: 1st-line HC!AC5:AC111""), $A11=IMPORTRANGE(""https://docs.google.com/spreadsheets/d/1kGrh75X1cNR1D7_FcY9zMnHP8iP"&amp;"O4M5RCRjy6nZY0TY/edit#gid=1248694442"",""Table 3: 1st-line HC!A5:A111"")),"""")"),"")</f>
        <v/>
      </c>
      <c r="K11" s="20" t="str">
        <f>IFERROR(__xludf.DUMMYFUNCTION("IFNA(FILTER(IMPORTRANGE(""https://docs.google.com/spreadsheets/d/1kGrh75X1cNR1D7_FcY9zMnHP8iPO4M5RCRjy6nZY0TY/edit#gid=1248694442"",""Table 3: 1st-line HC!AD5:AD111""), $A11=IMPORTRANGE(""https://docs.google.com/spreadsheets/d/1kGrh75X1cNR1D7_FcY9zMnHP8iP"&amp;"O4M5RCRjy6nZY0TY/edit#gid=1248694442"",""Table 3: 1st-line HC!A5:A111"")),"""")"),"")</f>
        <v/>
      </c>
      <c r="L11" s="14" t="str">
        <f>IFERROR(__xludf.DUMMYFUNCTION("IFNA(FILTER(IMPORTRANGE(""https://docs.google.com/spreadsheets/d/1kGrh75X1cNR1D7_FcY9zMnHP8iPO4M5RCRjy6nZY0TY/edit#gid=1248694442"",""Table 3: 1st-line HC!W5:W111""), $A11=IMPORTRANGE(""https://docs.google.com/spreadsheets/d/1kGrh75X1cNR1D7_FcY9zMnHP8iPO4"&amp;"M5RCRjy6nZY0TY/edit#gid=1248694442"",""Table 3: 1st-line HC!A5:A111"")),"""")"),"")</f>
        <v/>
      </c>
      <c r="M11" s="14" t="str">
        <f>IFERROR(__xludf.DUMMYFUNCTION("IFNA(FILTER(IMPORTRANGE(""https://docs.google.com/spreadsheets/d/1kGrh75X1cNR1D7_FcY9zMnHP8iPO4M5RCRjy6nZY0TY/edit#gid=1248694442"",""Table 3: 1st-line HC!X5:X111""), $A11=IMPORTRANGE(""https://docs.google.com/spreadsheets/d/1kGrh75X1cNR1D7_FcY9zMnHP8iPO4"&amp;"M5RCRjy6nZY0TY/edit#gid=1248694442"",""Table 3: 1st-line HC!A5:A111"")),"""")"),"")</f>
        <v/>
      </c>
      <c r="N11" s="14" t="str">
        <f>IFERROR(__xludf.DUMMYFUNCTION("IFNA(FILTER(IMPORTRANGE(""https://docs.google.com/spreadsheets/d/1kGrh75X1cNR1D7_FcY9zMnHP8iPO4M5RCRjy6nZY0TY/edit#gid=1248694442"",""Table 4: 2nd-line HC or more!C5:C85""), $A11=IMPORTRANGE(""https://docs.google.com/spreadsheets/d/1kGrh75X1cNR1D7_FcY9zMn"&amp;"HP8iPO4M5RCRjy6nZY0TY/edit#gid=1248694442"",""Table 4: 2nd-line HC or more!A5:A85"")),"""")"),"")</f>
        <v/>
      </c>
      <c r="O11" s="14" t="str">
        <f>IFERROR(__xludf.DUMMYFUNCTION("IFNA(FILTER(IMPORTRANGE(""https://docs.google.com/spreadsheets/d/1kGrh75X1cNR1D7_FcY9zMnHP8iPO4M5RCRjy6nZY0TY/edit#gid=1248694442"",""Table 4: 2nd-line HC or more!D5:D85""), $A11=IMPORTRANGE(""https://docs.google.com/spreadsheets/d/1kGrh75X1cNR1D7_FcY9zMn"&amp;"HP8iPO4M5RCRjy6nZY0TY/edit#gid=1248694442"",""Table 4: 2nd-line HC or more!A5:A85"")),"""")"),"")</f>
        <v/>
      </c>
      <c r="P11" s="14" t="str">
        <f>IFERROR(__xludf.DUMMYFUNCTION("IFNA(FILTER(IMPORTRANGE(""https://docs.google.com/spreadsheets/d/1kGrh75X1cNR1D7_FcY9zMnHP8iPO4M5RCRjy6nZY0TY/edit#gid=1248694442"",""Table 4: 2nd-line HC or more!E5:E85""), $A11=IMPORTRANGE(""https://docs.google.com/spreadsheets/d/1kGrh75X1cNR1D7_FcY9zMn"&amp;"HP8iPO4M5RCRjy6nZY0TY/edit#gid=1248694442"",""Table 4: 2nd-line HC or more!A5:A85"")),"""")"),"")</f>
        <v/>
      </c>
      <c r="Q11" s="14" t="str">
        <f>IFERROR(__xludf.DUMMYFUNCTION("IFNA(FILTER(IMPORTRANGE(""https://docs.google.com/spreadsheets/d/1kGrh75X1cNR1D7_FcY9zMnHP8iPO4M5RCRjy6nZY0TY/edit#gid=1248694442"",""Table 4: 2nd-line HC or more!F5:F85""), $A11=IMPORTRANGE(""https://docs.google.com/spreadsheets/d/1kGrh75X1cNR1D7_FcY9zMn"&amp;"HP8iPO4M5RCRjy6nZY0TY/edit#gid=1248694442"",""Table 4: 2nd-line HC or more!A5:A85"")),"""")"),"")</f>
        <v/>
      </c>
      <c r="R11" s="14" t="str">
        <f>IFERROR(__xludf.DUMMYFUNCTION("IFNA(FILTER(IMPORTRANGE(""https://docs.google.com/spreadsheets/d/1kGrh75X1cNR1D7_FcY9zMnHP8iPO4M5RCRjy6nZY0TY/edit#gid=1248694442"",""Table 4: 2nd-line HC or more!G5:G85""), $A11=IMPORTRANGE(""https://docs.google.com/spreadsheets/d/1kGrh75X1cNR1D7_FcY9zMn"&amp;"HP8iPO4M5RCRjy6nZY0TY/edit#gid=1248694442"",""Table 4: 2nd-line HC or more!A5:A85"")),"""")"),"")</f>
        <v/>
      </c>
      <c r="S11" s="14" t="str">
        <f>IFERROR(__xludf.DUMMYFUNCTION("IFNA(FILTER(IMPORTRANGE(""https://docs.google.com/spreadsheets/d/1kGrh75X1cNR1D7_FcY9zMnHP8iPO4M5RCRjy6nZY0TY/edit#gid=1248694442"",""Table 4: 2nd-line HC or more!H5:H85""), $A11=IMPORTRANGE(""https://docs.google.com/spreadsheets/d/1kGrh75X1cNR1D7_FcY9zMn"&amp;"HP8iPO4M5RCRjy6nZY0TY/edit#gid=1248694442"",""Table 4: 2nd-line HC or more!A5:A85"")),"""")"),"")</f>
        <v/>
      </c>
      <c r="T11" s="14" t="str">
        <f>IFERROR(__xludf.DUMMYFUNCTION("IFNA(FILTER(IMPORTRANGE(""https://docs.google.com/spreadsheets/d/1kGrh75X1cNR1D7_FcY9zMnHP8iPO4M5RCRjy6nZY0TY/edit#gid=1248694442"",""Table 3: 1st-line HC!F5:F111""), $A11=IMPORTRANGE(""https://docs.google.com/spreadsheets/d/1kGrh75X1cNR1D7_FcY9zMnHP8iPO4"&amp;"M5RCRjy6nZY0TY/edit#gid=1248694442"",""Table 3: 1st-line HC!A5:A111"")),"""")"),"")</f>
        <v/>
      </c>
      <c r="U11" s="14">
        <f>IFERROR(__xludf.DUMMYFUNCTION("IFNA(FILTER(IMPORTRANGE(""https://docs.google.com/spreadsheets/d/1kGrh75X1cNR1D7_FcY9zMnHP8iPO4M5RCRjy6nZY0TY/edit#gid=1248694442"",""Table 3: 1st-line HC!G5:G111""), $A11=IMPORTRANGE(""https://docs.google.com/spreadsheets/d/1kGrh75X1cNR1D7_FcY9zMnHP8iPO4"&amp;"M5RCRjy6nZY0TY/edit#gid=1248694442"",""Table 3: 1st-line HC!A5:A111"")),"""")"),10.0)</f>
        <v>10</v>
      </c>
      <c r="V11" s="14" t="str">
        <f>IFERROR(__xludf.DUMMYFUNCTION("IFNA(FILTER(IMPORTRANGE(""https://docs.google.com/spreadsheets/d/1kGrh75X1cNR1D7_FcY9zMnHP8iPO4M5RCRjy6nZY0TY/edit#gid=1248694442"",""Table 3: 1st-line HC!H5:H111""), $A11=IMPORTRANGE(""https://docs.google.com/spreadsheets/d/1kGrh75X1cNR1D7_FcY9zMnHP8iPO4"&amp;"M5RCRjy6nZY0TY/edit#gid=1248694442"",""Table 3: 1st-line HC!A5:A111"")),"""")"),"")</f>
        <v/>
      </c>
      <c r="W11" s="14" t="str">
        <f>IFERROR(__xludf.DUMMYFUNCTION("IFNA(FILTER(IMPORTRANGE(""https://docs.google.com/spreadsheets/d/1kGrh75X1cNR1D7_FcY9zMnHP8iPO4M5RCRjy6nZY0TY/edit#gid=1248694442"",""Table 3: 1st-line HC!I5:I111""), $A11=IMPORTRANGE(""https://docs.google.com/spreadsheets/d/1kGrh75X1cNR1D7_FcY9zMnHP8iPO4"&amp;"M5RCRjy6nZY0TY/edit#gid=1248694442"",""Table 3: 1st-line HC!A5:A111"")),"""")"),"")</f>
        <v/>
      </c>
    </row>
    <row r="12">
      <c r="A12" s="4" t="str">
        <f>IFERROR(__xludf.DUMMYFUNCTION("""COMPUTED_VALUE"""),"ID 18")</f>
        <v>ID 18</v>
      </c>
      <c r="B12" s="14" t="str">
        <f>IFERROR(__xludf.DUMMYFUNCTION("IFNA(FILTER(IMPORTRANGE(""https://docs.google.com/spreadsheets/d/1kGrh75X1cNR1D7_FcY9zMnHP8iPO4M5RCRjy6nZY0TY/edit#gid=1248694442"",""Table 3: 1st-line HC!AZ5:AZ111""), $A12=IMPORTRANGE(""https://docs.google.com/spreadsheets/d/1kGrh75X1cNR1D7_FcY9zMnHP8iP"&amp;"O4M5RCRjy6nZY0TY/edit#gid=1248694442"",""Table 3: 1st-line HC!A5:A111"")),"""")"),"")</f>
        <v/>
      </c>
      <c r="C12" s="14" t="str">
        <f>IFERROR(__xludf.DUMMYFUNCTION("IFNA(FILTER(IMPORTRANGE(""https://docs.google.com/spreadsheets/d/1kGrh75X1cNR1D7_FcY9zMnHP8iPO4M5RCRjy6nZY0TY/edit#gid=1248694442"",""Table 3: 1st-line HC!BA5:BA111""), $A12=IMPORTRANGE(""https://docs.google.com/spreadsheets/d/1kGrh75X1cNR1D7_FcY9zMnHP8iP"&amp;"O4M5RCRjy6nZY0TY/edit#gid=1248694442"",""Table 3: 1st-line HC!A5:A111"")),"""")"),"")</f>
        <v/>
      </c>
      <c r="D12" s="14" t="str">
        <f>IFERROR(__xludf.DUMMYFUNCTION("IFNA(FILTER(IMPORTRANGE(""https://docs.google.com/spreadsheets/d/1kGrh75X1cNR1D7_FcY9zMnHP8iPO4M5RCRjy6nZY0TY/edit#gid=1248694442"",""Table 3: 1st-line HC!BB5:BB111""), $A12=IMPORTRANGE(""https://docs.google.com/spreadsheets/d/1kGrh75X1cNR1D7_FcY9zMnHP8iP"&amp;"O4M5RCRjy6nZY0TY/edit#gid=1248694442"",""Table 3: 1st-line HC!A5:A111"")),"""")"),"")</f>
        <v/>
      </c>
      <c r="E12" s="19" t="str">
        <f>IFERROR(__xludf.DUMMYFUNCTION("IFNA(FILTER(IMPORTRANGE(""https://docs.google.com/spreadsheets/d/1kGrh75X1cNR1D7_FcY9zMnHP8iPO4M5RCRjy6nZY0TY/edit#gid=1248694442"",""Table 3: 1st-line HC!BC5:BC111""), $A12=IMPORTRANGE(""https://docs.google.com/spreadsheets/d/1kGrh75X1cNR1D7_FcY9zMnHP8iP"&amp;"O4M5RCRjy6nZY0TY/edit#gid=1248694442"",""Table 3: 1st-line HC!A5:A111"")),"""")"),"")</f>
        <v/>
      </c>
      <c r="F12" s="14" t="str">
        <f>IFERROR(__xludf.DUMMYFUNCTION("IFNA(FILTER(IMPORTRANGE(""https://docs.google.com/spreadsheets/d/1kGrh75X1cNR1D7_FcY9zMnHP8iPO4M5RCRjy6nZY0TY/edit#gid=1248694442"",""Table 3: 1st-line HC!Y5:Y111""), $A12=IMPORTRANGE(""https://docs.google.com/spreadsheets/d/1kGrh75X1cNR1D7_FcY9zMnHP8iPO4"&amp;"M5RCRjy6nZY0TY/edit#gid=1248694442"",""Table 3: 1st-line HC!A5:A111"")),"""")"),"")</f>
        <v/>
      </c>
      <c r="G12" s="14">
        <f>IFERROR(__xludf.DUMMYFUNCTION("IFNA(FILTER(IMPORTRANGE(""https://docs.google.com/spreadsheets/d/1kGrh75X1cNR1D7_FcY9zMnHP8iPO4M5RCRjy6nZY0TY/edit#gid=1248694442"",""Table 3: 1st-line HC!Z5:Z111""), $A12=IMPORTRANGE(""https://docs.google.com/spreadsheets/d/1kGrh75X1cNR1D7_FcY9zMnHP8iPO4"&amp;"M5RCRjy6nZY0TY/edit#gid=1248694442"",""Table 3: 1st-line HC!A5:A111"")),"""")"),174.0)</f>
        <v>174</v>
      </c>
      <c r="H12" s="14" t="str">
        <f>IFERROR(__xludf.DUMMYFUNCTION("IFNA(FILTER(IMPORTRANGE(""https://docs.google.com/spreadsheets/d/1kGrh75X1cNR1D7_FcY9zMnHP8iPO4M5RCRjy6nZY0TY/edit#gid=1248694442"",""Table 3: 1st-line HC!AA5:AA111""), $A12=IMPORTRANGE(""https://docs.google.com/spreadsheets/d/1kGrh75X1cNR1D7_FcY9zMnHP8iP"&amp;"O4M5RCRjy6nZY0TY/edit#gid=1248694442"",""Table 3: 1st-line HC!A5:A111"")),"""")"),"")</f>
        <v/>
      </c>
      <c r="I12" s="14" t="str">
        <f>IFERROR(__xludf.DUMMYFUNCTION("IFNA(FILTER(IMPORTRANGE(""https://docs.google.com/spreadsheets/d/1kGrh75X1cNR1D7_FcY9zMnHP8iPO4M5RCRjy6nZY0TY/edit#gid=1248694442"",""Table 3: 1st-line HC!AB5:AB111""), $A12=IMPORTRANGE(""https://docs.google.com/spreadsheets/d/1kGrh75X1cNR1D7_FcY9zMnHP8iP"&amp;"O4M5RCRjy6nZY0TY/edit#gid=1248694442"",""Table 3: 1st-line HC!A5:A111"")),"""")"),"")</f>
        <v/>
      </c>
      <c r="J12" s="14" t="str">
        <f>IFERROR(__xludf.DUMMYFUNCTION("IFNA(FILTER(IMPORTRANGE(""https://docs.google.com/spreadsheets/d/1kGrh75X1cNR1D7_FcY9zMnHP8iPO4M5RCRjy6nZY0TY/edit#gid=1248694442"",""Table 3: 1st-line HC!AC5:AC111""), $A12=IMPORTRANGE(""https://docs.google.com/spreadsheets/d/1kGrh75X1cNR1D7_FcY9zMnHP8iP"&amp;"O4M5RCRjy6nZY0TY/edit#gid=1248694442"",""Table 3: 1st-line HC!A5:A111"")),"""")"),"")</f>
        <v/>
      </c>
      <c r="K12" s="20" t="str">
        <f>IFERROR(__xludf.DUMMYFUNCTION("IFNA(FILTER(IMPORTRANGE(""https://docs.google.com/spreadsheets/d/1kGrh75X1cNR1D7_FcY9zMnHP8iPO4M5RCRjy6nZY0TY/edit#gid=1248694442"",""Table 3: 1st-line HC!AD5:AD111""), $A12=IMPORTRANGE(""https://docs.google.com/spreadsheets/d/1kGrh75X1cNR1D7_FcY9zMnHP8iP"&amp;"O4M5RCRjy6nZY0TY/edit#gid=1248694442"",""Table 3: 1st-line HC!A5:A111"")),"""")"),"")</f>
        <v/>
      </c>
      <c r="L12" s="14" t="str">
        <f>IFERROR(__xludf.DUMMYFUNCTION("IFNA(FILTER(IMPORTRANGE(""https://docs.google.com/spreadsheets/d/1kGrh75X1cNR1D7_FcY9zMnHP8iPO4M5RCRjy6nZY0TY/edit#gid=1248694442"",""Table 3: 1st-line HC!W5:W111""), $A12=IMPORTRANGE(""https://docs.google.com/spreadsheets/d/1kGrh75X1cNR1D7_FcY9zMnHP8iPO4"&amp;"M5RCRjy6nZY0TY/edit#gid=1248694442"",""Table 3: 1st-line HC!A5:A111"")),"""")"),"")</f>
        <v/>
      </c>
      <c r="M12" s="14" t="str">
        <f>IFERROR(__xludf.DUMMYFUNCTION("IFNA(FILTER(IMPORTRANGE(""https://docs.google.com/spreadsheets/d/1kGrh75X1cNR1D7_FcY9zMnHP8iPO4M5RCRjy6nZY0TY/edit#gid=1248694442"",""Table 3: 1st-line HC!X5:X111""), $A12=IMPORTRANGE(""https://docs.google.com/spreadsheets/d/1kGrh75X1cNR1D7_FcY9zMnHP8iPO4"&amp;"M5RCRjy6nZY0TY/edit#gid=1248694442"",""Table 3: 1st-line HC!A5:A111"")),"""")"),"")</f>
        <v/>
      </c>
      <c r="N12" s="14" t="str">
        <f>IFERROR(__xludf.DUMMYFUNCTION("IFNA(FILTER(IMPORTRANGE(""https://docs.google.com/spreadsheets/d/1kGrh75X1cNR1D7_FcY9zMnHP8iPO4M5RCRjy6nZY0TY/edit#gid=1248694442"",""Table 4: 2nd-line HC or more!C5:C85""), $A12=IMPORTRANGE(""https://docs.google.com/spreadsheets/d/1kGrh75X1cNR1D7_FcY9zMn"&amp;"HP8iPO4M5RCRjy6nZY0TY/edit#gid=1248694442"",""Table 4: 2nd-line HC or more!A5:A85"")),"""")"),"")</f>
        <v/>
      </c>
      <c r="O12" s="14" t="str">
        <f>IFERROR(__xludf.DUMMYFUNCTION("IFNA(FILTER(IMPORTRANGE(""https://docs.google.com/spreadsheets/d/1kGrh75X1cNR1D7_FcY9zMnHP8iPO4M5RCRjy6nZY0TY/edit#gid=1248694442"",""Table 4: 2nd-line HC or more!D5:D85""), $A12=IMPORTRANGE(""https://docs.google.com/spreadsheets/d/1kGrh75X1cNR1D7_FcY9zMn"&amp;"HP8iPO4M5RCRjy6nZY0TY/edit#gid=1248694442"",""Table 4: 2nd-line HC or more!A5:A85"")),"""")"),"")</f>
        <v/>
      </c>
      <c r="P12" s="14" t="str">
        <f>IFERROR(__xludf.DUMMYFUNCTION("IFNA(FILTER(IMPORTRANGE(""https://docs.google.com/spreadsheets/d/1kGrh75X1cNR1D7_FcY9zMnHP8iPO4M5RCRjy6nZY0TY/edit#gid=1248694442"",""Table 4: 2nd-line HC or more!E5:E85""), $A12=IMPORTRANGE(""https://docs.google.com/spreadsheets/d/1kGrh75X1cNR1D7_FcY9zMn"&amp;"HP8iPO4M5RCRjy6nZY0TY/edit#gid=1248694442"",""Table 4: 2nd-line HC or more!A5:A85"")),"""")"),"")</f>
        <v/>
      </c>
      <c r="Q12" s="14" t="str">
        <f>IFERROR(__xludf.DUMMYFUNCTION("IFNA(FILTER(IMPORTRANGE(""https://docs.google.com/spreadsheets/d/1kGrh75X1cNR1D7_FcY9zMnHP8iPO4M5RCRjy6nZY0TY/edit#gid=1248694442"",""Table 4: 2nd-line HC or more!F5:F85""), $A12=IMPORTRANGE(""https://docs.google.com/spreadsheets/d/1kGrh75X1cNR1D7_FcY9zMn"&amp;"HP8iPO4M5RCRjy6nZY0TY/edit#gid=1248694442"",""Table 4: 2nd-line HC or more!A5:A85"")),"""")"),"")</f>
        <v/>
      </c>
      <c r="R12" s="14" t="str">
        <f>IFERROR(__xludf.DUMMYFUNCTION("IFNA(FILTER(IMPORTRANGE(""https://docs.google.com/spreadsheets/d/1kGrh75X1cNR1D7_FcY9zMnHP8iPO4M5RCRjy6nZY0TY/edit#gid=1248694442"",""Table 4: 2nd-line HC or more!G5:G85""), $A12=IMPORTRANGE(""https://docs.google.com/spreadsheets/d/1kGrh75X1cNR1D7_FcY9zMn"&amp;"HP8iPO4M5RCRjy6nZY0TY/edit#gid=1248694442"",""Table 4: 2nd-line HC or more!A5:A85"")),"""")"),"")</f>
        <v/>
      </c>
      <c r="S12" s="14" t="str">
        <f>IFERROR(__xludf.DUMMYFUNCTION("IFNA(FILTER(IMPORTRANGE(""https://docs.google.com/spreadsheets/d/1kGrh75X1cNR1D7_FcY9zMnHP8iPO4M5RCRjy6nZY0TY/edit#gid=1248694442"",""Table 4: 2nd-line HC or more!H5:H85""), $A12=IMPORTRANGE(""https://docs.google.com/spreadsheets/d/1kGrh75X1cNR1D7_FcY9zMn"&amp;"HP8iPO4M5RCRjy6nZY0TY/edit#gid=1248694442"",""Table 4: 2nd-line HC or more!A5:A85"")),"""")"),"")</f>
        <v/>
      </c>
      <c r="T12" s="14" t="str">
        <f>IFERROR(__xludf.DUMMYFUNCTION("IFNA(FILTER(IMPORTRANGE(""https://docs.google.com/spreadsheets/d/1kGrh75X1cNR1D7_FcY9zMnHP8iPO4M5RCRjy6nZY0TY/edit#gid=1248694442"",""Table 3: 1st-line HC!F5:F111""), $A12=IMPORTRANGE(""https://docs.google.com/spreadsheets/d/1kGrh75X1cNR1D7_FcY9zMnHP8iPO4"&amp;"M5RCRjy6nZY0TY/edit#gid=1248694442"",""Table 3: 1st-line HC!A5:A111"")),"""")"),"")</f>
        <v/>
      </c>
      <c r="U12" s="14" t="str">
        <f>IFERROR(__xludf.DUMMYFUNCTION("IFNA(FILTER(IMPORTRANGE(""https://docs.google.com/spreadsheets/d/1kGrh75X1cNR1D7_FcY9zMnHP8iPO4M5RCRjy6nZY0TY/edit#gid=1248694442"",""Table 3: 1st-line HC!G5:G111""), $A12=IMPORTRANGE(""https://docs.google.com/spreadsheets/d/1kGrh75X1cNR1D7_FcY9zMnHP8iPO4"&amp;"M5RCRjy6nZY0TY/edit#gid=1248694442"",""Table 3: 1st-line HC!A5:A111"")),"""")"),"")</f>
        <v/>
      </c>
      <c r="V12" s="14" t="str">
        <f>IFERROR(__xludf.DUMMYFUNCTION("IFNA(FILTER(IMPORTRANGE(""https://docs.google.com/spreadsheets/d/1kGrh75X1cNR1D7_FcY9zMnHP8iPO4M5RCRjy6nZY0TY/edit#gid=1248694442"",""Table 3: 1st-line HC!H5:H111""), $A12=IMPORTRANGE(""https://docs.google.com/spreadsheets/d/1kGrh75X1cNR1D7_FcY9zMnHP8iPO4"&amp;"M5RCRjy6nZY0TY/edit#gid=1248694442"",""Table 3: 1st-line HC!A5:A111"")),"""")"),"")</f>
        <v/>
      </c>
      <c r="W12" s="14" t="str">
        <f>IFERROR(__xludf.DUMMYFUNCTION("IFNA(FILTER(IMPORTRANGE(""https://docs.google.com/spreadsheets/d/1kGrh75X1cNR1D7_FcY9zMnHP8iPO4M5RCRjy6nZY0TY/edit#gid=1248694442"",""Table 3: 1st-line HC!I5:I111""), $A12=IMPORTRANGE(""https://docs.google.com/spreadsheets/d/1kGrh75X1cNR1D7_FcY9zMnHP8iPO4"&amp;"M5RCRjy6nZY0TY/edit#gid=1248694442"",""Table 3: 1st-line HC!A5:A111"")),"""")"),"")</f>
        <v/>
      </c>
    </row>
    <row r="13">
      <c r="A13" s="4" t="str">
        <f>IFERROR(__xludf.DUMMYFUNCTION("""COMPUTED_VALUE"""),"ID 20")</f>
        <v>ID 20</v>
      </c>
      <c r="B13" s="14" t="str">
        <f>IFERROR(__xludf.DUMMYFUNCTION("IFNA(FILTER(IMPORTRANGE(""https://docs.google.com/spreadsheets/d/1kGrh75X1cNR1D7_FcY9zMnHP8iPO4M5RCRjy6nZY0TY/edit#gid=1248694442"",""Table 3: 1st-line HC!AZ5:AZ111""), $A13=IMPORTRANGE(""https://docs.google.com/spreadsheets/d/1kGrh75X1cNR1D7_FcY9zMnHP8iP"&amp;"O4M5RCRjy6nZY0TY/edit#gid=1248694442"",""Table 3: 1st-line HC!A5:A111"")),"""")"),"")</f>
        <v/>
      </c>
      <c r="C13" s="14" t="str">
        <f>IFERROR(__xludf.DUMMYFUNCTION("IFNA(FILTER(IMPORTRANGE(""https://docs.google.com/spreadsheets/d/1kGrh75X1cNR1D7_FcY9zMnHP8iPO4M5RCRjy6nZY0TY/edit#gid=1248694442"",""Table 3: 1st-line HC!BA5:BA111""), $A13=IMPORTRANGE(""https://docs.google.com/spreadsheets/d/1kGrh75X1cNR1D7_FcY9zMnHP8iP"&amp;"O4M5RCRjy6nZY0TY/edit#gid=1248694442"",""Table 3: 1st-line HC!A5:A111"")),"""")"),"")</f>
        <v/>
      </c>
      <c r="D13" s="14" t="str">
        <f>IFERROR(__xludf.DUMMYFUNCTION("IFNA(FILTER(IMPORTRANGE(""https://docs.google.com/spreadsheets/d/1kGrh75X1cNR1D7_FcY9zMnHP8iPO4M5RCRjy6nZY0TY/edit#gid=1248694442"",""Table 3: 1st-line HC!BB5:BB111""), $A13=IMPORTRANGE(""https://docs.google.com/spreadsheets/d/1kGrh75X1cNR1D7_FcY9zMnHP8iP"&amp;"O4M5RCRjy6nZY0TY/edit#gid=1248694442"",""Table 3: 1st-line HC!A5:A111"")),"""")"),"")</f>
        <v/>
      </c>
      <c r="E13" s="19" t="str">
        <f>IFERROR(__xludf.DUMMYFUNCTION("IFNA(FILTER(IMPORTRANGE(""https://docs.google.com/spreadsheets/d/1kGrh75X1cNR1D7_FcY9zMnHP8iPO4M5RCRjy6nZY0TY/edit#gid=1248694442"",""Table 3: 1st-line HC!BC5:BC111""), $A13=IMPORTRANGE(""https://docs.google.com/spreadsheets/d/1kGrh75X1cNR1D7_FcY9zMnHP8iP"&amp;"O4M5RCRjy6nZY0TY/edit#gid=1248694442"",""Table 3: 1st-line HC!A5:A111"")),"""")"),"")</f>
        <v/>
      </c>
      <c r="F13" s="14" t="str">
        <f>IFERROR(__xludf.DUMMYFUNCTION("IFNA(FILTER(IMPORTRANGE(""https://docs.google.com/spreadsheets/d/1kGrh75X1cNR1D7_FcY9zMnHP8iPO4M5RCRjy6nZY0TY/edit#gid=1248694442"",""Table 3: 1st-line HC!Y5:Y111""), $A13=IMPORTRANGE(""https://docs.google.com/spreadsheets/d/1kGrh75X1cNR1D7_FcY9zMnHP8iPO4"&amp;"M5RCRjy6nZY0TY/edit#gid=1248694442"",""Table 3: 1st-line HC!A5:A111"")),"""")"),"")</f>
        <v/>
      </c>
      <c r="G13" s="14">
        <f>IFERROR(__xludf.DUMMYFUNCTION("IFNA(FILTER(IMPORTRANGE(""https://docs.google.com/spreadsheets/d/1kGrh75X1cNR1D7_FcY9zMnHP8iPO4M5RCRjy6nZY0TY/edit#gid=1248694442"",""Table 3: 1st-line HC!Z5:Z111""), $A13=IMPORTRANGE(""https://docs.google.com/spreadsheets/d/1kGrh75X1cNR1D7_FcY9zMnHP8iPO4"&amp;"M5RCRjy6nZY0TY/edit#gid=1248694442"",""Table 3: 1st-line HC!A5:A111"")),"""")"),8.0)</f>
        <v>8</v>
      </c>
      <c r="H13" s="14" t="str">
        <f>IFERROR(__xludf.DUMMYFUNCTION("IFNA(FILTER(IMPORTRANGE(""https://docs.google.com/spreadsheets/d/1kGrh75X1cNR1D7_FcY9zMnHP8iPO4M5RCRjy6nZY0TY/edit#gid=1248694442"",""Table 3: 1st-line HC!AA5:AA111""), $A13=IMPORTRANGE(""https://docs.google.com/spreadsheets/d/1kGrh75X1cNR1D7_FcY9zMnHP8iP"&amp;"O4M5RCRjy6nZY0TY/edit#gid=1248694442"",""Table 3: 1st-line HC!A5:A111"")),"""")"),"")</f>
        <v/>
      </c>
      <c r="I13" s="14" t="str">
        <f>IFERROR(__xludf.DUMMYFUNCTION("IFNA(FILTER(IMPORTRANGE(""https://docs.google.com/spreadsheets/d/1kGrh75X1cNR1D7_FcY9zMnHP8iPO4M5RCRjy6nZY0TY/edit#gid=1248694442"",""Table 3: 1st-line HC!AB5:AB111""), $A13=IMPORTRANGE(""https://docs.google.com/spreadsheets/d/1kGrh75X1cNR1D7_FcY9zMnHP8iP"&amp;"O4M5RCRjy6nZY0TY/edit#gid=1248694442"",""Table 3: 1st-line HC!A5:A111"")),"""")"),"")</f>
        <v/>
      </c>
      <c r="J13" s="14" t="str">
        <f>IFERROR(__xludf.DUMMYFUNCTION("IFNA(FILTER(IMPORTRANGE(""https://docs.google.com/spreadsheets/d/1kGrh75X1cNR1D7_FcY9zMnHP8iPO4M5RCRjy6nZY0TY/edit#gid=1248694442"",""Table 3: 1st-line HC!AC5:AC111""), $A13=IMPORTRANGE(""https://docs.google.com/spreadsheets/d/1kGrh75X1cNR1D7_FcY9zMnHP8iP"&amp;"O4M5RCRjy6nZY0TY/edit#gid=1248694442"",""Table 3: 1st-line HC!A5:A111"")),"""")"),"")</f>
        <v/>
      </c>
      <c r="K13" s="20" t="str">
        <f>IFERROR(__xludf.DUMMYFUNCTION("IFNA(FILTER(IMPORTRANGE(""https://docs.google.com/spreadsheets/d/1kGrh75X1cNR1D7_FcY9zMnHP8iPO4M5RCRjy6nZY0TY/edit#gid=1248694442"",""Table 3: 1st-line HC!AD5:AD111""), $A13=IMPORTRANGE(""https://docs.google.com/spreadsheets/d/1kGrh75X1cNR1D7_FcY9zMnHP8iP"&amp;"O4M5RCRjy6nZY0TY/edit#gid=1248694442"",""Table 3: 1st-line HC!A5:A111"")),"""")"),"")</f>
        <v/>
      </c>
      <c r="L13" s="14" t="str">
        <f>IFERROR(__xludf.DUMMYFUNCTION("IFNA(FILTER(IMPORTRANGE(""https://docs.google.com/spreadsheets/d/1kGrh75X1cNR1D7_FcY9zMnHP8iPO4M5RCRjy6nZY0TY/edit#gid=1248694442"",""Table 3: 1st-line HC!W5:W111""), $A13=IMPORTRANGE(""https://docs.google.com/spreadsheets/d/1kGrh75X1cNR1D7_FcY9zMnHP8iPO4"&amp;"M5RCRjy6nZY0TY/edit#gid=1248694442"",""Table 3: 1st-line HC!A5:A111"")),"""")"),"")</f>
        <v/>
      </c>
      <c r="M13" s="14" t="str">
        <f>IFERROR(__xludf.DUMMYFUNCTION("IFNA(FILTER(IMPORTRANGE(""https://docs.google.com/spreadsheets/d/1kGrh75X1cNR1D7_FcY9zMnHP8iPO4M5RCRjy6nZY0TY/edit#gid=1248694442"",""Table 3: 1st-line HC!X5:X111""), $A13=IMPORTRANGE(""https://docs.google.com/spreadsheets/d/1kGrh75X1cNR1D7_FcY9zMnHP8iPO4"&amp;"M5RCRjy6nZY0TY/edit#gid=1248694442"",""Table 3: 1st-line HC!A5:A111"")),"""")"),"")</f>
        <v/>
      </c>
      <c r="N13" s="14" t="str">
        <f>IFERROR(__xludf.DUMMYFUNCTION("IFNA(FILTER(IMPORTRANGE(""https://docs.google.com/spreadsheets/d/1kGrh75X1cNR1D7_FcY9zMnHP8iPO4M5RCRjy6nZY0TY/edit#gid=1248694442"",""Table 4: 2nd-line HC or more!C5:C85""), $A13=IMPORTRANGE(""https://docs.google.com/spreadsheets/d/1kGrh75X1cNR1D7_FcY9zMn"&amp;"HP8iPO4M5RCRjy6nZY0TY/edit#gid=1248694442"",""Table 4: 2nd-line HC or more!A5:A85"")),"""")"),"")</f>
        <v/>
      </c>
      <c r="O13" s="14" t="str">
        <f>IFERROR(__xludf.DUMMYFUNCTION("IFNA(FILTER(IMPORTRANGE(""https://docs.google.com/spreadsheets/d/1kGrh75X1cNR1D7_FcY9zMnHP8iPO4M5RCRjy6nZY0TY/edit#gid=1248694442"",""Table 4: 2nd-line HC or more!D5:D85""), $A13=IMPORTRANGE(""https://docs.google.com/spreadsheets/d/1kGrh75X1cNR1D7_FcY9zMn"&amp;"HP8iPO4M5RCRjy6nZY0TY/edit#gid=1248694442"",""Table 4: 2nd-line HC or more!A5:A85"")),"""")"),"")</f>
        <v/>
      </c>
      <c r="P13" s="14" t="str">
        <f>IFERROR(__xludf.DUMMYFUNCTION("IFNA(FILTER(IMPORTRANGE(""https://docs.google.com/spreadsheets/d/1kGrh75X1cNR1D7_FcY9zMnHP8iPO4M5RCRjy6nZY0TY/edit#gid=1248694442"",""Table 4: 2nd-line HC or more!E5:E85""), $A13=IMPORTRANGE(""https://docs.google.com/spreadsheets/d/1kGrh75X1cNR1D7_FcY9zMn"&amp;"HP8iPO4M5RCRjy6nZY0TY/edit#gid=1248694442"",""Table 4: 2nd-line HC or more!A5:A85"")),"""")"),"")</f>
        <v/>
      </c>
      <c r="Q13" s="14" t="str">
        <f>IFERROR(__xludf.DUMMYFUNCTION("IFNA(FILTER(IMPORTRANGE(""https://docs.google.com/spreadsheets/d/1kGrh75X1cNR1D7_FcY9zMnHP8iPO4M5RCRjy6nZY0TY/edit#gid=1248694442"",""Table 4: 2nd-line HC or more!F5:F85""), $A13=IMPORTRANGE(""https://docs.google.com/spreadsheets/d/1kGrh75X1cNR1D7_FcY9zMn"&amp;"HP8iPO4M5RCRjy6nZY0TY/edit#gid=1248694442"",""Table 4: 2nd-line HC or more!A5:A85"")),"""")"),"")</f>
        <v/>
      </c>
      <c r="R13" s="14" t="str">
        <f>IFERROR(__xludf.DUMMYFUNCTION("IFNA(FILTER(IMPORTRANGE(""https://docs.google.com/spreadsheets/d/1kGrh75X1cNR1D7_FcY9zMnHP8iPO4M5RCRjy6nZY0TY/edit#gid=1248694442"",""Table 4: 2nd-line HC or more!G5:G85""), $A13=IMPORTRANGE(""https://docs.google.com/spreadsheets/d/1kGrh75X1cNR1D7_FcY9zMn"&amp;"HP8iPO4M5RCRjy6nZY0TY/edit#gid=1248694442"",""Table 4: 2nd-line HC or more!A5:A85"")),"""")"),"")</f>
        <v/>
      </c>
      <c r="S13" s="14" t="str">
        <f>IFERROR(__xludf.DUMMYFUNCTION("IFNA(FILTER(IMPORTRANGE(""https://docs.google.com/spreadsheets/d/1kGrh75X1cNR1D7_FcY9zMnHP8iPO4M5RCRjy6nZY0TY/edit#gid=1248694442"",""Table 4: 2nd-line HC or more!H5:H85""), $A13=IMPORTRANGE(""https://docs.google.com/spreadsheets/d/1kGrh75X1cNR1D7_FcY9zMn"&amp;"HP8iPO4M5RCRjy6nZY0TY/edit#gid=1248694442"",""Table 4: 2nd-line HC or more!A5:A85"")),"""")"),"")</f>
        <v/>
      </c>
      <c r="T13" s="14">
        <f>IFERROR(__xludf.DUMMYFUNCTION("IFNA(FILTER(IMPORTRANGE(""https://docs.google.com/spreadsheets/d/1kGrh75X1cNR1D7_FcY9zMnHP8iPO4M5RCRjy6nZY0TY/edit#gid=1248694442"",""Table 3: 1st-line HC!F5:F111""), $A13=IMPORTRANGE(""https://docs.google.com/spreadsheets/d/1kGrh75X1cNR1D7_FcY9zMnHP8iPO4"&amp;"M5RCRjy6nZY0TY/edit#gid=1248694442"",""Table 3: 1st-line HC!A5:A111"")),"""")"),8.0)</f>
        <v>8</v>
      </c>
      <c r="U13" s="14" t="str">
        <f>IFERROR(__xludf.DUMMYFUNCTION("IFNA(FILTER(IMPORTRANGE(""https://docs.google.com/spreadsheets/d/1kGrh75X1cNR1D7_FcY9zMnHP8iPO4M5RCRjy6nZY0TY/edit#gid=1248694442"",""Table 3: 1st-line HC!G5:G111""), $A13=IMPORTRANGE(""https://docs.google.com/spreadsheets/d/1kGrh75X1cNR1D7_FcY9zMnHP8iPO4"&amp;"M5RCRjy6nZY0TY/edit#gid=1248694442"",""Table 3: 1st-line HC!A5:A111"")),"""")"),"")</f>
        <v/>
      </c>
      <c r="V13" s="14">
        <f>IFERROR(__xludf.DUMMYFUNCTION("IFNA(FILTER(IMPORTRANGE(""https://docs.google.com/spreadsheets/d/1kGrh75X1cNR1D7_FcY9zMnHP8iPO4M5RCRjy6nZY0TY/edit#gid=1248694442"",""Table 3: 1st-line HC!H5:H111""), $A13=IMPORTRANGE(""https://docs.google.com/spreadsheets/d/1kGrh75X1cNR1D7_FcY9zMnHP8iPO4"&amp;"M5RCRjy6nZY0TY/edit#gid=1248694442"",""Table 3: 1st-line HC!A5:A111"")),"""")"),8.0)</f>
        <v>8</v>
      </c>
      <c r="W13" s="14" t="str">
        <f>IFERROR(__xludf.DUMMYFUNCTION("IFNA(FILTER(IMPORTRANGE(""https://docs.google.com/spreadsheets/d/1kGrh75X1cNR1D7_FcY9zMnHP8iPO4M5RCRjy6nZY0TY/edit#gid=1248694442"",""Table 3: 1st-line HC!I5:I111""), $A13=IMPORTRANGE(""https://docs.google.com/spreadsheets/d/1kGrh75X1cNR1D7_FcY9zMnHP8iPO4"&amp;"M5RCRjy6nZY0TY/edit#gid=1248694442"",""Table 3: 1st-line HC!A5:A111"")),"""")"),"")</f>
        <v/>
      </c>
    </row>
    <row r="14">
      <c r="A14" s="4" t="str">
        <f>IFERROR(__xludf.DUMMYFUNCTION("""COMPUTED_VALUE"""),"ID 22")</f>
        <v>ID 22</v>
      </c>
      <c r="B14" s="14" t="str">
        <f>IFERROR(__xludf.DUMMYFUNCTION("IFNA(FILTER(IMPORTRANGE(""https://docs.google.com/spreadsheets/d/1kGrh75X1cNR1D7_FcY9zMnHP8iPO4M5RCRjy6nZY0TY/edit#gid=1248694442"",""Table 3: 1st-line HC!AZ5:AZ111""), $A14=IMPORTRANGE(""https://docs.google.com/spreadsheets/d/1kGrh75X1cNR1D7_FcY9zMnHP8iP"&amp;"O4M5RCRjy6nZY0TY/edit#gid=1248694442"",""Table 3: 1st-line HC!A5:A111"")),"""")"),"")</f>
        <v/>
      </c>
      <c r="C14" s="14" t="str">
        <f>IFERROR(__xludf.DUMMYFUNCTION("IFNA(FILTER(IMPORTRANGE(""https://docs.google.com/spreadsheets/d/1kGrh75X1cNR1D7_FcY9zMnHP8iPO4M5RCRjy6nZY0TY/edit#gid=1248694442"",""Table 3: 1st-line HC!BA5:BA111""), $A14=IMPORTRANGE(""https://docs.google.com/spreadsheets/d/1kGrh75X1cNR1D7_FcY9zMnHP8iP"&amp;"O4M5RCRjy6nZY0TY/edit#gid=1248694442"",""Table 3: 1st-line HC!A5:A111"")),"""")"),"")</f>
        <v/>
      </c>
      <c r="D14" s="14" t="str">
        <f>IFERROR(__xludf.DUMMYFUNCTION("IFNA(FILTER(IMPORTRANGE(""https://docs.google.com/spreadsheets/d/1kGrh75X1cNR1D7_FcY9zMnHP8iPO4M5RCRjy6nZY0TY/edit#gid=1248694442"",""Table 3: 1st-line HC!BB5:BB111""), $A14=IMPORTRANGE(""https://docs.google.com/spreadsheets/d/1kGrh75X1cNR1D7_FcY9zMnHP8iP"&amp;"O4M5RCRjy6nZY0TY/edit#gid=1248694442"",""Table 3: 1st-line HC!A5:A111"")),"""")"),"")</f>
        <v/>
      </c>
      <c r="E14" s="19" t="str">
        <f>IFERROR(__xludf.DUMMYFUNCTION("IFNA(FILTER(IMPORTRANGE(""https://docs.google.com/spreadsheets/d/1kGrh75X1cNR1D7_FcY9zMnHP8iPO4M5RCRjy6nZY0TY/edit#gid=1248694442"",""Table 3: 1st-line HC!BC5:BC111""), $A14=IMPORTRANGE(""https://docs.google.com/spreadsheets/d/1kGrh75X1cNR1D7_FcY9zMnHP8iP"&amp;"O4M5RCRjy6nZY0TY/edit#gid=1248694442"",""Table 3: 1st-line HC!A5:A111"")),"""")"),"")</f>
        <v/>
      </c>
      <c r="F14" s="14" t="str">
        <f>IFERROR(__xludf.DUMMYFUNCTION("IFNA(FILTER(IMPORTRANGE(""https://docs.google.com/spreadsheets/d/1kGrh75X1cNR1D7_FcY9zMnHP8iPO4M5RCRjy6nZY0TY/edit#gid=1248694442"",""Table 3: 1st-line HC!Y5:Y111""), $A14=IMPORTRANGE(""https://docs.google.com/spreadsheets/d/1kGrh75X1cNR1D7_FcY9zMnHP8iPO4"&amp;"M5RCRjy6nZY0TY/edit#gid=1248694442"",""Table 3: 1st-line HC!A5:A111"")),"""")"),"")</f>
        <v/>
      </c>
      <c r="G14" s="14">
        <f>IFERROR(__xludf.DUMMYFUNCTION("IFNA(FILTER(IMPORTRANGE(""https://docs.google.com/spreadsheets/d/1kGrh75X1cNR1D7_FcY9zMnHP8iPO4M5RCRjy6nZY0TY/edit#gid=1248694442"",""Table 3: 1st-line HC!Z5:Z111""), $A14=IMPORTRANGE(""https://docs.google.com/spreadsheets/d/1kGrh75X1cNR1D7_FcY9zMnHP8iPO4"&amp;"M5RCRjy6nZY0TY/edit#gid=1248694442"",""Table 3: 1st-line HC!A5:A111"")),"""")"),27.0)</f>
        <v>27</v>
      </c>
      <c r="H14" s="14" t="str">
        <f>IFERROR(__xludf.DUMMYFUNCTION("IFNA(FILTER(IMPORTRANGE(""https://docs.google.com/spreadsheets/d/1kGrh75X1cNR1D7_FcY9zMnHP8iPO4M5RCRjy6nZY0TY/edit#gid=1248694442"",""Table 3: 1st-line HC!AA5:AA111""), $A14=IMPORTRANGE(""https://docs.google.com/spreadsheets/d/1kGrh75X1cNR1D7_FcY9zMnHP8iP"&amp;"O4M5RCRjy6nZY0TY/edit#gid=1248694442"",""Table 3: 1st-line HC!A5:A111"")),"""")"),"")</f>
        <v/>
      </c>
      <c r="I14" s="14" t="str">
        <f>IFERROR(__xludf.DUMMYFUNCTION("IFNA(FILTER(IMPORTRANGE(""https://docs.google.com/spreadsheets/d/1kGrh75X1cNR1D7_FcY9zMnHP8iPO4M5RCRjy6nZY0TY/edit#gid=1248694442"",""Table 3: 1st-line HC!AB5:AB111""), $A14=IMPORTRANGE(""https://docs.google.com/spreadsheets/d/1kGrh75X1cNR1D7_FcY9zMnHP8iP"&amp;"O4M5RCRjy6nZY0TY/edit#gid=1248694442"",""Table 3: 1st-line HC!A5:A111"")),"""")"),"")</f>
        <v/>
      </c>
      <c r="J14" s="14" t="str">
        <f>IFERROR(__xludf.DUMMYFUNCTION("IFNA(FILTER(IMPORTRANGE(""https://docs.google.com/spreadsheets/d/1kGrh75X1cNR1D7_FcY9zMnHP8iPO4M5RCRjy6nZY0TY/edit#gid=1248694442"",""Table 3: 1st-line HC!AC5:AC111""), $A14=IMPORTRANGE(""https://docs.google.com/spreadsheets/d/1kGrh75X1cNR1D7_FcY9zMnHP8iP"&amp;"O4M5RCRjy6nZY0TY/edit#gid=1248694442"",""Table 3: 1st-line HC!A5:A111"")),"""")"),"")</f>
        <v/>
      </c>
      <c r="K14" s="20" t="str">
        <f>IFERROR(__xludf.DUMMYFUNCTION("IFNA(FILTER(IMPORTRANGE(""https://docs.google.com/spreadsheets/d/1kGrh75X1cNR1D7_FcY9zMnHP8iPO4M5RCRjy6nZY0TY/edit#gid=1248694442"",""Table 3: 1st-line HC!AD5:AD111""), $A14=IMPORTRANGE(""https://docs.google.com/spreadsheets/d/1kGrh75X1cNR1D7_FcY9zMnHP8iP"&amp;"O4M5RCRjy6nZY0TY/edit#gid=1248694442"",""Table 3: 1st-line HC!A5:A111"")),"""")"),"")</f>
        <v/>
      </c>
      <c r="L14" s="14" t="str">
        <f>IFERROR(__xludf.DUMMYFUNCTION("IFNA(FILTER(IMPORTRANGE(""https://docs.google.com/spreadsheets/d/1kGrh75X1cNR1D7_FcY9zMnHP8iPO4M5RCRjy6nZY0TY/edit#gid=1248694442"",""Table 3: 1st-line HC!W5:W111""), $A14=IMPORTRANGE(""https://docs.google.com/spreadsheets/d/1kGrh75X1cNR1D7_FcY9zMnHP8iPO4"&amp;"M5RCRjy6nZY0TY/edit#gid=1248694442"",""Table 3: 1st-line HC!A5:A111"")),"""")"),"")</f>
        <v/>
      </c>
      <c r="M14" s="14" t="str">
        <f>IFERROR(__xludf.DUMMYFUNCTION("IFNA(FILTER(IMPORTRANGE(""https://docs.google.com/spreadsheets/d/1kGrh75X1cNR1D7_FcY9zMnHP8iPO4M5RCRjy6nZY0TY/edit#gid=1248694442"",""Table 3: 1st-line HC!X5:X111""), $A14=IMPORTRANGE(""https://docs.google.com/spreadsheets/d/1kGrh75X1cNR1D7_FcY9zMnHP8iPO4"&amp;"M5RCRjy6nZY0TY/edit#gid=1248694442"",""Table 3: 1st-line HC!A5:A111"")),"""")"),"")</f>
        <v/>
      </c>
      <c r="N14" s="14" t="str">
        <f>IFERROR(__xludf.DUMMYFUNCTION("IFNA(FILTER(IMPORTRANGE(""https://docs.google.com/spreadsheets/d/1kGrh75X1cNR1D7_FcY9zMnHP8iPO4M5RCRjy6nZY0TY/edit#gid=1248694442"",""Table 4: 2nd-line HC or more!C5:C85""), $A14=IMPORTRANGE(""https://docs.google.com/spreadsheets/d/1kGrh75X1cNR1D7_FcY9zMn"&amp;"HP8iPO4M5RCRjy6nZY0TY/edit#gid=1248694442"",""Table 4: 2nd-line HC or more!A5:A85"")),"""")"),"")</f>
        <v/>
      </c>
      <c r="O14" s="14" t="str">
        <f>IFERROR(__xludf.DUMMYFUNCTION("IFNA(FILTER(IMPORTRANGE(""https://docs.google.com/spreadsheets/d/1kGrh75X1cNR1D7_FcY9zMnHP8iPO4M5RCRjy6nZY0TY/edit#gid=1248694442"",""Table 4: 2nd-line HC or more!D5:D85""), $A14=IMPORTRANGE(""https://docs.google.com/spreadsheets/d/1kGrh75X1cNR1D7_FcY9zMn"&amp;"HP8iPO4M5RCRjy6nZY0TY/edit#gid=1248694442"",""Table 4: 2nd-line HC or more!A5:A85"")),"""")"),"")</f>
        <v/>
      </c>
      <c r="P14" s="14" t="str">
        <f>IFERROR(__xludf.DUMMYFUNCTION("IFNA(FILTER(IMPORTRANGE(""https://docs.google.com/spreadsheets/d/1kGrh75X1cNR1D7_FcY9zMnHP8iPO4M5RCRjy6nZY0TY/edit#gid=1248694442"",""Table 4: 2nd-line HC or more!E5:E85""), $A14=IMPORTRANGE(""https://docs.google.com/spreadsheets/d/1kGrh75X1cNR1D7_FcY9zMn"&amp;"HP8iPO4M5RCRjy6nZY0TY/edit#gid=1248694442"",""Table 4: 2nd-line HC or more!A5:A85"")),"""")"),"")</f>
        <v/>
      </c>
      <c r="Q14" s="14" t="str">
        <f>IFERROR(__xludf.DUMMYFUNCTION("IFNA(FILTER(IMPORTRANGE(""https://docs.google.com/spreadsheets/d/1kGrh75X1cNR1D7_FcY9zMnHP8iPO4M5RCRjy6nZY0TY/edit#gid=1248694442"",""Table 4: 2nd-line HC or more!F5:F85""), $A14=IMPORTRANGE(""https://docs.google.com/spreadsheets/d/1kGrh75X1cNR1D7_FcY9zMn"&amp;"HP8iPO4M5RCRjy6nZY0TY/edit#gid=1248694442"",""Table 4: 2nd-line HC or more!A5:A85"")),"""")"),"")</f>
        <v/>
      </c>
      <c r="R14" s="14" t="str">
        <f>IFERROR(__xludf.DUMMYFUNCTION("IFNA(FILTER(IMPORTRANGE(""https://docs.google.com/spreadsheets/d/1kGrh75X1cNR1D7_FcY9zMnHP8iPO4M5RCRjy6nZY0TY/edit#gid=1248694442"",""Table 4: 2nd-line HC or more!G5:G85""), $A14=IMPORTRANGE(""https://docs.google.com/spreadsheets/d/1kGrh75X1cNR1D7_FcY9zMn"&amp;"HP8iPO4M5RCRjy6nZY0TY/edit#gid=1248694442"",""Table 4: 2nd-line HC or more!A5:A85"")),"""")"),"")</f>
        <v/>
      </c>
      <c r="S14" s="14" t="str">
        <f>IFERROR(__xludf.DUMMYFUNCTION("IFNA(FILTER(IMPORTRANGE(""https://docs.google.com/spreadsheets/d/1kGrh75X1cNR1D7_FcY9zMnHP8iPO4M5RCRjy6nZY0TY/edit#gid=1248694442"",""Table 4: 2nd-line HC or more!H5:H85""), $A14=IMPORTRANGE(""https://docs.google.com/spreadsheets/d/1kGrh75X1cNR1D7_FcY9zMn"&amp;"HP8iPO4M5RCRjy6nZY0TY/edit#gid=1248694442"",""Table 4: 2nd-line HC or more!A5:A85"")),"""")"),"")</f>
        <v/>
      </c>
      <c r="T14" s="14" t="str">
        <f>IFERROR(__xludf.DUMMYFUNCTION("IFNA(FILTER(IMPORTRANGE(""https://docs.google.com/spreadsheets/d/1kGrh75X1cNR1D7_FcY9zMnHP8iPO4M5RCRjy6nZY0TY/edit#gid=1248694442"",""Table 3: 1st-line HC!F5:F111""), $A14=IMPORTRANGE(""https://docs.google.com/spreadsheets/d/1kGrh75X1cNR1D7_FcY9zMnHP8iPO4"&amp;"M5RCRjy6nZY0TY/edit#gid=1248694442"",""Table 3: 1st-line HC!A5:A111"")),"""")"),"")</f>
        <v/>
      </c>
      <c r="U14" s="14" t="str">
        <f>IFERROR(__xludf.DUMMYFUNCTION("IFNA(FILTER(IMPORTRANGE(""https://docs.google.com/spreadsheets/d/1kGrh75X1cNR1D7_FcY9zMnHP8iPO4M5RCRjy6nZY0TY/edit#gid=1248694442"",""Table 3: 1st-line HC!G5:G111""), $A14=IMPORTRANGE(""https://docs.google.com/spreadsheets/d/1kGrh75X1cNR1D7_FcY9zMnHP8iPO4"&amp;"M5RCRjy6nZY0TY/edit#gid=1248694442"",""Table 3: 1st-line HC!A5:A111"")),"""")"),"")</f>
        <v/>
      </c>
      <c r="V14" s="14" t="str">
        <f>IFERROR(__xludf.DUMMYFUNCTION("IFNA(FILTER(IMPORTRANGE(""https://docs.google.com/spreadsheets/d/1kGrh75X1cNR1D7_FcY9zMnHP8iPO4M5RCRjy6nZY0TY/edit#gid=1248694442"",""Table 3: 1st-line HC!H5:H111""), $A14=IMPORTRANGE(""https://docs.google.com/spreadsheets/d/1kGrh75X1cNR1D7_FcY9zMnHP8iPO4"&amp;"M5RCRjy6nZY0TY/edit#gid=1248694442"",""Table 3: 1st-line HC!A5:A111"")),"""")"),"")</f>
        <v/>
      </c>
      <c r="W14" s="14" t="str">
        <f>IFERROR(__xludf.DUMMYFUNCTION("IFNA(FILTER(IMPORTRANGE(""https://docs.google.com/spreadsheets/d/1kGrh75X1cNR1D7_FcY9zMnHP8iPO4M5RCRjy6nZY0TY/edit#gid=1248694442"",""Table 3: 1st-line HC!I5:I111""), $A14=IMPORTRANGE(""https://docs.google.com/spreadsheets/d/1kGrh75X1cNR1D7_FcY9zMnHP8iPO4"&amp;"M5RCRjy6nZY0TY/edit#gid=1248694442"",""Table 3: 1st-line HC!A5:A111"")),"""")"),"")</f>
        <v/>
      </c>
    </row>
    <row r="15">
      <c r="A15" s="4" t="str">
        <f>IFERROR(__xludf.DUMMYFUNCTION("""COMPUTED_VALUE"""),"ID 23")</f>
        <v>ID 23</v>
      </c>
      <c r="B15" s="14" t="str">
        <f>IFERROR(__xludf.DUMMYFUNCTION("IFNA(FILTER(IMPORTRANGE(""https://docs.google.com/spreadsheets/d/1kGrh75X1cNR1D7_FcY9zMnHP8iPO4M5RCRjy6nZY0TY/edit#gid=1248694442"",""Table 3: 1st-line HC!AZ5:AZ111""), $A15=IMPORTRANGE(""https://docs.google.com/spreadsheets/d/1kGrh75X1cNR1D7_FcY9zMnHP8iP"&amp;"O4M5RCRjy6nZY0TY/edit#gid=1248694442"",""Table 3: 1st-line HC!A5:A111"")),"""")"),"")</f>
        <v/>
      </c>
      <c r="C15" s="14" t="str">
        <f>IFERROR(__xludf.DUMMYFUNCTION("IFNA(FILTER(IMPORTRANGE(""https://docs.google.com/spreadsheets/d/1kGrh75X1cNR1D7_FcY9zMnHP8iPO4M5RCRjy6nZY0TY/edit#gid=1248694442"",""Table 3: 1st-line HC!BA5:BA111""), $A15=IMPORTRANGE(""https://docs.google.com/spreadsheets/d/1kGrh75X1cNR1D7_FcY9zMnHP8iP"&amp;"O4M5RCRjy6nZY0TY/edit#gid=1248694442"",""Table 3: 1st-line HC!A5:A111"")),"""")"),"")</f>
        <v/>
      </c>
      <c r="D15" s="14" t="str">
        <f>IFERROR(__xludf.DUMMYFUNCTION("IFNA(FILTER(IMPORTRANGE(""https://docs.google.com/spreadsheets/d/1kGrh75X1cNR1D7_FcY9zMnHP8iPO4M5RCRjy6nZY0TY/edit#gid=1248694442"",""Table 3: 1st-line HC!BB5:BB111""), $A15=IMPORTRANGE(""https://docs.google.com/spreadsheets/d/1kGrh75X1cNR1D7_FcY9zMnHP8iP"&amp;"O4M5RCRjy6nZY0TY/edit#gid=1248694442"",""Table 3: 1st-line HC!A5:A111"")),"""")"),"")</f>
        <v/>
      </c>
      <c r="E15" s="19" t="str">
        <f>IFERROR(__xludf.DUMMYFUNCTION("IFNA(FILTER(IMPORTRANGE(""https://docs.google.com/spreadsheets/d/1kGrh75X1cNR1D7_FcY9zMnHP8iPO4M5RCRjy6nZY0TY/edit#gid=1248694442"",""Table 3: 1st-line HC!BC5:BC111""), $A15=IMPORTRANGE(""https://docs.google.com/spreadsheets/d/1kGrh75X1cNR1D7_FcY9zMnHP8iP"&amp;"O4M5RCRjy6nZY0TY/edit#gid=1248694442"",""Table 3: 1st-line HC!A5:A111"")),"""")"),"")</f>
        <v/>
      </c>
      <c r="F15" s="14" t="str">
        <f>IFERROR(__xludf.DUMMYFUNCTION("IFNA(FILTER(IMPORTRANGE(""https://docs.google.com/spreadsheets/d/1kGrh75X1cNR1D7_FcY9zMnHP8iPO4M5RCRjy6nZY0TY/edit#gid=1248694442"",""Table 3: 1st-line HC!Y5:Y111""), $A15=IMPORTRANGE(""https://docs.google.com/spreadsheets/d/1kGrh75X1cNR1D7_FcY9zMnHP8iPO4"&amp;"M5RCRjy6nZY0TY/edit#gid=1248694442"",""Table 3: 1st-line HC!A5:A111"")),"""")"),"")</f>
        <v/>
      </c>
      <c r="G15" s="14">
        <f>IFERROR(__xludf.DUMMYFUNCTION("IFNA(FILTER(IMPORTRANGE(""https://docs.google.com/spreadsheets/d/1kGrh75X1cNR1D7_FcY9zMnHP8iPO4M5RCRjy6nZY0TY/edit#gid=1248694442"",""Table 3: 1st-line HC!Z5:Z111""), $A15=IMPORTRANGE(""https://docs.google.com/spreadsheets/d/1kGrh75X1cNR1D7_FcY9zMnHP8iPO4"&amp;"M5RCRjy6nZY0TY/edit#gid=1248694442"",""Table 3: 1st-line HC!A5:A111"")),"""")"),32.0)</f>
        <v>32</v>
      </c>
      <c r="H15" s="14" t="str">
        <f>IFERROR(__xludf.DUMMYFUNCTION("IFNA(FILTER(IMPORTRANGE(""https://docs.google.com/spreadsheets/d/1kGrh75X1cNR1D7_FcY9zMnHP8iPO4M5RCRjy6nZY0TY/edit#gid=1248694442"",""Table 3: 1st-line HC!AA5:AA111""), $A15=IMPORTRANGE(""https://docs.google.com/spreadsheets/d/1kGrh75X1cNR1D7_FcY9zMnHP8iP"&amp;"O4M5RCRjy6nZY0TY/edit#gid=1248694442"",""Table 3: 1st-line HC!A5:A111"")),"""")"),"")</f>
        <v/>
      </c>
      <c r="I15" s="14" t="str">
        <f>IFERROR(__xludf.DUMMYFUNCTION("IFNA(FILTER(IMPORTRANGE(""https://docs.google.com/spreadsheets/d/1kGrh75X1cNR1D7_FcY9zMnHP8iPO4M5RCRjy6nZY0TY/edit#gid=1248694442"",""Table 3: 1st-line HC!AB5:AB111""), $A15=IMPORTRANGE(""https://docs.google.com/spreadsheets/d/1kGrh75X1cNR1D7_FcY9zMnHP8iP"&amp;"O4M5RCRjy6nZY0TY/edit#gid=1248694442"",""Table 3: 1st-line HC!A5:A111"")),"""")"),"")</f>
        <v/>
      </c>
      <c r="J15" s="14" t="str">
        <f>IFERROR(__xludf.DUMMYFUNCTION("IFNA(FILTER(IMPORTRANGE(""https://docs.google.com/spreadsheets/d/1kGrh75X1cNR1D7_FcY9zMnHP8iPO4M5RCRjy6nZY0TY/edit#gid=1248694442"",""Table 3: 1st-line HC!AC5:AC111""), $A15=IMPORTRANGE(""https://docs.google.com/spreadsheets/d/1kGrh75X1cNR1D7_FcY9zMnHP8iP"&amp;"O4M5RCRjy6nZY0TY/edit#gid=1248694442"",""Table 3: 1st-line HC!A5:A111"")),"""")"),"")</f>
        <v/>
      </c>
      <c r="K15" s="20" t="str">
        <f>IFERROR(__xludf.DUMMYFUNCTION("IFNA(FILTER(IMPORTRANGE(""https://docs.google.com/spreadsheets/d/1kGrh75X1cNR1D7_FcY9zMnHP8iPO4M5RCRjy6nZY0TY/edit#gid=1248694442"",""Table 3: 1st-line HC!AD5:AD111""), $A15=IMPORTRANGE(""https://docs.google.com/spreadsheets/d/1kGrh75X1cNR1D7_FcY9zMnHP8iP"&amp;"O4M5RCRjy6nZY0TY/edit#gid=1248694442"",""Table 3: 1st-line HC!A5:A111"")),"""")"),"")</f>
        <v/>
      </c>
      <c r="L15" s="14" t="str">
        <f>IFERROR(__xludf.DUMMYFUNCTION("IFNA(FILTER(IMPORTRANGE(""https://docs.google.com/spreadsheets/d/1kGrh75X1cNR1D7_FcY9zMnHP8iPO4M5RCRjy6nZY0TY/edit#gid=1248694442"",""Table 3: 1st-line HC!W5:W111""), $A15=IMPORTRANGE(""https://docs.google.com/spreadsheets/d/1kGrh75X1cNR1D7_FcY9zMnHP8iPO4"&amp;"M5RCRjy6nZY0TY/edit#gid=1248694442"",""Table 3: 1st-line HC!A5:A111"")),"""")"),"")</f>
        <v/>
      </c>
      <c r="M15" s="14">
        <f>IFERROR(__xludf.DUMMYFUNCTION("IFNA(FILTER(IMPORTRANGE(""https://docs.google.com/spreadsheets/d/1kGrh75X1cNR1D7_FcY9zMnHP8iPO4M5RCRjy6nZY0TY/edit#gid=1248694442"",""Table 3: 1st-line HC!X5:X111""), $A15=IMPORTRANGE(""https://docs.google.com/spreadsheets/d/1kGrh75X1cNR1D7_FcY9zMnHP8iPO4"&amp;"M5RCRjy6nZY0TY/edit#gid=1248694442"",""Table 3: 1st-line HC!A5:A111"")),"""")"),3.0)</f>
        <v>3</v>
      </c>
      <c r="N15" s="14" t="str">
        <f>IFERROR(__xludf.DUMMYFUNCTION("IFNA(FILTER(IMPORTRANGE(""https://docs.google.com/spreadsheets/d/1kGrh75X1cNR1D7_FcY9zMnHP8iPO4M5RCRjy6nZY0TY/edit#gid=1248694442"",""Table 4: 2nd-line HC or more!C5:C85""), $A15=IMPORTRANGE(""https://docs.google.com/spreadsheets/d/1kGrh75X1cNR1D7_FcY9zMn"&amp;"HP8iPO4M5RCRjy6nZY0TY/edit#gid=1248694442"",""Table 4: 2nd-line HC or more!A5:A85"")),"""")"),"")</f>
        <v/>
      </c>
      <c r="O15" s="14" t="str">
        <f>IFERROR(__xludf.DUMMYFUNCTION("IFNA(FILTER(IMPORTRANGE(""https://docs.google.com/spreadsheets/d/1kGrh75X1cNR1D7_FcY9zMnHP8iPO4M5RCRjy6nZY0TY/edit#gid=1248694442"",""Table 4: 2nd-line HC or more!D5:D85""), $A15=IMPORTRANGE(""https://docs.google.com/spreadsheets/d/1kGrh75X1cNR1D7_FcY9zMn"&amp;"HP8iPO4M5RCRjy6nZY0TY/edit#gid=1248694442"",""Table 4: 2nd-line HC or more!A5:A85"")),"""")"),"")</f>
        <v/>
      </c>
      <c r="P15" s="14">
        <f>IFERROR(__xludf.DUMMYFUNCTION("IFNA(FILTER(IMPORTRANGE(""https://docs.google.com/spreadsheets/d/1kGrh75X1cNR1D7_FcY9zMnHP8iPO4M5RCRjy6nZY0TY/edit#gid=1248694442"",""Table 4: 2nd-line HC or more!E5:E85""), $A15=IMPORTRANGE(""https://docs.google.com/spreadsheets/d/1kGrh75X1cNR1D7_FcY9zMn"&amp;"HP8iPO4M5RCRjy6nZY0TY/edit#gid=1248694442"",""Table 4: 2nd-line HC or more!A5:A85"")),"""")"),2.0)</f>
        <v>2</v>
      </c>
      <c r="Q15" s="14" t="str">
        <f>IFERROR(__xludf.DUMMYFUNCTION("IFNA(FILTER(IMPORTRANGE(""https://docs.google.com/spreadsheets/d/1kGrh75X1cNR1D7_FcY9zMnHP8iPO4M5RCRjy6nZY0TY/edit#gid=1248694442"",""Table 4: 2nd-line HC or more!F5:F85""), $A15=IMPORTRANGE(""https://docs.google.com/spreadsheets/d/1kGrh75X1cNR1D7_FcY9zMn"&amp;"HP8iPO4M5RCRjy6nZY0TY/edit#gid=1248694442"",""Table 4: 2nd-line HC or more!A5:A85"")),"""")"),"")</f>
        <v/>
      </c>
      <c r="R15" s="14" t="str">
        <f>IFERROR(__xludf.DUMMYFUNCTION("IFNA(FILTER(IMPORTRANGE(""https://docs.google.com/spreadsheets/d/1kGrh75X1cNR1D7_FcY9zMnHP8iPO4M5RCRjy6nZY0TY/edit#gid=1248694442"",""Table 4: 2nd-line HC or more!G5:G85""), $A15=IMPORTRANGE(""https://docs.google.com/spreadsheets/d/1kGrh75X1cNR1D7_FcY9zMn"&amp;"HP8iPO4M5RCRjy6nZY0TY/edit#gid=1248694442"",""Table 4: 2nd-line HC or more!A5:A85"")),"""")"),"")</f>
        <v/>
      </c>
      <c r="S15" s="14" t="str">
        <f>IFERROR(__xludf.DUMMYFUNCTION("IFNA(FILTER(IMPORTRANGE(""https://docs.google.com/spreadsheets/d/1kGrh75X1cNR1D7_FcY9zMnHP8iPO4M5RCRjy6nZY0TY/edit#gid=1248694442"",""Table 4: 2nd-line HC or more!H5:H85""), $A15=IMPORTRANGE(""https://docs.google.com/spreadsheets/d/1kGrh75X1cNR1D7_FcY9zMn"&amp;"HP8iPO4M5RCRjy6nZY0TY/edit#gid=1248694442"",""Table 4: 2nd-line HC or more!A5:A85"")),"""")"),"")</f>
        <v/>
      </c>
      <c r="T15" s="14" t="str">
        <f>IFERROR(__xludf.DUMMYFUNCTION("IFNA(FILTER(IMPORTRANGE(""https://docs.google.com/spreadsheets/d/1kGrh75X1cNR1D7_FcY9zMnHP8iPO4M5RCRjy6nZY0TY/edit#gid=1248694442"",""Table 3: 1st-line HC!F5:F111""), $A15=IMPORTRANGE(""https://docs.google.com/spreadsheets/d/1kGrh75X1cNR1D7_FcY9zMnHP8iPO4"&amp;"M5RCRjy6nZY0TY/edit#gid=1248694442"",""Table 3: 1st-line HC!A5:A111"")),"""")"),"")</f>
        <v/>
      </c>
      <c r="U15" s="14" t="str">
        <f>IFERROR(__xludf.DUMMYFUNCTION("IFNA(FILTER(IMPORTRANGE(""https://docs.google.com/spreadsheets/d/1kGrh75X1cNR1D7_FcY9zMnHP8iPO4M5RCRjy6nZY0TY/edit#gid=1248694442"",""Table 3: 1st-line HC!G5:G111""), $A15=IMPORTRANGE(""https://docs.google.com/spreadsheets/d/1kGrh75X1cNR1D7_FcY9zMnHP8iPO4"&amp;"M5RCRjy6nZY0TY/edit#gid=1248694442"",""Table 3: 1st-line HC!A5:A111"")),"""")"),"")</f>
        <v/>
      </c>
      <c r="V15" s="14">
        <f>IFERROR(__xludf.DUMMYFUNCTION("IFNA(FILTER(IMPORTRANGE(""https://docs.google.com/spreadsheets/d/1kGrh75X1cNR1D7_FcY9zMnHP8iPO4M5RCRjy6nZY0TY/edit#gid=1248694442"",""Table 3: 1st-line HC!H5:H111""), $A15=IMPORTRANGE(""https://docs.google.com/spreadsheets/d/1kGrh75X1cNR1D7_FcY9zMnHP8iPO4"&amp;"M5RCRjy6nZY0TY/edit#gid=1248694442"",""Table 3: 1st-line HC!A5:A111"")),"""")"),32.0)</f>
        <v>32</v>
      </c>
      <c r="W15" s="14" t="str">
        <f>IFERROR(__xludf.DUMMYFUNCTION("IFNA(FILTER(IMPORTRANGE(""https://docs.google.com/spreadsheets/d/1kGrh75X1cNR1D7_FcY9zMnHP8iPO4M5RCRjy6nZY0TY/edit#gid=1248694442"",""Table 3: 1st-line HC!I5:I111""), $A15=IMPORTRANGE(""https://docs.google.com/spreadsheets/d/1kGrh75X1cNR1D7_FcY9zMnHP8iPO4"&amp;"M5RCRjy6nZY0TY/edit#gid=1248694442"",""Table 3: 1st-line HC!A5:A111"")),"""")"),"")</f>
        <v/>
      </c>
    </row>
    <row r="16">
      <c r="A16" s="4" t="str">
        <f>IFERROR(__xludf.DUMMYFUNCTION("""COMPUTED_VALUE"""),"ID 24")</f>
        <v>ID 24</v>
      </c>
      <c r="B16" s="14">
        <f>IFERROR(__xludf.DUMMYFUNCTION("IFNA(FILTER(IMPORTRANGE(""https://docs.google.com/spreadsheets/d/1kGrh75X1cNR1D7_FcY9zMnHP8iPO4M5RCRjy6nZY0TY/edit#gid=1248694442"",""Table 3: 1st-line HC!AZ5:AZ111""), $A16=IMPORTRANGE(""https://docs.google.com/spreadsheets/d/1kGrh75X1cNR1D7_FcY9zMnHP8iP"&amp;"O4M5RCRjy6nZY0TY/edit#gid=1248694442"",""Table 3: 1st-line HC!A5:A111"")),"""")"),1.0)</f>
        <v>1</v>
      </c>
      <c r="C16" s="14" t="str">
        <f>IFERROR(__xludf.DUMMYFUNCTION("IFNA(FILTER(IMPORTRANGE(""https://docs.google.com/spreadsheets/d/1kGrh75X1cNR1D7_FcY9zMnHP8iPO4M5RCRjy6nZY0TY/edit#gid=1248694442"",""Table 3: 1st-line HC!BA5:BA111""), $A16=IMPORTRANGE(""https://docs.google.com/spreadsheets/d/1kGrh75X1cNR1D7_FcY9zMnHP8iP"&amp;"O4M5RCRjy6nZY0TY/edit#gid=1248694442"",""Table 3: 1st-line HC!A5:A111"")),"""")"),"")</f>
        <v/>
      </c>
      <c r="D16" s="14" t="str">
        <f>IFERROR(__xludf.DUMMYFUNCTION("IFNA(FILTER(IMPORTRANGE(""https://docs.google.com/spreadsheets/d/1kGrh75X1cNR1D7_FcY9zMnHP8iPO4M5RCRjy6nZY0TY/edit#gid=1248694442"",""Table 3: 1st-line HC!BB5:BB111""), $A16=IMPORTRANGE(""https://docs.google.com/spreadsheets/d/1kGrh75X1cNR1D7_FcY9zMnHP8iP"&amp;"O4M5RCRjy6nZY0TY/edit#gid=1248694442"",""Table 3: 1st-line HC!A5:A111"")),"""")"),"")</f>
        <v/>
      </c>
      <c r="E16" s="19" t="str">
        <f>IFERROR(__xludf.DUMMYFUNCTION("IFNA(FILTER(IMPORTRANGE(""https://docs.google.com/spreadsheets/d/1kGrh75X1cNR1D7_FcY9zMnHP8iPO4M5RCRjy6nZY0TY/edit#gid=1248694442"",""Table 3: 1st-line HC!BC5:BC111""), $A16=IMPORTRANGE(""https://docs.google.com/spreadsheets/d/1kGrh75X1cNR1D7_FcY9zMnHP8iP"&amp;"O4M5RCRjy6nZY0TY/edit#gid=1248694442"",""Table 3: 1st-line HC!A5:A111"")),"""")"),"")</f>
        <v/>
      </c>
      <c r="F16" s="14" t="str">
        <f>IFERROR(__xludf.DUMMYFUNCTION("IFNA(FILTER(IMPORTRANGE(""https://docs.google.com/spreadsheets/d/1kGrh75X1cNR1D7_FcY9zMnHP8iPO4M5RCRjy6nZY0TY/edit#gid=1248694442"",""Table 3: 1st-line HC!Y5:Y111""), $A16=IMPORTRANGE(""https://docs.google.com/spreadsheets/d/1kGrh75X1cNR1D7_FcY9zMnHP8iPO4"&amp;"M5RCRjy6nZY0TY/edit#gid=1248694442"",""Table 3: 1st-line HC!A5:A111"")),"""")"),"")</f>
        <v/>
      </c>
      <c r="G16" s="14">
        <f>IFERROR(__xludf.DUMMYFUNCTION("IFNA(FILTER(IMPORTRANGE(""https://docs.google.com/spreadsheets/d/1kGrh75X1cNR1D7_FcY9zMnHP8iPO4M5RCRjy6nZY0TY/edit#gid=1248694442"",""Table 3: 1st-line HC!Z5:Z111""), $A16=IMPORTRANGE(""https://docs.google.com/spreadsheets/d/1kGrh75X1cNR1D7_FcY9zMnHP8iPO4"&amp;"M5RCRjy6nZY0TY/edit#gid=1248694442"",""Table 3: 1st-line HC!A5:A111"")),"""")"),13.0)</f>
        <v>13</v>
      </c>
      <c r="H16" s="14" t="str">
        <f>IFERROR(__xludf.DUMMYFUNCTION("IFNA(FILTER(IMPORTRANGE(""https://docs.google.com/spreadsheets/d/1kGrh75X1cNR1D7_FcY9zMnHP8iPO4M5RCRjy6nZY0TY/edit#gid=1248694442"",""Table 3: 1st-line HC!AA5:AA111""), $A16=IMPORTRANGE(""https://docs.google.com/spreadsheets/d/1kGrh75X1cNR1D7_FcY9zMnHP8iP"&amp;"O4M5RCRjy6nZY0TY/edit#gid=1248694442"",""Table 3: 1st-line HC!A5:A111"")),"""")"),"")</f>
        <v/>
      </c>
      <c r="I16" s="14" t="str">
        <f>IFERROR(__xludf.DUMMYFUNCTION("IFNA(FILTER(IMPORTRANGE(""https://docs.google.com/spreadsheets/d/1kGrh75X1cNR1D7_FcY9zMnHP8iPO4M5RCRjy6nZY0TY/edit#gid=1248694442"",""Table 3: 1st-line HC!AB5:AB111""), $A16=IMPORTRANGE(""https://docs.google.com/spreadsheets/d/1kGrh75X1cNR1D7_FcY9zMnHP8iP"&amp;"O4M5RCRjy6nZY0TY/edit#gid=1248694442"",""Table 3: 1st-line HC!A5:A111"")),"""")"),"")</f>
        <v/>
      </c>
      <c r="J16" s="14" t="str">
        <f>IFERROR(__xludf.DUMMYFUNCTION("IFNA(FILTER(IMPORTRANGE(""https://docs.google.com/spreadsheets/d/1kGrh75X1cNR1D7_FcY9zMnHP8iPO4M5RCRjy6nZY0TY/edit#gid=1248694442"",""Table 3: 1st-line HC!AC5:AC111""), $A16=IMPORTRANGE(""https://docs.google.com/spreadsheets/d/1kGrh75X1cNR1D7_FcY9zMnHP8iP"&amp;"O4M5RCRjy6nZY0TY/edit#gid=1248694442"",""Table 3: 1st-line HC!A5:A111"")),"""")"),"")</f>
        <v/>
      </c>
      <c r="K16" s="20" t="str">
        <f>IFERROR(__xludf.DUMMYFUNCTION("IFNA(FILTER(IMPORTRANGE(""https://docs.google.com/spreadsheets/d/1kGrh75X1cNR1D7_FcY9zMnHP8iPO4M5RCRjy6nZY0TY/edit#gid=1248694442"",""Table 3: 1st-line HC!AD5:AD111""), $A16=IMPORTRANGE(""https://docs.google.com/spreadsheets/d/1kGrh75X1cNR1D7_FcY9zMnHP8iP"&amp;"O4M5RCRjy6nZY0TY/edit#gid=1248694442"",""Table 3: 1st-line HC!A5:A111"")),"""")"),"")</f>
        <v/>
      </c>
      <c r="L16" s="14" t="str">
        <f>IFERROR(__xludf.DUMMYFUNCTION("IFNA(FILTER(IMPORTRANGE(""https://docs.google.com/spreadsheets/d/1kGrh75X1cNR1D7_FcY9zMnHP8iPO4M5RCRjy6nZY0TY/edit#gid=1248694442"",""Table 3: 1st-line HC!W5:W111""), $A16=IMPORTRANGE(""https://docs.google.com/spreadsheets/d/1kGrh75X1cNR1D7_FcY9zMnHP8iPO4"&amp;"M5RCRjy6nZY0TY/edit#gid=1248694442"",""Table 3: 1st-line HC!A5:A111"")),"""")"),"")</f>
        <v/>
      </c>
      <c r="M16" s="14" t="str">
        <f>IFERROR(__xludf.DUMMYFUNCTION("IFNA(FILTER(IMPORTRANGE(""https://docs.google.com/spreadsheets/d/1kGrh75X1cNR1D7_FcY9zMnHP8iPO4M5RCRjy6nZY0TY/edit#gid=1248694442"",""Table 3: 1st-line HC!X5:X111""), $A16=IMPORTRANGE(""https://docs.google.com/spreadsheets/d/1kGrh75X1cNR1D7_FcY9zMnHP8iPO4"&amp;"M5RCRjy6nZY0TY/edit#gid=1248694442"",""Table 3: 1st-line HC!A5:A111"")),"""")"),"")</f>
        <v/>
      </c>
      <c r="N16" s="14" t="str">
        <f>IFERROR(__xludf.DUMMYFUNCTION("IFNA(FILTER(IMPORTRANGE(""https://docs.google.com/spreadsheets/d/1kGrh75X1cNR1D7_FcY9zMnHP8iPO4M5RCRjy6nZY0TY/edit#gid=1248694442"",""Table 4: 2nd-line HC or more!C5:C85""), $A16=IMPORTRANGE(""https://docs.google.com/spreadsheets/d/1kGrh75X1cNR1D7_FcY9zMn"&amp;"HP8iPO4M5RCRjy6nZY0TY/edit#gid=1248694442"",""Table 4: 2nd-line HC or more!A5:A85"")),"""")"),"")</f>
        <v/>
      </c>
      <c r="O16" s="14" t="str">
        <f>IFERROR(__xludf.DUMMYFUNCTION("IFNA(FILTER(IMPORTRANGE(""https://docs.google.com/spreadsheets/d/1kGrh75X1cNR1D7_FcY9zMnHP8iPO4M5RCRjy6nZY0TY/edit#gid=1248694442"",""Table 4: 2nd-line HC or more!D5:D85""), $A16=IMPORTRANGE(""https://docs.google.com/spreadsheets/d/1kGrh75X1cNR1D7_FcY9zMn"&amp;"HP8iPO4M5RCRjy6nZY0TY/edit#gid=1248694442"",""Table 4: 2nd-line HC or more!A5:A85"")),"""")"),"")</f>
        <v/>
      </c>
      <c r="P16" s="14" t="str">
        <f>IFERROR(__xludf.DUMMYFUNCTION("IFNA(FILTER(IMPORTRANGE(""https://docs.google.com/spreadsheets/d/1kGrh75X1cNR1D7_FcY9zMnHP8iPO4M5RCRjy6nZY0TY/edit#gid=1248694442"",""Table 4: 2nd-line HC or more!E5:E85""), $A16=IMPORTRANGE(""https://docs.google.com/spreadsheets/d/1kGrh75X1cNR1D7_FcY9zMn"&amp;"HP8iPO4M5RCRjy6nZY0TY/edit#gid=1248694442"",""Table 4: 2nd-line HC or more!A5:A85"")),"""")"),"")</f>
        <v/>
      </c>
      <c r="Q16" s="14" t="str">
        <f>IFERROR(__xludf.DUMMYFUNCTION("IFNA(FILTER(IMPORTRANGE(""https://docs.google.com/spreadsheets/d/1kGrh75X1cNR1D7_FcY9zMnHP8iPO4M5RCRjy6nZY0TY/edit#gid=1248694442"",""Table 4: 2nd-line HC or more!F5:F85""), $A16=IMPORTRANGE(""https://docs.google.com/spreadsheets/d/1kGrh75X1cNR1D7_FcY9zMn"&amp;"HP8iPO4M5RCRjy6nZY0TY/edit#gid=1248694442"",""Table 4: 2nd-line HC or more!A5:A85"")),"""")"),"")</f>
        <v/>
      </c>
      <c r="R16" s="14" t="str">
        <f>IFERROR(__xludf.DUMMYFUNCTION("IFNA(FILTER(IMPORTRANGE(""https://docs.google.com/spreadsheets/d/1kGrh75X1cNR1D7_FcY9zMnHP8iPO4M5RCRjy6nZY0TY/edit#gid=1248694442"",""Table 4: 2nd-line HC or more!G5:G85""), $A16=IMPORTRANGE(""https://docs.google.com/spreadsheets/d/1kGrh75X1cNR1D7_FcY9zMn"&amp;"HP8iPO4M5RCRjy6nZY0TY/edit#gid=1248694442"",""Table 4: 2nd-line HC or more!A5:A85"")),"""")"),"")</f>
        <v/>
      </c>
      <c r="S16" s="14" t="str">
        <f>IFERROR(__xludf.DUMMYFUNCTION("IFNA(FILTER(IMPORTRANGE(""https://docs.google.com/spreadsheets/d/1kGrh75X1cNR1D7_FcY9zMnHP8iPO4M5RCRjy6nZY0TY/edit#gid=1248694442"",""Table 4: 2nd-line HC or more!H5:H85""), $A16=IMPORTRANGE(""https://docs.google.com/spreadsheets/d/1kGrh75X1cNR1D7_FcY9zMn"&amp;"HP8iPO4M5RCRjy6nZY0TY/edit#gid=1248694442"",""Table 4: 2nd-line HC or more!A5:A85"")),"""")"),"")</f>
        <v/>
      </c>
      <c r="T16" s="14">
        <f>IFERROR(__xludf.DUMMYFUNCTION("IFNA(FILTER(IMPORTRANGE(""https://docs.google.com/spreadsheets/d/1kGrh75X1cNR1D7_FcY9zMnHP8iPO4M5RCRjy6nZY0TY/edit#gid=1248694442"",""Table 3: 1st-line HC!F5:F111""), $A16=IMPORTRANGE(""https://docs.google.com/spreadsheets/d/1kGrh75X1cNR1D7_FcY9zMnHP8iPO4"&amp;"M5RCRjy6nZY0TY/edit#gid=1248694442"",""Table 3: 1st-line HC!A5:A111"")),"""")"),13.0)</f>
        <v>13</v>
      </c>
      <c r="U16" s="14" t="str">
        <f>IFERROR(__xludf.DUMMYFUNCTION("IFNA(FILTER(IMPORTRANGE(""https://docs.google.com/spreadsheets/d/1kGrh75X1cNR1D7_FcY9zMnHP8iPO4M5RCRjy6nZY0TY/edit#gid=1248694442"",""Table 3: 1st-line HC!G5:G111""), $A16=IMPORTRANGE(""https://docs.google.com/spreadsheets/d/1kGrh75X1cNR1D7_FcY9zMnHP8iPO4"&amp;"M5RCRjy6nZY0TY/edit#gid=1248694442"",""Table 3: 1st-line HC!A5:A111"")),"""")"),"")</f>
        <v/>
      </c>
      <c r="V16" s="14" t="str">
        <f>IFERROR(__xludf.DUMMYFUNCTION("IFNA(FILTER(IMPORTRANGE(""https://docs.google.com/spreadsheets/d/1kGrh75X1cNR1D7_FcY9zMnHP8iPO4M5RCRjy6nZY0TY/edit#gid=1248694442"",""Table 3: 1st-line HC!H5:H111""), $A16=IMPORTRANGE(""https://docs.google.com/spreadsheets/d/1kGrh75X1cNR1D7_FcY9zMnHP8iPO4"&amp;"M5RCRjy6nZY0TY/edit#gid=1248694442"",""Table 3: 1st-line HC!A5:A111"")),"""")"),"")</f>
        <v/>
      </c>
      <c r="W16" s="14" t="str">
        <f>IFERROR(__xludf.DUMMYFUNCTION("IFNA(FILTER(IMPORTRANGE(""https://docs.google.com/spreadsheets/d/1kGrh75X1cNR1D7_FcY9zMnHP8iPO4M5RCRjy6nZY0TY/edit#gid=1248694442"",""Table 3: 1st-line HC!I5:I111""), $A16=IMPORTRANGE(""https://docs.google.com/spreadsheets/d/1kGrh75X1cNR1D7_FcY9zMnHP8iPO4"&amp;"M5RCRjy6nZY0TY/edit#gid=1248694442"",""Table 3: 1st-line HC!A5:A111"")),"""")"),"")</f>
        <v/>
      </c>
    </row>
    <row r="17">
      <c r="A17" s="4" t="str">
        <f>IFERROR(__xludf.DUMMYFUNCTION("""COMPUTED_VALUE"""),"ID 27")</f>
        <v>ID 27</v>
      </c>
      <c r="B17" s="14" t="str">
        <f>IFERROR(__xludf.DUMMYFUNCTION("IFNA(FILTER(IMPORTRANGE(""https://docs.google.com/spreadsheets/d/1kGrh75X1cNR1D7_FcY9zMnHP8iPO4M5RCRjy6nZY0TY/edit#gid=1248694442"",""Table 3: 1st-line HC!AZ5:AZ111""), $A17=IMPORTRANGE(""https://docs.google.com/spreadsheets/d/1kGrh75X1cNR1D7_FcY9zMnHP8iP"&amp;"O4M5RCRjy6nZY0TY/edit#gid=1248694442"",""Table 3: 1st-line HC!A5:A111"")),"""")"),"")</f>
        <v/>
      </c>
      <c r="C17" s="14" t="str">
        <f>IFERROR(__xludf.DUMMYFUNCTION("IFNA(FILTER(IMPORTRANGE(""https://docs.google.com/spreadsheets/d/1kGrh75X1cNR1D7_FcY9zMnHP8iPO4M5RCRjy6nZY0TY/edit#gid=1248694442"",""Table 3: 1st-line HC!BA5:BA111""), $A17=IMPORTRANGE(""https://docs.google.com/spreadsheets/d/1kGrh75X1cNR1D7_FcY9zMnHP8iP"&amp;"O4M5RCRjy6nZY0TY/edit#gid=1248694442"",""Table 3: 1st-line HC!A5:A111"")),"""")"),"")</f>
        <v/>
      </c>
      <c r="D17" s="14" t="str">
        <f>IFERROR(__xludf.DUMMYFUNCTION("IFNA(FILTER(IMPORTRANGE(""https://docs.google.com/spreadsheets/d/1kGrh75X1cNR1D7_FcY9zMnHP8iPO4M5RCRjy6nZY0TY/edit#gid=1248694442"",""Table 3: 1st-line HC!BB5:BB111""), $A17=IMPORTRANGE(""https://docs.google.com/spreadsheets/d/1kGrh75X1cNR1D7_FcY9zMnHP8iP"&amp;"O4M5RCRjy6nZY0TY/edit#gid=1248694442"",""Table 3: 1st-line HC!A5:A111"")),"""")"),"")</f>
        <v/>
      </c>
      <c r="E17" s="19" t="str">
        <f>IFERROR(__xludf.DUMMYFUNCTION("IFNA(FILTER(IMPORTRANGE(""https://docs.google.com/spreadsheets/d/1kGrh75X1cNR1D7_FcY9zMnHP8iPO4M5RCRjy6nZY0TY/edit#gid=1248694442"",""Table 3: 1st-line HC!BC5:BC111""), $A17=IMPORTRANGE(""https://docs.google.com/spreadsheets/d/1kGrh75X1cNR1D7_FcY9zMnHP8iP"&amp;"O4M5RCRjy6nZY0TY/edit#gid=1248694442"",""Table 3: 1st-line HC!A5:A111"")),"""")"),"")</f>
        <v/>
      </c>
      <c r="F17" s="14" t="str">
        <f>IFERROR(__xludf.DUMMYFUNCTION("IFNA(FILTER(IMPORTRANGE(""https://docs.google.com/spreadsheets/d/1kGrh75X1cNR1D7_FcY9zMnHP8iPO4M5RCRjy6nZY0TY/edit#gid=1248694442"",""Table 3: 1st-line HC!Y5:Y111""), $A17=IMPORTRANGE(""https://docs.google.com/spreadsheets/d/1kGrh75X1cNR1D7_FcY9zMnHP8iPO4"&amp;"M5RCRjy6nZY0TY/edit#gid=1248694442"",""Table 3: 1st-line HC!A5:A111"")),"""")"),"")</f>
        <v/>
      </c>
      <c r="G17" s="14" t="str">
        <f>IFERROR(__xludf.DUMMYFUNCTION("IFNA(FILTER(IMPORTRANGE(""https://docs.google.com/spreadsheets/d/1kGrh75X1cNR1D7_FcY9zMnHP8iPO4M5RCRjy6nZY0TY/edit#gid=1248694442"",""Table 3: 1st-line HC!Z5:Z111""), $A17=IMPORTRANGE(""https://docs.google.com/spreadsheets/d/1kGrh75X1cNR1D7_FcY9zMnHP8iPO4"&amp;"M5RCRjy6nZY0TY/edit#gid=1248694442"",""Table 3: 1st-line HC!A5:A111"")),"""")"),"")</f>
        <v/>
      </c>
      <c r="H17" s="14">
        <f>IFERROR(__xludf.DUMMYFUNCTION("IFNA(FILTER(IMPORTRANGE(""https://docs.google.com/spreadsheets/d/1kGrh75X1cNR1D7_FcY9zMnHP8iPO4M5RCRjy6nZY0TY/edit#gid=1248694442"",""Table 3: 1st-line HC!AA5:AA111""), $A17=IMPORTRANGE(""https://docs.google.com/spreadsheets/d/1kGrh75X1cNR1D7_FcY9zMnHP8iP"&amp;"O4M5RCRjy6nZY0TY/edit#gid=1248694442"",""Table 3: 1st-line HC!A5:A111"")),"""")"),4.0)</f>
        <v>4</v>
      </c>
      <c r="I17" s="14">
        <f>IFERROR(__xludf.DUMMYFUNCTION("IFNA(FILTER(IMPORTRANGE(""https://docs.google.com/spreadsheets/d/1kGrh75X1cNR1D7_FcY9zMnHP8iPO4M5RCRjy6nZY0TY/edit#gid=1248694442"",""Table 3: 1st-line HC!AB5:AB111""), $A17=IMPORTRANGE(""https://docs.google.com/spreadsheets/d/1kGrh75X1cNR1D7_FcY9zMnHP8iP"&amp;"O4M5RCRjy6nZY0TY/edit#gid=1248694442"",""Table 3: 1st-line HC!A5:A111"")),"""")"),93.0)</f>
        <v>93</v>
      </c>
      <c r="J17" s="14">
        <f>IFERROR(__xludf.DUMMYFUNCTION("IFNA(FILTER(IMPORTRANGE(""https://docs.google.com/spreadsheets/d/1kGrh75X1cNR1D7_FcY9zMnHP8iPO4M5RCRjy6nZY0TY/edit#gid=1248694442"",""Table 3: 1st-line HC!AC5:AC111""), $A17=IMPORTRANGE(""https://docs.google.com/spreadsheets/d/1kGrh75X1cNR1D7_FcY9zMnHP8iP"&amp;"O4M5RCRjy6nZY0TY/edit#gid=1248694442"",""Table 3: 1st-line HC!A5:A111"")),"""")"),9.0)</f>
        <v>9</v>
      </c>
      <c r="K17" s="20" t="str">
        <f>IFERROR(__xludf.DUMMYFUNCTION("IFNA(FILTER(IMPORTRANGE(""https://docs.google.com/spreadsheets/d/1kGrh75X1cNR1D7_FcY9zMnHP8iPO4M5RCRjy6nZY0TY/edit#gid=1248694442"",""Table 3: 1st-line HC!AD5:AD111""), $A17=IMPORTRANGE(""https://docs.google.com/spreadsheets/d/1kGrh75X1cNR1D7_FcY9zMnHP8iP"&amp;"O4M5RCRjy6nZY0TY/edit#gid=1248694442"",""Table 3: 1st-line HC!A5:A111"")),"""")"),"")</f>
        <v/>
      </c>
      <c r="L17" s="14" t="str">
        <f>IFERROR(__xludf.DUMMYFUNCTION("IFNA(FILTER(IMPORTRANGE(""https://docs.google.com/spreadsheets/d/1kGrh75X1cNR1D7_FcY9zMnHP8iPO4M5RCRjy6nZY0TY/edit#gid=1248694442"",""Table 3: 1st-line HC!W5:W111""), $A17=IMPORTRANGE(""https://docs.google.com/spreadsheets/d/1kGrh75X1cNR1D7_FcY9zMnHP8iPO4"&amp;"M5RCRjy6nZY0TY/edit#gid=1248694442"",""Table 3: 1st-line HC!A5:A111"")),"""")"),"")</f>
        <v/>
      </c>
      <c r="M17" s="14" t="str">
        <f>IFERROR(__xludf.DUMMYFUNCTION("IFNA(FILTER(IMPORTRANGE(""https://docs.google.com/spreadsheets/d/1kGrh75X1cNR1D7_FcY9zMnHP8iPO4M5RCRjy6nZY0TY/edit#gid=1248694442"",""Table 3: 1st-line HC!X5:X111""), $A17=IMPORTRANGE(""https://docs.google.com/spreadsheets/d/1kGrh75X1cNR1D7_FcY9zMnHP8iPO4"&amp;"M5RCRjy6nZY0TY/edit#gid=1248694442"",""Table 3: 1st-line HC!A5:A111"")),"""")"),"")</f>
        <v/>
      </c>
      <c r="N17" s="14" t="str">
        <f>IFERROR(__xludf.DUMMYFUNCTION("IFNA(FILTER(IMPORTRANGE(""https://docs.google.com/spreadsheets/d/1kGrh75X1cNR1D7_FcY9zMnHP8iPO4M5RCRjy6nZY0TY/edit#gid=1248694442"",""Table 4: 2nd-line HC or more!C5:C85""), $A17=IMPORTRANGE(""https://docs.google.com/spreadsheets/d/1kGrh75X1cNR1D7_FcY9zMn"&amp;"HP8iPO4M5RCRjy6nZY0TY/edit#gid=1248694442"",""Table 4: 2nd-line HC or more!A5:A85"")),"""")"),"")</f>
        <v/>
      </c>
      <c r="O17" s="14">
        <f>IFERROR(__xludf.DUMMYFUNCTION("IFNA(FILTER(IMPORTRANGE(""https://docs.google.com/spreadsheets/d/1kGrh75X1cNR1D7_FcY9zMnHP8iPO4M5RCRjy6nZY0TY/edit#gid=1248694442"",""Table 4: 2nd-line HC or more!D5:D85""), $A17=IMPORTRANGE(""https://docs.google.com/spreadsheets/d/1kGrh75X1cNR1D7_FcY9zMn"&amp;"HP8iPO4M5RCRjy6nZY0TY/edit#gid=1248694442"",""Table 4: 2nd-line HC or more!A5:A85"")),"""")"),15.0)</f>
        <v>15</v>
      </c>
      <c r="P17" s="14">
        <f>IFERROR(__xludf.DUMMYFUNCTION("IFNA(FILTER(IMPORTRANGE(""https://docs.google.com/spreadsheets/d/1kGrh75X1cNR1D7_FcY9zMnHP8iPO4M5RCRjy6nZY0TY/edit#gid=1248694442"",""Table 4: 2nd-line HC or more!E5:E85""), $A17=IMPORTRANGE(""https://docs.google.com/spreadsheets/d/1kGrh75X1cNR1D7_FcY9zMn"&amp;"HP8iPO4M5RCRjy6nZY0TY/edit#gid=1248694442"",""Table 4: 2nd-line HC or more!A5:A85"")),"""")"),7.0)</f>
        <v>7</v>
      </c>
      <c r="Q17" s="14" t="str">
        <f>IFERROR(__xludf.DUMMYFUNCTION("IFNA(FILTER(IMPORTRANGE(""https://docs.google.com/spreadsheets/d/1kGrh75X1cNR1D7_FcY9zMnHP8iPO4M5RCRjy6nZY0TY/edit#gid=1248694442"",""Table 4: 2nd-line HC or more!F5:F85""), $A17=IMPORTRANGE(""https://docs.google.com/spreadsheets/d/1kGrh75X1cNR1D7_FcY9zMn"&amp;"HP8iPO4M5RCRjy6nZY0TY/edit#gid=1248694442"",""Table 4: 2nd-line HC or more!A5:A85"")),"""")"),"")</f>
        <v/>
      </c>
      <c r="R17" s="14" t="str">
        <f>IFERROR(__xludf.DUMMYFUNCTION("IFNA(FILTER(IMPORTRANGE(""https://docs.google.com/spreadsheets/d/1kGrh75X1cNR1D7_FcY9zMnHP8iPO4M5RCRjy6nZY0TY/edit#gid=1248694442"",""Table 4: 2nd-line HC or more!G5:G85""), $A17=IMPORTRANGE(""https://docs.google.com/spreadsheets/d/1kGrh75X1cNR1D7_FcY9zMn"&amp;"HP8iPO4M5RCRjy6nZY0TY/edit#gid=1248694442"",""Table 4: 2nd-line HC or more!A5:A85"")),"""")"),"")</f>
        <v/>
      </c>
      <c r="S17" s="14" t="str">
        <f>IFERROR(__xludf.DUMMYFUNCTION("IFNA(FILTER(IMPORTRANGE(""https://docs.google.com/spreadsheets/d/1kGrh75X1cNR1D7_FcY9zMnHP8iPO4M5RCRjy6nZY0TY/edit#gid=1248694442"",""Table 4: 2nd-line HC or more!H5:H85""), $A17=IMPORTRANGE(""https://docs.google.com/spreadsheets/d/1kGrh75X1cNR1D7_FcY9zMn"&amp;"HP8iPO4M5RCRjy6nZY0TY/edit#gid=1248694442"",""Table 4: 2nd-line HC or more!A5:A85"")),"""")"),"")</f>
        <v/>
      </c>
      <c r="T17" s="14" t="str">
        <f>IFERROR(__xludf.DUMMYFUNCTION("IFNA(FILTER(IMPORTRANGE(""https://docs.google.com/spreadsheets/d/1kGrh75X1cNR1D7_FcY9zMnHP8iPO4M5RCRjy6nZY0TY/edit#gid=1248694442"",""Table 3: 1st-line HC!F5:F111""), $A17=IMPORTRANGE(""https://docs.google.com/spreadsheets/d/1kGrh75X1cNR1D7_FcY9zMnHP8iPO4"&amp;"M5RCRjy6nZY0TY/edit#gid=1248694442"",""Table 3: 1st-line HC!A5:A111"")),"""")"),"")</f>
        <v/>
      </c>
      <c r="U17" s="14" t="str">
        <f>IFERROR(__xludf.DUMMYFUNCTION("IFNA(FILTER(IMPORTRANGE(""https://docs.google.com/spreadsheets/d/1kGrh75X1cNR1D7_FcY9zMnHP8iPO4M5RCRjy6nZY0TY/edit#gid=1248694442"",""Table 3: 1st-line HC!G5:G111""), $A17=IMPORTRANGE(""https://docs.google.com/spreadsheets/d/1kGrh75X1cNR1D7_FcY9zMnHP8iPO4"&amp;"M5RCRjy6nZY0TY/edit#gid=1248694442"",""Table 3: 1st-line HC!A5:A111"")),"""")"),"")</f>
        <v/>
      </c>
      <c r="V17" s="14" t="str">
        <f>IFERROR(__xludf.DUMMYFUNCTION("IFNA(FILTER(IMPORTRANGE(""https://docs.google.com/spreadsheets/d/1kGrh75X1cNR1D7_FcY9zMnHP8iPO4M5RCRjy6nZY0TY/edit#gid=1248694442"",""Table 3: 1st-line HC!H5:H111""), $A17=IMPORTRANGE(""https://docs.google.com/spreadsheets/d/1kGrh75X1cNR1D7_FcY9zMnHP8iPO4"&amp;"M5RCRjy6nZY0TY/edit#gid=1248694442"",""Table 3: 1st-line HC!A5:A111"")),"""")"),"")</f>
        <v/>
      </c>
      <c r="W17" s="14" t="str">
        <f>IFERROR(__xludf.DUMMYFUNCTION("IFNA(FILTER(IMPORTRANGE(""https://docs.google.com/spreadsheets/d/1kGrh75X1cNR1D7_FcY9zMnHP8iPO4M5RCRjy6nZY0TY/edit#gid=1248694442"",""Table 3: 1st-line HC!I5:I111""), $A17=IMPORTRANGE(""https://docs.google.com/spreadsheets/d/1kGrh75X1cNR1D7_FcY9zMnHP8iPO4"&amp;"M5RCRjy6nZY0TY/edit#gid=1248694442"",""Table 3: 1st-line HC!A5:A111"")),"""")"),"")</f>
        <v/>
      </c>
    </row>
    <row r="18">
      <c r="A18" s="4" t="str">
        <f>IFERROR(__xludf.DUMMYFUNCTION("""COMPUTED_VALUE"""),"ID 28")</f>
        <v>ID 28</v>
      </c>
      <c r="B18" s="14">
        <f>IFERROR(__xludf.DUMMYFUNCTION("IFNA(FILTER(IMPORTRANGE(""https://docs.google.com/spreadsheets/d/1kGrh75X1cNR1D7_FcY9zMnHP8iPO4M5RCRjy6nZY0TY/edit#gid=1248694442"",""Table 3: 1st-line HC!AZ5:AZ111""), $A18=IMPORTRANGE(""https://docs.google.com/spreadsheets/d/1kGrh75X1cNR1D7_FcY9zMnHP8iP"&amp;"O4M5RCRjy6nZY0TY/edit#gid=1248694442"",""Table 3: 1st-line HC!A5:A111"")),"""")"),3.0)</f>
        <v>3</v>
      </c>
      <c r="C18" s="14">
        <f>IFERROR(__xludf.DUMMYFUNCTION("IFNA(FILTER(IMPORTRANGE(""https://docs.google.com/spreadsheets/d/1kGrh75X1cNR1D7_FcY9zMnHP8iPO4M5RCRjy6nZY0TY/edit#gid=1248694442"",""Table 3: 1st-line HC!BA5:BA111""), $A18=IMPORTRANGE(""https://docs.google.com/spreadsheets/d/1kGrh75X1cNR1D7_FcY9zMnHP8iP"&amp;"O4M5RCRjy6nZY0TY/edit#gid=1248694442"",""Table 3: 1st-line HC!A5:A111"")),"""")"),3.0)</f>
        <v>3</v>
      </c>
      <c r="D18" s="14" t="str">
        <f>IFERROR(__xludf.DUMMYFUNCTION("IFNA(FILTER(IMPORTRANGE(""https://docs.google.com/spreadsheets/d/1kGrh75X1cNR1D7_FcY9zMnHP8iPO4M5RCRjy6nZY0TY/edit#gid=1248694442"",""Table 3: 1st-line HC!BB5:BB111""), $A18=IMPORTRANGE(""https://docs.google.com/spreadsheets/d/1kGrh75X1cNR1D7_FcY9zMnHP8iP"&amp;"O4M5RCRjy6nZY0TY/edit#gid=1248694442"",""Table 3: 1st-line HC!A5:A111"")),"""")"),"")</f>
        <v/>
      </c>
      <c r="E18" s="19" t="str">
        <f>IFERROR(__xludf.DUMMYFUNCTION("IFNA(FILTER(IMPORTRANGE(""https://docs.google.com/spreadsheets/d/1kGrh75X1cNR1D7_FcY9zMnHP8iPO4M5RCRjy6nZY0TY/edit#gid=1248694442"",""Table 3: 1st-line HC!BC5:BC111""), $A18=IMPORTRANGE(""https://docs.google.com/spreadsheets/d/1kGrh75X1cNR1D7_FcY9zMnHP8iP"&amp;"O4M5RCRjy6nZY0TY/edit#gid=1248694442"",""Table 3: 1st-line HC!A5:A111"")),"""")"),"")</f>
        <v/>
      </c>
      <c r="F18" s="14" t="str">
        <f>IFERROR(__xludf.DUMMYFUNCTION("IFNA(FILTER(IMPORTRANGE(""https://docs.google.com/spreadsheets/d/1kGrh75X1cNR1D7_FcY9zMnHP8iPO4M5RCRjy6nZY0TY/edit#gid=1248694442"",""Table 3: 1st-line HC!Y5:Y111""), $A18=IMPORTRANGE(""https://docs.google.com/spreadsheets/d/1kGrh75X1cNR1D7_FcY9zMnHP8iPO4"&amp;"M5RCRjy6nZY0TY/edit#gid=1248694442"",""Table 3: 1st-line HC!A5:A111"")),"""")"),"")</f>
        <v/>
      </c>
      <c r="G18" s="14" t="str">
        <f>IFERROR(__xludf.DUMMYFUNCTION("IFNA(FILTER(IMPORTRANGE(""https://docs.google.com/spreadsheets/d/1kGrh75X1cNR1D7_FcY9zMnHP8iPO4M5RCRjy6nZY0TY/edit#gid=1248694442"",""Table 3: 1st-line HC!Z5:Z111""), $A18=IMPORTRANGE(""https://docs.google.com/spreadsheets/d/1kGrh75X1cNR1D7_FcY9zMnHP8iPO4"&amp;"M5RCRjy6nZY0TY/edit#gid=1248694442"",""Table 3: 1st-line HC!A5:A111"")),"""")"),"")</f>
        <v/>
      </c>
      <c r="H18" s="14" t="str">
        <f>IFERROR(__xludf.DUMMYFUNCTION("IFNA(FILTER(IMPORTRANGE(""https://docs.google.com/spreadsheets/d/1kGrh75X1cNR1D7_FcY9zMnHP8iPO4M5RCRjy6nZY0TY/edit#gid=1248694442"",""Table 3: 1st-line HC!AA5:AA111""), $A18=IMPORTRANGE(""https://docs.google.com/spreadsheets/d/1kGrh75X1cNR1D7_FcY9zMnHP8iP"&amp;"O4M5RCRjy6nZY0TY/edit#gid=1248694442"",""Table 3: 1st-line HC!A5:A111"")),"""")"),"")</f>
        <v/>
      </c>
      <c r="I18" s="14" t="str">
        <f>IFERROR(__xludf.DUMMYFUNCTION("IFNA(FILTER(IMPORTRANGE(""https://docs.google.com/spreadsheets/d/1kGrh75X1cNR1D7_FcY9zMnHP8iPO4M5RCRjy6nZY0TY/edit#gid=1248694442"",""Table 3: 1st-line HC!AB5:AB111""), $A18=IMPORTRANGE(""https://docs.google.com/spreadsheets/d/1kGrh75X1cNR1D7_FcY9zMnHP8iP"&amp;"O4M5RCRjy6nZY0TY/edit#gid=1248694442"",""Table 3: 1st-line HC!A5:A111"")),"""")"),"")</f>
        <v/>
      </c>
      <c r="J18" s="14" t="str">
        <f>IFERROR(__xludf.DUMMYFUNCTION("IFNA(FILTER(IMPORTRANGE(""https://docs.google.com/spreadsheets/d/1kGrh75X1cNR1D7_FcY9zMnHP8iPO4M5RCRjy6nZY0TY/edit#gid=1248694442"",""Table 3: 1st-line HC!AC5:AC111""), $A18=IMPORTRANGE(""https://docs.google.com/spreadsheets/d/1kGrh75X1cNR1D7_FcY9zMnHP8iP"&amp;"O4M5RCRjy6nZY0TY/edit#gid=1248694442"",""Table 3: 1st-line HC!A5:A111"")),"""")"),"")</f>
        <v/>
      </c>
      <c r="K18" s="20" t="str">
        <f>IFERROR(__xludf.DUMMYFUNCTION("IFNA(FILTER(IMPORTRANGE(""https://docs.google.com/spreadsheets/d/1kGrh75X1cNR1D7_FcY9zMnHP8iPO4M5RCRjy6nZY0TY/edit#gid=1248694442"",""Table 3: 1st-line HC!AD5:AD111""), $A18=IMPORTRANGE(""https://docs.google.com/spreadsheets/d/1kGrh75X1cNR1D7_FcY9zMnHP8iP"&amp;"O4M5RCRjy6nZY0TY/edit#gid=1248694442"",""Table 3: 1st-line HC!A5:A111"")),"""")"),"shunt(unprecised)=3")</f>
        <v>shunt(unprecised)=3</v>
      </c>
      <c r="L18" s="14" t="str">
        <f>IFERROR(__xludf.DUMMYFUNCTION("IFNA(FILTER(IMPORTRANGE(""https://docs.google.com/spreadsheets/d/1kGrh75X1cNR1D7_FcY9zMnHP8iPO4M5RCRjy6nZY0TY/edit#gid=1248694442"",""Table 3: 1st-line HC!W5:W111""), $A18=IMPORTRANGE(""https://docs.google.com/spreadsheets/d/1kGrh75X1cNR1D7_FcY9zMnHP8iPO4"&amp;"M5RCRjy6nZY0TY/edit#gid=1248694442"",""Table 3: 1st-line HC!A5:A111"")),"""")"),"")</f>
        <v/>
      </c>
      <c r="M18" s="14" t="str">
        <f>IFERROR(__xludf.DUMMYFUNCTION("IFNA(FILTER(IMPORTRANGE(""https://docs.google.com/spreadsheets/d/1kGrh75X1cNR1D7_FcY9zMnHP8iPO4M5RCRjy6nZY0TY/edit#gid=1248694442"",""Table 3: 1st-line HC!X5:X111""), $A18=IMPORTRANGE(""https://docs.google.com/spreadsheets/d/1kGrh75X1cNR1D7_FcY9zMnHP8iPO4"&amp;"M5RCRjy6nZY0TY/edit#gid=1248694442"",""Table 3: 1st-line HC!A5:A111"")),"""")"),"")</f>
        <v/>
      </c>
      <c r="N18" s="14" t="str">
        <f>IFERROR(__xludf.DUMMYFUNCTION("IFNA(FILTER(IMPORTRANGE(""https://docs.google.com/spreadsheets/d/1kGrh75X1cNR1D7_FcY9zMnHP8iPO4M5RCRjy6nZY0TY/edit#gid=1248694442"",""Table 4: 2nd-line HC or more!C5:C85""), $A18=IMPORTRANGE(""https://docs.google.com/spreadsheets/d/1kGrh75X1cNR1D7_FcY9zMn"&amp;"HP8iPO4M5RCRjy6nZY0TY/edit#gid=1248694442"",""Table 4: 2nd-line HC or more!A5:A85"")),"""")"),"")</f>
        <v/>
      </c>
      <c r="O18" s="14" t="str">
        <f>IFERROR(__xludf.DUMMYFUNCTION("IFNA(FILTER(IMPORTRANGE(""https://docs.google.com/spreadsheets/d/1kGrh75X1cNR1D7_FcY9zMnHP8iPO4M5RCRjy6nZY0TY/edit#gid=1248694442"",""Table 4: 2nd-line HC or more!D5:D85""), $A18=IMPORTRANGE(""https://docs.google.com/spreadsheets/d/1kGrh75X1cNR1D7_FcY9zMn"&amp;"HP8iPO4M5RCRjy6nZY0TY/edit#gid=1248694442"",""Table 4: 2nd-line HC or more!A5:A85"")),"""")"),"")</f>
        <v/>
      </c>
      <c r="P18" s="14" t="str">
        <f>IFERROR(__xludf.DUMMYFUNCTION("IFNA(FILTER(IMPORTRANGE(""https://docs.google.com/spreadsheets/d/1kGrh75X1cNR1D7_FcY9zMnHP8iPO4M5RCRjy6nZY0TY/edit#gid=1248694442"",""Table 4: 2nd-line HC or more!E5:E85""), $A18=IMPORTRANGE(""https://docs.google.com/spreadsheets/d/1kGrh75X1cNR1D7_FcY9zMn"&amp;"HP8iPO4M5RCRjy6nZY0TY/edit#gid=1248694442"",""Table 4: 2nd-line HC or more!A5:A85"")),"""")"),"")</f>
        <v/>
      </c>
      <c r="Q18" s="14" t="str">
        <f>IFERROR(__xludf.DUMMYFUNCTION("IFNA(FILTER(IMPORTRANGE(""https://docs.google.com/spreadsheets/d/1kGrh75X1cNR1D7_FcY9zMnHP8iPO4M5RCRjy6nZY0TY/edit#gid=1248694442"",""Table 4: 2nd-line HC or more!F5:F85""), $A18=IMPORTRANGE(""https://docs.google.com/spreadsheets/d/1kGrh75X1cNR1D7_FcY9zMn"&amp;"HP8iPO4M5RCRjy6nZY0TY/edit#gid=1248694442"",""Table 4: 2nd-line HC or more!A5:A85"")),"""")"),"")</f>
        <v/>
      </c>
      <c r="R18" s="14" t="str">
        <f>IFERROR(__xludf.DUMMYFUNCTION("IFNA(FILTER(IMPORTRANGE(""https://docs.google.com/spreadsheets/d/1kGrh75X1cNR1D7_FcY9zMnHP8iPO4M5RCRjy6nZY0TY/edit#gid=1248694442"",""Table 4: 2nd-line HC or more!G5:G85""), $A18=IMPORTRANGE(""https://docs.google.com/spreadsheets/d/1kGrh75X1cNR1D7_FcY9zMn"&amp;"HP8iPO4M5RCRjy6nZY0TY/edit#gid=1248694442"",""Table 4: 2nd-line HC or more!A5:A85"")),"""")"),"")</f>
        <v/>
      </c>
      <c r="S18" s="14" t="str">
        <f>IFERROR(__xludf.DUMMYFUNCTION("IFNA(FILTER(IMPORTRANGE(""https://docs.google.com/spreadsheets/d/1kGrh75X1cNR1D7_FcY9zMnHP8iPO4M5RCRjy6nZY0TY/edit#gid=1248694442"",""Table 4: 2nd-line HC or more!H5:H85""), $A18=IMPORTRANGE(""https://docs.google.com/spreadsheets/d/1kGrh75X1cNR1D7_FcY9zMn"&amp;"HP8iPO4M5RCRjy6nZY0TY/edit#gid=1248694442"",""Table 4: 2nd-line HC or more!A5:A85"")),"""")"),"shunt revision=3")</f>
        <v>shunt revision=3</v>
      </c>
      <c r="T18" s="14" t="str">
        <f>IFERROR(__xludf.DUMMYFUNCTION("IFNA(FILTER(IMPORTRANGE(""https://docs.google.com/spreadsheets/d/1kGrh75X1cNR1D7_FcY9zMnHP8iPO4M5RCRjy6nZY0TY/edit#gid=1248694442"",""Table 3: 1st-line HC!F5:F111""), $A18=IMPORTRANGE(""https://docs.google.com/spreadsheets/d/1kGrh75X1cNR1D7_FcY9zMnHP8iPO4"&amp;"M5RCRjy6nZY0TY/edit#gid=1248694442"",""Table 3: 1st-line HC!A5:A111"")),"""")"),"")</f>
        <v/>
      </c>
      <c r="U18" s="14" t="str">
        <f>IFERROR(__xludf.DUMMYFUNCTION("IFNA(FILTER(IMPORTRANGE(""https://docs.google.com/spreadsheets/d/1kGrh75X1cNR1D7_FcY9zMnHP8iPO4M5RCRjy6nZY0TY/edit#gid=1248694442"",""Table 3: 1st-line HC!G5:G111""), $A18=IMPORTRANGE(""https://docs.google.com/spreadsheets/d/1kGrh75X1cNR1D7_FcY9zMnHP8iPO4"&amp;"M5RCRjy6nZY0TY/edit#gid=1248694442"",""Table 3: 1st-line HC!A5:A111"")),"""")"),"")</f>
        <v/>
      </c>
      <c r="V18" s="14" t="str">
        <f>IFERROR(__xludf.DUMMYFUNCTION("IFNA(FILTER(IMPORTRANGE(""https://docs.google.com/spreadsheets/d/1kGrh75X1cNR1D7_FcY9zMnHP8iPO4M5RCRjy6nZY0TY/edit#gid=1248694442"",""Table 3: 1st-line HC!H5:H111""), $A18=IMPORTRANGE(""https://docs.google.com/spreadsheets/d/1kGrh75X1cNR1D7_FcY9zMnHP8iPO4"&amp;"M5RCRjy6nZY0TY/edit#gid=1248694442"",""Table 3: 1st-line HC!A5:A111"")),"""")"),"")</f>
        <v/>
      </c>
      <c r="W18" s="14" t="str">
        <f>IFERROR(__xludf.DUMMYFUNCTION("IFNA(FILTER(IMPORTRANGE(""https://docs.google.com/spreadsheets/d/1kGrh75X1cNR1D7_FcY9zMnHP8iPO4M5RCRjy6nZY0TY/edit#gid=1248694442"",""Table 3: 1st-line HC!I5:I111""), $A18=IMPORTRANGE(""https://docs.google.com/spreadsheets/d/1kGrh75X1cNR1D7_FcY9zMnHP8iPO4"&amp;"M5RCRjy6nZY0TY/edit#gid=1248694442"",""Table 3: 1st-line HC!A5:A111"")),"""")"),"")</f>
        <v/>
      </c>
    </row>
    <row r="19">
      <c r="A19" s="4" t="str">
        <f>IFERROR(__xludf.DUMMYFUNCTION("""COMPUTED_VALUE"""),"ID 31")</f>
        <v>ID 31</v>
      </c>
      <c r="B19" s="14" t="str">
        <f>IFERROR(__xludf.DUMMYFUNCTION("IFNA(FILTER(IMPORTRANGE(""https://docs.google.com/spreadsheets/d/1kGrh75X1cNR1D7_FcY9zMnHP8iPO4M5RCRjy6nZY0TY/edit#gid=1248694442"",""Table 3: 1st-line HC!AZ5:AZ111""), $A19=IMPORTRANGE(""https://docs.google.com/spreadsheets/d/1kGrh75X1cNR1D7_FcY9zMnHP8iP"&amp;"O4M5RCRjy6nZY0TY/edit#gid=1248694442"",""Table 3: 1st-line HC!A5:A111"")),"""")"),"")</f>
        <v/>
      </c>
      <c r="C19" s="14" t="str">
        <f>IFERROR(__xludf.DUMMYFUNCTION("IFNA(FILTER(IMPORTRANGE(""https://docs.google.com/spreadsheets/d/1kGrh75X1cNR1D7_FcY9zMnHP8iPO4M5RCRjy6nZY0TY/edit#gid=1248694442"",""Table 3: 1st-line HC!BA5:BA111""), $A19=IMPORTRANGE(""https://docs.google.com/spreadsheets/d/1kGrh75X1cNR1D7_FcY9zMnHP8iP"&amp;"O4M5RCRjy6nZY0TY/edit#gid=1248694442"",""Table 3: 1st-line HC!A5:A111"")),"""")"),"")</f>
        <v/>
      </c>
      <c r="D19" s="14" t="str">
        <f>IFERROR(__xludf.DUMMYFUNCTION("IFNA(FILTER(IMPORTRANGE(""https://docs.google.com/spreadsheets/d/1kGrh75X1cNR1D7_FcY9zMnHP8iPO4M5RCRjy6nZY0TY/edit#gid=1248694442"",""Table 3: 1st-line HC!BB5:BB111""), $A19=IMPORTRANGE(""https://docs.google.com/spreadsheets/d/1kGrh75X1cNR1D7_FcY9zMnHP8iP"&amp;"O4M5RCRjy6nZY0TY/edit#gid=1248694442"",""Table 3: 1st-line HC!A5:A111"")),"""")"),"")</f>
        <v/>
      </c>
      <c r="E19" s="19" t="str">
        <f>IFERROR(__xludf.DUMMYFUNCTION("IFNA(FILTER(IMPORTRANGE(""https://docs.google.com/spreadsheets/d/1kGrh75X1cNR1D7_FcY9zMnHP8iPO4M5RCRjy6nZY0TY/edit#gid=1248694442"",""Table 3: 1st-line HC!BC5:BC111""), $A19=IMPORTRANGE(""https://docs.google.com/spreadsheets/d/1kGrh75X1cNR1D7_FcY9zMnHP8iP"&amp;"O4M5RCRjy6nZY0TY/edit#gid=1248694442"",""Table 3: 1st-line HC!A5:A111"")),"""")"),"")</f>
        <v/>
      </c>
      <c r="F19" s="14" t="str">
        <f>IFERROR(__xludf.DUMMYFUNCTION("IFNA(FILTER(IMPORTRANGE(""https://docs.google.com/spreadsheets/d/1kGrh75X1cNR1D7_FcY9zMnHP8iPO4M5RCRjy6nZY0TY/edit#gid=1248694442"",""Table 3: 1st-line HC!Y5:Y111""), $A19=IMPORTRANGE(""https://docs.google.com/spreadsheets/d/1kGrh75X1cNR1D7_FcY9zMnHP8iPO4"&amp;"M5RCRjy6nZY0TY/edit#gid=1248694442"",""Table 3: 1st-line HC!A5:A111"")),"""")"),"")</f>
        <v/>
      </c>
      <c r="G19" s="14">
        <f>IFERROR(__xludf.DUMMYFUNCTION("IFNA(FILTER(IMPORTRANGE(""https://docs.google.com/spreadsheets/d/1kGrh75X1cNR1D7_FcY9zMnHP8iPO4M5RCRjy6nZY0TY/edit#gid=1248694442"",""Table 3: 1st-line HC!Z5:Z111""), $A19=IMPORTRANGE(""https://docs.google.com/spreadsheets/d/1kGrh75X1cNR1D7_FcY9zMnHP8iPO4"&amp;"M5RCRjy6nZY0TY/edit#gid=1248694442"",""Table 3: 1st-line HC!A5:A111"")),"""")"),11.0)</f>
        <v>11</v>
      </c>
      <c r="H19" s="14" t="str">
        <f>IFERROR(__xludf.DUMMYFUNCTION("IFNA(FILTER(IMPORTRANGE(""https://docs.google.com/spreadsheets/d/1kGrh75X1cNR1D7_FcY9zMnHP8iPO4M5RCRjy6nZY0TY/edit#gid=1248694442"",""Table 3: 1st-line HC!AA5:AA111""), $A19=IMPORTRANGE(""https://docs.google.com/spreadsheets/d/1kGrh75X1cNR1D7_FcY9zMnHP8iP"&amp;"O4M5RCRjy6nZY0TY/edit#gid=1248694442"",""Table 3: 1st-line HC!A5:A111"")),"""")"),"")</f>
        <v/>
      </c>
      <c r="I19" s="14" t="str">
        <f>IFERROR(__xludf.DUMMYFUNCTION("IFNA(FILTER(IMPORTRANGE(""https://docs.google.com/spreadsheets/d/1kGrh75X1cNR1D7_FcY9zMnHP8iPO4M5RCRjy6nZY0TY/edit#gid=1248694442"",""Table 3: 1st-line HC!AB5:AB111""), $A19=IMPORTRANGE(""https://docs.google.com/spreadsheets/d/1kGrh75X1cNR1D7_FcY9zMnHP8iP"&amp;"O4M5RCRjy6nZY0TY/edit#gid=1248694442"",""Table 3: 1st-line HC!A5:A111"")),"""")"),"")</f>
        <v/>
      </c>
      <c r="J19" s="14" t="str">
        <f>IFERROR(__xludf.DUMMYFUNCTION("IFNA(FILTER(IMPORTRANGE(""https://docs.google.com/spreadsheets/d/1kGrh75X1cNR1D7_FcY9zMnHP8iPO4M5RCRjy6nZY0TY/edit#gid=1248694442"",""Table 3: 1st-line HC!AC5:AC111""), $A19=IMPORTRANGE(""https://docs.google.com/spreadsheets/d/1kGrh75X1cNR1D7_FcY9zMnHP8iP"&amp;"O4M5RCRjy6nZY0TY/edit#gid=1248694442"",""Table 3: 1st-line HC!A5:A111"")),"""")"),"")</f>
        <v/>
      </c>
      <c r="K19" s="20" t="str">
        <f>IFERROR(__xludf.DUMMYFUNCTION("IFNA(FILTER(IMPORTRANGE(""https://docs.google.com/spreadsheets/d/1kGrh75X1cNR1D7_FcY9zMnHP8iPO4M5RCRjy6nZY0TY/edit#gid=1248694442"",""Table 3: 1st-line HC!AD5:AD111""), $A19=IMPORTRANGE(""https://docs.google.com/spreadsheets/d/1kGrh75X1cNR1D7_FcY9zMnHP8iP"&amp;"O4M5RCRjy6nZY0TY/edit#gid=1248694442"",""Table 3: 1st-line HC!A5:A111"")),"""")"),"")</f>
        <v/>
      </c>
      <c r="L19" s="14" t="str">
        <f>IFERROR(__xludf.DUMMYFUNCTION("IFNA(FILTER(IMPORTRANGE(""https://docs.google.com/spreadsheets/d/1kGrh75X1cNR1D7_FcY9zMnHP8iPO4M5RCRjy6nZY0TY/edit#gid=1248694442"",""Table 3: 1st-line HC!W5:W111""), $A19=IMPORTRANGE(""https://docs.google.com/spreadsheets/d/1kGrh75X1cNR1D7_FcY9zMnHP8iPO4"&amp;"M5RCRjy6nZY0TY/edit#gid=1248694442"",""Table 3: 1st-line HC!A5:A111"")),"""")"),"")</f>
        <v/>
      </c>
      <c r="M19" s="14" t="str">
        <f>IFERROR(__xludf.DUMMYFUNCTION("IFNA(FILTER(IMPORTRANGE(""https://docs.google.com/spreadsheets/d/1kGrh75X1cNR1D7_FcY9zMnHP8iPO4M5RCRjy6nZY0TY/edit#gid=1248694442"",""Table 3: 1st-line HC!X5:X111""), $A19=IMPORTRANGE(""https://docs.google.com/spreadsheets/d/1kGrh75X1cNR1D7_FcY9zMnHP8iPO4"&amp;"M5RCRjy6nZY0TY/edit#gid=1248694442"",""Table 3: 1st-line HC!A5:A111"")),"""")"),"")</f>
        <v/>
      </c>
      <c r="N19" s="14" t="str">
        <f>IFERROR(__xludf.DUMMYFUNCTION("IFNA(FILTER(IMPORTRANGE(""https://docs.google.com/spreadsheets/d/1kGrh75X1cNR1D7_FcY9zMnHP8iPO4M5RCRjy6nZY0TY/edit#gid=1248694442"",""Table 4: 2nd-line HC or more!C5:C85""), $A19=IMPORTRANGE(""https://docs.google.com/spreadsheets/d/1kGrh75X1cNR1D7_FcY9zMn"&amp;"HP8iPO4M5RCRjy6nZY0TY/edit#gid=1248694442"",""Table 4: 2nd-line HC or more!A5:A85"")),"""")"),"")</f>
        <v/>
      </c>
      <c r="O19" s="14">
        <f>IFERROR(__xludf.DUMMYFUNCTION("IFNA(FILTER(IMPORTRANGE(""https://docs.google.com/spreadsheets/d/1kGrh75X1cNR1D7_FcY9zMnHP8iPO4M5RCRjy6nZY0TY/edit#gid=1248694442"",""Table 4: 2nd-line HC or more!D5:D85""), $A19=IMPORTRANGE(""https://docs.google.com/spreadsheets/d/1kGrh75X1cNR1D7_FcY9zMn"&amp;"HP8iPO4M5RCRjy6nZY0TY/edit#gid=1248694442"",""Table 4: 2nd-line HC or more!A5:A85"")),"""")"),5.0)</f>
        <v>5</v>
      </c>
      <c r="P19" s="14" t="str">
        <f>IFERROR(__xludf.DUMMYFUNCTION("IFNA(FILTER(IMPORTRANGE(""https://docs.google.com/spreadsheets/d/1kGrh75X1cNR1D7_FcY9zMnHP8iPO4M5RCRjy6nZY0TY/edit#gid=1248694442"",""Table 4: 2nd-line HC or more!E5:E85""), $A19=IMPORTRANGE(""https://docs.google.com/spreadsheets/d/1kGrh75X1cNR1D7_FcY9zMn"&amp;"HP8iPO4M5RCRjy6nZY0TY/edit#gid=1248694442"",""Table 4: 2nd-line HC or more!A5:A85"")),"""")"),"")</f>
        <v/>
      </c>
      <c r="Q19" s="14" t="str">
        <f>IFERROR(__xludf.DUMMYFUNCTION("IFNA(FILTER(IMPORTRANGE(""https://docs.google.com/spreadsheets/d/1kGrh75X1cNR1D7_FcY9zMnHP8iPO4M5RCRjy6nZY0TY/edit#gid=1248694442"",""Table 4: 2nd-line HC or more!F5:F85""), $A19=IMPORTRANGE(""https://docs.google.com/spreadsheets/d/1kGrh75X1cNR1D7_FcY9zMn"&amp;"HP8iPO4M5RCRjy6nZY0TY/edit#gid=1248694442"",""Table 4: 2nd-line HC or more!A5:A85"")),"""")"),"")</f>
        <v/>
      </c>
      <c r="R19" s="14" t="str">
        <f>IFERROR(__xludf.DUMMYFUNCTION("IFNA(FILTER(IMPORTRANGE(""https://docs.google.com/spreadsheets/d/1kGrh75X1cNR1D7_FcY9zMnHP8iPO4M5RCRjy6nZY0TY/edit#gid=1248694442"",""Table 4: 2nd-line HC or more!G5:G85""), $A19=IMPORTRANGE(""https://docs.google.com/spreadsheets/d/1kGrh75X1cNR1D7_FcY9zMn"&amp;"HP8iPO4M5RCRjy6nZY0TY/edit#gid=1248694442"",""Table 4: 2nd-line HC or more!A5:A85"")),"""")"),"")</f>
        <v/>
      </c>
      <c r="S19" s="14" t="str">
        <f>IFERROR(__xludf.DUMMYFUNCTION("IFNA(FILTER(IMPORTRANGE(""https://docs.google.com/spreadsheets/d/1kGrh75X1cNR1D7_FcY9zMnHP8iPO4M5RCRjy6nZY0TY/edit#gid=1248694442"",""Table 4: 2nd-line HC or more!H5:H85""), $A19=IMPORTRANGE(""https://docs.google.com/spreadsheets/d/1kGrh75X1cNR1D7_FcY9zMn"&amp;"HP8iPO4M5RCRjy6nZY0TY/edit#gid=1248694442"",""Table 4: 2nd-line HC or more!A5:A85"")),"""")"),"")</f>
        <v/>
      </c>
      <c r="T19" s="14" t="str">
        <f>IFERROR(__xludf.DUMMYFUNCTION("IFNA(FILTER(IMPORTRANGE(""https://docs.google.com/spreadsheets/d/1kGrh75X1cNR1D7_FcY9zMnHP8iPO4M5RCRjy6nZY0TY/edit#gid=1248694442"",""Table 3: 1st-line HC!F5:F111""), $A19=IMPORTRANGE(""https://docs.google.com/spreadsheets/d/1kGrh75X1cNR1D7_FcY9zMnHP8iPO4"&amp;"M5RCRjy6nZY0TY/edit#gid=1248694442"",""Table 3: 1st-line HC!A5:A111"")),"""")"),"")</f>
        <v/>
      </c>
      <c r="U19" s="14" t="str">
        <f>IFERROR(__xludf.DUMMYFUNCTION("IFNA(FILTER(IMPORTRANGE(""https://docs.google.com/spreadsheets/d/1kGrh75X1cNR1D7_FcY9zMnHP8iPO4M5RCRjy6nZY0TY/edit#gid=1248694442"",""Table 3: 1st-line HC!G5:G111""), $A19=IMPORTRANGE(""https://docs.google.com/spreadsheets/d/1kGrh75X1cNR1D7_FcY9zMnHP8iPO4"&amp;"M5RCRjy6nZY0TY/edit#gid=1248694442"",""Table 3: 1st-line HC!A5:A111"")),"""")"),"")</f>
        <v/>
      </c>
      <c r="V19" s="14" t="str">
        <f>IFERROR(__xludf.DUMMYFUNCTION("IFNA(FILTER(IMPORTRANGE(""https://docs.google.com/spreadsheets/d/1kGrh75X1cNR1D7_FcY9zMnHP8iPO4M5RCRjy6nZY0TY/edit#gid=1248694442"",""Table 3: 1st-line HC!H5:H111""), $A19=IMPORTRANGE(""https://docs.google.com/spreadsheets/d/1kGrh75X1cNR1D7_FcY9zMnHP8iPO4"&amp;"M5RCRjy6nZY0TY/edit#gid=1248694442"",""Table 3: 1st-line HC!A5:A111"")),"""")"),"")</f>
        <v/>
      </c>
      <c r="W19" s="14" t="str">
        <f>IFERROR(__xludf.DUMMYFUNCTION("IFNA(FILTER(IMPORTRANGE(""https://docs.google.com/spreadsheets/d/1kGrh75X1cNR1D7_FcY9zMnHP8iPO4M5RCRjy6nZY0TY/edit#gid=1248694442"",""Table 3: 1st-line HC!I5:I111""), $A19=IMPORTRANGE(""https://docs.google.com/spreadsheets/d/1kGrh75X1cNR1D7_FcY9zMnHP8iPO4"&amp;"M5RCRjy6nZY0TY/edit#gid=1248694442"",""Table 3: 1st-line HC!A5:A111"")),"""")"),"")</f>
        <v/>
      </c>
    </row>
    <row r="20">
      <c r="A20" s="4" t="str">
        <f>IFERROR(__xludf.DUMMYFUNCTION("""COMPUTED_VALUE"""),"ID 32")</f>
        <v>ID 32</v>
      </c>
      <c r="B20" s="14">
        <f>IFERROR(__xludf.DUMMYFUNCTION("IFNA(FILTER(IMPORTRANGE(""https://docs.google.com/spreadsheets/d/1kGrh75X1cNR1D7_FcY9zMnHP8iPO4M5RCRjy6nZY0TY/edit#gid=1248694442"",""Table 3: 1st-line HC!AZ5:AZ111""), $A20=IMPORTRANGE(""https://docs.google.com/spreadsheets/d/1kGrh75X1cNR1D7_FcY9zMnHP8iP"&amp;"O4M5RCRjy6nZY0TY/edit#gid=1248694442"",""Table 3: 1st-line HC!A5:A111"")),"""")"),1.0)</f>
        <v>1</v>
      </c>
      <c r="C20" s="14" t="str">
        <f>IFERROR(__xludf.DUMMYFUNCTION("IFNA(FILTER(IMPORTRANGE(""https://docs.google.com/spreadsheets/d/1kGrh75X1cNR1D7_FcY9zMnHP8iPO4M5RCRjy6nZY0TY/edit#gid=1248694442"",""Table 3: 1st-line HC!BA5:BA111""), $A20=IMPORTRANGE(""https://docs.google.com/spreadsheets/d/1kGrh75X1cNR1D7_FcY9zMnHP8iP"&amp;"O4M5RCRjy6nZY0TY/edit#gid=1248694442"",""Table 3: 1st-line HC!A5:A111"")),"""")"),"")</f>
        <v/>
      </c>
      <c r="D20" s="14" t="str">
        <f>IFERROR(__xludf.DUMMYFUNCTION("IFNA(FILTER(IMPORTRANGE(""https://docs.google.com/spreadsheets/d/1kGrh75X1cNR1D7_FcY9zMnHP8iPO4M5RCRjy6nZY0TY/edit#gid=1248694442"",""Table 3: 1st-line HC!BB5:BB111""), $A20=IMPORTRANGE(""https://docs.google.com/spreadsheets/d/1kGrh75X1cNR1D7_FcY9zMnHP8iP"&amp;"O4M5RCRjy6nZY0TY/edit#gid=1248694442"",""Table 3: 1st-line HC!A5:A111"")),"""")"),"")</f>
        <v/>
      </c>
      <c r="E20" s="19" t="str">
        <f>IFERROR(__xludf.DUMMYFUNCTION("IFNA(FILTER(IMPORTRANGE(""https://docs.google.com/spreadsheets/d/1kGrh75X1cNR1D7_FcY9zMnHP8iPO4M5RCRjy6nZY0TY/edit#gid=1248694442"",""Table 3: 1st-line HC!BC5:BC111""), $A20=IMPORTRANGE(""https://docs.google.com/spreadsheets/d/1kGrh75X1cNR1D7_FcY9zMnHP8iP"&amp;"O4M5RCRjy6nZY0TY/edit#gid=1248694442"",""Table 3: 1st-line HC!A5:A111"")),"""")"),"")</f>
        <v/>
      </c>
      <c r="F20" s="14" t="str">
        <f>IFERROR(__xludf.DUMMYFUNCTION("IFNA(FILTER(IMPORTRANGE(""https://docs.google.com/spreadsheets/d/1kGrh75X1cNR1D7_FcY9zMnHP8iPO4M5RCRjy6nZY0TY/edit#gid=1248694442"",""Table 3: 1st-line HC!Y5:Y111""), $A20=IMPORTRANGE(""https://docs.google.com/spreadsheets/d/1kGrh75X1cNR1D7_FcY9zMnHP8iPO4"&amp;"M5RCRjy6nZY0TY/edit#gid=1248694442"",""Table 3: 1st-line HC!A5:A111"")),"""")"),"")</f>
        <v/>
      </c>
      <c r="G20" s="14" t="str">
        <f>IFERROR(__xludf.DUMMYFUNCTION("IFNA(FILTER(IMPORTRANGE(""https://docs.google.com/spreadsheets/d/1kGrh75X1cNR1D7_FcY9zMnHP8iPO4M5RCRjy6nZY0TY/edit#gid=1248694442"",""Table 3: 1st-line HC!Z5:Z111""), $A20=IMPORTRANGE(""https://docs.google.com/spreadsheets/d/1kGrh75X1cNR1D7_FcY9zMnHP8iPO4"&amp;"M5RCRjy6nZY0TY/edit#gid=1248694442"",""Table 3: 1st-line HC!A5:A111"")),"""")"),"")</f>
        <v/>
      </c>
      <c r="H20" s="14">
        <f>IFERROR(__xludf.DUMMYFUNCTION("IFNA(FILTER(IMPORTRANGE(""https://docs.google.com/spreadsheets/d/1kGrh75X1cNR1D7_FcY9zMnHP8iPO4M5RCRjy6nZY0TY/edit#gid=1248694442"",""Table 3: 1st-line HC!AA5:AA111""), $A20=IMPORTRANGE(""https://docs.google.com/spreadsheets/d/1kGrh75X1cNR1D7_FcY9zMnHP8iP"&amp;"O4M5RCRjy6nZY0TY/edit#gid=1248694442"",""Table 3: 1st-line HC!A5:A111"")),"""")"),20.0)</f>
        <v>20</v>
      </c>
      <c r="I20" s="14">
        <f>IFERROR(__xludf.DUMMYFUNCTION("IFNA(FILTER(IMPORTRANGE(""https://docs.google.com/spreadsheets/d/1kGrh75X1cNR1D7_FcY9zMnHP8iPO4M5RCRjy6nZY0TY/edit#gid=1248694442"",""Table 3: 1st-line HC!AB5:AB111""), $A20=IMPORTRANGE(""https://docs.google.com/spreadsheets/d/1kGrh75X1cNR1D7_FcY9zMnHP8iP"&amp;"O4M5RCRjy6nZY0TY/edit#gid=1248694442"",""Table 3: 1st-line HC!A5:A111"")),"""")"),45.0)</f>
        <v>45</v>
      </c>
      <c r="J20" s="14" t="str">
        <f>IFERROR(__xludf.DUMMYFUNCTION("IFNA(FILTER(IMPORTRANGE(""https://docs.google.com/spreadsheets/d/1kGrh75X1cNR1D7_FcY9zMnHP8iPO4M5RCRjy6nZY0TY/edit#gid=1248694442"",""Table 3: 1st-line HC!AC5:AC111""), $A20=IMPORTRANGE(""https://docs.google.com/spreadsheets/d/1kGrh75X1cNR1D7_FcY9zMnHP8iP"&amp;"O4M5RCRjy6nZY0TY/edit#gid=1248694442"",""Table 3: 1st-line HC!A5:A111"")),"""")"),"")</f>
        <v/>
      </c>
      <c r="K20" s="20" t="str">
        <f>IFERROR(__xludf.DUMMYFUNCTION("IFNA(FILTER(IMPORTRANGE(""https://docs.google.com/spreadsheets/d/1kGrh75X1cNR1D7_FcY9zMnHP8iPO4M5RCRjy6nZY0TY/edit#gid=1248694442"",""Table 3: 1st-line HC!AD5:AD111""), $A20=IMPORTRANGE(""https://docs.google.com/spreadsheets/d/1kGrh75X1cNR1D7_FcY9zMnHP8iP"&amp;"O4M5RCRjy6nZY0TY/edit#gid=1248694442"",""Table 3: 1st-line HC!A5:A111"")),"""")"),"")</f>
        <v/>
      </c>
      <c r="L20" s="14" t="str">
        <f>IFERROR(__xludf.DUMMYFUNCTION("IFNA(FILTER(IMPORTRANGE(""https://docs.google.com/spreadsheets/d/1kGrh75X1cNR1D7_FcY9zMnHP8iPO4M5RCRjy6nZY0TY/edit#gid=1248694442"",""Table 3: 1st-line HC!W5:W111""), $A20=IMPORTRANGE(""https://docs.google.com/spreadsheets/d/1kGrh75X1cNR1D7_FcY9zMnHP8iPO4"&amp;"M5RCRjy6nZY0TY/edit#gid=1248694442"",""Table 3: 1st-line HC!A5:A111"")),"""")"),"")</f>
        <v/>
      </c>
      <c r="M20" s="14" t="str">
        <f>IFERROR(__xludf.DUMMYFUNCTION("IFNA(FILTER(IMPORTRANGE(""https://docs.google.com/spreadsheets/d/1kGrh75X1cNR1D7_FcY9zMnHP8iPO4M5RCRjy6nZY0TY/edit#gid=1248694442"",""Table 3: 1st-line HC!X5:X111""), $A20=IMPORTRANGE(""https://docs.google.com/spreadsheets/d/1kGrh75X1cNR1D7_FcY9zMnHP8iPO4"&amp;"M5RCRjy6nZY0TY/edit#gid=1248694442"",""Table 3: 1st-line HC!A5:A111"")),"""")"),"")</f>
        <v/>
      </c>
      <c r="N20" s="14" t="str">
        <f>IFERROR(__xludf.DUMMYFUNCTION("IFNA(FILTER(IMPORTRANGE(""https://docs.google.com/spreadsheets/d/1kGrh75X1cNR1D7_FcY9zMnHP8iPO4M5RCRjy6nZY0TY/edit#gid=1248694442"",""Table 4: 2nd-line HC or more!C5:C85""), $A20=IMPORTRANGE(""https://docs.google.com/spreadsheets/d/1kGrh75X1cNR1D7_FcY9zMn"&amp;"HP8iPO4M5RCRjy6nZY0TY/edit#gid=1248694442"",""Table 4: 2nd-line HC or more!A5:A85"")),"""")"),"")</f>
        <v/>
      </c>
      <c r="O20" s="14" t="str">
        <f>IFERROR(__xludf.DUMMYFUNCTION("IFNA(FILTER(IMPORTRANGE(""https://docs.google.com/spreadsheets/d/1kGrh75X1cNR1D7_FcY9zMnHP8iPO4M5RCRjy6nZY0TY/edit#gid=1248694442"",""Table 4: 2nd-line HC or more!D5:D85""), $A20=IMPORTRANGE(""https://docs.google.com/spreadsheets/d/1kGrh75X1cNR1D7_FcY9zMn"&amp;"HP8iPO4M5RCRjy6nZY0TY/edit#gid=1248694442"",""Table 4: 2nd-line HC or more!A5:A85"")),"""")"),"")</f>
        <v/>
      </c>
      <c r="P20" s="14" t="str">
        <f>IFERROR(__xludf.DUMMYFUNCTION("IFNA(FILTER(IMPORTRANGE(""https://docs.google.com/spreadsheets/d/1kGrh75X1cNR1D7_FcY9zMnHP8iPO4M5RCRjy6nZY0TY/edit#gid=1248694442"",""Table 4: 2nd-line HC or more!E5:E85""), $A20=IMPORTRANGE(""https://docs.google.com/spreadsheets/d/1kGrh75X1cNR1D7_FcY9zMn"&amp;"HP8iPO4M5RCRjy6nZY0TY/edit#gid=1248694442"",""Table 4: 2nd-line HC or more!A5:A85"")),"""")"),"")</f>
        <v/>
      </c>
      <c r="Q20" s="14" t="str">
        <f>IFERROR(__xludf.DUMMYFUNCTION("IFNA(FILTER(IMPORTRANGE(""https://docs.google.com/spreadsheets/d/1kGrh75X1cNR1D7_FcY9zMnHP8iPO4M5RCRjy6nZY0TY/edit#gid=1248694442"",""Table 4: 2nd-line HC or more!F5:F85""), $A20=IMPORTRANGE(""https://docs.google.com/spreadsheets/d/1kGrh75X1cNR1D7_FcY9zMn"&amp;"HP8iPO4M5RCRjy6nZY0TY/edit#gid=1248694442"",""Table 4: 2nd-line HC or more!A5:A85"")),"""")"),"")</f>
        <v/>
      </c>
      <c r="R20" s="14" t="str">
        <f>IFERROR(__xludf.DUMMYFUNCTION("IFNA(FILTER(IMPORTRANGE(""https://docs.google.com/spreadsheets/d/1kGrh75X1cNR1D7_FcY9zMnHP8iPO4M5RCRjy6nZY0TY/edit#gid=1248694442"",""Table 4: 2nd-line HC or more!G5:G85""), $A20=IMPORTRANGE(""https://docs.google.com/spreadsheets/d/1kGrh75X1cNR1D7_FcY9zMn"&amp;"HP8iPO4M5RCRjy6nZY0TY/edit#gid=1248694442"",""Table 4: 2nd-line HC or more!A5:A85"")),"""")"),"")</f>
        <v/>
      </c>
      <c r="S20" s="14" t="str">
        <f>IFERROR(__xludf.DUMMYFUNCTION("IFNA(FILTER(IMPORTRANGE(""https://docs.google.com/spreadsheets/d/1kGrh75X1cNR1D7_FcY9zMnHP8iPO4M5RCRjy6nZY0TY/edit#gid=1248694442"",""Table 4: 2nd-line HC or more!H5:H85""), $A20=IMPORTRANGE(""https://docs.google.com/spreadsheets/d/1kGrh75X1cNR1D7_FcY9zMn"&amp;"HP8iPO4M5RCRjy6nZY0TY/edit#gid=1248694442"",""Table 4: 2nd-line HC or more!A5:A85"")),"""")"),"")</f>
        <v/>
      </c>
      <c r="T20" s="14" t="str">
        <f>IFERROR(__xludf.DUMMYFUNCTION("IFNA(FILTER(IMPORTRANGE(""https://docs.google.com/spreadsheets/d/1kGrh75X1cNR1D7_FcY9zMnHP8iPO4M5RCRjy6nZY0TY/edit#gid=1248694442"",""Table 3: 1st-line HC!F5:F111""), $A20=IMPORTRANGE(""https://docs.google.com/spreadsheets/d/1kGrh75X1cNR1D7_FcY9zMnHP8iPO4"&amp;"M5RCRjy6nZY0TY/edit#gid=1248694442"",""Table 3: 1st-line HC!A5:A111"")),"""")"),"")</f>
        <v/>
      </c>
      <c r="U20" s="14" t="str">
        <f>IFERROR(__xludf.DUMMYFUNCTION("IFNA(FILTER(IMPORTRANGE(""https://docs.google.com/spreadsheets/d/1kGrh75X1cNR1D7_FcY9zMnHP8iPO4M5RCRjy6nZY0TY/edit#gid=1248694442"",""Table 3: 1st-line HC!G5:G111""), $A20=IMPORTRANGE(""https://docs.google.com/spreadsheets/d/1kGrh75X1cNR1D7_FcY9zMnHP8iPO4"&amp;"M5RCRjy6nZY0TY/edit#gid=1248694442"",""Table 3: 1st-line HC!A5:A111"")),"""")"),"")</f>
        <v/>
      </c>
      <c r="V20" s="14" t="str">
        <f>IFERROR(__xludf.DUMMYFUNCTION("IFNA(FILTER(IMPORTRANGE(""https://docs.google.com/spreadsheets/d/1kGrh75X1cNR1D7_FcY9zMnHP8iPO4M5RCRjy6nZY0TY/edit#gid=1248694442"",""Table 3: 1st-line HC!H5:H111""), $A20=IMPORTRANGE(""https://docs.google.com/spreadsheets/d/1kGrh75X1cNR1D7_FcY9zMnHP8iPO4"&amp;"M5RCRjy6nZY0TY/edit#gid=1248694442"",""Table 3: 1st-line HC!A5:A111"")),"""")"),"")</f>
        <v/>
      </c>
      <c r="W20" s="14" t="str">
        <f>IFERROR(__xludf.DUMMYFUNCTION("IFNA(FILTER(IMPORTRANGE(""https://docs.google.com/spreadsheets/d/1kGrh75X1cNR1D7_FcY9zMnHP8iPO4M5RCRjy6nZY0TY/edit#gid=1248694442"",""Table 3: 1st-line HC!I5:I111""), $A20=IMPORTRANGE(""https://docs.google.com/spreadsheets/d/1kGrh75X1cNR1D7_FcY9zMnHP8iPO4"&amp;"M5RCRjy6nZY0TY/edit#gid=1248694442"",""Table 3: 1st-line HC!A5:A111"")),"""")"),"")</f>
        <v/>
      </c>
    </row>
    <row r="21">
      <c r="A21" s="4" t="str">
        <f>IFERROR(__xludf.DUMMYFUNCTION("""COMPUTED_VALUE"""),"ID 35")</f>
        <v>ID 35</v>
      </c>
      <c r="B21" s="14" t="str">
        <f>IFERROR(__xludf.DUMMYFUNCTION("IFNA(FILTER(IMPORTRANGE(""https://docs.google.com/spreadsheets/d/1kGrh75X1cNR1D7_FcY9zMnHP8iPO4M5RCRjy6nZY0TY/edit#gid=1248694442"",""Table 3: 1st-line HC!AZ5:AZ111""), $A21=IMPORTRANGE(""https://docs.google.com/spreadsheets/d/1kGrh75X1cNR1D7_FcY9zMnHP8iP"&amp;"O4M5RCRjy6nZY0TY/edit#gid=1248694442"",""Table 3: 1st-line HC!A5:A111"")),"""")"),"")</f>
        <v/>
      </c>
      <c r="C21" s="14" t="str">
        <f>IFERROR(__xludf.DUMMYFUNCTION("IFNA(FILTER(IMPORTRANGE(""https://docs.google.com/spreadsheets/d/1kGrh75X1cNR1D7_FcY9zMnHP8iPO4M5RCRjy6nZY0TY/edit#gid=1248694442"",""Table 3: 1st-line HC!BA5:BA111""), $A21=IMPORTRANGE(""https://docs.google.com/spreadsheets/d/1kGrh75X1cNR1D7_FcY9zMnHP8iP"&amp;"O4M5RCRjy6nZY0TY/edit#gid=1248694442"",""Table 3: 1st-line HC!A5:A111"")),"""")"),"")</f>
        <v/>
      </c>
      <c r="D21" s="14" t="str">
        <f>IFERROR(__xludf.DUMMYFUNCTION("IFNA(FILTER(IMPORTRANGE(""https://docs.google.com/spreadsheets/d/1kGrh75X1cNR1D7_FcY9zMnHP8iPO4M5RCRjy6nZY0TY/edit#gid=1248694442"",""Table 3: 1st-line HC!BB5:BB111""), $A21=IMPORTRANGE(""https://docs.google.com/spreadsheets/d/1kGrh75X1cNR1D7_FcY9zMnHP8iP"&amp;"O4M5RCRjy6nZY0TY/edit#gid=1248694442"",""Table 3: 1st-line HC!A5:A111"")),"""")"),"")</f>
        <v/>
      </c>
      <c r="E21" s="19" t="str">
        <f>IFERROR(__xludf.DUMMYFUNCTION("IFNA(FILTER(IMPORTRANGE(""https://docs.google.com/spreadsheets/d/1kGrh75X1cNR1D7_FcY9zMnHP8iPO4M5RCRjy6nZY0TY/edit#gid=1248694442"",""Table 3: 1st-line HC!BC5:BC111""), $A21=IMPORTRANGE(""https://docs.google.com/spreadsheets/d/1kGrh75X1cNR1D7_FcY9zMnHP8iP"&amp;"O4M5RCRjy6nZY0TY/edit#gid=1248694442"",""Table 3: 1st-line HC!A5:A111"")),"""")"),"")</f>
        <v/>
      </c>
      <c r="F21" s="14" t="str">
        <f>IFERROR(__xludf.DUMMYFUNCTION("IFNA(FILTER(IMPORTRANGE(""https://docs.google.com/spreadsheets/d/1kGrh75X1cNR1D7_FcY9zMnHP8iPO4M5RCRjy6nZY0TY/edit#gid=1248694442"",""Table 3: 1st-line HC!Y5:Y111""), $A21=IMPORTRANGE(""https://docs.google.com/spreadsheets/d/1kGrh75X1cNR1D7_FcY9zMnHP8iPO4"&amp;"M5RCRjy6nZY0TY/edit#gid=1248694442"",""Table 3: 1st-line HC!A5:A111"")),"""")"),"")</f>
        <v/>
      </c>
      <c r="G21" s="14">
        <f>IFERROR(__xludf.DUMMYFUNCTION("IFNA(FILTER(IMPORTRANGE(""https://docs.google.com/spreadsheets/d/1kGrh75X1cNR1D7_FcY9zMnHP8iPO4M5RCRjy6nZY0TY/edit#gid=1248694442"",""Table 3: 1st-line HC!Z5:Z111""), $A21=IMPORTRANGE(""https://docs.google.com/spreadsheets/d/1kGrh75X1cNR1D7_FcY9zMnHP8iPO4"&amp;"M5RCRjy6nZY0TY/edit#gid=1248694442"",""Table 3: 1st-line HC!A5:A111"")),"""")"),144.0)</f>
        <v>144</v>
      </c>
      <c r="H21" s="14" t="str">
        <f>IFERROR(__xludf.DUMMYFUNCTION("IFNA(FILTER(IMPORTRANGE(""https://docs.google.com/spreadsheets/d/1kGrh75X1cNR1D7_FcY9zMnHP8iPO4M5RCRjy6nZY0TY/edit#gid=1248694442"",""Table 3: 1st-line HC!AA5:AA111""), $A21=IMPORTRANGE(""https://docs.google.com/spreadsheets/d/1kGrh75X1cNR1D7_FcY9zMnHP8iP"&amp;"O4M5RCRjy6nZY0TY/edit#gid=1248694442"",""Table 3: 1st-line HC!A5:A111"")),"""")"),"")</f>
        <v/>
      </c>
      <c r="I21" s="14" t="str">
        <f>IFERROR(__xludf.DUMMYFUNCTION("IFNA(FILTER(IMPORTRANGE(""https://docs.google.com/spreadsheets/d/1kGrh75X1cNR1D7_FcY9zMnHP8iPO4M5RCRjy6nZY0TY/edit#gid=1248694442"",""Table 3: 1st-line HC!AB5:AB111""), $A21=IMPORTRANGE(""https://docs.google.com/spreadsheets/d/1kGrh75X1cNR1D7_FcY9zMnHP8iP"&amp;"O4M5RCRjy6nZY0TY/edit#gid=1248694442"",""Table 3: 1st-line HC!A5:A111"")),"""")"),"")</f>
        <v/>
      </c>
      <c r="J21" s="14" t="str">
        <f>IFERROR(__xludf.DUMMYFUNCTION("IFNA(FILTER(IMPORTRANGE(""https://docs.google.com/spreadsheets/d/1kGrh75X1cNR1D7_FcY9zMnHP8iPO4M5RCRjy6nZY0TY/edit#gid=1248694442"",""Table 3: 1st-line HC!AC5:AC111""), $A21=IMPORTRANGE(""https://docs.google.com/spreadsheets/d/1kGrh75X1cNR1D7_FcY9zMnHP8iP"&amp;"O4M5RCRjy6nZY0TY/edit#gid=1248694442"",""Table 3: 1st-line HC!A5:A111"")),"""")"),"")</f>
        <v/>
      </c>
      <c r="K21" s="20" t="str">
        <f>IFERROR(__xludf.DUMMYFUNCTION("IFNA(FILTER(IMPORTRANGE(""https://docs.google.com/spreadsheets/d/1kGrh75X1cNR1D7_FcY9zMnHP8iPO4M5RCRjy6nZY0TY/edit#gid=1248694442"",""Table 3: 1st-line HC!AD5:AD111""), $A21=IMPORTRANGE(""https://docs.google.com/spreadsheets/d/1kGrh75X1cNR1D7_FcY9zMnHP8iP"&amp;"O4M5RCRjy6nZY0TY/edit#gid=1248694442"",""Table 3: 1st-line HC!A5:A111"")),"""")"),"")</f>
        <v/>
      </c>
      <c r="L21" s="14" t="str">
        <f>IFERROR(__xludf.DUMMYFUNCTION("IFNA(FILTER(IMPORTRANGE(""https://docs.google.com/spreadsheets/d/1kGrh75X1cNR1D7_FcY9zMnHP8iPO4M5RCRjy6nZY0TY/edit#gid=1248694442"",""Table 3: 1st-line HC!W5:W111""), $A21=IMPORTRANGE(""https://docs.google.com/spreadsheets/d/1kGrh75X1cNR1D7_FcY9zMnHP8iPO4"&amp;"M5RCRjy6nZY0TY/edit#gid=1248694442"",""Table 3: 1st-line HC!A5:A111"")),"""")"),"")</f>
        <v/>
      </c>
      <c r="M21" s="14" t="str">
        <f>IFERROR(__xludf.DUMMYFUNCTION("IFNA(FILTER(IMPORTRANGE(""https://docs.google.com/spreadsheets/d/1kGrh75X1cNR1D7_FcY9zMnHP8iPO4M5RCRjy6nZY0TY/edit#gid=1248694442"",""Table 3: 1st-line HC!X5:X111""), $A21=IMPORTRANGE(""https://docs.google.com/spreadsheets/d/1kGrh75X1cNR1D7_FcY9zMnHP8iPO4"&amp;"M5RCRjy6nZY0TY/edit#gid=1248694442"",""Table 3: 1st-line HC!A5:A111"")),"""")"),"")</f>
        <v/>
      </c>
      <c r="N21" s="14" t="str">
        <f>IFERROR(__xludf.DUMMYFUNCTION("IFNA(FILTER(IMPORTRANGE(""https://docs.google.com/spreadsheets/d/1kGrh75X1cNR1D7_FcY9zMnHP8iPO4M5RCRjy6nZY0TY/edit#gid=1248694442"",""Table 4: 2nd-line HC or more!C5:C85""), $A21=IMPORTRANGE(""https://docs.google.com/spreadsheets/d/1kGrh75X1cNR1D7_FcY9zMn"&amp;"HP8iPO4M5RCRjy6nZY0TY/edit#gid=1248694442"",""Table 4: 2nd-line HC or more!A5:A85"")),"""")"),"")</f>
        <v/>
      </c>
      <c r="O21" s="14">
        <f>IFERROR(__xludf.DUMMYFUNCTION("IFNA(FILTER(IMPORTRANGE(""https://docs.google.com/spreadsheets/d/1kGrh75X1cNR1D7_FcY9zMnHP8iPO4M5RCRjy6nZY0TY/edit#gid=1248694442"",""Table 4: 2nd-line HC or more!D5:D85""), $A21=IMPORTRANGE(""https://docs.google.com/spreadsheets/d/1kGrh75X1cNR1D7_FcY9zMn"&amp;"HP8iPO4M5RCRjy6nZY0TY/edit#gid=1248694442"",""Table 4: 2nd-line HC or more!A5:A85"")),"""")"),23.0)</f>
        <v>23</v>
      </c>
      <c r="P21" s="14" t="str">
        <f>IFERROR(__xludf.DUMMYFUNCTION("IFNA(FILTER(IMPORTRANGE(""https://docs.google.com/spreadsheets/d/1kGrh75X1cNR1D7_FcY9zMnHP8iPO4M5RCRjy6nZY0TY/edit#gid=1248694442"",""Table 4: 2nd-line HC or more!E5:E85""), $A21=IMPORTRANGE(""https://docs.google.com/spreadsheets/d/1kGrh75X1cNR1D7_FcY9zMn"&amp;"HP8iPO4M5RCRjy6nZY0TY/edit#gid=1248694442"",""Table 4: 2nd-line HC or more!A5:A85"")),"""")"),"")</f>
        <v/>
      </c>
      <c r="Q21" s="14" t="str">
        <f>IFERROR(__xludf.DUMMYFUNCTION("IFNA(FILTER(IMPORTRANGE(""https://docs.google.com/spreadsheets/d/1kGrh75X1cNR1D7_FcY9zMnHP8iPO4M5RCRjy6nZY0TY/edit#gid=1248694442"",""Table 4: 2nd-line HC or more!F5:F85""), $A21=IMPORTRANGE(""https://docs.google.com/spreadsheets/d/1kGrh75X1cNR1D7_FcY9zMn"&amp;"HP8iPO4M5RCRjy6nZY0TY/edit#gid=1248694442"",""Table 4: 2nd-line HC or more!A5:A85"")),"""")"),"")</f>
        <v/>
      </c>
      <c r="R21" s="14" t="str">
        <f>IFERROR(__xludf.DUMMYFUNCTION("IFNA(FILTER(IMPORTRANGE(""https://docs.google.com/spreadsheets/d/1kGrh75X1cNR1D7_FcY9zMnHP8iPO4M5RCRjy6nZY0TY/edit#gid=1248694442"",""Table 4: 2nd-line HC or more!G5:G85""), $A21=IMPORTRANGE(""https://docs.google.com/spreadsheets/d/1kGrh75X1cNR1D7_FcY9zMn"&amp;"HP8iPO4M5RCRjy6nZY0TY/edit#gid=1248694442"",""Table 4: 2nd-line HC or more!A5:A85"")),"""")"),"")</f>
        <v/>
      </c>
      <c r="S21" s="14" t="str">
        <f>IFERROR(__xludf.DUMMYFUNCTION("IFNA(FILTER(IMPORTRANGE(""https://docs.google.com/spreadsheets/d/1kGrh75X1cNR1D7_FcY9zMnHP8iPO4M5RCRjy6nZY0TY/edit#gid=1248694442"",""Table 4: 2nd-line HC or more!H5:H85""), $A21=IMPORTRANGE(""https://docs.google.com/spreadsheets/d/1kGrh75X1cNR1D7_FcY9zMn"&amp;"HP8iPO4M5RCRjy6nZY0TY/edit#gid=1248694442"",""Table 4: 2nd-line HC or more!A5:A85"")),"""")"),"")</f>
        <v/>
      </c>
      <c r="T21" s="14">
        <f>IFERROR(__xludf.DUMMYFUNCTION("IFNA(FILTER(IMPORTRANGE(""https://docs.google.com/spreadsheets/d/1kGrh75X1cNR1D7_FcY9zMnHP8iPO4M5RCRjy6nZY0TY/edit#gid=1248694442"",""Table 3: 1st-line HC!F5:F111""), $A21=IMPORTRANGE(""https://docs.google.com/spreadsheets/d/1kGrh75X1cNR1D7_FcY9zMnHP8iPO4"&amp;"M5RCRjy6nZY0TY/edit#gid=1248694442"",""Table 3: 1st-line HC!A5:A111"")),"""")"),144.0)</f>
        <v>144</v>
      </c>
      <c r="U21" s="14" t="str">
        <f>IFERROR(__xludf.DUMMYFUNCTION("IFNA(FILTER(IMPORTRANGE(""https://docs.google.com/spreadsheets/d/1kGrh75X1cNR1D7_FcY9zMnHP8iPO4M5RCRjy6nZY0TY/edit#gid=1248694442"",""Table 3: 1st-line HC!G5:G111""), $A21=IMPORTRANGE(""https://docs.google.com/spreadsheets/d/1kGrh75X1cNR1D7_FcY9zMnHP8iPO4"&amp;"M5RCRjy6nZY0TY/edit#gid=1248694442"",""Table 3: 1st-line HC!A5:A111"")),"""")"),"")</f>
        <v/>
      </c>
      <c r="V21" s="14">
        <f>IFERROR(__xludf.DUMMYFUNCTION("IFNA(FILTER(IMPORTRANGE(""https://docs.google.com/spreadsheets/d/1kGrh75X1cNR1D7_FcY9zMnHP8iPO4M5RCRjy6nZY0TY/edit#gid=1248694442"",""Table 3: 1st-line HC!H5:H111""), $A21=IMPORTRANGE(""https://docs.google.com/spreadsheets/d/1kGrh75X1cNR1D7_FcY9zMnHP8iPO4"&amp;"M5RCRjy6nZY0TY/edit#gid=1248694442"",""Table 3: 1st-line HC!A5:A111"")),"""")"),144.0)</f>
        <v>144</v>
      </c>
      <c r="W21" s="14" t="str">
        <f>IFERROR(__xludf.DUMMYFUNCTION("IFNA(FILTER(IMPORTRANGE(""https://docs.google.com/spreadsheets/d/1kGrh75X1cNR1D7_FcY9zMnHP8iPO4M5RCRjy6nZY0TY/edit#gid=1248694442"",""Table 3: 1st-line HC!I5:I111""), $A21=IMPORTRANGE(""https://docs.google.com/spreadsheets/d/1kGrh75X1cNR1D7_FcY9zMnHP8iPO4"&amp;"M5RCRjy6nZY0TY/edit#gid=1248694442"",""Table 3: 1st-line HC!A5:A111"")),"""")"),"")</f>
        <v/>
      </c>
    </row>
    <row r="22">
      <c r="A22" s="4" t="str">
        <f>IFERROR(__xludf.DUMMYFUNCTION("""COMPUTED_VALUE"""),"ID 36")</f>
        <v>ID 36</v>
      </c>
      <c r="B22" s="14">
        <f>IFERROR(__xludf.DUMMYFUNCTION("IFNA(FILTER(IMPORTRANGE(""https://docs.google.com/spreadsheets/d/1kGrh75X1cNR1D7_FcY9zMnHP8iPO4M5RCRjy6nZY0TY/edit#gid=1248694442"",""Table 3: 1st-line HC!AZ5:AZ111""), $A22=IMPORTRANGE(""https://docs.google.com/spreadsheets/d/1kGrh75X1cNR1D7_FcY9zMnHP8iP"&amp;"O4M5RCRjy6nZY0TY/edit#gid=1248694442"",""Table 3: 1st-line HC!A5:A111"")),"""")"),1.0)</f>
        <v>1</v>
      </c>
      <c r="C22" s="14">
        <f>IFERROR(__xludf.DUMMYFUNCTION("IFNA(FILTER(IMPORTRANGE(""https://docs.google.com/spreadsheets/d/1kGrh75X1cNR1D7_FcY9zMnHP8iPO4M5RCRjy6nZY0TY/edit#gid=1248694442"",""Table 3: 1st-line HC!BA5:BA111""), $A22=IMPORTRANGE(""https://docs.google.com/spreadsheets/d/1kGrh75X1cNR1D7_FcY9zMnHP8iP"&amp;"O4M5RCRjy6nZY0TY/edit#gid=1248694442"",""Table 3: 1st-line HC!A5:A111"")),"""")"),1.0)</f>
        <v>1</v>
      </c>
      <c r="D22" s="14">
        <f>IFERROR(__xludf.DUMMYFUNCTION("IFNA(FILTER(IMPORTRANGE(""https://docs.google.com/spreadsheets/d/1kGrh75X1cNR1D7_FcY9zMnHP8iPO4M5RCRjy6nZY0TY/edit#gid=1248694442"",""Table 3: 1st-line HC!BB5:BB111""), $A22=IMPORTRANGE(""https://docs.google.com/spreadsheets/d/1kGrh75X1cNR1D7_FcY9zMnHP8iP"&amp;"O4M5RCRjy6nZY0TY/edit#gid=1248694442"",""Table 3: 1st-line HC!A5:A111"")),"""")"),0.0)</f>
        <v>0</v>
      </c>
      <c r="E22" s="19" t="str">
        <f>IFERROR(__xludf.DUMMYFUNCTION("IFNA(FILTER(IMPORTRANGE(""https://docs.google.com/spreadsheets/d/1kGrh75X1cNR1D7_FcY9zMnHP8iPO4M5RCRjy6nZY0TY/edit#gid=1248694442"",""Table 3: 1st-line HC!BC5:BC111""), $A22=IMPORTRANGE(""https://docs.google.com/spreadsheets/d/1kGrh75X1cNR1D7_FcY9zMnHP8iP"&amp;"O4M5RCRjy6nZY0TY/edit#gid=1248694442"",""Table 3: 1st-line HC!A5:A111"")),"""")"),"")</f>
        <v/>
      </c>
      <c r="F22" s="14" t="str">
        <f>IFERROR(__xludf.DUMMYFUNCTION("IFNA(FILTER(IMPORTRANGE(""https://docs.google.com/spreadsheets/d/1kGrh75X1cNR1D7_FcY9zMnHP8iPO4M5RCRjy6nZY0TY/edit#gid=1248694442"",""Table 3: 1st-line HC!Y5:Y111""), $A22=IMPORTRANGE(""https://docs.google.com/spreadsheets/d/1kGrh75X1cNR1D7_FcY9zMnHP8iPO4"&amp;"M5RCRjy6nZY0TY/edit#gid=1248694442"",""Table 3: 1st-line HC!A5:A111"")),"""")"),"")</f>
        <v/>
      </c>
      <c r="G22" s="14">
        <f>IFERROR(__xludf.DUMMYFUNCTION("IFNA(FILTER(IMPORTRANGE(""https://docs.google.com/spreadsheets/d/1kGrh75X1cNR1D7_FcY9zMnHP8iPO4M5RCRjy6nZY0TY/edit#gid=1248694442"",""Table 3: 1st-line HC!Z5:Z111""), $A22=IMPORTRANGE(""https://docs.google.com/spreadsheets/d/1kGrh75X1cNR1D7_FcY9zMnHP8iPO4"&amp;"M5RCRjy6nZY0TY/edit#gid=1248694442"",""Table 3: 1st-line HC!A5:A111"")),"""")"),68.0)</f>
        <v>68</v>
      </c>
      <c r="H22" s="14" t="str">
        <f>IFERROR(__xludf.DUMMYFUNCTION("IFNA(FILTER(IMPORTRANGE(""https://docs.google.com/spreadsheets/d/1kGrh75X1cNR1D7_FcY9zMnHP8iPO4M5RCRjy6nZY0TY/edit#gid=1248694442"",""Table 3: 1st-line HC!AA5:AA111""), $A22=IMPORTRANGE(""https://docs.google.com/spreadsheets/d/1kGrh75X1cNR1D7_FcY9zMnHP8iP"&amp;"O4M5RCRjy6nZY0TY/edit#gid=1248694442"",""Table 3: 1st-line HC!A5:A111"")),"""")"),"")</f>
        <v/>
      </c>
      <c r="I22" s="14" t="str">
        <f>IFERROR(__xludf.DUMMYFUNCTION("IFNA(FILTER(IMPORTRANGE(""https://docs.google.com/spreadsheets/d/1kGrh75X1cNR1D7_FcY9zMnHP8iPO4M5RCRjy6nZY0TY/edit#gid=1248694442"",""Table 3: 1st-line HC!AB5:AB111""), $A22=IMPORTRANGE(""https://docs.google.com/spreadsheets/d/1kGrh75X1cNR1D7_FcY9zMnHP8iP"&amp;"O4M5RCRjy6nZY0TY/edit#gid=1248694442"",""Table 3: 1st-line HC!A5:A111"")),"""")"),"")</f>
        <v/>
      </c>
      <c r="J22" s="14" t="str">
        <f>IFERROR(__xludf.DUMMYFUNCTION("IFNA(FILTER(IMPORTRANGE(""https://docs.google.com/spreadsheets/d/1kGrh75X1cNR1D7_FcY9zMnHP8iPO4M5RCRjy6nZY0TY/edit#gid=1248694442"",""Table 3: 1st-line HC!AC5:AC111""), $A22=IMPORTRANGE(""https://docs.google.com/spreadsheets/d/1kGrh75X1cNR1D7_FcY9zMnHP8iP"&amp;"O4M5RCRjy6nZY0TY/edit#gid=1248694442"",""Table 3: 1st-line HC!A5:A111"")),"""")"),"")</f>
        <v/>
      </c>
      <c r="K22" s="20" t="str">
        <f>IFERROR(__xludf.DUMMYFUNCTION("IFNA(FILTER(IMPORTRANGE(""https://docs.google.com/spreadsheets/d/1kGrh75X1cNR1D7_FcY9zMnHP8iPO4M5RCRjy6nZY0TY/edit#gid=1248694442"",""Table 3: 1st-line HC!AD5:AD111""), $A22=IMPORTRANGE(""https://docs.google.com/spreadsheets/d/1kGrh75X1cNR1D7_FcY9zMnHP8iP"&amp;"O4M5RCRjy6nZY0TY/edit#gid=1248694442"",""Table 3: 1st-line HC!A5:A111"")),"""")"),"Died before VP shunting=1")</f>
        <v>Died before VP shunting=1</v>
      </c>
      <c r="L22" s="14" t="str">
        <f>IFERROR(__xludf.DUMMYFUNCTION("IFNA(FILTER(IMPORTRANGE(""https://docs.google.com/spreadsheets/d/1kGrh75X1cNR1D7_FcY9zMnHP8iPO4M5RCRjy6nZY0TY/edit#gid=1248694442"",""Table 3: 1st-line HC!W5:W111""), $A22=IMPORTRANGE(""https://docs.google.com/spreadsheets/d/1kGrh75X1cNR1D7_FcY9zMnHP8iPO4"&amp;"M5RCRjy6nZY0TY/edit#gid=1248694442"",""Table 3: 1st-line HC!A5:A111"")),"""")"),"")</f>
        <v/>
      </c>
      <c r="M22" s="14" t="str">
        <f>IFERROR(__xludf.DUMMYFUNCTION("IFNA(FILTER(IMPORTRANGE(""https://docs.google.com/spreadsheets/d/1kGrh75X1cNR1D7_FcY9zMnHP8iPO4M5RCRjy6nZY0TY/edit#gid=1248694442"",""Table 3: 1st-line HC!X5:X111""), $A22=IMPORTRANGE(""https://docs.google.com/spreadsheets/d/1kGrh75X1cNR1D7_FcY9zMnHP8iPO4"&amp;"M5RCRjy6nZY0TY/edit#gid=1248694442"",""Table 3: 1st-line HC!A5:A111"")),"""")"),"")</f>
        <v/>
      </c>
      <c r="N22" s="14" t="str">
        <f>IFERROR(__xludf.DUMMYFUNCTION("IFNA(FILTER(IMPORTRANGE(""https://docs.google.com/spreadsheets/d/1kGrh75X1cNR1D7_FcY9zMnHP8iPO4M5RCRjy6nZY0TY/edit#gid=1248694442"",""Table 4: 2nd-line HC or more!C5:C85""), $A22=IMPORTRANGE(""https://docs.google.com/spreadsheets/d/1kGrh75X1cNR1D7_FcY9zMn"&amp;"HP8iPO4M5RCRjy6nZY0TY/edit#gid=1248694442"",""Table 4: 2nd-line HC or more!A5:A85"")),"""")"),"")</f>
        <v/>
      </c>
      <c r="O22" s="14" t="str">
        <f>IFERROR(__xludf.DUMMYFUNCTION("IFNA(FILTER(IMPORTRANGE(""https://docs.google.com/spreadsheets/d/1kGrh75X1cNR1D7_FcY9zMnHP8iPO4M5RCRjy6nZY0TY/edit#gid=1248694442"",""Table 4: 2nd-line HC or more!D5:D85""), $A22=IMPORTRANGE(""https://docs.google.com/spreadsheets/d/1kGrh75X1cNR1D7_FcY9zMn"&amp;"HP8iPO4M5RCRjy6nZY0TY/edit#gid=1248694442"",""Table 4: 2nd-line HC or more!A5:A85"")),"""")"),"")</f>
        <v/>
      </c>
      <c r="P22" s="14" t="str">
        <f>IFERROR(__xludf.DUMMYFUNCTION("IFNA(FILTER(IMPORTRANGE(""https://docs.google.com/spreadsheets/d/1kGrh75X1cNR1D7_FcY9zMnHP8iPO4M5RCRjy6nZY0TY/edit#gid=1248694442"",""Table 4: 2nd-line HC or more!E5:E85""), $A22=IMPORTRANGE(""https://docs.google.com/spreadsheets/d/1kGrh75X1cNR1D7_FcY9zMn"&amp;"HP8iPO4M5RCRjy6nZY0TY/edit#gid=1248694442"",""Table 4: 2nd-line HC or more!A5:A85"")),"""")"),"")</f>
        <v/>
      </c>
      <c r="Q22" s="14" t="str">
        <f>IFERROR(__xludf.DUMMYFUNCTION("IFNA(FILTER(IMPORTRANGE(""https://docs.google.com/spreadsheets/d/1kGrh75X1cNR1D7_FcY9zMnHP8iPO4M5RCRjy6nZY0TY/edit#gid=1248694442"",""Table 4: 2nd-line HC or more!F5:F85""), $A22=IMPORTRANGE(""https://docs.google.com/spreadsheets/d/1kGrh75X1cNR1D7_FcY9zMn"&amp;"HP8iPO4M5RCRjy6nZY0TY/edit#gid=1248694442"",""Table 4: 2nd-line HC or more!A5:A85"")),"""")"),"")</f>
        <v/>
      </c>
      <c r="R22" s="14" t="str">
        <f>IFERROR(__xludf.DUMMYFUNCTION("IFNA(FILTER(IMPORTRANGE(""https://docs.google.com/spreadsheets/d/1kGrh75X1cNR1D7_FcY9zMnHP8iPO4M5RCRjy6nZY0TY/edit#gid=1248694442"",""Table 4: 2nd-line HC or more!G5:G85""), $A22=IMPORTRANGE(""https://docs.google.com/spreadsheets/d/1kGrh75X1cNR1D7_FcY9zMn"&amp;"HP8iPO4M5RCRjy6nZY0TY/edit#gid=1248694442"",""Table 4: 2nd-line HC or more!A5:A85"")),"""")"),"")</f>
        <v/>
      </c>
      <c r="S22" s="14" t="str">
        <f>IFERROR(__xludf.DUMMYFUNCTION("IFNA(FILTER(IMPORTRANGE(""https://docs.google.com/spreadsheets/d/1kGrh75X1cNR1D7_FcY9zMnHP8iPO4M5RCRjy6nZY0TY/edit#gid=1248694442"",""Table 4: 2nd-line HC or more!H5:H85""), $A22=IMPORTRANGE(""https://docs.google.com/spreadsheets/d/1kGrh75X1cNR1D7_FcY9zMn"&amp;"HP8iPO4M5RCRjy6nZY0TY/edit#gid=1248694442"",""Table 4: 2nd-line HC or more!A5:A85"")),"""")"),"")</f>
        <v/>
      </c>
      <c r="T22" s="14" t="str">
        <f>IFERROR(__xludf.DUMMYFUNCTION("IFNA(FILTER(IMPORTRANGE(""https://docs.google.com/spreadsheets/d/1kGrh75X1cNR1D7_FcY9zMnHP8iPO4M5RCRjy6nZY0TY/edit#gid=1248694442"",""Table 3: 1st-line HC!F5:F111""), $A22=IMPORTRANGE(""https://docs.google.com/spreadsheets/d/1kGrh75X1cNR1D7_FcY9zMnHP8iPO4"&amp;"M5RCRjy6nZY0TY/edit#gid=1248694442"",""Table 3: 1st-line HC!A5:A111"")),"""")"),"")</f>
        <v/>
      </c>
      <c r="U22" s="14" t="str">
        <f>IFERROR(__xludf.DUMMYFUNCTION("IFNA(FILTER(IMPORTRANGE(""https://docs.google.com/spreadsheets/d/1kGrh75X1cNR1D7_FcY9zMnHP8iPO4M5RCRjy6nZY0TY/edit#gid=1248694442"",""Table 3: 1st-line HC!G5:G111""), $A22=IMPORTRANGE(""https://docs.google.com/spreadsheets/d/1kGrh75X1cNR1D7_FcY9zMnHP8iPO4"&amp;"M5RCRjy6nZY0TY/edit#gid=1248694442"",""Table 3: 1st-line HC!A5:A111"")),"""")"),"")</f>
        <v/>
      </c>
      <c r="V22" s="14" t="str">
        <f>IFERROR(__xludf.DUMMYFUNCTION("IFNA(FILTER(IMPORTRANGE(""https://docs.google.com/spreadsheets/d/1kGrh75X1cNR1D7_FcY9zMnHP8iPO4M5RCRjy6nZY0TY/edit#gid=1248694442"",""Table 3: 1st-line HC!H5:H111""), $A22=IMPORTRANGE(""https://docs.google.com/spreadsheets/d/1kGrh75X1cNR1D7_FcY9zMnHP8iPO4"&amp;"M5RCRjy6nZY0TY/edit#gid=1248694442"",""Table 3: 1st-line HC!A5:A111"")),"""")"),"")</f>
        <v/>
      </c>
      <c r="W22" s="14" t="str">
        <f>IFERROR(__xludf.DUMMYFUNCTION("IFNA(FILTER(IMPORTRANGE(""https://docs.google.com/spreadsheets/d/1kGrh75X1cNR1D7_FcY9zMnHP8iPO4M5RCRjy6nZY0TY/edit#gid=1248694442"",""Table 3: 1st-line HC!I5:I111""), $A22=IMPORTRANGE(""https://docs.google.com/spreadsheets/d/1kGrh75X1cNR1D7_FcY9zMnHP8iPO4"&amp;"M5RCRjy6nZY0TY/edit#gid=1248694442"",""Table 3: 1st-line HC!A5:A111"")),"""")"),"")</f>
        <v/>
      </c>
    </row>
    <row r="23">
      <c r="A23" s="4" t="str">
        <f>IFERROR(__xludf.DUMMYFUNCTION("""COMPUTED_VALUE"""),"ID 37")</f>
        <v>ID 37</v>
      </c>
      <c r="B23" s="14">
        <f>IFERROR(__xludf.DUMMYFUNCTION("IFNA(FILTER(IMPORTRANGE(""https://docs.google.com/spreadsheets/d/1kGrh75X1cNR1D7_FcY9zMnHP8iPO4M5RCRjy6nZY0TY/edit#gid=1248694442"",""Table 3: 1st-line HC!AZ5:AZ111""), $A23=IMPORTRANGE(""https://docs.google.com/spreadsheets/d/1kGrh75X1cNR1D7_FcY9zMnHP8iP"&amp;"O4M5RCRjy6nZY0TY/edit#gid=1248694442"",""Table 3: 1st-line HC!A5:A111"")),"""")"),1.0)</f>
        <v>1</v>
      </c>
      <c r="C23" s="14">
        <f>IFERROR(__xludf.DUMMYFUNCTION("IFNA(FILTER(IMPORTRANGE(""https://docs.google.com/spreadsheets/d/1kGrh75X1cNR1D7_FcY9zMnHP8iPO4M5RCRjy6nZY0TY/edit#gid=1248694442"",""Table 3: 1st-line HC!BA5:BA111""), $A23=IMPORTRANGE(""https://docs.google.com/spreadsheets/d/1kGrh75X1cNR1D7_FcY9zMnHP8iP"&amp;"O4M5RCRjy6nZY0TY/edit#gid=1248694442"",""Table 3: 1st-line HC!A5:A111"")),"""")"),1.0)</f>
        <v>1</v>
      </c>
      <c r="D23" s="14">
        <f>IFERROR(__xludf.DUMMYFUNCTION("IFNA(FILTER(IMPORTRANGE(""https://docs.google.com/spreadsheets/d/1kGrh75X1cNR1D7_FcY9zMnHP8iPO4M5RCRjy6nZY0TY/edit#gid=1248694442"",""Table 3: 1st-line HC!BB5:BB111""), $A23=IMPORTRANGE(""https://docs.google.com/spreadsheets/d/1kGrh75X1cNR1D7_FcY9zMnHP8iP"&amp;"O4M5RCRjy6nZY0TY/edit#gid=1248694442"",""Table 3: 1st-line HC!A5:A111"")),"""")"),0.0)</f>
        <v>0</v>
      </c>
      <c r="E23" s="19" t="str">
        <f>IFERROR(__xludf.DUMMYFUNCTION("IFNA(FILTER(IMPORTRANGE(""https://docs.google.com/spreadsheets/d/1kGrh75X1cNR1D7_FcY9zMnHP8iPO4M5RCRjy6nZY0TY/edit#gid=1248694442"",""Table 3: 1st-line HC!BC5:BC111""), $A23=IMPORTRANGE(""https://docs.google.com/spreadsheets/d/1kGrh75X1cNR1D7_FcY9zMnHP8iP"&amp;"O4M5RCRjy6nZY0TY/edit#gid=1248694442"",""Table 3: 1st-line HC!A5:A111"")),"""")"),"")</f>
        <v/>
      </c>
      <c r="F23" s="14" t="str">
        <f>IFERROR(__xludf.DUMMYFUNCTION("IFNA(FILTER(IMPORTRANGE(""https://docs.google.com/spreadsheets/d/1kGrh75X1cNR1D7_FcY9zMnHP8iPO4M5RCRjy6nZY0TY/edit#gid=1248694442"",""Table 3: 1st-line HC!Y5:Y111""), $A23=IMPORTRANGE(""https://docs.google.com/spreadsheets/d/1kGrh75X1cNR1D7_FcY9zMnHP8iPO4"&amp;"M5RCRjy6nZY0TY/edit#gid=1248694442"",""Table 3: 1st-line HC!A5:A111"")),"""")"),"")</f>
        <v/>
      </c>
      <c r="G23" s="14">
        <f>IFERROR(__xludf.DUMMYFUNCTION("IFNA(FILTER(IMPORTRANGE(""https://docs.google.com/spreadsheets/d/1kGrh75X1cNR1D7_FcY9zMnHP8iPO4M5RCRjy6nZY0TY/edit#gid=1248694442"",""Table 3: 1st-line HC!Z5:Z111""), $A23=IMPORTRANGE(""https://docs.google.com/spreadsheets/d/1kGrh75X1cNR1D7_FcY9zMnHP8iPO4"&amp;"M5RCRjy6nZY0TY/edit#gid=1248694442"",""Table 3: 1st-line HC!A5:A111"")),"""")"),75.0)</f>
        <v>75</v>
      </c>
      <c r="H23" s="14" t="str">
        <f>IFERROR(__xludf.DUMMYFUNCTION("IFNA(FILTER(IMPORTRANGE(""https://docs.google.com/spreadsheets/d/1kGrh75X1cNR1D7_FcY9zMnHP8iPO4M5RCRjy6nZY0TY/edit#gid=1248694442"",""Table 3: 1st-line HC!AA5:AA111""), $A23=IMPORTRANGE(""https://docs.google.com/spreadsheets/d/1kGrh75X1cNR1D7_FcY9zMnHP8iP"&amp;"O4M5RCRjy6nZY0TY/edit#gid=1248694442"",""Table 3: 1st-line HC!A5:A111"")),"""")"),"")</f>
        <v/>
      </c>
      <c r="I23" s="14" t="str">
        <f>IFERROR(__xludf.DUMMYFUNCTION("IFNA(FILTER(IMPORTRANGE(""https://docs.google.com/spreadsheets/d/1kGrh75X1cNR1D7_FcY9zMnHP8iPO4M5RCRjy6nZY0TY/edit#gid=1248694442"",""Table 3: 1st-line HC!AB5:AB111""), $A23=IMPORTRANGE(""https://docs.google.com/spreadsheets/d/1kGrh75X1cNR1D7_FcY9zMnHP8iP"&amp;"O4M5RCRjy6nZY0TY/edit#gid=1248694442"",""Table 3: 1st-line HC!A5:A111"")),"""")"),"")</f>
        <v/>
      </c>
      <c r="J23" s="14" t="str">
        <f>IFERROR(__xludf.DUMMYFUNCTION("IFNA(FILTER(IMPORTRANGE(""https://docs.google.com/spreadsheets/d/1kGrh75X1cNR1D7_FcY9zMnHP8iPO4M5RCRjy6nZY0TY/edit#gid=1248694442"",""Table 3: 1st-line HC!AC5:AC111""), $A23=IMPORTRANGE(""https://docs.google.com/spreadsheets/d/1kGrh75X1cNR1D7_FcY9zMnHP8iP"&amp;"O4M5RCRjy6nZY0TY/edit#gid=1248694442"",""Table 3: 1st-line HC!A5:A111"")),"""")"),"")</f>
        <v/>
      </c>
      <c r="K23" s="20" t="str">
        <f>IFERROR(__xludf.DUMMYFUNCTION("IFNA(FILTER(IMPORTRANGE(""https://docs.google.com/spreadsheets/d/1kGrh75X1cNR1D7_FcY9zMnHP8iPO4M5RCRjy6nZY0TY/edit#gid=1248694442"",""Table 3: 1st-line HC!AD5:AD111""), $A23=IMPORTRANGE(""https://docs.google.com/spreadsheets/d/1kGrh75X1cNR1D7_FcY9zMnHP8iP"&amp;"O4M5RCRjy6nZY0TY/edit#gid=1248694442"",""Table 3: 1st-line HC!A5:A111"")),"""")"),"")</f>
        <v/>
      </c>
      <c r="L23" s="14" t="str">
        <f>IFERROR(__xludf.DUMMYFUNCTION("IFNA(FILTER(IMPORTRANGE(""https://docs.google.com/spreadsheets/d/1kGrh75X1cNR1D7_FcY9zMnHP8iPO4M5RCRjy6nZY0TY/edit#gid=1248694442"",""Table 3: 1st-line HC!W5:W111""), $A23=IMPORTRANGE(""https://docs.google.com/spreadsheets/d/1kGrh75X1cNR1D7_FcY9zMnHP8iPO4"&amp;"M5RCRjy6nZY0TY/edit#gid=1248694442"",""Table 3: 1st-line HC!A5:A111"")),"""")"),"")</f>
        <v/>
      </c>
      <c r="M23" s="14" t="str">
        <f>IFERROR(__xludf.DUMMYFUNCTION("IFNA(FILTER(IMPORTRANGE(""https://docs.google.com/spreadsheets/d/1kGrh75X1cNR1D7_FcY9zMnHP8iPO4M5RCRjy6nZY0TY/edit#gid=1248694442"",""Table 3: 1st-line HC!X5:X111""), $A23=IMPORTRANGE(""https://docs.google.com/spreadsheets/d/1kGrh75X1cNR1D7_FcY9zMnHP8iPO4"&amp;"M5RCRjy6nZY0TY/edit#gid=1248694442"",""Table 3: 1st-line HC!A5:A111"")),"""")"),"")</f>
        <v/>
      </c>
      <c r="N23" s="14" t="str">
        <f>IFERROR(__xludf.DUMMYFUNCTION("IFNA(FILTER(IMPORTRANGE(""https://docs.google.com/spreadsheets/d/1kGrh75X1cNR1D7_FcY9zMnHP8iPO4M5RCRjy6nZY0TY/edit#gid=1248694442"",""Table 4: 2nd-line HC or more!C5:C85""), $A23=IMPORTRANGE(""https://docs.google.com/spreadsheets/d/1kGrh75X1cNR1D7_FcY9zMn"&amp;"HP8iPO4M5RCRjy6nZY0TY/edit#gid=1248694442"",""Table 4: 2nd-line HC or more!A5:A85"")),"""")"),"")</f>
        <v/>
      </c>
      <c r="O23" s="14" t="str">
        <f>IFERROR(__xludf.DUMMYFUNCTION("IFNA(FILTER(IMPORTRANGE(""https://docs.google.com/spreadsheets/d/1kGrh75X1cNR1D7_FcY9zMnHP8iPO4M5RCRjy6nZY0TY/edit#gid=1248694442"",""Table 4: 2nd-line HC or more!D5:D85""), $A23=IMPORTRANGE(""https://docs.google.com/spreadsheets/d/1kGrh75X1cNR1D7_FcY9zMn"&amp;"HP8iPO4M5RCRjy6nZY0TY/edit#gid=1248694442"",""Table 4: 2nd-line HC or more!A5:A85"")),"""")"),"")</f>
        <v/>
      </c>
      <c r="P23" s="14" t="str">
        <f>IFERROR(__xludf.DUMMYFUNCTION("IFNA(FILTER(IMPORTRANGE(""https://docs.google.com/spreadsheets/d/1kGrh75X1cNR1D7_FcY9zMnHP8iPO4M5RCRjy6nZY0TY/edit#gid=1248694442"",""Table 4: 2nd-line HC or more!E5:E85""), $A23=IMPORTRANGE(""https://docs.google.com/spreadsheets/d/1kGrh75X1cNR1D7_FcY9zMn"&amp;"HP8iPO4M5RCRjy6nZY0TY/edit#gid=1248694442"",""Table 4: 2nd-line HC or more!A5:A85"")),"""")"),"")</f>
        <v/>
      </c>
      <c r="Q23" s="14" t="str">
        <f>IFERROR(__xludf.DUMMYFUNCTION("IFNA(FILTER(IMPORTRANGE(""https://docs.google.com/spreadsheets/d/1kGrh75X1cNR1D7_FcY9zMnHP8iPO4M5RCRjy6nZY0TY/edit#gid=1248694442"",""Table 4: 2nd-line HC or more!F5:F85""), $A23=IMPORTRANGE(""https://docs.google.com/spreadsheets/d/1kGrh75X1cNR1D7_FcY9zMn"&amp;"HP8iPO4M5RCRjy6nZY0TY/edit#gid=1248694442"",""Table 4: 2nd-line HC or more!A5:A85"")),"""")"),"")</f>
        <v/>
      </c>
      <c r="R23" s="14" t="str">
        <f>IFERROR(__xludf.DUMMYFUNCTION("IFNA(FILTER(IMPORTRANGE(""https://docs.google.com/spreadsheets/d/1kGrh75X1cNR1D7_FcY9zMnHP8iPO4M5RCRjy6nZY0TY/edit#gid=1248694442"",""Table 4: 2nd-line HC or more!G5:G85""), $A23=IMPORTRANGE(""https://docs.google.com/spreadsheets/d/1kGrh75X1cNR1D7_FcY9zMn"&amp;"HP8iPO4M5RCRjy6nZY0TY/edit#gid=1248694442"",""Table 4: 2nd-line HC or more!A5:A85"")),"""")"),"")</f>
        <v/>
      </c>
      <c r="S23" s="14" t="str">
        <f>IFERROR(__xludf.DUMMYFUNCTION("IFNA(FILTER(IMPORTRANGE(""https://docs.google.com/spreadsheets/d/1kGrh75X1cNR1D7_FcY9zMnHP8iPO4M5RCRjy6nZY0TY/edit#gid=1248694442"",""Table 4: 2nd-line HC or more!H5:H85""), $A23=IMPORTRANGE(""https://docs.google.com/spreadsheets/d/1kGrh75X1cNR1D7_FcY9zMn"&amp;"HP8iPO4M5RCRjy6nZY0TY/edit#gid=1248694442"",""Table 4: 2nd-line HC or more!A5:A85"")),"""")"),"")</f>
        <v/>
      </c>
      <c r="T23" s="14" t="str">
        <f>IFERROR(__xludf.DUMMYFUNCTION("IFNA(FILTER(IMPORTRANGE(""https://docs.google.com/spreadsheets/d/1kGrh75X1cNR1D7_FcY9zMnHP8iPO4M5RCRjy6nZY0TY/edit#gid=1248694442"",""Table 3: 1st-line HC!F5:F111""), $A23=IMPORTRANGE(""https://docs.google.com/spreadsheets/d/1kGrh75X1cNR1D7_FcY9zMnHP8iPO4"&amp;"M5RCRjy6nZY0TY/edit#gid=1248694442"",""Table 3: 1st-line HC!A5:A111"")),"""")"),"")</f>
        <v/>
      </c>
      <c r="U23" s="14" t="str">
        <f>IFERROR(__xludf.DUMMYFUNCTION("IFNA(FILTER(IMPORTRANGE(""https://docs.google.com/spreadsheets/d/1kGrh75X1cNR1D7_FcY9zMnHP8iPO4M5RCRjy6nZY0TY/edit#gid=1248694442"",""Table 3: 1st-line HC!G5:G111""), $A23=IMPORTRANGE(""https://docs.google.com/spreadsheets/d/1kGrh75X1cNR1D7_FcY9zMnHP8iPO4"&amp;"M5RCRjy6nZY0TY/edit#gid=1248694442"",""Table 3: 1st-line HC!A5:A111"")),"""")"),"")</f>
        <v/>
      </c>
      <c r="V23" s="14" t="str">
        <f>IFERROR(__xludf.DUMMYFUNCTION("IFNA(FILTER(IMPORTRANGE(""https://docs.google.com/spreadsheets/d/1kGrh75X1cNR1D7_FcY9zMnHP8iPO4M5RCRjy6nZY0TY/edit#gid=1248694442"",""Table 3: 1st-line HC!H5:H111""), $A23=IMPORTRANGE(""https://docs.google.com/spreadsheets/d/1kGrh75X1cNR1D7_FcY9zMnHP8iPO4"&amp;"M5RCRjy6nZY0TY/edit#gid=1248694442"",""Table 3: 1st-line HC!A5:A111"")),"""")"),"")</f>
        <v/>
      </c>
      <c r="W23" s="14" t="str">
        <f>IFERROR(__xludf.DUMMYFUNCTION("IFNA(FILTER(IMPORTRANGE(""https://docs.google.com/spreadsheets/d/1kGrh75X1cNR1D7_FcY9zMnHP8iPO4M5RCRjy6nZY0TY/edit#gid=1248694442"",""Table 3: 1st-line HC!I5:I111""), $A23=IMPORTRANGE(""https://docs.google.com/spreadsheets/d/1kGrh75X1cNR1D7_FcY9zMnHP8iPO4"&amp;"M5RCRjy6nZY0TY/edit#gid=1248694442"",""Table 3: 1st-line HC!A5:A111"")),"""")"),"")</f>
        <v/>
      </c>
    </row>
    <row r="24">
      <c r="A24" s="4" t="str">
        <f>IFERROR(__xludf.DUMMYFUNCTION("""COMPUTED_VALUE"""),"ID 38")</f>
        <v>ID 38</v>
      </c>
      <c r="B24" s="14">
        <f>IFERROR(__xludf.DUMMYFUNCTION("IFNA(FILTER(IMPORTRANGE(""https://docs.google.com/spreadsheets/d/1kGrh75X1cNR1D7_FcY9zMnHP8iPO4M5RCRjy6nZY0TY/edit#gid=1248694442"",""Table 3: 1st-line HC!AZ5:AZ111""), $A24=IMPORTRANGE(""https://docs.google.com/spreadsheets/d/1kGrh75X1cNR1D7_FcY9zMnHP8iP"&amp;"O4M5RCRjy6nZY0TY/edit#gid=1248694442"",""Table 3: 1st-line HC!A5:A111"")),"""")"),1.29)</f>
        <v>1.29</v>
      </c>
      <c r="C24" s="14" t="str">
        <f>IFERROR(__xludf.DUMMYFUNCTION("IFNA(FILTER(IMPORTRANGE(""https://docs.google.com/spreadsheets/d/1kGrh75X1cNR1D7_FcY9zMnHP8iPO4M5RCRjy6nZY0TY/edit#gid=1248694442"",""Table 3: 1st-line HC!BA5:BA111""), $A24=IMPORTRANGE(""https://docs.google.com/spreadsheets/d/1kGrh75X1cNR1D7_FcY9zMnHP8iP"&amp;"O4M5RCRjy6nZY0TY/edit#gid=1248694442"",""Table 3: 1st-line HC!A5:A111"")),"""")"),"")</f>
        <v/>
      </c>
      <c r="D24" s="14">
        <f>IFERROR(__xludf.DUMMYFUNCTION("IFNA(FILTER(IMPORTRANGE(""https://docs.google.com/spreadsheets/d/1kGrh75X1cNR1D7_FcY9zMnHP8iPO4M5RCRjy6nZY0TY/edit#gid=1248694442"",""Table 3: 1st-line HC!BB5:BB111""), $A24=IMPORTRANGE(""https://docs.google.com/spreadsheets/d/1kGrh75X1cNR1D7_FcY9zMnHP8iP"&amp;"O4M5RCRjy6nZY0TY/edit#gid=1248694442"",""Table 3: 1st-line HC!A5:A111"")),"""")"),0.0)</f>
        <v>0</v>
      </c>
      <c r="E24" s="19" t="str">
        <f>IFERROR(__xludf.DUMMYFUNCTION("IFNA(FILTER(IMPORTRANGE(""https://docs.google.com/spreadsheets/d/1kGrh75X1cNR1D7_FcY9zMnHP8iPO4M5RCRjy6nZY0TY/edit#gid=1248694442"",""Table 3: 1st-line HC!BC5:BC111""), $A24=IMPORTRANGE(""https://docs.google.com/spreadsheets/d/1kGrh75X1cNR1D7_FcY9zMnHP8iP"&amp;"O4M5RCRjy6nZY0TY/edit#gid=1248694442"",""Table 3: 1st-line HC!A5:A111"")),"""")"),"")</f>
        <v/>
      </c>
      <c r="F24" s="14" t="str">
        <f>IFERROR(__xludf.DUMMYFUNCTION("IFNA(FILTER(IMPORTRANGE(""https://docs.google.com/spreadsheets/d/1kGrh75X1cNR1D7_FcY9zMnHP8iPO4M5RCRjy6nZY0TY/edit#gid=1248694442"",""Table 3: 1st-line HC!Y5:Y111""), $A24=IMPORTRANGE(""https://docs.google.com/spreadsheets/d/1kGrh75X1cNR1D7_FcY9zMnHP8iPO4"&amp;"M5RCRjy6nZY0TY/edit#gid=1248694442"",""Table 3: 1st-line HC!A5:A111"")),"""")"),"")</f>
        <v/>
      </c>
      <c r="G24" s="14">
        <f>IFERROR(__xludf.DUMMYFUNCTION("IFNA(FILTER(IMPORTRANGE(""https://docs.google.com/spreadsheets/d/1kGrh75X1cNR1D7_FcY9zMnHP8iPO4M5RCRjy6nZY0TY/edit#gid=1248694442"",""Table 3: 1st-line HC!Z5:Z111""), $A24=IMPORTRANGE(""https://docs.google.com/spreadsheets/d/1kGrh75X1cNR1D7_FcY9zMnHP8iPO4"&amp;"M5RCRjy6nZY0TY/edit#gid=1248694442"",""Table 3: 1st-line HC!A5:A111"")),"""")"),69.0)</f>
        <v>69</v>
      </c>
      <c r="H24" s="14" t="str">
        <f>IFERROR(__xludf.DUMMYFUNCTION("IFNA(FILTER(IMPORTRANGE(""https://docs.google.com/spreadsheets/d/1kGrh75X1cNR1D7_FcY9zMnHP8iPO4M5RCRjy6nZY0TY/edit#gid=1248694442"",""Table 3: 1st-line HC!AA5:AA111""), $A24=IMPORTRANGE(""https://docs.google.com/spreadsheets/d/1kGrh75X1cNR1D7_FcY9zMnHP8iP"&amp;"O4M5RCRjy6nZY0TY/edit#gid=1248694442"",""Table 3: 1st-line HC!A5:A111"")),"""")"),"")</f>
        <v/>
      </c>
      <c r="I24" s="14" t="str">
        <f>IFERROR(__xludf.DUMMYFUNCTION("IFNA(FILTER(IMPORTRANGE(""https://docs.google.com/spreadsheets/d/1kGrh75X1cNR1D7_FcY9zMnHP8iPO4M5RCRjy6nZY0TY/edit#gid=1248694442"",""Table 3: 1st-line HC!AB5:AB111""), $A24=IMPORTRANGE(""https://docs.google.com/spreadsheets/d/1kGrh75X1cNR1D7_FcY9zMnHP8iP"&amp;"O4M5RCRjy6nZY0TY/edit#gid=1248694442"",""Table 3: 1st-line HC!A5:A111"")),"""")"),"")</f>
        <v/>
      </c>
      <c r="J24" s="14" t="str">
        <f>IFERROR(__xludf.DUMMYFUNCTION("IFNA(FILTER(IMPORTRANGE(""https://docs.google.com/spreadsheets/d/1kGrh75X1cNR1D7_FcY9zMnHP8iPO4M5RCRjy6nZY0TY/edit#gid=1248694442"",""Table 3: 1st-line HC!AC5:AC111""), $A24=IMPORTRANGE(""https://docs.google.com/spreadsheets/d/1kGrh75X1cNR1D7_FcY9zMnHP8iP"&amp;"O4M5RCRjy6nZY0TY/edit#gid=1248694442"",""Table 3: 1st-line HC!A5:A111"")),"""")"),"")</f>
        <v/>
      </c>
      <c r="K24" s="20" t="str">
        <f>IFERROR(__xludf.DUMMYFUNCTION("IFNA(FILTER(IMPORTRANGE(""https://docs.google.com/spreadsheets/d/1kGrh75X1cNR1D7_FcY9zMnHP8iPO4M5RCRjy6nZY0TY/edit#gid=1248694442"",""Table 3: 1st-line HC!AD5:AD111""), $A24=IMPORTRANGE(""https://docs.google.com/spreadsheets/d/1kGrh75X1cNR1D7_FcY9zMnHP8iP"&amp;"O4M5RCRjy6nZY0TY/edit#gid=1248694442"",""Table 3: 1st-line HC!A5:A111"")),"""")"),"")</f>
        <v/>
      </c>
      <c r="L24" s="14" t="str">
        <f>IFERROR(__xludf.DUMMYFUNCTION("IFNA(FILTER(IMPORTRANGE(""https://docs.google.com/spreadsheets/d/1kGrh75X1cNR1D7_FcY9zMnHP8iPO4M5RCRjy6nZY0TY/edit#gid=1248694442"",""Table 3: 1st-line HC!W5:W111""), $A24=IMPORTRANGE(""https://docs.google.com/spreadsheets/d/1kGrh75X1cNR1D7_FcY9zMnHP8iPO4"&amp;"M5RCRjy6nZY0TY/edit#gid=1248694442"",""Table 3: 1st-line HC!A5:A111"")),"""")"),"")</f>
        <v/>
      </c>
      <c r="M24" s="14" t="str">
        <f>IFERROR(__xludf.DUMMYFUNCTION("IFNA(FILTER(IMPORTRANGE(""https://docs.google.com/spreadsheets/d/1kGrh75X1cNR1D7_FcY9zMnHP8iPO4M5RCRjy6nZY0TY/edit#gid=1248694442"",""Table 3: 1st-line HC!X5:X111""), $A24=IMPORTRANGE(""https://docs.google.com/spreadsheets/d/1kGrh75X1cNR1D7_FcY9zMnHP8iPO4"&amp;"M5RCRjy6nZY0TY/edit#gid=1248694442"",""Table 3: 1st-line HC!A5:A111"")),"""")"),"")</f>
        <v/>
      </c>
      <c r="N24" s="14" t="str">
        <f>IFERROR(__xludf.DUMMYFUNCTION("IFNA(FILTER(IMPORTRANGE(""https://docs.google.com/spreadsheets/d/1kGrh75X1cNR1D7_FcY9zMnHP8iPO4M5RCRjy6nZY0TY/edit#gid=1248694442"",""Table 4: 2nd-line HC or more!C5:C85""), $A24=IMPORTRANGE(""https://docs.google.com/spreadsheets/d/1kGrh75X1cNR1D7_FcY9zMn"&amp;"HP8iPO4M5RCRjy6nZY0TY/edit#gid=1248694442"",""Table 4: 2nd-line HC or more!A5:A85"")),"""")"),"")</f>
        <v/>
      </c>
      <c r="O24" s="14" t="str">
        <f>IFERROR(__xludf.DUMMYFUNCTION("IFNA(FILTER(IMPORTRANGE(""https://docs.google.com/spreadsheets/d/1kGrh75X1cNR1D7_FcY9zMnHP8iPO4M5RCRjy6nZY0TY/edit#gid=1248694442"",""Table 4: 2nd-line HC or more!D5:D85""), $A24=IMPORTRANGE(""https://docs.google.com/spreadsheets/d/1kGrh75X1cNR1D7_FcY9zMn"&amp;"HP8iPO4M5RCRjy6nZY0TY/edit#gid=1248694442"",""Table 4: 2nd-line HC or more!A5:A85"")),"""")"),"")</f>
        <v/>
      </c>
      <c r="P24" s="14" t="str">
        <f>IFERROR(__xludf.DUMMYFUNCTION("IFNA(FILTER(IMPORTRANGE(""https://docs.google.com/spreadsheets/d/1kGrh75X1cNR1D7_FcY9zMnHP8iPO4M5RCRjy6nZY0TY/edit#gid=1248694442"",""Table 4: 2nd-line HC or more!E5:E85""), $A24=IMPORTRANGE(""https://docs.google.com/spreadsheets/d/1kGrh75X1cNR1D7_FcY9zMn"&amp;"HP8iPO4M5RCRjy6nZY0TY/edit#gid=1248694442"",""Table 4: 2nd-line HC or more!A5:A85"")),"""")"),"")</f>
        <v/>
      </c>
      <c r="Q24" s="14" t="str">
        <f>IFERROR(__xludf.DUMMYFUNCTION("IFNA(FILTER(IMPORTRANGE(""https://docs.google.com/spreadsheets/d/1kGrh75X1cNR1D7_FcY9zMnHP8iPO4M5RCRjy6nZY0TY/edit#gid=1248694442"",""Table 4: 2nd-line HC or more!F5:F85""), $A24=IMPORTRANGE(""https://docs.google.com/spreadsheets/d/1kGrh75X1cNR1D7_FcY9zMn"&amp;"HP8iPO4M5RCRjy6nZY0TY/edit#gid=1248694442"",""Table 4: 2nd-line HC or more!A5:A85"")),"""")"),"")</f>
        <v/>
      </c>
      <c r="R24" s="14" t="str">
        <f>IFERROR(__xludf.DUMMYFUNCTION("IFNA(FILTER(IMPORTRANGE(""https://docs.google.com/spreadsheets/d/1kGrh75X1cNR1D7_FcY9zMnHP8iPO4M5RCRjy6nZY0TY/edit#gid=1248694442"",""Table 4: 2nd-line HC or more!G5:G85""), $A24=IMPORTRANGE(""https://docs.google.com/spreadsheets/d/1kGrh75X1cNR1D7_FcY9zMn"&amp;"HP8iPO4M5RCRjy6nZY0TY/edit#gid=1248694442"",""Table 4: 2nd-line HC or more!A5:A85"")),"""")"),"")</f>
        <v/>
      </c>
      <c r="S24" s="14" t="str">
        <f>IFERROR(__xludf.DUMMYFUNCTION("IFNA(FILTER(IMPORTRANGE(""https://docs.google.com/spreadsheets/d/1kGrh75X1cNR1D7_FcY9zMnHP8iPO4M5RCRjy6nZY0TY/edit#gid=1248694442"",""Table 4: 2nd-line HC or more!H5:H85""), $A24=IMPORTRANGE(""https://docs.google.com/spreadsheets/d/1kGrh75X1cNR1D7_FcY9zMn"&amp;"HP8iPO4M5RCRjy6nZY0TY/edit#gid=1248694442"",""Table 4: 2nd-line HC or more!A5:A85"")),"""")"),"")</f>
        <v/>
      </c>
      <c r="T24" s="14">
        <f>IFERROR(__xludf.DUMMYFUNCTION("IFNA(FILTER(IMPORTRANGE(""https://docs.google.com/spreadsheets/d/1kGrh75X1cNR1D7_FcY9zMnHP8iPO4M5RCRjy6nZY0TY/edit#gid=1248694442"",""Table 3: 1st-line HC!F5:F111""), $A24=IMPORTRANGE(""https://docs.google.com/spreadsheets/d/1kGrh75X1cNR1D7_FcY9zMnHP8iPO4"&amp;"M5RCRjy6nZY0TY/edit#gid=1248694442"",""Table 3: 1st-line HC!A5:A111"")),"""")"),89.0)</f>
        <v>89</v>
      </c>
      <c r="U24" s="14" t="str">
        <f>IFERROR(__xludf.DUMMYFUNCTION("IFNA(FILTER(IMPORTRANGE(""https://docs.google.com/spreadsheets/d/1kGrh75X1cNR1D7_FcY9zMnHP8iPO4M5RCRjy6nZY0TY/edit#gid=1248694442"",""Table 3: 1st-line HC!G5:G111""), $A24=IMPORTRANGE(""https://docs.google.com/spreadsheets/d/1kGrh75X1cNR1D7_FcY9zMnHP8iPO4"&amp;"M5RCRjy6nZY0TY/edit#gid=1248694442"",""Table 3: 1st-line HC!A5:A111"")),"""")"),"")</f>
        <v/>
      </c>
      <c r="V24" s="14" t="str">
        <f>IFERROR(__xludf.DUMMYFUNCTION("IFNA(FILTER(IMPORTRANGE(""https://docs.google.com/spreadsheets/d/1kGrh75X1cNR1D7_FcY9zMnHP8iPO4M5RCRjy6nZY0TY/edit#gid=1248694442"",""Table 3: 1st-line HC!H5:H111""), $A24=IMPORTRANGE(""https://docs.google.com/spreadsheets/d/1kGrh75X1cNR1D7_FcY9zMnHP8iPO4"&amp;"M5RCRjy6nZY0TY/edit#gid=1248694442"",""Table 3: 1st-line HC!A5:A111"")),"""")"),"")</f>
        <v/>
      </c>
      <c r="W24" s="14" t="str">
        <f>IFERROR(__xludf.DUMMYFUNCTION("IFNA(FILTER(IMPORTRANGE(""https://docs.google.com/spreadsheets/d/1kGrh75X1cNR1D7_FcY9zMnHP8iPO4M5RCRjy6nZY0TY/edit#gid=1248694442"",""Table 3: 1st-line HC!I5:I111""), $A24=IMPORTRANGE(""https://docs.google.com/spreadsheets/d/1kGrh75X1cNR1D7_FcY9zMnHP8iPO4"&amp;"M5RCRjy6nZY0TY/edit#gid=1248694442"",""Table 3: 1st-line HC!A5:A111"")),"""")"),"")</f>
        <v/>
      </c>
    </row>
    <row r="25">
      <c r="A25" s="4" t="str">
        <f>IFERROR(__xludf.DUMMYFUNCTION("""COMPUTED_VALUE"""),"ID 39")</f>
        <v>ID 39</v>
      </c>
      <c r="B25" s="14">
        <f>IFERROR(__xludf.DUMMYFUNCTION("IFNA(FILTER(IMPORTRANGE(""https://docs.google.com/spreadsheets/d/1kGrh75X1cNR1D7_FcY9zMnHP8iPO4M5RCRjy6nZY0TY/edit#gid=1248694442"",""Table 3: 1st-line HC!AZ5:AZ111""), $A25=IMPORTRANGE(""https://docs.google.com/spreadsheets/d/1kGrh75X1cNR1D7_FcY9zMnHP8iP"&amp;"O4M5RCRjy6nZY0TY/edit#gid=1248694442"",""Table 3: 1st-line HC!A5:A111"")),"""")"),3.16)</f>
        <v>3.16</v>
      </c>
      <c r="C25" s="14" t="str">
        <f>IFERROR(__xludf.DUMMYFUNCTION("IFNA(FILTER(IMPORTRANGE(""https://docs.google.com/spreadsheets/d/1kGrh75X1cNR1D7_FcY9zMnHP8iPO4M5RCRjy6nZY0TY/edit#gid=1248694442"",""Table 3: 1st-line HC!BA5:BA111""), $A25=IMPORTRANGE(""https://docs.google.com/spreadsheets/d/1kGrh75X1cNR1D7_FcY9zMnHP8iP"&amp;"O4M5RCRjy6nZY0TY/edit#gid=1248694442"",""Table 3: 1st-line HC!A5:A111"")),"""")"),"")</f>
        <v/>
      </c>
      <c r="D25" s="14" t="str">
        <f>IFERROR(__xludf.DUMMYFUNCTION("IFNA(FILTER(IMPORTRANGE(""https://docs.google.com/spreadsheets/d/1kGrh75X1cNR1D7_FcY9zMnHP8iPO4M5RCRjy6nZY0TY/edit#gid=1248694442"",""Table 3: 1st-line HC!BB5:BB111""), $A25=IMPORTRANGE(""https://docs.google.com/spreadsheets/d/1kGrh75X1cNR1D7_FcY9zMnHP8iP"&amp;"O4M5RCRjy6nZY0TY/edit#gid=1248694442"",""Table 3: 1st-line HC!A5:A111"")),"""")"),"")</f>
        <v/>
      </c>
      <c r="E25" s="19" t="str">
        <f>IFERROR(__xludf.DUMMYFUNCTION("IFNA(FILTER(IMPORTRANGE(""https://docs.google.com/spreadsheets/d/1kGrh75X1cNR1D7_FcY9zMnHP8iPO4M5RCRjy6nZY0TY/edit#gid=1248694442"",""Table 3: 1st-line HC!BC5:BC111""), $A25=IMPORTRANGE(""https://docs.google.com/spreadsheets/d/1kGrh75X1cNR1D7_FcY9zMnHP8iP"&amp;"O4M5RCRjy6nZY0TY/edit#gid=1248694442"",""Table 3: 1st-line HC!A5:A111"")),"""")"),"1-9")</f>
        <v>1-9</v>
      </c>
      <c r="F25" s="14">
        <f>IFERROR(__xludf.DUMMYFUNCTION("IFNA(FILTER(IMPORTRANGE(""https://docs.google.com/spreadsheets/d/1kGrh75X1cNR1D7_FcY9zMnHP8iPO4M5RCRjy6nZY0TY/edit#gid=1248694442"",""Table 3: 1st-line HC!Y5:Y111""), $A25=IMPORTRANGE(""https://docs.google.com/spreadsheets/d/1kGrh75X1cNR1D7_FcY9zMnHP8iPO4"&amp;"M5RCRjy6nZY0TY/edit#gid=1248694442"",""Table 3: 1st-line HC!A5:A111"")),"""")"),2.0)</f>
        <v>2</v>
      </c>
      <c r="G25" s="14">
        <f>IFERROR(__xludf.DUMMYFUNCTION("IFNA(FILTER(IMPORTRANGE(""https://docs.google.com/spreadsheets/d/1kGrh75X1cNR1D7_FcY9zMnHP8iPO4M5RCRjy6nZY0TY/edit#gid=1248694442"",""Table 3: 1st-line HC!Z5:Z111""), $A25=IMPORTRANGE(""https://docs.google.com/spreadsheets/d/1kGrh75X1cNR1D7_FcY9zMnHP8iPO4"&amp;"M5RCRjy6nZY0TY/edit#gid=1248694442"",""Table 3: 1st-line HC!A5:A111"")),"""")"),74.0)</f>
        <v>74</v>
      </c>
      <c r="H25" s="14">
        <f>IFERROR(__xludf.DUMMYFUNCTION("IFNA(FILTER(IMPORTRANGE(""https://docs.google.com/spreadsheets/d/1kGrh75X1cNR1D7_FcY9zMnHP8iPO4M5RCRjy6nZY0TY/edit#gid=1248694442"",""Table 3: 1st-line HC!AA5:AA111""), $A25=IMPORTRANGE(""https://docs.google.com/spreadsheets/d/1kGrh75X1cNR1D7_FcY9zMnHP8iP"&amp;"O4M5RCRjy6nZY0TY/edit#gid=1248694442"",""Table 3: 1st-line HC!A5:A111"")),"""")"),2.0)</f>
        <v>2</v>
      </c>
      <c r="I25" s="14" t="str">
        <f>IFERROR(__xludf.DUMMYFUNCTION("IFNA(FILTER(IMPORTRANGE(""https://docs.google.com/spreadsheets/d/1kGrh75X1cNR1D7_FcY9zMnHP8iPO4M5RCRjy6nZY0TY/edit#gid=1248694442"",""Table 3: 1st-line HC!AB5:AB111""), $A25=IMPORTRANGE(""https://docs.google.com/spreadsheets/d/1kGrh75X1cNR1D7_FcY9zMnHP8iP"&amp;"O4M5RCRjy6nZY0TY/edit#gid=1248694442"",""Table 3: 1st-line HC!A5:A111"")),"""")"),"")</f>
        <v/>
      </c>
      <c r="J25" s="14" t="str">
        <f>IFERROR(__xludf.DUMMYFUNCTION("IFNA(FILTER(IMPORTRANGE(""https://docs.google.com/spreadsheets/d/1kGrh75X1cNR1D7_FcY9zMnHP8iPO4M5RCRjy6nZY0TY/edit#gid=1248694442"",""Table 3: 1st-line HC!AC5:AC111""), $A25=IMPORTRANGE(""https://docs.google.com/spreadsheets/d/1kGrh75X1cNR1D7_FcY9zMnHP8iP"&amp;"O4M5RCRjy6nZY0TY/edit#gid=1248694442"",""Table 3: 1st-line HC!A5:A111"")),"""")"),"")</f>
        <v/>
      </c>
      <c r="K25" s="20" t="str">
        <f>IFERROR(__xludf.DUMMYFUNCTION("IFNA(FILTER(IMPORTRANGE(""https://docs.google.com/spreadsheets/d/1kGrh75X1cNR1D7_FcY9zMnHP8iPO4M5RCRjy6nZY0TY/edit#gid=1248694442"",""Table 3: 1st-line HC!AD5:AD111""), $A25=IMPORTRANGE(""https://docs.google.com/spreadsheets/d/1kGrh75X1cNR1D7_FcY9zMnHP8iP"&amp;"O4M5RCRjy6nZY0TY/edit#gid=1248694442"",""Table 3: 1st-line HC!A5:A111"")),"""")"),"")</f>
        <v/>
      </c>
      <c r="L25" s="14" t="str">
        <f>IFERROR(__xludf.DUMMYFUNCTION("IFNA(FILTER(IMPORTRANGE(""https://docs.google.com/spreadsheets/d/1kGrh75X1cNR1D7_FcY9zMnHP8iPO4M5RCRjy6nZY0TY/edit#gid=1248694442"",""Table 3: 1st-line HC!W5:W111""), $A25=IMPORTRANGE(""https://docs.google.com/spreadsheets/d/1kGrh75X1cNR1D7_FcY9zMnHP8iPO4"&amp;"M5RCRjy6nZY0TY/edit#gid=1248694442"",""Table 3: 1st-line HC!A5:A111"")),"""")"),"")</f>
        <v/>
      </c>
      <c r="M25" s="14" t="str">
        <f>IFERROR(__xludf.DUMMYFUNCTION("IFNA(FILTER(IMPORTRANGE(""https://docs.google.com/spreadsheets/d/1kGrh75X1cNR1D7_FcY9zMnHP8iPO4M5RCRjy6nZY0TY/edit#gid=1248694442"",""Table 3: 1st-line HC!X5:X111""), $A25=IMPORTRANGE(""https://docs.google.com/spreadsheets/d/1kGrh75X1cNR1D7_FcY9zMnHP8iPO4"&amp;"M5RCRjy6nZY0TY/edit#gid=1248694442"",""Table 3: 1st-line HC!A5:A111"")),"""")"),"")</f>
        <v/>
      </c>
      <c r="N25" s="14" t="str">
        <f>IFERROR(__xludf.DUMMYFUNCTION("IFNA(FILTER(IMPORTRANGE(""https://docs.google.com/spreadsheets/d/1kGrh75X1cNR1D7_FcY9zMnHP8iPO4M5RCRjy6nZY0TY/edit#gid=1248694442"",""Table 4: 2nd-line HC or more!C5:C85""), $A25=IMPORTRANGE(""https://docs.google.com/spreadsheets/d/1kGrh75X1cNR1D7_FcY9zMn"&amp;"HP8iPO4M5RCRjy6nZY0TY/edit#gid=1248694442"",""Table 4: 2nd-line HC or more!A5:A85"")),"""")"),"")</f>
        <v/>
      </c>
      <c r="O25" s="14">
        <f>IFERROR(__xludf.DUMMYFUNCTION("IFNA(FILTER(IMPORTRANGE(""https://docs.google.com/spreadsheets/d/1kGrh75X1cNR1D7_FcY9zMnHP8iPO4M5RCRjy6nZY0TY/edit#gid=1248694442"",""Table 4: 2nd-line HC or more!D5:D85""), $A25=IMPORTRANGE(""https://docs.google.com/spreadsheets/d/1kGrh75X1cNR1D7_FcY9zMn"&amp;"HP8iPO4M5RCRjy6nZY0TY/edit#gid=1248694442"",""Table 4: 2nd-line HC or more!A5:A85"")),"""")"),50.0)</f>
        <v>50</v>
      </c>
      <c r="P25" s="14">
        <f>IFERROR(__xludf.DUMMYFUNCTION("IFNA(FILTER(IMPORTRANGE(""https://docs.google.com/spreadsheets/d/1kGrh75X1cNR1D7_FcY9zMnHP8iPO4M5RCRjy6nZY0TY/edit#gid=1248694442"",""Table 4: 2nd-line HC or more!E5:E85""), $A25=IMPORTRANGE(""https://docs.google.com/spreadsheets/d/1kGrh75X1cNR1D7_FcY9zMn"&amp;"HP8iPO4M5RCRjy6nZY0TY/edit#gid=1248694442"",""Table 4: 2nd-line HC or more!A5:A85"")),"""")"),5.0)</f>
        <v>5</v>
      </c>
      <c r="Q25" s="14" t="str">
        <f>IFERROR(__xludf.DUMMYFUNCTION("IFNA(FILTER(IMPORTRANGE(""https://docs.google.com/spreadsheets/d/1kGrh75X1cNR1D7_FcY9zMnHP8iPO4M5RCRjy6nZY0TY/edit#gid=1248694442"",""Table 4: 2nd-line HC or more!F5:F85""), $A25=IMPORTRANGE(""https://docs.google.com/spreadsheets/d/1kGrh75X1cNR1D7_FcY9zMn"&amp;"HP8iPO4M5RCRjy6nZY0TY/edit#gid=1248694442"",""Table 4: 2nd-line HC or more!A5:A85"")),"""")"),"")</f>
        <v/>
      </c>
      <c r="R25" s="14" t="str">
        <f>IFERROR(__xludf.DUMMYFUNCTION("IFNA(FILTER(IMPORTRANGE(""https://docs.google.com/spreadsheets/d/1kGrh75X1cNR1D7_FcY9zMnHP8iPO4M5RCRjy6nZY0TY/edit#gid=1248694442"",""Table 4: 2nd-line HC or more!G5:G85""), $A25=IMPORTRANGE(""https://docs.google.com/spreadsheets/d/1kGrh75X1cNR1D7_FcY9zMn"&amp;"HP8iPO4M5RCRjy6nZY0TY/edit#gid=1248694442"",""Table 4: 2nd-line HC or more!A5:A85"")),"""")"),"")</f>
        <v/>
      </c>
      <c r="S25" s="14" t="str">
        <f>IFERROR(__xludf.DUMMYFUNCTION("IFNA(FILTER(IMPORTRANGE(""https://docs.google.com/spreadsheets/d/1kGrh75X1cNR1D7_FcY9zMnHP8iPO4M5RCRjy6nZY0TY/edit#gid=1248694442"",""Table 4: 2nd-line HC or more!H5:H85""), $A25=IMPORTRANGE(""https://docs.google.com/spreadsheets/d/1kGrh75X1cNR1D7_FcY9zMn"&amp;"HP8iPO4M5RCRjy6nZY0TY/edit#gid=1248694442"",""Table 4: 2nd-line HC or more!A5:A85"")),"""")"),"")</f>
        <v/>
      </c>
      <c r="T25" s="14" t="str">
        <f>IFERROR(__xludf.DUMMYFUNCTION("IFNA(FILTER(IMPORTRANGE(""https://docs.google.com/spreadsheets/d/1kGrh75X1cNR1D7_FcY9zMnHP8iPO4M5RCRjy6nZY0TY/edit#gid=1248694442"",""Table 3: 1st-line HC!F5:F111""), $A25=IMPORTRANGE(""https://docs.google.com/spreadsheets/d/1kGrh75X1cNR1D7_FcY9zMnHP8iPO4"&amp;"M5RCRjy6nZY0TY/edit#gid=1248694442"",""Table 3: 1st-line HC!A5:A111"")),"""")"),"")</f>
        <v/>
      </c>
      <c r="U25" s="14" t="str">
        <f>IFERROR(__xludf.DUMMYFUNCTION("IFNA(FILTER(IMPORTRANGE(""https://docs.google.com/spreadsheets/d/1kGrh75X1cNR1D7_FcY9zMnHP8iPO4M5RCRjy6nZY0TY/edit#gid=1248694442"",""Table 3: 1st-line HC!G5:G111""), $A25=IMPORTRANGE(""https://docs.google.com/spreadsheets/d/1kGrh75X1cNR1D7_FcY9zMnHP8iPO4"&amp;"M5RCRjy6nZY0TY/edit#gid=1248694442"",""Table 3: 1st-line HC!A5:A111"")),"""")"),"")</f>
        <v/>
      </c>
      <c r="V25" s="14" t="str">
        <f>IFERROR(__xludf.DUMMYFUNCTION("IFNA(FILTER(IMPORTRANGE(""https://docs.google.com/spreadsheets/d/1kGrh75X1cNR1D7_FcY9zMnHP8iPO4M5RCRjy6nZY0TY/edit#gid=1248694442"",""Table 3: 1st-line HC!H5:H111""), $A25=IMPORTRANGE(""https://docs.google.com/spreadsheets/d/1kGrh75X1cNR1D7_FcY9zMnHP8iPO4"&amp;"M5RCRjy6nZY0TY/edit#gid=1248694442"",""Table 3: 1st-line HC!A5:A111"")),"""")"),"")</f>
        <v/>
      </c>
      <c r="W25" s="14" t="str">
        <f>IFERROR(__xludf.DUMMYFUNCTION("IFNA(FILTER(IMPORTRANGE(""https://docs.google.com/spreadsheets/d/1kGrh75X1cNR1D7_FcY9zMnHP8iPO4M5RCRjy6nZY0TY/edit#gid=1248694442"",""Table 3: 1st-line HC!I5:I111""), $A25=IMPORTRANGE(""https://docs.google.com/spreadsheets/d/1kGrh75X1cNR1D7_FcY9zMnHP8iPO4"&amp;"M5RCRjy6nZY0TY/edit#gid=1248694442"",""Table 3: 1st-line HC!A5:A111"")),"""")"),"")</f>
        <v/>
      </c>
    </row>
    <row r="26">
      <c r="A26" s="4" t="str">
        <f>IFERROR(__xludf.DUMMYFUNCTION("""COMPUTED_VALUE"""),"ID 43")</f>
        <v>ID 43</v>
      </c>
      <c r="B26" s="14">
        <f>IFERROR(__xludf.DUMMYFUNCTION("IFNA(FILTER(IMPORTRANGE(""https://docs.google.com/spreadsheets/d/1kGrh75X1cNR1D7_FcY9zMnHP8iPO4M5RCRjy6nZY0TY/edit#gid=1248694442"",""Table 3: 1st-line HC!AZ5:AZ111""), $A26=IMPORTRANGE(""https://docs.google.com/spreadsheets/d/1kGrh75X1cNR1D7_FcY9zMnHP8iP"&amp;"O4M5RCRjy6nZY0TY/edit#gid=1248694442"",""Table 3: 1st-line HC!A5:A111"")),"""")"),1.0)</f>
        <v>1</v>
      </c>
      <c r="C26" s="14">
        <f>IFERROR(__xludf.DUMMYFUNCTION("IFNA(FILTER(IMPORTRANGE(""https://docs.google.com/spreadsheets/d/1kGrh75X1cNR1D7_FcY9zMnHP8iPO4M5RCRjy6nZY0TY/edit#gid=1248694442"",""Table 3: 1st-line HC!BA5:BA111""), $A26=IMPORTRANGE(""https://docs.google.com/spreadsheets/d/1kGrh75X1cNR1D7_FcY9zMnHP8iP"&amp;"O4M5RCRjy6nZY0TY/edit#gid=1248694442"",""Table 3: 1st-line HC!A5:A111"")),"""")"),1.0)</f>
        <v>1</v>
      </c>
      <c r="D26" s="14" t="str">
        <f>IFERROR(__xludf.DUMMYFUNCTION("IFNA(FILTER(IMPORTRANGE(""https://docs.google.com/spreadsheets/d/1kGrh75X1cNR1D7_FcY9zMnHP8iPO4M5RCRjy6nZY0TY/edit#gid=1248694442"",""Table 3: 1st-line HC!BB5:BB111""), $A26=IMPORTRANGE(""https://docs.google.com/spreadsheets/d/1kGrh75X1cNR1D7_FcY9zMnHP8iP"&amp;"O4M5RCRjy6nZY0TY/edit#gid=1248694442"",""Table 3: 1st-line HC!A5:A111"")),"""")"),"")</f>
        <v/>
      </c>
      <c r="E26" s="19" t="str">
        <f>IFERROR(__xludf.DUMMYFUNCTION("IFNA(FILTER(IMPORTRANGE(""https://docs.google.com/spreadsheets/d/1kGrh75X1cNR1D7_FcY9zMnHP8iPO4M5RCRjy6nZY0TY/edit#gid=1248694442"",""Table 3: 1st-line HC!BC5:BC111""), $A26=IMPORTRANGE(""https://docs.google.com/spreadsheets/d/1kGrh75X1cNR1D7_FcY9zMnHP8iP"&amp;"O4M5RCRjy6nZY0TY/edit#gid=1248694442"",""Table 3: 1st-line HC!A5:A111"")),"""")"),"")</f>
        <v/>
      </c>
      <c r="F26" s="14">
        <f>IFERROR(__xludf.DUMMYFUNCTION("IFNA(FILTER(IMPORTRANGE(""https://docs.google.com/spreadsheets/d/1kGrh75X1cNR1D7_FcY9zMnHP8iPO4M5RCRjy6nZY0TY/edit#gid=1248694442"",""Table 3: 1st-line HC!Y5:Y111""), $A26=IMPORTRANGE(""https://docs.google.com/spreadsheets/d/1kGrh75X1cNR1D7_FcY9zMnHP8iPO4"&amp;"M5RCRjy6nZY0TY/edit#gid=1248694442"",""Table 3: 1st-line HC!A5:A111"")),"""")"),19.0)</f>
        <v>19</v>
      </c>
      <c r="G26" s="14">
        <f>IFERROR(__xludf.DUMMYFUNCTION("IFNA(FILTER(IMPORTRANGE(""https://docs.google.com/spreadsheets/d/1kGrh75X1cNR1D7_FcY9zMnHP8iPO4M5RCRjy6nZY0TY/edit#gid=1248694442"",""Table 3: 1st-line HC!Z5:Z111""), $A26=IMPORTRANGE(""https://docs.google.com/spreadsheets/d/1kGrh75X1cNR1D7_FcY9zMnHP8iPO4"&amp;"M5RCRjy6nZY0TY/edit#gid=1248694442"",""Table 3: 1st-line HC!A5:A111"")),"""")"),30.0)</f>
        <v>30</v>
      </c>
      <c r="H26" s="14">
        <f>IFERROR(__xludf.DUMMYFUNCTION("IFNA(FILTER(IMPORTRANGE(""https://docs.google.com/spreadsheets/d/1kGrh75X1cNR1D7_FcY9zMnHP8iPO4M5RCRjy6nZY0TY/edit#gid=1248694442"",""Table 3: 1st-line HC!AA5:AA111""), $A26=IMPORTRANGE(""https://docs.google.com/spreadsheets/d/1kGrh75X1cNR1D7_FcY9zMnHP8iP"&amp;"O4M5RCRjy6nZY0TY/edit#gid=1248694442"",""Table 3: 1st-line HC!A5:A111"")),"""")"),1.0)</f>
        <v>1</v>
      </c>
      <c r="I26" s="14" t="str">
        <f>IFERROR(__xludf.DUMMYFUNCTION("IFNA(FILTER(IMPORTRANGE(""https://docs.google.com/spreadsheets/d/1kGrh75X1cNR1D7_FcY9zMnHP8iPO4M5RCRjy6nZY0TY/edit#gid=1248694442"",""Table 3: 1st-line HC!AB5:AB111""), $A26=IMPORTRANGE(""https://docs.google.com/spreadsheets/d/1kGrh75X1cNR1D7_FcY9zMnHP8iP"&amp;"O4M5RCRjy6nZY0TY/edit#gid=1248694442"",""Table 3: 1st-line HC!A5:A111"")),"""")"),"")</f>
        <v/>
      </c>
      <c r="J26" s="14" t="str">
        <f>IFERROR(__xludf.DUMMYFUNCTION("IFNA(FILTER(IMPORTRANGE(""https://docs.google.com/spreadsheets/d/1kGrh75X1cNR1D7_FcY9zMnHP8iPO4M5RCRjy6nZY0TY/edit#gid=1248694442"",""Table 3: 1st-line HC!AC5:AC111""), $A26=IMPORTRANGE(""https://docs.google.com/spreadsheets/d/1kGrh75X1cNR1D7_FcY9zMnHP8iP"&amp;"O4M5RCRjy6nZY0TY/edit#gid=1248694442"",""Table 3: 1st-line HC!A5:A111"")),"""")"),"")</f>
        <v/>
      </c>
      <c r="K26" s="20" t="str">
        <f>IFERROR(__xludf.DUMMYFUNCTION("IFNA(FILTER(IMPORTRANGE(""https://docs.google.com/spreadsheets/d/1kGrh75X1cNR1D7_FcY9zMnHP8iPO4M5RCRjy6nZY0TY/edit#gid=1248694442"",""Table 3: 1st-line HC!AD5:AD111""), $A26=IMPORTRANGE(""https://docs.google.com/spreadsheets/d/1kGrh75X1cNR1D7_FcY9zMnHP8iP"&amp;"O4M5RCRjy6nZY0TY/edit#gid=1248694442"",""Table 3: 1st-line HC!A5:A111"")),"""")"),"")</f>
        <v/>
      </c>
      <c r="L26" s="14" t="str">
        <f>IFERROR(__xludf.DUMMYFUNCTION("IFNA(FILTER(IMPORTRANGE(""https://docs.google.com/spreadsheets/d/1kGrh75X1cNR1D7_FcY9zMnHP8iPO4M5RCRjy6nZY0TY/edit#gid=1248694442"",""Table 3: 1st-line HC!W5:W111""), $A26=IMPORTRANGE(""https://docs.google.com/spreadsheets/d/1kGrh75X1cNR1D7_FcY9zMnHP8iPO4"&amp;"M5RCRjy6nZY0TY/edit#gid=1248694442"",""Table 3: 1st-line HC!A5:A111"")),"""")"),"")</f>
        <v/>
      </c>
      <c r="M26" s="14" t="str">
        <f>IFERROR(__xludf.DUMMYFUNCTION("IFNA(FILTER(IMPORTRANGE(""https://docs.google.com/spreadsheets/d/1kGrh75X1cNR1D7_FcY9zMnHP8iPO4M5RCRjy6nZY0TY/edit#gid=1248694442"",""Table 3: 1st-line HC!X5:X111""), $A26=IMPORTRANGE(""https://docs.google.com/spreadsheets/d/1kGrh75X1cNR1D7_FcY9zMnHP8iPO4"&amp;"M5RCRjy6nZY0TY/edit#gid=1248694442"",""Table 3: 1st-line HC!A5:A111"")),"""")"),"")</f>
        <v/>
      </c>
      <c r="N26" s="14" t="str">
        <f>IFERROR(__xludf.DUMMYFUNCTION("IFNA(FILTER(IMPORTRANGE(""https://docs.google.com/spreadsheets/d/1kGrh75X1cNR1D7_FcY9zMnHP8iPO4M5RCRjy6nZY0TY/edit#gid=1248694442"",""Table 4: 2nd-line HC or more!C5:C85""), $A26=IMPORTRANGE(""https://docs.google.com/spreadsheets/d/1kGrh75X1cNR1D7_FcY9zMn"&amp;"HP8iPO4M5RCRjy6nZY0TY/edit#gid=1248694442"",""Table 4: 2nd-line HC or more!A5:A85"")),"""")"),"")</f>
        <v/>
      </c>
      <c r="O26" s="14" t="str">
        <f>IFERROR(__xludf.DUMMYFUNCTION("IFNA(FILTER(IMPORTRANGE(""https://docs.google.com/spreadsheets/d/1kGrh75X1cNR1D7_FcY9zMnHP8iPO4M5RCRjy6nZY0TY/edit#gid=1248694442"",""Table 4: 2nd-line HC or more!D5:D85""), $A26=IMPORTRANGE(""https://docs.google.com/spreadsheets/d/1kGrh75X1cNR1D7_FcY9zMn"&amp;"HP8iPO4M5RCRjy6nZY0TY/edit#gid=1248694442"",""Table 4: 2nd-line HC or more!A5:A85"")),"""")"),"")</f>
        <v/>
      </c>
      <c r="P26" s="14" t="str">
        <f>IFERROR(__xludf.DUMMYFUNCTION("IFNA(FILTER(IMPORTRANGE(""https://docs.google.com/spreadsheets/d/1kGrh75X1cNR1D7_FcY9zMnHP8iPO4M5RCRjy6nZY0TY/edit#gid=1248694442"",""Table 4: 2nd-line HC or more!E5:E85""), $A26=IMPORTRANGE(""https://docs.google.com/spreadsheets/d/1kGrh75X1cNR1D7_FcY9zMn"&amp;"HP8iPO4M5RCRjy6nZY0TY/edit#gid=1248694442"",""Table 4: 2nd-line HC or more!A5:A85"")),"""")"),"")</f>
        <v/>
      </c>
      <c r="Q26" s="14" t="str">
        <f>IFERROR(__xludf.DUMMYFUNCTION("IFNA(FILTER(IMPORTRANGE(""https://docs.google.com/spreadsheets/d/1kGrh75X1cNR1D7_FcY9zMnHP8iPO4M5RCRjy6nZY0TY/edit#gid=1248694442"",""Table 4: 2nd-line HC or more!F5:F85""), $A26=IMPORTRANGE(""https://docs.google.com/spreadsheets/d/1kGrh75X1cNR1D7_FcY9zMn"&amp;"HP8iPO4M5RCRjy6nZY0TY/edit#gid=1248694442"",""Table 4: 2nd-line HC or more!A5:A85"")),"""")"),"")</f>
        <v/>
      </c>
      <c r="R26" s="14" t="str">
        <f>IFERROR(__xludf.DUMMYFUNCTION("IFNA(FILTER(IMPORTRANGE(""https://docs.google.com/spreadsheets/d/1kGrh75X1cNR1D7_FcY9zMnHP8iPO4M5RCRjy6nZY0TY/edit#gid=1248694442"",""Table 4: 2nd-line HC or more!G5:G85""), $A26=IMPORTRANGE(""https://docs.google.com/spreadsheets/d/1kGrh75X1cNR1D7_FcY9zMn"&amp;"HP8iPO4M5RCRjy6nZY0TY/edit#gid=1248694442"",""Table 4: 2nd-line HC or more!A5:A85"")),"""")"),"")</f>
        <v/>
      </c>
      <c r="S26" s="14" t="str">
        <f>IFERROR(__xludf.DUMMYFUNCTION("IFNA(FILTER(IMPORTRANGE(""https://docs.google.com/spreadsheets/d/1kGrh75X1cNR1D7_FcY9zMnHP8iPO4M5RCRjy6nZY0TY/edit#gid=1248694442"",""Table 4: 2nd-line HC or more!H5:H85""), $A26=IMPORTRANGE(""https://docs.google.com/spreadsheets/d/1kGrh75X1cNR1D7_FcY9zMn"&amp;"HP8iPO4M5RCRjy6nZY0TY/edit#gid=1248694442"",""Table 4: 2nd-line HC or more!A5:A85"")),"""")"),"")</f>
        <v/>
      </c>
      <c r="T26" s="14" t="str">
        <f>IFERROR(__xludf.DUMMYFUNCTION("IFNA(FILTER(IMPORTRANGE(""https://docs.google.com/spreadsheets/d/1kGrh75X1cNR1D7_FcY9zMnHP8iPO4M5RCRjy6nZY0TY/edit#gid=1248694442"",""Table 3: 1st-line HC!F5:F111""), $A26=IMPORTRANGE(""https://docs.google.com/spreadsheets/d/1kGrh75X1cNR1D7_FcY9zMnHP8iPO4"&amp;"M5RCRjy6nZY0TY/edit#gid=1248694442"",""Table 3: 1st-line HC!A5:A111"")),"""")"),"")</f>
        <v/>
      </c>
      <c r="U26" s="14">
        <f>IFERROR(__xludf.DUMMYFUNCTION("IFNA(FILTER(IMPORTRANGE(""https://docs.google.com/spreadsheets/d/1kGrh75X1cNR1D7_FcY9zMnHP8iPO4M5RCRjy6nZY0TY/edit#gid=1248694442"",""Table 3: 1st-line HC!G5:G111""), $A26=IMPORTRANGE(""https://docs.google.com/spreadsheets/d/1kGrh75X1cNR1D7_FcY9zMnHP8iPO4"&amp;"M5RCRjy6nZY0TY/edit#gid=1248694442"",""Table 3: 1st-line HC!A5:A111"")),"""")"),50.0)</f>
        <v>50</v>
      </c>
      <c r="V26" s="14" t="str">
        <f>IFERROR(__xludf.DUMMYFUNCTION("IFNA(FILTER(IMPORTRANGE(""https://docs.google.com/spreadsheets/d/1kGrh75X1cNR1D7_FcY9zMnHP8iPO4M5RCRjy6nZY0TY/edit#gid=1248694442"",""Table 3: 1st-line HC!H5:H111""), $A26=IMPORTRANGE(""https://docs.google.com/spreadsheets/d/1kGrh75X1cNR1D7_FcY9zMnHP8iPO4"&amp;"M5RCRjy6nZY0TY/edit#gid=1248694442"",""Table 3: 1st-line HC!A5:A111"")),"""")"),"")</f>
        <v/>
      </c>
      <c r="W26" s="14" t="str">
        <f>IFERROR(__xludf.DUMMYFUNCTION("IFNA(FILTER(IMPORTRANGE(""https://docs.google.com/spreadsheets/d/1kGrh75X1cNR1D7_FcY9zMnHP8iPO4M5RCRjy6nZY0TY/edit#gid=1248694442"",""Table 3: 1st-line HC!I5:I111""), $A26=IMPORTRANGE(""https://docs.google.com/spreadsheets/d/1kGrh75X1cNR1D7_FcY9zMnHP8iPO4"&amp;"M5RCRjy6nZY0TY/edit#gid=1248694442"",""Table 3: 1st-line HC!A5:A111"")),"""")"),"")</f>
        <v/>
      </c>
    </row>
    <row r="27">
      <c r="A27" s="4" t="str">
        <f>IFERROR(__xludf.DUMMYFUNCTION("""COMPUTED_VALUE"""),"ID 44")</f>
        <v>ID 44</v>
      </c>
      <c r="B27" s="14">
        <f>IFERROR(__xludf.DUMMYFUNCTION("IFNA(FILTER(IMPORTRANGE(""https://docs.google.com/spreadsheets/d/1kGrh75X1cNR1D7_FcY9zMnHP8iPO4M5RCRjy6nZY0TY/edit#gid=1248694442"",""Table 3: 1st-line HC!AZ5:AZ111""), $A27=IMPORTRANGE(""https://docs.google.com/spreadsheets/d/1kGrh75X1cNR1D7_FcY9zMnHP8iP"&amp;"O4M5RCRjy6nZY0TY/edit#gid=1248694442"",""Table 3: 1st-line HC!A5:A111"")),"""")"),1.0)</f>
        <v>1</v>
      </c>
      <c r="C27" s="14">
        <f>IFERROR(__xludf.DUMMYFUNCTION("IFNA(FILTER(IMPORTRANGE(""https://docs.google.com/spreadsheets/d/1kGrh75X1cNR1D7_FcY9zMnHP8iPO4M5RCRjy6nZY0TY/edit#gid=1248694442"",""Table 3: 1st-line HC!BA5:BA111""), $A27=IMPORTRANGE(""https://docs.google.com/spreadsheets/d/1kGrh75X1cNR1D7_FcY9zMnHP8iP"&amp;"O4M5RCRjy6nZY0TY/edit#gid=1248694442"",""Table 3: 1st-line HC!A5:A111"")),"""")"),1.0)</f>
        <v>1</v>
      </c>
      <c r="D27" s="14" t="str">
        <f>IFERROR(__xludf.DUMMYFUNCTION("IFNA(FILTER(IMPORTRANGE(""https://docs.google.com/spreadsheets/d/1kGrh75X1cNR1D7_FcY9zMnHP8iPO4M5RCRjy6nZY0TY/edit#gid=1248694442"",""Table 3: 1st-line HC!BB5:BB111""), $A27=IMPORTRANGE(""https://docs.google.com/spreadsheets/d/1kGrh75X1cNR1D7_FcY9zMnHP8iP"&amp;"O4M5RCRjy6nZY0TY/edit#gid=1248694442"",""Table 3: 1st-line HC!A5:A111"")),"""")"),"")</f>
        <v/>
      </c>
      <c r="E27" s="19" t="str">
        <f>IFERROR(__xludf.DUMMYFUNCTION("IFNA(FILTER(IMPORTRANGE(""https://docs.google.com/spreadsheets/d/1kGrh75X1cNR1D7_FcY9zMnHP8iPO4M5RCRjy6nZY0TY/edit#gid=1248694442"",""Table 3: 1st-line HC!BC5:BC111""), $A27=IMPORTRANGE(""https://docs.google.com/spreadsheets/d/1kGrh75X1cNR1D7_FcY9zMnHP8iP"&amp;"O4M5RCRjy6nZY0TY/edit#gid=1248694442"",""Table 3: 1st-line HC!A5:A111"")),"""")"),"")</f>
        <v/>
      </c>
      <c r="F27" s="14">
        <f>IFERROR(__xludf.DUMMYFUNCTION("IFNA(FILTER(IMPORTRANGE(""https://docs.google.com/spreadsheets/d/1kGrh75X1cNR1D7_FcY9zMnHP8iPO4M5RCRjy6nZY0TY/edit#gid=1248694442"",""Table 3: 1st-line HC!Y5:Y111""), $A27=IMPORTRANGE(""https://docs.google.com/spreadsheets/d/1kGrh75X1cNR1D7_FcY9zMnHP8iPO4"&amp;"M5RCRjy6nZY0TY/edit#gid=1248694442"",""Table 3: 1st-line HC!A5:A111"")),"""")"),1.0)</f>
        <v>1</v>
      </c>
      <c r="G27" s="14">
        <f>IFERROR(__xludf.DUMMYFUNCTION("IFNA(FILTER(IMPORTRANGE(""https://docs.google.com/spreadsheets/d/1kGrh75X1cNR1D7_FcY9zMnHP8iPO4M5RCRjy6nZY0TY/edit#gid=1248694442"",""Table 3: 1st-line HC!Z5:Z111""), $A27=IMPORTRANGE(""https://docs.google.com/spreadsheets/d/1kGrh75X1cNR1D7_FcY9zMnHP8iPO4"&amp;"M5RCRjy6nZY0TY/edit#gid=1248694442"",""Table 3: 1st-line HC!A5:A111"")),"""")"),8.0)</f>
        <v>8</v>
      </c>
      <c r="H27" s="14" t="str">
        <f>IFERROR(__xludf.DUMMYFUNCTION("IFNA(FILTER(IMPORTRANGE(""https://docs.google.com/spreadsheets/d/1kGrh75X1cNR1D7_FcY9zMnHP8iPO4M5RCRjy6nZY0TY/edit#gid=1248694442"",""Table 3: 1st-line HC!AA5:AA111""), $A27=IMPORTRANGE(""https://docs.google.com/spreadsheets/d/1kGrh75X1cNR1D7_FcY9zMnHP8iP"&amp;"O4M5RCRjy6nZY0TY/edit#gid=1248694442"",""Table 3: 1st-line HC!A5:A111"")),"""")"),"")</f>
        <v/>
      </c>
      <c r="I27" s="14" t="str">
        <f>IFERROR(__xludf.DUMMYFUNCTION("IFNA(FILTER(IMPORTRANGE(""https://docs.google.com/spreadsheets/d/1kGrh75X1cNR1D7_FcY9zMnHP8iPO4M5RCRjy6nZY0TY/edit#gid=1248694442"",""Table 3: 1st-line HC!AB5:AB111""), $A27=IMPORTRANGE(""https://docs.google.com/spreadsheets/d/1kGrh75X1cNR1D7_FcY9zMnHP8iP"&amp;"O4M5RCRjy6nZY0TY/edit#gid=1248694442"",""Table 3: 1st-line HC!A5:A111"")),"""")"),"")</f>
        <v/>
      </c>
      <c r="J27" s="14" t="str">
        <f>IFERROR(__xludf.DUMMYFUNCTION("IFNA(FILTER(IMPORTRANGE(""https://docs.google.com/spreadsheets/d/1kGrh75X1cNR1D7_FcY9zMnHP8iPO4M5RCRjy6nZY0TY/edit#gid=1248694442"",""Table 3: 1st-line HC!AC5:AC111""), $A27=IMPORTRANGE(""https://docs.google.com/spreadsheets/d/1kGrh75X1cNR1D7_FcY9zMnHP8iP"&amp;"O4M5RCRjy6nZY0TY/edit#gid=1248694442"",""Table 3: 1st-line HC!A5:A111"")),"""")"),"")</f>
        <v/>
      </c>
      <c r="K27" s="20" t="str">
        <f>IFERROR(__xludf.DUMMYFUNCTION("IFNA(FILTER(IMPORTRANGE(""https://docs.google.com/spreadsheets/d/1kGrh75X1cNR1D7_FcY9zMnHP8iPO4M5RCRjy6nZY0TY/edit#gid=1248694442"",""Table 3: 1st-line HC!AD5:AD111""), $A27=IMPORTRANGE(""https://docs.google.com/spreadsheets/d/1kGrh75X1cNR1D7_FcY9zMnHP8iP"&amp;"O4M5RCRjy6nZY0TY/edit#gid=1248694442"",""Table 3: 1st-line HC!A5:A111"")),"""")"),"")</f>
        <v/>
      </c>
      <c r="L27" s="14" t="str">
        <f>IFERROR(__xludf.DUMMYFUNCTION("IFNA(FILTER(IMPORTRANGE(""https://docs.google.com/spreadsheets/d/1kGrh75X1cNR1D7_FcY9zMnHP8iPO4M5RCRjy6nZY0TY/edit#gid=1248694442"",""Table 3: 1st-line HC!W5:W111""), $A27=IMPORTRANGE(""https://docs.google.com/spreadsheets/d/1kGrh75X1cNR1D7_FcY9zMnHP8iPO4"&amp;"M5RCRjy6nZY0TY/edit#gid=1248694442"",""Table 3: 1st-line HC!A5:A111"")),"""")"),"")</f>
        <v/>
      </c>
      <c r="M27" s="14" t="str">
        <f>IFERROR(__xludf.DUMMYFUNCTION("IFNA(FILTER(IMPORTRANGE(""https://docs.google.com/spreadsheets/d/1kGrh75X1cNR1D7_FcY9zMnHP8iPO4M5RCRjy6nZY0TY/edit#gid=1248694442"",""Table 3: 1st-line HC!X5:X111""), $A27=IMPORTRANGE(""https://docs.google.com/spreadsheets/d/1kGrh75X1cNR1D7_FcY9zMnHP8iPO4"&amp;"M5RCRjy6nZY0TY/edit#gid=1248694442"",""Table 3: 1st-line HC!A5:A111"")),"""")"),"")</f>
        <v/>
      </c>
      <c r="N27" s="14" t="str">
        <f>IFERROR(__xludf.DUMMYFUNCTION("IFNA(FILTER(IMPORTRANGE(""https://docs.google.com/spreadsheets/d/1kGrh75X1cNR1D7_FcY9zMnHP8iPO4M5RCRjy6nZY0TY/edit#gid=1248694442"",""Table 4: 2nd-line HC or more!C5:C85""), $A27=IMPORTRANGE(""https://docs.google.com/spreadsheets/d/1kGrh75X1cNR1D7_FcY9zMn"&amp;"HP8iPO4M5RCRjy6nZY0TY/edit#gid=1248694442"",""Table 4: 2nd-line HC or more!A5:A85"")),"""")"),"")</f>
        <v/>
      </c>
      <c r="O27" s="14" t="str">
        <f>IFERROR(__xludf.DUMMYFUNCTION("IFNA(FILTER(IMPORTRANGE(""https://docs.google.com/spreadsheets/d/1kGrh75X1cNR1D7_FcY9zMnHP8iPO4M5RCRjy6nZY0TY/edit#gid=1248694442"",""Table 4: 2nd-line HC or more!D5:D85""), $A27=IMPORTRANGE(""https://docs.google.com/spreadsheets/d/1kGrh75X1cNR1D7_FcY9zMn"&amp;"HP8iPO4M5RCRjy6nZY0TY/edit#gid=1248694442"",""Table 4: 2nd-line HC or more!A5:A85"")),"""")"),"")</f>
        <v/>
      </c>
      <c r="P27" s="14" t="str">
        <f>IFERROR(__xludf.DUMMYFUNCTION("IFNA(FILTER(IMPORTRANGE(""https://docs.google.com/spreadsheets/d/1kGrh75X1cNR1D7_FcY9zMnHP8iPO4M5RCRjy6nZY0TY/edit#gid=1248694442"",""Table 4: 2nd-line HC or more!E5:E85""), $A27=IMPORTRANGE(""https://docs.google.com/spreadsheets/d/1kGrh75X1cNR1D7_FcY9zMn"&amp;"HP8iPO4M5RCRjy6nZY0TY/edit#gid=1248694442"",""Table 4: 2nd-line HC or more!A5:A85"")),"""")"),"")</f>
        <v/>
      </c>
      <c r="Q27" s="14" t="str">
        <f>IFERROR(__xludf.DUMMYFUNCTION("IFNA(FILTER(IMPORTRANGE(""https://docs.google.com/spreadsheets/d/1kGrh75X1cNR1D7_FcY9zMnHP8iPO4M5RCRjy6nZY0TY/edit#gid=1248694442"",""Table 4: 2nd-line HC or more!F5:F85""), $A27=IMPORTRANGE(""https://docs.google.com/spreadsheets/d/1kGrh75X1cNR1D7_FcY9zMn"&amp;"HP8iPO4M5RCRjy6nZY0TY/edit#gid=1248694442"",""Table 4: 2nd-line HC or more!A5:A85"")),"""")"),"")</f>
        <v/>
      </c>
      <c r="R27" s="14" t="str">
        <f>IFERROR(__xludf.DUMMYFUNCTION("IFNA(FILTER(IMPORTRANGE(""https://docs.google.com/spreadsheets/d/1kGrh75X1cNR1D7_FcY9zMnHP8iPO4M5RCRjy6nZY0TY/edit#gid=1248694442"",""Table 4: 2nd-line HC or more!G5:G85""), $A27=IMPORTRANGE(""https://docs.google.com/spreadsheets/d/1kGrh75X1cNR1D7_FcY9zMn"&amp;"HP8iPO4M5RCRjy6nZY0TY/edit#gid=1248694442"",""Table 4: 2nd-line HC or more!A5:A85"")),"""")"),"")</f>
        <v/>
      </c>
      <c r="S27" s="14" t="str">
        <f>IFERROR(__xludf.DUMMYFUNCTION("IFNA(FILTER(IMPORTRANGE(""https://docs.google.com/spreadsheets/d/1kGrh75X1cNR1D7_FcY9zMnHP8iPO4M5RCRjy6nZY0TY/edit#gid=1248694442"",""Table 4: 2nd-line HC or more!H5:H85""), $A27=IMPORTRANGE(""https://docs.google.com/spreadsheets/d/1kGrh75X1cNR1D7_FcY9zMn"&amp;"HP8iPO4M5RCRjy6nZY0TY/edit#gid=1248694442"",""Table 4: 2nd-line HC or more!A5:A85"")),"""")"),"")</f>
        <v/>
      </c>
      <c r="T27" s="14" t="str">
        <f>IFERROR(__xludf.DUMMYFUNCTION("IFNA(FILTER(IMPORTRANGE(""https://docs.google.com/spreadsheets/d/1kGrh75X1cNR1D7_FcY9zMnHP8iPO4M5RCRjy6nZY0TY/edit#gid=1248694442"",""Table 3: 1st-line HC!F5:F111""), $A27=IMPORTRANGE(""https://docs.google.com/spreadsheets/d/1kGrh75X1cNR1D7_FcY9zMnHP8iPO4"&amp;"M5RCRjy6nZY0TY/edit#gid=1248694442"",""Table 3: 1st-line HC!A5:A111"")),"""")"),"")</f>
        <v/>
      </c>
      <c r="U27" s="14" t="str">
        <f>IFERROR(__xludf.DUMMYFUNCTION("IFNA(FILTER(IMPORTRANGE(""https://docs.google.com/spreadsheets/d/1kGrh75X1cNR1D7_FcY9zMnHP8iPO4M5RCRjy6nZY0TY/edit#gid=1248694442"",""Table 3: 1st-line HC!G5:G111""), $A27=IMPORTRANGE(""https://docs.google.com/spreadsheets/d/1kGrh75X1cNR1D7_FcY9zMnHP8iPO4"&amp;"M5RCRjy6nZY0TY/edit#gid=1248694442"",""Table 3: 1st-line HC!A5:A111"")),"""")"),"")</f>
        <v/>
      </c>
      <c r="V27" s="14">
        <f>IFERROR(__xludf.DUMMYFUNCTION("IFNA(FILTER(IMPORTRANGE(""https://docs.google.com/spreadsheets/d/1kGrh75X1cNR1D7_FcY9zMnHP8iPO4M5RCRjy6nZY0TY/edit#gid=1248694442"",""Table 3: 1st-line HC!H5:H111""), $A27=IMPORTRANGE(""https://docs.google.com/spreadsheets/d/1kGrh75X1cNR1D7_FcY9zMnHP8iPO4"&amp;"M5RCRjy6nZY0TY/edit#gid=1248694442"",""Table 3: 1st-line HC!A5:A111"")),"""")"),9.0)</f>
        <v>9</v>
      </c>
      <c r="W27" s="14" t="str">
        <f>IFERROR(__xludf.DUMMYFUNCTION("IFNA(FILTER(IMPORTRANGE(""https://docs.google.com/spreadsheets/d/1kGrh75X1cNR1D7_FcY9zMnHP8iPO4M5RCRjy6nZY0TY/edit#gid=1248694442"",""Table 3: 1st-line HC!I5:I111""), $A27=IMPORTRANGE(""https://docs.google.com/spreadsheets/d/1kGrh75X1cNR1D7_FcY9zMnHP8iPO4"&amp;"M5RCRjy6nZY0TY/edit#gid=1248694442"",""Table 3: 1st-line HC!A5:A111"")),"""")"),"")</f>
        <v/>
      </c>
    </row>
    <row r="28">
      <c r="A28" s="4" t="str">
        <f>IFERROR(__xludf.DUMMYFUNCTION("""COMPUTED_VALUE"""),"ID 46")</f>
        <v>ID 46</v>
      </c>
      <c r="B28" s="14">
        <f>IFERROR(__xludf.DUMMYFUNCTION("IFNA(FILTER(IMPORTRANGE(""https://docs.google.com/spreadsheets/d/1kGrh75X1cNR1D7_FcY9zMnHP8iPO4M5RCRjy6nZY0TY/edit#gid=1248694442"",""Table 3: 1st-line HC!AZ5:AZ111""), $A28=IMPORTRANGE(""https://docs.google.com/spreadsheets/d/1kGrh75X1cNR1D7_FcY9zMnHP8iP"&amp;"O4M5RCRjy6nZY0TY/edit#gid=1248694442"",""Table 3: 1st-line HC!A5:A111"")),"""")"),1.04)</f>
        <v>1.04</v>
      </c>
      <c r="C28" s="14" t="str">
        <f>IFERROR(__xludf.DUMMYFUNCTION("IFNA(FILTER(IMPORTRANGE(""https://docs.google.com/spreadsheets/d/1kGrh75X1cNR1D7_FcY9zMnHP8iPO4M5RCRjy6nZY0TY/edit#gid=1248694442"",""Table 3: 1st-line HC!BA5:BA111""), $A28=IMPORTRANGE(""https://docs.google.com/spreadsheets/d/1kGrh75X1cNR1D7_FcY9zMnHP8iP"&amp;"O4M5RCRjy6nZY0TY/edit#gid=1248694442"",""Table 3: 1st-line HC!A5:A111"")),"""")"),"")</f>
        <v/>
      </c>
      <c r="D28" s="14" t="str">
        <f>IFERROR(__xludf.DUMMYFUNCTION("IFNA(FILTER(IMPORTRANGE(""https://docs.google.com/spreadsheets/d/1kGrh75X1cNR1D7_FcY9zMnHP8iPO4M5RCRjy6nZY0TY/edit#gid=1248694442"",""Table 3: 1st-line HC!BB5:BB111""), $A28=IMPORTRANGE(""https://docs.google.com/spreadsheets/d/1kGrh75X1cNR1D7_FcY9zMnHP8iP"&amp;"O4M5RCRjy6nZY0TY/edit#gid=1248694442"",""Table 3: 1st-line HC!A5:A111"")),"""")"),"")</f>
        <v/>
      </c>
      <c r="E28" s="19" t="str">
        <f>IFERROR(__xludf.DUMMYFUNCTION("IFNA(FILTER(IMPORTRANGE(""https://docs.google.com/spreadsheets/d/1kGrh75X1cNR1D7_FcY9zMnHP8iPO4M5RCRjy6nZY0TY/edit#gid=1248694442"",""Table 3: 1st-line HC!BC5:BC111""), $A28=IMPORTRANGE(""https://docs.google.com/spreadsheets/d/1kGrh75X1cNR1D7_FcY9zMnHP8iP"&amp;"O4M5RCRjy6nZY0TY/edit#gid=1248694442"",""Table 3: 1st-line HC!A5:A111"")),"""")"),"")</f>
        <v/>
      </c>
      <c r="F28" s="14" t="str">
        <f>IFERROR(__xludf.DUMMYFUNCTION("IFNA(FILTER(IMPORTRANGE(""https://docs.google.com/spreadsheets/d/1kGrh75X1cNR1D7_FcY9zMnHP8iPO4M5RCRjy6nZY0TY/edit#gid=1248694442"",""Table 3: 1st-line HC!Y5:Y111""), $A28=IMPORTRANGE(""https://docs.google.com/spreadsheets/d/1kGrh75X1cNR1D7_FcY9zMnHP8iPO4"&amp;"M5RCRjy6nZY0TY/edit#gid=1248694442"",""Table 3: 1st-line HC!A5:A111"")),"""")"),"")</f>
        <v/>
      </c>
      <c r="G28" s="14">
        <f>IFERROR(__xludf.DUMMYFUNCTION("IFNA(FILTER(IMPORTRANGE(""https://docs.google.com/spreadsheets/d/1kGrh75X1cNR1D7_FcY9zMnHP8iPO4M5RCRjy6nZY0TY/edit#gid=1248694442"",""Table 3: 1st-line HC!Z5:Z111""), $A28=IMPORTRANGE(""https://docs.google.com/spreadsheets/d/1kGrh75X1cNR1D7_FcY9zMnHP8iPO4"&amp;"M5RCRjy6nZY0TY/edit#gid=1248694442"",""Table 3: 1st-line HC!A5:A111"")),"""")"),88.0)</f>
        <v>88</v>
      </c>
      <c r="H28" s="14">
        <f>IFERROR(__xludf.DUMMYFUNCTION("IFNA(FILTER(IMPORTRANGE(""https://docs.google.com/spreadsheets/d/1kGrh75X1cNR1D7_FcY9zMnHP8iPO4M5RCRjy6nZY0TY/edit#gid=1248694442"",""Table 3: 1st-line HC!AA5:AA111""), $A28=IMPORTRANGE(""https://docs.google.com/spreadsheets/d/1kGrh75X1cNR1D7_FcY9zMnHP8iP"&amp;"O4M5RCRjy6nZY0TY/edit#gid=1248694442"",""Table 3: 1st-line HC!A5:A111"")),"""")"),7.0)</f>
        <v>7</v>
      </c>
      <c r="I28" s="14" t="str">
        <f>IFERROR(__xludf.DUMMYFUNCTION("IFNA(FILTER(IMPORTRANGE(""https://docs.google.com/spreadsheets/d/1kGrh75X1cNR1D7_FcY9zMnHP8iPO4M5RCRjy6nZY0TY/edit#gid=1248694442"",""Table 3: 1st-line HC!AB5:AB111""), $A28=IMPORTRANGE(""https://docs.google.com/spreadsheets/d/1kGrh75X1cNR1D7_FcY9zMnHP8iP"&amp;"O4M5RCRjy6nZY0TY/edit#gid=1248694442"",""Table 3: 1st-line HC!A5:A111"")),"""")"),"")</f>
        <v/>
      </c>
      <c r="J28" s="14" t="str">
        <f>IFERROR(__xludf.DUMMYFUNCTION("IFNA(FILTER(IMPORTRANGE(""https://docs.google.com/spreadsheets/d/1kGrh75X1cNR1D7_FcY9zMnHP8iPO4M5RCRjy6nZY0TY/edit#gid=1248694442"",""Table 3: 1st-line HC!AC5:AC111""), $A28=IMPORTRANGE(""https://docs.google.com/spreadsheets/d/1kGrh75X1cNR1D7_FcY9zMnHP8iP"&amp;"O4M5RCRjy6nZY0TY/edit#gid=1248694442"",""Table 3: 1st-line HC!A5:A111"")),"""")"),"")</f>
        <v/>
      </c>
      <c r="K28" s="20" t="str">
        <f>IFERROR(__xludf.DUMMYFUNCTION("IFNA(FILTER(IMPORTRANGE(""https://docs.google.com/spreadsheets/d/1kGrh75X1cNR1D7_FcY9zMnHP8iPO4M5RCRjy6nZY0TY/edit#gid=1248694442"",""Table 3: 1st-line HC!AD5:AD111""), $A28=IMPORTRANGE(""https://docs.google.com/spreadsheets/d/1kGrh75X1cNR1D7_FcY9zMnHP8iP"&amp;"O4M5RCRjy6nZY0TY/edit#gid=1248694442"",""Table 3: 1st-line HC!A5:A111"")),"""")"),"")</f>
        <v/>
      </c>
      <c r="L28" s="14" t="str">
        <f>IFERROR(__xludf.DUMMYFUNCTION("IFNA(FILTER(IMPORTRANGE(""https://docs.google.com/spreadsheets/d/1kGrh75X1cNR1D7_FcY9zMnHP8iPO4M5RCRjy6nZY0TY/edit#gid=1248694442"",""Table 3: 1st-line HC!W5:W111""), $A28=IMPORTRANGE(""https://docs.google.com/spreadsheets/d/1kGrh75X1cNR1D7_FcY9zMnHP8iPO4"&amp;"M5RCRjy6nZY0TY/edit#gid=1248694442"",""Table 3: 1st-line HC!A5:A111"")),"""")"),"")</f>
        <v/>
      </c>
      <c r="M28" s="14" t="str">
        <f>IFERROR(__xludf.DUMMYFUNCTION("IFNA(FILTER(IMPORTRANGE(""https://docs.google.com/spreadsheets/d/1kGrh75X1cNR1D7_FcY9zMnHP8iPO4M5RCRjy6nZY0TY/edit#gid=1248694442"",""Table 3: 1st-line HC!X5:X111""), $A28=IMPORTRANGE(""https://docs.google.com/spreadsheets/d/1kGrh75X1cNR1D7_FcY9zMnHP8iPO4"&amp;"M5RCRjy6nZY0TY/edit#gid=1248694442"",""Table 3: 1st-line HC!A5:A111"")),"""")"),"")</f>
        <v/>
      </c>
      <c r="N28" s="14" t="str">
        <f>IFERROR(__xludf.DUMMYFUNCTION("IFNA(FILTER(IMPORTRANGE(""https://docs.google.com/spreadsheets/d/1kGrh75X1cNR1D7_FcY9zMnHP8iPO4M5RCRjy6nZY0TY/edit#gid=1248694442"",""Table 4: 2nd-line HC or more!C5:C85""), $A28=IMPORTRANGE(""https://docs.google.com/spreadsheets/d/1kGrh75X1cNR1D7_FcY9zMn"&amp;"HP8iPO4M5RCRjy6nZY0TY/edit#gid=1248694442"",""Table 4: 2nd-line HC or more!A5:A85"")),"""")"),"")</f>
        <v/>
      </c>
      <c r="O28" s="14">
        <f>IFERROR(__xludf.DUMMYFUNCTION("IFNA(FILTER(IMPORTRANGE(""https://docs.google.com/spreadsheets/d/1kGrh75X1cNR1D7_FcY9zMnHP8iPO4M5RCRjy6nZY0TY/edit#gid=1248694442"",""Table 4: 2nd-line HC or more!D5:D85""), $A28=IMPORTRANGE(""https://docs.google.com/spreadsheets/d/1kGrh75X1cNR1D7_FcY9zMn"&amp;"HP8iPO4M5RCRjy6nZY0TY/edit#gid=1248694442"",""Table 4: 2nd-line HC or more!A5:A85"")),"""")"),36.0)</f>
        <v>36</v>
      </c>
      <c r="P28" s="14">
        <f>IFERROR(__xludf.DUMMYFUNCTION("IFNA(FILTER(IMPORTRANGE(""https://docs.google.com/spreadsheets/d/1kGrh75X1cNR1D7_FcY9zMnHP8iPO4M5RCRjy6nZY0TY/edit#gid=1248694442"",""Table 4: 2nd-line HC or more!E5:E85""), $A28=IMPORTRANGE(""https://docs.google.com/spreadsheets/d/1kGrh75X1cNR1D7_FcY9zMn"&amp;"HP8iPO4M5RCRjy6nZY0TY/edit#gid=1248694442"",""Table 4: 2nd-line HC or more!A5:A85"")),"""")"),2.0)</f>
        <v>2</v>
      </c>
      <c r="Q28" s="14" t="str">
        <f>IFERROR(__xludf.DUMMYFUNCTION("IFNA(FILTER(IMPORTRANGE(""https://docs.google.com/spreadsheets/d/1kGrh75X1cNR1D7_FcY9zMnHP8iPO4M5RCRjy6nZY0TY/edit#gid=1248694442"",""Table 4: 2nd-line HC or more!F5:F85""), $A28=IMPORTRANGE(""https://docs.google.com/spreadsheets/d/1kGrh75X1cNR1D7_FcY9zMn"&amp;"HP8iPO4M5RCRjy6nZY0TY/edit#gid=1248694442"",""Table 4: 2nd-line HC or more!A5:A85"")),"""")"),"")</f>
        <v/>
      </c>
      <c r="R28" s="14" t="str">
        <f>IFERROR(__xludf.DUMMYFUNCTION("IFNA(FILTER(IMPORTRANGE(""https://docs.google.com/spreadsheets/d/1kGrh75X1cNR1D7_FcY9zMnHP8iPO4M5RCRjy6nZY0TY/edit#gid=1248694442"",""Table 4: 2nd-line HC or more!G5:G85""), $A28=IMPORTRANGE(""https://docs.google.com/spreadsheets/d/1kGrh75X1cNR1D7_FcY9zMn"&amp;"HP8iPO4M5RCRjy6nZY0TY/edit#gid=1248694442"",""Table 4: 2nd-line HC or more!A5:A85"")),"""")"),"")</f>
        <v/>
      </c>
      <c r="S28" s="14" t="str">
        <f>IFERROR(__xludf.DUMMYFUNCTION("IFNA(FILTER(IMPORTRANGE(""https://docs.google.com/spreadsheets/d/1kGrh75X1cNR1D7_FcY9zMnHP8iPO4M5RCRjy6nZY0TY/edit#gid=1248694442"",""Table 4: 2nd-line HC or more!H5:H85""), $A28=IMPORTRANGE(""https://docs.google.com/spreadsheets/d/1kGrh75X1cNR1D7_FcY9zMn"&amp;"HP8iPO4M5RCRjy6nZY0TY/edit#gid=1248694442"",""Table 4: 2nd-line HC or more!A5:A85"")),"""")"),"")</f>
        <v/>
      </c>
      <c r="T28" s="14" t="str">
        <f>IFERROR(__xludf.DUMMYFUNCTION("IFNA(FILTER(IMPORTRANGE(""https://docs.google.com/spreadsheets/d/1kGrh75X1cNR1D7_FcY9zMnHP8iPO4M5RCRjy6nZY0TY/edit#gid=1248694442"",""Table 3: 1st-line HC!F5:F111""), $A28=IMPORTRANGE(""https://docs.google.com/spreadsheets/d/1kGrh75X1cNR1D7_FcY9zMnHP8iPO4"&amp;"M5RCRjy6nZY0TY/edit#gid=1248694442"",""Table 3: 1st-line HC!A5:A111"")),"""")"),"")</f>
        <v/>
      </c>
      <c r="U28" s="14">
        <f>IFERROR(__xludf.DUMMYFUNCTION("IFNA(FILTER(IMPORTRANGE(""https://docs.google.com/spreadsheets/d/1kGrh75X1cNR1D7_FcY9zMnHP8iPO4M5RCRjy6nZY0TY/edit#gid=1248694442"",""Table 3: 1st-line HC!G5:G111""), $A28=IMPORTRANGE(""https://docs.google.com/spreadsheets/d/1kGrh75X1cNR1D7_FcY9zMnHP8iPO4"&amp;"M5RCRjy6nZY0TY/edit#gid=1248694442"",""Table 3: 1st-line HC!A5:A111"")),"""")"),21.0)</f>
        <v>21</v>
      </c>
      <c r="V28" s="14" t="str">
        <f>IFERROR(__xludf.DUMMYFUNCTION("IFNA(FILTER(IMPORTRANGE(""https://docs.google.com/spreadsheets/d/1kGrh75X1cNR1D7_FcY9zMnHP8iPO4M5RCRjy6nZY0TY/edit#gid=1248694442"",""Table 3: 1st-line HC!H5:H111""), $A28=IMPORTRANGE(""https://docs.google.com/spreadsheets/d/1kGrh75X1cNR1D7_FcY9zMnHP8iPO4"&amp;"M5RCRjy6nZY0TY/edit#gid=1248694442"",""Table 3: 1st-line HC!A5:A111"")),"""")"),"")</f>
        <v/>
      </c>
      <c r="W28" s="14" t="str">
        <f>IFERROR(__xludf.DUMMYFUNCTION("IFNA(FILTER(IMPORTRANGE(""https://docs.google.com/spreadsheets/d/1kGrh75X1cNR1D7_FcY9zMnHP8iPO4M5RCRjy6nZY0TY/edit#gid=1248694442"",""Table 3: 1st-line HC!I5:I111""), $A28=IMPORTRANGE(""https://docs.google.com/spreadsheets/d/1kGrh75X1cNR1D7_FcY9zMnHP8iPO4"&amp;"M5RCRjy6nZY0TY/edit#gid=1248694442"",""Table 3: 1st-line HC!A5:A111"")),"""")"),"")</f>
        <v/>
      </c>
    </row>
    <row r="29">
      <c r="A29" s="4" t="str">
        <f>IFERROR(__xludf.DUMMYFUNCTION("""COMPUTED_VALUE"""),"ID 47")</f>
        <v>ID 47</v>
      </c>
      <c r="B29" s="14">
        <f>IFERROR(__xludf.DUMMYFUNCTION("IFNA(FILTER(IMPORTRANGE(""https://docs.google.com/spreadsheets/d/1kGrh75X1cNR1D7_FcY9zMnHP8iPO4M5RCRjy6nZY0TY/edit#gid=1248694442"",""Table 3: 1st-line HC!AZ5:AZ111""), $A29=IMPORTRANGE(""https://docs.google.com/spreadsheets/d/1kGrh75X1cNR1D7_FcY9zMnHP8iP"&amp;"O4M5RCRjy6nZY0TY/edit#gid=1248694442"",""Table 3: 1st-line HC!A5:A111"")),"""")"),1.0)</f>
        <v>1</v>
      </c>
      <c r="C29" s="14" t="str">
        <f>IFERROR(__xludf.DUMMYFUNCTION("IFNA(FILTER(IMPORTRANGE(""https://docs.google.com/spreadsheets/d/1kGrh75X1cNR1D7_FcY9zMnHP8iPO4M5RCRjy6nZY0TY/edit#gid=1248694442"",""Table 3: 1st-line HC!BA5:BA111""), $A29=IMPORTRANGE(""https://docs.google.com/spreadsheets/d/1kGrh75X1cNR1D7_FcY9zMnHP8iP"&amp;"O4M5RCRjy6nZY0TY/edit#gid=1248694442"",""Table 3: 1st-line HC!A5:A111"")),"""")"),"")</f>
        <v/>
      </c>
      <c r="D29" s="14" t="str">
        <f>IFERROR(__xludf.DUMMYFUNCTION("IFNA(FILTER(IMPORTRANGE(""https://docs.google.com/spreadsheets/d/1kGrh75X1cNR1D7_FcY9zMnHP8iPO4M5RCRjy6nZY0TY/edit#gid=1248694442"",""Table 3: 1st-line HC!BB5:BB111""), $A29=IMPORTRANGE(""https://docs.google.com/spreadsheets/d/1kGrh75X1cNR1D7_FcY9zMnHP8iP"&amp;"O4M5RCRjy6nZY0TY/edit#gid=1248694442"",""Table 3: 1st-line HC!A5:A111"")),"""")"),"")</f>
        <v/>
      </c>
      <c r="E29" s="19" t="str">
        <f>IFERROR(__xludf.DUMMYFUNCTION("IFNA(FILTER(IMPORTRANGE(""https://docs.google.com/spreadsheets/d/1kGrh75X1cNR1D7_FcY9zMnHP8iPO4M5RCRjy6nZY0TY/edit#gid=1248694442"",""Table 3: 1st-line HC!BC5:BC111""), $A29=IMPORTRANGE(""https://docs.google.com/spreadsheets/d/1kGrh75X1cNR1D7_FcY9zMnHP8iP"&amp;"O4M5RCRjy6nZY0TY/edit#gid=1248694442"",""Table 3: 1st-line HC!A5:A111"")),"""")"),"")</f>
        <v/>
      </c>
      <c r="F29" s="14" t="str">
        <f>IFERROR(__xludf.DUMMYFUNCTION("IFNA(FILTER(IMPORTRANGE(""https://docs.google.com/spreadsheets/d/1kGrh75X1cNR1D7_FcY9zMnHP8iPO4M5RCRjy6nZY0TY/edit#gid=1248694442"",""Table 3: 1st-line HC!Y5:Y111""), $A29=IMPORTRANGE(""https://docs.google.com/spreadsheets/d/1kGrh75X1cNR1D7_FcY9zMnHP8iPO4"&amp;"M5RCRjy6nZY0TY/edit#gid=1248694442"",""Table 3: 1st-line HC!A5:A111"")),"""")"),"")</f>
        <v/>
      </c>
      <c r="G29" s="14">
        <f>IFERROR(__xludf.DUMMYFUNCTION("IFNA(FILTER(IMPORTRANGE(""https://docs.google.com/spreadsheets/d/1kGrh75X1cNR1D7_FcY9zMnHP8iPO4M5RCRjy6nZY0TY/edit#gid=1248694442"",""Table 3: 1st-line HC!Z5:Z111""), $A29=IMPORTRANGE(""https://docs.google.com/spreadsheets/d/1kGrh75X1cNR1D7_FcY9zMnHP8iPO4"&amp;"M5RCRjy6nZY0TY/edit#gid=1248694442"",""Table 3: 1st-line HC!A5:A111"")),"""")"),39.0)</f>
        <v>39</v>
      </c>
      <c r="H29" s="14" t="str">
        <f>IFERROR(__xludf.DUMMYFUNCTION("IFNA(FILTER(IMPORTRANGE(""https://docs.google.com/spreadsheets/d/1kGrh75X1cNR1D7_FcY9zMnHP8iPO4M5RCRjy6nZY0TY/edit#gid=1248694442"",""Table 3: 1st-line HC!AA5:AA111""), $A29=IMPORTRANGE(""https://docs.google.com/spreadsheets/d/1kGrh75X1cNR1D7_FcY9zMnHP8iP"&amp;"O4M5RCRjy6nZY0TY/edit#gid=1248694442"",""Table 3: 1st-line HC!A5:A111"")),"""")"),"")</f>
        <v/>
      </c>
      <c r="I29" s="14" t="str">
        <f>IFERROR(__xludf.DUMMYFUNCTION("IFNA(FILTER(IMPORTRANGE(""https://docs.google.com/spreadsheets/d/1kGrh75X1cNR1D7_FcY9zMnHP8iPO4M5RCRjy6nZY0TY/edit#gid=1248694442"",""Table 3: 1st-line HC!AB5:AB111""), $A29=IMPORTRANGE(""https://docs.google.com/spreadsheets/d/1kGrh75X1cNR1D7_FcY9zMnHP8iP"&amp;"O4M5RCRjy6nZY0TY/edit#gid=1248694442"",""Table 3: 1st-line HC!A5:A111"")),"""")"),"")</f>
        <v/>
      </c>
      <c r="J29" s="14" t="str">
        <f>IFERROR(__xludf.DUMMYFUNCTION("IFNA(FILTER(IMPORTRANGE(""https://docs.google.com/spreadsheets/d/1kGrh75X1cNR1D7_FcY9zMnHP8iPO4M5RCRjy6nZY0TY/edit#gid=1248694442"",""Table 3: 1st-line HC!AC5:AC111""), $A29=IMPORTRANGE(""https://docs.google.com/spreadsheets/d/1kGrh75X1cNR1D7_FcY9zMnHP8iP"&amp;"O4M5RCRjy6nZY0TY/edit#gid=1248694442"",""Table 3: 1st-line HC!A5:A111"")),"""")"),"")</f>
        <v/>
      </c>
      <c r="K29" s="20" t="str">
        <f>IFERROR(__xludf.DUMMYFUNCTION("IFNA(FILTER(IMPORTRANGE(""https://docs.google.com/spreadsheets/d/1kGrh75X1cNR1D7_FcY9zMnHP8iPO4M5RCRjy6nZY0TY/edit#gid=1248694442"",""Table 3: 1st-line HC!AD5:AD111""), $A29=IMPORTRANGE(""https://docs.google.com/spreadsheets/d/1kGrh75X1cNR1D7_FcY9zMnHP8iP"&amp;"O4M5RCRjy6nZY0TY/edit#gid=1248694442"",""Table 3: 1st-line HC!A5:A111"")),"""")"),"")</f>
        <v/>
      </c>
      <c r="L29" s="14" t="str">
        <f>IFERROR(__xludf.DUMMYFUNCTION("IFNA(FILTER(IMPORTRANGE(""https://docs.google.com/spreadsheets/d/1kGrh75X1cNR1D7_FcY9zMnHP8iPO4M5RCRjy6nZY0TY/edit#gid=1248694442"",""Table 3: 1st-line HC!W5:W111""), $A29=IMPORTRANGE(""https://docs.google.com/spreadsheets/d/1kGrh75X1cNR1D7_FcY9zMnHP8iPO4"&amp;"M5RCRjy6nZY0TY/edit#gid=1248694442"",""Table 3: 1st-line HC!A5:A111"")),"""")"),"")</f>
        <v/>
      </c>
      <c r="M29" s="14" t="str">
        <f>IFERROR(__xludf.DUMMYFUNCTION("IFNA(FILTER(IMPORTRANGE(""https://docs.google.com/spreadsheets/d/1kGrh75X1cNR1D7_FcY9zMnHP8iPO4M5RCRjy6nZY0TY/edit#gid=1248694442"",""Table 3: 1st-line HC!X5:X111""), $A29=IMPORTRANGE(""https://docs.google.com/spreadsheets/d/1kGrh75X1cNR1D7_FcY9zMnHP8iPO4"&amp;"M5RCRjy6nZY0TY/edit#gid=1248694442"",""Table 3: 1st-line HC!A5:A111"")),"""")"),"")</f>
        <v/>
      </c>
      <c r="N29" s="14" t="str">
        <f>IFERROR(__xludf.DUMMYFUNCTION("IFNA(FILTER(IMPORTRANGE(""https://docs.google.com/spreadsheets/d/1kGrh75X1cNR1D7_FcY9zMnHP8iPO4M5RCRjy6nZY0TY/edit#gid=1248694442"",""Table 4: 2nd-line HC or more!C5:C85""), $A29=IMPORTRANGE(""https://docs.google.com/spreadsheets/d/1kGrh75X1cNR1D7_FcY9zMn"&amp;"HP8iPO4M5RCRjy6nZY0TY/edit#gid=1248694442"",""Table 4: 2nd-line HC or more!A5:A85"")),"""")"),"")</f>
        <v/>
      </c>
      <c r="O29" s="14" t="str">
        <f>IFERROR(__xludf.DUMMYFUNCTION("IFNA(FILTER(IMPORTRANGE(""https://docs.google.com/spreadsheets/d/1kGrh75X1cNR1D7_FcY9zMnHP8iPO4M5RCRjy6nZY0TY/edit#gid=1248694442"",""Table 4: 2nd-line HC or more!D5:D85""), $A29=IMPORTRANGE(""https://docs.google.com/spreadsheets/d/1kGrh75X1cNR1D7_FcY9zMn"&amp;"HP8iPO4M5RCRjy6nZY0TY/edit#gid=1248694442"",""Table 4: 2nd-line HC or more!A5:A85"")),"""")"),"")</f>
        <v/>
      </c>
      <c r="P29" s="14" t="str">
        <f>IFERROR(__xludf.DUMMYFUNCTION("IFNA(FILTER(IMPORTRANGE(""https://docs.google.com/spreadsheets/d/1kGrh75X1cNR1D7_FcY9zMnHP8iPO4M5RCRjy6nZY0TY/edit#gid=1248694442"",""Table 4: 2nd-line HC or more!E5:E85""), $A29=IMPORTRANGE(""https://docs.google.com/spreadsheets/d/1kGrh75X1cNR1D7_FcY9zMn"&amp;"HP8iPO4M5RCRjy6nZY0TY/edit#gid=1248694442"",""Table 4: 2nd-line HC or more!A5:A85"")),"""")"),"")</f>
        <v/>
      </c>
      <c r="Q29" s="14" t="str">
        <f>IFERROR(__xludf.DUMMYFUNCTION("IFNA(FILTER(IMPORTRANGE(""https://docs.google.com/spreadsheets/d/1kGrh75X1cNR1D7_FcY9zMnHP8iPO4M5RCRjy6nZY0TY/edit#gid=1248694442"",""Table 4: 2nd-line HC or more!F5:F85""), $A29=IMPORTRANGE(""https://docs.google.com/spreadsheets/d/1kGrh75X1cNR1D7_FcY9zMn"&amp;"HP8iPO4M5RCRjy6nZY0TY/edit#gid=1248694442"",""Table 4: 2nd-line HC or more!A5:A85"")),"""")"),"")</f>
        <v/>
      </c>
      <c r="R29" s="14" t="str">
        <f>IFERROR(__xludf.DUMMYFUNCTION("IFNA(FILTER(IMPORTRANGE(""https://docs.google.com/spreadsheets/d/1kGrh75X1cNR1D7_FcY9zMnHP8iPO4M5RCRjy6nZY0TY/edit#gid=1248694442"",""Table 4: 2nd-line HC or more!G5:G85""), $A29=IMPORTRANGE(""https://docs.google.com/spreadsheets/d/1kGrh75X1cNR1D7_FcY9zMn"&amp;"HP8iPO4M5RCRjy6nZY0TY/edit#gid=1248694442"",""Table 4: 2nd-line HC or more!A5:A85"")),"""")"),"")</f>
        <v/>
      </c>
      <c r="S29" s="14" t="str">
        <f>IFERROR(__xludf.DUMMYFUNCTION("IFNA(FILTER(IMPORTRANGE(""https://docs.google.com/spreadsheets/d/1kGrh75X1cNR1D7_FcY9zMnHP8iPO4M5RCRjy6nZY0TY/edit#gid=1248694442"",""Table 4: 2nd-line HC or more!H5:H85""), $A29=IMPORTRANGE(""https://docs.google.com/spreadsheets/d/1kGrh75X1cNR1D7_FcY9zMn"&amp;"HP8iPO4M5RCRjy6nZY0TY/edit#gid=1248694442"",""Table 4: 2nd-line HC or more!A5:A85"")),"""")"),"")</f>
        <v/>
      </c>
      <c r="T29" s="14" t="str">
        <f>IFERROR(__xludf.DUMMYFUNCTION("IFNA(FILTER(IMPORTRANGE(""https://docs.google.com/spreadsheets/d/1kGrh75X1cNR1D7_FcY9zMnHP8iPO4M5RCRjy6nZY0TY/edit#gid=1248694442"",""Table 3: 1st-line HC!F5:F111""), $A29=IMPORTRANGE(""https://docs.google.com/spreadsheets/d/1kGrh75X1cNR1D7_FcY9zMnHP8iPO4"&amp;"M5RCRjy6nZY0TY/edit#gid=1248694442"",""Table 3: 1st-line HC!A5:A111"")),"""")"),"")</f>
        <v/>
      </c>
      <c r="U29" s="14">
        <f>IFERROR(__xludf.DUMMYFUNCTION("IFNA(FILTER(IMPORTRANGE(""https://docs.google.com/spreadsheets/d/1kGrh75X1cNR1D7_FcY9zMnHP8iPO4M5RCRjy6nZY0TY/edit#gid=1248694442"",""Table 3: 1st-line HC!G5:G111""), $A29=IMPORTRANGE(""https://docs.google.com/spreadsheets/d/1kGrh75X1cNR1D7_FcY9zMnHP8iPO4"&amp;"M5RCRjy6nZY0TY/edit#gid=1248694442"",""Table 3: 1st-line HC!A5:A111"")),"""")"),47.0)</f>
        <v>47</v>
      </c>
      <c r="V29" s="14" t="str">
        <f>IFERROR(__xludf.DUMMYFUNCTION("IFNA(FILTER(IMPORTRANGE(""https://docs.google.com/spreadsheets/d/1kGrh75X1cNR1D7_FcY9zMnHP8iPO4M5RCRjy6nZY0TY/edit#gid=1248694442"",""Table 3: 1st-line HC!H5:H111""), $A29=IMPORTRANGE(""https://docs.google.com/spreadsheets/d/1kGrh75X1cNR1D7_FcY9zMnHP8iPO4"&amp;"M5RCRjy6nZY0TY/edit#gid=1248694442"",""Table 3: 1st-line HC!A5:A111"")),"""")"),"")</f>
        <v/>
      </c>
      <c r="W29" s="14" t="str">
        <f>IFERROR(__xludf.DUMMYFUNCTION("IFNA(FILTER(IMPORTRANGE(""https://docs.google.com/spreadsheets/d/1kGrh75X1cNR1D7_FcY9zMnHP8iPO4M5RCRjy6nZY0TY/edit#gid=1248694442"",""Table 3: 1st-line HC!I5:I111""), $A29=IMPORTRANGE(""https://docs.google.com/spreadsheets/d/1kGrh75X1cNR1D7_FcY9zMnHP8iPO4"&amp;"M5RCRjy6nZY0TY/edit#gid=1248694442"",""Table 3: 1st-line HC!A5:A111"")),"""")"),"")</f>
        <v/>
      </c>
    </row>
    <row r="30">
      <c r="A30" s="4" t="str">
        <f>IFERROR(__xludf.DUMMYFUNCTION("""COMPUTED_VALUE"""),"ID 51")</f>
        <v>ID 51</v>
      </c>
      <c r="B30" s="14" t="str">
        <f>IFERROR(__xludf.DUMMYFUNCTION("IFNA(FILTER(IMPORTRANGE(""https://docs.google.com/spreadsheets/d/1kGrh75X1cNR1D7_FcY9zMnHP8iPO4M5RCRjy6nZY0TY/edit#gid=1248694442"",""Table 3: 1st-line HC!AZ5:AZ111""), $A30=IMPORTRANGE(""https://docs.google.com/spreadsheets/d/1kGrh75X1cNR1D7_FcY9zMnHP8iP"&amp;"O4M5RCRjy6nZY0TY/edit#gid=1248694442"",""Table 3: 1st-line HC!A5:A111"")),"""")"),"")</f>
        <v/>
      </c>
      <c r="C30" s="14" t="str">
        <f>IFERROR(__xludf.DUMMYFUNCTION("IFNA(FILTER(IMPORTRANGE(""https://docs.google.com/spreadsheets/d/1kGrh75X1cNR1D7_FcY9zMnHP8iPO4M5RCRjy6nZY0TY/edit#gid=1248694442"",""Table 3: 1st-line HC!BA5:BA111""), $A30=IMPORTRANGE(""https://docs.google.com/spreadsheets/d/1kGrh75X1cNR1D7_FcY9zMnHP8iP"&amp;"O4M5RCRjy6nZY0TY/edit#gid=1248694442"",""Table 3: 1st-line HC!A5:A111"")),"""")"),"")</f>
        <v/>
      </c>
      <c r="D30" s="14" t="str">
        <f>IFERROR(__xludf.DUMMYFUNCTION("IFNA(FILTER(IMPORTRANGE(""https://docs.google.com/spreadsheets/d/1kGrh75X1cNR1D7_FcY9zMnHP8iPO4M5RCRjy6nZY0TY/edit#gid=1248694442"",""Table 3: 1st-line HC!BB5:BB111""), $A30=IMPORTRANGE(""https://docs.google.com/spreadsheets/d/1kGrh75X1cNR1D7_FcY9zMnHP8iP"&amp;"O4M5RCRjy6nZY0TY/edit#gid=1248694442"",""Table 3: 1st-line HC!A5:A111"")),"""")"),"")</f>
        <v/>
      </c>
      <c r="E30" s="19" t="str">
        <f>IFERROR(__xludf.DUMMYFUNCTION("IFNA(FILTER(IMPORTRANGE(""https://docs.google.com/spreadsheets/d/1kGrh75X1cNR1D7_FcY9zMnHP8iPO4M5RCRjy6nZY0TY/edit#gid=1248694442"",""Table 3: 1st-line HC!BC5:BC111""), $A30=IMPORTRANGE(""https://docs.google.com/spreadsheets/d/1kGrh75X1cNR1D7_FcY9zMnHP8iP"&amp;"O4M5RCRjy6nZY0TY/edit#gid=1248694442"",""Table 3: 1st-line HC!A5:A111"")),"""")"),"")</f>
        <v/>
      </c>
      <c r="F30" s="14" t="str">
        <f>IFERROR(__xludf.DUMMYFUNCTION("IFNA(FILTER(IMPORTRANGE(""https://docs.google.com/spreadsheets/d/1kGrh75X1cNR1D7_FcY9zMnHP8iPO4M5RCRjy6nZY0TY/edit#gid=1248694442"",""Table 3: 1st-line HC!Y5:Y111""), $A30=IMPORTRANGE(""https://docs.google.com/spreadsheets/d/1kGrh75X1cNR1D7_FcY9zMnHP8iPO4"&amp;"M5RCRjy6nZY0TY/edit#gid=1248694442"",""Table 3: 1st-line HC!A5:A111"")),"""")"),"")</f>
        <v/>
      </c>
      <c r="G30" s="14">
        <f>IFERROR(__xludf.DUMMYFUNCTION("IFNA(FILTER(IMPORTRANGE(""https://docs.google.com/spreadsheets/d/1kGrh75X1cNR1D7_FcY9zMnHP8iPO4M5RCRjy6nZY0TY/edit#gid=1248694442"",""Table 3: 1st-line HC!Z5:Z111""), $A30=IMPORTRANGE(""https://docs.google.com/spreadsheets/d/1kGrh75X1cNR1D7_FcY9zMnHP8iPO4"&amp;"M5RCRjy6nZY0TY/edit#gid=1248694442"",""Table 3: 1st-line HC!A5:A111"")),"""")"),29.0)</f>
        <v>29</v>
      </c>
      <c r="H30" s="14" t="str">
        <f>IFERROR(__xludf.DUMMYFUNCTION("IFNA(FILTER(IMPORTRANGE(""https://docs.google.com/spreadsheets/d/1kGrh75X1cNR1D7_FcY9zMnHP8iPO4M5RCRjy6nZY0TY/edit#gid=1248694442"",""Table 3: 1st-line HC!AA5:AA111""), $A30=IMPORTRANGE(""https://docs.google.com/spreadsheets/d/1kGrh75X1cNR1D7_FcY9zMnHP8iP"&amp;"O4M5RCRjy6nZY0TY/edit#gid=1248694442"",""Table 3: 1st-line HC!A5:A111"")),"""")"),"")</f>
        <v/>
      </c>
      <c r="I30" s="14" t="str">
        <f>IFERROR(__xludf.DUMMYFUNCTION("IFNA(FILTER(IMPORTRANGE(""https://docs.google.com/spreadsheets/d/1kGrh75X1cNR1D7_FcY9zMnHP8iPO4M5RCRjy6nZY0TY/edit#gid=1248694442"",""Table 3: 1st-line HC!AB5:AB111""), $A30=IMPORTRANGE(""https://docs.google.com/spreadsheets/d/1kGrh75X1cNR1D7_FcY9zMnHP8iP"&amp;"O4M5RCRjy6nZY0TY/edit#gid=1248694442"",""Table 3: 1st-line HC!A5:A111"")),"""")"),"")</f>
        <v/>
      </c>
      <c r="J30" s="14" t="str">
        <f>IFERROR(__xludf.DUMMYFUNCTION("IFNA(FILTER(IMPORTRANGE(""https://docs.google.com/spreadsheets/d/1kGrh75X1cNR1D7_FcY9zMnHP8iPO4M5RCRjy6nZY0TY/edit#gid=1248694442"",""Table 3: 1st-line HC!AC5:AC111""), $A30=IMPORTRANGE(""https://docs.google.com/spreadsheets/d/1kGrh75X1cNR1D7_FcY9zMnHP8iP"&amp;"O4M5RCRjy6nZY0TY/edit#gid=1248694442"",""Table 3: 1st-line HC!A5:A111"")),"""")"),"")</f>
        <v/>
      </c>
      <c r="K30" s="20" t="str">
        <f>IFERROR(__xludf.DUMMYFUNCTION("IFNA(FILTER(IMPORTRANGE(""https://docs.google.com/spreadsheets/d/1kGrh75X1cNR1D7_FcY9zMnHP8iPO4M5RCRjy6nZY0TY/edit#gid=1248694442"",""Table 3: 1st-line HC!AD5:AD111""), $A30=IMPORTRANGE(""https://docs.google.com/spreadsheets/d/1kGrh75X1cNR1D7_FcY9zMnHP8iP"&amp;"O4M5RCRjy6nZY0TY/edit#gid=1248694442"",""Table 3: 1st-line HC!A5:A111"")),"""")"),"")</f>
        <v/>
      </c>
      <c r="L30" s="14" t="str">
        <f>IFERROR(__xludf.DUMMYFUNCTION("IFNA(FILTER(IMPORTRANGE(""https://docs.google.com/spreadsheets/d/1kGrh75X1cNR1D7_FcY9zMnHP8iPO4M5RCRjy6nZY0TY/edit#gid=1248694442"",""Table 3: 1st-line HC!W5:W111""), $A30=IMPORTRANGE(""https://docs.google.com/spreadsheets/d/1kGrh75X1cNR1D7_FcY9zMnHP8iPO4"&amp;"M5RCRjy6nZY0TY/edit#gid=1248694442"",""Table 3: 1st-line HC!A5:A111"")),"""")"),"")</f>
        <v/>
      </c>
      <c r="M30" s="14" t="str">
        <f>IFERROR(__xludf.DUMMYFUNCTION("IFNA(FILTER(IMPORTRANGE(""https://docs.google.com/spreadsheets/d/1kGrh75X1cNR1D7_FcY9zMnHP8iPO4M5RCRjy6nZY0TY/edit#gid=1248694442"",""Table 3: 1st-line HC!X5:X111""), $A30=IMPORTRANGE(""https://docs.google.com/spreadsheets/d/1kGrh75X1cNR1D7_FcY9zMnHP8iPO4"&amp;"M5RCRjy6nZY0TY/edit#gid=1248694442"",""Table 3: 1st-line HC!A5:A111"")),"""")"),"")</f>
        <v/>
      </c>
      <c r="N30" s="14" t="str">
        <f>IFERROR(__xludf.DUMMYFUNCTION("IFNA(FILTER(IMPORTRANGE(""https://docs.google.com/spreadsheets/d/1kGrh75X1cNR1D7_FcY9zMnHP8iPO4M5RCRjy6nZY0TY/edit#gid=1248694442"",""Table 4: 2nd-line HC or more!C5:C85""), $A30=IMPORTRANGE(""https://docs.google.com/spreadsheets/d/1kGrh75X1cNR1D7_FcY9zMn"&amp;"HP8iPO4M5RCRjy6nZY0TY/edit#gid=1248694442"",""Table 4: 2nd-line HC or more!A5:A85"")),"""")"),"")</f>
        <v/>
      </c>
      <c r="O30" s="14">
        <f>IFERROR(__xludf.DUMMYFUNCTION("IFNA(FILTER(IMPORTRANGE(""https://docs.google.com/spreadsheets/d/1kGrh75X1cNR1D7_FcY9zMnHP8iPO4M5RCRjy6nZY0TY/edit#gid=1248694442"",""Table 4: 2nd-line HC or more!D5:D85""), $A30=IMPORTRANGE(""https://docs.google.com/spreadsheets/d/1kGrh75X1cNR1D7_FcY9zMn"&amp;"HP8iPO4M5RCRjy6nZY0TY/edit#gid=1248694442"",""Table 4: 2nd-line HC or more!A5:A85"")),"""")"),9.0)</f>
        <v>9</v>
      </c>
      <c r="P30" s="14" t="str">
        <f>IFERROR(__xludf.DUMMYFUNCTION("IFNA(FILTER(IMPORTRANGE(""https://docs.google.com/spreadsheets/d/1kGrh75X1cNR1D7_FcY9zMnHP8iPO4M5RCRjy6nZY0TY/edit#gid=1248694442"",""Table 4: 2nd-line HC or more!E5:E85""), $A30=IMPORTRANGE(""https://docs.google.com/spreadsheets/d/1kGrh75X1cNR1D7_FcY9zMn"&amp;"HP8iPO4M5RCRjy6nZY0TY/edit#gid=1248694442"",""Table 4: 2nd-line HC or more!A5:A85"")),"""")"),"")</f>
        <v/>
      </c>
      <c r="Q30" s="14" t="str">
        <f>IFERROR(__xludf.DUMMYFUNCTION("IFNA(FILTER(IMPORTRANGE(""https://docs.google.com/spreadsheets/d/1kGrh75X1cNR1D7_FcY9zMnHP8iPO4M5RCRjy6nZY0TY/edit#gid=1248694442"",""Table 4: 2nd-line HC or more!F5:F85""), $A30=IMPORTRANGE(""https://docs.google.com/spreadsheets/d/1kGrh75X1cNR1D7_FcY9zMn"&amp;"HP8iPO4M5RCRjy6nZY0TY/edit#gid=1248694442"",""Table 4: 2nd-line HC or more!A5:A85"")),"""")"),"")</f>
        <v/>
      </c>
      <c r="R30" s="14" t="str">
        <f>IFERROR(__xludf.DUMMYFUNCTION("IFNA(FILTER(IMPORTRANGE(""https://docs.google.com/spreadsheets/d/1kGrh75X1cNR1D7_FcY9zMnHP8iPO4M5RCRjy6nZY0TY/edit#gid=1248694442"",""Table 4: 2nd-line HC or more!G5:G85""), $A30=IMPORTRANGE(""https://docs.google.com/spreadsheets/d/1kGrh75X1cNR1D7_FcY9zMn"&amp;"HP8iPO4M5RCRjy6nZY0TY/edit#gid=1248694442"",""Table 4: 2nd-line HC or more!A5:A85"")),"""")"),"")</f>
        <v/>
      </c>
      <c r="S30" s="14" t="str">
        <f>IFERROR(__xludf.DUMMYFUNCTION("IFNA(FILTER(IMPORTRANGE(""https://docs.google.com/spreadsheets/d/1kGrh75X1cNR1D7_FcY9zMnHP8iPO4M5RCRjy6nZY0TY/edit#gid=1248694442"",""Table 4: 2nd-line HC or more!H5:H85""), $A30=IMPORTRANGE(""https://docs.google.com/spreadsheets/d/1kGrh75X1cNR1D7_FcY9zMn"&amp;"HP8iPO4M5RCRjy6nZY0TY/edit#gid=1248694442"",""Table 4: 2nd-line HC or more!A5:A85"")),"""")"),"")</f>
        <v/>
      </c>
      <c r="T30" s="14" t="str">
        <f>IFERROR(__xludf.DUMMYFUNCTION("IFNA(FILTER(IMPORTRANGE(""https://docs.google.com/spreadsheets/d/1kGrh75X1cNR1D7_FcY9zMnHP8iPO4M5RCRjy6nZY0TY/edit#gid=1248694442"",""Table 3: 1st-line HC!F5:F111""), $A30=IMPORTRANGE(""https://docs.google.com/spreadsheets/d/1kGrh75X1cNR1D7_FcY9zMnHP8iPO4"&amp;"M5RCRjy6nZY0TY/edit#gid=1248694442"",""Table 3: 1st-line HC!A5:A111"")),"""")"),"")</f>
        <v/>
      </c>
      <c r="U30" s="14" t="str">
        <f>IFERROR(__xludf.DUMMYFUNCTION("IFNA(FILTER(IMPORTRANGE(""https://docs.google.com/spreadsheets/d/1kGrh75X1cNR1D7_FcY9zMnHP8iPO4M5RCRjy6nZY0TY/edit#gid=1248694442"",""Table 3: 1st-line HC!G5:G111""), $A30=IMPORTRANGE(""https://docs.google.com/spreadsheets/d/1kGrh75X1cNR1D7_FcY9zMnHP8iPO4"&amp;"M5RCRjy6nZY0TY/edit#gid=1248694442"",""Table 3: 1st-line HC!A5:A111"")),"""")"),"")</f>
        <v/>
      </c>
      <c r="V30" s="14" t="str">
        <f>IFERROR(__xludf.DUMMYFUNCTION("IFNA(FILTER(IMPORTRANGE(""https://docs.google.com/spreadsheets/d/1kGrh75X1cNR1D7_FcY9zMnHP8iPO4M5RCRjy6nZY0TY/edit#gid=1248694442"",""Table 3: 1st-line HC!H5:H111""), $A30=IMPORTRANGE(""https://docs.google.com/spreadsheets/d/1kGrh75X1cNR1D7_FcY9zMnHP8iPO4"&amp;"M5RCRjy6nZY0TY/edit#gid=1248694442"",""Table 3: 1st-line HC!A5:A111"")),"""")"),"")</f>
        <v/>
      </c>
      <c r="W30" s="14" t="str">
        <f>IFERROR(__xludf.DUMMYFUNCTION("IFNA(FILTER(IMPORTRANGE(""https://docs.google.com/spreadsheets/d/1kGrh75X1cNR1D7_FcY9zMnHP8iPO4M5RCRjy6nZY0TY/edit#gid=1248694442"",""Table 3: 1st-line HC!I5:I111""), $A30=IMPORTRANGE(""https://docs.google.com/spreadsheets/d/1kGrh75X1cNR1D7_FcY9zMnHP8iPO4"&amp;"M5RCRjy6nZY0TY/edit#gid=1248694442"",""Table 3: 1st-line HC!A5:A111"")),"""")"),"")</f>
        <v/>
      </c>
    </row>
    <row r="31">
      <c r="A31" s="4" t="str">
        <f>IFERROR(__xludf.DUMMYFUNCTION("""COMPUTED_VALUE"""),"ID 52")</f>
        <v>ID 52</v>
      </c>
      <c r="B31" s="14" t="str">
        <f>IFERROR(__xludf.DUMMYFUNCTION("IFNA(FILTER(IMPORTRANGE(""https://docs.google.com/spreadsheets/d/1kGrh75X1cNR1D7_FcY9zMnHP8iPO4M5RCRjy6nZY0TY/edit#gid=1248694442"",""Table 3: 1st-line HC!AZ5:AZ111""), $A31=IMPORTRANGE(""https://docs.google.com/spreadsheets/d/1kGrh75X1cNR1D7_FcY9zMnHP8iP"&amp;"O4M5RCRjy6nZY0TY/edit#gid=1248694442"",""Table 3: 1st-line HC!A5:A111"")),"""")"),"")</f>
        <v/>
      </c>
      <c r="C31" s="14" t="str">
        <f>IFERROR(__xludf.DUMMYFUNCTION("IFNA(FILTER(IMPORTRANGE(""https://docs.google.com/spreadsheets/d/1kGrh75X1cNR1D7_FcY9zMnHP8iPO4M5RCRjy6nZY0TY/edit#gid=1248694442"",""Table 3: 1st-line HC!BA5:BA111""), $A31=IMPORTRANGE(""https://docs.google.com/spreadsheets/d/1kGrh75X1cNR1D7_FcY9zMnHP8iP"&amp;"O4M5RCRjy6nZY0TY/edit#gid=1248694442"",""Table 3: 1st-line HC!A5:A111"")),"""")"),"")</f>
        <v/>
      </c>
      <c r="D31" s="14" t="str">
        <f>IFERROR(__xludf.DUMMYFUNCTION("IFNA(FILTER(IMPORTRANGE(""https://docs.google.com/spreadsheets/d/1kGrh75X1cNR1D7_FcY9zMnHP8iPO4M5RCRjy6nZY0TY/edit#gid=1248694442"",""Table 3: 1st-line HC!BB5:BB111""), $A31=IMPORTRANGE(""https://docs.google.com/spreadsheets/d/1kGrh75X1cNR1D7_FcY9zMnHP8iP"&amp;"O4M5RCRjy6nZY0TY/edit#gid=1248694442"",""Table 3: 1st-line HC!A5:A111"")),"""")"),"")</f>
        <v/>
      </c>
      <c r="E31" s="19" t="str">
        <f>IFERROR(__xludf.DUMMYFUNCTION("IFNA(FILTER(IMPORTRANGE(""https://docs.google.com/spreadsheets/d/1kGrh75X1cNR1D7_FcY9zMnHP8iPO4M5RCRjy6nZY0TY/edit#gid=1248694442"",""Table 3: 1st-line HC!BC5:BC111""), $A31=IMPORTRANGE(""https://docs.google.com/spreadsheets/d/1kGrh75X1cNR1D7_FcY9zMnHP8iP"&amp;"O4M5RCRjy6nZY0TY/edit#gid=1248694442"",""Table 3: 1st-line HC!A5:A111"")),"""")"),"")</f>
        <v/>
      </c>
      <c r="F31" s="14" t="str">
        <f>IFERROR(__xludf.DUMMYFUNCTION("IFNA(FILTER(IMPORTRANGE(""https://docs.google.com/spreadsheets/d/1kGrh75X1cNR1D7_FcY9zMnHP8iPO4M5RCRjy6nZY0TY/edit#gid=1248694442"",""Table 3: 1st-line HC!Y5:Y111""), $A31=IMPORTRANGE(""https://docs.google.com/spreadsheets/d/1kGrh75X1cNR1D7_FcY9zMnHP8iPO4"&amp;"M5RCRjy6nZY0TY/edit#gid=1248694442"",""Table 3: 1st-line HC!A5:A111"")),"""")"),"")</f>
        <v/>
      </c>
      <c r="G31" s="14">
        <f>IFERROR(__xludf.DUMMYFUNCTION("IFNA(FILTER(IMPORTRANGE(""https://docs.google.com/spreadsheets/d/1kGrh75X1cNR1D7_FcY9zMnHP8iPO4M5RCRjy6nZY0TY/edit#gid=1248694442"",""Table 3: 1st-line HC!Z5:Z111""), $A31=IMPORTRANGE(""https://docs.google.com/spreadsheets/d/1kGrh75X1cNR1D7_FcY9zMnHP8iPO4"&amp;"M5RCRjy6nZY0TY/edit#gid=1248694442"",""Table 3: 1st-line HC!A5:A111"")),"""")"),157.0)</f>
        <v>157</v>
      </c>
      <c r="H31" s="14" t="str">
        <f>IFERROR(__xludf.DUMMYFUNCTION("IFNA(FILTER(IMPORTRANGE(""https://docs.google.com/spreadsheets/d/1kGrh75X1cNR1D7_FcY9zMnHP8iPO4M5RCRjy6nZY0TY/edit#gid=1248694442"",""Table 3: 1st-line HC!AA5:AA111""), $A31=IMPORTRANGE(""https://docs.google.com/spreadsheets/d/1kGrh75X1cNR1D7_FcY9zMnHP8iP"&amp;"O4M5RCRjy6nZY0TY/edit#gid=1248694442"",""Table 3: 1st-line HC!A5:A111"")),"""")"),"")</f>
        <v/>
      </c>
      <c r="I31" s="14">
        <f>IFERROR(__xludf.DUMMYFUNCTION("IFNA(FILTER(IMPORTRANGE(""https://docs.google.com/spreadsheets/d/1kGrh75X1cNR1D7_FcY9zMnHP8iPO4M5RCRjy6nZY0TY/edit#gid=1248694442"",""Table 3: 1st-line HC!AB5:AB111""), $A31=IMPORTRANGE(""https://docs.google.com/spreadsheets/d/1kGrh75X1cNR1D7_FcY9zMnHP8iP"&amp;"O4M5RCRjy6nZY0TY/edit#gid=1248694442"",""Table 3: 1st-line HC!A5:A111"")),"""")"),13.0)</f>
        <v>13</v>
      </c>
      <c r="J31" s="14" t="str">
        <f>IFERROR(__xludf.DUMMYFUNCTION("IFNA(FILTER(IMPORTRANGE(""https://docs.google.com/spreadsheets/d/1kGrh75X1cNR1D7_FcY9zMnHP8iPO4M5RCRjy6nZY0TY/edit#gid=1248694442"",""Table 3: 1st-line HC!AC5:AC111""), $A31=IMPORTRANGE(""https://docs.google.com/spreadsheets/d/1kGrh75X1cNR1D7_FcY9zMnHP8iP"&amp;"O4M5RCRjy6nZY0TY/edit#gid=1248694442"",""Table 3: 1st-line HC!A5:A111"")),"""")"),"")</f>
        <v/>
      </c>
      <c r="K31" s="20" t="str">
        <f>IFERROR(__xludf.DUMMYFUNCTION("IFNA(FILTER(IMPORTRANGE(""https://docs.google.com/spreadsheets/d/1kGrh75X1cNR1D7_FcY9zMnHP8iPO4M5RCRjy6nZY0TY/edit#gid=1248694442"",""Table 3: 1st-line HC!AD5:AD111""), $A31=IMPORTRANGE(""https://docs.google.com/spreadsheets/d/1kGrh75X1cNR1D7_FcY9zMnHP8iP"&amp;"O4M5RCRjy6nZY0TY/edit#gid=1248694442"",""Table 3: 1st-line HC!A5:A111"")),"""")"),"")</f>
        <v/>
      </c>
      <c r="L31" s="14" t="str">
        <f>IFERROR(__xludf.DUMMYFUNCTION("IFNA(FILTER(IMPORTRANGE(""https://docs.google.com/spreadsheets/d/1kGrh75X1cNR1D7_FcY9zMnHP8iPO4M5RCRjy6nZY0TY/edit#gid=1248694442"",""Table 3: 1st-line HC!W5:W111""), $A31=IMPORTRANGE(""https://docs.google.com/spreadsheets/d/1kGrh75X1cNR1D7_FcY9zMnHP8iPO4"&amp;"M5RCRjy6nZY0TY/edit#gid=1248694442"",""Table 3: 1st-line HC!A5:A111"")),"""")"),"")</f>
        <v/>
      </c>
      <c r="M31" s="14" t="str">
        <f>IFERROR(__xludf.DUMMYFUNCTION("IFNA(FILTER(IMPORTRANGE(""https://docs.google.com/spreadsheets/d/1kGrh75X1cNR1D7_FcY9zMnHP8iPO4M5RCRjy6nZY0TY/edit#gid=1248694442"",""Table 3: 1st-line HC!X5:X111""), $A31=IMPORTRANGE(""https://docs.google.com/spreadsheets/d/1kGrh75X1cNR1D7_FcY9zMnHP8iPO4"&amp;"M5RCRjy6nZY0TY/edit#gid=1248694442"",""Table 3: 1st-line HC!A5:A111"")),"""")"),"")</f>
        <v/>
      </c>
      <c r="N31" s="14" t="str">
        <f>IFERROR(__xludf.DUMMYFUNCTION("IFNA(FILTER(IMPORTRANGE(""https://docs.google.com/spreadsheets/d/1kGrh75X1cNR1D7_FcY9zMnHP8iPO4M5RCRjy6nZY0TY/edit#gid=1248694442"",""Table 4: 2nd-line HC or more!C5:C85""), $A31=IMPORTRANGE(""https://docs.google.com/spreadsheets/d/1kGrh75X1cNR1D7_FcY9zMn"&amp;"HP8iPO4M5RCRjy6nZY0TY/edit#gid=1248694442"",""Table 4: 2nd-line HC or more!A5:A85"")),"""")"),"")</f>
        <v/>
      </c>
      <c r="O31" s="14" t="str">
        <f>IFERROR(__xludf.DUMMYFUNCTION("IFNA(FILTER(IMPORTRANGE(""https://docs.google.com/spreadsheets/d/1kGrh75X1cNR1D7_FcY9zMnHP8iPO4M5RCRjy6nZY0TY/edit#gid=1248694442"",""Table 4: 2nd-line HC or more!D5:D85""), $A31=IMPORTRANGE(""https://docs.google.com/spreadsheets/d/1kGrh75X1cNR1D7_FcY9zMn"&amp;"HP8iPO4M5RCRjy6nZY0TY/edit#gid=1248694442"",""Table 4: 2nd-line HC or more!A5:A85"")),"""")"),"")</f>
        <v/>
      </c>
      <c r="P31" s="14" t="str">
        <f>IFERROR(__xludf.DUMMYFUNCTION("IFNA(FILTER(IMPORTRANGE(""https://docs.google.com/spreadsheets/d/1kGrh75X1cNR1D7_FcY9zMnHP8iPO4M5RCRjy6nZY0TY/edit#gid=1248694442"",""Table 4: 2nd-line HC or more!E5:E85""), $A31=IMPORTRANGE(""https://docs.google.com/spreadsheets/d/1kGrh75X1cNR1D7_FcY9zMn"&amp;"HP8iPO4M5RCRjy6nZY0TY/edit#gid=1248694442"",""Table 4: 2nd-line HC or more!A5:A85"")),"""")"),"")</f>
        <v/>
      </c>
      <c r="Q31" s="14" t="str">
        <f>IFERROR(__xludf.DUMMYFUNCTION("IFNA(FILTER(IMPORTRANGE(""https://docs.google.com/spreadsheets/d/1kGrh75X1cNR1D7_FcY9zMnHP8iPO4M5RCRjy6nZY0TY/edit#gid=1248694442"",""Table 4: 2nd-line HC or more!F5:F85""), $A31=IMPORTRANGE(""https://docs.google.com/spreadsheets/d/1kGrh75X1cNR1D7_FcY9zMn"&amp;"HP8iPO4M5RCRjy6nZY0TY/edit#gid=1248694442"",""Table 4: 2nd-line HC or more!A5:A85"")),"""")"),"")</f>
        <v/>
      </c>
      <c r="R31" s="14" t="str">
        <f>IFERROR(__xludf.DUMMYFUNCTION("IFNA(FILTER(IMPORTRANGE(""https://docs.google.com/spreadsheets/d/1kGrh75X1cNR1D7_FcY9zMnHP8iPO4M5RCRjy6nZY0TY/edit#gid=1248694442"",""Table 4: 2nd-line HC or more!G5:G85""), $A31=IMPORTRANGE(""https://docs.google.com/spreadsheets/d/1kGrh75X1cNR1D7_FcY9zMn"&amp;"HP8iPO4M5RCRjy6nZY0TY/edit#gid=1248694442"",""Table 4: 2nd-line HC or more!A5:A85"")),"""")"),"")</f>
        <v/>
      </c>
      <c r="S31" s="14" t="str">
        <f>IFERROR(__xludf.DUMMYFUNCTION("IFNA(FILTER(IMPORTRANGE(""https://docs.google.com/spreadsheets/d/1kGrh75X1cNR1D7_FcY9zMnHP8iPO4M5RCRjy6nZY0TY/edit#gid=1248694442"",""Table 4: 2nd-line HC or more!H5:H85""), $A31=IMPORTRANGE(""https://docs.google.com/spreadsheets/d/1kGrh75X1cNR1D7_FcY9zMn"&amp;"HP8iPO4M5RCRjy6nZY0TY/edit#gid=1248694442"",""Table 4: 2nd-line HC or more!A5:A85"")),"""")"),"")</f>
        <v/>
      </c>
      <c r="T31" s="14">
        <f>IFERROR(__xludf.DUMMYFUNCTION("IFNA(FILTER(IMPORTRANGE(""https://docs.google.com/spreadsheets/d/1kGrh75X1cNR1D7_FcY9zMnHP8iPO4M5RCRjy6nZY0TY/edit#gid=1248694442"",""Table 3: 1st-line HC!F5:F111""), $A31=IMPORTRANGE(""https://docs.google.com/spreadsheets/d/1kGrh75X1cNR1D7_FcY9zMnHP8iPO4"&amp;"M5RCRjy6nZY0TY/edit#gid=1248694442"",""Table 3: 1st-line HC!A5:A111"")),"""")"),13.0)</f>
        <v>13</v>
      </c>
      <c r="U31" s="14" t="str">
        <f>IFERROR(__xludf.DUMMYFUNCTION("IFNA(FILTER(IMPORTRANGE(""https://docs.google.com/spreadsheets/d/1kGrh75X1cNR1D7_FcY9zMnHP8iPO4M5RCRjy6nZY0TY/edit#gid=1248694442"",""Table 3: 1st-line HC!G5:G111""), $A31=IMPORTRANGE(""https://docs.google.com/spreadsheets/d/1kGrh75X1cNR1D7_FcY9zMnHP8iPO4"&amp;"M5RCRjy6nZY0TY/edit#gid=1248694442"",""Table 3: 1st-line HC!A5:A111"")),"""")"),"")</f>
        <v/>
      </c>
      <c r="V31" s="14" t="str">
        <f>IFERROR(__xludf.DUMMYFUNCTION("IFNA(FILTER(IMPORTRANGE(""https://docs.google.com/spreadsheets/d/1kGrh75X1cNR1D7_FcY9zMnHP8iPO4M5RCRjy6nZY0TY/edit#gid=1248694442"",""Table 3: 1st-line HC!H5:H111""), $A31=IMPORTRANGE(""https://docs.google.com/spreadsheets/d/1kGrh75X1cNR1D7_FcY9zMnHP8iPO4"&amp;"M5RCRjy6nZY0TY/edit#gid=1248694442"",""Table 3: 1st-line HC!A5:A111"")),"""")"),"")</f>
        <v/>
      </c>
      <c r="W31" s="14" t="str">
        <f>IFERROR(__xludf.DUMMYFUNCTION("IFNA(FILTER(IMPORTRANGE(""https://docs.google.com/spreadsheets/d/1kGrh75X1cNR1D7_FcY9zMnHP8iPO4M5RCRjy6nZY0TY/edit#gid=1248694442"",""Table 3: 1st-line HC!I5:I111""), $A31=IMPORTRANGE(""https://docs.google.com/spreadsheets/d/1kGrh75X1cNR1D7_FcY9zMnHP8iPO4"&amp;"M5RCRjy6nZY0TY/edit#gid=1248694442"",""Table 3: 1st-line HC!A5:A111"")),"""")"),"")</f>
        <v/>
      </c>
    </row>
    <row r="32">
      <c r="A32" s="4" t="str">
        <f>IFERROR(__xludf.DUMMYFUNCTION("""COMPUTED_VALUE"""),"ID 53")</f>
        <v>ID 53</v>
      </c>
      <c r="B32" s="14" t="str">
        <f>IFERROR(__xludf.DUMMYFUNCTION("IFNA(FILTER(IMPORTRANGE(""https://docs.google.com/spreadsheets/d/1kGrh75X1cNR1D7_FcY9zMnHP8iPO4M5RCRjy6nZY0TY/edit#gid=1248694442"",""Table 3: 1st-line HC!AZ5:AZ111""), $A32=IMPORTRANGE(""https://docs.google.com/spreadsheets/d/1kGrh75X1cNR1D7_FcY9zMnHP8iP"&amp;"O4M5RCRjy6nZY0TY/edit#gid=1248694442"",""Table 3: 1st-line HC!A5:A111"")),"""")"),"")</f>
        <v/>
      </c>
      <c r="C32" s="14" t="str">
        <f>IFERROR(__xludf.DUMMYFUNCTION("IFNA(FILTER(IMPORTRANGE(""https://docs.google.com/spreadsheets/d/1kGrh75X1cNR1D7_FcY9zMnHP8iPO4M5RCRjy6nZY0TY/edit#gid=1248694442"",""Table 3: 1st-line HC!BA5:BA111""), $A32=IMPORTRANGE(""https://docs.google.com/spreadsheets/d/1kGrh75X1cNR1D7_FcY9zMnHP8iP"&amp;"O4M5RCRjy6nZY0TY/edit#gid=1248694442"",""Table 3: 1st-line HC!A5:A111"")),"""")"),"")</f>
        <v/>
      </c>
      <c r="D32" s="14" t="str">
        <f>IFERROR(__xludf.DUMMYFUNCTION("IFNA(FILTER(IMPORTRANGE(""https://docs.google.com/spreadsheets/d/1kGrh75X1cNR1D7_FcY9zMnHP8iPO4M5RCRjy6nZY0TY/edit#gid=1248694442"",""Table 3: 1st-line HC!BB5:BB111""), $A32=IMPORTRANGE(""https://docs.google.com/spreadsheets/d/1kGrh75X1cNR1D7_FcY9zMnHP8iP"&amp;"O4M5RCRjy6nZY0TY/edit#gid=1248694442"",""Table 3: 1st-line HC!A5:A111"")),"""")"),"")</f>
        <v/>
      </c>
      <c r="E32" s="19" t="str">
        <f>IFERROR(__xludf.DUMMYFUNCTION("IFNA(FILTER(IMPORTRANGE(""https://docs.google.com/spreadsheets/d/1kGrh75X1cNR1D7_FcY9zMnHP8iPO4M5RCRjy6nZY0TY/edit#gid=1248694442"",""Table 3: 1st-line HC!BC5:BC111""), $A32=IMPORTRANGE(""https://docs.google.com/spreadsheets/d/1kGrh75X1cNR1D7_FcY9zMnHP8iP"&amp;"O4M5RCRjy6nZY0TY/edit#gid=1248694442"",""Table 3: 1st-line HC!A5:A111"")),"""")"),"")</f>
        <v/>
      </c>
      <c r="F32" s="14" t="str">
        <f>IFERROR(__xludf.DUMMYFUNCTION("IFNA(FILTER(IMPORTRANGE(""https://docs.google.com/spreadsheets/d/1kGrh75X1cNR1D7_FcY9zMnHP8iPO4M5RCRjy6nZY0TY/edit#gid=1248694442"",""Table 3: 1st-line HC!Y5:Y111""), $A32=IMPORTRANGE(""https://docs.google.com/spreadsheets/d/1kGrh75X1cNR1D7_FcY9zMnHP8iPO4"&amp;"M5RCRjy6nZY0TY/edit#gid=1248694442"",""Table 3: 1st-line HC!A5:A111"")),"""")"),"")</f>
        <v/>
      </c>
      <c r="G32" s="14">
        <f>IFERROR(__xludf.DUMMYFUNCTION("IFNA(FILTER(IMPORTRANGE(""https://docs.google.com/spreadsheets/d/1kGrh75X1cNR1D7_FcY9zMnHP8iPO4M5RCRjy6nZY0TY/edit#gid=1248694442"",""Table 3: 1st-line HC!Z5:Z111""), $A32=IMPORTRANGE(""https://docs.google.com/spreadsheets/d/1kGrh75X1cNR1D7_FcY9zMnHP8iPO4"&amp;"M5RCRjy6nZY0TY/edit#gid=1248694442"",""Table 3: 1st-line HC!A5:A111"")),"""")"),3.0)</f>
        <v>3</v>
      </c>
      <c r="H32" s="14" t="str">
        <f>IFERROR(__xludf.DUMMYFUNCTION("IFNA(FILTER(IMPORTRANGE(""https://docs.google.com/spreadsheets/d/1kGrh75X1cNR1D7_FcY9zMnHP8iPO4M5RCRjy6nZY0TY/edit#gid=1248694442"",""Table 3: 1st-line HC!AA5:AA111""), $A32=IMPORTRANGE(""https://docs.google.com/spreadsheets/d/1kGrh75X1cNR1D7_FcY9zMnHP8iP"&amp;"O4M5RCRjy6nZY0TY/edit#gid=1248694442"",""Table 3: 1st-line HC!A5:A111"")),"""")"),"")</f>
        <v/>
      </c>
      <c r="I32" s="14" t="str">
        <f>IFERROR(__xludf.DUMMYFUNCTION("IFNA(FILTER(IMPORTRANGE(""https://docs.google.com/spreadsheets/d/1kGrh75X1cNR1D7_FcY9zMnHP8iPO4M5RCRjy6nZY0TY/edit#gid=1248694442"",""Table 3: 1st-line HC!AB5:AB111""), $A32=IMPORTRANGE(""https://docs.google.com/spreadsheets/d/1kGrh75X1cNR1D7_FcY9zMnHP8iP"&amp;"O4M5RCRjy6nZY0TY/edit#gid=1248694442"",""Table 3: 1st-line HC!A5:A111"")),"""")"),"")</f>
        <v/>
      </c>
      <c r="J32" s="14" t="str">
        <f>IFERROR(__xludf.DUMMYFUNCTION("IFNA(FILTER(IMPORTRANGE(""https://docs.google.com/spreadsheets/d/1kGrh75X1cNR1D7_FcY9zMnHP8iPO4M5RCRjy6nZY0TY/edit#gid=1248694442"",""Table 3: 1st-line HC!AC5:AC111""), $A32=IMPORTRANGE(""https://docs.google.com/spreadsheets/d/1kGrh75X1cNR1D7_FcY9zMnHP8iP"&amp;"O4M5RCRjy6nZY0TY/edit#gid=1248694442"",""Table 3: 1st-line HC!A5:A111"")),"""")"),"")</f>
        <v/>
      </c>
      <c r="K32" s="20" t="str">
        <f>IFERROR(__xludf.DUMMYFUNCTION("IFNA(FILTER(IMPORTRANGE(""https://docs.google.com/spreadsheets/d/1kGrh75X1cNR1D7_FcY9zMnHP8iPO4M5RCRjy6nZY0TY/edit#gid=1248694442"",""Table 3: 1st-line HC!AD5:AD111""), $A32=IMPORTRANGE(""https://docs.google.com/spreadsheets/d/1kGrh75X1cNR1D7_FcY9zMnHP8iP"&amp;"O4M5RCRjy6nZY0TY/edit#gid=1248694442"",""Table 3: 1st-line HC!A5:A111"")),"""")"),"")</f>
        <v/>
      </c>
      <c r="L32" s="14" t="str">
        <f>IFERROR(__xludf.DUMMYFUNCTION("IFNA(FILTER(IMPORTRANGE(""https://docs.google.com/spreadsheets/d/1kGrh75X1cNR1D7_FcY9zMnHP8iPO4M5RCRjy6nZY0TY/edit#gid=1248694442"",""Table 3: 1st-line HC!W5:W111""), $A32=IMPORTRANGE(""https://docs.google.com/spreadsheets/d/1kGrh75X1cNR1D7_FcY9zMnHP8iPO4"&amp;"M5RCRjy6nZY0TY/edit#gid=1248694442"",""Table 3: 1st-line HC!A5:A111"")),"""")"),"")</f>
        <v/>
      </c>
      <c r="M32" s="14" t="str">
        <f>IFERROR(__xludf.DUMMYFUNCTION("IFNA(FILTER(IMPORTRANGE(""https://docs.google.com/spreadsheets/d/1kGrh75X1cNR1D7_FcY9zMnHP8iPO4M5RCRjy6nZY0TY/edit#gid=1248694442"",""Table 3: 1st-line HC!X5:X111""), $A32=IMPORTRANGE(""https://docs.google.com/spreadsheets/d/1kGrh75X1cNR1D7_FcY9zMnHP8iPO4"&amp;"M5RCRjy6nZY0TY/edit#gid=1248694442"",""Table 3: 1st-line HC!A5:A111"")),"""")"),"")</f>
        <v/>
      </c>
      <c r="N32" s="14" t="str">
        <f>IFERROR(__xludf.DUMMYFUNCTION("IFNA(FILTER(IMPORTRANGE(""https://docs.google.com/spreadsheets/d/1kGrh75X1cNR1D7_FcY9zMnHP8iPO4M5RCRjy6nZY0TY/edit#gid=1248694442"",""Table 4: 2nd-line HC or more!C5:C85""), $A32=IMPORTRANGE(""https://docs.google.com/spreadsheets/d/1kGrh75X1cNR1D7_FcY9zMn"&amp;"HP8iPO4M5RCRjy6nZY0TY/edit#gid=1248694442"",""Table 4: 2nd-line HC or more!A5:A85"")),"""")"),"")</f>
        <v/>
      </c>
      <c r="O32" s="14" t="str">
        <f>IFERROR(__xludf.DUMMYFUNCTION("IFNA(FILTER(IMPORTRANGE(""https://docs.google.com/spreadsheets/d/1kGrh75X1cNR1D7_FcY9zMnHP8iPO4M5RCRjy6nZY0TY/edit#gid=1248694442"",""Table 4: 2nd-line HC or more!D5:D85""), $A32=IMPORTRANGE(""https://docs.google.com/spreadsheets/d/1kGrh75X1cNR1D7_FcY9zMn"&amp;"HP8iPO4M5RCRjy6nZY0TY/edit#gid=1248694442"",""Table 4: 2nd-line HC or more!A5:A85"")),"""")"),"")</f>
        <v/>
      </c>
      <c r="P32" s="14" t="str">
        <f>IFERROR(__xludf.DUMMYFUNCTION("IFNA(FILTER(IMPORTRANGE(""https://docs.google.com/spreadsheets/d/1kGrh75X1cNR1D7_FcY9zMnHP8iPO4M5RCRjy6nZY0TY/edit#gid=1248694442"",""Table 4: 2nd-line HC or more!E5:E85""), $A32=IMPORTRANGE(""https://docs.google.com/spreadsheets/d/1kGrh75X1cNR1D7_FcY9zMn"&amp;"HP8iPO4M5RCRjy6nZY0TY/edit#gid=1248694442"",""Table 4: 2nd-line HC or more!A5:A85"")),"""")"),"")</f>
        <v/>
      </c>
      <c r="Q32" s="14" t="str">
        <f>IFERROR(__xludf.DUMMYFUNCTION("IFNA(FILTER(IMPORTRANGE(""https://docs.google.com/spreadsheets/d/1kGrh75X1cNR1D7_FcY9zMnHP8iPO4M5RCRjy6nZY0TY/edit#gid=1248694442"",""Table 4: 2nd-line HC or more!F5:F85""), $A32=IMPORTRANGE(""https://docs.google.com/spreadsheets/d/1kGrh75X1cNR1D7_FcY9zMn"&amp;"HP8iPO4M5RCRjy6nZY0TY/edit#gid=1248694442"",""Table 4: 2nd-line HC or more!A5:A85"")),"""")"),"")</f>
        <v/>
      </c>
      <c r="R32" s="14" t="str">
        <f>IFERROR(__xludf.DUMMYFUNCTION("IFNA(FILTER(IMPORTRANGE(""https://docs.google.com/spreadsheets/d/1kGrh75X1cNR1D7_FcY9zMnHP8iPO4M5RCRjy6nZY0TY/edit#gid=1248694442"",""Table 4: 2nd-line HC or more!G5:G85""), $A32=IMPORTRANGE(""https://docs.google.com/spreadsheets/d/1kGrh75X1cNR1D7_FcY9zMn"&amp;"HP8iPO4M5RCRjy6nZY0TY/edit#gid=1248694442"",""Table 4: 2nd-line HC or more!A5:A85"")),"""")"),"")</f>
        <v/>
      </c>
      <c r="S32" s="14" t="str">
        <f>IFERROR(__xludf.DUMMYFUNCTION("IFNA(FILTER(IMPORTRANGE(""https://docs.google.com/spreadsheets/d/1kGrh75X1cNR1D7_FcY9zMnHP8iPO4M5RCRjy6nZY0TY/edit#gid=1248694442"",""Table 4: 2nd-line HC or more!H5:H85""), $A32=IMPORTRANGE(""https://docs.google.com/spreadsheets/d/1kGrh75X1cNR1D7_FcY9zMn"&amp;"HP8iPO4M5RCRjy6nZY0TY/edit#gid=1248694442"",""Table 4: 2nd-line HC or more!A5:A85"")),"""")"),"")</f>
        <v/>
      </c>
      <c r="T32" s="14" t="str">
        <f>IFERROR(__xludf.DUMMYFUNCTION("IFNA(FILTER(IMPORTRANGE(""https://docs.google.com/spreadsheets/d/1kGrh75X1cNR1D7_FcY9zMnHP8iPO4M5RCRjy6nZY0TY/edit#gid=1248694442"",""Table 3: 1st-line HC!F5:F111""), $A32=IMPORTRANGE(""https://docs.google.com/spreadsheets/d/1kGrh75X1cNR1D7_FcY9zMnHP8iPO4"&amp;"M5RCRjy6nZY0TY/edit#gid=1248694442"",""Table 3: 1st-line HC!A5:A111"")),"""")"),"")</f>
        <v/>
      </c>
      <c r="U32" s="14" t="str">
        <f>IFERROR(__xludf.DUMMYFUNCTION("IFNA(FILTER(IMPORTRANGE(""https://docs.google.com/spreadsheets/d/1kGrh75X1cNR1D7_FcY9zMnHP8iPO4M5RCRjy6nZY0TY/edit#gid=1248694442"",""Table 3: 1st-line HC!G5:G111""), $A32=IMPORTRANGE(""https://docs.google.com/spreadsheets/d/1kGrh75X1cNR1D7_FcY9zMnHP8iPO4"&amp;"M5RCRjy6nZY0TY/edit#gid=1248694442"",""Table 3: 1st-line HC!A5:A111"")),"""")"),"")</f>
        <v/>
      </c>
      <c r="V32" s="14">
        <f>IFERROR(__xludf.DUMMYFUNCTION("IFNA(FILTER(IMPORTRANGE(""https://docs.google.com/spreadsheets/d/1kGrh75X1cNR1D7_FcY9zMnHP8iPO4M5RCRjy6nZY0TY/edit#gid=1248694442"",""Table 3: 1st-line HC!H5:H111""), $A32=IMPORTRANGE(""https://docs.google.com/spreadsheets/d/1kGrh75X1cNR1D7_FcY9zMnHP8iPO4"&amp;"M5RCRjy6nZY0TY/edit#gid=1248694442"",""Table 3: 1st-line HC!A5:A111"")),"""")"),3.0)</f>
        <v>3</v>
      </c>
      <c r="W32" s="14" t="str">
        <f>IFERROR(__xludf.DUMMYFUNCTION("IFNA(FILTER(IMPORTRANGE(""https://docs.google.com/spreadsheets/d/1kGrh75X1cNR1D7_FcY9zMnHP8iPO4M5RCRjy6nZY0TY/edit#gid=1248694442"",""Table 3: 1st-line HC!I5:I111""), $A32=IMPORTRANGE(""https://docs.google.com/spreadsheets/d/1kGrh75X1cNR1D7_FcY9zMnHP8iPO4"&amp;"M5RCRjy6nZY0TY/edit#gid=1248694442"",""Table 3: 1st-line HC!A5:A111"")),"""")"),"")</f>
        <v/>
      </c>
    </row>
    <row r="33">
      <c r="A33" s="4" t="str">
        <f>IFERROR(__xludf.DUMMYFUNCTION("""COMPUTED_VALUE"""),"ID 58")</f>
        <v>ID 58</v>
      </c>
      <c r="B33" s="14" t="str">
        <f>IFERROR(__xludf.DUMMYFUNCTION("IFNA(FILTER(IMPORTRANGE(""https://docs.google.com/spreadsheets/d/1kGrh75X1cNR1D7_FcY9zMnHP8iPO4M5RCRjy6nZY0TY/edit#gid=1248694442"",""Table 3: 1st-line HC!AZ5:AZ111""), $A33=IMPORTRANGE(""https://docs.google.com/spreadsheets/d/1kGrh75X1cNR1D7_FcY9zMnHP8iP"&amp;"O4M5RCRjy6nZY0TY/edit#gid=1248694442"",""Table 3: 1st-line HC!A5:A111"")),"""")"),"")</f>
        <v/>
      </c>
      <c r="C33" s="14" t="str">
        <f>IFERROR(__xludf.DUMMYFUNCTION("IFNA(FILTER(IMPORTRANGE(""https://docs.google.com/spreadsheets/d/1kGrh75X1cNR1D7_FcY9zMnHP8iPO4M5RCRjy6nZY0TY/edit#gid=1248694442"",""Table 3: 1st-line HC!BA5:BA111""), $A33=IMPORTRANGE(""https://docs.google.com/spreadsheets/d/1kGrh75X1cNR1D7_FcY9zMnHP8iP"&amp;"O4M5RCRjy6nZY0TY/edit#gid=1248694442"",""Table 3: 1st-line HC!A5:A111"")),"""")"),"")</f>
        <v/>
      </c>
      <c r="D33" s="14" t="str">
        <f>IFERROR(__xludf.DUMMYFUNCTION("IFNA(FILTER(IMPORTRANGE(""https://docs.google.com/spreadsheets/d/1kGrh75X1cNR1D7_FcY9zMnHP8iPO4M5RCRjy6nZY0TY/edit#gid=1248694442"",""Table 3: 1st-line HC!BB5:BB111""), $A33=IMPORTRANGE(""https://docs.google.com/spreadsheets/d/1kGrh75X1cNR1D7_FcY9zMnHP8iP"&amp;"O4M5RCRjy6nZY0TY/edit#gid=1248694442"",""Table 3: 1st-line HC!A5:A111"")),"""")"),"")</f>
        <v/>
      </c>
      <c r="E33" s="19" t="str">
        <f>IFERROR(__xludf.DUMMYFUNCTION("IFNA(FILTER(IMPORTRANGE(""https://docs.google.com/spreadsheets/d/1kGrh75X1cNR1D7_FcY9zMnHP8iPO4M5RCRjy6nZY0TY/edit#gid=1248694442"",""Table 3: 1st-line HC!BC5:BC111""), $A33=IMPORTRANGE(""https://docs.google.com/spreadsheets/d/1kGrh75X1cNR1D7_FcY9zMnHP8iP"&amp;"O4M5RCRjy6nZY0TY/edit#gid=1248694442"",""Table 3: 1st-line HC!A5:A111"")),"""")"),"")</f>
        <v/>
      </c>
      <c r="F33" s="14" t="str">
        <f>IFERROR(__xludf.DUMMYFUNCTION("IFNA(FILTER(IMPORTRANGE(""https://docs.google.com/spreadsheets/d/1kGrh75X1cNR1D7_FcY9zMnHP8iPO4M5RCRjy6nZY0TY/edit#gid=1248694442"",""Table 3: 1st-line HC!Y5:Y111""), $A33=IMPORTRANGE(""https://docs.google.com/spreadsheets/d/1kGrh75X1cNR1D7_FcY9zMnHP8iPO4"&amp;"M5RCRjy6nZY0TY/edit#gid=1248694442"",""Table 3: 1st-line HC!A5:A111"")),"""")"),"")</f>
        <v/>
      </c>
      <c r="G33" s="14" t="str">
        <f>IFERROR(__xludf.DUMMYFUNCTION("IFNA(FILTER(IMPORTRANGE(""https://docs.google.com/spreadsheets/d/1kGrh75X1cNR1D7_FcY9zMnHP8iPO4M5RCRjy6nZY0TY/edit#gid=1248694442"",""Table 3: 1st-line HC!Z5:Z111""), $A33=IMPORTRANGE(""https://docs.google.com/spreadsheets/d/1kGrh75X1cNR1D7_FcY9zMnHP8iPO4"&amp;"M5RCRjy6nZY0TY/edit#gid=1248694442"",""Table 3: 1st-line HC!A5:A111"")),"""")"),"")</f>
        <v/>
      </c>
      <c r="H33" s="14">
        <f>IFERROR(__xludf.DUMMYFUNCTION("IFNA(FILTER(IMPORTRANGE(""https://docs.google.com/spreadsheets/d/1kGrh75X1cNR1D7_FcY9zMnHP8iPO4M5RCRjy6nZY0TY/edit#gid=1248694442"",""Table 3: 1st-line HC!AA5:AA111""), $A33=IMPORTRANGE(""https://docs.google.com/spreadsheets/d/1kGrh75X1cNR1D7_FcY9zMnHP8iP"&amp;"O4M5RCRjy6nZY0TY/edit#gid=1248694442"",""Table 3: 1st-line HC!A5:A111"")),"""")"),8.0)</f>
        <v>8</v>
      </c>
      <c r="I33" s="14" t="str">
        <f>IFERROR(__xludf.DUMMYFUNCTION("IFNA(FILTER(IMPORTRANGE(""https://docs.google.com/spreadsheets/d/1kGrh75X1cNR1D7_FcY9zMnHP8iPO4M5RCRjy6nZY0TY/edit#gid=1248694442"",""Table 3: 1st-line HC!AB5:AB111""), $A33=IMPORTRANGE(""https://docs.google.com/spreadsheets/d/1kGrh75X1cNR1D7_FcY9zMnHP8iP"&amp;"O4M5RCRjy6nZY0TY/edit#gid=1248694442"",""Table 3: 1st-line HC!A5:A111"")),"""")"),"")</f>
        <v/>
      </c>
      <c r="J33" s="14" t="str">
        <f>IFERROR(__xludf.DUMMYFUNCTION("IFNA(FILTER(IMPORTRANGE(""https://docs.google.com/spreadsheets/d/1kGrh75X1cNR1D7_FcY9zMnHP8iPO4M5RCRjy6nZY0TY/edit#gid=1248694442"",""Table 3: 1st-line HC!AC5:AC111""), $A33=IMPORTRANGE(""https://docs.google.com/spreadsheets/d/1kGrh75X1cNR1D7_FcY9zMnHP8iP"&amp;"O4M5RCRjy6nZY0TY/edit#gid=1248694442"",""Table 3: 1st-line HC!A5:A111"")),"""")"),"")</f>
        <v/>
      </c>
      <c r="K33" s="20" t="str">
        <f>IFERROR(__xludf.DUMMYFUNCTION("IFNA(FILTER(IMPORTRANGE(""https://docs.google.com/spreadsheets/d/1kGrh75X1cNR1D7_FcY9zMnHP8iPO4M5RCRjy6nZY0TY/edit#gid=1248694442"",""Table 3: 1st-line HC!AD5:AD111""), $A33=IMPORTRANGE(""https://docs.google.com/spreadsheets/d/1kGrh75X1cNR1D7_FcY9zMnHP8iP"&amp;"O4M5RCRjy6nZY0TY/edit#gid=1248694442"",""Table 3: 1st-line HC!A5:A111"")),"""")"),"")</f>
        <v/>
      </c>
      <c r="L33" s="14" t="str">
        <f>IFERROR(__xludf.DUMMYFUNCTION("IFNA(FILTER(IMPORTRANGE(""https://docs.google.com/spreadsheets/d/1kGrh75X1cNR1D7_FcY9zMnHP8iPO4M5RCRjy6nZY0TY/edit#gid=1248694442"",""Table 3: 1st-line HC!W5:W111""), $A33=IMPORTRANGE(""https://docs.google.com/spreadsheets/d/1kGrh75X1cNR1D7_FcY9zMnHP8iPO4"&amp;"M5RCRjy6nZY0TY/edit#gid=1248694442"",""Table 3: 1st-line HC!A5:A111"")),"""")"),"")</f>
        <v/>
      </c>
      <c r="M33" s="14" t="str">
        <f>IFERROR(__xludf.DUMMYFUNCTION("IFNA(FILTER(IMPORTRANGE(""https://docs.google.com/spreadsheets/d/1kGrh75X1cNR1D7_FcY9zMnHP8iPO4M5RCRjy6nZY0TY/edit#gid=1248694442"",""Table 3: 1st-line HC!X5:X111""), $A33=IMPORTRANGE(""https://docs.google.com/spreadsheets/d/1kGrh75X1cNR1D7_FcY9zMnHP8iPO4"&amp;"M5RCRjy6nZY0TY/edit#gid=1248694442"",""Table 3: 1st-line HC!A5:A111"")),"""")"),"")</f>
        <v/>
      </c>
      <c r="N33" s="14" t="str">
        <f>IFERROR(__xludf.DUMMYFUNCTION("IFNA(FILTER(IMPORTRANGE(""https://docs.google.com/spreadsheets/d/1kGrh75X1cNR1D7_FcY9zMnHP8iPO4M5RCRjy6nZY0TY/edit#gid=1248694442"",""Table 4: 2nd-line HC or more!C5:C85""), $A33=IMPORTRANGE(""https://docs.google.com/spreadsheets/d/1kGrh75X1cNR1D7_FcY9zMn"&amp;"HP8iPO4M5RCRjy6nZY0TY/edit#gid=1248694442"",""Table 4: 2nd-line HC or more!A5:A85"")),"""")"),"")</f>
        <v/>
      </c>
      <c r="O33" s="14">
        <f>IFERROR(__xludf.DUMMYFUNCTION("IFNA(FILTER(IMPORTRANGE(""https://docs.google.com/spreadsheets/d/1kGrh75X1cNR1D7_FcY9zMnHP8iPO4M5RCRjy6nZY0TY/edit#gid=1248694442"",""Table 4: 2nd-line HC or more!D5:D85""), $A33=IMPORTRANGE(""https://docs.google.com/spreadsheets/d/1kGrh75X1cNR1D7_FcY9zMn"&amp;"HP8iPO4M5RCRjy6nZY0TY/edit#gid=1248694442"",""Table 4: 2nd-line HC or more!A5:A85"")),"""")"),4.0)</f>
        <v>4</v>
      </c>
      <c r="P33" s="14" t="str">
        <f>IFERROR(__xludf.DUMMYFUNCTION("IFNA(FILTER(IMPORTRANGE(""https://docs.google.com/spreadsheets/d/1kGrh75X1cNR1D7_FcY9zMnHP8iPO4M5RCRjy6nZY0TY/edit#gid=1248694442"",""Table 4: 2nd-line HC or more!E5:E85""), $A33=IMPORTRANGE(""https://docs.google.com/spreadsheets/d/1kGrh75X1cNR1D7_FcY9zMn"&amp;"HP8iPO4M5RCRjy6nZY0TY/edit#gid=1248694442"",""Table 4: 2nd-line HC or more!A5:A85"")),"""")"),"")</f>
        <v/>
      </c>
      <c r="Q33" s="14" t="str">
        <f>IFERROR(__xludf.DUMMYFUNCTION("IFNA(FILTER(IMPORTRANGE(""https://docs.google.com/spreadsheets/d/1kGrh75X1cNR1D7_FcY9zMnHP8iPO4M5RCRjy6nZY0TY/edit#gid=1248694442"",""Table 4: 2nd-line HC or more!F5:F85""), $A33=IMPORTRANGE(""https://docs.google.com/spreadsheets/d/1kGrh75X1cNR1D7_FcY9zMn"&amp;"HP8iPO4M5RCRjy6nZY0TY/edit#gid=1248694442"",""Table 4: 2nd-line HC or more!A5:A85"")),"""")"),"")</f>
        <v/>
      </c>
      <c r="R33" s="14" t="str">
        <f>IFERROR(__xludf.DUMMYFUNCTION("IFNA(FILTER(IMPORTRANGE(""https://docs.google.com/spreadsheets/d/1kGrh75X1cNR1D7_FcY9zMnHP8iPO4M5RCRjy6nZY0TY/edit#gid=1248694442"",""Table 4: 2nd-line HC or more!G5:G85""), $A33=IMPORTRANGE(""https://docs.google.com/spreadsheets/d/1kGrh75X1cNR1D7_FcY9zMn"&amp;"HP8iPO4M5RCRjy6nZY0TY/edit#gid=1248694442"",""Table 4: 2nd-line HC or more!A5:A85"")),"""")"),"")</f>
        <v/>
      </c>
      <c r="S33" s="14" t="str">
        <f>IFERROR(__xludf.DUMMYFUNCTION("IFNA(FILTER(IMPORTRANGE(""https://docs.google.com/spreadsheets/d/1kGrh75X1cNR1D7_FcY9zMnHP8iPO4M5RCRjy6nZY0TY/edit#gid=1248694442"",""Table 4: 2nd-line HC or more!H5:H85""), $A33=IMPORTRANGE(""https://docs.google.com/spreadsheets/d/1kGrh75X1cNR1D7_FcY9zMn"&amp;"HP8iPO4M5RCRjy6nZY0TY/edit#gid=1248694442"",""Table 4: 2nd-line HC or more!A5:A85"")),"""")"),"")</f>
        <v/>
      </c>
      <c r="T33" s="14" t="str">
        <f>IFERROR(__xludf.DUMMYFUNCTION("IFNA(FILTER(IMPORTRANGE(""https://docs.google.com/spreadsheets/d/1kGrh75X1cNR1D7_FcY9zMnHP8iPO4M5RCRjy6nZY0TY/edit#gid=1248694442"",""Table 3: 1st-line HC!F5:F111""), $A33=IMPORTRANGE(""https://docs.google.com/spreadsheets/d/1kGrh75X1cNR1D7_FcY9zMnHP8iPO4"&amp;"M5RCRjy6nZY0TY/edit#gid=1248694442"",""Table 3: 1st-line HC!A5:A111"")),"""")"),"")</f>
        <v/>
      </c>
      <c r="U33" s="14">
        <f>IFERROR(__xludf.DUMMYFUNCTION("IFNA(FILTER(IMPORTRANGE(""https://docs.google.com/spreadsheets/d/1kGrh75X1cNR1D7_FcY9zMnHP8iPO4M5RCRjy6nZY0TY/edit#gid=1248694442"",""Table 3: 1st-line HC!G5:G111""), $A33=IMPORTRANGE(""https://docs.google.com/spreadsheets/d/1kGrh75X1cNR1D7_FcY9zMnHP8iPO4"&amp;"M5RCRjy6nZY0TY/edit#gid=1248694442"",""Table 3: 1st-line HC!A5:A111"")),"""")"),8.0)</f>
        <v>8</v>
      </c>
      <c r="V33" s="14" t="str">
        <f>IFERROR(__xludf.DUMMYFUNCTION("IFNA(FILTER(IMPORTRANGE(""https://docs.google.com/spreadsheets/d/1kGrh75X1cNR1D7_FcY9zMnHP8iPO4M5RCRjy6nZY0TY/edit#gid=1248694442"",""Table 3: 1st-line HC!H5:H111""), $A33=IMPORTRANGE(""https://docs.google.com/spreadsheets/d/1kGrh75X1cNR1D7_FcY9zMnHP8iPO4"&amp;"M5RCRjy6nZY0TY/edit#gid=1248694442"",""Table 3: 1st-line HC!A5:A111"")),"""")"),"")</f>
        <v/>
      </c>
      <c r="W33" s="14" t="str">
        <f>IFERROR(__xludf.DUMMYFUNCTION("IFNA(FILTER(IMPORTRANGE(""https://docs.google.com/spreadsheets/d/1kGrh75X1cNR1D7_FcY9zMnHP8iPO4M5RCRjy6nZY0TY/edit#gid=1248694442"",""Table 3: 1st-line HC!I5:I111""), $A33=IMPORTRANGE(""https://docs.google.com/spreadsheets/d/1kGrh75X1cNR1D7_FcY9zMnHP8iPO4"&amp;"M5RCRjy6nZY0TY/edit#gid=1248694442"",""Table 3: 1st-line HC!A5:A111"")),"""")"),"")</f>
        <v/>
      </c>
    </row>
    <row r="34">
      <c r="A34" s="4" t="str">
        <f>IFERROR(__xludf.DUMMYFUNCTION("""COMPUTED_VALUE"""),"ID 60")</f>
        <v>ID 60</v>
      </c>
      <c r="B34" s="14" t="str">
        <f>IFERROR(__xludf.DUMMYFUNCTION("IFNA(FILTER(IMPORTRANGE(""https://docs.google.com/spreadsheets/d/1kGrh75X1cNR1D7_FcY9zMnHP8iPO4M5RCRjy6nZY0TY/edit#gid=1248694442"",""Table 3: 1st-line HC!AZ5:AZ111""), $A34=IMPORTRANGE(""https://docs.google.com/spreadsheets/d/1kGrh75X1cNR1D7_FcY9zMnHP8iP"&amp;"O4M5RCRjy6nZY0TY/edit#gid=1248694442"",""Table 3: 1st-line HC!A5:A111"")),"""")"),"")</f>
        <v/>
      </c>
      <c r="C34" s="14" t="str">
        <f>IFERROR(__xludf.DUMMYFUNCTION("IFNA(FILTER(IMPORTRANGE(""https://docs.google.com/spreadsheets/d/1kGrh75X1cNR1D7_FcY9zMnHP8iPO4M5RCRjy6nZY0TY/edit#gid=1248694442"",""Table 3: 1st-line HC!BA5:BA111""), $A34=IMPORTRANGE(""https://docs.google.com/spreadsheets/d/1kGrh75X1cNR1D7_FcY9zMnHP8iP"&amp;"O4M5RCRjy6nZY0TY/edit#gid=1248694442"",""Table 3: 1st-line HC!A5:A111"")),"""")"),"")</f>
        <v/>
      </c>
      <c r="D34" s="14" t="str">
        <f>IFERROR(__xludf.DUMMYFUNCTION("IFNA(FILTER(IMPORTRANGE(""https://docs.google.com/spreadsheets/d/1kGrh75X1cNR1D7_FcY9zMnHP8iPO4M5RCRjy6nZY0TY/edit#gid=1248694442"",""Table 3: 1st-line HC!BB5:BB111""), $A34=IMPORTRANGE(""https://docs.google.com/spreadsheets/d/1kGrh75X1cNR1D7_FcY9zMnHP8iP"&amp;"O4M5RCRjy6nZY0TY/edit#gid=1248694442"",""Table 3: 1st-line HC!A5:A111"")),"""")"),"")</f>
        <v/>
      </c>
      <c r="E34" s="19" t="str">
        <f>IFERROR(__xludf.DUMMYFUNCTION("IFNA(FILTER(IMPORTRANGE(""https://docs.google.com/spreadsheets/d/1kGrh75X1cNR1D7_FcY9zMnHP8iPO4M5RCRjy6nZY0TY/edit#gid=1248694442"",""Table 3: 1st-line HC!BC5:BC111""), $A34=IMPORTRANGE(""https://docs.google.com/spreadsheets/d/1kGrh75X1cNR1D7_FcY9zMnHP8iP"&amp;"O4M5RCRjy6nZY0TY/edit#gid=1248694442"",""Table 3: 1st-line HC!A5:A111"")),"""")"),"")</f>
        <v/>
      </c>
      <c r="F34" s="14" t="str">
        <f>IFERROR(__xludf.DUMMYFUNCTION("IFNA(FILTER(IMPORTRANGE(""https://docs.google.com/spreadsheets/d/1kGrh75X1cNR1D7_FcY9zMnHP8iPO4M5RCRjy6nZY0TY/edit#gid=1248694442"",""Table 3: 1st-line HC!Y5:Y111""), $A34=IMPORTRANGE(""https://docs.google.com/spreadsheets/d/1kGrh75X1cNR1D7_FcY9zMnHP8iPO4"&amp;"M5RCRjy6nZY0TY/edit#gid=1248694442"",""Table 3: 1st-line HC!A5:A111"")),"""")"),"")</f>
        <v/>
      </c>
      <c r="G34" s="14" t="str">
        <f>IFERROR(__xludf.DUMMYFUNCTION("IFNA(FILTER(IMPORTRANGE(""https://docs.google.com/spreadsheets/d/1kGrh75X1cNR1D7_FcY9zMnHP8iPO4M5RCRjy6nZY0TY/edit#gid=1248694442"",""Table 3: 1st-line HC!Z5:Z111""), $A34=IMPORTRANGE(""https://docs.google.com/spreadsheets/d/1kGrh75X1cNR1D7_FcY9zMnHP8iPO4"&amp;"M5RCRjy6nZY0TY/edit#gid=1248694442"",""Table 3: 1st-line HC!A5:A111"")),"""")"),"")</f>
        <v/>
      </c>
      <c r="H34" s="14">
        <f>IFERROR(__xludf.DUMMYFUNCTION("IFNA(FILTER(IMPORTRANGE(""https://docs.google.com/spreadsheets/d/1kGrh75X1cNR1D7_FcY9zMnHP8iPO4M5RCRjy6nZY0TY/edit#gid=1248694442"",""Table 3: 1st-line HC!AA5:AA111""), $A34=IMPORTRANGE(""https://docs.google.com/spreadsheets/d/1kGrh75X1cNR1D7_FcY9zMnHP8iP"&amp;"O4M5RCRjy6nZY0TY/edit#gid=1248694442"",""Table 3: 1st-line HC!A5:A111"")),"""")"),7.0)</f>
        <v>7</v>
      </c>
      <c r="I34" s="14" t="str">
        <f>IFERROR(__xludf.DUMMYFUNCTION("IFNA(FILTER(IMPORTRANGE(""https://docs.google.com/spreadsheets/d/1kGrh75X1cNR1D7_FcY9zMnHP8iPO4M5RCRjy6nZY0TY/edit#gid=1248694442"",""Table 3: 1st-line HC!AB5:AB111""), $A34=IMPORTRANGE(""https://docs.google.com/spreadsheets/d/1kGrh75X1cNR1D7_FcY9zMnHP8iP"&amp;"O4M5RCRjy6nZY0TY/edit#gid=1248694442"",""Table 3: 1st-line HC!A5:A111"")),"""")"),"")</f>
        <v/>
      </c>
      <c r="J34" s="14" t="str">
        <f>IFERROR(__xludf.DUMMYFUNCTION("IFNA(FILTER(IMPORTRANGE(""https://docs.google.com/spreadsheets/d/1kGrh75X1cNR1D7_FcY9zMnHP8iPO4M5RCRjy6nZY0TY/edit#gid=1248694442"",""Table 3: 1st-line HC!AC5:AC111""), $A34=IMPORTRANGE(""https://docs.google.com/spreadsheets/d/1kGrh75X1cNR1D7_FcY9zMnHP8iP"&amp;"O4M5RCRjy6nZY0TY/edit#gid=1248694442"",""Table 3: 1st-line HC!A5:A111"")),"""")"),"")</f>
        <v/>
      </c>
      <c r="K34" s="20" t="str">
        <f>IFERROR(__xludf.DUMMYFUNCTION("IFNA(FILTER(IMPORTRANGE(""https://docs.google.com/spreadsheets/d/1kGrh75X1cNR1D7_FcY9zMnHP8iPO4M5RCRjy6nZY0TY/edit#gid=1248694442"",""Table 3: 1st-line HC!AD5:AD111""), $A34=IMPORTRANGE(""https://docs.google.com/spreadsheets/d/1kGrh75X1cNR1D7_FcY9zMnHP8iP"&amp;"O4M5RCRjy6nZY0TY/edit#gid=1248694442"",""Table 3: 1st-line HC!A5:A111"")),"""")"),"")</f>
        <v/>
      </c>
      <c r="L34" s="14" t="str">
        <f>IFERROR(__xludf.DUMMYFUNCTION("IFNA(FILTER(IMPORTRANGE(""https://docs.google.com/spreadsheets/d/1kGrh75X1cNR1D7_FcY9zMnHP8iPO4M5RCRjy6nZY0TY/edit#gid=1248694442"",""Table 3: 1st-line HC!W5:W111""), $A34=IMPORTRANGE(""https://docs.google.com/spreadsheets/d/1kGrh75X1cNR1D7_FcY9zMnHP8iPO4"&amp;"M5RCRjy6nZY0TY/edit#gid=1248694442"",""Table 3: 1st-line HC!A5:A111"")),"""")"),"")</f>
        <v/>
      </c>
      <c r="M34" s="14" t="str">
        <f>IFERROR(__xludf.DUMMYFUNCTION("IFNA(FILTER(IMPORTRANGE(""https://docs.google.com/spreadsheets/d/1kGrh75X1cNR1D7_FcY9zMnHP8iPO4M5RCRjy6nZY0TY/edit#gid=1248694442"",""Table 3: 1st-line HC!X5:X111""), $A34=IMPORTRANGE(""https://docs.google.com/spreadsheets/d/1kGrh75X1cNR1D7_FcY9zMnHP8iPO4"&amp;"M5RCRjy6nZY0TY/edit#gid=1248694442"",""Table 3: 1st-line HC!A5:A111"")),"""")"),"")</f>
        <v/>
      </c>
      <c r="N34" s="14" t="str">
        <f>IFERROR(__xludf.DUMMYFUNCTION("IFNA(FILTER(IMPORTRANGE(""https://docs.google.com/spreadsheets/d/1kGrh75X1cNR1D7_FcY9zMnHP8iPO4M5RCRjy6nZY0TY/edit#gid=1248694442"",""Table 4: 2nd-line HC or more!C5:C85""), $A34=IMPORTRANGE(""https://docs.google.com/spreadsheets/d/1kGrh75X1cNR1D7_FcY9zMn"&amp;"HP8iPO4M5RCRjy6nZY0TY/edit#gid=1248694442"",""Table 4: 2nd-line HC or more!A5:A85"")),"""")"),"")</f>
        <v/>
      </c>
      <c r="O34" s="14" t="str">
        <f>IFERROR(__xludf.DUMMYFUNCTION("IFNA(FILTER(IMPORTRANGE(""https://docs.google.com/spreadsheets/d/1kGrh75X1cNR1D7_FcY9zMnHP8iPO4M5RCRjy6nZY0TY/edit#gid=1248694442"",""Table 4: 2nd-line HC or more!D5:D85""), $A34=IMPORTRANGE(""https://docs.google.com/spreadsheets/d/1kGrh75X1cNR1D7_FcY9zMn"&amp;"HP8iPO4M5RCRjy6nZY0TY/edit#gid=1248694442"",""Table 4: 2nd-line HC or more!A5:A85"")),"""")"),"")</f>
        <v/>
      </c>
      <c r="P34" s="14" t="str">
        <f>IFERROR(__xludf.DUMMYFUNCTION("IFNA(FILTER(IMPORTRANGE(""https://docs.google.com/spreadsheets/d/1kGrh75X1cNR1D7_FcY9zMnHP8iPO4M5RCRjy6nZY0TY/edit#gid=1248694442"",""Table 4: 2nd-line HC or more!E5:E85""), $A34=IMPORTRANGE(""https://docs.google.com/spreadsheets/d/1kGrh75X1cNR1D7_FcY9zMn"&amp;"HP8iPO4M5RCRjy6nZY0TY/edit#gid=1248694442"",""Table 4: 2nd-line HC or more!A5:A85"")),"""")"),"")</f>
        <v/>
      </c>
      <c r="Q34" s="14" t="str">
        <f>IFERROR(__xludf.DUMMYFUNCTION("IFNA(FILTER(IMPORTRANGE(""https://docs.google.com/spreadsheets/d/1kGrh75X1cNR1D7_FcY9zMnHP8iPO4M5RCRjy6nZY0TY/edit#gid=1248694442"",""Table 4: 2nd-line HC or more!F5:F85""), $A34=IMPORTRANGE(""https://docs.google.com/spreadsheets/d/1kGrh75X1cNR1D7_FcY9zMn"&amp;"HP8iPO4M5RCRjy6nZY0TY/edit#gid=1248694442"",""Table 4: 2nd-line HC or more!A5:A85"")),"""")"),"")</f>
        <v/>
      </c>
      <c r="R34" s="14" t="str">
        <f>IFERROR(__xludf.DUMMYFUNCTION("IFNA(FILTER(IMPORTRANGE(""https://docs.google.com/spreadsheets/d/1kGrh75X1cNR1D7_FcY9zMnHP8iPO4M5RCRjy6nZY0TY/edit#gid=1248694442"",""Table 4: 2nd-line HC or more!G5:G85""), $A34=IMPORTRANGE(""https://docs.google.com/spreadsheets/d/1kGrh75X1cNR1D7_FcY9zMn"&amp;"HP8iPO4M5RCRjy6nZY0TY/edit#gid=1248694442"",""Table 4: 2nd-line HC or more!A5:A85"")),"""")"),"")</f>
        <v/>
      </c>
      <c r="S34" s="14" t="str">
        <f>IFERROR(__xludf.DUMMYFUNCTION("IFNA(FILTER(IMPORTRANGE(""https://docs.google.com/spreadsheets/d/1kGrh75X1cNR1D7_FcY9zMnHP8iPO4M5RCRjy6nZY0TY/edit#gid=1248694442"",""Table 4: 2nd-line HC or more!H5:H85""), $A34=IMPORTRANGE(""https://docs.google.com/spreadsheets/d/1kGrh75X1cNR1D7_FcY9zMn"&amp;"HP8iPO4M5RCRjy6nZY0TY/edit#gid=1248694442"",""Table 4: 2nd-line HC or more!A5:A85"")),"""")"),"")</f>
        <v/>
      </c>
      <c r="T34" s="14" t="str">
        <f>IFERROR(__xludf.DUMMYFUNCTION("IFNA(FILTER(IMPORTRANGE(""https://docs.google.com/spreadsheets/d/1kGrh75X1cNR1D7_FcY9zMnHP8iPO4M5RCRjy6nZY0TY/edit#gid=1248694442"",""Table 3: 1st-line HC!F5:F111""), $A34=IMPORTRANGE(""https://docs.google.com/spreadsheets/d/1kGrh75X1cNR1D7_FcY9zMnHP8iPO4"&amp;"M5RCRjy6nZY0TY/edit#gid=1248694442"",""Table 3: 1st-line HC!A5:A111"")),"""")"),"")</f>
        <v/>
      </c>
      <c r="U34" s="14">
        <f>IFERROR(__xludf.DUMMYFUNCTION("IFNA(FILTER(IMPORTRANGE(""https://docs.google.com/spreadsheets/d/1kGrh75X1cNR1D7_FcY9zMnHP8iPO4M5RCRjy6nZY0TY/edit#gid=1248694442"",""Table 3: 1st-line HC!G5:G111""), $A34=IMPORTRANGE(""https://docs.google.com/spreadsheets/d/1kGrh75X1cNR1D7_FcY9zMnHP8iPO4"&amp;"M5RCRjy6nZY0TY/edit#gid=1248694442"",""Table 3: 1st-line HC!A5:A111"")),"""")"),7.0)</f>
        <v>7</v>
      </c>
      <c r="V34" s="14" t="str">
        <f>IFERROR(__xludf.DUMMYFUNCTION("IFNA(FILTER(IMPORTRANGE(""https://docs.google.com/spreadsheets/d/1kGrh75X1cNR1D7_FcY9zMnHP8iPO4M5RCRjy6nZY0TY/edit#gid=1248694442"",""Table 3: 1st-line HC!H5:H111""), $A34=IMPORTRANGE(""https://docs.google.com/spreadsheets/d/1kGrh75X1cNR1D7_FcY9zMnHP8iPO4"&amp;"M5RCRjy6nZY0TY/edit#gid=1248694442"",""Table 3: 1st-line HC!A5:A111"")),"""")"),"")</f>
        <v/>
      </c>
      <c r="W34" s="14" t="str">
        <f>IFERROR(__xludf.DUMMYFUNCTION("IFNA(FILTER(IMPORTRANGE(""https://docs.google.com/spreadsheets/d/1kGrh75X1cNR1D7_FcY9zMnHP8iPO4M5RCRjy6nZY0TY/edit#gid=1248694442"",""Table 3: 1st-line HC!I5:I111""), $A34=IMPORTRANGE(""https://docs.google.com/spreadsheets/d/1kGrh75X1cNR1D7_FcY9zMnHP8iPO4"&amp;"M5RCRjy6nZY0TY/edit#gid=1248694442"",""Table 3: 1st-line HC!A5:A111"")),"""")"),"")</f>
        <v/>
      </c>
    </row>
    <row r="35">
      <c r="A35" s="4" t="str">
        <f>IFERROR(__xludf.DUMMYFUNCTION("""COMPUTED_VALUE"""),"ID 66")</f>
        <v>ID 66</v>
      </c>
      <c r="B35" s="14" t="str">
        <f>IFERROR(__xludf.DUMMYFUNCTION("IFNA(FILTER(IMPORTRANGE(""https://docs.google.com/spreadsheets/d/1kGrh75X1cNR1D7_FcY9zMnHP8iPO4M5RCRjy6nZY0TY/edit#gid=1248694442"",""Table 3: 1st-line HC!AZ5:AZ111""), $A35=IMPORTRANGE(""https://docs.google.com/spreadsheets/d/1kGrh75X1cNR1D7_FcY9zMnHP8iP"&amp;"O4M5RCRjy6nZY0TY/edit#gid=1248694442"",""Table 3: 1st-line HC!A5:A111"")),"""")"),"")</f>
        <v/>
      </c>
      <c r="C35" s="14" t="str">
        <f>IFERROR(__xludf.DUMMYFUNCTION("IFNA(FILTER(IMPORTRANGE(""https://docs.google.com/spreadsheets/d/1kGrh75X1cNR1D7_FcY9zMnHP8iPO4M5RCRjy6nZY0TY/edit#gid=1248694442"",""Table 3: 1st-line HC!BA5:BA111""), $A35=IMPORTRANGE(""https://docs.google.com/spreadsheets/d/1kGrh75X1cNR1D7_FcY9zMnHP8iP"&amp;"O4M5RCRjy6nZY0TY/edit#gid=1248694442"",""Table 3: 1st-line HC!A5:A111"")),"""")"),"")</f>
        <v/>
      </c>
      <c r="D35" s="14" t="str">
        <f>IFERROR(__xludf.DUMMYFUNCTION("IFNA(FILTER(IMPORTRANGE(""https://docs.google.com/spreadsheets/d/1kGrh75X1cNR1D7_FcY9zMnHP8iPO4M5RCRjy6nZY0TY/edit#gid=1248694442"",""Table 3: 1st-line HC!BB5:BB111""), $A35=IMPORTRANGE(""https://docs.google.com/spreadsheets/d/1kGrh75X1cNR1D7_FcY9zMnHP8iP"&amp;"O4M5RCRjy6nZY0TY/edit#gid=1248694442"",""Table 3: 1st-line HC!A5:A111"")),"""")"),"")</f>
        <v/>
      </c>
      <c r="E35" s="19" t="str">
        <f>IFERROR(__xludf.DUMMYFUNCTION("IFNA(FILTER(IMPORTRANGE(""https://docs.google.com/spreadsheets/d/1kGrh75X1cNR1D7_FcY9zMnHP8iPO4M5RCRjy6nZY0TY/edit#gid=1248694442"",""Table 3: 1st-line HC!BC5:BC111""), $A35=IMPORTRANGE(""https://docs.google.com/spreadsheets/d/1kGrh75X1cNR1D7_FcY9zMnHP8iP"&amp;"O4M5RCRjy6nZY0TY/edit#gid=1248694442"",""Table 3: 1st-line HC!A5:A111"")),"""")"),"")</f>
        <v/>
      </c>
      <c r="F35" s="14" t="str">
        <f>IFERROR(__xludf.DUMMYFUNCTION("IFNA(FILTER(IMPORTRANGE(""https://docs.google.com/spreadsheets/d/1kGrh75X1cNR1D7_FcY9zMnHP8iPO4M5RCRjy6nZY0TY/edit#gid=1248694442"",""Table 3: 1st-line HC!Y5:Y111""), $A35=IMPORTRANGE(""https://docs.google.com/spreadsheets/d/1kGrh75X1cNR1D7_FcY9zMnHP8iPO4"&amp;"M5RCRjy6nZY0TY/edit#gid=1248694442"",""Table 3: 1st-line HC!A5:A111"")),"""")"),"")</f>
        <v/>
      </c>
      <c r="G35" s="14" t="str">
        <f>IFERROR(__xludf.DUMMYFUNCTION("IFNA(FILTER(IMPORTRANGE(""https://docs.google.com/spreadsheets/d/1kGrh75X1cNR1D7_FcY9zMnHP8iPO4M5RCRjy6nZY0TY/edit#gid=1248694442"",""Table 3: 1st-line HC!Z5:Z111""), $A35=IMPORTRANGE(""https://docs.google.com/spreadsheets/d/1kGrh75X1cNR1D7_FcY9zMnHP8iPO4"&amp;"M5RCRjy6nZY0TY/edit#gid=1248694442"",""Table 3: 1st-line HC!A5:A111"")),"""")"),"")</f>
        <v/>
      </c>
      <c r="H35" s="14">
        <f>IFERROR(__xludf.DUMMYFUNCTION("IFNA(FILTER(IMPORTRANGE(""https://docs.google.com/spreadsheets/d/1kGrh75X1cNR1D7_FcY9zMnHP8iPO4M5RCRjy6nZY0TY/edit#gid=1248694442"",""Table 3: 1st-line HC!AA5:AA111""), $A35=IMPORTRANGE(""https://docs.google.com/spreadsheets/d/1kGrh75X1cNR1D7_FcY9zMnHP8iP"&amp;"O4M5RCRjy6nZY0TY/edit#gid=1248694442"",""Table 3: 1st-line HC!A5:A111"")),"""")"),4.0)</f>
        <v>4</v>
      </c>
      <c r="I35" s="14" t="str">
        <f>IFERROR(__xludf.DUMMYFUNCTION("IFNA(FILTER(IMPORTRANGE(""https://docs.google.com/spreadsheets/d/1kGrh75X1cNR1D7_FcY9zMnHP8iPO4M5RCRjy6nZY0TY/edit#gid=1248694442"",""Table 3: 1st-line HC!AB5:AB111""), $A35=IMPORTRANGE(""https://docs.google.com/spreadsheets/d/1kGrh75X1cNR1D7_FcY9zMnHP8iP"&amp;"O4M5RCRjy6nZY0TY/edit#gid=1248694442"",""Table 3: 1st-line HC!A5:A111"")),"""")"),"")</f>
        <v/>
      </c>
      <c r="J35" s="14" t="str">
        <f>IFERROR(__xludf.DUMMYFUNCTION("IFNA(FILTER(IMPORTRANGE(""https://docs.google.com/spreadsheets/d/1kGrh75X1cNR1D7_FcY9zMnHP8iPO4M5RCRjy6nZY0TY/edit#gid=1248694442"",""Table 3: 1st-line HC!AC5:AC111""), $A35=IMPORTRANGE(""https://docs.google.com/spreadsheets/d/1kGrh75X1cNR1D7_FcY9zMnHP8iP"&amp;"O4M5RCRjy6nZY0TY/edit#gid=1248694442"",""Table 3: 1st-line HC!A5:A111"")),"""")"),"")</f>
        <v/>
      </c>
      <c r="K35" s="20" t="str">
        <f>IFERROR(__xludf.DUMMYFUNCTION("IFNA(FILTER(IMPORTRANGE(""https://docs.google.com/spreadsheets/d/1kGrh75X1cNR1D7_FcY9zMnHP8iPO4M5RCRjy6nZY0TY/edit#gid=1248694442"",""Table 3: 1st-line HC!AD5:AD111""), $A35=IMPORTRANGE(""https://docs.google.com/spreadsheets/d/1kGrh75X1cNR1D7_FcY9zMnHP8iP"&amp;"O4M5RCRjy6nZY0TY/edit#gid=1248694442"",""Table 3: 1st-line HC!A5:A111"")),"""")"),"")</f>
        <v/>
      </c>
      <c r="L35" s="14" t="str">
        <f>IFERROR(__xludf.DUMMYFUNCTION("IFNA(FILTER(IMPORTRANGE(""https://docs.google.com/spreadsheets/d/1kGrh75X1cNR1D7_FcY9zMnHP8iPO4M5RCRjy6nZY0TY/edit#gid=1248694442"",""Table 3: 1st-line HC!W5:W111""), $A35=IMPORTRANGE(""https://docs.google.com/spreadsheets/d/1kGrh75X1cNR1D7_FcY9zMnHP8iPO4"&amp;"M5RCRjy6nZY0TY/edit#gid=1248694442"",""Table 3: 1st-line HC!A5:A111"")),"""")"),"")</f>
        <v/>
      </c>
      <c r="M35" s="14" t="str">
        <f>IFERROR(__xludf.DUMMYFUNCTION("IFNA(FILTER(IMPORTRANGE(""https://docs.google.com/spreadsheets/d/1kGrh75X1cNR1D7_FcY9zMnHP8iPO4M5RCRjy6nZY0TY/edit#gid=1248694442"",""Table 3: 1st-line HC!X5:X111""), $A35=IMPORTRANGE(""https://docs.google.com/spreadsheets/d/1kGrh75X1cNR1D7_FcY9zMnHP8iPO4"&amp;"M5RCRjy6nZY0TY/edit#gid=1248694442"",""Table 3: 1st-line HC!A5:A111"")),"""")"),"")</f>
        <v/>
      </c>
      <c r="N35" s="14" t="str">
        <f>IFERROR(__xludf.DUMMYFUNCTION("IFNA(FILTER(IMPORTRANGE(""https://docs.google.com/spreadsheets/d/1kGrh75X1cNR1D7_FcY9zMnHP8iPO4M5RCRjy6nZY0TY/edit#gid=1248694442"",""Table 4: 2nd-line HC or more!C5:C85""), $A35=IMPORTRANGE(""https://docs.google.com/spreadsheets/d/1kGrh75X1cNR1D7_FcY9zMn"&amp;"HP8iPO4M5RCRjy6nZY0TY/edit#gid=1248694442"",""Table 4: 2nd-line HC or more!A5:A85"")),"""")"),"")</f>
        <v/>
      </c>
      <c r="O35" s="14" t="str">
        <f>IFERROR(__xludf.DUMMYFUNCTION("IFNA(FILTER(IMPORTRANGE(""https://docs.google.com/spreadsheets/d/1kGrh75X1cNR1D7_FcY9zMnHP8iPO4M5RCRjy6nZY0TY/edit#gid=1248694442"",""Table 4: 2nd-line HC or more!D5:D85""), $A35=IMPORTRANGE(""https://docs.google.com/spreadsheets/d/1kGrh75X1cNR1D7_FcY9zMn"&amp;"HP8iPO4M5RCRjy6nZY0TY/edit#gid=1248694442"",""Table 4: 2nd-line HC or more!A5:A85"")),"""")"),"")</f>
        <v/>
      </c>
      <c r="P35" s="14" t="str">
        <f>IFERROR(__xludf.DUMMYFUNCTION("IFNA(FILTER(IMPORTRANGE(""https://docs.google.com/spreadsheets/d/1kGrh75X1cNR1D7_FcY9zMnHP8iPO4M5RCRjy6nZY0TY/edit#gid=1248694442"",""Table 4: 2nd-line HC or more!E5:E85""), $A35=IMPORTRANGE(""https://docs.google.com/spreadsheets/d/1kGrh75X1cNR1D7_FcY9zMn"&amp;"HP8iPO4M5RCRjy6nZY0TY/edit#gid=1248694442"",""Table 4: 2nd-line HC or more!A5:A85"")),"""")"),"")</f>
        <v/>
      </c>
      <c r="Q35" s="14" t="str">
        <f>IFERROR(__xludf.DUMMYFUNCTION("IFNA(FILTER(IMPORTRANGE(""https://docs.google.com/spreadsheets/d/1kGrh75X1cNR1D7_FcY9zMnHP8iPO4M5RCRjy6nZY0TY/edit#gid=1248694442"",""Table 4: 2nd-line HC or more!F5:F85""), $A35=IMPORTRANGE(""https://docs.google.com/spreadsheets/d/1kGrh75X1cNR1D7_FcY9zMn"&amp;"HP8iPO4M5RCRjy6nZY0TY/edit#gid=1248694442"",""Table 4: 2nd-line HC or more!A5:A85"")),"""")"),"")</f>
        <v/>
      </c>
      <c r="R35" s="14" t="str">
        <f>IFERROR(__xludf.DUMMYFUNCTION("IFNA(FILTER(IMPORTRANGE(""https://docs.google.com/spreadsheets/d/1kGrh75X1cNR1D7_FcY9zMnHP8iPO4M5RCRjy6nZY0TY/edit#gid=1248694442"",""Table 4: 2nd-line HC or more!G5:G85""), $A35=IMPORTRANGE(""https://docs.google.com/spreadsheets/d/1kGrh75X1cNR1D7_FcY9zMn"&amp;"HP8iPO4M5RCRjy6nZY0TY/edit#gid=1248694442"",""Table 4: 2nd-line HC or more!A5:A85"")),"""")"),"")</f>
        <v/>
      </c>
      <c r="S35" s="14" t="str">
        <f>IFERROR(__xludf.DUMMYFUNCTION("IFNA(FILTER(IMPORTRANGE(""https://docs.google.com/spreadsheets/d/1kGrh75X1cNR1D7_FcY9zMnHP8iPO4M5RCRjy6nZY0TY/edit#gid=1248694442"",""Table 4: 2nd-line HC or more!H5:H85""), $A35=IMPORTRANGE(""https://docs.google.com/spreadsheets/d/1kGrh75X1cNR1D7_FcY9zMn"&amp;"HP8iPO4M5RCRjy6nZY0TY/edit#gid=1248694442"",""Table 4: 2nd-line HC or more!A5:A85"")),"""")"),"")</f>
        <v/>
      </c>
      <c r="T35" s="14" t="str">
        <f>IFERROR(__xludf.DUMMYFUNCTION("IFNA(FILTER(IMPORTRANGE(""https://docs.google.com/spreadsheets/d/1kGrh75X1cNR1D7_FcY9zMnHP8iPO4M5RCRjy6nZY0TY/edit#gid=1248694442"",""Table 3: 1st-line HC!F5:F111""), $A35=IMPORTRANGE(""https://docs.google.com/spreadsheets/d/1kGrh75X1cNR1D7_FcY9zMnHP8iPO4"&amp;"M5RCRjy6nZY0TY/edit#gid=1248694442"",""Table 3: 1st-line HC!A5:A111"")),"""")"),"")</f>
        <v/>
      </c>
      <c r="U35" s="14" t="str">
        <f>IFERROR(__xludf.DUMMYFUNCTION("IFNA(FILTER(IMPORTRANGE(""https://docs.google.com/spreadsheets/d/1kGrh75X1cNR1D7_FcY9zMnHP8iPO4M5RCRjy6nZY0TY/edit#gid=1248694442"",""Table 3: 1st-line HC!G5:G111""), $A35=IMPORTRANGE(""https://docs.google.com/spreadsheets/d/1kGrh75X1cNR1D7_FcY9zMnHP8iPO4"&amp;"M5RCRjy6nZY0TY/edit#gid=1248694442"",""Table 3: 1st-line HC!A5:A111"")),"""")"),"")</f>
        <v/>
      </c>
      <c r="V35" s="14" t="str">
        <f>IFERROR(__xludf.DUMMYFUNCTION("IFNA(FILTER(IMPORTRANGE(""https://docs.google.com/spreadsheets/d/1kGrh75X1cNR1D7_FcY9zMnHP8iPO4M5RCRjy6nZY0TY/edit#gid=1248694442"",""Table 3: 1st-line HC!H5:H111""), $A35=IMPORTRANGE(""https://docs.google.com/spreadsheets/d/1kGrh75X1cNR1D7_FcY9zMnHP8iPO4"&amp;"M5RCRjy6nZY0TY/edit#gid=1248694442"",""Table 3: 1st-line HC!A5:A111"")),"""")"),"")</f>
        <v/>
      </c>
      <c r="W35" s="14" t="str">
        <f>IFERROR(__xludf.DUMMYFUNCTION("IFNA(FILTER(IMPORTRANGE(""https://docs.google.com/spreadsheets/d/1kGrh75X1cNR1D7_FcY9zMnHP8iPO4M5RCRjy6nZY0TY/edit#gid=1248694442"",""Table 3: 1st-line HC!I5:I111""), $A35=IMPORTRANGE(""https://docs.google.com/spreadsheets/d/1kGrh75X1cNR1D7_FcY9zMnHP8iPO4"&amp;"M5RCRjy6nZY0TY/edit#gid=1248694442"",""Table 3: 1st-line HC!A5:A111"")),"""")"),"")</f>
        <v/>
      </c>
    </row>
    <row r="36">
      <c r="A36" s="4" t="str">
        <f>IFERROR(__xludf.DUMMYFUNCTION("""COMPUTED_VALUE"""),"ID 67")</f>
        <v>ID 67</v>
      </c>
      <c r="B36" s="14" t="str">
        <f>IFERROR(__xludf.DUMMYFUNCTION("IFNA(FILTER(IMPORTRANGE(""https://docs.google.com/spreadsheets/d/1kGrh75X1cNR1D7_FcY9zMnHP8iPO4M5RCRjy6nZY0TY/edit#gid=1248694442"",""Table 3: 1st-line HC!AZ5:AZ111""), $A36=IMPORTRANGE(""https://docs.google.com/spreadsheets/d/1kGrh75X1cNR1D7_FcY9zMnHP8iP"&amp;"O4M5RCRjy6nZY0TY/edit#gid=1248694442"",""Table 3: 1st-line HC!A5:A111"")),"""")"),"")</f>
        <v/>
      </c>
      <c r="C36" s="14" t="str">
        <f>IFERROR(__xludf.DUMMYFUNCTION("IFNA(FILTER(IMPORTRANGE(""https://docs.google.com/spreadsheets/d/1kGrh75X1cNR1D7_FcY9zMnHP8iPO4M5RCRjy6nZY0TY/edit#gid=1248694442"",""Table 3: 1st-line HC!BA5:BA111""), $A36=IMPORTRANGE(""https://docs.google.com/spreadsheets/d/1kGrh75X1cNR1D7_FcY9zMnHP8iP"&amp;"O4M5RCRjy6nZY0TY/edit#gid=1248694442"",""Table 3: 1st-line HC!A5:A111"")),"""")"),"")</f>
        <v/>
      </c>
      <c r="D36" s="14" t="str">
        <f>IFERROR(__xludf.DUMMYFUNCTION("IFNA(FILTER(IMPORTRANGE(""https://docs.google.com/spreadsheets/d/1kGrh75X1cNR1D7_FcY9zMnHP8iPO4M5RCRjy6nZY0TY/edit#gid=1248694442"",""Table 3: 1st-line HC!BB5:BB111""), $A36=IMPORTRANGE(""https://docs.google.com/spreadsheets/d/1kGrh75X1cNR1D7_FcY9zMnHP8iP"&amp;"O4M5RCRjy6nZY0TY/edit#gid=1248694442"",""Table 3: 1st-line HC!A5:A111"")),"""")"),"")</f>
        <v/>
      </c>
      <c r="E36" s="19" t="str">
        <f>IFERROR(__xludf.DUMMYFUNCTION("IFNA(FILTER(IMPORTRANGE(""https://docs.google.com/spreadsheets/d/1kGrh75X1cNR1D7_FcY9zMnHP8iPO4M5RCRjy6nZY0TY/edit#gid=1248694442"",""Table 3: 1st-line HC!BC5:BC111""), $A36=IMPORTRANGE(""https://docs.google.com/spreadsheets/d/1kGrh75X1cNR1D7_FcY9zMnHP8iP"&amp;"O4M5RCRjy6nZY0TY/edit#gid=1248694442"",""Table 3: 1st-line HC!A5:A111"")),"""")"),"")</f>
        <v/>
      </c>
      <c r="F36" s="14" t="str">
        <f>IFERROR(__xludf.DUMMYFUNCTION("IFNA(FILTER(IMPORTRANGE(""https://docs.google.com/spreadsheets/d/1kGrh75X1cNR1D7_FcY9zMnHP8iPO4M5RCRjy6nZY0TY/edit#gid=1248694442"",""Table 3: 1st-line HC!Y5:Y111""), $A36=IMPORTRANGE(""https://docs.google.com/spreadsheets/d/1kGrh75X1cNR1D7_FcY9zMnHP8iPO4"&amp;"M5RCRjy6nZY0TY/edit#gid=1248694442"",""Table 3: 1st-line HC!A5:A111"")),"""")"),"")</f>
        <v/>
      </c>
      <c r="G36" s="14">
        <f>IFERROR(__xludf.DUMMYFUNCTION("IFNA(FILTER(IMPORTRANGE(""https://docs.google.com/spreadsheets/d/1kGrh75X1cNR1D7_FcY9zMnHP8iPO4M5RCRjy6nZY0TY/edit#gid=1248694442"",""Table 3: 1st-line HC!Z5:Z111""), $A36=IMPORTRANGE(""https://docs.google.com/spreadsheets/d/1kGrh75X1cNR1D7_FcY9zMnHP8iPO4"&amp;"M5RCRjy6nZY0TY/edit#gid=1248694442"",""Table 3: 1st-line HC!A5:A111"")),"""")"),22.0)</f>
        <v>22</v>
      </c>
      <c r="H36" s="14" t="str">
        <f>IFERROR(__xludf.DUMMYFUNCTION("IFNA(FILTER(IMPORTRANGE(""https://docs.google.com/spreadsheets/d/1kGrh75X1cNR1D7_FcY9zMnHP8iPO4M5RCRjy6nZY0TY/edit#gid=1248694442"",""Table 3: 1st-line HC!AA5:AA111""), $A36=IMPORTRANGE(""https://docs.google.com/spreadsheets/d/1kGrh75X1cNR1D7_FcY9zMnHP8iP"&amp;"O4M5RCRjy6nZY0TY/edit#gid=1248694442"",""Table 3: 1st-line HC!A5:A111"")),"""")"),"")</f>
        <v/>
      </c>
      <c r="I36" s="14" t="str">
        <f>IFERROR(__xludf.DUMMYFUNCTION("IFNA(FILTER(IMPORTRANGE(""https://docs.google.com/spreadsheets/d/1kGrh75X1cNR1D7_FcY9zMnHP8iPO4M5RCRjy6nZY0TY/edit#gid=1248694442"",""Table 3: 1st-line HC!AB5:AB111""), $A36=IMPORTRANGE(""https://docs.google.com/spreadsheets/d/1kGrh75X1cNR1D7_FcY9zMnHP8iP"&amp;"O4M5RCRjy6nZY0TY/edit#gid=1248694442"",""Table 3: 1st-line HC!A5:A111"")),"""")"),"")</f>
        <v/>
      </c>
      <c r="J36" s="14" t="str">
        <f>IFERROR(__xludf.DUMMYFUNCTION("IFNA(FILTER(IMPORTRANGE(""https://docs.google.com/spreadsheets/d/1kGrh75X1cNR1D7_FcY9zMnHP8iPO4M5RCRjy6nZY0TY/edit#gid=1248694442"",""Table 3: 1st-line HC!AC5:AC111""), $A36=IMPORTRANGE(""https://docs.google.com/spreadsheets/d/1kGrh75X1cNR1D7_FcY9zMnHP8iP"&amp;"O4M5RCRjy6nZY0TY/edit#gid=1248694442"",""Table 3: 1st-line HC!A5:A111"")),"""")"),"")</f>
        <v/>
      </c>
      <c r="K36" s="20" t="str">
        <f>IFERROR(__xludf.DUMMYFUNCTION("IFNA(FILTER(IMPORTRANGE(""https://docs.google.com/spreadsheets/d/1kGrh75X1cNR1D7_FcY9zMnHP8iPO4M5RCRjy6nZY0TY/edit#gid=1248694442"",""Table 3: 1st-line HC!AD5:AD111""), $A36=IMPORTRANGE(""https://docs.google.com/spreadsheets/d/1kGrh75X1cNR1D7_FcY9zMnHP8iP"&amp;"O4M5RCRjy6nZY0TY/edit#gid=1248694442"",""Table 3: 1st-line HC!A5:A111"")),"""")"),"")</f>
        <v/>
      </c>
      <c r="L36" s="14" t="str">
        <f>IFERROR(__xludf.DUMMYFUNCTION("IFNA(FILTER(IMPORTRANGE(""https://docs.google.com/spreadsheets/d/1kGrh75X1cNR1D7_FcY9zMnHP8iPO4M5RCRjy6nZY0TY/edit#gid=1248694442"",""Table 3: 1st-line HC!W5:W111""), $A36=IMPORTRANGE(""https://docs.google.com/spreadsheets/d/1kGrh75X1cNR1D7_FcY9zMnHP8iPO4"&amp;"M5RCRjy6nZY0TY/edit#gid=1248694442"",""Table 3: 1st-line HC!A5:A111"")),"""")"),"")</f>
        <v/>
      </c>
      <c r="M36" s="14" t="str">
        <f>IFERROR(__xludf.DUMMYFUNCTION("IFNA(FILTER(IMPORTRANGE(""https://docs.google.com/spreadsheets/d/1kGrh75X1cNR1D7_FcY9zMnHP8iPO4M5RCRjy6nZY0TY/edit#gid=1248694442"",""Table 3: 1st-line HC!X5:X111""), $A36=IMPORTRANGE(""https://docs.google.com/spreadsheets/d/1kGrh75X1cNR1D7_FcY9zMnHP8iPO4"&amp;"M5RCRjy6nZY0TY/edit#gid=1248694442"",""Table 3: 1st-line HC!A5:A111"")),"""")"),"")</f>
        <v/>
      </c>
      <c r="N36" s="14" t="str">
        <f>IFERROR(__xludf.DUMMYFUNCTION("IFNA(FILTER(IMPORTRANGE(""https://docs.google.com/spreadsheets/d/1kGrh75X1cNR1D7_FcY9zMnHP8iPO4M5RCRjy6nZY0TY/edit#gid=1248694442"",""Table 4: 2nd-line HC or more!C5:C85""), $A36=IMPORTRANGE(""https://docs.google.com/spreadsheets/d/1kGrh75X1cNR1D7_FcY9zMn"&amp;"HP8iPO4M5RCRjy6nZY0TY/edit#gid=1248694442"",""Table 4: 2nd-line HC or more!A5:A85"")),"""")"),"")</f>
        <v/>
      </c>
      <c r="O36" s="14" t="str">
        <f>IFERROR(__xludf.DUMMYFUNCTION("IFNA(FILTER(IMPORTRANGE(""https://docs.google.com/spreadsheets/d/1kGrh75X1cNR1D7_FcY9zMnHP8iPO4M5RCRjy6nZY0TY/edit#gid=1248694442"",""Table 4: 2nd-line HC or more!D5:D85""), $A36=IMPORTRANGE(""https://docs.google.com/spreadsheets/d/1kGrh75X1cNR1D7_FcY9zMn"&amp;"HP8iPO4M5RCRjy6nZY0TY/edit#gid=1248694442"",""Table 4: 2nd-line HC or more!A5:A85"")),"""")"),"")</f>
        <v/>
      </c>
      <c r="P36" s="14">
        <f>IFERROR(__xludf.DUMMYFUNCTION("IFNA(FILTER(IMPORTRANGE(""https://docs.google.com/spreadsheets/d/1kGrh75X1cNR1D7_FcY9zMnHP8iPO4M5RCRjy6nZY0TY/edit#gid=1248694442"",""Table 4: 2nd-line HC or more!E5:E85""), $A36=IMPORTRANGE(""https://docs.google.com/spreadsheets/d/1kGrh75X1cNR1D7_FcY9zMn"&amp;"HP8iPO4M5RCRjy6nZY0TY/edit#gid=1248694442"",""Table 4: 2nd-line HC or more!A5:A85"")),"""")"),22.0)</f>
        <v>22</v>
      </c>
      <c r="Q36" s="14" t="str">
        <f>IFERROR(__xludf.DUMMYFUNCTION("IFNA(FILTER(IMPORTRANGE(""https://docs.google.com/spreadsheets/d/1kGrh75X1cNR1D7_FcY9zMnHP8iPO4M5RCRjy6nZY0TY/edit#gid=1248694442"",""Table 4: 2nd-line HC or more!F5:F85""), $A36=IMPORTRANGE(""https://docs.google.com/spreadsheets/d/1kGrh75X1cNR1D7_FcY9zMn"&amp;"HP8iPO4M5RCRjy6nZY0TY/edit#gid=1248694442"",""Table 4: 2nd-line HC or more!A5:A85"")),"""")"),"")</f>
        <v/>
      </c>
      <c r="R36" s="14" t="str">
        <f>IFERROR(__xludf.DUMMYFUNCTION("IFNA(FILTER(IMPORTRANGE(""https://docs.google.com/spreadsheets/d/1kGrh75X1cNR1D7_FcY9zMnHP8iPO4M5RCRjy6nZY0TY/edit#gid=1248694442"",""Table 4: 2nd-line HC or more!G5:G85""), $A36=IMPORTRANGE(""https://docs.google.com/spreadsheets/d/1kGrh75X1cNR1D7_FcY9zMn"&amp;"HP8iPO4M5RCRjy6nZY0TY/edit#gid=1248694442"",""Table 4: 2nd-line HC or more!A5:A85"")),"""")"),"")</f>
        <v/>
      </c>
      <c r="S36" s="14" t="str">
        <f>IFERROR(__xludf.DUMMYFUNCTION("IFNA(FILTER(IMPORTRANGE(""https://docs.google.com/spreadsheets/d/1kGrh75X1cNR1D7_FcY9zMnHP8iPO4M5RCRjy6nZY0TY/edit#gid=1248694442"",""Table 4: 2nd-line HC or more!H5:H85""), $A36=IMPORTRANGE(""https://docs.google.com/spreadsheets/d/1kGrh75X1cNR1D7_FcY9zMn"&amp;"HP8iPO4M5RCRjy6nZY0TY/edit#gid=1248694442"",""Table 4: 2nd-line HC or more!A5:A85"")),"""")"),"")</f>
        <v/>
      </c>
      <c r="T36" s="14">
        <f>IFERROR(__xludf.DUMMYFUNCTION("IFNA(FILTER(IMPORTRANGE(""https://docs.google.com/spreadsheets/d/1kGrh75X1cNR1D7_FcY9zMnHP8iPO4M5RCRjy6nZY0TY/edit#gid=1248694442"",""Table 3: 1st-line HC!F5:F111""), $A36=IMPORTRANGE(""https://docs.google.com/spreadsheets/d/1kGrh75X1cNR1D7_FcY9zMnHP8iPO4"&amp;"M5RCRjy6nZY0TY/edit#gid=1248694442"",""Table 3: 1st-line HC!A5:A111"")),"""")"),22.0)</f>
        <v>22</v>
      </c>
      <c r="U36" s="14">
        <f>IFERROR(__xludf.DUMMYFUNCTION("IFNA(FILTER(IMPORTRANGE(""https://docs.google.com/spreadsheets/d/1kGrh75X1cNR1D7_FcY9zMnHP8iPO4M5RCRjy6nZY0TY/edit#gid=1248694442"",""Table 3: 1st-line HC!G5:G111""), $A36=IMPORTRANGE(""https://docs.google.com/spreadsheets/d/1kGrh75X1cNR1D7_FcY9zMnHP8iPO4"&amp;"M5RCRjy6nZY0TY/edit#gid=1248694442"",""Table 3: 1st-line HC!A5:A111"")),"""")"),22.0)</f>
        <v>22</v>
      </c>
      <c r="V36" s="14" t="str">
        <f>IFERROR(__xludf.DUMMYFUNCTION("IFNA(FILTER(IMPORTRANGE(""https://docs.google.com/spreadsheets/d/1kGrh75X1cNR1D7_FcY9zMnHP8iPO4M5RCRjy6nZY0TY/edit#gid=1248694442"",""Table 3: 1st-line HC!H5:H111""), $A36=IMPORTRANGE(""https://docs.google.com/spreadsheets/d/1kGrh75X1cNR1D7_FcY9zMnHP8iPO4"&amp;"M5RCRjy6nZY0TY/edit#gid=1248694442"",""Table 3: 1st-line HC!A5:A111"")),"""")"),"")</f>
        <v/>
      </c>
      <c r="W36" s="14" t="str">
        <f>IFERROR(__xludf.DUMMYFUNCTION("IFNA(FILTER(IMPORTRANGE(""https://docs.google.com/spreadsheets/d/1kGrh75X1cNR1D7_FcY9zMnHP8iPO4M5RCRjy6nZY0TY/edit#gid=1248694442"",""Table 3: 1st-line HC!I5:I111""), $A36=IMPORTRANGE(""https://docs.google.com/spreadsheets/d/1kGrh75X1cNR1D7_FcY9zMnHP8iPO4"&amp;"M5RCRjy6nZY0TY/edit#gid=1248694442"",""Table 3: 1st-line HC!A5:A111"")),"""")"),"")</f>
        <v/>
      </c>
    </row>
    <row r="37">
      <c r="A37" s="4" t="str">
        <f>IFERROR(__xludf.DUMMYFUNCTION("""COMPUTED_VALUE"""),"ID 72")</f>
        <v>ID 72</v>
      </c>
      <c r="B37" s="14" t="str">
        <f>IFERROR(__xludf.DUMMYFUNCTION("IFNA(FILTER(IMPORTRANGE(""https://docs.google.com/spreadsheets/d/1kGrh75X1cNR1D7_FcY9zMnHP8iPO4M5RCRjy6nZY0TY/edit#gid=1248694442"",""Table 3: 1st-line HC!AZ5:AZ111""), $A37=IMPORTRANGE(""https://docs.google.com/spreadsheets/d/1kGrh75X1cNR1D7_FcY9zMnHP8iP"&amp;"O4M5RCRjy6nZY0TY/edit#gid=1248694442"",""Table 3: 1st-line HC!A5:A111"")),"""")"),"")</f>
        <v/>
      </c>
      <c r="C37" s="14" t="str">
        <f>IFERROR(__xludf.DUMMYFUNCTION("IFNA(FILTER(IMPORTRANGE(""https://docs.google.com/spreadsheets/d/1kGrh75X1cNR1D7_FcY9zMnHP8iPO4M5RCRjy6nZY0TY/edit#gid=1248694442"",""Table 3: 1st-line HC!BA5:BA111""), $A37=IMPORTRANGE(""https://docs.google.com/spreadsheets/d/1kGrh75X1cNR1D7_FcY9zMnHP8iP"&amp;"O4M5RCRjy6nZY0TY/edit#gid=1248694442"",""Table 3: 1st-line HC!A5:A111"")),"""")"),"")</f>
        <v/>
      </c>
      <c r="D37" s="14" t="str">
        <f>IFERROR(__xludf.DUMMYFUNCTION("IFNA(FILTER(IMPORTRANGE(""https://docs.google.com/spreadsheets/d/1kGrh75X1cNR1D7_FcY9zMnHP8iPO4M5RCRjy6nZY0TY/edit#gid=1248694442"",""Table 3: 1st-line HC!BB5:BB111""), $A37=IMPORTRANGE(""https://docs.google.com/spreadsheets/d/1kGrh75X1cNR1D7_FcY9zMnHP8iP"&amp;"O4M5RCRjy6nZY0TY/edit#gid=1248694442"",""Table 3: 1st-line HC!A5:A111"")),"""")"),"")</f>
        <v/>
      </c>
      <c r="E37" s="19" t="str">
        <f>IFERROR(__xludf.DUMMYFUNCTION("IFNA(FILTER(IMPORTRANGE(""https://docs.google.com/spreadsheets/d/1kGrh75X1cNR1D7_FcY9zMnHP8iPO4M5RCRjy6nZY0TY/edit#gid=1248694442"",""Table 3: 1st-line HC!BC5:BC111""), $A37=IMPORTRANGE(""https://docs.google.com/spreadsheets/d/1kGrh75X1cNR1D7_FcY9zMnHP8iP"&amp;"O4M5RCRjy6nZY0TY/edit#gid=1248694442"",""Table 3: 1st-line HC!A5:A111"")),"""")"),"")</f>
        <v/>
      </c>
      <c r="F37" s="14" t="str">
        <f>IFERROR(__xludf.DUMMYFUNCTION("IFNA(FILTER(IMPORTRANGE(""https://docs.google.com/spreadsheets/d/1kGrh75X1cNR1D7_FcY9zMnHP8iPO4M5RCRjy6nZY0TY/edit#gid=1248694442"",""Table 3: 1st-line HC!Y5:Y111""), $A37=IMPORTRANGE(""https://docs.google.com/spreadsheets/d/1kGrh75X1cNR1D7_FcY9zMnHP8iPO4"&amp;"M5RCRjy6nZY0TY/edit#gid=1248694442"",""Table 3: 1st-line HC!A5:A111"")),"""")"),"")</f>
        <v/>
      </c>
      <c r="G37" s="14">
        <f>IFERROR(__xludf.DUMMYFUNCTION("IFNA(FILTER(IMPORTRANGE(""https://docs.google.com/spreadsheets/d/1kGrh75X1cNR1D7_FcY9zMnHP8iPO4M5RCRjy6nZY0TY/edit#gid=1248694442"",""Table 3: 1st-line HC!Z5:Z111""), $A37=IMPORTRANGE(""https://docs.google.com/spreadsheets/d/1kGrh75X1cNR1D7_FcY9zMnHP8iPO4"&amp;"M5RCRjy6nZY0TY/edit#gid=1248694442"",""Table 3: 1st-line HC!A5:A111"")),"""")"),15.0)</f>
        <v>15</v>
      </c>
      <c r="H37" s="14" t="str">
        <f>IFERROR(__xludf.DUMMYFUNCTION("IFNA(FILTER(IMPORTRANGE(""https://docs.google.com/spreadsheets/d/1kGrh75X1cNR1D7_FcY9zMnHP8iPO4M5RCRjy6nZY0TY/edit#gid=1248694442"",""Table 3: 1st-line HC!AA5:AA111""), $A37=IMPORTRANGE(""https://docs.google.com/spreadsheets/d/1kGrh75X1cNR1D7_FcY9zMnHP8iP"&amp;"O4M5RCRjy6nZY0TY/edit#gid=1248694442"",""Table 3: 1st-line HC!A5:A111"")),"""")"),"")</f>
        <v/>
      </c>
      <c r="I37" s="14" t="str">
        <f>IFERROR(__xludf.DUMMYFUNCTION("IFNA(FILTER(IMPORTRANGE(""https://docs.google.com/spreadsheets/d/1kGrh75X1cNR1D7_FcY9zMnHP8iPO4M5RCRjy6nZY0TY/edit#gid=1248694442"",""Table 3: 1st-line HC!AB5:AB111""), $A37=IMPORTRANGE(""https://docs.google.com/spreadsheets/d/1kGrh75X1cNR1D7_FcY9zMnHP8iP"&amp;"O4M5RCRjy6nZY0TY/edit#gid=1248694442"",""Table 3: 1st-line HC!A5:A111"")),"""")"),"")</f>
        <v/>
      </c>
      <c r="J37" s="14" t="str">
        <f>IFERROR(__xludf.DUMMYFUNCTION("IFNA(FILTER(IMPORTRANGE(""https://docs.google.com/spreadsheets/d/1kGrh75X1cNR1D7_FcY9zMnHP8iPO4M5RCRjy6nZY0TY/edit#gid=1248694442"",""Table 3: 1st-line HC!AC5:AC111""), $A37=IMPORTRANGE(""https://docs.google.com/spreadsheets/d/1kGrh75X1cNR1D7_FcY9zMnHP8iP"&amp;"O4M5RCRjy6nZY0TY/edit#gid=1248694442"",""Table 3: 1st-line HC!A5:A111"")),"""")"),"")</f>
        <v/>
      </c>
      <c r="K37" s="20" t="str">
        <f>IFERROR(__xludf.DUMMYFUNCTION("IFNA(FILTER(IMPORTRANGE(""https://docs.google.com/spreadsheets/d/1kGrh75X1cNR1D7_FcY9zMnHP8iPO4M5RCRjy6nZY0TY/edit#gid=1248694442"",""Table 3: 1st-line HC!AD5:AD111""), $A37=IMPORTRANGE(""https://docs.google.com/spreadsheets/d/1kGrh75X1cNR1D7_FcY9zMnHP8iP"&amp;"O4M5RCRjy6nZY0TY/edit#gid=1248694442"",""Table 3: 1st-line HC!A5:A111"")),"""")"),"")</f>
        <v/>
      </c>
      <c r="L37" s="14" t="str">
        <f>IFERROR(__xludf.DUMMYFUNCTION("IFNA(FILTER(IMPORTRANGE(""https://docs.google.com/spreadsheets/d/1kGrh75X1cNR1D7_FcY9zMnHP8iPO4M5RCRjy6nZY0TY/edit#gid=1248694442"",""Table 3: 1st-line HC!W5:W111""), $A37=IMPORTRANGE(""https://docs.google.com/spreadsheets/d/1kGrh75X1cNR1D7_FcY9zMnHP8iPO4"&amp;"M5RCRjy6nZY0TY/edit#gid=1248694442"",""Table 3: 1st-line HC!A5:A111"")),"""")"),"")</f>
        <v/>
      </c>
      <c r="M37" s="14" t="str">
        <f>IFERROR(__xludf.DUMMYFUNCTION("IFNA(FILTER(IMPORTRANGE(""https://docs.google.com/spreadsheets/d/1kGrh75X1cNR1D7_FcY9zMnHP8iPO4M5RCRjy6nZY0TY/edit#gid=1248694442"",""Table 3: 1st-line HC!X5:X111""), $A37=IMPORTRANGE(""https://docs.google.com/spreadsheets/d/1kGrh75X1cNR1D7_FcY9zMnHP8iPO4"&amp;"M5RCRjy6nZY0TY/edit#gid=1248694442"",""Table 3: 1st-line HC!A5:A111"")),"""")"),"")</f>
        <v/>
      </c>
      <c r="N37" s="14" t="str">
        <f>IFERROR(__xludf.DUMMYFUNCTION("IFNA(FILTER(IMPORTRANGE(""https://docs.google.com/spreadsheets/d/1kGrh75X1cNR1D7_FcY9zMnHP8iPO4M5RCRjy6nZY0TY/edit#gid=1248694442"",""Table 4: 2nd-line HC or more!C5:C85""), $A37=IMPORTRANGE(""https://docs.google.com/spreadsheets/d/1kGrh75X1cNR1D7_FcY9zMn"&amp;"HP8iPO4M5RCRjy6nZY0TY/edit#gid=1248694442"",""Table 4: 2nd-line HC or more!A5:A85"")),"""")"),"")</f>
        <v/>
      </c>
      <c r="O37" s="14" t="str">
        <f>IFERROR(__xludf.DUMMYFUNCTION("IFNA(FILTER(IMPORTRANGE(""https://docs.google.com/spreadsheets/d/1kGrh75X1cNR1D7_FcY9zMnHP8iPO4M5RCRjy6nZY0TY/edit#gid=1248694442"",""Table 4: 2nd-line HC or more!D5:D85""), $A37=IMPORTRANGE(""https://docs.google.com/spreadsheets/d/1kGrh75X1cNR1D7_FcY9zMn"&amp;"HP8iPO4M5RCRjy6nZY0TY/edit#gid=1248694442"",""Table 4: 2nd-line HC or more!A5:A85"")),"""")"),"")</f>
        <v/>
      </c>
      <c r="P37" s="14" t="str">
        <f>IFERROR(__xludf.DUMMYFUNCTION("IFNA(FILTER(IMPORTRANGE(""https://docs.google.com/spreadsheets/d/1kGrh75X1cNR1D7_FcY9zMnHP8iPO4M5RCRjy6nZY0TY/edit#gid=1248694442"",""Table 4: 2nd-line HC or more!E5:E85""), $A37=IMPORTRANGE(""https://docs.google.com/spreadsheets/d/1kGrh75X1cNR1D7_FcY9zMn"&amp;"HP8iPO4M5RCRjy6nZY0TY/edit#gid=1248694442"",""Table 4: 2nd-line HC or more!A5:A85"")),"""")"),"")</f>
        <v/>
      </c>
      <c r="Q37" s="14" t="str">
        <f>IFERROR(__xludf.DUMMYFUNCTION("IFNA(FILTER(IMPORTRANGE(""https://docs.google.com/spreadsheets/d/1kGrh75X1cNR1D7_FcY9zMnHP8iPO4M5RCRjy6nZY0TY/edit#gid=1248694442"",""Table 4: 2nd-line HC or more!F5:F85""), $A37=IMPORTRANGE(""https://docs.google.com/spreadsheets/d/1kGrh75X1cNR1D7_FcY9zMn"&amp;"HP8iPO4M5RCRjy6nZY0TY/edit#gid=1248694442"",""Table 4: 2nd-line HC or more!A5:A85"")),"""")"),"")</f>
        <v/>
      </c>
      <c r="R37" s="14" t="str">
        <f>IFERROR(__xludf.DUMMYFUNCTION("IFNA(FILTER(IMPORTRANGE(""https://docs.google.com/spreadsheets/d/1kGrh75X1cNR1D7_FcY9zMnHP8iPO4M5RCRjy6nZY0TY/edit#gid=1248694442"",""Table 4: 2nd-line HC or more!G5:G85""), $A37=IMPORTRANGE(""https://docs.google.com/spreadsheets/d/1kGrh75X1cNR1D7_FcY9zMn"&amp;"HP8iPO4M5RCRjy6nZY0TY/edit#gid=1248694442"",""Table 4: 2nd-line HC or more!A5:A85"")),"""")"),"")</f>
        <v/>
      </c>
      <c r="S37" s="14" t="str">
        <f>IFERROR(__xludf.DUMMYFUNCTION("IFNA(FILTER(IMPORTRANGE(""https://docs.google.com/spreadsheets/d/1kGrh75X1cNR1D7_FcY9zMnHP8iPO4M5RCRjy6nZY0TY/edit#gid=1248694442"",""Table 4: 2nd-line HC or more!H5:H85""), $A37=IMPORTRANGE(""https://docs.google.com/spreadsheets/d/1kGrh75X1cNR1D7_FcY9zMn"&amp;"HP8iPO4M5RCRjy6nZY0TY/edit#gid=1248694442"",""Table 4: 2nd-line HC or more!A5:A85"")),"""")"),"repeated shunt revisions=1")</f>
        <v>repeated shunt revisions=1</v>
      </c>
      <c r="T37" s="14" t="str">
        <f>IFERROR(__xludf.DUMMYFUNCTION("IFNA(FILTER(IMPORTRANGE(""https://docs.google.com/spreadsheets/d/1kGrh75X1cNR1D7_FcY9zMnHP8iPO4M5RCRjy6nZY0TY/edit#gid=1248694442"",""Table 3: 1st-line HC!F5:F111""), $A37=IMPORTRANGE(""https://docs.google.com/spreadsheets/d/1kGrh75X1cNR1D7_FcY9zMnHP8iPO4"&amp;"M5RCRjy6nZY0TY/edit#gid=1248694442"",""Table 3: 1st-line HC!A5:A111"")),"""")"),"")</f>
        <v/>
      </c>
      <c r="U37" s="14" t="str">
        <f>IFERROR(__xludf.DUMMYFUNCTION("IFNA(FILTER(IMPORTRANGE(""https://docs.google.com/spreadsheets/d/1kGrh75X1cNR1D7_FcY9zMnHP8iPO4M5RCRjy6nZY0TY/edit#gid=1248694442"",""Table 3: 1st-line HC!G5:G111""), $A37=IMPORTRANGE(""https://docs.google.com/spreadsheets/d/1kGrh75X1cNR1D7_FcY9zMnHP8iPO4"&amp;"M5RCRjy6nZY0TY/edit#gid=1248694442"",""Table 3: 1st-line HC!A5:A111"")),"""")"),"")</f>
        <v/>
      </c>
      <c r="V37" s="14" t="str">
        <f>IFERROR(__xludf.DUMMYFUNCTION("IFNA(FILTER(IMPORTRANGE(""https://docs.google.com/spreadsheets/d/1kGrh75X1cNR1D7_FcY9zMnHP8iPO4M5RCRjy6nZY0TY/edit#gid=1248694442"",""Table 3: 1st-line HC!H5:H111""), $A37=IMPORTRANGE(""https://docs.google.com/spreadsheets/d/1kGrh75X1cNR1D7_FcY9zMnHP8iPO4"&amp;"M5RCRjy6nZY0TY/edit#gid=1248694442"",""Table 3: 1st-line HC!A5:A111"")),"""")"),"")</f>
        <v/>
      </c>
      <c r="W37" s="14" t="str">
        <f>IFERROR(__xludf.DUMMYFUNCTION("IFNA(FILTER(IMPORTRANGE(""https://docs.google.com/spreadsheets/d/1kGrh75X1cNR1D7_FcY9zMnHP8iPO4M5RCRjy6nZY0TY/edit#gid=1248694442"",""Table 3: 1st-line HC!I5:I111""), $A37=IMPORTRANGE(""https://docs.google.com/spreadsheets/d/1kGrh75X1cNR1D7_FcY9zMnHP8iPO4"&amp;"M5RCRjy6nZY0TY/edit#gid=1248694442"",""Table 3: 1st-line HC!A5:A111"")),"""")"),"")</f>
        <v/>
      </c>
    </row>
    <row r="38">
      <c r="A38" s="4" t="str">
        <f>IFERROR(__xludf.DUMMYFUNCTION("""COMPUTED_VALUE"""),"ID 73")</f>
        <v>ID 73</v>
      </c>
      <c r="B38" s="14" t="str">
        <f>IFERROR(__xludf.DUMMYFUNCTION("IFNA(FILTER(IMPORTRANGE(""https://docs.google.com/spreadsheets/d/1kGrh75X1cNR1D7_FcY9zMnHP8iPO4M5RCRjy6nZY0TY/edit#gid=1248694442"",""Table 3: 1st-line HC!AZ5:AZ111""), $A38=IMPORTRANGE(""https://docs.google.com/spreadsheets/d/1kGrh75X1cNR1D7_FcY9zMnHP8iP"&amp;"O4M5RCRjy6nZY0TY/edit#gid=1248694442"",""Table 3: 1st-line HC!A5:A111"")),"""")"),"")</f>
        <v/>
      </c>
      <c r="C38" s="14" t="str">
        <f>IFERROR(__xludf.DUMMYFUNCTION("IFNA(FILTER(IMPORTRANGE(""https://docs.google.com/spreadsheets/d/1kGrh75X1cNR1D7_FcY9zMnHP8iPO4M5RCRjy6nZY0TY/edit#gid=1248694442"",""Table 3: 1st-line HC!BA5:BA111""), $A38=IMPORTRANGE(""https://docs.google.com/spreadsheets/d/1kGrh75X1cNR1D7_FcY9zMnHP8iP"&amp;"O4M5RCRjy6nZY0TY/edit#gid=1248694442"",""Table 3: 1st-line HC!A5:A111"")),"""")"),"")</f>
        <v/>
      </c>
      <c r="D38" s="14" t="str">
        <f>IFERROR(__xludf.DUMMYFUNCTION("IFNA(FILTER(IMPORTRANGE(""https://docs.google.com/spreadsheets/d/1kGrh75X1cNR1D7_FcY9zMnHP8iPO4M5RCRjy6nZY0TY/edit#gid=1248694442"",""Table 3: 1st-line HC!BB5:BB111""), $A38=IMPORTRANGE(""https://docs.google.com/spreadsheets/d/1kGrh75X1cNR1D7_FcY9zMnHP8iP"&amp;"O4M5RCRjy6nZY0TY/edit#gid=1248694442"",""Table 3: 1st-line HC!A5:A111"")),"""")"),"")</f>
        <v/>
      </c>
      <c r="E38" s="19" t="str">
        <f>IFERROR(__xludf.DUMMYFUNCTION("IFNA(FILTER(IMPORTRANGE(""https://docs.google.com/spreadsheets/d/1kGrh75X1cNR1D7_FcY9zMnHP8iPO4M5RCRjy6nZY0TY/edit#gid=1248694442"",""Table 3: 1st-line HC!BC5:BC111""), $A38=IMPORTRANGE(""https://docs.google.com/spreadsheets/d/1kGrh75X1cNR1D7_FcY9zMnHP8iP"&amp;"O4M5RCRjy6nZY0TY/edit#gid=1248694442"",""Table 3: 1st-line HC!A5:A111"")),"""")"),"")</f>
        <v/>
      </c>
      <c r="F38" s="14" t="str">
        <f>IFERROR(__xludf.DUMMYFUNCTION("IFNA(FILTER(IMPORTRANGE(""https://docs.google.com/spreadsheets/d/1kGrh75X1cNR1D7_FcY9zMnHP8iPO4M5RCRjy6nZY0TY/edit#gid=1248694442"",""Table 3: 1st-line HC!Y5:Y111""), $A38=IMPORTRANGE(""https://docs.google.com/spreadsheets/d/1kGrh75X1cNR1D7_FcY9zMnHP8iPO4"&amp;"M5RCRjy6nZY0TY/edit#gid=1248694442"",""Table 3: 1st-line HC!A5:A111"")),"""")"),"")</f>
        <v/>
      </c>
      <c r="G38" s="14">
        <f>IFERROR(__xludf.DUMMYFUNCTION("IFNA(FILTER(IMPORTRANGE(""https://docs.google.com/spreadsheets/d/1kGrh75X1cNR1D7_FcY9zMnHP8iPO4M5RCRjy6nZY0TY/edit#gid=1248694442"",""Table 3: 1st-line HC!Z5:Z111""), $A38=IMPORTRANGE(""https://docs.google.com/spreadsheets/d/1kGrh75X1cNR1D7_FcY9zMnHP8iPO4"&amp;"M5RCRjy6nZY0TY/edit#gid=1248694442"",""Table 3: 1st-line HC!A5:A111"")),"""")"),39.0)</f>
        <v>39</v>
      </c>
      <c r="H38" s="14" t="str">
        <f>IFERROR(__xludf.DUMMYFUNCTION("IFNA(FILTER(IMPORTRANGE(""https://docs.google.com/spreadsheets/d/1kGrh75X1cNR1D7_FcY9zMnHP8iPO4M5RCRjy6nZY0TY/edit#gid=1248694442"",""Table 3: 1st-line HC!AA5:AA111""), $A38=IMPORTRANGE(""https://docs.google.com/spreadsheets/d/1kGrh75X1cNR1D7_FcY9zMnHP8iP"&amp;"O4M5RCRjy6nZY0TY/edit#gid=1248694442"",""Table 3: 1st-line HC!A5:A111"")),"""")"),"")</f>
        <v/>
      </c>
      <c r="I38" s="14" t="str">
        <f>IFERROR(__xludf.DUMMYFUNCTION("IFNA(FILTER(IMPORTRANGE(""https://docs.google.com/spreadsheets/d/1kGrh75X1cNR1D7_FcY9zMnHP8iPO4M5RCRjy6nZY0TY/edit#gid=1248694442"",""Table 3: 1st-line HC!AB5:AB111""), $A38=IMPORTRANGE(""https://docs.google.com/spreadsheets/d/1kGrh75X1cNR1D7_FcY9zMnHP8iP"&amp;"O4M5RCRjy6nZY0TY/edit#gid=1248694442"",""Table 3: 1st-line HC!A5:A111"")),"""")"),"")</f>
        <v/>
      </c>
      <c r="J38" s="14" t="str">
        <f>IFERROR(__xludf.DUMMYFUNCTION("IFNA(FILTER(IMPORTRANGE(""https://docs.google.com/spreadsheets/d/1kGrh75X1cNR1D7_FcY9zMnHP8iPO4M5RCRjy6nZY0TY/edit#gid=1248694442"",""Table 3: 1st-line HC!AC5:AC111""), $A38=IMPORTRANGE(""https://docs.google.com/spreadsheets/d/1kGrh75X1cNR1D7_FcY9zMnHP8iP"&amp;"O4M5RCRjy6nZY0TY/edit#gid=1248694442"",""Table 3: 1st-line HC!A5:A111"")),"""")"),"")</f>
        <v/>
      </c>
      <c r="K38" s="20" t="str">
        <f>IFERROR(__xludf.DUMMYFUNCTION("IFNA(FILTER(IMPORTRANGE(""https://docs.google.com/spreadsheets/d/1kGrh75X1cNR1D7_FcY9zMnHP8iPO4M5RCRjy6nZY0TY/edit#gid=1248694442"",""Table 3: 1st-line HC!AD5:AD111""), $A38=IMPORTRANGE(""https://docs.google.com/spreadsheets/d/1kGrh75X1cNR1D7_FcY9zMnHP8iP"&amp;"O4M5RCRjy6nZY0TY/edit#gid=1248694442"",""Table 3: 1st-line HC!A5:A111"")),"""")"),"")</f>
        <v/>
      </c>
      <c r="L38" s="14" t="str">
        <f>IFERROR(__xludf.DUMMYFUNCTION("IFNA(FILTER(IMPORTRANGE(""https://docs.google.com/spreadsheets/d/1kGrh75X1cNR1D7_FcY9zMnHP8iPO4M5RCRjy6nZY0TY/edit#gid=1248694442"",""Table 3: 1st-line HC!W5:W111""), $A38=IMPORTRANGE(""https://docs.google.com/spreadsheets/d/1kGrh75X1cNR1D7_FcY9zMnHP8iPO4"&amp;"M5RCRjy6nZY0TY/edit#gid=1248694442"",""Table 3: 1st-line HC!A5:A111"")),"""")"),"")</f>
        <v/>
      </c>
      <c r="M38" s="14" t="str">
        <f>IFERROR(__xludf.DUMMYFUNCTION("IFNA(FILTER(IMPORTRANGE(""https://docs.google.com/spreadsheets/d/1kGrh75X1cNR1D7_FcY9zMnHP8iPO4M5RCRjy6nZY0TY/edit#gid=1248694442"",""Table 3: 1st-line HC!X5:X111""), $A38=IMPORTRANGE(""https://docs.google.com/spreadsheets/d/1kGrh75X1cNR1D7_FcY9zMnHP8iPO4"&amp;"M5RCRjy6nZY0TY/edit#gid=1248694442"",""Table 3: 1st-line HC!A5:A111"")),"""")"),"")</f>
        <v/>
      </c>
      <c r="N38" s="14" t="str">
        <f>IFERROR(__xludf.DUMMYFUNCTION("IFNA(FILTER(IMPORTRANGE(""https://docs.google.com/spreadsheets/d/1kGrh75X1cNR1D7_FcY9zMnHP8iPO4M5RCRjy6nZY0TY/edit#gid=1248694442"",""Table 4: 2nd-line HC or more!C5:C85""), $A38=IMPORTRANGE(""https://docs.google.com/spreadsheets/d/1kGrh75X1cNR1D7_FcY9zMn"&amp;"HP8iPO4M5RCRjy6nZY0TY/edit#gid=1248694442"",""Table 4: 2nd-line HC or more!A5:A85"")),"""")"),"")</f>
        <v/>
      </c>
      <c r="O38" s="14">
        <f>IFERROR(__xludf.DUMMYFUNCTION("IFNA(FILTER(IMPORTRANGE(""https://docs.google.com/spreadsheets/d/1kGrh75X1cNR1D7_FcY9zMnHP8iPO4M5RCRjy6nZY0TY/edit#gid=1248694442"",""Table 4: 2nd-line HC or more!D5:D85""), $A38=IMPORTRANGE(""https://docs.google.com/spreadsheets/d/1kGrh75X1cNR1D7_FcY9zMn"&amp;"HP8iPO4M5RCRjy6nZY0TY/edit#gid=1248694442"",""Table 4: 2nd-line HC or more!A5:A85"")),"""")"),28.0)</f>
        <v>28</v>
      </c>
      <c r="P38" s="14" t="str">
        <f>IFERROR(__xludf.DUMMYFUNCTION("IFNA(FILTER(IMPORTRANGE(""https://docs.google.com/spreadsheets/d/1kGrh75X1cNR1D7_FcY9zMnHP8iPO4M5RCRjy6nZY0TY/edit#gid=1248694442"",""Table 4: 2nd-line HC or more!E5:E85""), $A38=IMPORTRANGE(""https://docs.google.com/spreadsheets/d/1kGrh75X1cNR1D7_FcY9zMn"&amp;"HP8iPO4M5RCRjy6nZY0TY/edit#gid=1248694442"",""Table 4: 2nd-line HC or more!A5:A85"")),"""")"),"")</f>
        <v/>
      </c>
      <c r="Q38" s="14" t="str">
        <f>IFERROR(__xludf.DUMMYFUNCTION("IFNA(FILTER(IMPORTRANGE(""https://docs.google.com/spreadsheets/d/1kGrh75X1cNR1D7_FcY9zMnHP8iPO4M5RCRjy6nZY0TY/edit#gid=1248694442"",""Table 4: 2nd-line HC or more!F5:F85""), $A38=IMPORTRANGE(""https://docs.google.com/spreadsheets/d/1kGrh75X1cNR1D7_FcY9zMn"&amp;"HP8iPO4M5RCRjy6nZY0TY/edit#gid=1248694442"",""Table 4: 2nd-line HC or more!A5:A85"")),"""")"),"")</f>
        <v/>
      </c>
      <c r="R38" s="14" t="str">
        <f>IFERROR(__xludf.DUMMYFUNCTION("IFNA(FILTER(IMPORTRANGE(""https://docs.google.com/spreadsheets/d/1kGrh75X1cNR1D7_FcY9zMnHP8iPO4M5RCRjy6nZY0TY/edit#gid=1248694442"",""Table 4: 2nd-line HC or more!G5:G85""), $A38=IMPORTRANGE(""https://docs.google.com/spreadsheets/d/1kGrh75X1cNR1D7_FcY9zMn"&amp;"HP8iPO4M5RCRjy6nZY0TY/edit#gid=1248694442"",""Table 4: 2nd-line HC or more!A5:A85"")),"""")"),"")</f>
        <v/>
      </c>
      <c r="S38" s="14" t="str">
        <f>IFERROR(__xludf.DUMMYFUNCTION("IFNA(FILTER(IMPORTRANGE(""https://docs.google.com/spreadsheets/d/1kGrh75X1cNR1D7_FcY9zMnHP8iPO4M5RCRjy6nZY0TY/edit#gid=1248694442"",""Table 4: 2nd-line HC or more!H5:H85""), $A38=IMPORTRANGE(""https://docs.google.com/spreadsheets/d/1kGrh75X1cNR1D7_FcY9zMn"&amp;"HP8iPO4M5RCRjy6nZY0TY/edit#gid=1248694442"",""Table 4: 2nd-line HC or more!A5:A85"")),"""")"),"")</f>
        <v/>
      </c>
      <c r="T38" s="14" t="str">
        <f>IFERROR(__xludf.DUMMYFUNCTION("IFNA(FILTER(IMPORTRANGE(""https://docs.google.com/spreadsheets/d/1kGrh75X1cNR1D7_FcY9zMnHP8iPO4M5RCRjy6nZY0TY/edit#gid=1248694442"",""Table 3: 1st-line HC!F5:F111""), $A38=IMPORTRANGE(""https://docs.google.com/spreadsheets/d/1kGrh75X1cNR1D7_FcY9zMnHP8iPO4"&amp;"M5RCRjy6nZY0TY/edit#gid=1248694442"",""Table 3: 1st-line HC!A5:A111"")),"""")"),"")</f>
        <v/>
      </c>
      <c r="U38" s="14" t="str">
        <f>IFERROR(__xludf.DUMMYFUNCTION("IFNA(FILTER(IMPORTRANGE(""https://docs.google.com/spreadsheets/d/1kGrh75X1cNR1D7_FcY9zMnHP8iPO4M5RCRjy6nZY0TY/edit#gid=1248694442"",""Table 3: 1st-line HC!G5:G111""), $A38=IMPORTRANGE(""https://docs.google.com/spreadsheets/d/1kGrh75X1cNR1D7_FcY9zMnHP8iPO4"&amp;"M5RCRjy6nZY0TY/edit#gid=1248694442"",""Table 3: 1st-line HC!A5:A111"")),"""")"),"")</f>
        <v/>
      </c>
      <c r="V38" s="14" t="str">
        <f>IFERROR(__xludf.DUMMYFUNCTION("IFNA(FILTER(IMPORTRANGE(""https://docs.google.com/spreadsheets/d/1kGrh75X1cNR1D7_FcY9zMnHP8iPO4M5RCRjy6nZY0TY/edit#gid=1248694442"",""Table 3: 1st-line HC!H5:H111""), $A38=IMPORTRANGE(""https://docs.google.com/spreadsheets/d/1kGrh75X1cNR1D7_FcY9zMnHP8iPO4"&amp;"M5RCRjy6nZY0TY/edit#gid=1248694442"",""Table 3: 1st-line HC!A5:A111"")),"""")"),"")</f>
        <v/>
      </c>
      <c r="W38" s="14" t="str">
        <f>IFERROR(__xludf.DUMMYFUNCTION("IFNA(FILTER(IMPORTRANGE(""https://docs.google.com/spreadsheets/d/1kGrh75X1cNR1D7_FcY9zMnHP8iPO4M5RCRjy6nZY0TY/edit#gid=1248694442"",""Table 3: 1st-line HC!I5:I111""), $A38=IMPORTRANGE(""https://docs.google.com/spreadsheets/d/1kGrh75X1cNR1D7_FcY9zMnHP8iPO4"&amp;"M5RCRjy6nZY0TY/edit#gid=1248694442"",""Table 3: 1st-line HC!A5:A111"")),"""")"),"")</f>
        <v/>
      </c>
    </row>
    <row r="39">
      <c r="A39" s="4" t="str">
        <f>IFERROR(__xludf.DUMMYFUNCTION("""COMPUTED_VALUE"""),"ID 76")</f>
        <v>ID 76</v>
      </c>
      <c r="B39" s="14" t="str">
        <f>IFERROR(__xludf.DUMMYFUNCTION("IFNA(FILTER(IMPORTRANGE(""https://docs.google.com/spreadsheets/d/1kGrh75X1cNR1D7_FcY9zMnHP8iPO4M5RCRjy6nZY0TY/edit#gid=1248694442"",""Table 3: 1st-line HC!AZ5:AZ111""), $A39=IMPORTRANGE(""https://docs.google.com/spreadsheets/d/1kGrh75X1cNR1D7_FcY9zMnHP8iP"&amp;"O4M5RCRjy6nZY0TY/edit#gid=1248694442"",""Table 3: 1st-line HC!A5:A111"")),"""")"),"")</f>
        <v/>
      </c>
      <c r="C39" s="14" t="str">
        <f>IFERROR(__xludf.DUMMYFUNCTION("IFNA(FILTER(IMPORTRANGE(""https://docs.google.com/spreadsheets/d/1kGrh75X1cNR1D7_FcY9zMnHP8iPO4M5RCRjy6nZY0TY/edit#gid=1248694442"",""Table 3: 1st-line HC!BA5:BA111""), $A39=IMPORTRANGE(""https://docs.google.com/spreadsheets/d/1kGrh75X1cNR1D7_FcY9zMnHP8iP"&amp;"O4M5RCRjy6nZY0TY/edit#gid=1248694442"",""Table 3: 1st-line HC!A5:A111"")),"""")"),"")</f>
        <v/>
      </c>
      <c r="D39" s="14" t="str">
        <f>IFERROR(__xludf.DUMMYFUNCTION("IFNA(FILTER(IMPORTRANGE(""https://docs.google.com/spreadsheets/d/1kGrh75X1cNR1D7_FcY9zMnHP8iPO4M5RCRjy6nZY0TY/edit#gid=1248694442"",""Table 3: 1st-line HC!BB5:BB111""), $A39=IMPORTRANGE(""https://docs.google.com/spreadsheets/d/1kGrh75X1cNR1D7_FcY9zMnHP8iP"&amp;"O4M5RCRjy6nZY0TY/edit#gid=1248694442"",""Table 3: 1st-line HC!A5:A111"")),"""")"),"")</f>
        <v/>
      </c>
      <c r="E39" s="19" t="str">
        <f>IFERROR(__xludf.DUMMYFUNCTION("IFNA(FILTER(IMPORTRANGE(""https://docs.google.com/spreadsheets/d/1kGrh75X1cNR1D7_FcY9zMnHP8iPO4M5RCRjy6nZY0TY/edit#gid=1248694442"",""Table 3: 1st-line HC!BC5:BC111""), $A39=IMPORTRANGE(""https://docs.google.com/spreadsheets/d/1kGrh75X1cNR1D7_FcY9zMnHP8iP"&amp;"O4M5RCRjy6nZY0TY/edit#gid=1248694442"",""Table 3: 1st-line HC!A5:A111"")),"""")"),"")</f>
        <v/>
      </c>
      <c r="F39" s="14" t="str">
        <f>IFERROR(__xludf.DUMMYFUNCTION("IFNA(FILTER(IMPORTRANGE(""https://docs.google.com/spreadsheets/d/1kGrh75X1cNR1D7_FcY9zMnHP8iPO4M5RCRjy6nZY0TY/edit#gid=1248694442"",""Table 3: 1st-line HC!Y5:Y111""), $A39=IMPORTRANGE(""https://docs.google.com/spreadsheets/d/1kGrh75X1cNR1D7_FcY9zMnHP8iPO4"&amp;"M5RCRjy6nZY0TY/edit#gid=1248694442"",""Table 3: 1st-line HC!A5:A111"")),"""")"),"")</f>
        <v/>
      </c>
      <c r="G39" s="14">
        <f>IFERROR(__xludf.DUMMYFUNCTION("IFNA(FILTER(IMPORTRANGE(""https://docs.google.com/spreadsheets/d/1kGrh75X1cNR1D7_FcY9zMnHP8iPO4M5RCRjy6nZY0TY/edit#gid=1248694442"",""Table 3: 1st-line HC!Z5:Z111""), $A39=IMPORTRANGE(""https://docs.google.com/spreadsheets/d/1kGrh75X1cNR1D7_FcY9zMnHP8iPO4"&amp;"M5RCRjy6nZY0TY/edit#gid=1248694442"",""Table 3: 1st-line HC!A5:A111"")),"""")"),55.0)</f>
        <v>55</v>
      </c>
      <c r="H39" s="14" t="str">
        <f>IFERROR(__xludf.DUMMYFUNCTION("IFNA(FILTER(IMPORTRANGE(""https://docs.google.com/spreadsheets/d/1kGrh75X1cNR1D7_FcY9zMnHP8iPO4M5RCRjy6nZY0TY/edit#gid=1248694442"",""Table 3: 1st-line HC!AA5:AA111""), $A39=IMPORTRANGE(""https://docs.google.com/spreadsheets/d/1kGrh75X1cNR1D7_FcY9zMnHP8iP"&amp;"O4M5RCRjy6nZY0TY/edit#gid=1248694442"",""Table 3: 1st-line HC!A5:A111"")),"""")"),"")</f>
        <v/>
      </c>
      <c r="I39" s="14" t="str">
        <f>IFERROR(__xludf.DUMMYFUNCTION("IFNA(FILTER(IMPORTRANGE(""https://docs.google.com/spreadsheets/d/1kGrh75X1cNR1D7_FcY9zMnHP8iPO4M5RCRjy6nZY0TY/edit#gid=1248694442"",""Table 3: 1st-line HC!AB5:AB111""), $A39=IMPORTRANGE(""https://docs.google.com/spreadsheets/d/1kGrh75X1cNR1D7_FcY9zMnHP8iP"&amp;"O4M5RCRjy6nZY0TY/edit#gid=1248694442"",""Table 3: 1st-line HC!A5:A111"")),"""")"),"")</f>
        <v/>
      </c>
      <c r="J39" s="14" t="str">
        <f>IFERROR(__xludf.DUMMYFUNCTION("IFNA(FILTER(IMPORTRANGE(""https://docs.google.com/spreadsheets/d/1kGrh75X1cNR1D7_FcY9zMnHP8iPO4M5RCRjy6nZY0TY/edit#gid=1248694442"",""Table 3: 1st-line HC!AC5:AC111""), $A39=IMPORTRANGE(""https://docs.google.com/spreadsheets/d/1kGrh75X1cNR1D7_FcY9zMnHP8iP"&amp;"O4M5RCRjy6nZY0TY/edit#gid=1248694442"",""Table 3: 1st-line HC!A5:A111"")),"""")"),"")</f>
        <v/>
      </c>
      <c r="K39" s="20" t="str">
        <f>IFERROR(__xludf.DUMMYFUNCTION("IFNA(FILTER(IMPORTRANGE(""https://docs.google.com/spreadsheets/d/1kGrh75X1cNR1D7_FcY9zMnHP8iPO4M5RCRjy6nZY0TY/edit#gid=1248694442"",""Table 3: 1st-line HC!AD5:AD111""), $A39=IMPORTRANGE(""https://docs.google.com/spreadsheets/d/1kGrh75X1cNR1D7_FcY9zMnHP8iP"&amp;"O4M5RCRjy6nZY0TY/edit#gid=1248694442"",""Table 3: 1st-line HC!A5:A111"")),"""")"),"")</f>
        <v/>
      </c>
      <c r="L39" s="14" t="str">
        <f>IFERROR(__xludf.DUMMYFUNCTION("IFNA(FILTER(IMPORTRANGE(""https://docs.google.com/spreadsheets/d/1kGrh75X1cNR1D7_FcY9zMnHP8iPO4M5RCRjy6nZY0TY/edit#gid=1248694442"",""Table 3: 1st-line HC!W5:W111""), $A39=IMPORTRANGE(""https://docs.google.com/spreadsheets/d/1kGrh75X1cNR1D7_FcY9zMnHP8iPO4"&amp;"M5RCRjy6nZY0TY/edit#gid=1248694442"",""Table 3: 1st-line HC!A5:A111"")),"""")"),"")</f>
        <v/>
      </c>
      <c r="M39" s="14">
        <f>IFERROR(__xludf.DUMMYFUNCTION("IFNA(FILTER(IMPORTRANGE(""https://docs.google.com/spreadsheets/d/1kGrh75X1cNR1D7_FcY9zMnHP8iPO4M5RCRjy6nZY0TY/edit#gid=1248694442"",""Table 3: 1st-line HC!X5:X111""), $A39=IMPORTRANGE(""https://docs.google.com/spreadsheets/d/1kGrh75X1cNR1D7_FcY9zMnHP8iPO4"&amp;"M5RCRjy6nZY0TY/edit#gid=1248694442"",""Table 3: 1st-line HC!A5:A111"")),"""")"),17.0)</f>
        <v>17</v>
      </c>
      <c r="N39" s="14" t="str">
        <f>IFERROR(__xludf.DUMMYFUNCTION("IFNA(FILTER(IMPORTRANGE(""https://docs.google.com/spreadsheets/d/1kGrh75X1cNR1D7_FcY9zMnHP8iPO4M5RCRjy6nZY0TY/edit#gid=1248694442"",""Table 4: 2nd-line HC or more!C5:C85""), $A39=IMPORTRANGE(""https://docs.google.com/spreadsheets/d/1kGrh75X1cNR1D7_FcY9zMn"&amp;"HP8iPO4M5RCRjy6nZY0TY/edit#gid=1248694442"",""Table 4: 2nd-line HC or more!A5:A85"")),"""")"),"")</f>
        <v/>
      </c>
      <c r="O39" s="14" t="str">
        <f>IFERROR(__xludf.DUMMYFUNCTION("IFNA(FILTER(IMPORTRANGE(""https://docs.google.com/spreadsheets/d/1kGrh75X1cNR1D7_FcY9zMnHP8iPO4M5RCRjy6nZY0TY/edit#gid=1248694442"",""Table 4: 2nd-line HC or more!D5:D85""), $A39=IMPORTRANGE(""https://docs.google.com/spreadsheets/d/1kGrh75X1cNR1D7_FcY9zMn"&amp;"HP8iPO4M5RCRjy6nZY0TY/edit#gid=1248694442"",""Table 4: 2nd-line HC or more!A5:A85"")),"""")"),"")</f>
        <v/>
      </c>
      <c r="P39" s="14" t="str">
        <f>IFERROR(__xludf.DUMMYFUNCTION("IFNA(FILTER(IMPORTRANGE(""https://docs.google.com/spreadsheets/d/1kGrh75X1cNR1D7_FcY9zMnHP8iPO4M5RCRjy6nZY0TY/edit#gid=1248694442"",""Table 4: 2nd-line HC or more!E5:E85""), $A39=IMPORTRANGE(""https://docs.google.com/spreadsheets/d/1kGrh75X1cNR1D7_FcY9zMn"&amp;"HP8iPO4M5RCRjy6nZY0TY/edit#gid=1248694442"",""Table 4: 2nd-line HC or more!A5:A85"")),"""")"),"")</f>
        <v/>
      </c>
      <c r="Q39" s="14" t="str">
        <f>IFERROR(__xludf.DUMMYFUNCTION("IFNA(FILTER(IMPORTRANGE(""https://docs.google.com/spreadsheets/d/1kGrh75X1cNR1D7_FcY9zMnHP8iPO4M5RCRjy6nZY0TY/edit#gid=1248694442"",""Table 4: 2nd-line HC or more!F5:F85""), $A39=IMPORTRANGE(""https://docs.google.com/spreadsheets/d/1kGrh75X1cNR1D7_FcY9zMn"&amp;"HP8iPO4M5RCRjy6nZY0TY/edit#gid=1248694442"",""Table 4: 2nd-line HC or more!A5:A85"")),"""")"),"")</f>
        <v/>
      </c>
      <c r="R39" s="14" t="str">
        <f>IFERROR(__xludf.DUMMYFUNCTION("IFNA(FILTER(IMPORTRANGE(""https://docs.google.com/spreadsheets/d/1kGrh75X1cNR1D7_FcY9zMnHP8iPO4M5RCRjy6nZY0TY/edit#gid=1248694442"",""Table 4: 2nd-line HC or more!G5:G85""), $A39=IMPORTRANGE(""https://docs.google.com/spreadsheets/d/1kGrh75X1cNR1D7_FcY9zMn"&amp;"HP8iPO4M5RCRjy6nZY0TY/edit#gid=1248694442"",""Table 4: 2nd-line HC or more!A5:A85"")),"""")"),"")</f>
        <v/>
      </c>
      <c r="S39" s="14" t="str">
        <f>IFERROR(__xludf.DUMMYFUNCTION("IFNA(FILTER(IMPORTRANGE(""https://docs.google.com/spreadsheets/d/1kGrh75X1cNR1D7_FcY9zMnHP8iPO4M5RCRjy6nZY0TY/edit#gid=1248694442"",""Table 4: 2nd-line HC or more!H5:H85""), $A39=IMPORTRANGE(""https://docs.google.com/spreadsheets/d/1kGrh75X1cNR1D7_FcY9zMn"&amp;"HP8iPO4M5RCRjy6nZY0TY/edit#gid=1248694442"",""Table 4: 2nd-line HC or more!A5:A85"")),"""")"),"")</f>
        <v/>
      </c>
      <c r="T39" s="14" t="str">
        <f>IFERROR(__xludf.DUMMYFUNCTION("IFNA(FILTER(IMPORTRANGE(""https://docs.google.com/spreadsheets/d/1kGrh75X1cNR1D7_FcY9zMnHP8iPO4M5RCRjy6nZY0TY/edit#gid=1248694442"",""Table 3: 1st-line HC!F5:F111""), $A39=IMPORTRANGE(""https://docs.google.com/spreadsheets/d/1kGrh75X1cNR1D7_FcY9zMnHP8iPO4"&amp;"M5RCRjy6nZY0TY/edit#gid=1248694442"",""Table 3: 1st-line HC!A5:A111"")),"""")"),"")</f>
        <v/>
      </c>
      <c r="U39" s="14" t="str">
        <f>IFERROR(__xludf.DUMMYFUNCTION("IFNA(FILTER(IMPORTRANGE(""https://docs.google.com/spreadsheets/d/1kGrh75X1cNR1D7_FcY9zMnHP8iPO4M5RCRjy6nZY0TY/edit#gid=1248694442"",""Table 3: 1st-line HC!G5:G111""), $A39=IMPORTRANGE(""https://docs.google.com/spreadsheets/d/1kGrh75X1cNR1D7_FcY9zMnHP8iPO4"&amp;"M5RCRjy6nZY0TY/edit#gid=1248694442"",""Table 3: 1st-line HC!A5:A111"")),"""")"),"")</f>
        <v/>
      </c>
      <c r="V39" s="14" t="str">
        <f>IFERROR(__xludf.DUMMYFUNCTION("IFNA(FILTER(IMPORTRANGE(""https://docs.google.com/spreadsheets/d/1kGrh75X1cNR1D7_FcY9zMnHP8iPO4M5RCRjy6nZY0TY/edit#gid=1248694442"",""Table 3: 1st-line HC!H5:H111""), $A39=IMPORTRANGE(""https://docs.google.com/spreadsheets/d/1kGrh75X1cNR1D7_FcY9zMnHP8iPO4"&amp;"M5RCRjy6nZY0TY/edit#gid=1248694442"",""Table 3: 1st-line HC!A5:A111"")),"""")"),"")</f>
        <v/>
      </c>
      <c r="W39" s="14" t="str">
        <f>IFERROR(__xludf.DUMMYFUNCTION("IFNA(FILTER(IMPORTRANGE(""https://docs.google.com/spreadsheets/d/1kGrh75X1cNR1D7_FcY9zMnHP8iPO4M5RCRjy6nZY0TY/edit#gid=1248694442"",""Table 3: 1st-line HC!I5:I111""), $A39=IMPORTRANGE(""https://docs.google.com/spreadsheets/d/1kGrh75X1cNR1D7_FcY9zMnHP8iPO4"&amp;"M5RCRjy6nZY0TY/edit#gid=1248694442"",""Table 3: 1st-line HC!A5:A111"")),"""")"),"")</f>
        <v/>
      </c>
    </row>
    <row r="40">
      <c r="A40" s="4" t="str">
        <f>IFERROR(__xludf.DUMMYFUNCTION("""COMPUTED_VALUE"""),"ID 77")</f>
        <v>ID 77</v>
      </c>
      <c r="B40" s="14" t="str">
        <f>IFERROR(__xludf.DUMMYFUNCTION("IFNA(FILTER(IMPORTRANGE(""https://docs.google.com/spreadsheets/d/1kGrh75X1cNR1D7_FcY9zMnHP8iPO4M5RCRjy6nZY0TY/edit#gid=1248694442"",""Table 3: 1st-line HC!AZ5:AZ111""), $A40=IMPORTRANGE(""https://docs.google.com/spreadsheets/d/1kGrh75X1cNR1D7_FcY9zMnHP8iP"&amp;"O4M5RCRjy6nZY0TY/edit#gid=1248694442"",""Table 3: 1st-line HC!A5:A111"")),"""")"),"")</f>
        <v/>
      </c>
      <c r="C40" s="14" t="str">
        <f>IFERROR(__xludf.DUMMYFUNCTION("IFNA(FILTER(IMPORTRANGE(""https://docs.google.com/spreadsheets/d/1kGrh75X1cNR1D7_FcY9zMnHP8iPO4M5RCRjy6nZY0TY/edit#gid=1248694442"",""Table 3: 1st-line HC!BA5:BA111""), $A40=IMPORTRANGE(""https://docs.google.com/spreadsheets/d/1kGrh75X1cNR1D7_FcY9zMnHP8iP"&amp;"O4M5RCRjy6nZY0TY/edit#gid=1248694442"",""Table 3: 1st-line HC!A5:A111"")),"""")"),"")</f>
        <v/>
      </c>
      <c r="D40" s="14" t="str">
        <f>IFERROR(__xludf.DUMMYFUNCTION("IFNA(FILTER(IMPORTRANGE(""https://docs.google.com/spreadsheets/d/1kGrh75X1cNR1D7_FcY9zMnHP8iPO4M5RCRjy6nZY0TY/edit#gid=1248694442"",""Table 3: 1st-line HC!BB5:BB111""), $A40=IMPORTRANGE(""https://docs.google.com/spreadsheets/d/1kGrh75X1cNR1D7_FcY9zMnHP8iP"&amp;"O4M5RCRjy6nZY0TY/edit#gid=1248694442"",""Table 3: 1st-line HC!A5:A111"")),"""")"),"")</f>
        <v/>
      </c>
      <c r="E40" s="19" t="str">
        <f>IFERROR(__xludf.DUMMYFUNCTION("IFNA(FILTER(IMPORTRANGE(""https://docs.google.com/spreadsheets/d/1kGrh75X1cNR1D7_FcY9zMnHP8iPO4M5RCRjy6nZY0TY/edit#gid=1248694442"",""Table 3: 1st-line HC!BC5:BC111""), $A40=IMPORTRANGE(""https://docs.google.com/spreadsheets/d/1kGrh75X1cNR1D7_FcY9zMnHP8iP"&amp;"O4M5RCRjy6nZY0TY/edit#gid=1248694442"",""Table 3: 1st-line HC!A5:A111"")),"""")"),"1-2")</f>
        <v>1-2</v>
      </c>
      <c r="F40" s="14" t="str">
        <f>IFERROR(__xludf.DUMMYFUNCTION("IFNA(FILTER(IMPORTRANGE(""https://docs.google.com/spreadsheets/d/1kGrh75X1cNR1D7_FcY9zMnHP8iPO4M5RCRjy6nZY0TY/edit#gid=1248694442"",""Table 3: 1st-line HC!Y5:Y111""), $A40=IMPORTRANGE(""https://docs.google.com/spreadsheets/d/1kGrh75X1cNR1D7_FcY9zMnHP8iPO4"&amp;"M5RCRjy6nZY0TY/edit#gid=1248694442"",""Table 3: 1st-line HC!A5:A111"")),"""")"),"")</f>
        <v/>
      </c>
      <c r="G40" s="14" t="str">
        <f>IFERROR(__xludf.DUMMYFUNCTION("IFNA(FILTER(IMPORTRANGE(""https://docs.google.com/spreadsheets/d/1kGrh75X1cNR1D7_FcY9zMnHP8iPO4M5RCRjy6nZY0TY/edit#gid=1248694442"",""Table 3: 1st-line HC!Z5:Z111""), $A40=IMPORTRANGE(""https://docs.google.com/spreadsheets/d/1kGrh75X1cNR1D7_FcY9zMnHP8iPO4"&amp;"M5RCRjy6nZY0TY/edit#gid=1248694442"",""Table 3: 1st-line HC!A5:A111"")),"""")"),"")</f>
        <v/>
      </c>
      <c r="H40" s="14">
        <f>IFERROR(__xludf.DUMMYFUNCTION("IFNA(FILTER(IMPORTRANGE(""https://docs.google.com/spreadsheets/d/1kGrh75X1cNR1D7_FcY9zMnHP8iPO4M5RCRjy6nZY0TY/edit#gid=1248694442"",""Table 3: 1st-line HC!AA5:AA111""), $A40=IMPORTRANGE(""https://docs.google.com/spreadsheets/d/1kGrh75X1cNR1D7_FcY9zMnHP8iP"&amp;"O4M5RCRjy6nZY0TY/edit#gid=1248694442"",""Table 3: 1st-line HC!A5:A111"")),"""")"),5.0)</f>
        <v>5</v>
      </c>
      <c r="I40" s="14" t="str">
        <f>IFERROR(__xludf.DUMMYFUNCTION("IFNA(FILTER(IMPORTRANGE(""https://docs.google.com/spreadsheets/d/1kGrh75X1cNR1D7_FcY9zMnHP8iPO4M5RCRjy6nZY0TY/edit#gid=1248694442"",""Table 3: 1st-line HC!AB5:AB111""), $A40=IMPORTRANGE(""https://docs.google.com/spreadsheets/d/1kGrh75X1cNR1D7_FcY9zMnHP8iP"&amp;"O4M5RCRjy6nZY0TY/edit#gid=1248694442"",""Table 3: 1st-line HC!A5:A111"")),"""")"),"")</f>
        <v/>
      </c>
      <c r="J40" s="14" t="str">
        <f>IFERROR(__xludf.DUMMYFUNCTION("IFNA(FILTER(IMPORTRANGE(""https://docs.google.com/spreadsheets/d/1kGrh75X1cNR1D7_FcY9zMnHP8iPO4M5RCRjy6nZY0TY/edit#gid=1248694442"",""Table 3: 1st-line HC!AC5:AC111""), $A40=IMPORTRANGE(""https://docs.google.com/spreadsheets/d/1kGrh75X1cNR1D7_FcY9zMnHP8iP"&amp;"O4M5RCRjy6nZY0TY/edit#gid=1248694442"",""Table 3: 1st-line HC!A5:A111"")),"""")"),"")</f>
        <v/>
      </c>
      <c r="K40" s="20" t="str">
        <f>IFERROR(__xludf.DUMMYFUNCTION("IFNA(FILTER(IMPORTRANGE(""https://docs.google.com/spreadsheets/d/1kGrh75X1cNR1D7_FcY9zMnHP8iPO4M5RCRjy6nZY0TY/edit#gid=1248694442"",""Table 3: 1st-line HC!AD5:AD111""), $A40=IMPORTRANGE(""https://docs.google.com/spreadsheets/d/1kGrh75X1cNR1D7_FcY9zMnHP8iP"&amp;"O4M5RCRjy6nZY0TY/edit#gid=1248694442"",""Table 3: 1st-line HC!A5:A111"")),"""")"),"")</f>
        <v/>
      </c>
      <c r="L40" s="14" t="str">
        <f>IFERROR(__xludf.DUMMYFUNCTION("IFNA(FILTER(IMPORTRANGE(""https://docs.google.com/spreadsheets/d/1kGrh75X1cNR1D7_FcY9zMnHP8iPO4M5RCRjy6nZY0TY/edit#gid=1248694442"",""Table 3: 1st-line HC!W5:W111""), $A40=IMPORTRANGE(""https://docs.google.com/spreadsheets/d/1kGrh75X1cNR1D7_FcY9zMnHP8iPO4"&amp;"M5RCRjy6nZY0TY/edit#gid=1248694442"",""Table 3: 1st-line HC!A5:A111"")),"""")"),"")</f>
        <v/>
      </c>
      <c r="M40" s="14" t="str">
        <f>IFERROR(__xludf.DUMMYFUNCTION("IFNA(FILTER(IMPORTRANGE(""https://docs.google.com/spreadsheets/d/1kGrh75X1cNR1D7_FcY9zMnHP8iPO4M5RCRjy6nZY0TY/edit#gid=1248694442"",""Table 3: 1st-line HC!X5:X111""), $A40=IMPORTRANGE(""https://docs.google.com/spreadsheets/d/1kGrh75X1cNR1D7_FcY9zMnHP8iPO4"&amp;"M5RCRjy6nZY0TY/edit#gid=1248694442"",""Table 3: 1st-line HC!A5:A111"")),"""")"),"")</f>
        <v/>
      </c>
      <c r="N40" s="14" t="str">
        <f>IFERROR(__xludf.DUMMYFUNCTION("IFNA(FILTER(IMPORTRANGE(""https://docs.google.com/spreadsheets/d/1kGrh75X1cNR1D7_FcY9zMnHP8iPO4M5RCRjy6nZY0TY/edit#gid=1248694442"",""Table 4: 2nd-line HC or more!C5:C85""), $A40=IMPORTRANGE(""https://docs.google.com/spreadsheets/d/1kGrh75X1cNR1D7_FcY9zMn"&amp;"HP8iPO4M5RCRjy6nZY0TY/edit#gid=1248694442"",""Table 4: 2nd-line HC or more!A5:A85"")),"""")"),"")</f>
        <v/>
      </c>
      <c r="O40" s="14" t="str">
        <f>IFERROR(__xludf.DUMMYFUNCTION("IFNA(FILTER(IMPORTRANGE(""https://docs.google.com/spreadsheets/d/1kGrh75X1cNR1D7_FcY9zMnHP8iPO4M5RCRjy6nZY0TY/edit#gid=1248694442"",""Table 4: 2nd-line HC or more!D5:D85""), $A40=IMPORTRANGE(""https://docs.google.com/spreadsheets/d/1kGrh75X1cNR1D7_FcY9zMn"&amp;"HP8iPO4M5RCRjy6nZY0TY/edit#gid=1248694442"",""Table 4: 2nd-line HC or more!A5:A85"")),"""")"),"")</f>
        <v/>
      </c>
      <c r="P40" s="14" t="str">
        <f>IFERROR(__xludf.DUMMYFUNCTION("IFNA(FILTER(IMPORTRANGE(""https://docs.google.com/spreadsheets/d/1kGrh75X1cNR1D7_FcY9zMnHP8iPO4M5RCRjy6nZY0TY/edit#gid=1248694442"",""Table 4: 2nd-line HC or more!E5:E85""), $A40=IMPORTRANGE(""https://docs.google.com/spreadsheets/d/1kGrh75X1cNR1D7_FcY9zMn"&amp;"HP8iPO4M5RCRjy6nZY0TY/edit#gid=1248694442"",""Table 4: 2nd-line HC or more!A5:A85"")),"""")"),"")</f>
        <v/>
      </c>
      <c r="Q40" s="14" t="str">
        <f>IFERROR(__xludf.DUMMYFUNCTION("IFNA(FILTER(IMPORTRANGE(""https://docs.google.com/spreadsheets/d/1kGrh75X1cNR1D7_FcY9zMnHP8iPO4M5RCRjy6nZY0TY/edit#gid=1248694442"",""Table 4: 2nd-line HC or more!F5:F85""), $A40=IMPORTRANGE(""https://docs.google.com/spreadsheets/d/1kGrh75X1cNR1D7_FcY9zMn"&amp;"HP8iPO4M5RCRjy6nZY0TY/edit#gid=1248694442"",""Table 4: 2nd-line HC or more!A5:A85"")),"""")"),"")</f>
        <v/>
      </c>
      <c r="R40" s="14" t="str">
        <f>IFERROR(__xludf.DUMMYFUNCTION("IFNA(FILTER(IMPORTRANGE(""https://docs.google.com/spreadsheets/d/1kGrh75X1cNR1D7_FcY9zMnHP8iPO4M5RCRjy6nZY0TY/edit#gid=1248694442"",""Table 4: 2nd-line HC or more!G5:G85""), $A40=IMPORTRANGE(""https://docs.google.com/spreadsheets/d/1kGrh75X1cNR1D7_FcY9zMn"&amp;"HP8iPO4M5RCRjy6nZY0TY/edit#gid=1248694442"",""Table 4: 2nd-line HC or more!A5:A85"")),"""")"),"")</f>
        <v/>
      </c>
      <c r="S40" s="14" t="str">
        <f>IFERROR(__xludf.DUMMYFUNCTION("IFNA(FILTER(IMPORTRANGE(""https://docs.google.com/spreadsheets/d/1kGrh75X1cNR1D7_FcY9zMnHP8iPO4M5RCRjy6nZY0TY/edit#gid=1248694442"",""Table 4: 2nd-line HC or more!H5:H85""), $A40=IMPORTRANGE(""https://docs.google.com/spreadsheets/d/1kGrh75X1cNR1D7_FcY9zMn"&amp;"HP8iPO4M5RCRjy6nZY0TY/edit#gid=1248694442"",""Table 4: 2nd-line HC or more!A5:A85"")),"""")"),"")</f>
        <v/>
      </c>
      <c r="T40" s="14" t="str">
        <f>IFERROR(__xludf.DUMMYFUNCTION("IFNA(FILTER(IMPORTRANGE(""https://docs.google.com/spreadsheets/d/1kGrh75X1cNR1D7_FcY9zMnHP8iPO4M5RCRjy6nZY0TY/edit#gid=1248694442"",""Table 3: 1st-line HC!F5:F111""), $A40=IMPORTRANGE(""https://docs.google.com/spreadsheets/d/1kGrh75X1cNR1D7_FcY9zMnHP8iPO4"&amp;"M5RCRjy6nZY0TY/edit#gid=1248694442"",""Table 3: 1st-line HC!A5:A111"")),"""")"),"")</f>
        <v/>
      </c>
      <c r="U40" s="14">
        <f>IFERROR(__xludf.DUMMYFUNCTION("IFNA(FILTER(IMPORTRANGE(""https://docs.google.com/spreadsheets/d/1kGrh75X1cNR1D7_FcY9zMnHP8iPO4M5RCRjy6nZY0TY/edit#gid=1248694442"",""Table 3: 1st-line HC!G5:G111""), $A40=IMPORTRANGE(""https://docs.google.com/spreadsheets/d/1kGrh75X1cNR1D7_FcY9zMnHP8iPO4"&amp;"M5RCRjy6nZY0TY/edit#gid=1248694442"",""Table 3: 1st-line HC!A5:A111"")),"""")"),5.0)</f>
        <v>5</v>
      </c>
      <c r="V40" s="14" t="str">
        <f>IFERROR(__xludf.DUMMYFUNCTION("IFNA(FILTER(IMPORTRANGE(""https://docs.google.com/spreadsheets/d/1kGrh75X1cNR1D7_FcY9zMnHP8iPO4M5RCRjy6nZY0TY/edit#gid=1248694442"",""Table 3: 1st-line HC!H5:H111""), $A40=IMPORTRANGE(""https://docs.google.com/spreadsheets/d/1kGrh75X1cNR1D7_FcY9zMnHP8iPO4"&amp;"M5RCRjy6nZY0TY/edit#gid=1248694442"",""Table 3: 1st-line HC!A5:A111"")),"""")"),"")</f>
        <v/>
      </c>
      <c r="W40" s="14" t="str">
        <f>IFERROR(__xludf.DUMMYFUNCTION("IFNA(FILTER(IMPORTRANGE(""https://docs.google.com/spreadsheets/d/1kGrh75X1cNR1D7_FcY9zMnHP8iPO4M5RCRjy6nZY0TY/edit#gid=1248694442"",""Table 3: 1st-line HC!I5:I111""), $A40=IMPORTRANGE(""https://docs.google.com/spreadsheets/d/1kGrh75X1cNR1D7_FcY9zMnHP8iPO4"&amp;"M5RCRjy6nZY0TY/edit#gid=1248694442"",""Table 3: 1st-line HC!A5:A111"")),"""")"),"")</f>
        <v/>
      </c>
    </row>
    <row r="41">
      <c r="A41" s="4" t="str">
        <f>IFERROR(__xludf.DUMMYFUNCTION("""COMPUTED_VALUE"""),"ID 83")</f>
        <v>ID 83</v>
      </c>
      <c r="B41" s="14" t="str">
        <f>IFERROR(__xludf.DUMMYFUNCTION("IFNA(FILTER(IMPORTRANGE(""https://docs.google.com/spreadsheets/d/1kGrh75X1cNR1D7_FcY9zMnHP8iPO4M5RCRjy6nZY0TY/edit#gid=1248694442"",""Table 3: 1st-line HC!AZ5:AZ111""), $A41=IMPORTRANGE(""https://docs.google.com/spreadsheets/d/1kGrh75X1cNR1D7_FcY9zMnHP8iP"&amp;"O4M5RCRjy6nZY0TY/edit#gid=1248694442"",""Table 3: 1st-line HC!A5:A111"")),"""")"),"")</f>
        <v/>
      </c>
      <c r="C41" s="14" t="str">
        <f>IFERROR(__xludf.DUMMYFUNCTION("IFNA(FILTER(IMPORTRANGE(""https://docs.google.com/spreadsheets/d/1kGrh75X1cNR1D7_FcY9zMnHP8iPO4M5RCRjy6nZY0TY/edit#gid=1248694442"",""Table 3: 1st-line HC!BA5:BA111""), $A41=IMPORTRANGE(""https://docs.google.com/spreadsheets/d/1kGrh75X1cNR1D7_FcY9zMnHP8iP"&amp;"O4M5RCRjy6nZY0TY/edit#gid=1248694442"",""Table 3: 1st-line HC!A5:A111"")),"""")"),"")</f>
        <v/>
      </c>
      <c r="D41" s="14" t="str">
        <f>IFERROR(__xludf.DUMMYFUNCTION("IFNA(FILTER(IMPORTRANGE(""https://docs.google.com/spreadsheets/d/1kGrh75X1cNR1D7_FcY9zMnHP8iPO4M5RCRjy6nZY0TY/edit#gid=1248694442"",""Table 3: 1st-line HC!BB5:BB111""), $A41=IMPORTRANGE(""https://docs.google.com/spreadsheets/d/1kGrh75X1cNR1D7_FcY9zMnHP8iP"&amp;"O4M5RCRjy6nZY0TY/edit#gid=1248694442"",""Table 3: 1st-line HC!A5:A111"")),"""")"),"")</f>
        <v/>
      </c>
      <c r="E41" s="19" t="str">
        <f>IFERROR(__xludf.DUMMYFUNCTION("IFNA(FILTER(IMPORTRANGE(""https://docs.google.com/spreadsheets/d/1kGrh75X1cNR1D7_FcY9zMnHP8iPO4M5RCRjy6nZY0TY/edit#gid=1248694442"",""Table 3: 1st-line HC!BC5:BC111""), $A41=IMPORTRANGE(""https://docs.google.com/spreadsheets/d/1kGrh75X1cNR1D7_FcY9zMnHP8iP"&amp;"O4M5RCRjy6nZY0TY/edit#gid=1248694442"",""Table 3: 1st-line HC!A5:A111"")),"""")"),"")</f>
        <v/>
      </c>
      <c r="F41" s="14">
        <f>IFERROR(__xludf.DUMMYFUNCTION("IFNA(FILTER(IMPORTRANGE(""https://docs.google.com/spreadsheets/d/1kGrh75X1cNR1D7_FcY9zMnHP8iPO4M5RCRjy6nZY0TY/edit#gid=1248694442"",""Table 3: 1st-line HC!Y5:Y111""), $A41=IMPORTRANGE(""https://docs.google.com/spreadsheets/d/1kGrh75X1cNR1D7_FcY9zMnHP8iPO4"&amp;"M5RCRjy6nZY0TY/edit#gid=1248694442"",""Table 3: 1st-line HC!A5:A111"")),"""")"),8.0)</f>
        <v>8</v>
      </c>
      <c r="G41" s="14">
        <f>IFERROR(__xludf.DUMMYFUNCTION("IFNA(FILTER(IMPORTRANGE(""https://docs.google.com/spreadsheets/d/1kGrh75X1cNR1D7_FcY9zMnHP8iPO4M5RCRjy6nZY0TY/edit#gid=1248694442"",""Table 3: 1st-line HC!Z5:Z111""), $A41=IMPORTRANGE(""https://docs.google.com/spreadsheets/d/1kGrh75X1cNR1D7_FcY9zMnHP8iPO4"&amp;"M5RCRjy6nZY0TY/edit#gid=1248694442"",""Table 3: 1st-line HC!A5:A111"")),"""")"),85.0)</f>
        <v>85</v>
      </c>
      <c r="H41" s="14" t="str">
        <f>IFERROR(__xludf.DUMMYFUNCTION("IFNA(FILTER(IMPORTRANGE(""https://docs.google.com/spreadsheets/d/1kGrh75X1cNR1D7_FcY9zMnHP8iPO4M5RCRjy6nZY0TY/edit#gid=1248694442"",""Table 3: 1st-line HC!AA5:AA111""), $A41=IMPORTRANGE(""https://docs.google.com/spreadsheets/d/1kGrh75X1cNR1D7_FcY9zMnHP8iP"&amp;"O4M5RCRjy6nZY0TY/edit#gid=1248694442"",""Table 3: 1st-line HC!A5:A111"")),"""")"),"")</f>
        <v/>
      </c>
      <c r="I41" s="14" t="str">
        <f>IFERROR(__xludf.DUMMYFUNCTION("IFNA(FILTER(IMPORTRANGE(""https://docs.google.com/spreadsheets/d/1kGrh75X1cNR1D7_FcY9zMnHP8iPO4M5RCRjy6nZY0TY/edit#gid=1248694442"",""Table 3: 1st-line HC!AB5:AB111""), $A41=IMPORTRANGE(""https://docs.google.com/spreadsheets/d/1kGrh75X1cNR1D7_FcY9zMnHP8iP"&amp;"O4M5RCRjy6nZY0TY/edit#gid=1248694442"",""Table 3: 1st-line HC!A5:A111"")),"""")"),"")</f>
        <v/>
      </c>
      <c r="J41" s="14" t="str">
        <f>IFERROR(__xludf.DUMMYFUNCTION("IFNA(FILTER(IMPORTRANGE(""https://docs.google.com/spreadsheets/d/1kGrh75X1cNR1D7_FcY9zMnHP8iPO4M5RCRjy6nZY0TY/edit#gid=1248694442"",""Table 3: 1st-line HC!AC5:AC111""), $A41=IMPORTRANGE(""https://docs.google.com/spreadsheets/d/1kGrh75X1cNR1D7_FcY9zMnHP8iP"&amp;"O4M5RCRjy6nZY0TY/edit#gid=1248694442"",""Table 3: 1st-line HC!A5:A111"")),"""")"),"")</f>
        <v/>
      </c>
      <c r="K41" s="20" t="str">
        <f>IFERROR(__xludf.DUMMYFUNCTION("IFNA(FILTER(IMPORTRANGE(""https://docs.google.com/spreadsheets/d/1kGrh75X1cNR1D7_FcY9zMnHP8iPO4M5RCRjy6nZY0TY/edit#gid=1248694442"",""Table 3: 1st-line HC!AD5:AD111""), $A41=IMPORTRANGE(""https://docs.google.com/spreadsheets/d/1kGrh75X1cNR1D7_FcY9zMnHP8iP"&amp;"O4M5RCRjy6nZY0TY/edit#gid=1248694442"",""Table 3: 1st-line HC!A5:A111"")),"""")"),"")</f>
        <v/>
      </c>
      <c r="L41" s="14" t="str">
        <f>IFERROR(__xludf.DUMMYFUNCTION("IFNA(FILTER(IMPORTRANGE(""https://docs.google.com/spreadsheets/d/1kGrh75X1cNR1D7_FcY9zMnHP8iPO4M5RCRjy6nZY0TY/edit#gid=1248694442"",""Table 3: 1st-line HC!W5:W111""), $A41=IMPORTRANGE(""https://docs.google.com/spreadsheets/d/1kGrh75X1cNR1D7_FcY9zMnHP8iPO4"&amp;"M5RCRjy6nZY0TY/edit#gid=1248694442"",""Table 3: 1st-line HC!A5:A111"")),"""")"),"")</f>
        <v/>
      </c>
      <c r="M41" s="14" t="str">
        <f>IFERROR(__xludf.DUMMYFUNCTION("IFNA(FILTER(IMPORTRANGE(""https://docs.google.com/spreadsheets/d/1kGrh75X1cNR1D7_FcY9zMnHP8iPO4M5RCRjy6nZY0TY/edit#gid=1248694442"",""Table 3: 1st-line HC!X5:X111""), $A41=IMPORTRANGE(""https://docs.google.com/spreadsheets/d/1kGrh75X1cNR1D7_FcY9zMnHP8iPO4"&amp;"M5RCRjy6nZY0TY/edit#gid=1248694442"",""Table 3: 1st-line HC!A5:A111"")),"""")"),"")</f>
        <v/>
      </c>
      <c r="N41" s="14" t="str">
        <f>IFERROR(__xludf.DUMMYFUNCTION("IFNA(FILTER(IMPORTRANGE(""https://docs.google.com/spreadsheets/d/1kGrh75X1cNR1D7_FcY9zMnHP8iPO4M5RCRjy6nZY0TY/edit#gid=1248694442"",""Table 4: 2nd-line HC or more!C5:C85""), $A41=IMPORTRANGE(""https://docs.google.com/spreadsheets/d/1kGrh75X1cNR1D7_FcY9zMn"&amp;"HP8iPO4M5RCRjy6nZY0TY/edit#gid=1248694442"",""Table 4: 2nd-line HC or more!A5:A85"")),"""")"),"")</f>
        <v/>
      </c>
      <c r="O41" s="14">
        <f>IFERROR(__xludf.DUMMYFUNCTION("IFNA(FILTER(IMPORTRANGE(""https://docs.google.com/spreadsheets/d/1kGrh75X1cNR1D7_FcY9zMnHP8iPO4M5RCRjy6nZY0TY/edit#gid=1248694442"",""Table 4: 2nd-line HC or more!D5:D85""), $A41=IMPORTRANGE(""https://docs.google.com/spreadsheets/d/1kGrh75X1cNR1D7_FcY9zMn"&amp;"HP8iPO4M5RCRjy6nZY0TY/edit#gid=1248694442"",""Table 4: 2nd-line HC or more!A5:A85"")),"""")"),73.0)</f>
        <v>73</v>
      </c>
      <c r="P41" s="14" t="str">
        <f>IFERROR(__xludf.DUMMYFUNCTION("IFNA(FILTER(IMPORTRANGE(""https://docs.google.com/spreadsheets/d/1kGrh75X1cNR1D7_FcY9zMnHP8iPO4M5RCRjy6nZY0TY/edit#gid=1248694442"",""Table 4: 2nd-line HC or more!E5:E85""), $A41=IMPORTRANGE(""https://docs.google.com/spreadsheets/d/1kGrh75X1cNR1D7_FcY9zMn"&amp;"HP8iPO4M5RCRjy6nZY0TY/edit#gid=1248694442"",""Table 4: 2nd-line HC or more!A5:A85"")),"""")"),"")</f>
        <v/>
      </c>
      <c r="Q41" s="14" t="str">
        <f>IFERROR(__xludf.DUMMYFUNCTION("IFNA(FILTER(IMPORTRANGE(""https://docs.google.com/spreadsheets/d/1kGrh75X1cNR1D7_FcY9zMnHP8iPO4M5RCRjy6nZY0TY/edit#gid=1248694442"",""Table 4: 2nd-line HC or more!F5:F85""), $A41=IMPORTRANGE(""https://docs.google.com/spreadsheets/d/1kGrh75X1cNR1D7_FcY9zMn"&amp;"HP8iPO4M5RCRjy6nZY0TY/edit#gid=1248694442"",""Table 4: 2nd-line HC or more!A5:A85"")),"""")"),"")</f>
        <v/>
      </c>
      <c r="R41" s="14" t="str">
        <f>IFERROR(__xludf.DUMMYFUNCTION("IFNA(FILTER(IMPORTRANGE(""https://docs.google.com/spreadsheets/d/1kGrh75X1cNR1D7_FcY9zMnHP8iPO4M5RCRjy6nZY0TY/edit#gid=1248694442"",""Table 4: 2nd-line HC or more!G5:G85""), $A41=IMPORTRANGE(""https://docs.google.com/spreadsheets/d/1kGrh75X1cNR1D7_FcY9zMn"&amp;"HP8iPO4M5RCRjy6nZY0TY/edit#gid=1248694442"",""Table 4: 2nd-line HC or more!A5:A85"")),"""")"),"")</f>
        <v/>
      </c>
      <c r="S41" s="14" t="str">
        <f>IFERROR(__xludf.DUMMYFUNCTION("IFNA(FILTER(IMPORTRANGE(""https://docs.google.com/spreadsheets/d/1kGrh75X1cNR1D7_FcY9zMnHP8iPO4M5RCRjy6nZY0TY/edit#gid=1248694442"",""Table 4: 2nd-line HC or more!H5:H85""), $A41=IMPORTRANGE(""https://docs.google.com/spreadsheets/d/1kGrh75X1cNR1D7_FcY9zMn"&amp;"HP8iPO4M5RCRjy6nZY0TY/edit#gid=1248694442"",""Table 4: 2nd-line HC or more!A5:A85"")),"""")"),"")</f>
        <v/>
      </c>
      <c r="T41" s="14" t="str">
        <f>IFERROR(__xludf.DUMMYFUNCTION("IFNA(FILTER(IMPORTRANGE(""https://docs.google.com/spreadsheets/d/1kGrh75X1cNR1D7_FcY9zMnHP8iPO4M5RCRjy6nZY0TY/edit#gid=1248694442"",""Table 3: 1st-line HC!F5:F111""), $A41=IMPORTRANGE(""https://docs.google.com/spreadsheets/d/1kGrh75X1cNR1D7_FcY9zMnHP8iPO4"&amp;"M5RCRjy6nZY0TY/edit#gid=1248694442"",""Table 3: 1st-line HC!A5:A111"")),"""")"),"")</f>
        <v/>
      </c>
      <c r="U41" s="14" t="str">
        <f>IFERROR(__xludf.DUMMYFUNCTION("IFNA(FILTER(IMPORTRANGE(""https://docs.google.com/spreadsheets/d/1kGrh75X1cNR1D7_FcY9zMnHP8iPO4M5RCRjy6nZY0TY/edit#gid=1248694442"",""Table 3: 1st-line HC!G5:G111""), $A41=IMPORTRANGE(""https://docs.google.com/spreadsheets/d/1kGrh75X1cNR1D7_FcY9zMnHP8iPO4"&amp;"M5RCRjy6nZY0TY/edit#gid=1248694442"",""Table 3: 1st-line HC!A5:A111"")),"""")"),"")</f>
        <v/>
      </c>
      <c r="V41" s="14" t="str">
        <f>IFERROR(__xludf.DUMMYFUNCTION("IFNA(FILTER(IMPORTRANGE(""https://docs.google.com/spreadsheets/d/1kGrh75X1cNR1D7_FcY9zMnHP8iPO4M5RCRjy6nZY0TY/edit#gid=1248694442"",""Table 3: 1st-line HC!H5:H111""), $A41=IMPORTRANGE(""https://docs.google.com/spreadsheets/d/1kGrh75X1cNR1D7_FcY9zMnHP8iPO4"&amp;"M5RCRjy6nZY0TY/edit#gid=1248694442"",""Table 3: 1st-line HC!A5:A111"")),"""")"),"")</f>
        <v/>
      </c>
      <c r="W41" s="14" t="str">
        <f>IFERROR(__xludf.DUMMYFUNCTION("IFNA(FILTER(IMPORTRANGE(""https://docs.google.com/spreadsheets/d/1kGrh75X1cNR1D7_FcY9zMnHP8iPO4M5RCRjy6nZY0TY/edit#gid=1248694442"",""Table 3: 1st-line HC!I5:I111""), $A41=IMPORTRANGE(""https://docs.google.com/spreadsheets/d/1kGrh75X1cNR1D7_FcY9zMnHP8iPO4"&amp;"M5RCRjy6nZY0TY/edit#gid=1248694442"",""Table 3: 1st-line HC!A5:A111"")),"""")"),"")</f>
        <v/>
      </c>
    </row>
    <row r="42">
      <c r="A42" s="4" t="str">
        <f>IFERROR(__xludf.DUMMYFUNCTION("""COMPUTED_VALUE"""),"ID 84")</f>
        <v>ID 84</v>
      </c>
      <c r="B42" s="14" t="str">
        <f>IFERROR(__xludf.DUMMYFUNCTION("IFNA(FILTER(IMPORTRANGE(""https://docs.google.com/spreadsheets/d/1kGrh75X1cNR1D7_FcY9zMnHP8iPO4M5RCRjy6nZY0TY/edit#gid=1248694442"",""Table 3: 1st-line HC!AZ5:AZ111""), $A42=IMPORTRANGE(""https://docs.google.com/spreadsheets/d/1kGrh75X1cNR1D7_FcY9zMnHP8iP"&amp;"O4M5RCRjy6nZY0TY/edit#gid=1248694442"",""Table 3: 1st-line HC!A5:A111"")),"""")"),"")</f>
        <v/>
      </c>
      <c r="C42" s="14" t="str">
        <f>IFERROR(__xludf.DUMMYFUNCTION("IFNA(FILTER(IMPORTRANGE(""https://docs.google.com/spreadsheets/d/1kGrh75X1cNR1D7_FcY9zMnHP8iPO4M5RCRjy6nZY0TY/edit#gid=1248694442"",""Table 3: 1st-line HC!BA5:BA111""), $A42=IMPORTRANGE(""https://docs.google.com/spreadsheets/d/1kGrh75X1cNR1D7_FcY9zMnHP8iP"&amp;"O4M5RCRjy6nZY0TY/edit#gid=1248694442"",""Table 3: 1st-line HC!A5:A111"")),"""")"),"")</f>
        <v/>
      </c>
      <c r="D42" s="14" t="str">
        <f>IFERROR(__xludf.DUMMYFUNCTION("IFNA(FILTER(IMPORTRANGE(""https://docs.google.com/spreadsheets/d/1kGrh75X1cNR1D7_FcY9zMnHP8iPO4M5RCRjy6nZY0TY/edit#gid=1248694442"",""Table 3: 1st-line HC!BB5:BB111""), $A42=IMPORTRANGE(""https://docs.google.com/spreadsheets/d/1kGrh75X1cNR1D7_FcY9zMnHP8iP"&amp;"O4M5RCRjy6nZY0TY/edit#gid=1248694442"",""Table 3: 1st-line HC!A5:A111"")),"""")"),"")</f>
        <v/>
      </c>
      <c r="E42" s="19" t="str">
        <f>IFERROR(__xludf.DUMMYFUNCTION("IFNA(FILTER(IMPORTRANGE(""https://docs.google.com/spreadsheets/d/1kGrh75X1cNR1D7_FcY9zMnHP8iPO4M5RCRjy6nZY0TY/edit#gid=1248694442"",""Table 3: 1st-line HC!BC5:BC111""), $A42=IMPORTRANGE(""https://docs.google.com/spreadsheets/d/1kGrh75X1cNR1D7_FcY9zMnHP8iP"&amp;"O4M5RCRjy6nZY0TY/edit#gid=1248694442"",""Table 3: 1st-line HC!A5:A111"")),"""")"),"")</f>
        <v/>
      </c>
      <c r="F42" s="14" t="str">
        <f>IFERROR(__xludf.DUMMYFUNCTION("IFNA(FILTER(IMPORTRANGE(""https://docs.google.com/spreadsheets/d/1kGrh75X1cNR1D7_FcY9zMnHP8iPO4M5RCRjy6nZY0TY/edit#gid=1248694442"",""Table 3: 1st-line HC!Y5:Y111""), $A42=IMPORTRANGE(""https://docs.google.com/spreadsheets/d/1kGrh75X1cNR1D7_FcY9zMnHP8iPO4"&amp;"M5RCRjy6nZY0TY/edit#gid=1248694442"",""Table 3: 1st-line HC!A5:A111"")),"""")"),"")</f>
        <v/>
      </c>
      <c r="G42" s="14">
        <f>IFERROR(__xludf.DUMMYFUNCTION("IFNA(FILTER(IMPORTRANGE(""https://docs.google.com/spreadsheets/d/1kGrh75X1cNR1D7_FcY9zMnHP8iPO4M5RCRjy6nZY0TY/edit#gid=1248694442"",""Table 3: 1st-line HC!Z5:Z111""), $A42=IMPORTRANGE(""https://docs.google.com/spreadsheets/d/1kGrh75X1cNR1D7_FcY9zMnHP8iPO4"&amp;"M5RCRjy6nZY0TY/edit#gid=1248694442"",""Table 3: 1st-line HC!A5:A111"")),"""")"),187.0)</f>
        <v>187</v>
      </c>
      <c r="H42" s="14" t="str">
        <f>IFERROR(__xludf.DUMMYFUNCTION("IFNA(FILTER(IMPORTRANGE(""https://docs.google.com/spreadsheets/d/1kGrh75X1cNR1D7_FcY9zMnHP8iPO4M5RCRjy6nZY0TY/edit#gid=1248694442"",""Table 3: 1st-line HC!AA5:AA111""), $A42=IMPORTRANGE(""https://docs.google.com/spreadsheets/d/1kGrh75X1cNR1D7_FcY9zMnHP8iP"&amp;"O4M5RCRjy6nZY0TY/edit#gid=1248694442"",""Table 3: 1st-line HC!A5:A111"")),"""")"),"")</f>
        <v/>
      </c>
      <c r="I42" s="14" t="str">
        <f>IFERROR(__xludf.DUMMYFUNCTION("IFNA(FILTER(IMPORTRANGE(""https://docs.google.com/spreadsheets/d/1kGrh75X1cNR1D7_FcY9zMnHP8iPO4M5RCRjy6nZY0TY/edit#gid=1248694442"",""Table 3: 1st-line HC!AB5:AB111""), $A42=IMPORTRANGE(""https://docs.google.com/spreadsheets/d/1kGrh75X1cNR1D7_FcY9zMnHP8iP"&amp;"O4M5RCRjy6nZY0TY/edit#gid=1248694442"",""Table 3: 1st-line HC!A5:A111"")),"""")"),"")</f>
        <v/>
      </c>
      <c r="J42" s="14" t="str">
        <f>IFERROR(__xludf.DUMMYFUNCTION("IFNA(FILTER(IMPORTRANGE(""https://docs.google.com/spreadsheets/d/1kGrh75X1cNR1D7_FcY9zMnHP8iPO4M5RCRjy6nZY0TY/edit#gid=1248694442"",""Table 3: 1st-line HC!AC5:AC111""), $A42=IMPORTRANGE(""https://docs.google.com/spreadsheets/d/1kGrh75X1cNR1D7_FcY9zMnHP8iP"&amp;"O4M5RCRjy6nZY0TY/edit#gid=1248694442"",""Table 3: 1st-line HC!A5:A111"")),"""")"),"")</f>
        <v/>
      </c>
      <c r="K42" s="20" t="str">
        <f>IFERROR(__xludf.DUMMYFUNCTION("IFNA(FILTER(IMPORTRANGE(""https://docs.google.com/spreadsheets/d/1kGrh75X1cNR1D7_FcY9zMnHP8iPO4M5RCRjy6nZY0TY/edit#gid=1248694442"",""Table 3: 1st-line HC!AD5:AD111""), $A42=IMPORTRANGE(""https://docs.google.com/spreadsheets/d/1kGrh75X1cNR1D7_FcY9zMnHP8iP"&amp;"O4M5RCRjy6nZY0TY/edit#gid=1248694442"",""Table 3: 1st-line HC!A5:A111"")),"""")"),"Ventriculoatrial shunting=2")</f>
        <v>Ventriculoatrial shunting=2</v>
      </c>
      <c r="L42" s="14" t="str">
        <f>IFERROR(__xludf.DUMMYFUNCTION("IFNA(FILTER(IMPORTRANGE(""https://docs.google.com/spreadsheets/d/1kGrh75X1cNR1D7_FcY9zMnHP8iPO4M5RCRjy6nZY0TY/edit#gid=1248694442"",""Table 3: 1st-line HC!W5:W111""), $A42=IMPORTRANGE(""https://docs.google.com/spreadsheets/d/1kGrh75X1cNR1D7_FcY9zMnHP8iPO4"&amp;"M5RCRjy6nZY0TY/edit#gid=1248694442"",""Table 3: 1st-line HC!A5:A111"")),"""")"),"")</f>
        <v/>
      </c>
      <c r="M42" s="14" t="str">
        <f>IFERROR(__xludf.DUMMYFUNCTION("IFNA(FILTER(IMPORTRANGE(""https://docs.google.com/spreadsheets/d/1kGrh75X1cNR1D7_FcY9zMnHP8iPO4M5RCRjy6nZY0TY/edit#gid=1248694442"",""Table 3: 1st-line HC!X5:X111""), $A42=IMPORTRANGE(""https://docs.google.com/spreadsheets/d/1kGrh75X1cNR1D7_FcY9zMnHP8iPO4"&amp;"M5RCRjy6nZY0TY/edit#gid=1248694442"",""Table 3: 1st-line HC!A5:A111"")),"""")"),"")</f>
        <v/>
      </c>
      <c r="N42" s="14" t="str">
        <f>IFERROR(__xludf.DUMMYFUNCTION("IFNA(FILTER(IMPORTRANGE(""https://docs.google.com/spreadsheets/d/1kGrh75X1cNR1D7_FcY9zMnHP8iPO4M5RCRjy6nZY0TY/edit#gid=1248694442"",""Table 4: 2nd-line HC or more!C5:C85""), $A42=IMPORTRANGE(""https://docs.google.com/spreadsheets/d/1kGrh75X1cNR1D7_FcY9zMn"&amp;"HP8iPO4M5RCRjy6nZY0TY/edit#gid=1248694442"",""Table 4: 2nd-line HC or more!A5:A85"")),"""")"),"")</f>
        <v/>
      </c>
      <c r="O42" s="14">
        <f>IFERROR(__xludf.DUMMYFUNCTION("IFNA(FILTER(IMPORTRANGE(""https://docs.google.com/spreadsheets/d/1kGrh75X1cNR1D7_FcY9zMnHP8iPO4M5RCRjy6nZY0TY/edit#gid=1248694442"",""Table 4: 2nd-line HC or more!D5:D85""), $A42=IMPORTRANGE(""https://docs.google.com/spreadsheets/d/1kGrh75X1cNR1D7_FcY9zMn"&amp;"HP8iPO4M5RCRjy6nZY0TY/edit#gid=1248694442"",""Table 4: 2nd-line HC or more!A5:A85"")),"""")"),119.0)</f>
        <v>119</v>
      </c>
      <c r="P42" s="14" t="str">
        <f>IFERROR(__xludf.DUMMYFUNCTION("IFNA(FILTER(IMPORTRANGE(""https://docs.google.com/spreadsheets/d/1kGrh75X1cNR1D7_FcY9zMnHP8iPO4M5RCRjy6nZY0TY/edit#gid=1248694442"",""Table 4: 2nd-line HC or more!E5:E85""), $A42=IMPORTRANGE(""https://docs.google.com/spreadsheets/d/1kGrh75X1cNR1D7_FcY9zMn"&amp;"HP8iPO4M5RCRjy6nZY0TY/edit#gid=1248694442"",""Table 4: 2nd-line HC or more!A5:A85"")),"""")"),"")</f>
        <v/>
      </c>
      <c r="Q42" s="14" t="str">
        <f>IFERROR(__xludf.DUMMYFUNCTION("IFNA(FILTER(IMPORTRANGE(""https://docs.google.com/spreadsheets/d/1kGrh75X1cNR1D7_FcY9zMnHP8iPO4M5RCRjy6nZY0TY/edit#gid=1248694442"",""Table 4: 2nd-line HC or more!F5:F85""), $A42=IMPORTRANGE(""https://docs.google.com/spreadsheets/d/1kGrh75X1cNR1D7_FcY9zMn"&amp;"HP8iPO4M5RCRjy6nZY0TY/edit#gid=1248694442"",""Table 4: 2nd-line HC or more!A5:A85"")),"""")"),"")</f>
        <v/>
      </c>
      <c r="R42" s="14" t="str">
        <f>IFERROR(__xludf.DUMMYFUNCTION("IFNA(FILTER(IMPORTRANGE(""https://docs.google.com/spreadsheets/d/1kGrh75X1cNR1D7_FcY9zMnHP8iPO4M5RCRjy6nZY0TY/edit#gid=1248694442"",""Table 4: 2nd-line HC or more!G5:G85""), $A42=IMPORTRANGE(""https://docs.google.com/spreadsheets/d/1kGrh75X1cNR1D7_FcY9zMn"&amp;"HP8iPO4M5RCRjy6nZY0TY/edit#gid=1248694442"",""Table 4: 2nd-line HC or more!A5:A85"")),"""")"),"")</f>
        <v/>
      </c>
      <c r="S42" s="14" t="str">
        <f>IFERROR(__xludf.DUMMYFUNCTION("IFNA(FILTER(IMPORTRANGE(""https://docs.google.com/spreadsheets/d/1kGrh75X1cNR1D7_FcY9zMnHP8iPO4M5RCRjy6nZY0TY/edit#gid=1248694442"",""Table 4: 2nd-line HC or more!H5:H85""), $A42=IMPORTRANGE(""https://docs.google.com/spreadsheets/d/1kGrh75X1cNR1D7_FcY9zMn"&amp;"HP8iPO4M5RCRjy6nZY0TY/edit#gid=1248694442"",""Table 4: 2nd-line HC or more!A5:A85"")),"""")"),"")</f>
        <v/>
      </c>
      <c r="T42" s="14" t="str">
        <f>IFERROR(__xludf.DUMMYFUNCTION("IFNA(FILTER(IMPORTRANGE(""https://docs.google.com/spreadsheets/d/1kGrh75X1cNR1D7_FcY9zMnHP8iPO4M5RCRjy6nZY0TY/edit#gid=1248694442"",""Table 3: 1st-line HC!F5:F111""), $A42=IMPORTRANGE(""https://docs.google.com/spreadsheets/d/1kGrh75X1cNR1D7_FcY9zMnHP8iPO4"&amp;"M5RCRjy6nZY0TY/edit#gid=1248694442"",""Table 3: 1st-line HC!A5:A111"")),"""")"),"")</f>
        <v/>
      </c>
      <c r="U42" s="14" t="str">
        <f>IFERROR(__xludf.DUMMYFUNCTION("IFNA(FILTER(IMPORTRANGE(""https://docs.google.com/spreadsheets/d/1kGrh75X1cNR1D7_FcY9zMnHP8iPO4M5RCRjy6nZY0TY/edit#gid=1248694442"",""Table 3: 1st-line HC!G5:G111""), $A42=IMPORTRANGE(""https://docs.google.com/spreadsheets/d/1kGrh75X1cNR1D7_FcY9zMnHP8iPO4"&amp;"M5RCRjy6nZY0TY/edit#gid=1248694442"",""Table 3: 1st-line HC!A5:A111"")),"""")"),"")</f>
        <v/>
      </c>
      <c r="V42" s="14" t="str">
        <f>IFERROR(__xludf.DUMMYFUNCTION("IFNA(FILTER(IMPORTRANGE(""https://docs.google.com/spreadsheets/d/1kGrh75X1cNR1D7_FcY9zMnHP8iPO4M5RCRjy6nZY0TY/edit#gid=1248694442"",""Table 3: 1st-line HC!H5:H111""), $A42=IMPORTRANGE(""https://docs.google.com/spreadsheets/d/1kGrh75X1cNR1D7_FcY9zMnHP8iPO4"&amp;"M5RCRjy6nZY0TY/edit#gid=1248694442"",""Table 3: 1st-line HC!A5:A111"")),"""")"),"")</f>
        <v/>
      </c>
      <c r="W42" s="14" t="str">
        <f>IFERROR(__xludf.DUMMYFUNCTION("IFNA(FILTER(IMPORTRANGE(""https://docs.google.com/spreadsheets/d/1kGrh75X1cNR1D7_FcY9zMnHP8iPO4M5RCRjy6nZY0TY/edit#gid=1248694442"",""Table 3: 1st-line HC!I5:I111""), $A42=IMPORTRANGE(""https://docs.google.com/spreadsheets/d/1kGrh75X1cNR1D7_FcY9zMnHP8iPO4"&amp;"M5RCRjy6nZY0TY/edit#gid=1248694442"",""Table 3: 1st-line HC!A5:A111"")),"""")"),"")</f>
        <v/>
      </c>
    </row>
    <row r="43">
      <c r="A43" s="4" t="str">
        <f>IFERROR(__xludf.DUMMYFUNCTION("""COMPUTED_VALUE"""),"ID 86")</f>
        <v>ID 86</v>
      </c>
      <c r="B43" s="14">
        <f>IFERROR(__xludf.DUMMYFUNCTION("IFNA(FILTER(IMPORTRANGE(""https://docs.google.com/spreadsheets/d/1kGrh75X1cNR1D7_FcY9zMnHP8iPO4M5RCRjy6nZY0TY/edit#gid=1248694442"",""Table 3: 1st-line HC!AZ5:AZ111""), $A43=IMPORTRANGE(""https://docs.google.com/spreadsheets/d/1kGrh75X1cNR1D7_FcY9zMnHP8iP"&amp;"O4M5RCRjy6nZY0TY/edit#gid=1248694442"",""Table 3: 1st-line HC!A5:A111"")),"""")"),1.0)</f>
        <v>1</v>
      </c>
      <c r="C43" s="14" t="str">
        <f>IFERROR(__xludf.DUMMYFUNCTION("IFNA(FILTER(IMPORTRANGE(""https://docs.google.com/spreadsheets/d/1kGrh75X1cNR1D7_FcY9zMnHP8iPO4M5RCRjy6nZY0TY/edit#gid=1248694442"",""Table 3: 1st-line HC!BA5:BA111""), $A43=IMPORTRANGE(""https://docs.google.com/spreadsheets/d/1kGrh75X1cNR1D7_FcY9zMnHP8iP"&amp;"O4M5RCRjy6nZY0TY/edit#gid=1248694442"",""Table 3: 1st-line HC!A5:A111"")),"""")"),"")</f>
        <v/>
      </c>
      <c r="D43" s="14" t="str">
        <f>IFERROR(__xludf.DUMMYFUNCTION("IFNA(FILTER(IMPORTRANGE(""https://docs.google.com/spreadsheets/d/1kGrh75X1cNR1D7_FcY9zMnHP8iPO4M5RCRjy6nZY0TY/edit#gid=1248694442"",""Table 3: 1st-line HC!BB5:BB111""), $A43=IMPORTRANGE(""https://docs.google.com/spreadsheets/d/1kGrh75X1cNR1D7_FcY9zMnHP8iP"&amp;"O4M5RCRjy6nZY0TY/edit#gid=1248694442"",""Table 3: 1st-line HC!A5:A111"")),"""")"),"")</f>
        <v/>
      </c>
      <c r="E43" s="19" t="str">
        <f>IFERROR(__xludf.DUMMYFUNCTION("IFNA(FILTER(IMPORTRANGE(""https://docs.google.com/spreadsheets/d/1kGrh75X1cNR1D7_FcY9zMnHP8iPO4M5RCRjy6nZY0TY/edit#gid=1248694442"",""Table 3: 1st-line HC!BC5:BC111""), $A43=IMPORTRANGE(""https://docs.google.com/spreadsheets/d/1kGrh75X1cNR1D7_FcY9zMnHP8iP"&amp;"O4M5RCRjy6nZY0TY/edit#gid=1248694442"",""Table 3: 1st-line HC!A5:A111"")),"""")"),"")</f>
        <v/>
      </c>
      <c r="F43" s="14" t="str">
        <f>IFERROR(__xludf.DUMMYFUNCTION("IFNA(FILTER(IMPORTRANGE(""https://docs.google.com/spreadsheets/d/1kGrh75X1cNR1D7_FcY9zMnHP8iPO4M5RCRjy6nZY0TY/edit#gid=1248694442"",""Table 3: 1st-line HC!Y5:Y111""), $A43=IMPORTRANGE(""https://docs.google.com/spreadsheets/d/1kGrh75X1cNR1D7_FcY9zMnHP8iPO4"&amp;"M5RCRjy6nZY0TY/edit#gid=1248694442"",""Table 3: 1st-line HC!A5:A111"")),"""")"),"")</f>
        <v/>
      </c>
      <c r="G43" s="14">
        <f>IFERROR(__xludf.DUMMYFUNCTION("IFNA(FILTER(IMPORTRANGE(""https://docs.google.com/spreadsheets/d/1kGrh75X1cNR1D7_FcY9zMnHP8iPO4M5RCRjy6nZY0TY/edit#gid=1248694442"",""Table 3: 1st-line HC!Z5:Z111""), $A43=IMPORTRANGE(""https://docs.google.com/spreadsheets/d/1kGrh75X1cNR1D7_FcY9zMnHP8iPO4"&amp;"M5RCRjy6nZY0TY/edit#gid=1248694442"",""Table 3: 1st-line HC!A5:A111"")),"""")"),365.0)</f>
        <v>365</v>
      </c>
      <c r="H43" s="14" t="str">
        <f>IFERROR(__xludf.DUMMYFUNCTION("IFNA(FILTER(IMPORTRANGE(""https://docs.google.com/spreadsheets/d/1kGrh75X1cNR1D7_FcY9zMnHP8iPO4M5RCRjy6nZY0TY/edit#gid=1248694442"",""Table 3: 1st-line HC!AA5:AA111""), $A43=IMPORTRANGE(""https://docs.google.com/spreadsheets/d/1kGrh75X1cNR1D7_FcY9zMnHP8iP"&amp;"O4M5RCRjy6nZY0TY/edit#gid=1248694442"",""Table 3: 1st-line HC!A5:A111"")),"""")"),"")</f>
        <v/>
      </c>
      <c r="I43" s="14" t="str">
        <f>IFERROR(__xludf.DUMMYFUNCTION("IFNA(FILTER(IMPORTRANGE(""https://docs.google.com/spreadsheets/d/1kGrh75X1cNR1D7_FcY9zMnHP8iPO4M5RCRjy6nZY0TY/edit#gid=1248694442"",""Table 3: 1st-line HC!AB5:AB111""), $A43=IMPORTRANGE(""https://docs.google.com/spreadsheets/d/1kGrh75X1cNR1D7_FcY9zMnHP8iP"&amp;"O4M5RCRjy6nZY0TY/edit#gid=1248694442"",""Table 3: 1st-line HC!A5:A111"")),"""")"),"")</f>
        <v/>
      </c>
      <c r="J43" s="14" t="str">
        <f>IFERROR(__xludf.DUMMYFUNCTION("IFNA(FILTER(IMPORTRANGE(""https://docs.google.com/spreadsheets/d/1kGrh75X1cNR1D7_FcY9zMnHP8iPO4M5RCRjy6nZY0TY/edit#gid=1248694442"",""Table 3: 1st-line HC!AC5:AC111""), $A43=IMPORTRANGE(""https://docs.google.com/spreadsheets/d/1kGrh75X1cNR1D7_FcY9zMnHP8iP"&amp;"O4M5RCRjy6nZY0TY/edit#gid=1248694442"",""Table 3: 1st-line HC!A5:A111"")),"""")"),"")</f>
        <v/>
      </c>
      <c r="K43" s="20" t="str">
        <f>IFERROR(__xludf.DUMMYFUNCTION("IFNA(FILTER(IMPORTRANGE(""https://docs.google.com/spreadsheets/d/1kGrh75X1cNR1D7_FcY9zMnHP8iPO4M5RCRjy6nZY0TY/edit#gid=1248694442"",""Table 3: 1st-line HC!AD5:AD111""), $A43=IMPORTRANGE(""https://docs.google.com/spreadsheets/d/1kGrh75X1cNR1D7_FcY9zMnHP8iP"&amp;"O4M5RCRjy6nZY0TY/edit#gid=1248694442"",""Table 3: 1st-line HC!A5:A111"")),"""")"),"")</f>
        <v/>
      </c>
      <c r="L43" s="14" t="str">
        <f>IFERROR(__xludf.DUMMYFUNCTION("IFNA(FILTER(IMPORTRANGE(""https://docs.google.com/spreadsheets/d/1kGrh75X1cNR1D7_FcY9zMnHP8iPO4M5RCRjy6nZY0TY/edit#gid=1248694442"",""Table 3: 1st-line HC!W5:W111""), $A43=IMPORTRANGE(""https://docs.google.com/spreadsheets/d/1kGrh75X1cNR1D7_FcY9zMnHP8iPO4"&amp;"M5RCRjy6nZY0TY/edit#gid=1248694442"",""Table 3: 1st-line HC!A5:A111"")),"""")"),"")</f>
        <v/>
      </c>
      <c r="M43" s="14" t="str">
        <f>IFERROR(__xludf.DUMMYFUNCTION("IFNA(FILTER(IMPORTRANGE(""https://docs.google.com/spreadsheets/d/1kGrh75X1cNR1D7_FcY9zMnHP8iPO4M5RCRjy6nZY0TY/edit#gid=1248694442"",""Table 3: 1st-line HC!X5:X111""), $A43=IMPORTRANGE(""https://docs.google.com/spreadsheets/d/1kGrh75X1cNR1D7_FcY9zMnHP8iPO4"&amp;"M5RCRjy6nZY0TY/edit#gid=1248694442"",""Table 3: 1st-line HC!A5:A111"")),"""")"),"")</f>
        <v/>
      </c>
      <c r="N43" s="14" t="str">
        <f>IFERROR(__xludf.DUMMYFUNCTION("IFNA(FILTER(IMPORTRANGE(""https://docs.google.com/spreadsheets/d/1kGrh75X1cNR1D7_FcY9zMnHP8iPO4M5RCRjy6nZY0TY/edit#gid=1248694442"",""Table 4: 2nd-line HC or more!C5:C85""), $A43=IMPORTRANGE(""https://docs.google.com/spreadsheets/d/1kGrh75X1cNR1D7_FcY9zMn"&amp;"HP8iPO4M5RCRjy6nZY0TY/edit#gid=1248694442"",""Table 4: 2nd-line HC or more!A5:A85"")),"""")"),"")</f>
        <v/>
      </c>
      <c r="O43" s="14" t="str">
        <f>IFERROR(__xludf.DUMMYFUNCTION("IFNA(FILTER(IMPORTRANGE(""https://docs.google.com/spreadsheets/d/1kGrh75X1cNR1D7_FcY9zMnHP8iPO4M5RCRjy6nZY0TY/edit#gid=1248694442"",""Table 4: 2nd-line HC or more!D5:D85""), $A43=IMPORTRANGE(""https://docs.google.com/spreadsheets/d/1kGrh75X1cNR1D7_FcY9zMn"&amp;"HP8iPO4M5RCRjy6nZY0TY/edit#gid=1248694442"",""Table 4: 2nd-line HC or more!A5:A85"")),"""")"),"")</f>
        <v/>
      </c>
      <c r="P43" s="14" t="str">
        <f>IFERROR(__xludf.DUMMYFUNCTION("IFNA(FILTER(IMPORTRANGE(""https://docs.google.com/spreadsheets/d/1kGrh75X1cNR1D7_FcY9zMnHP8iPO4M5RCRjy6nZY0TY/edit#gid=1248694442"",""Table 4: 2nd-line HC or more!E5:E85""), $A43=IMPORTRANGE(""https://docs.google.com/spreadsheets/d/1kGrh75X1cNR1D7_FcY9zMn"&amp;"HP8iPO4M5RCRjy6nZY0TY/edit#gid=1248694442"",""Table 4: 2nd-line HC or more!A5:A85"")),"""")"),"")</f>
        <v/>
      </c>
      <c r="Q43" s="14" t="str">
        <f>IFERROR(__xludf.DUMMYFUNCTION("IFNA(FILTER(IMPORTRANGE(""https://docs.google.com/spreadsheets/d/1kGrh75X1cNR1D7_FcY9zMnHP8iPO4M5RCRjy6nZY0TY/edit#gid=1248694442"",""Table 4: 2nd-line HC or more!F5:F85""), $A43=IMPORTRANGE(""https://docs.google.com/spreadsheets/d/1kGrh75X1cNR1D7_FcY9zMn"&amp;"HP8iPO4M5RCRjy6nZY0TY/edit#gid=1248694442"",""Table 4: 2nd-line HC or more!A5:A85"")),"""")"),"")</f>
        <v/>
      </c>
      <c r="R43" s="14" t="str">
        <f>IFERROR(__xludf.DUMMYFUNCTION("IFNA(FILTER(IMPORTRANGE(""https://docs.google.com/spreadsheets/d/1kGrh75X1cNR1D7_FcY9zMnHP8iPO4M5RCRjy6nZY0TY/edit#gid=1248694442"",""Table 4: 2nd-line HC or more!G5:G85""), $A43=IMPORTRANGE(""https://docs.google.com/spreadsheets/d/1kGrh75X1cNR1D7_FcY9zMn"&amp;"HP8iPO4M5RCRjy6nZY0TY/edit#gid=1248694442"",""Table 4: 2nd-line HC or more!A5:A85"")),"""")"),"")</f>
        <v/>
      </c>
      <c r="S43" s="14" t="str">
        <f>IFERROR(__xludf.DUMMYFUNCTION("IFNA(FILTER(IMPORTRANGE(""https://docs.google.com/spreadsheets/d/1kGrh75X1cNR1D7_FcY9zMnHP8iPO4M5RCRjy6nZY0TY/edit#gid=1248694442"",""Table 4: 2nd-line HC or more!H5:H85""), $A43=IMPORTRANGE(""https://docs.google.com/spreadsheets/d/1kGrh75X1cNR1D7_FcY9zMn"&amp;"HP8iPO4M5RCRjy6nZY0TY/edit#gid=1248694442"",""Table 4: 2nd-line HC or more!A5:A85"")),"""")"),"")</f>
        <v/>
      </c>
      <c r="T43" s="14">
        <f>IFERROR(__xludf.DUMMYFUNCTION("IFNA(FILTER(IMPORTRANGE(""https://docs.google.com/spreadsheets/d/1kGrh75X1cNR1D7_FcY9zMnHP8iPO4M5RCRjy6nZY0TY/edit#gid=1248694442"",""Table 3: 1st-line HC!F5:F111""), $A43=IMPORTRANGE(""https://docs.google.com/spreadsheets/d/1kGrh75X1cNR1D7_FcY9zMnHP8iPO4"&amp;"M5RCRjy6nZY0TY/edit#gid=1248694442"",""Table 3: 1st-line HC!A5:A111"")),"""")"),109.0)</f>
        <v>109</v>
      </c>
      <c r="U43" s="14">
        <f>IFERROR(__xludf.DUMMYFUNCTION("IFNA(FILTER(IMPORTRANGE(""https://docs.google.com/spreadsheets/d/1kGrh75X1cNR1D7_FcY9zMnHP8iPO4M5RCRjy6nZY0TY/edit#gid=1248694442"",""Table 3: 1st-line HC!G5:G111""), $A43=IMPORTRANGE(""https://docs.google.com/spreadsheets/d/1kGrh75X1cNR1D7_FcY9zMnHP8iPO4"&amp;"M5RCRjy6nZY0TY/edit#gid=1248694442"",""Table 3: 1st-line HC!A5:A111"")),"""")"),109.0)</f>
        <v>109</v>
      </c>
      <c r="V43" s="14">
        <f>IFERROR(__xludf.DUMMYFUNCTION("IFNA(FILTER(IMPORTRANGE(""https://docs.google.com/spreadsheets/d/1kGrh75X1cNR1D7_FcY9zMnHP8iPO4M5RCRjy6nZY0TY/edit#gid=1248694442"",""Table 3: 1st-line HC!H5:H111""), $A43=IMPORTRANGE(""https://docs.google.com/spreadsheets/d/1kGrh75X1cNR1D7_FcY9zMnHP8iPO4"&amp;"M5RCRjy6nZY0TY/edit#gid=1248694442"",""Table 3: 1st-line HC!A5:A111"")),"""")"),365.0)</f>
        <v>365</v>
      </c>
      <c r="W43" s="14" t="str">
        <f>IFERROR(__xludf.DUMMYFUNCTION("IFNA(FILTER(IMPORTRANGE(""https://docs.google.com/spreadsheets/d/1kGrh75X1cNR1D7_FcY9zMnHP8iPO4M5RCRjy6nZY0TY/edit#gid=1248694442"",""Table 3: 1st-line HC!I5:I111""), $A43=IMPORTRANGE(""https://docs.google.com/spreadsheets/d/1kGrh75X1cNR1D7_FcY9zMnHP8iPO4"&amp;"M5RCRjy6nZY0TY/edit#gid=1248694442"",""Table 3: 1st-line HC!A5:A111"")),"""")"),"")</f>
        <v/>
      </c>
    </row>
    <row r="44">
      <c r="A44" s="4" t="str">
        <f>IFERROR(__xludf.DUMMYFUNCTION("""COMPUTED_VALUE"""),"ID 88")</f>
        <v>ID 88</v>
      </c>
      <c r="B44" s="14">
        <f>IFERROR(__xludf.DUMMYFUNCTION("IFNA(FILTER(IMPORTRANGE(""https://docs.google.com/spreadsheets/d/1kGrh75X1cNR1D7_FcY9zMnHP8iPO4M5RCRjy6nZY0TY/edit#gid=1248694442"",""Table 3: 1st-line HC!AZ5:AZ111""), $A44=IMPORTRANGE(""https://docs.google.com/spreadsheets/d/1kGrh75X1cNR1D7_FcY9zMnHP8iP"&amp;"O4M5RCRjy6nZY0TY/edit#gid=1248694442"",""Table 3: 1st-line HC!A5:A111"")),"""")"),1.62)</f>
        <v>1.62</v>
      </c>
      <c r="C44" s="14" t="str">
        <f>IFERROR(__xludf.DUMMYFUNCTION("IFNA(FILTER(IMPORTRANGE(""https://docs.google.com/spreadsheets/d/1kGrh75X1cNR1D7_FcY9zMnHP8iPO4M5RCRjy6nZY0TY/edit#gid=1248694442"",""Table 3: 1st-line HC!BA5:BA111""), $A44=IMPORTRANGE(""https://docs.google.com/spreadsheets/d/1kGrh75X1cNR1D7_FcY9zMnHP8iP"&amp;"O4M5RCRjy6nZY0TY/edit#gid=1248694442"",""Table 3: 1st-line HC!A5:A111"")),"""")"),"")</f>
        <v/>
      </c>
      <c r="D44" s="14" t="str">
        <f>IFERROR(__xludf.DUMMYFUNCTION("IFNA(FILTER(IMPORTRANGE(""https://docs.google.com/spreadsheets/d/1kGrh75X1cNR1D7_FcY9zMnHP8iPO4M5RCRjy6nZY0TY/edit#gid=1248694442"",""Table 3: 1st-line HC!BB5:BB111""), $A44=IMPORTRANGE(""https://docs.google.com/spreadsheets/d/1kGrh75X1cNR1D7_FcY9zMnHP8iP"&amp;"O4M5RCRjy6nZY0TY/edit#gid=1248694442"",""Table 3: 1st-line HC!A5:A111"")),"""")"),"")</f>
        <v/>
      </c>
      <c r="E44" s="19" t="str">
        <f>IFERROR(__xludf.DUMMYFUNCTION("IFNA(FILTER(IMPORTRANGE(""https://docs.google.com/spreadsheets/d/1kGrh75X1cNR1D7_FcY9zMnHP8iPO4M5RCRjy6nZY0TY/edit#gid=1248694442"",""Table 3: 1st-line HC!BC5:BC111""), $A44=IMPORTRANGE(""https://docs.google.com/spreadsheets/d/1kGrh75X1cNR1D7_FcY9zMnHP8iP"&amp;"O4M5RCRjy6nZY0TY/edit#gid=1248694442"",""Table 3: 1st-line HC!A5:A111"")),"""")"),"")</f>
        <v/>
      </c>
      <c r="F44" s="14">
        <f>IFERROR(__xludf.DUMMYFUNCTION("IFNA(FILTER(IMPORTRANGE(""https://docs.google.com/spreadsheets/d/1kGrh75X1cNR1D7_FcY9zMnHP8iPO4M5RCRjy6nZY0TY/edit#gid=1248694442"",""Table 3: 1st-line HC!Y5:Y111""), $A44=IMPORTRANGE(""https://docs.google.com/spreadsheets/d/1kGrh75X1cNR1D7_FcY9zMnHP8iPO4"&amp;"M5RCRjy6nZY0TY/edit#gid=1248694442"",""Table 3: 1st-line HC!A5:A111"")),"""")"),3.0)</f>
        <v>3</v>
      </c>
      <c r="G44" s="14">
        <f>IFERROR(__xludf.DUMMYFUNCTION("IFNA(FILTER(IMPORTRANGE(""https://docs.google.com/spreadsheets/d/1kGrh75X1cNR1D7_FcY9zMnHP8iPO4M5RCRjy6nZY0TY/edit#gid=1248694442"",""Table 3: 1st-line HC!Z5:Z111""), $A44=IMPORTRANGE(""https://docs.google.com/spreadsheets/d/1kGrh75X1cNR1D7_FcY9zMnHP8iPO4"&amp;"M5RCRjy6nZY0TY/edit#gid=1248694442"",""Table 3: 1st-line HC!A5:A111"")),"""")"),27.0)</f>
        <v>27</v>
      </c>
      <c r="H44" s="14" t="str">
        <f>IFERROR(__xludf.DUMMYFUNCTION("IFNA(FILTER(IMPORTRANGE(""https://docs.google.com/spreadsheets/d/1kGrh75X1cNR1D7_FcY9zMnHP8iPO4M5RCRjy6nZY0TY/edit#gid=1248694442"",""Table 3: 1st-line HC!AA5:AA111""), $A44=IMPORTRANGE(""https://docs.google.com/spreadsheets/d/1kGrh75X1cNR1D7_FcY9zMnHP8iP"&amp;"O4M5RCRjy6nZY0TY/edit#gid=1248694442"",""Table 3: 1st-line HC!A5:A111"")),"""")"),"")</f>
        <v/>
      </c>
      <c r="I44" s="14" t="str">
        <f>IFERROR(__xludf.DUMMYFUNCTION("IFNA(FILTER(IMPORTRANGE(""https://docs.google.com/spreadsheets/d/1kGrh75X1cNR1D7_FcY9zMnHP8iPO4M5RCRjy6nZY0TY/edit#gid=1248694442"",""Table 3: 1st-line HC!AB5:AB111""), $A44=IMPORTRANGE(""https://docs.google.com/spreadsheets/d/1kGrh75X1cNR1D7_FcY9zMnHP8iP"&amp;"O4M5RCRjy6nZY0TY/edit#gid=1248694442"",""Table 3: 1st-line HC!A5:A111"")),"""")"),"")</f>
        <v/>
      </c>
      <c r="J44" s="14" t="str">
        <f>IFERROR(__xludf.DUMMYFUNCTION("IFNA(FILTER(IMPORTRANGE(""https://docs.google.com/spreadsheets/d/1kGrh75X1cNR1D7_FcY9zMnHP8iPO4M5RCRjy6nZY0TY/edit#gid=1248694442"",""Table 3: 1st-line HC!AC5:AC111""), $A44=IMPORTRANGE(""https://docs.google.com/spreadsheets/d/1kGrh75X1cNR1D7_FcY9zMnHP8iP"&amp;"O4M5RCRjy6nZY0TY/edit#gid=1248694442"",""Table 3: 1st-line HC!A5:A111"")),"""")"),"")</f>
        <v/>
      </c>
      <c r="K44" s="20" t="str">
        <f>IFERROR(__xludf.DUMMYFUNCTION("IFNA(FILTER(IMPORTRANGE(""https://docs.google.com/spreadsheets/d/1kGrh75X1cNR1D7_FcY9zMnHP8iPO4M5RCRjy6nZY0TY/edit#gid=1248694442"",""Table 3: 1st-line HC!AD5:AD111""), $A44=IMPORTRANGE(""https://docs.google.com/spreadsheets/d/1kGrh75X1cNR1D7_FcY9zMnHP8iP"&amp;"O4M5RCRjy6nZY0TY/edit#gid=1248694442"",""Table 3: 1st-line HC!A5:A111"")),"""")"),"No intervention(probably had mild hydrocephalus)=3")</f>
        <v>No intervention(probably had mild hydrocephalus)=3</v>
      </c>
      <c r="L44" s="14" t="str">
        <f>IFERROR(__xludf.DUMMYFUNCTION("IFNA(FILTER(IMPORTRANGE(""https://docs.google.com/spreadsheets/d/1kGrh75X1cNR1D7_FcY9zMnHP8iPO4M5RCRjy6nZY0TY/edit#gid=1248694442"",""Table 3: 1st-line HC!W5:W111""), $A44=IMPORTRANGE(""https://docs.google.com/spreadsheets/d/1kGrh75X1cNR1D7_FcY9zMnHP8iPO4"&amp;"M5RCRjy6nZY0TY/edit#gid=1248694442"",""Table 3: 1st-line HC!A5:A111"")),"""")"),"")</f>
        <v/>
      </c>
      <c r="M44" s="14" t="str">
        <f>IFERROR(__xludf.DUMMYFUNCTION("IFNA(FILTER(IMPORTRANGE(""https://docs.google.com/spreadsheets/d/1kGrh75X1cNR1D7_FcY9zMnHP8iPO4M5RCRjy6nZY0TY/edit#gid=1248694442"",""Table 3: 1st-line HC!X5:X111""), $A44=IMPORTRANGE(""https://docs.google.com/spreadsheets/d/1kGrh75X1cNR1D7_FcY9zMnHP8iPO4"&amp;"M5RCRjy6nZY0TY/edit#gid=1248694442"",""Table 3: 1st-line HC!A5:A111"")),"""")"),"")</f>
        <v/>
      </c>
      <c r="N44" s="14" t="str">
        <f>IFERROR(__xludf.DUMMYFUNCTION("IFNA(FILTER(IMPORTRANGE(""https://docs.google.com/spreadsheets/d/1kGrh75X1cNR1D7_FcY9zMnHP8iPO4M5RCRjy6nZY0TY/edit#gid=1248694442"",""Table 4: 2nd-line HC or more!C5:C85""), $A44=IMPORTRANGE(""https://docs.google.com/spreadsheets/d/1kGrh75X1cNR1D7_FcY9zMn"&amp;"HP8iPO4M5RCRjy6nZY0TY/edit#gid=1248694442"",""Table 4: 2nd-line HC or more!A5:A85"")),"""")"),"")</f>
        <v/>
      </c>
      <c r="O44" s="14">
        <f>IFERROR(__xludf.DUMMYFUNCTION("IFNA(FILTER(IMPORTRANGE(""https://docs.google.com/spreadsheets/d/1kGrh75X1cNR1D7_FcY9zMnHP8iPO4M5RCRjy6nZY0TY/edit#gid=1248694442"",""Table 4: 2nd-line HC or more!D5:D85""), $A44=IMPORTRANGE(""https://docs.google.com/spreadsheets/d/1kGrh75X1cNR1D7_FcY9zMn"&amp;"HP8iPO4M5RCRjy6nZY0TY/edit#gid=1248694442"",""Table 4: 2nd-line HC or more!A5:A85"")),"""")"),10.0)</f>
        <v>10</v>
      </c>
      <c r="P44" s="14" t="str">
        <f>IFERROR(__xludf.DUMMYFUNCTION("IFNA(FILTER(IMPORTRANGE(""https://docs.google.com/spreadsheets/d/1kGrh75X1cNR1D7_FcY9zMnHP8iPO4M5RCRjy6nZY0TY/edit#gid=1248694442"",""Table 4: 2nd-line HC or more!E5:E85""), $A44=IMPORTRANGE(""https://docs.google.com/spreadsheets/d/1kGrh75X1cNR1D7_FcY9zMn"&amp;"HP8iPO4M5RCRjy6nZY0TY/edit#gid=1248694442"",""Table 4: 2nd-line HC or more!A5:A85"")),"""")"),"")</f>
        <v/>
      </c>
      <c r="Q44" s="14" t="str">
        <f>IFERROR(__xludf.DUMMYFUNCTION("IFNA(FILTER(IMPORTRANGE(""https://docs.google.com/spreadsheets/d/1kGrh75X1cNR1D7_FcY9zMnHP8iPO4M5RCRjy6nZY0TY/edit#gid=1248694442"",""Table 4: 2nd-line HC or more!F5:F85""), $A44=IMPORTRANGE(""https://docs.google.com/spreadsheets/d/1kGrh75X1cNR1D7_FcY9zMn"&amp;"HP8iPO4M5RCRjy6nZY0TY/edit#gid=1248694442"",""Table 4: 2nd-line HC or more!A5:A85"")),"""")"),"")</f>
        <v/>
      </c>
      <c r="R44" s="14" t="str">
        <f>IFERROR(__xludf.DUMMYFUNCTION("IFNA(FILTER(IMPORTRANGE(""https://docs.google.com/spreadsheets/d/1kGrh75X1cNR1D7_FcY9zMnHP8iPO4M5RCRjy6nZY0TY/edit#gid=1248694442"",""Table 4: 2nd-line HC or more!G5:G85""), $A44=IMPORTRANGE(""https://docs.google.com/spreadsheets/d/1kGrh75X1cNR1D7_FcY9zMn"&amp;"HP8iPO4M5RCRjy6nZY0TY/edit#gid=1248694442"",""Table 4: 2nd-line HC or more!A5:A85"")),"""")"),"")</f>
        <v/>
      </c>
      <c r="S44" s="14" t="str">
        <f>IFERROR(__xludf.DUMMYFUNCTION("IFNA(FILTER(IMPORTRANGE(""https://docs.google.com/spreadsheets/d/1kGrh75X1cNR1D7_FcY9zMnHP8iPO4M5RCRjy6nZY0TY/edit#gid=1248694442"",""Table 4: 2nd-line HC or more!H5:H85""), $A44=IMPORTRANGE(""https://docs.google.com/spreadsheets/d/1kGrh75X1cNR1D7_FcY9zMn"&amp;"HP8iPO4M5RCRjy6nZY0TY/edit#gid=1248694442"",""Table 4: 2nd-line HC or more!A5:A85"")),"""")"),"")</f>
        <v/>
      </c>
      <c r="T44" s="14" t="str">
        <f>IFERROR(__xludf.DUMMYFUNCTION("IFNA(FILTER(IMPORTRANGE(""https://docs.google.com/spreadsheets/d/1kGrh75X1cNR1D7_FcY9zMnHP8iPO4M5RCRjy6nZY0TY/edit#gid=1248694442"",""Table 3: 1st-line HC!F5:F111""), $A44=IMPORTRANGE(""https://docs.google.com/spreadsheets/d/1kGrh75X1cNR1D7_FcY9zMnHP8iPO4"&amp;"M5RCRjy6nZY0TY/edit#gid=1248694442"",""Table 3: 1st-line HC!A5:A111"")),"""")"),"")</f>
        <v/>
      </c>
      <c r="U44" s="14" t="str">
        <f>IFERROR(__xludf.DUMMYFUNCTION("IFNA(FILTER(IMPORTRANGE(""https://docs.google.com/spreadsheets/d/1kGrh75X1cNR1D7_FcY9zMnHP8iPO4M5RCRjy6nZY0TY/edit#gid=1248694442"",""Table 3: 1st-line HC!G5:G111""), $A44=IMPORTRANGE(""https://docs.google.com/spreadsheets/d/1kGrh75X1cNR1D7_FcY9zMnHP8iPO4"&amp;"M5RCRjy6nZY0TY/edit#gid=1248694442"",""Table 3: 1st-line HC!A5:A111"")),"""")"),"")</f>
        <v/>
      </c>
      <c r="V44" s="14" t="str">
        <f>IFERROR(__xludf.DUMMYFUNCTION("IFNA(FILTER(IMPORTRANGE(""https://docs.google.com/spreadsheets/d/1kGrh75X1cNR1D7_FcY9zMnHP8iPO4M5RCRjy6nZY0TY/edit#gid=1248694442"",""Table 3: 1st-line HC!H5:H111""), $A44=IMPORTRANGE(""https://docs.google.com/spreadsheets/d/1kGrh75X1cNR1D7_FcY9zMnHP8iPO4"&amp;"M5RCRjy6nZY0TY/edit#gid=1248694442"",""Table 3: 1st-line HC!A5:A111"")),"""")"),"")</f>
        <v/>
      </c>
      <c r="W44" s="14" t="str">
        <f>IFERROR(__xludf.DUMMYFUNCTION("IFNA(FILTER(IMPORTRANGE(""https://docs.google.com/spreadsheets/d/1kGrh75X1cNR1D7_FcY9zMnHP8iPO4M5RCRjy6nZY0TY/edit#gid=1248694442"",""Table 3: 1st-line HC!I5:I111""), $A44=IMPORTRANGE(""https://docs.google.com/spreadsheets/d/1kGrh75X1cNR1D7_FcY9zMnHP8iPO4"&amp;"M5RCRjy6nZY0TY/edit#gid=1248694442"",""Table 3: 1st-line HC!A5:A111"")),"""")"),"")</f>
        <v/>
      </c>
    </row>
    <row r="45">
      <c r="A45" s="4" t="str">
        <f>IFERROR(__xludf.DUMMYFUNCTION("""COMPUTED_VALUE"""),"ID 89")</f>
        <v>ID 89</v>
      </c>
      <c r="B45" s="14">
        <f>IFERROR(__xludf.DUMMYFUNCTION("IFNA(FILTER(IMPORTRANGE(""https://docs.google.com/spreadsheets/d/1kGrh75X1cNR1D7_FcY9zMnHP8iPO4M5RCRjy6nZY0TY/edit#gid=1248694442"",""Table 3: 1st-line HC!AZ5:AZ111""), $A45=IMPORTRANGE(""https://docs.google.com/spreadsheets/d/1kGrh75X1cNR1D7_FcY9zMnHP8iP"&amp;"O4M5RCRjy6nZY0TY/edit#gid=1248694442"",""Table 3: 1st-line HC!A5:A111"")),"""")"),1.0)</f>
        <v>1</v>
      </c>
      <c r="C45" s="14">
        <f>IFERROR(__xludf.DUMMYFUNCTION("IFNA(FILTER(IMPORTRANGE(""https://docs.google.com/spreadsheets/d/1kGrh75X1cNR1D7_FcY9zMnHP8iPO4M5RCRjy6nZY0TY/edit#gid=1248694442"",""Table 3: 1st-line HC!BA5:BA111""), $A45=IMPORTRANGE(""https://docs.google.com/spreadsheets/d/1kGrh75X1cNR1D7_FcY9zMnHP8iP"&amp;"O4M5RCRjy6nZY0TY/edit#gid=1248694442"",""Table 3: 1st-line HC!A5:A111"")),"""")"),1.0)</f>
        <v>1</v>
      </c>
      <c r="D45" s="14" t="str">
        <f>IFERROR(__xludf.DUMMYFUNCTION("IFNA(FILTER(IMPORTRANGE(""https://docs.google.com/spreadsheets/d/1kGrh75X1cNR1D7_FcY9zMnHP8iPO4M5RCRjy6nZY0TY/edit#gid=1248694442"",""Table 3: 1st-line HC!BB5:BB111""), $A45=IMPORTRANGE(""https://docs.google.com/spreadsheets/d/1kGrh75X1cNR1D7_FcY9zMnHP8iP"&amp;"O4M5RCRjy6nZY0TY/edit#gid=1248694442"",""Table 3: 1st-line HC!A5:A111"")),"""")"),"")</f>
        <v/>
      </c>
      <c r="E45" s="19" t="str">
        <f>IFERROR(__xludf.DUMMYFUNCTION("IFNA(FILTER(IMPORTRANGE(""https://docs.google.com/spreadsheets/d/1kGrh75X1cNR1D7_FcY9zMnHP8iPO4M5RCRjy6nZY0TY/edit#gid=1248694442"",""Table 3: 1st-line HC!BC5:BC111""), $A45=IMPORTRANGE(""https://docs.google.com/spreadsheets/d/1kGrh75X1cNR1D7_FcY9zMnHP8iP"&amp;"O4M5RCRjy6nZY0TY/edit#gid=1248694442"",""Table 3: 1st-line HC!A5:A111"")),"""")"),"")</f>
        <v/>
      </c>
      <c r="F45" s="14" t="str">
        <f>IFERROR(__xludf.DUMMYFUNCTION("IFNA(FILTER(IMPORTRANGE(""https://docs.google.com/spreadsheets/d/1kGrh75X1cNR1D7_FcY9zMnHP8iPO4M5RCRjy6nZY0TY/edit#gid=1248694442"",""Table 3: 1st-line HC!Y5:Y111""), $A45=IMPORTRANGE(""https://docs.google.com/spreadsheets/d/1kGrh75X1cNR1D7_FcY9zMnHP8iPO4"&amp;"M5RCRjy6nZY0TY/edit#gid=1248694442"",""Table 3: 1st-line HC!A5:A111"")),"""")"),"")</f>
        <v/>
      </c>
      <c r="G45" s="14">
        <f>IFERROR(__xludf.DUMMYFUNCTION("IFNA(FILTER(IMPORTRANGE(""https://docs.google.com/spreadsheets/d/1kGrh75X1cNR1D7_FcY9zMnHP8iPO4M5RCRjy6nZY0TY/edit#gid=1248694442"",""Table 3: 1st-line HC!Z5:Z111""), $A45=IMPORTRANGE(""https://docs.google.com/spreadsheets/d/1kGrh75X1cNR1D7_FcY9zMnHP8iPO4"&amp;"M5RCRjy6nZY0TY/edit#gid=1248694442"",""Table 3: 1st-line HC!A5:A111"")),"""")"),32.0)</f>
        <v>32</v>
      </c>
      <c r="H45" s="14">
        <f>IFERROR(__xludf.DUMMYFUNCTION("IFNA(FILTER(IMPORTRANGE(""https://docs.google.com/spreadsheets/d/1kGrh75X1cNR1D7_FcY9zMnHP8iPO4M5RCRjy6nZY0TY/edit#gid=1248694442"",""Table 3: 1st-line HC!AA5:AA111""), $A45=IMPORTRANGE(""https://docs.google.com/spreadsheets/d/1kGrh75X1cNR1D7_FcY9zMnHP8iP"&amp;"O4M5RCRjy6nZY0TY/edit#gid=1248694442"",""Table 3: 1st-line HC!A5:A111"")),"""")"),1.0)</f>
        <v>1</v>
      </c>
      <c r="I45" s="14" t="str">
        <f>IFERROR(__xludf.DUMMYFUNCTION("IFNA(FILTER(IMPORTRANGE(""https://docs.google.com/spreadsheets/d/1kGrh75X1cNR1D7_FcY9zMnHP8iPO4M5RCRjy6nZY0TY/edit#gid=1248694442"",""Table 3: 1st-line HC!AB5:AB111""), $A45=IMPORTRANGE(""https://docs.google.com/spreadsheets/d/1kGrh75X1cNR1D7_FcY9zMnHP8iP"&amp;"O4M5RCRjy6nZY0TY/edit#gid=1248694442"",""Table 3: 1st-line HC!A5:A111"")),"""")"),"")</f>
        <v/>
      </c>
      <c r="J45" s="14" t="str">
        <f>IFERROR(__xludf.DUMMYFUNCTION("IFNA(FILTER(IMPORTRANGE(""https://docs.google.com/spreadsheets/d/1kGrh75X1cNR1D7_FcY9zMnHP8iPO4M5RCRjy6nZY0TY/edit#gid=1248694442"",""Table 3: 1st-line HC!AC5:AC111""), $A45=IMPORTRANGE(""https://docs.google.com/spreadsheets/d/1kGrh75X1cNR1D7_FcY9zMnHP8iP"&amp;"O4M5RCRjy6nZY0TY/edit#gid=1248694442"",""Table 3: 1st-line HC!A5:A111"")),"""")"),"")</f>
        <v/>
      </c>
      <c r="K45" s="20" t="str">
        <f>IFERROR(__xludf.DUMMYFUNCTION("IFNA(FILTER(IMPORTRANGE(""https://docs.google.com/spreadsheets/d/1kGrh75X1cNR1D7_FcY9zMnHP8iPO4M5RCRjy6nZY0TY/edit#gid=1248694442"",""Table 3: 1st-line HC!AD5:AD111""), $A45=IMPORTRANGE(""https://docs.google.com/spreadsheets/d/1kGrh75X1cNR1D7_FcY9zMnHP8iP"&amp;"O4M5RCRjy6nZY0TY/edit#gid=1248694442"",""Table 3: 1st-line HC!A5:A111"")),"""")"),"")</f>
        <v/>
      </c>
      <c r="L45" s="14" t="str">
        <f>IFERROR(__xludf.DUMMYFUNCTION("IFNA(FILTER(IMPORTRANGE(""https://docs.google.com/spreadsheets/d/1kGrh75X1cNR1D7_FcY9zMnHP8iPO4M5RCRjy6nZY0TY/edit#gid=1248694442"",""Table 3: 1st-line HC!W5:W111""), $A45=IMPORTRANGE(""https://docs.google.com/spreadsheets/d/1kGrh75X1cNR1D7_FcY9zMnHP8iPO4"&amp;"M5RCRjy6nZY0TY/edit#gid=1248694442"",""Table 3: 1st-line HC!A5:A111"")),"""")"),"")</f>
        <v/>
      </c>
      <c r="M45" s="14" t="str">
        <f>IFERROR(__xludf.DUMMYFUNCTION("IFNA(FILTER(IMPORTRANGE(""https://docs.google.com/spreadsheets/d/1kGrh75X1cNR1D7_FcY9zMnHP8iPO4M5RCRjy6nZY0TY/edit#gid=1248694442"",""Table 3: 1st-line HC!X5:X111""), $A45=IMPORTRANGE(""https://docs.google.com/spreadsheets/d/1kGrh75X1cNR1D7_FcY9zMnHP8iPO4"&amp;"M5RCRjy6nZY0TY/edit#gid=1248694442"",""Table 3: 1st-line HC!A5:A111"")),"""")"),"")</f>
        <v/>
      </c>
      <c r="N45" s="14" t="str">
        <f>IFERROR(__xludf.DUMMYFUNCTION("IFNA(FILTER(IMPORTRANGE(""https://docs.google.com/spreadsheets/d/1kGrh75X1cNR1D7_FcY9zMnHP8iPO4M5RCRjy6nZY0TY/edit#gid=1248694442"",""Table 4: 2nd-line HC or more!C5:C85""), $A45=IMPORTRANGE(""https://docs.google.com/spreadsheets/d/1kGrh75X1cNR1D7_FcY9zMn"&amp;"HP8iPO4M5RCRjy6nZY0TY/edit#gid=1248694442"",""Table 4: 2nd-line HC or more!A5:A85"")),"""")"),"")</f>
        <v/>
      </c>
      <c r="O45" s="14" t="str">
        <f>IFERROR(__xludf.DUMMYFUNCTION("IFNA(FILTER(IMPORTRANGE(""https://docs.google.com/spreadsheets/d/1kGrh75X1cNR1D7_FcY9zMnHP8iPO4M5RCRjy6nZY0TY/edit#gid=1248694442"",""Table 4: 2nd-line HC or more!D5:D85""), $A45=IMPORTRANGE(""https://docs.google.com/spreadsheets/d/1kGrh75X1cNR1D7_FcY9zMn"&amp;"HP8iPO4M5RCRjy6nZY0TY/edit#gid=1248694442"",""Table 4: 2nd-line HC or more!A5:A85"")),"""")"),"")</f>
        <v/>
      </c>
      <c r="P45" s="14" t="str">
        <f>IFERROR(__xludf.DUMMYFUNCTION("IFNA(FILTER(IMPORTRANGE(""https://docs.google.com/spreadsheets/d/1kGrh75X1cNR1D7_FcY9zMnHP8iPO4M5RCRjy6nZY0TY/edit#gid=1248694442"",""Table 4: 2nd-line HC or more!E5:E85""), $A45=IMPORTRANGE(""https://docs.google.com/spreadsheets/d/1kGrh75X1cNR1D7_FcY9zMn"&amp;"HP8iPO4M5RCRjy6nZY0TY/edit#gid=1248694442"",""Table 4: 2nd-line HC or more!A5:A85"")),"""")"),"")</f>
        <v/>
      </c>
      <c r="Q45" s="14" t="str">
        <f>IFERROR(__xludf.DUMMYFUNCTION("IFNA(FILTER(IMPORTRANGE(""https://docs.google.com/spreadsheets/d/1kGrh75X1cNR1D7_FcY9zMnHP8iPO4M5RCRjy6nZY0TY/edit#gid=1248694442"",""Table 4: 2nd-line HC or more!F5:F85""), $A45=IMPORTRANGE(""https://docs.google.com/spreadsheets/d/1kGrh75X1cNR1D7_FcY9zMn"&amp;"HP8iPO4M5RCRjy6nZY0TY/edit#gid=1248694442"",""Table 4: 2nd-line HC or more!A5:A85"")),"""")"),"")</f>
        <v/>
      </c>
      <c r="R45" s="14" t="str">
        <f>IFERROR(__xludf.DUMMYFUNCTION("IFNA(FILTER(IMPORTRANGE(""https://docs.google.com/spreadsheets/d/1kGrh75X1cNR1D7_FcY9zMnHP8iPO4M5RCRjy6nZY0TY/edit#gid=1248694442"",""Table 4: 2nd-line HC or more!G5:G85""), $A45=IMPORTRANGE(""https://docs.google.com/spreadsheets/d/1kGrh75X1cNR1D7_FcY9zMn"&amp;"HP8iPO4M5RCRjy6nZY0TY/edit#gid=1248694442"",""Table 4: 2nd-line HC or more!A5:A85"")),"""")"),"")</f>
        <v/>
      </c>
      <c r="S45" s="14" t="str">
        <f>IFERROR(__xludf.DUMMYFUNCTION("IFNA(FILTER(IMPORTRANGE(""https://docs.google.com/spreadsheets/d/1kGrh75X1cNR1D7_FcY9zMnHP8iPO4M5RCRjy6nZY0TY/edit#gid=1248694442"",""Table 4: 2nd-line HC or more!H5:H85""), $A45=IMPORTRANGE(""https://docs.google.com/spreadsheets/d/1kGrh75X1cNR1D7_FcY9zMn"&amp;"HP8iPO4M5RCRjy6nZY0TY/edit#gid=1248694442"",""Table 4: 2nd-line HC or more!A5:A85"")),"""")"),"")</f>
        <v/>
      </c>
      <c r="T45" s="14">
        <f>IFERROR(__xludf.DUMMYFUNCTION("IFNA(FILTER(IMPORTRANGE(""https://docs.google.com/spreadsheets/d/1kGrh75X1cNR1D7_FcY9zMnHP8iPO4M5RCRjy6nZY0TY/edit#gid=1248694442"",""Table 3: 1st-line HC!F5:F111""), $A45=IMPORTRANGE(""https://docs.google.com/spreadsheets/d/1kGrh75X1cNR1D7_FcY9zMnHP8iPO4"&amp;"M5RCRjy6nZY0TY/edit#gid=1248694442"",""Table 3: 1st-line HC!A5:A111"")),"""")"),87.0)</f>
        <v>87</v>
      </c>
      <c r="U45" s="14" t="str">
        <f>IFERROR(__xludf.DUMMYFUNCTION("IFNA(FILTER(IMPORTRANGE(""https://docs.google.com/spreadsheets/d/1kGrh75X1cNR1D7_FcY9zMnHP8iPO4M5RCRjy6nZY0TY/edit#gid=1248694442"",""Table 3: 1st-line HC!G5:G111""), $A45=IMPORTRANGE(""https://docs.google.com/spreadsheets/d/1kGrh75X1cNR1D7_FcY9zMnHP8iPO4"&amp;"M5RCRjy6nZY0TY/edit#gid=1248694442"",""Table 3: 1st-line HC!A5:A111"")),"""")"),"")</f>
        <v/>
      </c>
      <c r="V45" s="14" t="str">
        <f>IFERROR(__xludf.DUMMYFUNCTION("IFNA(FILTER(IMPORTRANGE(""https://docs.google.com/spreadsheets/d/1kGrh75X1cNR1D7_FcY9zMnHP8iPO4M5RCRjy6nZY0TY/edit#gid=1248694442"",""Table 3: 1st-line HC!H5:H111""), $A45=IMPORTRANGE(""https://docs.google.com/spreadsheets/d/1kGrh75X1cNR1D7_FcY9zMnHP8iPO4"&amp;"M5RCRjy6nZY0TY/edit#gid=1248694442"",""Table 3: 1st-line HC!A5:A111"")),"""")"),"")</f>
        <v/>
      </c>
      <c r="W45" s="14" t="str">
        <f>IFERROR(__xludf.DUMMYFUNCTION("IFNA(FILTER(IMPORTRANGE(""https://docs.google.com/spreadsheets/d/1kGrh75X1cNR1D7_FcY9zMnHP8iPO4M5RCRjy6nZY0TY/edit#gid=1248694442"",""Table 3: 1st-line HC!I5:I111""), $A45=IMPORTRANGE(""https://docs.google.com/spreadsheets/d/1kGrh75X1cNR1D7_FcY9zMnHP8iPO4"&amp;"M5RCRjy6nZY0TY/edit#gid=1248694442"",""Table 3: 1st-line HC!A5:A111"")),"""")"),"")</f>
        <v/>
      </c>
    </row>
    <row r="46">
      <c r="A46" s="4" t="str">
        <f>IFERROR(__xludf.DUMMYFUNCTION("""COMPUTED_VALUE"""),"ID 92")</f>
        <v>ID 92</v>
      </c>
      <c r="B46" s="14" t="str">
        <f>IFERROR(__xludf.DUMMYFUNCTION("IFNA(FILTER(IMPORTRANGE(""https://docs.google.com/spreadsheets/d/1kGrh75X1cNR1D7_FcY9zMnHP8iPO4M5RCRjy6nZY0TY/edit#gid=1248694442"",""Table 3: 1st-line HC!AZ5:AZ111""), $A46=IMPORTRANGE(""https://docs.google.com/spreadsheets/d/1kGrh75X1cNR1D7_FcY9zMnHP8iP"&amp;"O4M5RCRjy6nZY0TY/edit#gid=1248694442"",""Table 3: 1st-line HC!A5:A111"")),"""")"),"")</f>
        <v/>
      </c>
      <c r="C46" s="14" t="str">
        <f>IFERROR(__xludf.DUMMYFUNCTION("IFNA(FILTER(IMPORTRANGE(""https://docs.google.com/spreadsheets/d/1kGrh75X1cNR1D7_FcY9zMnHP8iPO4M5RCRjy6nZY0TY/edit#gid=1248694442"",""Table 3: 1st-line HC!BA5:BA111""), $A46=IMPORTRANGE(""https://docs.google.com/spreadsheets/d/1kGrh75X1cNR1D7_FcY9zMnHP8iP"&amp;"O4M5RCRjy6nZY0TY/edit#gid=1248694442"",""Table 3: 1st-line HC!A5:A111"")),"""")"),"")</f>
        <v/>
      </c>
      <c r="D46" s="14" t="str">
        <f>IFERROR(__xludf.DUMMYFUNCTION("IFNA(FILTER(IMPORTRANGE(""https://docs.google.com/spreadsheets/d/1kGrh75X1cNR1D7_FcY9zMnHP8iPO4M5RCRjy6nZY0TY/edit#gid=1248694442"",""Table 3: 1st-line HC!BB5:BB111""), $A46=IMPORTRANGE(""https://docs.google.com/spreadsheets/d/1kGrh75X1cNR1D7_FcY9zMnHP8iP"&amp;"O4M5RCRjy6nZY0TY/edit#gid=1248694442"",""Table 3: 1st-line HC!A5:A111"")),"""")"),"")</f>
        <v/>
      </c>
      <c r="E46" s="19" t="str">
        <f>IFERROR(__xludf.DUMMYFUNCTION("IFNA(FILTER(IMPORTRANGE(""https://docs.google.com/spreadsheets/d/1kGrh75X1cNR1D7_FcY9zMnHP8iPO4M5RCRjy6nZY0TY/edit#gid=1248694442"",""Table 3: 1st-line HC!BC5:BC111""), $A46=IMPORTRANGE(""https://docs.google.com/spreadsheets/d/1kGrh75X1cNR1D7_FcY9zMnHP8iP"&amp;"O4M5RCRjy6nZY0TY/edit#gid=1248694442"",""Table 3: 1st-line HC!A5:A111"")),"""")"),"")</f>
        <v/>
      </c>
      <c r="F46" s="14" t="str">
        <f>IFERROR(__xludf.DUMMYFUNCTION("IFNA(FILTER(IMPORTRANGE(""https://docs.google.com/spreadsheets/d/1kGrh75X1cNR1D7_FcY9zMnHP8iPO4M5RCRjy6nZY0TY/edit#gid=1248694442"",""Table 3: 1st-line HC!Y5:Y111""), $A46=IMPORTRANGE(""https://docs.google.com/spreadsheets/d/1kGrh75X1cNR1D7_FcY9zMnHP8iPO4"&amp;"M5RCRjy6nZY0TY/edit#gid=1248694442"",""Table 3: 1st-line HC!A5:A111"")),"""")"),"")</f>
        <v/>
      </c>
      <c r="G46" s="14">
        <f>IFERROR(__xludf.DUMMYFUNCTION("IFNA(FILTER(IMPORTRANGE(""https://docs.google.com/spreadsheets/d/1kGrh75X1cNR1D7_FcY9zMnHP8iPO4M5RCRjy6nZY0TY/edit#gid=1248694442"",""Table 3: 1st-line HC!Z5:Z111""), $A46=IMPORTRANGE(""https://docs.google.com/spreadsheets/d/1kGrh75X1cNR1D7_FcY9zMnHP8iPO4"&amp;"M5RCRjy6nZY0TY/edit#gid=1248694442"",""Table 3: 1st-line HC!A5:A111"")),"""")"),9.0)</f>
        <v>9</v>
      </c>
      <c r="H46" s="14" t="str">
        <f>IFERROR(__xludf.DUMMYFUNCTION("IFNA(FILTER(IMPORTRANGE(""https://docs.google.com/spreadsheets/d/1kGrh75X1cNR1D7_FcY9zMnHP8iPO4M5RCRjy6nZY0TY/edit#gid=1248694442"",""Table 3: 1st-line HC!AA5:AA111""), $A46=IMPORTRANGE(""https://docs.google.com/spreadsheets/d/1kGrh75X1cNR1D7_FcY9zMnHP8iP"&amp;"O4M5RCRjy6nZY0TY/edit#gid=1248694442"",""Table 3: 1st-line HC!A5:A111"")),"""")"),"")</f>
        <v/>
      </c>
      <c r="I46" s="14">
        <f>IFERROR(__xludf.DUMMYFUNCTION("IFNA(FILTER(IMPORTRANGE(""https://docs.google.com/spreadsheets/d/1kGrh75X1cNR1D7_FcY9zMnHP8iPO4M5RCRjy6nZY0TY/edit#gid=1248694442"",""Table 3: 1st-line HC!AB5:AB111""), $A46=IMPORTRANGE(""https://docs.google.com/spreadsheets/d/1kGrh75X1cNR1D7_FcY9zMnHP8iP"&amp;"O4M5RCRjy6nZY0TY/edit#gid=1248694442"",""Table 3: 1st-line HC!A5:A111"")),"""")"),1.0)</f>
        <v>1</v>
      </c>
      <c r="J46" s="14" t="str">
        <f>IFERROR(__xludf.DUMMYFUNCTION("IFNA(FILTER(IMPORTRANGE(""https://docs.google.com/spreadsheets/d/1kGrh75X1cNR1D7_FcY9zMnHP8iPO4M5RCRjy6nZY0TY/edit#gid=1248694442"",""Table 3: 1st-line HC!AC5:AC111""), $A46=IMPORTRANGE(""https://docs.google.com/spreadsheets/d/1kGrh75X1cNR1D7_FcY9zMnHP8iP"&amp;"O4M5RCRjy6nZY0TY/edit#gid=1248694442"",""Table 3: 1st-line HC!A5:A111"")),"""")"),"")</f>
        <v/>
      </c>
      <c r="K46" s="20" t="str">
        <f>IFERROR(__xludf.DUMMYFUNCTION("IFNA(FILTER(IMPORTRANGE(""https://docs.google.com/spreadsheets/d/1kGrh75X1cNR1D7_FcY9zMnHP8iPO4M5RCRjy6nZY0TY/edit#gid=1248694442"",""Table 3: 1st-line HC!AD5:AD111""), $A46=IMPORTRANGE(""https://docs.google.com/spreadsheets/d/1kGrh75X1cNR1D7_FcY9zMnHP8iP"&amp;"O4M5RCRjy6nZY0TY/edit#gid=1248694442"",""Table 3: 1st-line HC!A5:A111"")),"""")"),"")</f>
        <v/>
      </c>
      <c r="L46" s="14" t="str">
        <f>IFERROR(__xludf.DUMMYFUNCTION("IFNA(FILTER(IMPORTRANGE(""https://docs.google.com/spreadsheets/d/1kGrh75X1cNR1D7_FcY9zMnHP8iPO4M5RCRjy6nZY0TY/edit#gid=1248694442"",""Table 3: 1st-line HC!W5:W111""), $A46=IMPORTRANGE(""https://docs.google.com/spreadsheets/d/1kGrh75X1cNR1D7_FcY9zMnHP8iPO4"&amp;"M5RCRjy6nZY0TY/edit#gid=1248694442"",""Table 3: 1st-line HC!A5:A111"")),"""")"),"")</f>
        <v/>
      </c>
      <c r="M46" s="14" t="str">
        <f>IFERROR(__xludf.DUMMYFUNCTION("IFNA(FILTER(IMPORTRANGE(""https://docs.google.com/spreadsheets/d/1kGrh75X1cNR1D7_FcY9zMnHP8iPO4M5RCRjy6nZY0TY/edit#gid=1248694442"",""Table 3: 1st-line HC!X5:X111""), $A46=IMPORTRANGE(""https://docs.google.com/spreadsheets/d/1kGrh75X1cNR1D7_FcY9zMnHP8iPO4"&amp;"M5RCRjy6nZY0TY/edit#gid=1248694442"",""Table 3: 1st-line HC!A5:A111"")),"""")"),"")</f>
        <v/>
      </c>
      <c r="N46" s="14" t="str">
        <f>IFERROR(__xludf.DUMMYFUNCTION("IFNA(FILTER(IMPORTRANGE(""https://docs.google.com/spreadsheets/d/1kGrh75X1cNR1D7_FcY9zMnHP8iPO4M5RCRjy6nZY0TY/edit#gid=1248694442"",""Table 4: 2nd-line HC or more!C5:C85""), $A46=IMPORTRANGE(""https://docs.google.com/spreadsheets/d/1kGrh75X1cNR1D7_FcY9zMn"&amp;"HP8iPO4M5RCRjy6nZY0TY/edit#gid=1248694442"",""Table 4: 2nd-line HC or more!A5:A85"")),"""")"),"")</f>
        <v/>
      </c>
      <c r="O46" s="14" t="str">
        <f>IFERROR(__xludf.DUMMYFUNCTION("IFNA(FILTER(IMPORTRANGE(""https://docs.google.com/spreadsheets/d/1kGrh75X1cNR1D7_FcY9zMnHP8iPO4M5RCRjy6nZY0TY/edit#gid=1248694442"",""Table 4: 2nd-line HC or more!D5:D85""), $A46=IMPORTRANGE(""https://docs.google.com/spreadsheets/d/1kGrh75X1cNR1D7_FcY9zMn"&amp;"HP8iPO4M5RCRjy6nZY0TY/edit#gid=1248694442"",""Table 4: 2nd-line HC or more!A5:A85"")),"""")"),"")</f>
        <v/>
      </c>
      <c r="P46" s="14" t="str">
        <f>IFERROR(__xludf.DUMMYFUNCTION("IFNA(FILTER(IMPORTRANGE(""https://docs.google.com/spreadsheets/d/1kGrh75X1cNR1D7_FcY9zMnHP8iPO4M5RCRjy6nZY0TY/edit#gid=1248694442"",""Table 4: 2nd-line HC or more!E5:E85""), $A46=IMPORTRANGE(""https://docs.google.com/spreadsheets/d/1kGrh75X1cNR1D7_FcY9zMn"&amp;"HP8iPO4M5RCRjy6nZY0TY/edit#gid=1248694442"",""Table 4: 2nd-line HC or more!A5:A85"")),"""")"),"")</f>
        <v/>
      </c>
      <c r="Q46" s="14" t="str">
        <f>IFERROR(__xludf.DUMMYFUNCTION("IFNA(FILTER(IMPORTRANGE(""https://docs.google.com/spreadsheets/d/1kGrh75X1cNR1D7_FcY9zMnHP8iPO4M5RCRjy6nZY0TY/edit#gid=1248694442"",""Table 4: 2nd-line HC or more!F5:F85""), $A46=IMPORTRANGE(""https://docs.google.com/spreadsheets/d/1kGrh75X1cNR1D7_FcY9zMn"&amp;"HP8iPO4M5RCRjy6nZY0TY/edit#gid=1248694442"",""Table 4: 2nd-line HC or more!A5:A85"")),"""")"),"")</f>
        <v/>
      </c>
      <c r="R46" s="14" t="str">
        <f>IFERROR(__xludf.DUMMYFUNCTION("IFNA(FILTER(IMPORTRANGE(""https://docs.google.com/spreadsheets/d/1kGrh75X1cNR1D7_FcY9zMnHP8iPO4M5RCRjy6nZY0TY/edit#gid=1248694442"",""Table 4: 2nd-line HC or more!G5:G85""), $A46=IMPORTRANGE(""https://docs.google.com/spreadsheets/d/1kGrh75X1cNR1D7_FcY9zMn"&amp;"HP8iPO4M5RCRjy6nZY0TY/edit#gid=1248694442"",""Table 4: 2nd-line HC or more!A5:A85"")),"""")"),"")</f>
        <v/>
      </c>
      <c r="S46" s="14" t="str">
        <f>IFERROR(__xludf.DUMMYFUNCTION("IFNA(FILTER(IMPORTRANGE(""https://docs.google.com/spreadsheets/d/1kGrh75X1cNR1D7_FcY9zMnHP8iPO4M5RCRjy6nZY0TY/edit#gid=1248694442"",""Table 4: 2nd-line HC or more!H5:H85""), $A46=IMPORTRANGE(""https://docs.google.com/spreadsheets/d/1kGrh75X1cNR1D7_FcY9zMn"&amp;"HP8iPO4M5RCRjy6nZY0TY/edit#gid=1248694442"",""Table 4: 2nd-line HC or more!A5:A85"")),"""")"),"")</f>
        <v/>
      </c>
      <c r="T46" s="14" t="str">
        <f>IFERROR(__xludf.DUMMYFUNCTION("IFNA(FILTER(IMPORTRANGE(""https://docs.google.com/spreadsheets/d/1kGrh75X1cNR1D7_FcY9zMnHP8iPO4M5RCRjy6nZY0TY/edit#gid=1248694442"",""Table 3: 1st-line HC!F5:F111""), $A46=IMPORTRANGE(""https://docs.google.com/spreadsheets/d/1kGrh75X1cNR1D7_FcY9zMnHP8iPO4"&amp;"M5RCRjy6nZY0TY/edit#gid=1248694442"",""Table 3: 1st-line HC!A5:A111"")),"""")"),"")</f>
        <v/>
      </c>
      <c r="U46" s="14" t="str">
        <f>IFERROR(__xludf.DUMMYFUNCTION("IFNA(FILTER(IMPORTRANGE(""https://docs.google.com/spreadsheets/d/1kGrh75X1cNR1D7_FcY9zMnHP8iPO4M5RCRjy6nZY0TY/edit#gid=1248694442"",""Table 3: 1st-line HC!G5:G111""), $A46=IMPORTRANGE(""https://docs.google.com/spreadsheets/d/1kGrh75X1cNR1D7_FcY9zMnHP8iPO4"&amp;"M5RCRjy6nZY0TY/edit#gid=1248694442"",""Table 3: 1st-line HC!A5:A111"")),"""")"),"")</f>
        <v/>
      </c>
      <c r="V46" s="14">
        <f>IFERROR(__xludf.DUMMYFUNCTION("IFNA(FILTER(IMPORTRANGE(""https://docs.google.com/spreadsheets/d/1kGrh75X1cNR1D7_FcY9zMnHP8iPO4M5RCRjy6nZY0TY/edit#gid=1248694442"",""Table 3: 1st-line HC!H5:H111""), $A46=IMPORTRANGE(""https://docs.google.com/spreadsheets/d/1kGrh75X1cNR1D7_FcY9zMnHP8iPO4"&amp;"M5RCRjy6nZY0TY/edit#gid=1248694442"",""Table 3: 1st-line HC!A5:A111"")),"""")"),10.0)</f>
        <v>10</v>
      </c>
      <c r="W46" s="14" t="str">
        <f>IFERROR(__xludf.DUMMYFUNCTION("IFNA(FILTER(IMPORTRANGE(""https://docs.google.com/spreadsheets/d/1kGrh75X1cNR1D7_FcY9zMnHP8iPO4M5RCRjy6nZY0TY/edit#gid=1248694442"",""Table 3: 1st-line HC!I5:I111""), $A46=IMPORTRANGE(""https://docs.google.com/spreadsheets/d/1kGrh75X1cNR1D7_FcY9zMnHP8iPO4"&amp;"M5RCRjy6nZY0TY/edit#gid=1248694442"",""Table 3: 1st-line HC!A5:A111"")),"""")"),"")</f>
        <v/>
      </c>
    </row>
    <row r="47">
      <c r="A47" s="4" t="str">
        <f>IFERROR(__xludf.DUMMYFUNCTION("""COMPUTED_VALUE"""),"ID 93")</f>
        <v>ID 93</v>
      </c>
      <c r="B47" s="14" t="str">
        <f>IFERROR(__xludf.DUMMYFUNCTION("IFNA(FILTER(IMPORTRANGE(""https://docs.google.com/spreadsheets/d/1kGrh75X1cNR1D7_FcY9zMnHP8iPO4M5RCRjy6nZY0TY/edit#gid=1248694442"",""Table 3: 1st-line HC!AZ5:AZ111""), $A47=IMPORTRANGE(""https://docs.google.com/spreadsheets/d/1kGrh75X1cNR1D7_FcY9zMnHP8iP"&amp;"O4M5RCRjy6nZY0TY/edit#gid=1248694442"",""Table 3: 1st-line HC!A5:A111"")),"""")"),"")</f>
        <v/>
      </c>
      <c r="C47" s="14" t="str">
        <f>IFERROR(__xludf.DUMMYFUNCTION("IFNA(FILTER(IMPORTRANGE(""https://docs.google.com/spreadsheets/d/1kGrh75X1cNR1D7_FcY9zMnHP8iPO4M5RCRjy6nZY0TY/edit#gid=1248694442"",""Table 3: 1st-line HC!BA5:BA111""), $A47=IMPORTRANGE(""https://docs.google.com/spreadsheets/d/1kGrh75X1cNR1D7_FcY9zMnHP8iP"&amp;"O4M5RCRjy6nZY0TY/edit#gid=1248694442"",""Table 3: 1st-line HC!A5:A111"")),"""")"),"")</f>
        <v/>
      </c>
      <c r="D47" s="14" t="str">
        <f>IFERROR(__xludf.DUMMYFUNCTION("IFNA(FILTER(IMPORTRANGE(""https://docs.google.com/spreadsheets/d/1kGrh75X1cNR1D7_FcY9zMnHP8iPO4M5RCRjy6nZY0TY/edit#gid=1248694442"",""Table 3: 1st-line HC!BB5:BB111""), $A47=IMPORTRANGE(""https://docs.google.com/spreadsheets/d/1kGrh75X1cNR1D7_FcY9zMnHP8iP"&amp;"O4M5RCRjy6nZY0TY/edit#gid=1248694442"",""Table 3: 1st-line HC!A5:A111"")),"""")"),"")</f>
        <v/>
      </c>
      <c r="E47" s="19" t="str">
        <f>IFERROR(__xludf.DUMMYFUNCTION("IFNA(FILTER(IMPORTRANGE(""https://docs.google.com/spreadsheets/d/1kGrh75X1cNR1D7_FcY9zMnHP8iPO4M5RCRjy6nZY0TY/edit#gid=1248694442"",""Table 3: 1st-line HC!BC5:BC111""), $A47=IMPORTRANGE(""https://docs.google.com/spreadsheets/d/1kGrh75X1cNR1D7_FcY9zMnHP8iP"&amp;"O4M5RCRjy6nZY0TY/edit#gid=1248694442"",""Table 3: 1st-line HC!A5:A111"")),"""")"),"")</f>
        <v/>
      </c>
      <c r="F47" s="14" t="str">
        <f>IFERROR(__xludf.DUMMYFUNCTION("IFNA(FILTER(IMPORTRANGE(""https://docs.google.com/spreadsheets/d/1kGrh75X1cNR1D7_FcY9zMnHP8iPO4M5RCRjy6nZY0TY/edit#gid=1248694442"",""Table 3: 1st-line HC!Y5:Y111""), $A47=IMPORTRANGE(""https://docs.google.com/spreadsheets/d/1kGrh75X1cNR1D7_FcY9zMnHP8iPO4"&amp;"M5RCRjy6nZY0TY/edit#gid=1248694442"",""Table 3: 1st-line HC!A5:A111"")),"""")"),"")</f>
        <v/>
      </c>
      <c r="G47" s="14" t="str">
        <f>IFERROR(__xludf.DUMMYFUNCTION("IFNA(FILTER(IMPORTRANGE(""https://docs.google.com/spreadsheets/d/1kGrh75X1cNR1D7_FcY9zMnHP8iPO4M5RCRjy6nZY0TY/edit#gid=1248694442"",""Table 3: 1st-line HC!Z5:Z111""), $A47=IMPORTRANGE(""https://docs.google.com/spreadsheets/d/1kGrh75X1cNR1D7_FcY9zMnHP8iPO4"&amp;"M5RCRjy6nZY0TY/edit#gid=1248694442"",""Table 3: 1st-line HC!A5:A111"")),"""")"),"")</f>
        <v/>
      </c>
      <c r="H47" s="14" t="str">
        <f>IFERROR(__xludf.DUMMYFUNCTION("IFNA(FILTER(IMPORTRANGE(""https://docs.google.com/spreadsheets/d/1kGrh75X1cNR1D7_FcY9zMnHP8iPO4M5RCRjy6nZY0TY/edit#gid=1248694442"",""Table 3: 1st-line HC!AA5:AA111""), $A47=IMPORTRANGE(""https://docs.google.com/spreadsheets/d/1kGrh75X1cNR1D7_FcY9zMnHP8iP"&amp;"O4M5RCRjy6nZY0TY/edit#gid=1248694442"",""Table 3: 1st-line HC!A5:A111"")),"""")"),"")</f>
        <v/>
      </c>
      <c r="I47" s="14" t="str">
        <f>IFERROR(__xludf.DUMMYFUNCTION("IFNA(FILTER(IMPORTRANGE(""https://docs.google.com/spreadsheets/d/1kGrh75X1cNR1D7_FcY9zMnHP8iPO4M5RCRjy6nZY0TY/edit#gid=1248694442"",""Table 3: 1st-line HC!AB5:AB111""), $A47=IMPORTRANGE(""https://docs.google.com/spreadsheets/d/1kGrh75X1cNR1D7_FcY9zMnHP8iP"&amp;"O4M5RCRjy6nZY0TY/edit#gid=1248694442"",""Table 3: 1st-line HC!A5:A111"")),"""")"),"")</f>
        <v/>
      </c>
      <c r="J47" s="14" t="str">
        <f>IFERROR(__xludf.DUMMYFUNCTION("IFNA(FILTER(IMPORTRANGE(""https://docs.google.com/spreadsheets/d/1kGrh75X1cNR1D7_FcY9zMnHP8iPO4M5RCRjy6nZY0TY/edit#gid=1248694442"",""Table 3: 1st-line HC!AC5:AC111""), $A47=IMPORTRANGE(""https://docs.google.com/spreadsheets/d/1kGrh75X1cNR1D7_FcY9zMnHP8iP"&amp;"O4M5RCRjy6nZY0TY/edit#gid=1248694442"",""Table 3: 1st-line HC!A5:A111"")),"""")"),"")</f>
        <v/>
      </c>
      <c r="K47" s="20" t="str">
        <f>IFERROR(__xludf.DUMMYFUNCTION("IFNA(FILTER(IMPORTRANGE(""https://docs.google.com/spreadsheets/d/1kGrh75X1cNR1D7_FcY9zMnHP8iPO4M5RCRjy6nZY0TY/edit#gid=1248694442"",""Table 3: 1st-line HC!AD5:AD111""), $A47=IMPORTRANGE(""https://docs.google.com/spreadsheets/d/1kGrh75X1cNR1D7_FcY9zMnHP8iP"&amp;"O4M5RCRjy6nZY0TY/edit#gid=1248694442"",""Table 3: 1st-line HC!A5:A111"")),"""")"),"ventriculo atrial shunt with Spitz Holter valve=4")</f>
        <v>ventriculo atrial shunt with Spitz Holter valve=4</v>
      </c>
      <c r="L47" s="14" t="str">
        <f>IFERROR(__xludf.DUMMYFUNCTION("IFNA(FILTER(IMPORTRANGE(""https://docs.google.com/spreadsheets/d/1kGrh75X1cNR1D7_FcY9zMnHP8iPO4M5RCRjy6nZY0TY/edit#gid=1248694442"",""Table 3: 1st-line HC!W5:W111""), $A47=IMPORTRANGE(""https://docs.google.com/spreadsheets/d/1kGrh75X1cNR1D7_FcY9zMnHP8iPO4"&amp;"M5RCRjy6nZY0TY/edit#gid=1248694442"",""Table 3: 1st-line HC!A5:A111"")),"""")"),"")</f>
        <v/>
      </c>
      <c r="M47" s="14" t="str">
        <f>IFERROR(__xludf.DUMMYFUNCTION("IFNA(FILTER(IMPORTRANGE(""https://docs.google.com/spreadsheets/d/1kGrh75X1cNR1D7_FcY9zMnHP8iPO4M5RCRjy6nZY0TY/edit#gid=1248694442"",""Table 3: 1st-line HC!X5:X111""), $A47=IMPORTRANGE(""https://docs.google.com/spreadsheets/d/1kGrh75X1cNR1D7_FcY9zMnHP8iPO4"&amp;"M5RCRjy6nZY0TY/edit#gid=1248694442"",""Table 3: 1st-line HC!A5:A111"")),"""")"),"")</f>
        <v/>
      </c>
      <c r="N47" s="14" t="str">
        <f>IFERROR(__xludf.DUMMYFUNCTION("IFNA(FILTER(IMPORTRANGE(""https://docs.google.com/spreadsheets/d/1kGrh75X1cNR1D7_FcY9zMnHP8iPO4M5RCRjy6nZY0TY/edit#gid=1248694442"",""Table 4: 2nd-line HC or more!C5:C85""), $A47=IMPORTRANGE(""https://docs.google.com/spreadsheets/d/1kGrh75X1cNR1D7_FcY9zMn"&amp;"HP8iPO4M5RCRjy6nZY0TY/edit#gid=1248694442"",""Table 4: 2nd-line HC or more!A5:A85"")),"""")"),"")</f>
        <v/>
      </c>
      <c r="O47" s="14" t="str">
        <f>IFERROR(__xludf.DUMMYFUNCTION("IFNA(FILTER(IMPORTRANGE(""https://docs.google.com/spreadsheets/d/1kGrh75X1cNR1D7_FcY9zMnHP8iPO4M5RCRjy6nZY0TY/edit#gid=1248694442"",""Table 4: 2nd-line HC or more!D5:D85""), $A47=IMPORTRANGE(""https://docs.google.com/spreadsheets/d/1kGrh75X1cNR1D7_FcY9zMn"&amp;"HP8iPO4M5RCRjy6nZY0TY/edit#gid=1248694442"",""Table 4: 2nd-line HC or more!A5:A85"")),"""")"),"")</f>
        <v/>
      </c>
      <c r="P47" s="14" t="str">
        <f>IFERROR(__xludf.DUMMYFUNCTION("IFNA(FILTER(IMPORTRANGE(""https://docs.google.com/spreadsheets/d/1kGrh75X1cNR1D7_FcY9zMnHP8iPO4M5RCRjy6nZY0TY/edit#gid=1248694442"",""Table 4: 2nd-line HC or more!E5:E85""), $A47=IMPORTRANGE(""https://docs.google.com/spreadsheets/d/1kGrh75X1cNR1D7_FcY9zMn"&amp;"HP8iPO4M5RCRjy6nZY0TY/edit#gid=1248694442"",""Table 4: 2nd-line HC or more!A5:A85"")),"""")"),"")</f>
        <v/>
      </c>
      <c r="Q47" s="14" t="str">
        <f>IFERROR(__xludf.DUMMYFUNCTION("IFNA(FILTER(IMPORTRANGE(""https://docs.google.com/spreadsheets/d/1kGrh75X1cNR1D7_FcY9zMnHP8iPO4M5RCRjy6nZY0TY/edit#gid=1248694442"",""Table 4: 2nd-line HC or more!F5:F85""), $A47=IMPORTRANGE(""https://docs.google.com/spreadsheets/d/1kGrh75X1cNR1D7_FcY9zMn"&amp;"HP8iPO4M5RCRjy6nZY0TY/edit#gid=1248694442"",""Table 4: 2nd-line HC or more!A5:A85"")),"""")"),"")</f>
        <v/>
      </c>
      <c r="R47" s="14" t="str">
        <f>IFERROR(__xludf.DUMMYFUNCTION("IFNA(FILTER(IMPORTRANGE(""https://docs.google.com/spreadsheets/d/1kGrh75X1cNR1D7_FcY9zMnHP8iPO4M5RCRjy6nZY0TY/edit#gid=1248694442"",""Table 4: 2nd-line HC or more!G5:G85""), $A47=IMPORTRANGE(""https://docs.google.com/spreadsheets/d/1kGrh75X1cNR1D7_FcY9zMn"&amp;"HP8iPO4M5RCRjy6nZY0TY/edit#gid=1248694442"",""Table 4: 2nd-line HC or more!A5:A85"")),"""")"),"")</f>
        <v/>
      </c>
      <c r="S47" s="14" t="str">
        <f>IFERROR(__xludf.DUMMYFUNCTION("IFNA(FILTER(IMPORTRANGE(""https://docs.google.com/spreadsheets/d/1kGrh75X1cNR1D7_FcY9zMnHP8iPO4M5RCRjy6nZY0TY/edit#gid=1248694442"",""Table 4: 2nd-line HC or more!H5:H85""), $A47=IMPORTRANGE(""https://docs.google.com/spreadsheets/d/1kGrh75X1cNR1D7_FcY9zMn"&amp;"HP8iPO4M5RCRjy6nZY0TY/edit#gid=1248694442"",""Table 4: 2nd-line HC or more!A5:A85"")),"""")"),"Shunt ventricloatrial shunt revision=2")</f>
        <v>Shunt ventricloatrial shunt revision=2</v>
      </c>
      <c r="T47" s="14" t="str">
        <f>IFERROR(__xludf.DUMMYFUNCTION("IFNA(FILTER(IMPORTRANGE(""https://docs.google.com/spreadsheets/d/1kGrh75X1cNR1D7_FcY9zMnHP8iPO4M5RCRjy6nZY0TY/edit#gid=1248694442"",""Table 3: 1st-line HC!F5:F111""), $A47=IMPORTRANGE(""https://docs.google.com/spreadsheets/d/1kGrh75X1cNR1D7_FcY9zMnHP8iPO4"&amp;"M5RCRjy6nZY0TY/edit#gid=1248694442"",""Table 3: 1st-line HC!A5:A111"")),"""")"),"")</f>
        <v/>
      </c>
      <c r="U47" s="14" t="str">
        <f>IFERROR(__xludf.DUMMYFUNCTION("IFNA(FILTER(IMPORTRANGE(""https://docs.google.com/spreadsheets/d/1kGrh75X1cNR1D7_FcY9zMnHP8iPO4M5RCRjy6nZY0TY/edit#gid=1248694442"",""Table 3: 1st-line HC!G5:G111""), $A47=IMPORTRANGE(""https://docs.google.com/spreadsheets/d/1kGrh75X1cNR1D7_FcY9zMnHP8iPO4"&amp;"M5RCRjy6nZY0TY/edit#gid=1248694442"",""Table 3: 1st-line HC!A5:A111"")),"""")"),"")</f>
        <v/>
      </c>
      <c r="V47" s="14" t="str">
        <f>IFERROR(__xludf.DUMMYFUNCTION("IFNA(FILTER(IMPORTRANGE(""https://docs.google.com/spreadsheets/d/1kGrh75X1cNR1D7_FcY9zMnHP8iPO4M5RCRjy6nZY0TY/edit#gid=1248694442"",""Table 3: 1st-line HC!H5:H111""), $A47=IMPORTRANGE(""https://docs.google.com/spreadsheets/d/1kGrh75X1cNR1D7_FcY9zMnHP8iPO4"&amp;"M5RCRjy6nZY0TY/edit#gid=1248694442"",""Table 3: 1st-line HC!A5:A111"")),"""")"),"")</f>
        <v/>
      </c>
      <c r="W47" s="14" t="str">
        <f>IFERROR(__xludf.DUMMYFUNCTION("IFNA(FILTER(IMPORTRANGE(""https://docs.google.com/spreadsheets/d/1kGrh75X1cNR1D7_FcY9zMnHP8iPO4M5RCRjy6nZY0TY/edit#gid=1248694442"",""Table 3: 1st-line HC!I5:I111""), $A47=IMPORTRANGE(""https://docs.google.com/spreadsheets/d/1kGrh75X1cNR1D7_FcY9zMnHP8iPO4"&amp;"M5RCRjy6nZY0TY/edit#gid=1248694442"",""Table 3: 1st-line HC!A5:A111"")),"""")"),"")</f>
        <v/>
      </c>
    </row>
    <row r="48">
      <c r="A48" s="4" t="str">
        <f>IFERROR(__xludf.DUMMYFUNCTION("""COMPUTED_VALUE"""),"ID 94")</f>
        <v>ID 94</v>
      </c>
      <c r="B48" s="14" t="str">
        <f>IFERROR(__xludf.DUMMYFUNCTION("IFNA(FILTER(IMPORTRANGE(""https://docs.google.com/spreadsheets/d/1kGrh75X1cNR1D7_FcY9zMnHP8iPO4M5RCRjy6nZY0TY/edit#gid=1248694442"",""Table 3: 1st-line HC!AZ5:AZ111""), $A48=IMPORTRANGE(""https://docs.google.com/spreadsheets/d/1kGrh75X1cNR1D7_FcY9zMnHP8iP"&amp;"O4M5RCRjy6nZY0TY/edit#gid=1248694442"",""Table 3: 1st-line HC!A5:A111"")),"""")"),"")</f>
        <v/>
      </c>
      <c r="C48" s="14" t="str">
        <f>IFERROR(__xludf.DUMMYFUNCTION("IFNA(FILTER(IMPORTRANGE(""https://docs.google.com/spreadsheets/d/1kGrh75X1cNR1D7_FcY9zMnHP8iPO4M5RCRjy6nZY0TY/edit#gid=1248694442"",""Table 3: 1st-line HC!BA5:BA111""), $A48=IMPORTRANGE(""https://docs.google.com/spreadsheets/d/1kGrh75X1cNR1D7_FcY9zMnHP8iP"&amp;"O4M5RCRjy6nZY0TY/edit#gid=1248694442"",""Table 3: 1st-line HC!A5:A111"")),"""")"),"")</f>
        <v/>
      </c>
      <c r="D48" s="14" t="str">
        <f>IFERROR(__xludf.DUMMYFUNCTION("IFNA(FILTER(IMPORTRANGE(""https://docs.google.com/spreadsheets/d/1kGrh75X1cNR1D7_FcY9zMnHP8iPO4M5RCRjy6nZY0TY/edit#gid=1248694442"",""Table 3: 1st-line HC!BB5:BB111""), $A48=IMPORTRANGE(""https://docs.google.com/spreadsheets/d/1kGrh75X1cNR1D7_FcY9zMnHP8iP"&amp;"O4M5RCRjy6nZY0TY/edit#gid=1248694442"",""Table 3: 1st-line HC!A5:A111"")),"""")"),"")</f>
        <v/>
      </c>
      <c r="E48" s="19" t="str">
        <f>IFERROR(__xludf.DUMMYFUNCTION("IFNA(FILTER(IMPORTRANGE(""https://docs.google.com/spreadsheets/d/1kGrh75X1cNR1D7_FcY9zMnHP8iPO4M5RCRjy6nZY0TY/edit#gid=1248694442"",""Table 3: 1st-line HC!BC5:BC111""), $A48=IMPORTRANGE(""https://docs.google.com/spreadsheets/d/1kGrh75X1cNR1D7_FcY9zMnHP8iP"&amp;"O4M5RCRjy6nZY0TY/edit#gid=1248694442"",""Table 3: 1st-line HC!A5:A111"")),"""")"),"")</f>
        <v/>
      </c>
      <c r="F48" s="14" t="str">
        <f>IFERROR(__xludf.DUMMYFUNCTION("IFNA(FILTER(IMPORTRANGE(""https://docs.google.com/spreadsheets/d/1kGrh75X1cNR1D7_FcY9zMnHP8iPO4M5RCRjy6nZY0TY/edit#gid=1248694442"",""Table 3: 1st-line HC!Y5:Y111""), $A48=IMPORTRANGE(""https://docs.google.com/spreadsheets/d/1kGrh75X1cNR1D7_FcY9zMnHP8iPO4"&amp;"M5RCRjy6nZY0TY/edit#gid=1248694442"",""Table 3: 1st-line HC!A5:A111"")),"""")"),"")</f>
        <v/>
      </c>
      <c r="G48" s="14">
        <f>IFERROR(__xludf.DUMMYFUNCTION("IFNA(FILTER(IMPORTRANGE(""https://docs.google.com/spreadsheets/d/1kGrh75X1cNR1D7_FcY9zMnHP8iPO4M5RCRjy6nZY0TY/edit#gid=1248694442"",""Table 3: 1st-line HC!Z5:Z111""), $A48=IMPORTRANGE(""https://docs.google.com/spreadsheets/d/1kGrh75X1cNR1D7_FcY9zMnHP8iPO4"&amp;"M5RCRjy6nZY0TY/edit#gid=1248694442"",""Table 3: 1st-line HC!A5:A111"")),"""")"),5.0)</f>
        <v>5</v>
      </c>
      <c r="H48" s="14">
        <f>IFERROR(__xludf.DUMMYFUNCTION("IFNA(FILTER(IMPORTRANGE(""https://docs.google.com/spreadsheets/d/1kGrh75X1cNR1D7_FcY9zMnHP8iPO4M5RCRjy6nZY0TY/edit#gid=1248694442"",""Table 3: 1st-line HC!AA5:AA111""), $A48=IMPORTRANGE(""https://docs.google.com/spreadsheets/d/1kGrh75X1cNR1D7_FcY9zMnHP8iP"&amp;"O4M5RCRjy6nZY0TY/edit#gid=1248694442"",""Table 3: 1st-line HC!A5:A111"")),"""")"),13.0)</f>
        <v>13</v>
      </c>
      <c r="I48" s="14" t="str">
        <f>IFERROR(__xludf.DUMMYFUNCTION("IFNA(FILTER(IMPORTRANGE(""https://docs.google.com/spreadsheets/d/1kGrh75X1cNR1D7_FcY9zMnHP8iPO4M5RCRjy6nZY0TY/edit#gid=1248694442"",""Table 3: 1st-line HC!AB5:AB111""), $A48=IMPORTRANGE(""https://docs.google.com/spreadsheets/d/1kGrh75X1cNR1D7_FcY9zMnHP8iP"&amp;"O4M5RCRjy6nZY0TY/edit#gid=1248694442"",""Table 3: 1st-line HC!A5:A111"")),"""")"),"")</f>
        <v/>
      </c>
      <c r="J48" s="14" t="str">
        <f>IFERROR(__xludf.DUMMYFUNCTION("IFNA(FILTER(IMPORTRANGE(""https://docs.google.com/spreadsheets/d/1kGrh75X1cNR1D7_FcY9zMnHP8iPO4M5RCRjy6nZY0TY/edit#gid=1248694442"",""Table 3: 1st-line HC!AC5:AC111""), $A48=IMPORTRANGE(""https://docs.google.com/spreadsheets/d/1kGrh75X1cNR1D7_FcY9zMnHP8iP"&amp;"O4M5RCRjy6nZY0TY/edit#gid=1248694442"",""Table 3: 1st-line HC!A5:A111"")),"""")"),"")</f>
        <v/>
      </c>
      <c r="K48" s="20" t="str">
        <f>IFERROR(__xludf.DUMMYFUNCTION("IFNA(FILTER(IMPORTRANGE(""https://docs.google.com/spreadsheets/d/1kGrh75X1cNR1D7_FcY9zMnHP8iPO4M5RCRjy6nZY0TY/edit#gid=1248694442"",""Table 3: 1st-line HC!AD5:AD111""), $A48=IMPORTRANGE(""https://docs.google.com/spreadsheets/d/1kGrh75X1cNR1D7_FcY9zMnHP8iP"&amp;"O4M5RCRjy6nZY0TY/edit#gid=1248694442"",""Table 3: 1st-line HC!A5:A111"")),"""")"),"")</f>
        <v/>
      </c>
      <c r="L48" s="14" t="str">
        <f>IFERROR(__xludf.DUMMYFUNCTION("IFNA(FILTER(IMPORTRANGE(""https://docs.google.com/spreadsheets/d/1kGrh75X1cNR1D7_FcY9zMnHP8iPO4M5RCRjy6nZY0TY/edit#gid=1248694442"",""Table 3: 1st-line HC!W5:W111""), $A48=IMPORTRANGE(""https://docs.google.com/spreadsheets/d/1kGrh75X1cNR1D7_FcY9zMnHP8iPO4"&amp;"M5RCRjy6nZY0TY/edit#gid=1248694442"",""Table 3: 1st-line HC!A5:A111"")),"""")"),"")</f>
        <v/>
      </c>
      <c r="M48" s="14" t="str">
        <f>IFERROR(__xludf.DUMMYFUNCTION("IFNA(FILTER(IMPORTRANGE(""https://docs.google.com/spreadsheets/d/1kGrh75X1cNR1D7_FcY9zMnHP8iPO4M5RCRjy6nZY0TY/edit#gid=1248694442"",""Table 3: 1st-line HC!X5:X111""), $A48=IMPORTRANGE(""https://docs.google.com/spreadsheets/d/1kGrh75X1cNR1D7_FcY9zMnHP8iPO4"&amp;"M5RCRjy6nZY0TY/edit#gid=1248694442"",""Table 3: 1st-line HC!A5:A111"")),"""")"),"")</f>
        <v/>
      </c>
      <c r="N48" s="14" t="str">
        <f>IFERROR(__xludf.DUMMYFUNCTION("IFNA(FILTER(IMPORTRANGE(""https://docs.google.com/spreadsheets/d/1kGrh75X1cNR1D7_FcY9zMnHP8iPO4M5RCRjy6nZY0TY/edit#gid=1248694442"",""Table 4: 2nd-line HC or more!C5:C85""), $A48=IMPORTRANGE(""https://docs.google.com/spreadsheets/d/1kGrh75X1cNR1D7_FcY9zMn"&amp;"HP8iPO4M5RCRjy6nZY0TY/edit#gid=1248694442"",""Table 4: 2nd-line HC or more!A5:A85"")),"""")"),"")</f>
        <v/>
      </c>
      <c r="O48" s="14" t="str">
        <f>IFERROR(__xludf.DUMMYFUNCTION("IFNA(FILTER(IMPORTRANGE(""https://docs.google.com/spreadsheets/d/1kGrh75X1cNR1D7_FcY9zMnHP8iPO4M5RCRjy6nZY0TY/edit#gid=1248694442"",""Table 4: 2nd-line HC or more!D5:D85""), $A48=IMPORTRANGE(""https://docs.google.com/spreadsheets/d/1kGrh75X1cNR1D7_FcY9zMn"&amp;"HP8iPO4M5RCRjy6nZY0TY/edit#gid=1248694442"",""Table 4: 2nd-line HC or more!A5:A85"")),"""")"),"")</f>
        <v/>
      </c>
      <c r="P48" s="14" t="str">
        <f>IFERROR(__xludf.DUMMYFUNCTION("IFNA(FILTER(IMPORTRANGE(""https://docs.google.com/spreadsheets/d/1kGrh75X1cNR1D7_FcY9zMnHP8iPO4M5RCRjy6nZY0TY/edit#gid=1248694442"",""Table 4: 2nd-line HC or more!E5:E85""), $A48=IMPORTRANGE(""https://docs.google.com/spreadsheets/d/1kGrh75X1cNR1D7_FcY9zMn"&amp;"HP8iPO4M5RCRjy6nZY0TY/edit#gid=1248694442"",""Table 4: 2nd-line HC or more!A5:A85"")),"""")"),"")</f>
        <v/>
      </c>
      <c r="Q48" s="14" t="str">
        <f>IFERROR(__xludf.DUMMYFUNCTION("IFNA(FILTER(IMPORTRANGE(""https://docs.google.com/spreadsheets/d/1kGrh75X1cNR1D7_FcY9zMnHP8iPO4M5RCRjy6nZY0TY/edit#gid=1248694442"",""Table 4: 2nd-line HC or more!F5:F85""), $A48=IMPORTRANGE(""https://docs.google.com/spreadsheets/d/1kGrh75X1cNR1D7_FcY9zMn"&amp;"HP8iPO4M5RCRjy6nZY0TY/edit#gid=1248694442"",""Table 4: 2nd-line HC or more!A5:A85"")),"""")"),"")</f>
        <v/>
      </c>
      <c r="R48" s="14" t="str">
        <f>IFERROR(__xludf.DUMMYFUNCTION("IFNA(FILTER(IMPORTRANGE(""https://docs.google.com/spreadsheets/d/1kGrh75X1cNR1D7_FcY9zMnHP8iPO4M5RCRjy6nZY0TY/edit#gid=1248694442"",""Table 4: 2nd-line HC or more!G5:G85""), $A48=IMPORTRANGE(""https://docs.google.com/spreadsheets/d/1kGrh75X1cNR1D7_FcY9zMn"&amp;"HP8iPO4M5RCRjy6nZY0TY/edit#gid=1248694442"",""Table 4: 2nd-line HC or more!A5:A85"")),"""")"),"")</f>
        <v/>
      </c>
      <c r="S48" s="14" t="str">
        <f>IFERROR(__xludf.DUMMYFUNCTION("IFNA(FILTER(IMPORTRANGE(""https://docs.google.com/spreadsheets/d/1kGrh75X1cNR1D7_FcY9zMnHP8iPO4M5RCRjy6nZY0TY/edit#gid=1248694442"",""Table 4: 2nd-line HC or more!H5:H85""), $A48=IMPORTRANGE(""https://docs.google.com/spreadsheets/d/1kGrh75X1cNR1D7_FcY9zMn"&amp;"HP8iPO4M5RCRjy6nZY0TY/edit#gid=1248694442"",""Table 4: 2nd-line HC or more!A5:A85"")),"""")"),"")</f>
        <v/>
      </c>
      <c r="T48" s="14" t="str">
        <f>IFERROR(__xludf.DUMMYFUNCTION("IFNA(FILTER(IMPORTRANGE(""https://docs.google.com/spreadsheets/d/1kGrh75X1cNR1D7_FcY9zMnHP8iPO4M5RCRjy6nZY0TY/edit#gid=1248694442"",""Table 3: 1st-line HC!F5:F111""), $A48=IMPORTRANGE(""https://docs.google.com/spreadsheets/d/1kGrh75X1cNR1D7_FcY9zMnHP8iPO4"&amp;"M5RCRjy6nZY0TY/edit#gid=1248694442"",""Table 3: 1st-line HC!A5:A111"")),"""")"),"")</f>
        <v/>
      </c>
      <c r="U48" s="14" t="str">
        <f>IFERROR(__xludf.DUMMYFUNCTION("IFNA(FILTER(IMPORTRANGE(""https://docs.google.com/spreadsheets/d/1kGrh75X1cNR1D7_FcY9zMnHP8iPO4M5RCRjy6nZY0TY/edit#gid=1248694442"",""Table 3: 1st-line HC!G5:G111""), $A48=IMPORTRANGE(""https://docs.google.com/spreadsheets/d/1kGrh75X1cNR1D7_FcY9zMnHP8iPO4"&amp;"M5RCRjy6nZY0TY/edit#gid=1248694442"",""Table 3: 1st-line HC!A5:A111"")),"""")"),"")</f>
        <v/>
      </c>
      <c r="V48" s="14" t="str">
        <f>IFERROR(__xludf.DUMMYFUNCTION("IFNA(FILTER(IMPORTRANGE(""https://docs.google.com/spreadsheets/d/1kGrh75X1cNR1D7_FcY9zMnHP8iPO4M5RCRjy6nZY0TY/edit#gid=1248694442"",""Table 3: 1st-line HC!H5:H111""), $A48=IMPORTRANGE(""https://docs.google.com/spreadsheets/d/1kGrh75X1cNR1D7_FcY9zMnHP8iPO4"&amp;"M5RCRjy6nZY0TY/edit#gid=1248694442"",""Table 3: 1st-line HC!A5:A111"")),"""")"),"")</f>
        <v/>
      </c>
      <c r="W48" s="14" t="str">
        <f>IFERROR(__xludf.DUMMYFUNCTION("IFNA(FILTER(IMPORTRANGE(""https://docs.google.com/spreadsheets/d/1kGrh75X1cNR1D7_FcY9zMnHP8iPO4M5RCRjy6nZY0TY/edit#gid=1248694442"",""Table 3: 1st-line HC!I5:I111""), $A48=IMPORTRANGE(""https://docs.google.com/spreadsheets/d/1kGrh75X1cNR1D7_FcY9zMnHP8iPO4"&amp;"M5RCRjy6nZY0TY/edit#gid=1248694442"",""Table 3: 1st-line HC!A5:A111"")),"""")"),"")</f>
        <v/>
      </c>
    </row>
    <row r="49">
      <c r="A49" s="4" t="str">
        <f>IFERROR(__xludf.DUMMYFUNCTION("""COMPUTED_VALUE"""),"ID 97")</f>
        <v>ID 97</v>
      </c>
      <c r="B49" s="14" t="str">
        <f>IFERROR(__xludf.DUMMYFUNCTION("IFNA(FILTER(IMPORTRANGE(""https://docs.google.com/spreadsheets/d/1kGrh75X1cNR1D7_FcY9zMnHP8iPO4M5RCRjy6nZY0TY/edit#gid=1248694442"",""Table 3: 1st-line HC!AZ5:AZ111""), $A49=IMPORTRANGE(""https://docs.google.com/spreadsheets/d/1kGrh75X1cNR1D7_FcY9zMnHP8iP"&amp;"O4M5RCRjy6nZY0TY/edit#gid=1248694442"",""Table 3: 1st-line HC!A5:A111"")),"""")"),"")</f>
        <v/>
      </c>
      <c r="C49" s="14" t="str">
        <f>IFERROR(__xludf.DUMMYFUNCTION("IFNA(FILTER(IMPORTRANGE(""https://docs.google.com/spreadsheets/d/1kGrh75X1cNR1D7_FcY9zMnHP8iPO4M5RCRjy6nZY0TY/edit#gid=1248694442"",""Table 3: 1st-line HC!BA5:BA111""), $A49=IMPORTRANGE(""https://docs.google.com/spreadsheets/d/1kGrh75X1cNR1D7_FcY9zMnHP8iP"&amp;"O4M5RCRjy6nZY0TY/edit#gid=1248694442"",""Table 3: 1st-line HC!A5:A111"")),"""")"),"")</f>
        <v/>
      </c>
      <c r="D49" s="14" t="str">
        <f>IFERROR(__xludf.DUMMYFUNCTION("IFNA(FILTER(IMPORTRANGE(""https://docs.google.com/spreadsheets/d/1kGrh75X1cNR1D7_FcY9zMnHP8iPO4M5RCRjy6nZY0TY/edit#gid=1248694442"",""Table 3: 1st-line HC!BB5:BB111""), $A49=IMPORTRANGE(""https://docs.google.com/spreadsheets/d/1kGrh75X1cNR1D7_FcY9zMnHP8iP"&amp;"O4M5RCRjy6nZY0TY/edit#gid=1248694442"",""Table 3: 1st-line HC!A5:A111"")),"""")"),"")</f>
        <v/>
      </c>
      <c r="E49" s="19" t="str">
        <f>IFERROR(__xludf.DUMMYFUNCTION("IFNA(FILTER(IMPORTRANGE(""https://docs.google.com/spreadsheets/d/1kGrh75X1cNR1D7_FcY9zMnHP8iPO4M5RCRjy6nZY0TY/edit#gid=1248694442"",""Table 3: 1st-line HC!BC5:BC111""), $A49=IMPORTRANGE(""https://docs.google.com/spreadsheets/d/1kGrh75X1cNR1D7_FcY9zMnHP8iP"&amp;"O4M5RCRjy6nZY0TY/edit#gid=1248694442"",""Table 3: 1st-line HC!A5:A111"")),"""")"),"")</f>
        <v/>
      </c>
      <c r="F49" s="14" t="str">
        <f>IFERROR(__xludf.DUMMYFUNCTION("IFNA(FILTER(IMPORTRANGE(""https://docs.google.com/spreadsheets/d/1kGrh75X1cNR1D7_FcY9zMnHP8iPO4M5RCRjy6nZY0TY/edit#gid=1248694442"",""Table 3: 1st-line HC!Y5:Y111""), $A49=IMPORTRANGE(""https://docs.google.com/spreadsheets/d/1kGrh75X1cNR1D7_FcY9zMnHP8iPO4"&amp;"M5RCRjy6nZY0TY/edit#gid=1248694442"",""Table 3: 1st-line HC!A5:A111"")),"""")"),"")</f>
        <v/>
      </c>
      <c r="G49" s="14" t="str">
        <f>IFERROR(__xludf.DUMMYFUNCTION("IFNA(FILTER(IMPORTRANGE(""https://docs.google.com/spreadsheets/d/1kGrh75X1cNR1D7_FcY9zMnHP8iPO4M5RCRjy6nZY0TY/edit#gid=1248694442"",""Table 3: 1st-line HC!Z5:Z111""), $A49=IMPORTRANGE(""https://docs.google.com/spreadsheets/d/1kGrh75X1cNR1D7_FcY9zMnHP8iPO4"&amp;"M5RCRjy6nZY0TY/edit#gid=1248694442"",""Table 3: 1st-line HC!A5:A111"")),"""")"),"")</f>
        <v/>
      </c>
      <c r="H49" s="14" t="str">
        <f>IFERROR(__xludf.DUMMYFUNCTION("IFNA(FILTER(IMPORTRANGE(""https://docs.google.com/spreadsheets/d/1kGrh75X1cNR1D7_FcY9zMnHP8iPO4M5RCRjy6nZY0TY/edit#gid=1248694442"",""Table 3: 1st-line HC!AA5:AA111""), $A49=IMPORTRANGE(""https://docs.google.com/spreadsheets/d/1kGrh75X1cNR1D7_FcY9zMnHP8iP"&amp;"O4M5RCRjy6nZY0TY/edit#gid=1248694442"",""Table 3: 1st-line HC!A5:A111"")),"""")"),"")</f>
        <v/>
      </c>
      <c r="I49" s="14" t="str">
        <f>IFERROR(__xludf.DUMMYFUNCTION("IFNA(FILTER(IMPORTRANGE(""https://docs.google.com/spreadsheets/d/1kGrh75X1cNR1D7_FcY9zMnHP8iPO4M5RCRjy6nZY0TY/edit#gid=1248694442"",""Table 3: 1st-line HC!AB5:AB111""), $A49=IMPORTRANGE(""https://docs.google.com/spreadsheets/d/1kGrh75X1cNR1D7_FcY9zMnHP8iP"&amp;"O4M5RCRjy6nZY0TY/edit#gid=1248694442"",""Table 3: 1st-line HC!A5:A111"")),"""")"),"")</f>
        <v/>
      </c>
      <c r="J49" s="14" t="str">
        <f>IFERROR(__xludf.DUMMYFUNCTION("IFNA(FILTER(IMPORTRANGE(""https://docs.google.com/spreadsheets/d/1kGrh75X1cNR1D7_FcY9zMnHP8iPO4M5RCRjy6nZY0TY/edit#gid=1248694442"",""Table 3: 1st-line HC!AC5:AC111""), $A49=IMPORTRANGE(""https://docs.google.com/spreadsheets/d/1kGrh75X1cNR1D7_FcY9zMnHP8iP"&amp;"O4M5RCRjy6nZY0TY/edit#gid=1248694442"",""Table 3: 1st-line HC!A5:A111"")),"""")"),"")</f>
        <v/>
      </c>
      <c r="K49" s="20" t="str">
        <f>IFERROR(__xludf.DUMMYFUNCTION("IFNA(FILTER(IMPORTRANGE(""https://docs.google.com/spreadsheets/d/1kGrh75X1cNR1D7_FcY9zMnHP8iPO4M5RCRjy6nZY0TY/edit#gid=1248694442"",""Table 3: 1st-line HC!AD5:AD111""), $A49=IMPORTRANGE(""https://docs.google.com/spreadsheets/d/1kGrh75X1cNR1D7_FcY9zMnHP8iP"&amp;"O4M5RCRjy6nZY0TY/edit#gid=1248694442"",""Table 3: 1st-line HC!A5:A111"")),"""")"),"")</f>
        <v/>
      </c>
      <c r="L49" s="14" t="str">
        <f>IFERROR(__xludf.DUMMYFUNCTION("IFNA(FILTER(IMPORTRANGE(""https://docs.google.com/spreadsheets/d/1kGrh75X1cNR1D7_FcY9zMnHP8iPO4M5RCRjy6nZY0TY/edit#gid=1248694442"",""Table 3: 1st-line HC!W5:W111""), $A49=IMPORTRANGE(""https://docs.google.com/spreadsheets/d/1kGrh75X1cNR1D7_FcY9zMnHP8iPO4"&amp;"M5RCRjy6nZY0TY/edit#gid=1248694442"",""Table 3: 1st-line HC!A5:A111"")),"""")"),"")</f>
        <v/>
      </c>
      <c r="M49" s="14" t="str">
        <f>IFERROR(__xludf.DUMMYFUNCTION("IFNA(FILTER(IMPORTRANGE(""https://docs.google.com/spreadsheets/d/1kGrh75X1cNR1D7_FcY9zMnHP8iPO4M5RCRjy6nZY0TY/edit#gid=1248694442"",""Table 3: 1st-line HC!X5:X111""), $A49=IMPORTRANGE(""https://docs.google.com/spreadsheets/d/1kGrh75X1cNR1D7_FcY9zMnHP8iPO4"&amp;"M5RCRjy6nZY0TY/edit#gid=1248694442"",""Table 3: 1st-line HC!A5:A111"")),"""")"),"")</f>
        <v/>
      </c>
      <c r="N49" s="14" t="str">
        <f>IFERROR(__xludf.DUMMYFUNCTION("IFNA(FILTER(IMPORTRANGE(""https://docs.google.com/spreadsheets/d/1kGrh75X1cNR1D7_FcY9zMnHP8iPO4M5RCRjy6nZY0TY/edit#gid=1248694442"",""Table 4: 2nd-line HC or more!C5:C85""), $A49=IMPORTRANGE(""https://docs.google.com/spreadsheets/d/1kGrh75X1cNR1D7_FcY9zMn"&amp;"HP8iPO4M5RCRjy6nZY0TY/edit#gid=1248694442"",""Table 4: 2nd-line HC or more!A5:A85"")),"""")"),"")</f>
        <v/>
      </c>
      <c r="O49" s="14" t="str">
        <f>IFERROR(__xludf.DUMMYFUNCTION("IFNA(FILTER(IMPORTRANGE(""https://docs.google.com/spreadsheets/d/1kGrh75X1cNR1D7_FcY9zMnHP8iPO4M5RCRjy6nZY0TY/edit#gid=1248694442"",""Table 4: 2nd-line HC or more!D5:D85""), $A49=IMPORTRANGE(""https://docs.google.com/spreadsheets/d/1kGrh75X1cNR1D7_FcY9zMn"&amp;"HP8iPO4M5RCRjy6nZY0TY/edit#gid=1248694442"",""Table 4: 2nd-line HC or more!A5:A85"")),"""")"),"")</f>
        <v/>
      </c>
      <c r="P49" s="14" t="str">
        <f>IFERROR(__xludf.DUMMYFUNCTION("IFNA(FILTER(IMPORTRANGE(""https://docs.google.com/spreadsheets/d/1kGrh75X1cNR1D7_FcY9zMnHP8iPO4M5RCRjy6nZY0TY/edit#gid=1248694442"",""Table 4: 2nd-line HC or more!E5:E85""), $A49=IMPORTRANGE(""https://docs.google.com/spreadsheets/d/1kGrh75X1cNR1D7_FcY9zMn"&amp;"HP8iPO4M5RCRjy6nZY0TY/edit#gid=1248694442"",""Table 4: 2nd-line HC or more!A5:A85"")),"""")"),"")</f>
        <v/>
      </c>
      <c r="Q49" s="14" t="str">
        <f>IFERROR(__xludf.DUMMYFUNCTION("IFNA(FILTER(IMPORTRANGE(""https://docs.google.com/spreadsheets/d/1kGrh75X1cNR1D7_FcY9zMnHP8iPO4M5RCRjy6nZY0TY/edit#gid=1248694442"",""Table 4: 2nd-line HC or more!F5:F85""), $A49=IMPORTRANGE(""https://docs.google.com/spreadsheets/d/1kGrh75X1cNR1D7_FcY9zMn"&amp;"HP8iPO4M5RCRjy6nZY0TY/edit#gid=1248694442"",""Table 4: 2nd-line HC or more!A5:A85"")),"""")"),"")</f>
        <v/>
      </c>
      <c r="R49" s="14" t="str">
        <f>IFERROR(__xludf.DUMMYFUNCTION("IFNA(FILTER(IMPORTRANGE(""https://docs.google.com/spreadsheets/d/1kGrh75X1cNR1D7_FcY9zMnHP8iPO4M5RCRjy6nZY0TY/edit#gid=1248694442"",""Table 4: 2nd-line HC or more!G5:G85""), $A49=IMPORTRANGE(""https://docs.google.com/spreadsheets/d/1kGrh75X1cNR1D7_FcY9zMn"&amp;"HP8iPO4M5RCRjy6nZY0TY/edit#gid=1248694442"",""Table 4: 2nd-line HC or more!A5:A85"")),"""")"),"")</f>
        <v/>
      </c>
      <c r="S49" s="14" t="str">
        <f>IFERROR(__xludf.DUMMYFUNCTION("IFNA(FILTER(IMPORTRANGE(""https://docs.google.com/spreadsheets/d/1kGrh75X1cNR1D7_FcY9zMnHP8iPO4M5RCRjy6nZY0TY/edit#gid=1248694442"",""Table 4: 2nd-line HC or more!H5:H85""), $A49=IMPORTRANGE(""https://docs.google.com/spreadsheets/d/1kGrh75X1cNR1D7_FcY9zMn"&amp;"HP8iPO4M5RCRjy6nZY0TY/edit#gid=1248694442"",""Table 4: 2nd-line HC or more!A5:A85"")),"""")"),"")</f>
        <v/>
      </c>
      <c r="T49" s="14" t="str">
        <f>IFERROR(__xludf.DUMMYFUNCTION("IFNA(FILTER(IMPORTRANGE(""https://docs.google.com/spreadsheets/d/1kGrh75X1cNR1D7_FcY9zMnHP8iPO4M5RCRjy6nZY0TY/edit#gid=1248694442"",""Table 3: 1st-line HC!F5:F111""), $A49=IMPORTRANGE(""https://docs.google.com/spreadsheets/d/1kGrh75X1cNR1D7_FcY9zMnHP8iPO4"&amp;"M5RCRjy6nZY0TY/edit#gid=1248694442"",""Table 3: 1st-line HC!A5:A111"")),"""")"),"")</f>
        <v/>
      </c>
      <c r="U49" s="14" t="str">
        <f>IFERROR(__xludf.DUMMYFUNCTION("IFNA(FILTER(IMPORTRANGE(""https://docs.google.com/spreadsheets/d/1kGrh75X1cNR1D7_FcY9zMnHP8iPO4M5RCRjy6nZY0TY/edit#gid=1248694442"",""Table 3: 1st-line HC!G5:G111""), $A49=IMPORTRANGE(""https://docs.google.com/spreadsheets/d/1kGrh75X1cNR1D7_FcY9zMnHP8iPO4"&amp;"M5RCRjy6nZY0TY/edit#gid=1248694442"",""Table 3: 1st-line HC!A5:A111"")),"""")"),"")</f>
        <v/>
      </c>
      <c r="V49" s="14" t="str">
        <f>IFERROR(__xludf.DUMMYFUNCTION("IFNA(FILTER(IMPORTRANGE(""https://docs.google.com/spreadsheets/d/1kGrh75X1cNR1D7_FcY9zMnHP8iPO4M5RCRjy6nZY0TY/edit#gid=1248694442"",""Table 3: 1st-line HC!H5:H111""), $A49=IMPORTRANGE(""https://docs.google.com/spreadsheets/d/1kGrh75X1cNR1D7_FcY9zMnHP8iPO4"&amp;"M5RCRjy6nZY0TY/edit#gid=1248694442"",""Table 3: 1st-line HC!A5:A111"")),"""")"),"")</f>
        <v/>
      </c>
      <c r="W49" s="14" t="str">
        <f>IFERROR(__xludf.DUMMYFUNCTION("IFNA(FILTER(IMPORTRANGE(""https://docs.google.com/spreadsheets/d/1kGrh75X1cNR1D7_FcY9zMnHP8iPO4M5RCRjy6nZY0TY/edit#gid=1248694442"",""Table 3: 1st-line HC!I5:I111""), $A49=IMPORTRANGE(""https://docs.google.com/spreadsheets/d/1kGrh75X1cNR1D7_FcY9zMnHP8iPO4"&amp;"M5RCRjy6nZY0TY/edit#gid=1248694442"",""Table 3: 1st-line HC!A5:A111"")),"""")"),"")</f>
        <v/>
      </c>
    </row>
    <row r="50">
      <c r="A50" s="4" t="str">
        <f>IFERROR(__xludf.DUMMYFUNCTION("""COMPUTED_VALUE"""),"ID 98")</f>
        <v>ID 98</v>
      </c>
      <c r="B50" s="14" t="str">
        <f>IFERROR(__xludf.DUMMYFUNCTION("IFNA(FILTER(IMPORTRANGE(""https://docs.google.com/spreadsheets/d/1kGrh75X1cNR1D7_FcY9zMnHP8iPO4M5RCRjy6nZY0TY/edit#gid=1248694442"",""Table 3: 1st-line HC!AZ5:AZ111""), $A50=IMPORTRANGE(""https://docs.google.com/spreadsheets/d/1kGrh75X1cNR1D7_FcY9zMnHP8iP"&amp;"O4M5RCRjy6nZY0TY/edit#gid=1248694442"",""Table 3: 1st-line HC!A5:A111"")),"""")"),"")</f>
        <v/>
      </c>
      <c r="C50" s="14" t="str">
        <f>IFERROR(__xludf.DUMMYFUNCTION("IFNA(FILTER(IMPORTRANGE(""https://docs.google.com/spreadsheets/d/1kGrh75X1cNR1D7_FcY9zMnHP8iPO4M5RCRjy6nZY0TY/edit#gid=1248694442"",""Table 3: 1st-line HC!BA5:BA111""), $A50=IMPORTRANGE(""https://docs.google.com/spreadsheets/d/1kGrh75X1cNR1D7_FcY9zMnHP8iP"&amp;"O4M5RCRjy6nZY0TY/edit#gid=1248694442"",""Table 3: 1st-line HC!A5:A111"")),"""")"),"")</f>
        <v/>
      </c>
      <c r="D50" s="14" t="str">
        <f>IFERROR(__xludf.DUMMYFUNCTION("IFNA(FILTER(IMPORTRANGE(""https://docs.google.com/spreadsheets/d/1kGrh75X1cNR1D7_FcY9zMnHP8iPO4M5RCRjy6nZY0TY/edit#gid=1248694442"",""Table 3: 1st-line HC!BB5:BB111""), $A50=IMPORTRANGE(""https://docs.google.com/spreadsheets/d/1kGrh75X1cNR1D7_FcY9zMnHP8iP"&amp;"O4M5RCRjy6nZY0TY/edit#gid=1248694442"",""Table 3: 1st-line HC!A5:A111"")),"""")"),"")</f>
        <v/>
      </c>
      <c r="E50" s="19" t="str">
        <f>IFERROR(__xludf.DUMMYFUNCTION("IFNA(FILTER(IMPORTRANGE(""https://docs.google.com/spreadsheets/d/1kGrh75X1cNR1D7_FcY9zMnHP8iPO4M5RCRjy6nZY0TY/edit#gid=1248694442"",""Table 3: 1st-line HC!BC5:BC111""), $A50=IMPORTRANGE(""https://docs.google.com/spreadsheets/d/1kGrh75X1cNR1D7_FcY9zMnHP8iP"&amp;"O4M5RCRjy6nZY0TY/edit#gid=1248694442"",""Table 3: 1st-line HC!A5:A111"")),"""")"),"")</f>
        <v/>
      </c>
      <c r="F50" s="14" t="str">
        <f>IFERROR(__xludf.DUMMYFUNCTION("IFNA(FILTER(IMPORTRANGE(""https://docs.google.com/spreadsheets/d/1kGrh75X1cNR1D7_FcY9zMnHP8iPO4M5RCRjy6nZY0TY/edit#gid=1248694442"",""Table 3: 1st-line HC!Y5:Y111""), $A50=IMPORTRANGE(""https://docs.google.com/spreadsheets/d/1kGrh75X1cNR1D7_FcY9zMnHP8iPO4"&amp;"M5RCRjy6nZY0TY/edit#gid=1248694442"",""Table 3: 1st-line HC!A5:A111"")),"""")"),"")</f>
        <v/>
      </c>
      <c r="G50" s="14" t="str">
        <f>IFERROR(__xludf.DUMMYFUNCTION("IFNA(FILTER(IMPORTRANGE(""https://docs.google.com/spreadsheets/d/1kGrh75X1cNR1D7_FcY9zMnHP8iPO4M5RCRjy6nZY0TY/edit#gid=1248694442"",""Table 3: 1st-line HC!Z5:Z111""), $A50=IMPORTRANGE(""https://docs.google.com/spreadsheets/d/1kGrh75X1cNR1D7_FcY9zMnHP8iPO4"&amp;"M5RCRjy6nZY0TY/edit#gid=1248694442"",""Table 3: 1st-line HC!A5:A111"")),"""")"),"")</f>
        <v/>
      </c>
      <c r="H50" s="14" t="str">
        <f>IFERROR(__xludf.DUMMYFUNCTION("IFNA(FILTER(IMPORTRANGE(""https://docs.google.com/spreadsheets/d/1kGrh75X1cNR1D7_FcY9zMnHP8iPO4M5RCRjy6nZY0TY/edit#gid=1248694442"",""Table 3: 1st-line HC!AA5:AA111""), $A50=IMPORTRANGE(""https://docs.google.com/spreadsheets/d/1kGrh75X1cNR1D7_FcY9zMnHP8iP"&amp;"O4M5RCRjy6nZY0TY/edit#gid=1248694442"",""Table 3: 1st-line HC!A5:A111"")),"""")"),"")</f>
        <v/>
      </c>
      <c r="I50" s="14" t="str">
        <f>IFERROR(__xludf.DUMMYFUNCTION("IFNA(FILTER(IMPORTRANGE(""https://docs.google.com/spreadsheets/d/1kGrh75X1cNR1D7_FcY9zMnHP8iPO4M5RCRjy6nZY0TY/edit#gid=1248694442"",""Table 3: 1st-line HC!AB5:AB111""), $A50=IMPORTRANGE(""https://docs.google.com/spreadsheets/d/1kGrh75X1cNR1D7_FcY9zMnHP8iP"&amp;"O4M5RCRjy6nZY0TY/edit#gid=1248694442"",""Table 3: 1st-line HC!A5:A111"")),"""")"),"")</f>
        <v/>
      </c>
      <c r="J50" s="14" t="str">
        <f>IFERROR(__xludf.DUMMYFUNCTION("IFNA(FILTER(IMPORTRANGE(""https://docs.google.com/spreadsheets/d/1kGrh75X1cNR1D7_FcY9zMnHP8iPO4M5RCRjy6nZY0TY/edit#gid=1248694442"",""Table 3: 1st-line HC!AC5:AC111""), $A50=IMPORTRANGE(""https://docs.google.com/spreadsheets/d/1kGrh75X1cNR1D7_FcY9zMnHP8iP"&amp;"O4M5RCRjy6nZY0TY/edit#gid=1248694442"",""Table 3: 1st-line HC!A5:A111"")),"""")"),"")</f>
        <v/>
      </c>
      <c r="K50" s="20" t="str">
        <f>IFERROR(__xludf.DUMMYFUNCTION("IFNA(FILTER(IMPORTRANGE(""https://docs.google.com/spreadsheets/d/1kGrh75X1cNR1D7_FcY9zMnHP8iPO4M5RCRjy6nZY0TY/edit#gid=1248694442"",""Table 3: 1st-line HC!AD5:AD111""), $A50=IMPORTRANGE(""https://docs.google.com/spreadsheets/d/1kGrh75X1cNR1D7_FcY9zMnHP8iP"&amp;"O4M5RCRjy6nZY0TY/edit#gid=1248694442"",""Table 3: 1st-line HC!A5:A111"")),"""")"),"")</f>
        <v/>
      </c>
      <c r="L50" s="14" t="str">
        <f>IFERROR(__xludf.DUMMYFUNCTION("IFNA(FILTER(IMPORTRANGE(""https://docs.google.com/spreadsheets/d/1kGrh75X1cNR1D7_FcY9zMnHP8iPO4M5RCRjy6nZY0TY/edit#gid=1248694442"",""Table 3: 1st-line HC!W5:W111""), $A50=IMPORTRANGE(""https://docs.google.com/spreadsheets/d/1kGrh75X1cNR1D7_FcY9zMnHP8iPO4"&amp;"M5RCRjy6nZY0TY/edit#gid=1248694442"",""Table 3: 1st-line HC!A5:A111"")),"""")"),"")</f>
        <v/>
      </c>
      <c r="M50" s="14" t="str">
        <f>IFERROR(__xludf.DUMMYFUNCTION("IFNA(FILTER(IMPORTRANGE(""https://docs.google.com/spreadsheets/d/1kGrh75X1cNR1D7_FcY9zMnHP8iPO4M5RCRjy6nZY0TY/edit#gid=1248694442"",""Table 3: 1st-line HC!X5:X111""), $A50=IMPORTRANGE(""https://docs.google.com/spreadsheets/d/1kGrh75X1cNR1D7_FcY9zMnHP8iPO4"&amp;"M5RCRjy6nZY0TY/edit#gid=1248694442"",""Table 3: 1st-line HC!A5:A111"")),"""")"),"")</f>
        <v/>
      </c>
      <c r="N50" s="14" t="str">
        <f>IFERROR(__xludf.DUMMYFUNCTION("IFNA(FILTER(IMPORTRANGE(""https://docs.google.com/spreadsheets/d/1kGrh75X1cNR1D7_FcY9zMnHP8iPO4M5RCRjy6nZY0TY/edit#gid=1248694442"",""Table 4: 2nd-line HC or more!C5:C85""), $A50=IMPORTRANGE(""https://docs.google.com/spreadsheets/d/1kGrh75X1cNR1D7_FcY9zMn"&amp;"HP8iPO4M5RCRjy6nZY0TY/edit#gid=1248694442"",""Table 4: 2nd-line HC or more!A5:A85"")),"""")"),"")</f>
        <v/>
      </c>
      <c r="O50" s="14" t="str">
        <f>IFERROR(__xludf.DUMMYFUNCTION("IFNA(FILTER(IMPORTRANGE(""https://docs.google.com/spreadsheets/d/1kGrh75X1cNR1D7_FcY9zMnHP8iPO4M5RCRjy6nZY0TY/edit#gid=1248694442"",""Table 4: 2nd-line HC or more!D5:D85""), $A50=IMPORTRANGE(""https://docs.google.com/spreadsheets/d/1kGrh75X1cNR1D7_FcY9zMn"&amp;"HP8iPO4M5RCRjy6nZY0TY/edit#gid=1248694442"",""Table 4: 2nd-line HC or more!A5:A85"")),"""")"),"")</f>
        <v/>
      </c>
      <c r="P50" s="14" t="str">
        <f>IFERROR(__xludf.DUMMYFUNCTION("IFNA(FILTER(IMPORTRANGE(""https://docs.google.com/spreadsheets/d/1kGrh75X1cNR1D7_FcY9zMnHP8iPO4M5RCRjy6nZY0TY/edit#gid=1248694442"",""Table 4: 2nd-line HC or more!E5:E85""), $A50=IMPORTRANGE(""https://docs.google.com/spreadsheets/d/1kGrh75X1cNR1D7_FcY9zMn"&amp;"HP8iPO4M5RCRjy6nZY0TY/edit#gid=1248694442"",""Table 4: 2nd-line HC or more!A5:A85"")),"""")"),"")</f>
        <v/>
      </c>
      <c r="Q50" s="14" t="str">
        <f>IFERROR(__xludf.DUMMYFUNCTION("IFNA(FILTER(IMPORTRANGE(""https://docs.google.com/spreadsheets/d/1kGrh75X1cNR1D7_FcY9zMnHP8iPO4M5RCRjy6nZY0TY/edit#gid=1248694442"",""Table 4: 2nd-line HC or more!F5:F85""), $A50=IMPORTRANGE(""https://docs.google.com/spreadsheets/d/1kGrh75X1cNR1D7_FcY9zMn"&amp;"HP8iPO4M5RCRjy6nZY0TY/edit#gid=1248694442"",""Table 4: 2nd-line HC or more!A5:A85"")),"""")"),"")</f>
        <v/>
      </c>
      <c r="R50" s="14" t="str">
        <f>IFERROR(__xludf.DUMMYFUNCTION("IFNA(FILTER(IMPORTRANGE(""https://docs.google.com/spreadsheets/d/1kGrh75X1cNR1D7_FcY9zMnHP8iPO4M5RCRjy6nZY0TY/edit#gid=1248694442"",""Table 4: 2nd-line HC or more!G5:G85""), $A50=IMPORTRANGE(""https://docs.google.com/spreadsheets/d/1kGrh75X1cNR1D7_FcY9zMn"&amp;"HP8iPO4M5RCRjy6nZY0TY/edit#gid=1248694442"",""Table 4: 2nd-line HC or more!A5:A85"")),"""")"),"")</f>
        <v/>
      </c>
      <c r="S50" s="14" t="str">
        <f>IFERROR(__xludf.DUMMYFUNCTION("IFNA(FILTER(IMPORTRANGE(""https://docs.google.com/spreadsheets/d/1kGrh75X1cNR1D7_FcY9zMnHP8iPO4M5RCRjy6nZY0TY/edit#gid=1248694442"",""Table 4: 2nd-line HC or more!H5:H85""), $A50=IMPORTRANGE(""https://docs.google.com/spreadsheets/d/1kGrh75X1cNR1D7_FcY9zMn"&amp;"HP8iPO4M5RCRjy6nZY0TY/edit#gid=1248694442"",""Table 4: 2nd-line HC or more!A5:A85"")),"""")"),"")</f>
        <v/>
      </c>
      <c r="T50" s="14" t="str">
        <f>IFERROR(__xludf.DUMMYFUNCTION("IFNA(FILTER(IMPORTRANGE(""https://docs.google.com/spreadsheets/d/1kGrh75X1cNR1D7_FcY9zMnHP8iPO4M5RCRjy6nZY0TY/edit#gid=1248694442"",""Table 3: 1st-line HC!F5:F111""), $A50=IMPORTRANGE(""https://docs.google.com/spreadsheets/d/1kGrh75X1cNR1D7_FcY9zMnHP8iPO4"&amp;"M5RCRjy6nZY0TY/edit#gid=1248694442"",""Table 3: 1st-line HC!A5:A111"")),"""")"),"")</f>
        <v/>
      </c>
      <c r="U50" s="14" t="str">
        <f>IFERROR(__xludf.DUMMYFUNCTION("IFNA(FILTER(IMPORTRANGE(""https://docs.google.com/spreadsheets/d/1kGrh75X1cNR1D7_FcY9zMnHP8iPO4M5RCRjy6nZY0TY/edit#gid=1248694442"",""Table 3: 1st-line HC!G5:G111""), $A50=IMPORTRANGE(""https://docs.google.com/spreadsheets/d/1kGrh75X1cNR1D7_FcY9zMnHP8iPO4"&amp;"M5RCRjy6nZY0TY/edit#gid=1248694442"",""Table 3: 1st-line HC!A5:A111"")),"""")"),"")</f>
        <v/>
      </c>
      <c r="V50" s="14" t="str">
        <f>IFERROR(__xludf.DUMMYFUNCTION("IFNA(FILTER(IMPORTRANGE(""https://docs.google.com/spreadsheets/d/1kGrh75X1cNR1D7_FcY9zMnHP8iPO4M5RCRjy6nZY0TY/edit#gid=1248694442"",""Table 3: 1st-line HC!H5:H111""), $A50=IMPORTRANGE(""https://docs.google.com/spreadsheets/d/1kGrh75X1cNR1D7_FcY9zMnHP8iPO4"&amp;"M5RCRjy6nZY0TY/edit#gid=1248694442"",""Table 3: 1st-line HC!A5:A111"")),"""")"),"")</f>
        <v/>
      </c>
      <c r="W50" s="14" t="str">
        <f>IFERROR(__xludf.DUMMYFUNCTION("IFNA(FILTER(IMPORTRANGE(""https://docs.google.com/spreadsheets/d/1kGrh75X1cNR1D7_FcY9zMnHP8iPO4M5RCRjy6nZY0TY/edit#gid=1248694442"",""Table 3: 1st-line HC!I5:I111""), $A50=IMPORTRANGE(""https://docs.google.com/spreadsheets/d/1kGrh75X1cNR1D7_FcY9zMnHP8iPO4"&amp;"M5RCRjy6nZY0TY/edit#gid=1248694442"",""Table 3: 1st-line HC!A5:A111"")),"""")"),"")</f>
        <v/>
      </c>
    </row>
    <row r="51">
      <c r="A51" s="4" t="str">
        <f>IFERROR(__xludf.DUMMYFUNCTION("""COMPUTED_VALUE"""),"ID 101")</f>
        <v>ID 101</v>
      </c>
      <c r="B51" s="14" t="str">
        <f>IFERROR(__xludf.DUMMYFUNCTION("IFNA(FILTER(IMPORTRANGE(""https://docs.google.com/spreadsheets/d/1kGrh75X1cNR1D7_FcY9zMnHP8iPO4M5RCRjy6nZY0TY/edit#gid=1248694442"",""Table 3: 1st-line HC!AZ5:AZ111""), $A51=IMPORTRANGE(""https://docs.google.com/spreadsheets/d/1kGrh75X1cNR1D7_FcY9zMnHP8iP"&amp;"O4M5RCRjy6nZY0TY/edit#gid=1248694442"",""Table 3: 1st-line HC!A5:A111"")),"""")"),"")</f>
        <v/>
      </c>
      <c r="C51" s="14" t="str">
        <f>IFERROR(__xludf.DUMMYFUNCTION("IFNA(FILTER(IMPORTRANGE(""https://docs.google.com/spreadsheets/d/1kGrh75X1cNR1D7_FcY9zMnHP8iPO4M5RCRjy6nZY0TY/edit#gid=1248694442"",""Table 3: 1st-line HC!BA5:BA111""), $A51=IMPORTRANGE(""https://docs.google.com/spreadsheets/d/1kGrh75X1cNR1D7_FcY9zMnHP8iP"&amp;"O4M5RCRjy6nZY0TY/edit#gid=1248694442"",""Table 3: 1st-line HC!A5:A111"")),"""")"),"")</f>
        <v/>
      </c>
      <c r="D51" s="14" t="str">
        <f>IFERROR(__xludf.DUMMYFUNCTION("IFNA(FILTER(IMPORTRANGE(""https://docs.google.com/spreadsheets/d/1kGrh75X1cNR1D7_FcY9zMnHP8iPO4M5RCRjy6nZY0TY/edit#gid=1248694442"",""Table 3: 1st-line HC!BB5:BB111""), $A51=IMPORTRANGE(""https://docs.google.com/spreadsheets/d/1kGrh75X1cNR1D7_FcY9zMnHP8iP"&amp;"O4M5RCRjy6nZY0TY/edit#gid=1248694442"",""Table 3: 1st-line HC!A5:A111"")),"""")"),"")</f>
        <v/>
      </c>
      <c r="E51" s="19" t="str">
        <f>IFERROR(__xludf.DUMMYFUNCTION("IFNA(FILTER(IMPORTRANGE(""https://docs.google.com/spreadsheets/d/1kGrh75X1cNR1D7_FcY9zMnHP8iPO4M5RCRjy6nZY0TY/edit#gid=1248694442"",""Table 3: 1st-line HC!BC5:BC111""), $A51=IMPORTRANGE(""https://docs.google.com/spreadsheets/d/1kGrh75X1cNR1D7_FcY9zMnHP8iP"&amp;"O4M5RCRjy6nZY0TY/edit#gid=1248694442"",""Table 3: 1st-line HC!A5:A111"")),"""")"),"")</f>
        <v/>
      </c>
      <c r="F51" s="14" t="str">
        <f>IFERROR(__xludf.DUMMYFUNCTION("IFNA(FILTER(IMPORTRANGE(""https://docs.google.com/spreadsheets/d/1kGrh75X1cNR1D7_FcY9zMnHP8iPO4M5RCRjy6nZY0TY/edit#gid=1248694442"",""Table 3: 1st-line HC!Y5:Y111""), $A51=IMPORTRANGE(""https://docs.google.com/spreadsheets/d/1kGrh75X1cNR1D7_FcY9zMnHP8iPO4"&amp;"M5RCRjy6nZY0TY/edit#gid=1248694442"",""Table 3: 1st-line HC!A5:A111"")),"""")"),"")</f>
        <v/>
      </c>
      <c r="G51" s="14">
        <f>IFERROR(__xludf.DUMMYFUNCTION("IFNA(FILTER(IMPORTRANGE(""https://docs.google.com/spreadsheets/d/1kGrh75X1cNR1D7_FcY9zMnHP8iPO4M5RCRjy6nZY0TY/edit#gid=1248694442"",""Table 3: 1st-line HC!Z5:Z111""), $A51=IMPORTRANGE(""https://docs.google.com/spreadsheets/d/1kGrh75X1cNR1D7_FcY9zMnHP8iPO4"&amp;"M5RCRjy6nZY0TY/edit#gid=1248694442"",""Table 3: 1st-line HC!A5:A111"")),"""")"),50.0)</f>
        <v>50</v>
      </c>
      <c r="H51" s="14" t="str">
        <f>IFERROR(__xludf.DUMMYFUNCTION("IFNA(FILTER(IMPORTRANGE(""https://docs.google.com/spreadsheets/d/1kGrh75X1cNR1D7_FcY9zMnHP8iPO4M5RCRjy6nZY0TY/edit#gid=1248694442"",""Table 3: 1st-line HC!AA5:AA111""), $A51=IMPORTRANGE(""https://docs.google.com/spreadsheets/d/1kGrh75X1cNR1D7_FcY9zMnHP8iP"&amp;"O4M5RCRjy6nZY0TY/edit#gid=1248694442"",""Table 3: 1st-line HC!A5:A111"")),"""")"),"")</f>
        <v/>
      </c>
      <c r="I51" s="14" t="str">
        <f>IFERROR(__xludf.DUMMYFUNCTION("IFNA(FILTER(IMPORTRANGE(""https://docs.google.com/spreadsheets/d/1kGrh75X1cNR1D7_FcY9zMnHP8iPO4M5RCRjy6nZY0TY/edit#gid=1248694442"",""Table 3: 1st-line HC!AB5:AB111""), $A51=IMPORTRANGE(""https://docs.google.com/spreadsheets/d/1kGrh75X1cNR1D7_FcY9zMnHP8iP"&amp;"O4M5RCRjy6nZY0TY/edit#gid=1248694442"",""Table 3: 1st-line HC!A5:A111"")),"""")"),"")</f>
        <v/>
      </c>
      <c r="J51" s="14" t="str">
        <f>IFERROR(__xludf.DUMMYFUNCTION("IFNA(FILTER(IMPORTRANGE(""https://docs.google.com/spreadsheets/d/1kGrh75X1cNR1D7_FcY9zMnHP8iPO4M5RCRjy6nZY0TY/edit#gid=1248694442"",""Table 3: 1st-line HC!AC5:AC111""), $A51=IMPORTRANGE(""https://docs.google.com/spreadsheets/d/1kGrh75X1cNR1D7_FcY9zMnHP8iP"&amp;"O4M5RCRjy6nZY0TY/edit#gid=1248694442"",""Table 3: 1st-line HC!A5:A111"")),"""")"),"")</f>
        <v/>
      </c>
      <c r="K51" s="20" t="str">
        <f>IFERROR(__xludf.DUMMYFUNCTION("IFNA(FILTER(IMPORTRANGE(""https://docs.google.com/spreadsheets/d/1kGrh75X1cNR1D7_FcY9zMnHP8iPO4M5RCRjy6nZY0TY/edit#gid=1248694442"",""Table 3: 1st-line HC!AD5:AD111""), $A51=IMPORTRANGE(""https://docs.google.com/spreadsheets/d/1kGrh75X1cNR1D7_FcY9zMnHP8iP"&amp;"O4M5RCRjy6nZY0TY/edit#gid=1248694442"",""Table 3: 1st-line HC!A5:A111"")),"""")"),"")</f>
        <v/>
      </c>
      <c r="L51" s="14" t="str">
        <f>IFERROR(__xludf.DUMMYFUNCTION("IFNA(FILTER(IMPORTRANGE(""https://docs.google.com/spreadsheets/d/1kGrh75X1cNR1D7_FcY9zMnHP8iPO4M5RCRjy6nZY0TY/edit#gid=1248694442"",""Table 3: 1st-line HC!W5:W111""), $A51=IMPORTRANGE(""https://docs.google.com/spreadsheets/d/1kGrh75X1cNR1D7_FcY9zMnHP8iPO4"&amp;"M5RCRjy6nZY0TY/edit#gid=1248694442"",""Table 3: 1st-line HC!A5:A111"")),"""")"),"")</f>
        <v/>
      </c>
      <c r="M51" s="14" t="str">
        <f>IFERROR(__xludf.DUMMYFUNCTION("IFNA(FILTER(IMPORTRANGE(""https://docs.google.com/spreadsheets/d/1kGrh75X1cNR1D7_FcY9zMnHP8iPO4M5RCRjy6nZY0TY/edit#gid=1248694442"",""Table 3: 1st-line HC!X5:X111""), $A51=IMPORTRANGE(""https://docs.google.com/spreadsheets/d/1kGrh75X1cNR1D7_FcY9zMnHP8iPO4"&amp;"M5RCRjy6nZY0TY/edit#gid=1248694442"",""Table 3: 1st-line HC!A5:A111"")),"""")"),"")</f>
        <v/>
      </c>
      <c r="N51" s="14" t="str">
        <f>IFERROR(__xludf.DUMMYFUNCTION("IFNA(FILTER(IMPORTRANGE(""https://docs.google.com/spreadsheets/d/1kGrh75X1cNR1D7_FcY9zMnHP8iPO4M5RCRjy6nZY0TY/edit#gid=1248694442"",""Table 4: 2nd-line HC or more!C5:C85""), $A51=IMPORTRANGE(""https://docs.google.com/spreadsheets/d/1kGrh75X1cNR1D7_FcY9zMn"&amp;"HP8iPO4M5RCRjy6nZY0TY/edit#gid=1248694442"",""Table 4: 2nd-line HC or more!A5:A85"")),"""")"),"")</f>
        <v/>
      </c>
      <c r="O51" s="14">
        <f>IFERROR(__xludf.DUMMYFUNCTION("IFNA(FILTER(IMPORTRANGE(""https://docs.google.com/spreadsheets/d/1kGrh75X1cNR1D7_FcY9zMnHP8iPO4M5RCRjy6nZY0TY/edit#gid=1248694442"",""Table 4: 2nd-line HC or more!D5:D85""), $A51=IMPORTRANGE(""https://docs.google.com/spreadsheets/d/1kGrh75X1cNR1D7_FcY9zMn"&amp;"HP8iPO4M5RCRjy6nZY0TY/edit#gid=1248694442"",""Table 4: 2nd-line HC or more!A5:A85"")),"""")"),14.0)</f>
        <v>14</v>
      </c>
      <c r="P51" s="14" t="str">
        <f>IFERROR(__xludf.DUMMYFUNCTION("IFNA(FILTER(IMPORTRANGE(""https://docs.google.com/spreadsheets/d/1kGrh75X1cNR1D7_FcY9zMnHP8iPO4M5RCRjy6nZY0TY/edit#gid=1248694442"",""Table 4: 2nd-line HC or more!E5:E85""), $A51=IMPORTRANGE(""https://docs.google.com/spreadsheets/d/1kGrh75X1cNR1D7_FcY9zMn"&amp;"HP8iPO4M5RCRjy6nZY0TY/edit#gid=1248694442"",""Table 4: 2nd-line HC or more!A5:A85"")),"""")"),"")</f>
        <v/>
      </c>
      <c r="Q51" s="14" t="str">
        <f>IFERROR(__xludf.DUMMYFUNCTION("IFNA(FILTER(IMPORTRANGE(""https://docs.google.com/spreadsheets/d/1kGrh75X1cNR1D7_FcY9zMnHP8iPO4M5RCRjy6nZY0TY/edit#gid=1248694442"",""Table 4: 2nd-line HC or more!F5:F85""), $A51=IMPORTRANGE(""https://docs.google.com/spreadsheets/d/1kGrh75X1cNR1D7_FcY9zMn"&amp;"HP8iPO4M5RCRjy6nZY0TY/edit#gid=1248694442"",""Table 4: 2nd-line HC or more!A5:A85"")),"""")"),"")</f>
        <v/>
      </c>
      <c r="R51" s="14" t="str">
        <f>IFERROR(__xludf.DUMMYFUNCTION("IFNA(FILTER(IMPORTRANGE(""https://docs.google.com/spreadsheets/d/1kGrh75X1cNR1D7_FcY9zMnHP8iPO4M5RCRjy6nZY0TY/edit#gid=1248694442"",""Table 4: 2nd-line HC or more!G5:G85""), $A51=IMPORTRANGE(""https://docs.google.com/spreadsheets/d/1kGrh75X1cNR1D7_FcY9zMn"&amp;"HP8iPO4M5RCRjy6nZY0TY/edit#gid=1248694442"",""Table 4: 2nd-line HC or more!A5:A85"")),"""")"),"")</f>
        <v/>
      </c>
      <c r="S51" s="14" t="str">
        <f>IFERROR(__xludf.DUMMYFUNCTION("IFNA(FILTER(IMPORTRANGE(""https://docs.google.com/spreadsheets/d/1kGrh75X1cNR1D7_FcY9zMnHP8iPO4M5RCRjy6nZY0TY/edit#gid=1248694442"",""Table 4: 2nd-line HC or more!H5:H85""), $A51=IMPORTRANGE(""https://docs.google.com/spreadsheets/d/1kGrh75X1cNR1D7_FcY9zMn"&amp;"HP8iPO4M5RCRjy6nZY0TY/edit#gid=1248694442"",""Table 4: 2nd-line HC or more!A5:A85"")),"""")"),"ventriculo-atrial shunt=11")</f>
        <v>ventriculo-atrial shunt=11</v>
      </c>
      <c r="T51" s="14" t="str">
        <f>IFERROR(__xludf.DUMMYFUNCTION("IFNA(FILTER(IMPORTRANGE(""https://docs.google.com/spreadsheets/d/1kGrh75X1cNR1D7_FcY9zMnHP8iPO4M5RCRjy6nZY0TY/edit#gid=1248694442"",""Table 3: 1st-line HC!F5:F111""), $A51=IMPORTRANGE(""https://docs.google.com/spreadsheets/d/1kGrh75X1cNR1D7_FcY9zMnHP8iPO4"&amp;"M5RCRjy6nZY0TY/edit#gid=1248694442"",""Table 3: 1st-line HC!A5:A111"")),"""")"),"")</f>
        <v/>
      </c>
      <c r="U51" s="14" t="str">
        <f>IFERROR(__xludf.DUMMYFUNCTION("IFNA(FILTER(IMPORTRANGE(""https://docs.google.com/spreadsheets/d/1kGrh75X1cNR1D7_FcY9zMnHP8iPO4M5RCRjy6nZY0TY/edit#gid=1248694442"",""Table 3: 1st-line HC!G5:G111""), $A51=IMPORTRANGE(""https://docs.google.com/spreadsheets/d/1kGrh75X1cNR1D7_FcY9zMnHP8iPO4"&amp;"M5RCRjy6nZY0TY/edit#gid=1248694442"",""Table 3: 1st-line HC!A5:A111"")),"""")"),"")</f>
        <v/>
      </c>
      <c r="V51" s="14" t="str">
        <f>IFERROR(__xludf.DUMMYFUNCTION("IFNA(FILTER(IMPORTRANGE(""https://docs.google.com/spreadsheets/d/1kGrh75X1cNR1D7_FcY9zMnHP8iPO4M5RCRjy6nZY0TY/edit#gid=1248694442"",""Table 3: 1st-line HC!H5:H111""), $A51=IMPORTRANGE(""https://docs.google.com/spreadsheets/d/1kGrh75X1cNR1D7_FcY9zMnHP8iPO4"&amp;"M5RCRjy6nZY0TY/edit#gid=1248694442"",""Table 3: 1st-line HC!A5:A111"")),"""")"),"")</f>
        <v/>
      </c>
      <c r="W51" s="14" t="str">
        <f>IFERROR(__xludf.DUMMYFUNCTION("IFNA(FILTER(IMPORTRANGE(""https://docs.google.com/spreadsheets/d/1kGrh75X1cNR1D7_FcY9zMnHP8iPO4M5RCRjy6nZY0TY/edit#gid=1248694442"",""Table 3: 1st-line HC!I5:I111""), $A51=IMPORTRANGE(""https://docs.google.com/spreadsheets/d/1kGrh75X1cNR1D7_FcY9zMnHP8iPO4"&amp;"M5RCRjy6nZY0TY/edit#gid=1248694442"",""Table 3: 1st-line HC!A5:A111"")),"""")"),"")</f>
        <v/>
      </c>
    </row>
    <row r="52">
      <c r="A52" s="4" t="str">
        <f>IFERROR(__xludf.DUMMYFUNCTION("""COMPUTED_VALUE"""),"ID 102")</f>
        <v>ID 102</v>
      </c>
      <c r="B52" s="14" t="str">
        <f>IFERROR(__xludf.DUMMYFUNCTION("IFNA(FILTER(IMPORTRANGE(""https://docs.google.com/spreadsheets/d/1kGrh75X1cNR1D7_FcY9zMnHP8iPO4M5RCRjy6nZY0TY/edit#gid=1248694442"",""Table 3: 1st-line HC!AZ5:AZ111""), $A52=IMPORTRANGE(""https://docs.google.com/spreadsheets/d/1kGrh75X1cNR1D7_FcY9zMnHP8iP"&amp;"O4M5RCRjy6nZY0TY/edit#gid=1248694442"",""Table 3: 1st-line HC!A5:A111"")),"""")"),"")</f>
        <v/>
      </c>
      <c r="C52" s="14" t="str">
        <f>IFERROR(__xludf.DUMMYFUNCTION("IFNA(FILTER(IMPORTRANGE(""https://docs.google.com/spreadsheets/d/1kGrh75X1cNR1D7_FcY9zMnHP8iPO4M5RCRjy6nZY0TY/edit#gid=1248694442"",""Table 3: 1st-line HC!BA5:BA111""), $A52=IMPORTRANGE(""https://docs.google.com/spreadsheets/d/1kGrh75X1cNR1D7_FcY9zMnHP8iP"&amp;"O4M5RCRjy6nZY0TY/edit#gid=1248694442"",""Table 3: 1st-line HC!A5:A111"")),"""")"),"")</f>
        <v/>
      </c>
      <c r="D52" s="14" t="str">
        <f>IFERROR(__xludf.DUMMYFUNCTION("IFNA(FILTER(IMPORTRANGE(""https://docs.google.com/spreadsheets/d/1kGrh75X1cNR1D7_FcY9zMnHP8iPO4M5RCRjy6nZY0TY/edit#gid=1248694442"",""Table 3: 1st-line HC!BB5:BB111""), $A52=IMPORTRANGE(""https://docs.google.com/spreadsheets/d/1kGrh75X1cNR1D7_FcY9zMnHP8iP"&amp;"O4M5RCRjy6nZY0TY/edit#gid=1248694442"",""Table 3: 1st-line HC!A5:A111"")),"""")"),"")</f>
        <v/>
      </c>
      <c r="E52" s="19" t="str">
        <f>IFERROR(__xludf.DUMMYFUNCTION("IFNA(FILTER(IMPORTRANGE(""https://docs.google.com/spreadsheets/d/1kGrh75X1cNR1D7_FcY9zMnHP8iPO4M5RCRjy6nZY0TY/edit#gid=1248694442"",""Table 3: 1st-line HC!BC5:BC111""), $A52=IMPORTRANGE(""https://docs.google.com/spreadsheets/d/1kGrh75X1cNR1D7_FcY9zMnHP8iP"&amp;"O4M5RCRjy6nZY0TY/edit#gid=1248694442"",""Table 3: 1st-line HC!A5:A111"")),"""")"),"")</f>
        <v/>
      </c>
      <c r="F52" s="14" t="str">
        <f>IFERROR(__xludf.DUMMYFUNCTION("IFNA(FILTER(IMPORTRANGE(""https://docs.google.com/spreadsheets/d/1kGrh75X1cNR1D7_FcY9zMnHP8iPO4M5RCRjy6nZY0TY/edit#gid=1248694442"",""Table 3: 1st-line HC!Y5:Y111""), $A52=IMPORTRANGE(""https://docs.google.com/spreadsheets/d/1kGrh75X1cNR1D7_FcY9zMnHP8iPO4"&amp;"M5RCRjy6nZY0TY/edit#gid=1248694442"",""Table 3: 1st-line HC!A5:A111"")),"""")"),"")</f>
        <v/>
      </c>
      <c r="G52" s="14">
        <f>IFERROR(__xludf.DUMMYFUNCTION("IFNA(FILTER(IMPORTRANGE(""https://docs.google.com/spreadsheets/d/1kGrh75X1cNR1D7_FcY9zMnHP8iPO4M5RCRjy6nZY0TY/edit#gid=1248694442"",""Table 3: 1st-line HC!Z5:Z111""), $A52=IMPORTRANGE(""https://docs.google.com/spreadsheets/d/1kGrh75X1cNR1D7_FcY9zMnHP8iPO4"&amp;"M5RCRjy6nZY0TY/edit#gid=1248694442"",""Table 3: 1st-line HC!A5:A111"")),"""")"),109.0)</f>
        <v>109</v>
      </c>
      <c r="H52" s="14" t="str">
        <f>IFERROR(__xludf.DUMMYFUNCTION("IFNA(FILTER(IMPORTRANGE(""https://docs.google.com/spreadsheets/d/1kGrh75X1cNR1D7_FcY9zMnHP8iPO4M5RCRjy6nZY0TY/edit#gid=1248694442"",""Table 3: 1st-line HC!AA5:AA111""), $A52=IMPORTRANGE(""https://docs.google.com/spreadsheets/d/1kGrh75X1cNR1D7_FcY9zMnHP8iP"&amp;"O4M5RCRjy6nZY0TY/edit#gid=1248694442"",""Table 3: 1st-line HC!A5:A111"")),"""")"),"")</f>
        <v/>
      </c>
      <c r="I52" s="14" t="str">
        <f>IFERROR(__xludf.DUMMYFUNCTION("IFNA(FILTER(IMPORTRANGE(""https://docs.google.com/spreadsheets/d/1kGrh75X1cNR1D7_FcY9zMnHP8iPO4M5RCRjy6nZY0TY/edit#gid=1248694442"",""Table 3: 1st-line HC!AB5:AB111""), $A52=IMPORTRANGE(""https://docs.google.com/spreadsheets/d/1kGrh75X1cNR1D7_FcY9zMnHP8iP"&amp;"O4M5RCRjy6nZY0TY/edit#gid=1248694442"",""Table 3: 1st-line HC!A5:A111"")),"""")"),"")</f>
        <v/>
      </c>
      <c r="J52" s="14" t="str">
        <f>IFERROR(__xludf.DUMMYFUNCTION("IFNA(FILTER(IMPORTRANGE(""https://docs.google.com/spreadsheets/d/1kGrh75X1cNR1D7_FcY9zMnHP8iPO4M5RCRjy6nZY0TY/edit#gid=1248694442"",""Table 3: 1st-line HC!AC5:AC111""), $A52=IMPORTRANGE(""https://docs.google.com/spreadsheets/d/1kGrh75X1cNR1D7_FcY9zMnHP8iP"&amp;"O4M5RCRjy6nZY0TY/edit#gid=1248694442"",""Table 3: 1st-line HC!A5:A111"")),"""")"),"")</f>
        <v/>
      </c>
      <c r="K52" s="20" t="str">
        <f>IFERROR(__xludf.DUMMYFUNCTION("IFNA(FILTER(IMPORTRANGE(""https://docs.google.com/spreadsheets/d/1kGrh75X1cNR1D7_FcY9zMnHP8iPO4M5RCRjy6nZY0TY/edit#gid=1248694442"",""Table 3: 1st-line HC!AD5:AD111""), $A52=IMPORTRANGE(""https://docs.google.com/spreadsheets/d/1kGrh75X1cNR1D7_FcY9zMnHP8iP"&amp;"O4M5RCRjy6nZY0TY/edit#gid=1248694442"",""Table 3: 1st-line HC!A5:A111"")),"""")"),"")</f>
        <v/>
      </c>
      <c r="L52" s="14" t="str">
        <f>IFERROR(__xludf.DUMMYFUNCTION("IFNA(FILTER(IMPORTRANGE(""https://docs.google.com/spreadsheets/d/1kGrh75X1cNR1D7_FcY9zMnHP8iPO4M5RCRjy6nZY0TY/edit#gid=1248694442"",""Table 3: 1st-line HC!W5:W111""), $A52=IMPORTRANGE(""https://docs.google.com/spreadsheets/d/1kGrh75X1cNR1D7_FcY9zMnHP8iPO4"&amp;"M5RCRjy6nZY0TY/edit#gid=1248694442"",""Table 3: 1st-line HC!A5:A111"")),"""")"),"")</f>
        <v/>
      </c>
      <c r="M52" s="14" t="str">
        <f>IFERROR(__xludf.DUMMYFUNCTION("IFNA(FILTER(IMPORTRANGE(""https://docs.google.com/spreadsheets/d/1kGrh75X1cNR1D7_FcY9zMnHP8iPO4M5RCRjy6nZY0TY/edit#gid=1248694442"",""Table 3: 1st-line HC!X5:X111""), $A52=IMPORTRANGE(""https://docs.google.com/spreadsheets/d/1kGrh75X1cNR1D7_FcY9zMnHP8iPO4"&amp;"M5RCRjy6nZY0TY/edit#gid=1248694442"",""Table 3: 1st-line HC!A5:A111"")),"""")"),"")</f>
        <v/>
      </c>
      <c r="N52" s="14" t="str">
        <f>IFERROR(__xludf.DUMMYFUNCTION("IFNA(FILTER(IMPORTRANGE(""https://docs.google.com/spreadsheets/d/1kGrh75X1cNR1D7_FcY9zMnHP8iPO4M5RCRjy6nZY0TY/edit#gid=1248694442"",""Table 4: 2nd-line HC or more!C5:C85""), $A52=IMPORTRANGE(""https://docs.google.com/spreadsheets/d/1kGrh75X1cNR1D7_FcY9zMn"&amp;"HP8iPO4M5RCRjy6nZY0TY/edit#gid=1248694442"",""Table 4: 2nd-line HC or more!A5:A85"")),"""")"),"")</f>
        <v/>
      </c>
      <c r="O52" s="14" t="str">
        <f>IFERROR(__xludf.DUMMYFUNCTION("IFNA(FILTER(IMPORTRANGE(""https://docs.google.com/spreadsheets/d/1kGrh75X1cNR1D7_FcY9zMnHP8iPO4M5RCRjy6nZY0TY/edit#gid=1248694442"",""Table 4: 2nd-line HC or more!D5:D85""), $A52=IMPORTRANGE(""https://docs.google.com/spreadsheets/d/1kGrh75X1cNR1D7_FcY9zMn"&amp;"HP8iPO4M5RCRjy6nZY0TY/edit#gid=1248694442"",""Table 4: 2nd-line HC or more!A5:A85"")),"""")"),"")</f>
        <v/>
      </c>
      <c r="P52" s="14" t="str">
        <f>IFERROR(__xludf.DUMMYFUNCTION("IFNA(FILTER(IMPORTRANGE(""https://docs.google.com/spreadsheets/d/1kGrh75X1cNR1D7_FcY9zMnHP8iPO4M5RCRjy6nZY0TY/edit#gid=1248694442"",""Table 4: 2nd-line HC or more!E5:E85""), $A52=IMPORTRANGE(""https://docs.google.com/spreadsheets/d/1kGrh75X1cNR1D7_FcY9zMn"&amp;"HP8iPO4M5RCRjy6nZY0TY/edit#gid=1248694442"",""Table 4: 2nd-line HC or more!A5:A85"")),"""")"),"")</f>
        <v/>
      </c>
      <c r="Q52" s="14" t="str">
        <f>IFERROR(__xludf.DUMMYFUNCTION("IFNA(FILTER(IMPORTRANGE(""https://docs.google.com/spreadsheets/d/1kGrh75X1cNR1D7_FcY9zMnHP8iPO4M5RCRjy6nZY0TY/edit#gid=1248694442"",""Table 4: 2nd-line HC or more!F5:F85""), $A52=IMPORTRANGE(""https://docs.google.com/spreadsheets/d/1kGrh75X1cNR1D7_FcY9zMn"&amp;"HP8iPO4M5RCRjy6nZY0TY/edit#gid=1248694442"",""Table 4: 2nd-line HC or more!A5:A85"")),"""")"),"")</f>
        <v/>
      </c>
      <c r="R52" s="14" t="str">
        <f>IFERROR(__xludf.DUMMYFUNCTION("IFNA(FILTER(IMPORTRANGE(""https://docs.google.com/spreadsheets/d/1kGrh75X1cNR1D7_FcY9zMnHP8iPO4M5RCRjy6nZY0TY/edit#gid=1248694442"",""Table 4: 2nd-line HC or more!G5:G85""), $A52=IMPORTRANGE(""https://docs.google.com/spreadsheets/d/1kGrh75X1cNR1D7_FcY9zMn"&amp;"HP8iPO4M5RCRjy6nZY0TY/edit#gid=1248694442"",""Table 4: 2nd-line HC or more!A5:A85"")),"""")"),"")</f>
        <v/>
      </c>
      <c r="S52" s="14" t="str">
        <f>IFERROR(__xludf.DUMMYFUNCTION("IFNA(FILTER(IMPORTRANGE(""https://docs.google.com/spreadsheets/d/1kGrh75X1cNR1D7_FcY9zMnHP8iPO4M5RCRjy6nZY0TY/edit#gid=1248694442"",""Table 4: 2nd-line HC or more!H5:H85""), $A52=IMPORTRANGE(""https://docs.google.com/spreadsheets/d/1kGrh75X1cNR1D7_FcY9zMn"&amp;"HP8iPO4M5RCRjy6nZY0TY/edit#gid=1248694442"",""Table 4: 2nd-line HC or more!A5:A85"")),"""")"),"")</f>
        <v/>
      </c>
      <c r="T52" s="14" t="str">
        <f>IFERROR(__xludf.DUMMYFUNCTION("IFNA(FILTER(IMPORTRANGE(""https://docs.google.com/spreadsheets/d/1kGrh75X1cNR1D7_FcY9zMnHP8iPO4M5RCRjy6nZY0TY/edit#gid=1248694442"",""Table 3: 1st-line HC!F5:F111""), $A52=IMPORTRANGE(""https://docs.google.com/spreadsheets/d/1kGrh75X1cNR1D7_FcY9zMnHP8iPO4"&amp;"M5RCRjy6nZY0TY/edit#gid=1248694442"",""Table 3: 1st-line HC!A5:A111"")),"""")"),"")</f>
        <v/>
      </c>
      <c r="U52" s="14" t="str">
        <f>IFERROR(__xludf.DUMMYFUNCTION("IFNA(FILTER(IMPORTRANGE(""https://docs.google.com/spreadsheets/d/1kGrh75X1cNR1D7_FcY9zMnHP8iPO4M5RCRjy6nZY0TY/edit#gid=1248694442"",""Table 3: 1st-line HC!G5:G111""), $A52=IMPORTRANGE(""https://docs.google.com/spreadsheets/d/1kGrh75X1cNR1D7_FcY9zMnHP8iPO4"&amp;"M5RCRjy6nZY0TY/edit#gid=1248694442"",""Table 3: 1st-line HC!A5:A111"")),"""")"),"")</f>
        <v/>
      </c>
      <c r="V52" s="14" t="str">
        <f>IFERROR(__xludf.DUMMYFUNCTION("IFNA(FILTER(IMPORTRANGE(""https://docs.google.com/spreadsheets/d/1kGrh75X1cNR1D7_FcY9zMnHP8iPO4M5RCRjy6nZY0TY/edit#gid=1248694442"",""Table 3: 1st-line HC!H5:H111""), $A52=IMPORTRANGE(""https://docs.google.com/spreadsheets/d/1kGrh75X1cNR1D7_FcY9zMnHP8iPO4"&amp;"M5RCRjy6nZY0TY/edit#gid=1248694442"",""Table 3: 1st-line HC!A5:A111"")),"""")"),"")</f>
        <v/>
      </c>
      <c r="W52" s="14" t="str">
        <f>IFERROR(__xludf.DUMMYFUNCTION("IFNA(FILTER(IMPORTRANGE(""https://docs.google.com/spreadsheets/d/1kGrh75X1cNR1D7_FcY9zMnHP8iPO4M5RCRjy6nZY0TY/edit#gid=1248694442"",""Table 3: 1st-line HC!I5:I111""), $A52=IMPORTRANGE(""https://docs.google.com/spreadsheets/d/1kGrh75X1cNR1D7_FcY9zMnHP8iPO4"&amp;"M5RCRjy6nZY0TY/edit#gid=1248694442"",""Table 3: 1st-line HC!A5:A111"")),"""")"),"")</f>
        <v/>
      </c>
    </row>
    <row r="53">
      <c r="A53" s="4" t="str">
        <f>IFERROR(__xludf.DUMMYFUNCTION("""COMPUTED_VALUE"""),"ID 104")</f>
        <v>ID 104</v>
      </c>
      <c r="B53" s="14">
        <f>IFERROR(__xludf.DUMMYFUNCTION("IFNA(FILTER(IMPORTRANGE(""https://docs.google.com/spreadsheets/d/1kGrh75X1cNR1D7_FcY9zMnHP8iPO4M5RCRjy6nZY0TY/edit#gid=1248694442"",""Table 3: 1st-line HC!AZ5:AZ111""), $A53=IMPORTRANGE(""https://docs.google.com/spreadsheets/d/1kGrh75X1cNR1D7_FcY9zMnHP8iP"&amp;"O4M5RCRjy6nZY0TY/edit#gid=1248694442"",""Table 3: 1st-line HC!A5:A111"")),"""")"),1.0)</f>
        <v>1</v>
      </c>
      <c r="C53" s="14" t="str">
        <f>IFERROR(__xludf.DUMMYFUNCTION("IFNA(FILTER(IMPORTRANGE(""https://docs.google.com/spreadsheets/d/1kGrh75X1cNR1D7_FcY9zMnHP8iPO4M5RCRjy6nZY0TY/edit#gid=1248694442"",""Table 3: 1st-line HC!BA5:BA111""), $A53=IMPORTRANGE(""https://docs.google.com/spreadsheets/d/1kGrh75X1cNR1D7_FcY9zMnHP8iP"&amp;"O4M5RCRjy6nZY0TY/edit#gid=1248694442"",""Table 3: 1st-line HC!A5:A111"")),"""")"),"")</f>
        <v/>
      </c>
      <c r="D53" s="14" t="str">
        <f>IFERROR(__xludf.DUMMYFUNCTION("IFNA(FILTER(IMPORTRANGE(""https://docs.google.com/spreadsheets/d/1kGrh75X1cNR1D7_FcY9zMnHP8iPO4M5RCRjy6nZY0TY/edit#gid=1248694442"",""Table 3: 1st-line HC!BB5:BB111""), $A53=IMPORTRANGE(""https://docs.google.com/spreadsheets/d/1kGrh75X1cNR1D7_FcY9zMnHP8iP"&amp;"O4M5RCRjy6nZY0TY/edit#gid=1248694442"",""Table 3: 1st-line HC!A5:A111"")),"""")"),"")</f>
        <v/>
      </c>
      <c r="E53" s="19" t="str">
        <f>IFERROR(__xludf.DUMMYFUNCTION("IFNA(FILTER(IMPORTRANGE(""https://docs.google.com/spreadsheets/d/1kGrh75X1cNR1D7_FcY9zMnHP8iPO4M5RCRjy6nZY0TY/edit#gid=1248694442"",""Table 3: 1st-line HC!BC5:BC111""), $A53=IMPORTRANGE(""https://docs.google.com/spreadsheets/d/1kGrh75X1cNR1D7_FcY9zMnHP8iP"&amp;"O4M5RCRjy6nZY0TY/edit#gid=1248694442"",""Table 3: 1st-line HC!A5:A111"")),"""")"),"")</f>
        <v/>
      </c>
      <c r="F53" s="14" t="str">
        <f>IFERROR(__xludf.DUMMYFUNCTION("IFNA(FILTER(IMPORTRANGE(""https://docs.google.com/spreadsheets/d/1kGrh75X1cNR1D7_FcY9zMnHP8iPO4M5RCRjy6nZY0TY/edit#gid=1248694442"",""Table 3: 1st-line HC!Y5:Y111""), $A53=IMPORTRANGE(""https://docs.google.com/spreadsheets/d/1kGrh75X1cNR1D7_FcY9zMnHP8iPO4"&amp;"M5RCRjy6nZY0TY/edit#gid=1248694442"",""Table 3: 1st-line HC!A5:A111"")),"""")"),"")</f>
        <v/>
      </c>
      <c r="G53" s="14">
        <f>IFERROR(__xludf.DUMMYFUNCTION("IFNA(FILTER(IMPORTRANGE(""https://docs.google.com/spreadsheets/d/1kGrh75X1cNR1D7_FcY9zMnHP8iPO4M5RCRjy6nZY0TY/edit#gid=1248694442"",""Table 3: 1st-line HC!Z5:Z111""), $A53=IMPORTRANGE(""https://docs.google.com/spreadsheets/d/1kGrh75X1cNR1D7_FcY9zMnHP8iPO4"&amp;"M5RCRjy6nZY0TY/edit#gid=1248694442"",""Table 3: 1st-line HC!A5:A111"")),"""")"),1.0)</f>
        <v>1</v>
      </c>
      <c r="H53" s="14" t="str">
        <f>IFERROR(__xludf.DUMMYFUNCTION("IFNA(FILTER(IMPORTRANGE(""https://docs.google.com/spreadsheets/d/1kGrh75X1cNR1D7_FcY9zMnHP8iPO4M5RCRjy6nZY0TY/edit#gid=1248694442"",""Table 3: 1st-line HC!AA5:AA111""), $A53=IMPORTRANGE(""https://docs.google.com/spreadsheets/d/1kGrh75X1cNR1D7_FcY9zMnHP8iP"&amp;"O4M5RCRjy6nZY0TY/edit#gid=1248694442"",""Table 3: 1st-line HC!A5:A111"")),"""")"),"")</f>
        <v/>
      </c>
      <c r="I53" s="14">
        <f>IFERROR(__xludf.DUMMYFUNCTION("IFNA(FILTER(IMPORTRANGE(""https://docs.google.com/spreadsheets/d/1kGrh75X1cNR1D7_FcY9zMnHP8iPO4M5RCRjy6nZY0TY/edit#gid=1248694442"",""Table 3: 1st-line HC!AB5:AB111""), $A53=IMPORTRANGE(""https://docs.google.com/spreadsheets/d/1kGrh75X1cNR1D7_FcY9zMnHP8iP"&amp;"O4M5RCRjy6nZY0TY/edit#gid=1248694442"",""Table 3: 1st-line HC!A5:A111"")),"""")"),2.0)</f>
        <v>2</v>
      </c>
      <c r="J53" s="14" t="str">
        <f>IFERROR(__xludf.DUMMYFUNCTION("IFNA(FILTER(IMPORTRANGE(""https://docs.google.com/spreadsheets/d/1kGrh75X1cNR1D7_FcY9zMnHP8iPO4M5RCRjy6nZY0TY/edit#gid=1248694442"",""Table 3: 1st-line HC!AC5:AC111""), $A53=IMPORTRANGE(""https://docs.google.com/spreadsheets/d/1kGrh75X1cNR1D7_FcY9zMnHP8iP"&amp;"O4M5RCRjy6nZY0TY/edit#gid=1248694442"",""Table 3: 1st-line HC!A5:A111"")),"""")"),"")</f>
        <v/>
      </c>
      <c r="K53" s="20" t="str">
        <f>IFERROR(__xludf.DUMMYFUNCTION("IFNA(FILTER(IMPORTRANGE(""https://docs.google.com/spreadsheets/d/1kGrh75X1cNR1D7_FcY9zMnHP8iPO4M5RCRjy6nZY0TY/edit#gid=1248694442"",""Table 3: 1st-line HC!AD5:AD111""), $A53=IMPORTRANGE(""https://docs.google.com/spreadsheets/d/1kGrh75X1cNR1D7_FcY9zMnHP8iP"&amp;"O4M5RCRjy6nZY0TY/edit#gid=1248694442"",""Table 3: 1st-line HC!A5:A111"")),"""")"),"")</f>
        <v/>
      </c>
      <c r="L53" s="14" t="str">
        <f>IFERROR(__xludf.DUMMYFUNCTION("IFNA(FILTER(IMPORTRANGE(""https://docs.google.com/spreadsheets/d/1kGrh75X1cNR1D7_FcY9zMnHP8iPO4M5RCRjy6nZY0TY/edit#gid=1248694442"",""Table 3: 1st-line HC!W5:W111""), $A53=IMPORTRANGE(""https://docs.google.com/spreadsheets/d/1kGrh75X1cNR1D7_FcY9zMnHP8iPO4"&amp;"M5RCRjy6nZY0TY/edit#gid=1248694442"",""Table 3: 1st-line HC!A5:A111"")),"""")"),"")</f>
        <v/>
      </c>
      <c r="M53" s="14" t="str">
        <f>IFERROR(__xludf.DUMMYFUNCTION("IFNA(FILTER(IMPORTRANGE(""https://docs.google.com/spreadsheets/d/1kGrh75X1cNR1D7_FcY9zMnHP8iPO4M5RCRjy6nZY0TY/edit#gid=1248694442"",""Table 3: 1st-line HC!X5:X111""), $A53=IMPORTRANGE(""https://docs.google.com/spreadsheets/d/1kGrh75X1cNR1D7_FcY9zMnHP8iPO4"&amp;"M5RCRjy6nZY0TY/edit#gid=1248694442"",""Table 3: 1st-line HC!A5:A111"")),"""")"),"")</f>
        <v/>
      </c>
      <c r="N53" s="14" t="str">
        <f>IFERROR(__xludf.DUMMYFUNCTION("IFNA(FILTER(IMPORTRANGE(""https://docs.google.com/spreadsheets/d/1kGrh75X1cNR1D7_FcY9zMnHP8iPO4M5RCRjy6nZY0TY/edit#gid=1248694442"",""Table 4: 2nd-line HC or more!C5:C85""), $A53=IMPORTRANGE(""https://docs.google.com/spreadsheets/d/1kGrh75X1cNR1D7_FcY9zMn"&amp;"HP8iPO4M5RCRjy6nZY0TY/edit#gid=1248694442"",""Table 4: 2nd-line HC or more!A5:A85"")),"""")"),"")</f>
        <v/>
      </c>
      <c r="O53" s="14" t="str">
        <f>IFERROR(__xludf.DUMMYFUNCTION("IFNA(FILTER(IMPORTRANGE(""https://docs.google.com/spreadsheets/d/1kGrh75X1cNR1D7_FcY9zMnHP8iPO4M5RCRjy6nZY0TY/edit#gid=1248694442"",""Table 4: 2nd-line HC or more!D5:D85""), $A53=IMPORTRANGE(""https://docs.google.com/spreadsheets/d/1kGrh75X1cNR1D7_FcY9zMn"&amp;"HP8iPO4M5RCRjy6nZY0TY/edit#gid=1248694442"",""Table 4: 2nd-line HC or more!A5:A85"")),"""")"),"")</f>
        <v/>
      </c>
      <c r="P53" s="14" t="str">
        <f>IFERROR(__xludf.DUMMYFUNCTION("IFNA(FILTER(IMPORTRANGE(""https://docs.google.com/spreadsheets/d/1kGrh75X1cNR1D7_FcY9zMnHP8iPO4M5RCRjy6nZY0TY/edit#gid=1248694442"",""Table 4: 2nd-line HC or more!E5:E85""), $A53=IMPORTRANGE(""https://docs.google.com/spreadsheets/d/1kGrh75X1cNR1D7_FcY9zMn"&amp;"HP8iPO4M5RCRjy6nZY0TY/edit#gid=1248694442"",""Table 4: 2nd-line HC or more!A5:A85"")),"""")"),"")</f>
        <v/>
      </c>
      <c r="Q53" s="14" t="str">
        <f>IFERROR(__xludf.DUMMYFUNCTION("IFNA(FILTER(IMPORTRANGE(""https://docs.google.com/spreadsheets/d/1kGrh75X1cNR1D7_FcY9zMnHP8iPO4M5RCRjy6nZY0TY/edit#gid=1248694442"",""Table 4: 2nd-line HC or more!F5:F85""), $A53=IMPORTRANGE(""https://docs.google.com/spreadsheets/d/1kGrh75X1cNR1D7_FcY9zMn"&amp;"HP8iPO4M5RCRjy6nZY0TY/edit#gid=1248694442"",""Table 4: 2nd-line HC or more!A5:A85"")),"""")"),"")</f>
        <v/>
      </c>
      <c r="R53" s="14" t="str">
        <f>IFERROR(__xludf.DUMMYFUNCTION("IFNA(FILTER(IMPORTRANGE(""https://docs.google.com/spreadsheets/d/1kGrh75X1cNR1D7_FcY9zMnHP8iPO4M5RCRjy6nZY0TY/edit#gid=1248694442"",""Table 4: 2nd-line HC or more!G5:G85""), $A53=IMPORTRANGE(""https://docs.google.com/spreadsheets/d/1kGrh75X1cNR1D7_FcY9zMn"&amp;"HP8iPO4M5RCRjy6nZY0TY/edit#gid=1248694442"",""Table 4: 2nd-line HC or more!A5:A85"")),"""")"),"")</f>
        <v/>
      </c>
      <c r="S53" s="14" t="str">
        <f>IFERROR(__xludf.DUMMYFUNCTION("IFNA(FILTER(IMPORTRANGE(""https://docs.google.com/spreadsheets/d/1kGrh75X1cNR1D7_FcY9zMnHP8iPO4M5RCRjy6nZY0TY/edit#gid=1248694442"",""Table 4: 2nd-line HC or more!H5:H85""), $A53=IMPORTRANGE(""https://docs.google.com/spreadsheets/d/1kGrh75X1cNR1D7_FcY9zMn"&amp;"HP8iPO4M5RCRjy6nZY0TY/edit#gid=1248694442"",""Table 4: 2nd-line HC or more!A5:A85"")),"""")"),"")</f>
        <v/>
      </c>
      <c r="T53" s="14" t="str">
        <f>IFERROR(__xludf.DUMMYFUNCTION("IFNA(FILTER(IMPORTRANGE(""https://docs.google.com/spreadsheets/d/1kGrh75X1cNR1D7_FcY9zMnHP8iPO4M5RCRjy6nZY0TY/edit#gid=1248694442"",""Table 3: 1st-line HC!F5:F111""), $A53=IMPORTRANGE(""https://docs.google.com/spreadsheets/d/1kGrh75X1cNR1D7_FcY9zMnHP8iPO4"&amp;"M5RCRjy6nZY0TY/edit#gid=1248694442"",""Table 3: 1st-line HC!A5:A111"")),"""")"),"")</f>
        <v/>
      </c>
      <c r="U53" s="14">
        <f>IFERROR(__xludf.DUMMYFUNCTION("IFNA(FILTER(IMPORTRANGE(""https://docs.google.com/spreadsheets/d/1kGrh75X1cNR1D7_FcY9zMnHP8iPO4M5RCRjy6nZY0TY/edit#gid=1248694442"",""Table 3: 1st-line HC!G5:G111""), $A53=IMPORTRANGE(""https://docs.google.com/spreadsheets/d/1kGrh75X1cNR1D7_FcY9zMnHP8iPO4"&amp;"M5RCRjy6nZY0TY/edit#gid=1248694442"",""Table 3: 1st-line HC!A5:A111"")),"""")"),6.0)</f>
        <v>6</v>
      </c>
      <c r="V53" s="14">
        <f>IFERROR(__xludf.DUMMYFUNCTION("IFNA(FILTER(IMPORTRANGE(""https://docs.google.com/spreadsheets/d/1kGrh75X1cNR1D7_FcY9zMnHP8iPO4M5RCRjy6nZY0TY/edit#gid=1248694442"",""Table 3: 1st-line HC!H5:H111""), $A53=IMPORTRANGE(""https://docs.google.com/spreadsheets/d/1kGrh75X1cNR1D7_FcY9zMnHP8iPO4"&amp;"M5RCRjy6nZY0TY/edit#gid=1248694442"",""Table 3: 1st-line HC!A5:A111"")),"""")"),6.0)</f>
        <v>6</v>
      </c>
      <c r="W53" s="14" t="str">
        <f>IFERROR(__xludf.DUMMYFUNCTION("IFNA(FILTER(IMPORTRANGE(""https://docs.google.com/spreadsheets/d/1kGrh75X1cNR1D7_FcY9zMnHP8iPO4M5RCRjy6nZY0TY/edit#gid=1248694442"",""Table 3: 1st-line HC!I5:I111""), $A53=IMPORTRANGE(""https://docs.google.com/spreadsheets/d/1kGrh75X1cNR1D7_FcY9zMnHP8iPO4"&amp;"M5RCRjy6nZY0TY/edit#gid=1248694442"",""Table 3: 1st-line HC!A5:A111"")),"""")"),"")</f>
        <v/>
      </c>
    </row>
    <row r="54">
      <c r="A54" s="4" t="str">
        <f>IFERROR(__xludf.DUMMYFUNCTION("""COMPUTED_VALUE"""),"ID 107")</f>
        <v>ID 107</v>
      </c>
      <c r="B54" s="14" t="str">
        <f>IFERROR(__xludf.DUMMYFUNCTION("IFNA(FILTER(IMPORTRANGE(""https://docs.google.com/spreadsheets/d/1kGrh75X1cNR1D7_FcY9zMnHP8iPO4M5RCRjy6nZY0TY/edit#gid=1248694442"",""Table 3: 1st-line HC!AZ5:AZ111""), $A54=IMPORTRANGE(""https://docs.google.com/spreadsheets/d/1kGrh75X1cNR1D7_FcY9zMnHP8iP"&amp;"O4M5RCRjy6nZY0TY/edit#gid=1248694442"",""Table 3: 1st-line HC!A5:A111"")),"""")"),"")</f>
        <v/>
      </c>
      <c r="C54" s="14" t="str">
        <f>IFERROR(__xludf.DUMMYFUNCTION("IFNA(FILTER(IMPORTRANGE(""https://docs.google.com/spreadsheets/d/1kGrh75X1cNR1D7_FcY9zMnHP8iPO4M5RCRjy6nZY0TY/edit#gid=1248694442"",""Table 3: 1st-line HC!BA5:BA111""), $A54=IMPORTRANGE(""https://docs.google.com/spreadsheets/d/1kGrh75X1cNR1D7_FcY9zMnHP8iP"&amp;"O4M5RCRjy6nZY0TY/edit#gid=1248694442"",""Table 3: 1st-line HC!A5:A111"")),"""")"),"")</f>
        <v/>
      </c>
      <c r="D54" s="14" t="str">
        <f>IFERROR(__xludf.DUMMYFUNCTION("IFNA(FILTER(IMPORTRANGE(""https://docs.google.com/spreadsheets/d/1kGrh75X1cNR1D7_FcY9zMnHP8iPO4M5RCRjy6nZY0TY/edit#gid=1248694442"",""Table 3: 1st-line HC!BB5:BB111""), $A54=IMPORTRANGE(""https://docs.google.com/spreadsheets/d/1kGrh75X1cNR1D7_FcY9zMnHP8iP"&amp;"O4M5RCRjy6nZY0TY/edit#gid=1248694442"",""Table 3: 1st-line HC!A5:A111"")),"""")"),"")</f>
        <v/>
      </c>
      <c r="E54" s="19" t="str">
        <f>IFERROR(__xludf.DUMMYFUNCTION("IFNA(FILTER(IMPORTRANGE(""https://docs.google.com/spreadsheets/d/1kGrh75X1cNR1D7_FcY9zMnHP8iPO4M5RCRjy6nZY0TY/edit#gid=1248694442"",""Table 3: 1st-line HC!BC5:BC111""), $A54=IMPORTRANGE(""https://docs.google.com/spreadsheets/d/1kGrh75X1cNR1D7_FcY9zMnHP8iP"&amp;"O4M5RCRjy6nZY0TY/edit#gid=1248694442"",""Table 3: 1st-line HC!A5:A111"")),"""")"),"")</f>
        <v/>
      </c>
      <c r="F54" s="14" t="str">
        <f>IFERROR(__xludf.DUMMYFUNCTION("IFNA(FILTER(IMPORTRANGE(""https://docs.google.com/spreadsheets/d/1kGrh75X1cNR1D7_FcY9zMnHP8iPO4M5RCRjy6nZY0TY/edit#gid=1248694442"",""Table 3: 1st-line HC!Y5:Y111""), $A54=IMPORTRANGE(""https://docs.google.com/spreadsheets/d/1kGrh75X1cNR1D7_FcY9zMnHP8iPO4"&amp;"M5RCRjy6nZY0TY/edit#gid=1248694442"",""Table 3: 1st-line HC!A5:A111"")),"""")"),"")</f>
        <v/>
      </c>
      <c r="G54" s="14">
        <f>IFERROR(__xludf.DUMMYFUNCTION("IFNA(FILTER(IMPORTRANGE(""https://docs.google.com/spreadsheets/d/1kGrh75X1cNR1D7_FcY9zMnHP8iPO4M5RCRjy6nZY0TY/edit#gid=1248694442"",""Table 3: 1st-line HC!Z5:Z111""), $A54=IMPORTRANGE(""https://docs.google.com/spreadsheets/d/1kGrh75X1cNR1D7_FcY9zMnHP8iPO4"&amp;"M5RCRjy6nZY0TY/edit#gid=1248694442"",""Table 3: 1st-line HC!A5:A111"")),"""")"),794.0)</f>
        <v>794</v>
      </c>
      <c r="H54" s="14" t="str">
        <f>IFERROR(__xludf.DUMMYFUNCTION("IFNA(FILTER(IMPORTRANGE(""https://docs.google.com/spreadsheets/d/1kGrh75X1cNR1D7_FcY9zMnHP8iPO4M5RCRjy6nZY0TY/edit#gid=1248694442"",""Table 3: 1st-line HC!AA5:AA111""), $A54=IMPORTRANGE(""https://docs.google.com/spreadsheets/d/1kGrh75X1cNR1D7_FcY9zMnHP8iP"&amp;"O4M5RCRjy6nZY0TY/edit#gid=1248694442"",""Table 3: 1st-line HC!A5:A111"")),"""")"),"")</f>
        <v/>
      </c>
      <c r="I54" s="14" t="str">
        <f>IFERROR(__xludf.DUMMYFUNCTION("IFNA(FILTER(IMPORTRANGE(""https://docs.google.com/spreadsheets/d/1kGrh75X1cNR1D7_FcY9zMnHP8iPO4M5RCRjy6nZY0TY/edit#gid=1248694442"",""Table 3: 1st-line HC!AB5:AB111""), $A54=IMPORTRANGE(""https://docs.google.com/spreadsheets/d/1kGrh75X1cNR1D7_FcY9zMnHP8iP"&amp;"O4M5RCRjy6nZY0TY/edit#gid=1248694442"",""Table 3: 1st-line HC!A5:A111"")),"""")"),"")</f>
        <v/>
      </c>
      <c r="J54" s="14" t="str">
        <f>IFERROR(__xludf.DUMMYFUNCTION("IFNA(FILTER(IMPORTRANGE(""https://docs.google.com/spreadsheets/d/1kGrh75X1cNR1D7_FcY9zMnHP8iPO4M5RCRjy6nZY0TY/edit#gid=1248694442"",""Table 3: 1st-line HC!AC5:AC111""), $A54=IMPORTRANGE(""https://docs.google.com/spreadsheets/d/1kGrh75X1cNR1D7_FcY9zMnHP8iP"&amp;"O4M5RCRjy6nZY0TY/edit#gid=1248694442"",""Table 3: 1st-line HC!A5:A111"")),"""")"),"")</f>
        <v/>
      </c>
      <c r="K54" s="20" t="str">
        <f>IFERROR(__xludf.DUMMYFUNCTION("IFNA(FILTER(IMPORTRANGE(""https://docs.google.com/spreadsheets/d/1kGrh75X1cNR1D7_FcY9zMnHP8iPO4M5RCRjy6nZY0TY/edit#gid=1248694442"",""Table 3: 1st-line HC!AD5:AD111""), $A54=IMPORTRANGE(""https://docs.google.com/spreadsheets/d/1kGrh75X1cNR1D7_FcY9zMnHP8iP"&amp;"O4M5RCRjy6nZY0TY/edit#gid=1248694442"",""Table 3: 1st-line HC!A5:A111"")),"""")"),"")</f>
        <v/>
      </c>
      <c r="L54" s="14" t="str">
        <f>IFERROR(__xludf.DUMMYFUNCTION("IFNA(FILTER(IMPORTRANGE(""https://docs.google.com/spreadsheets/d/1kGrh75X1cNR1D7_FcY9zMnHP8iPO4M5RCRjy6nZY0TY/edit#gid=1248694442"",""Table 3: 1st-line HC!W5:W111""), $A54=IMPORTRANGE(""https://docs.google.com/spreadsheets/d/1kGrh75X1cNR1D7_FcY9zMnHP8iPO4"&amp;"M5RCRjy6nZY0TY/edit#gid=1248694442"",""Table 3: 1st-line HC!A5:A111"")),"""")"),"")</f>
        <v/>
      </c>
      <c r="M54" s="14" t="str">
        <f>IFERROR(__xludf.DUMMYFUNCTION("IFNA(FILTER(IMPORTRANGE(""https://docs.google.com/spreadsheets/d/1kGrh75X1cNR1D7_FcY9zMnHP8iPO4M5RCRjy6nZY0TY/edit#gid=1248694442"",""Table 3: 1st-line HC!X5:X111""), $A54=IMPORTRANGE(""https://docs.google.com/spreadsheets/d/1kGrh75X1cNR1D7_FcY9zMnHP8iPO4"&amp;"M5RCRjy6nZY0TY/edit#gid=1248694442"",""Table 3: 1st-line HC!A5:A111"")),"""")"),"")</f>
        <v/>
      </c>
      <c r="N54" s="14" t="str">
        <f>IFERROR(__xludf.DUMMYFUNCTION("IFNA(FILTER(IMPORTRANGE(""https://docs.google.com/spreadsheets/d/1kGrh75X1cNR1D7_FcY9zMnHP8iPO4M5RCRjy6nZY0TY/edit#gid=1248694442"",""Table 4: 2nd-line HC or more!C5:C85""), $A54=IMPORTRANGE(""https://docs.google.com/spreadsheets/d/1kGrh75X1cNR1D7_FcY9zMn"&amp;"HP8iPO4M5RCRjy6nZY0TY/edit#gid=1248694442"",""Table 4: 2nd-line HC or more!A5:A85"")),"""")"),"")</f>
        <v/>
      </c>
      <c r="O54" s="14" t="str">
        <f>IFERROR(__xludf.DUMMYFUNCTION("IFNA(FILTER(IMPORTRANGE(""https://docs.google.com/spreadsheets/d/1kGrh75X1cNR1D7_FcY9zMnHP8iPO4M5RCRjy6nZY0TY/edit#gid=1248694442"",""Table 4: 2nd-line HC or more!D5:D85""), $A54=IMPORTRANGE(""https://docs.google.com/spreadsheets/d/1kGrh75X1cNR1D7_FcY9zMn"&amp;"HP8iPO4M5RCRjy6nZY0TY/edit#gid=1248694442"",""Table 4: 2nd-line HC or more!A5:A85"")),"""")"),"")</f>
        <v/>
      </c>
      <c r="P54" s="14" t="str">
        <f>IFERROR(__xludf.DUMMYFUNCTION("IFNA(FILTER(IMPORTRANGE(""https://docs.google.com/spreadsheets/d/1kGrh75X1cNR1D7_FcY9zMnHP8iPO4M5RCRjy6nZY0TY/edit#gid=1248694442"",""Table 4: 2nd-line HC or more!E5:E85""), $A54=IMPORTRANGE(""https://docs.google.com/spreadsheets/d/1kGrh75X1cNR1D7_FcY9zMn"&amp;"HP8iPO4M5RCRjy6nZY0TY/edit#gid=1248694442"",""Table 4: 2nd-line HC or more!A5:A85"")),"""")"),"")</f>
        <v/>
      </c>
      <c r="Q54" s="14" t="str">
        <f>IFERROR(__xludf.DUMMYFUNCTION("IFNA(FILTER(IMPORTRANGE(""https://docs.google.com/spreadsheets/d/1kGrh75X1cNR1D7_FcY9zMnHP8iPO4M5RCRjy6nZY0TY/edit#gid=1248694442"",""Table 4: 2nd-line HC or more!F5:F85""), $A54=IMPORTRANGE(""https://docs.google.com/spreadsheets/d/1kGrh75X1cNR1D7_FcY9zMn"&amp;"HP8iPO4M5RCRjy6nZY0TY/edit#gid=1248694442"",""Table 4: 2nd-line HC or more!A5:A85"")),"""")"),"")</f>
        <v/>
      </c>
      <c r="R54" s="14" t="str">
        <f>IFERROR(__xludf.DUMMYFUNCTION("IFNA(FILTER(IMPORTRANGE(""https://docs.google.com/spreadsheets/d/1kGrh75X1cNR1D7_FcY9zMnHP8iPO4M5RCRjy6nZY0TY/edit#gid=1248694442"",""Table 4: 2nd-line HC or more!G5:G85""), $A54=IMPORTRANGE(""https://docs.google.com/spreadsheets/d/1kGrh75X1cNR1D7_FcY9zMn"&amp;"HP8iPO4M5RCRjy6nZY0TY/edit#gid=1248694442"",""Table 4: 2nd-line HC or more!A5:A85"")),"""")"),"")</f>
        <v/>
      </c>
      <c r="S54" s="14" t="str">
        <f>IFERROR(__xludf.DUMMYFUNCTION("IFNA(FILTER(IMPORTRANGE(""https://docs.google.com/spreadsheets/d/1kGrh75X1cNR1D7_FcY9zMnHP8iPO4M5RCRjy6nZY0TY/edit#gid=1248694442"",""Table 4: 2nd-line HC or more!H5:H85""), $A54=IMPORTRANGE(""https://docs.google.com/spreadsheets/d/1kGrh75X1cNR1D7_FcY9zMn"&amp;"HP8iPO4M5RCRjy6nZY0TY/edit#gid=1248694442"",""Table 4: 2nd-line HC or more!A5:A85"")),"""")"),"")</f>
        <v/>
      </c>
      <c r="T54" s="14" t="str">
        <f>IFERROR(__xludf.DUMMYFUNCTION("IFNA(FILTER(IMPORTRANGE(""https://docs.google.com/spreadsheets/d/1kGrh75X1cNR1D7_FcY9zMnHP8iPO4M5RCRjy6nZY0TY/edit#gid=1248694442"",""Table 3: 1st-line HC!F5:F111""), $A54=IMPORTRANGE(""https://docs.google.com/spreadsheets/d/1kGrh75X1cNR1D7_FcY9zMnHP8iPO4"&amp;"M5RCRjy6nZY0TY/edit#gid=1248694442"",""Table 3: 1st-line HC!A5:A111"")),"""")"),"")</f>
        <v/>
      </c>
      <c r="U54" s="14" t="str">
        <f>IFERROR(__xludf.DUMMYFUNCTION("IFNA(FILTER(IMPORTRANGE(""https://docs.google.com/spreadsheets/d/1kGrh75X1cNR1D7_FcY9zMnHP8iPO4M5RCRjy6nZY0TY/edit#gid=1248694442"",""Table 3: 1st-line HC!G5:G111""), $A54=IMPORTRANGE(""https://docs.google.com/spreadsheets/d/1kGrh75X1cNR1D7_FcY9zMnHP8iPO4"&amp;"M5RCRjy6nZY0TY/edit#gid=1248694442"",""Table 3: 1st-line HC!A5:A111"")),"""")"),"")</f>
        <v/>
      </c>
      <c r="V54" s="14" t="str">
        <f>IFERROR(__xludf.DUMMYFUNCTION("IFNA(FILTER(IMPORTRANGE(""https://docs.google.com/spreadsheets/d/1kGrh75X1cNR1D7_FcY9zMnHP8iPO4M5RCRjy6nZY0TY/edit#gid=1248694442"",""Table 3: 1st-line HC!H5:H111""), $A54=IMPORTRANGE(""https://docs.google.com/spreadsheets/d/1kGrh75X1cNR1D7_FcY9zMnHP8iPO4"&amp;"M5RCRjy6nZY0TY/edit#gid=1248694442"",""Table 3: 1st-line HC!A5:A111"")),"""")"),"")</f>
        <v/>
      </c>
      <c r="W54" s="14" t="str">
        <f>IFERROR(__xludf.DUMMYFUNCTION("IFNA(FILTER(IMPORTRANGE(""https://docs.google.com/spreadsheets/d/1kGrh75X1cNR1D7_FcY9zMnHP8iPO4M5RCRjy6nZY0TY/edit#gid=1248694442"",""Table 3: 1st-line HC!I5:I111""), $A54=IMPORTRANGE(""https://docs.google.com/spreadsheets/d/1kGrh75X1cNR1D7_FcY9zMnHP8iPO4"&amp;"M5RCRjy6nZY0TY/edit#gid=1248694442"",""Table 3: 1st-line HC!A5:A111"")),"""")"),"")</f>
        <v/>
      </c>
    </row>
    <row r="55">
      <c r="A55" s="4" t="str">
        <f>IFERROR(__xludf.DUMMYFUNCTION("""COMPUTED_VALUE"""),"ID 111")</f>
        <v>ID 111</v>
      </c>
      <c r="B55" s="14" t="str">
        <f>IFERROR(__xludf.DUMMYFUNCTION("IFNA(FILTER(IMPORTRANGE(""https://docs.google.com/spreadsheets/d/1kGrh75X1cNR1D7_FcY9zMnHP8iPO4M5RCRjy6nZY0TY/edit#gid=1248694442"",""Table 3: 1st-line HC!AZ5:AZ111""), $A55=IMPORTRANGE(""https://docs.google.com/spreadsheets/d/1kGrh75X1cNR1D7_FcY9zMnHP8iP"&amp;"O4M5RCRjy6nZY0TY/edit#gid=1248694442"",""Table 3: 1st-line HC!A5:A111"")),"""")"),"")</f>
        <v/>
      </c>
      <c r="C55" s="14" t="str">
        <f>IFERROR(__xludf.DUMMYFUNCTION("IFNA(FILTER(IMPORTRANGE(""https://docs.google.com/spreadsheets/d/1kGrh75X1cNR1D7_FcY9zMnHP8iPO4M5RCRjy6nZY0TY/edit#gid=1248694442"",""Table 3: 1st-line HC!BA5:BA111""), $A55=IMPORTRANGE(""https://docs.google.com/spreadsheets/d/1kGrh75X1cNR1D7_FcY9zMnHP8iP"&amp;"O4M5RCRjy6nZY0TY/edit#gid=1248694442"",""Table 3: 1st-line HC!A5:A111"")),"""")"),"")</f>
        <v/>
      </c>
      <c r="D55" s="14" t="str">
        <f>IFERROR(__xludf.DUMMYFUNCTION("IFNA(FILTER(IMPORTRANGE(""https://docs.google.com/spreadsheets/d/1kGrh75X1cNR1D7_FcY9zMnHP8iPO4M5RCRjy6nZY0TY/edit#gid=1248694442"",""Table 3: 1st-line HC!BB5:BB111""), $A55=IMPORTRANGE(""https://docs.google.com/spreadsheets/d/1kGrh75X1cNR1D7_FcY9zMnHP8iP"&amp;"O4M5RCRjy6nZY0TY/edit#gid=1248694442"",""Table 3: 1st-line HC!A5:A111"")),"""")"),"")</f>
        <v/>
      </c>
      <c r="E55" s="19" t="str">
        <f>IFERROR(__xludf.DUMMYFUNCTION("IFNA(FILTER(IMPORTRANGE(""https://docs.google.com/spreadsheets/d/1kGrh75X1cNR1D7_FcY9zMnHP8iPO4M5RCRjy6nZY0TY/edit#gid=1248694442"",""Table 3: 1st-line HC!BC5:BC111""), $A55=IMPORTRANGE(""https://docs.google.com/spreadsheets/d/1kGrh75X1cNR1D7_FcY9zMnHP8iP"&amp;"O4M5RCRjy6nZY0TY/edit#gid=1248694442"",""Table 3: 1st-line HC!A5:A111"")),"""")"),"")</f>
        <v/>
      </c>
      <c r="F55" s="14">
        <f>IFERROR(__xludf.DUMMYFUNCTION("IFNA(FILTER(IMPORTRANGE(""https://docs.google.com/spreadsheets/d/1kGrh75X1cNR1D7_FcY9zMnHP8iPO4M5RCRjy6nZY0TY/edit#gid=1248694442"",""Table 3: 1st-line HC!Y5:Y111""), $A55=IMPORTRANGE(""https://docs.google.com/spreadsheets/d/1kGrh75X1cNR1D7_FcY9zMnHP8iPO4"&amp;"M5RCRjy6nZY0TY/edit#gid=1248694442"",""Table 3: 1st-line HC!A5:A111"")),"""")"),75.0)</f>
        <v>75</v>
      </c>
      <c r="G55" s="14">
        <f>IFERROR(__xludf.DUMMYFUNCTION("IFNA(FILTER(IMPORTRANGE(""https://docs.google.com/spreadsheets/d/1kGrh75X1cNR1D7_FcY9zMnHP8iPO4M5RCRjy6nZY0TY/edit#gid=1248694442"",""Table 3: 1st-line HC!Z5:Z111""), $A55=IMPORTRANGE(""https://docs.google.com/spreadsheets/d/1kGrh75X1cNR1D7_FcY9zMnHP8iPO4"&amp;"M5RCRjy6nZY0TY/edit#gid=1248694442"",""Table 3: 1st-line HC!A5:A111"")),"""")"),3.0)</f>
        <v>3</v>
      </c>
      <c r="H55" s="14" t="str">
        <f>IFERROR(__xludf.DUMMYFUNCTION("IFNA(FILTER(IMPORTRANGE(""https://docs.google.com/spreadsheets/d/1kGrh75X1cNR1D7_FcY9zMnHP8iPO4M5RCRjy6nZY0TY/edit#gid=1248694442"",""Table 3: 1st-line HC!AA5:AA111""), $A55=IMPORTRANGE(""https://docs.google.com/spreadsheets/d/1kGrh75X1cNR1D7_FcY9zMnHP8iP"&amp;"O4M5RCRjy6nZY0TY/edit#gid=1248694442"",""Table 3: 1st-line HC!A5:A111"")),"""")"),"")</f>
        <v/>
      </c>
      <c r="I55" s="14" t="str">
        <f>IFERROR(__xludf.DUMMYFUNCTION("IFNA(FILTER(IMPORTRANGE(""https://docs.google.com/spreadsheets/d/1kGrh75X1cNR1D7_FcY9zMnHP8iPO4M5RCRjy6nZY0TY/edit#gid=1248694442"",""Table 3: 1st-line HC!AB5:AB111""), $A55=IMPORTRANGE(""https://docs.google.com/spreadsheets/d/1kGrh75X1cNR1D7_FcY9zMnHP8iP"&amp;"O4M5RCRjy6nZY0TY/edit#gid=1248694442"",""Table 3: 1st-line HC!A5:A111"")),"""")"),"")</f>
        <v/>
      </c>
      <c r="J55" s="14" t="str">
        <f>IFERROR(__xludf.DUMMYFUNCTION("IFNA(FILTER(IMPORTRANGE(""https://docs.google.com/spreadsheets/d/1kGrh75X1cNR1D7_FcY9zMnHP8iPO4M5RCRjy6nZY0TY/edit#gid=1248694442"",""Table 3: 1st-line HC!AC5:AC111""), $A55=IMPORTRANGE(""https://docs.google.com/spreadsheets/d/1kGrh75X1cNR1D7_FcY9zMnHP8iP"&amp;"O4M5RCRjy6nZY0TY/edit#gid=1248694442"",""Table 3: 1st-line HC!A5:A111"")),"""")"),"")</f>
        <v/>
      </c>
      <c r="K55" s="20" t="str">
        <f>IFERROR(__xludf.DUMMYFUNCTION("IFNA(FILTER(IMPORTRANGE(""https://docs.google.com/spreadsheets/d/1kGrh75X1cNR1D7_FcY9zMnHP8iPO4M5RCRjy6nZY0TY/edit#gid=1248694442"",""Table 3: 1st-line HC!AD5:AD111""), $A55=IMPORTRANGE(""https://docs.google.com/spreadsheets/d/1kGrh75X1cNR1D7_FcY9zMnHP8iP"&amp;"O4M5RCRjy6nZY0TY/edit#gid=1248694442"",""Table 3: 1st-line HC!A5:A111"")),"""")"),"isosorbide only=22")</f>
        <v>isosorbide only=22</v>
      </c>
      <c r="L55" s="14" t="str">
        <f>IFERROR(__xludf.DUMMYFUNCTION("IFNA(FILTER(IMPORTRANGE(""https://docs.google.com/spreadsheets/d/1kGrh75X1cNR1D7_FcY9zMnHP8iPO4M5RCRjy6nZY0TY/edit#gid=1248694442"",""Table 3: 1st-line HC!W5:W111""), $A55=IMPORTRANGE(""https://docs.google.com/spreadsheets/d/1kGrh75X1cNR1D7_FcY9zMnHP8iPO4"&amp;"M5RCRjy6nZY0TY/edit#gid=1248694442"",""Table 3: 1st-line HC!A5:A111"")),"""")"),"")</f>
        <v/>
      </c>
      <c r="M55" s="14" t="str">
        <f>IFERROR(__xludf.DUMMYFUNCTION("IFNA(FILTER(IMPORTRANGE(""https://docs.google.com/spreadsheets/d/1kGrh75X1cNR1D7_FcY9zMnHP8iPO4M5RCRjy6nZY0TY/edit#gid=1248694442"",""Table 3: 1st-line HC!X5:X111""), $A55=IMPORTRANGE(""https://docs.google.com/spreadsheets/d/1kGrh75X1cNR1D7_FcY9zMnHP8iPO4"&amp;"M5RCRjy6nZY0TY/edit#gid=1248694442"",""Table 3: 1st-line HC!A5:A111"")),"""")"),"")</f>
        <v/>
      </c>
      <c r="N55" s="14" t="str">
        <f>IFERROR(__xludf.DUMMYFUNCTION("IFNA(FILTER(IMPORTRANGE(""https://docs.google.com/spreadsheets/d/1kGrh75X1cNR1D7_FcY9zMnHP8iPO4M5RCRjy6nZY0TY/edit#gid=1248694442"",""Table 4: 2nd-line HC or more!C5:C85""), $A55=IMPORTRANGE(""https://docs.google.com/spreadsheets/d/1kGrh75X1cNR1D7_FcY9zMn"&amp;"HP8iPO4M5RCRjy6nZY0TY/edit#gid=1248694442"",""Table 4: 2nd-line HC or more!A5:A85"")),"""")"),"")</f>
        <v/>
      </c>
      <c r="O55" s="14">
        <f>IFERROR(__xludf.DUMMYFUNCTION("IFNA(FILTER(IMPORTRANGE(""https://docs.google.com/spreadsheets/d/1kGrh75X1cNR1D7_FcY9zMnHP8iPO4M5RCRjy6nZY0TY/edit#gid=1248694442"",""Table 4: 2nd-line HC or more!D5:D85""), $A55=IMPORTRANGE(""https://docs.google.com/spreadsheets/d/1kGrh75X1cNR1D7_FcY9zMn"&amp;"HP8iPO4M5RCRjy6nZY0TY/edit#gid=1248694442"",""Table 4: 2nd-line HC or more!A5:A85"")),"""")"),10.0)</f>
        <v>10</v>
      </c>
      <c r="P55" s="14" t="str">
        <f>IFERROR(__xludf.DUMMYFUNCTION("IFNA(FILTER(IMPORTRANGE(""https://docs.google.com/spreadsheets/d/1kGrh75X1cNR1D7_FcY9zMnHP8iPO4M5RCRjy6nZY0TY/edit#gid=1248694442"",""Table 4: 2nd-line HC or more!E5:E85""), $A55=IMPORTRANGE(""https://docs.google.com/spreadsheets/d/1kGrh75X1cNR1D7_FcY9zMn"&amp;"HP8iPO4M5RCRjy6nZY0TY/edit#gid=1248694442"",""Table 4: 2nd-line HC or more!A5:A85"")),"""")"),"")</f>
        <v/>
      </c>
      <c r="Q55" s="14" t="str">
        <f>IFERROR(__xludf.DUMMYFUNCTION("IFNA(FILTER(IMPORTRANGE(""https://docs.google.com/spreadsheets/d/1kGrh75X1cNR1D7_FcY9zMnHP8iPO4M5RCRjy6nZY0TY/edit#gid=1248694442"",""Table 4: 2nd-line HC or more!F5:F85""), $A55=IMPORTRANGE(""https://docs.google.com/spreadsheets/d/1kGrh75X1cNR1D7_FcY9zMn"&amp;"HP8iPO4M5RCRjy6nZY0TY/edit#gid=1248694442"",""Table 4: 2nd-line HC or more!A5:A85"")),"""")"),"")</f>
        <v/>
      </c>
      <c r="R55" s="14" t="str">
        <f>IFERROR(__xludf.DUMMYFUNCTION("IFNA(FILTER(IMPORTRANGE(""https://docs.google.com/spreadsheets/d/1kGrh75X1cNR1D7_FcY9zMnHP8iPO4M5RCRjy6nZY0TY/edit#gid=1248694442"",""Table 4: 2nd-line HC or more!G5:G85""), $A55=IMPORTRANGE(""https://docs.google.com/spreadsheets/d/1kGrh75X1cNR1D7_FcY9zMn"&amp;"HP8iPO4M5RCRjy6nZY0TY/edit#gid=1248694442"",""Table 4: 2nd-line HC or more!A5:A85"")),"""")"),"")</f>
        <v/>
      </c>
      <c r="S55" s="14" t="str">
        <f>IFERROR(__xludf.DUMMYFUNCTION("IFNA(FILTER(IMPORTRANGE(""https://docs.google.com/spreadsheets/d/1kGrh75X1cNR1D7_FcY9zMnHP8iPO4M5RCRjy6nZY0TY/edit#gid=1248694442"",""Table 4: 2nd-line HC or more!H5:H85""), $A55=IMPORTRANGE(""https://docs.google.com/spreadsheets/d/1kGrh75X1cNR1D7_FcY9zMn"&amp;"HP8iPO4M5RCRjy6nZY0TY/edit#gid=1248694442"",""Table 4: 2nd-line HC or more!A5:A85"")),"""")"),"")</f>
        <v/>
      </c>
      <c r="T55" s="14" t="str">
        <f>IFERROR(__xludf.DUMMYFUNCTION("IFNA(FILTER(IMPORTRANGE(""https://docs.google.com/spreadsheets/d/1kGrh75X1cNR1D7_FcY9zMnHP8iPO4M5RCRjy6nZY0TY/edit#gid=1248694442"",""Table 3: 1st-line HC!F5:F111""), $A55=IMPORTRANGE(""https://docs.google.com/spreadsheets/d/1kGrh75X1cNR1D7_FcY9zMnHP8iPO4"&amp;"M5RCRjy6nZY0TY/edit#gid=1248694442"",""Table 3: 1st-line HC!A5:A111"")),"""")"),"")</f>
        <v/>
      </c>
      <c r="U55" s="14" t="str">
        <f>IFERROR(__xludf.DUMMYFUNCTION("IFNA(FILTER(IMPORTRANGE(""https://docs.google.com/spreadsheets/d/1kGrh75X1cNR1D7_FcY9zMnHP8iPO4M5RCRjy6nZY0TY/edit#gid=1248694442"",""Table 3: 1st-line HC!G5:G111""), $A55=IMPORTRANGE(""https://docs.google.com/spreadsheets/d/1kGrh75X1cNR1D7_FcY9zMnHP8iPO4"&amp;"M5RCRjy6nZY0TY/edit#gid=1248694442"",""Table 3: 1st-line HC!A5:A111"")),"""")"),"")</f>
        <v/>
      </c>
      <c r="V55" s="14" t="str">
        <f>IFERROR(__xludf.DUMMYFUNCTION("IFNA(FILTER(IMPORTRANGE(""https://docs.google.com/spreadsheets/d/1kGrh75X1cNR1D7_FcY9zMnHP8iPO4M5RCRjy6nZY0TY/edit#gid=1248694442"",""Table 3: 1st-line HC!H5:H111""), $A55=IMPORTRANGE(""https://docs.google.com/spreadsheets/d/1kGrh75X1cNR1D7_FcY9zMnHP8iPO4"&amp;"M5RCRjy6nZY0TY/edit#gid=1248694442"",""Table 3: 1st-line HC!A5:A111"")),"""")"),"")</f>
        <v/>
      </c>
      <c r="W55" s="14" t="str">
        <f>IFERROR(__xludf.DUMMYFUNCTION("IFNA(FILTER(IMPORTRANGE(""https://docs.google.com/spreadsheets/d/1kGrh75X1cNR1D7_FcY9zMnHP8iPO4M5RCRjy6nZY0TY/edit#gid=1248694442"",""Table 3: 1st-line HC!I5:I111""), $A55=IMPORTRANGE(""https://docs.google.com/spreadsheets/d/1kGrh75X1cNR1D7_FcY9zMnHP8iPO4"&amp;"M5RCRjy6nZY0TY/edit#gid=1248694442"",""Table 3: 1st-line HC!A5:A111"")),"""")"),"")</f>
        <v/>
      </c>
    </row>
    <row r="56">
      <c r="A56" s="4" t="str">
        <f>IFERROR(__xludf.DUMMYFUNCTION("""COMPUTED_VALUE"""),"ID 112")</f>
        <v>ID 112</v>
      </c>
      <c r="B56" s="14" t="str">
        <f>IFERROR(__xludf.DUMMYFUNCTION("IFNA(FILTER(IMPORTRANGE(""https://docs.google.com/spreadsheets/d/1kGrh75X1cNR1D7_FcY9zMnHP8iPO4M5RCRjy6nZY0TY/edit#gid=1248694442"",""Table 3: 1st-line HC!AZ5:AZ111""), $A56=IMPORTRANGE(""https://docs.google.com/spreadsheets/d/1kGrh75X1cNR1D7_FcY9zMnHP8iP"&amp;"O4M5RCRjy6nZY0TY/edit#gid=1248694442"",""Table 3: 1st-line HC!A5:A111"")),"""")"),"")</f>
        <v/>
      </c>
      <c r="C56" s="14" t="str">
        <f>IFERROR(__xludf.DUMMYFUNCTION("IFNA(FILTER(IMPORTRANGE(""https://docs.google.com/spreadsheets/d/1kGrh75X1cNR1D7_FcY9zMnHP8iPO4M5RCRjy6nZY0TY/edit#gid=1248694442"",""Table 3: 1st-line HC!BA5:BA111""), $A56=IMPORTRANGE(""https://docs.google.com/spreadsheets/d/1kGrh75X1cNR1D7_FcY9zMnHP8iP"&amp;"O4M5RCRjy6nZY0TY/edit#gid=1248694442"",""Table 3: 1st-line HC!A5:A111"")),"""")"),"")</f>
        <v/>
      </c>
      <c r="D56" s="14" t="str">
        <f>IFERROR(__xludf.DUMMYFUNCTION("IFNA(FILTER(IMPORTRANGE(""https://docs.google.com/spreadsheets/d/1kGrh75X1cNR1D7_FcY9zMnHP8iPO4M5RCRjy6nZY0TY/edit#gid=1248694442"",""Table 3: 1st-line HC!BB5:BB111""), $A56=IMPORTRANGE(""https://docs.google.com/spreadsheets/d/1kGrh75X1cNR1D7_FcY9zMnHP8iP"&amp;"O4M5RCRjy6nZY0TY/edit#gid=1248694442"",""Table 3: 1st-line HC!A5:A111"")),"""")"),"")</f>
        <v/>
      </c>
      <c r="E56" s="19" t="str">
        <f>IFERROR(__xludf.DUMMYFUNCTION("IFNA(FILTER(IMPORTRANGE(""https://docs.google.com/spreadsheets/d/1kGrh75X1cNR1D7_FcY9zMnHP8iPO4M5RCRjy6nZY0TY/edit#gid=1248694442"",""Table 3: 1st-line HC!BC5:BC111""), $A56=IMPORTRANGE(""https://docs.google.com/spreadsheets/d/1kGrh75X1cNR1D7_FcY9zMnHP8iP"&amp;"O4M5RCRjy6nZY0TY/edit#gid=1248694442"",""Table 3: 1st-line HC!A5:A111"")),"""")"),"")</f>
        <v/>
      </c>
      <c r="F56" s="14" t="str">
        <f>IFERROR(__xludf.DUMMYFUNCTION("IFNA(FILTER(IMPORTRANGE(""https://docs.google.com/spreadsheets/d/1kGrh75X1cNR1D7_FcY9zMnHP8iPO4M5RCRjy6nZY0TY/edit#gid=1248694442"",""Table 3: 1st-line HC!Y5:Y111""), $A56=IMPORTRANGE(""https://docs.google.com/spreadsheets/d/1kGrh75X1cNR1D7_FcY9zMnHP8iPO4"&amp;"M5RCRjy6nZY0TY/edit#gid=1248694442"",""Table 3: 1st-line HC!A5:A111"")),"""")"),"")</f>
        <v/>
      </c>
      <c r="G56" s="14">
        <f>IFERROR(__xludf.DUMMYFUNCTION("IFNA(FILTER(IMPORTRANGE(""https://docs.google.com/spreadsheets/d/1kGrh75X1cNR1D7_FcY9zMnHP8iPO4M5RCRjy6nZY0TY/edit#gid=1248694442"",""Table 3: 1st-line HC!Z5:Z111""), $A56=IMPORTRANGE(""https://docs.google.com/spreadsheets/d/1kGrh75X1cNR1D7_FcY9zMnHP8iPO4"&amp;"M5RCRjy6nZY0TY/edit#gid=1248694442"",""Table 3: 1st-line HC!A5:A111"")),"""")"),7.0)</f>
        <v>7</v>
      </c>
      <c r="H56" s="14" t="str">
        <f>IFERROR(__xludf.DUMMYFUNCTION("IFNA(FILTER(IMPORTRANGE(""https://docs.google.com/spreadsheets/d/1kGrh75X1cNR1D7_FcY9zMnHP8iPO4M5RCRjy6nZY0TY/edit#gid=1248694442"",""Table 3: 1st-line HC!AA5:AA111""), $A56=IMPORTRANGE(""https://docs.google.com/spreadsheets/d/1kGrh75X1cNR1D7_FcY9zMnHP8iP"&amp;"O4M5RCRjy6nZY0TY/edit#gid=1248694442"",""Table 3: 1st-line HC!A5:A111"")),"""")"),"")</f>
        <v/>
      </c>
      <c r="I56" s="14" t="str">
        <f>IFERROR(__xludf.DUMMYFUNCTION("IFNA(FILTER(IMPORTRANGE(""https://docs.google.com/spreadsheets/d/1kGrh75X1cNR1D7_FcY9zMnHP8iPO4M5RCRjy6nZY0TY/edit#gid=1248694442"",""Table 3: 1st-line HC!AB5:AB111""), $A56=IMPORTRANGE(""https://docs.google.com/spreadsheets/d/1kGrh75X1cNR1D7_FcY9zMnHP8iP"&amp;"O4M5RCRjy6nZY0TY/edit#gid=1248694442"",""Table 3: 1st-line HC!A5:A111"")),"""")"),"")</f>
        <v/>
      </c>
      <c r="J56" s="14" t="str">
        <f>IFERROR(__xludf.DUMMYFUNCTION("IFNA(FILTER(IMPORTRANGE(""https://docs.google.com/spreadsheets/d/1kGrh75X1cNR1D7_FcY9zMnHP8iPO4M5RCRjy6nZY0TY/edit#gid=1248694442"",""Table 3: 1st-line HC!AC5:AC111""), $A56=IMPORTRANGE(""https://docs.google.com/spreadsheets/d/1kGrh75X1cNR1D7_FcY9zMnHP8iP"&amp;"O4M5RCRjy6nZY0TY/edit#gid=1248694442"",""Table 3: 1st-line HC!A5:A111"")),"""")"),"")</f>
        <v/>
      </c>
      <c r="K56" s="20" t="str">
        <f>IFERROR(__xludf.DUMMYFUNCTION("IFNA(FILTER(IMPORTRANGE(""https://docs.google.com/spreadsheets/d/1kGrh75X1cNR1D7_FcY9zMnHP8iPO4M5RCRjy6nZY0TY/edit#gid=1248694442"",""Table 3: 1st-line HC!AD5:AD111""), $A56=IMPORTRANGE(""https://docs.google.com/spreadsheets/d/1kGrh75X1cNR1D7_FcY9zMnHP8iP"&amp;"O4M5RCRjy6nZY0TY/edit#gid=1248694442"",""Table 3: 1st-line HC!A5:A111"")),"""")"),"")</f>
        <v/>
      </c>
      <c r="L56" s="14" t="str">
        <f>IFERROR(__xludf.DUMMYFUNCTION("IFNA(FILTER(IMPORTRANGE(""https://docs.google.com/spreadsheets/d/1kGrh75X1cNR1D7_FcY9zMnHP8iPO4M5RCRjy6nZY0TY/edit#gid=1248694442"",""Table 3: 1st-line HC!W5:W111""), $A56=IMPORTRANGE(""https://docs.google.com/spreadsheets/d/1kGrh75X1cNR1D7_FcY9zMnHP8iPO4"&amp;"M5RCRjy6nZY0TY/edit#gid=1248694442"",""Table 3: 1st-line HC!A5:A111"")),"""")"),"")</f>
        <v/>
      </c>
      <c r="M56" s="14" t="str">
        <f>IFERROR(__xludf.DUMMYFUNCTION("IFNA(FILTER(IMPORTRANGE(""https://docs.google.com/spreadsheets/d/1kGrh75X1cNR1D7_FcY9zMnHP8iPO4M5RCRjy6nZY0TY/edit#gid=1248694442"",""Table 3: 1st-line HC!X5:X111""), $A56=IMPORTRANGE(""https://docs.google.com/spreadsheets/d/1kGrh75X1cNR1D7_FcY9zMnHP8iPO4"&amp;"M5RCRjy6nZY0TY/edit#gid=1248694442"",""Table 3: 1st-line HC!A5:A111"")),"""")"),"")</f>
        <v/>
      </c>
      <c r="N56" s="14" t="str">
        <f>IFERROR(__xludf.DUMMYFUNCTION("IFNA(FILTER(IMPORTRANGE(""https://docs.google.com/spreadsheets/d/1kGrh75X1cNR1D7_FcY9zMnHP8iPO4M5RCRjy6nZY0TY/edit#gid=1248694442"",""Table 4: 2nd-line HC or more!C5:C85""), $A56=IMPORTRANGE(""https://docs.google.com/spreadsheets/d/1kGrh75X1cNR1D7_FcY9zMn"&amp;"HP8iPO4M5RCRjy6nZY0TY/edit#gid=1248694442"",""Table 4: 2nd-line HC or more!A5:A85"")),"""")"),"")</f>
        <v/>
      </c>
      <c r="O56" s="14" t="str">
        <f>IFERROR(__xludf.DUMMYFUNCTION("IFNA(FILTER(IMPORTRANGE(""https://docs.google.com/spreadsheets/d/1kGrh75X1cNR1D7_FcY9zMnHP8iPO4M5RCRjy6nZY0TY/edit#gid=1248694442"",""Table 4: 2nd-line HC or more!D5:D85""), $A56=IMPORTRANGE(""https://docs.google.com/spreadsheets/d/1kGrh75X1cNR1D7_FcY9zMn"&amp;"HP8iPO4M5RCRjy6nZY0TY/edit#gid=1248694442"",""Table 4: 2nd-line HC or more!A5:A85"")),"""")"),"")</f>
        <v/>
      </c>
      <c r="P56" s="14" t="str">
        <f>IFERROR(__xludf.DUMMYFUNCTION("IFNA(FILTER(IMPORTRANGE(""https://docs.google.com/spreadsheets/d/1kGrh75X1cNR1D7_FcY9zMnHP8iPO4M5RCRjy6nZY0TY/edit#gid=1248694442"",""Table 4: 2nd-line HC or more!E5:E85""), $A56=IMPORTRANGE(""https://docs.google.com/spreadsheets/d/1kGrh75X1cNR1D7_FcY9zMn"&amp;"HP8iPO4M5RCRjy6nZY0TY/edit#gid=1248694442"",""Table 4: 2nd-line HC or more!A5:A85"")),"""")"),"")</f>
        <v/>
      </c>
      <c r="Q56" s="14" t="str">
        <f>IFERROR(__xludf.DUMMYFUNCTION("IFNA(FILTER(IMPORTRANGE(""https://docs.google.com/spreadsheets/d/1kGrh75X1cNR1D7_FcY9zMnHP8iPO4M5RCRjy6nZY0TY/edit#gid=1248694442"",""Table 4: 2nd-line HC or more!F5:F85""), $A56=IMPORTRANGE(""https://docs.google.com/spreadsheets/d/1kGrh75X1cNR1D7_FcY9zMn"&amp;"HP8iPO4M5RCRjy6nZY0TY/edit#gid=1248694442"",""Table 4: 2nd-line HC or more!A5:A85"")),"""")"),"")</f>
        <v/>
      </c>
      <c r="R56" s="14" t="str">
        <f>IFERROR(__xludf.DUMMYFUNCTION("IFNA(FILTER(IMPORTRANGE(""https://docs.google.com/spreadsheets/d/1kGrh75X1cNR1D7_FcY9zMnHP8iPO4M5RCRjy6nZY0TY/edit#gid=1248694442"",""Table 4: 2nd-line HC or more!G5:G85""), $A56=IMPORTRANGE(""https://docs.google.com/spreadsheets/d/1kGrh75X1cNR1D7_FcY9zMn"&amp;"HP8iPO4M5RCRjy6nZY0TY/edit#gid=1248694442"",""Table 4: 2nd-line HC or more!A5:A85"")),"""")"),"")</f>
        <v/>
      </c>
      <c r="S56" s="14" t="str">
        <f>IFERROR(__xludf.DUMMYFUNCTION("IFNA(FILTER(IMPORTRANGE(""https://docs.google.com/spreadsheets/d/1kGrh75X1cNR1D7_FcY9zMnHP8iPO4M5RCRjy6nZY0TY/edit#gid=1248694442"",""Table 4: 2nd-line HC or more!H5:H85""), $A56=IMPORTRANGE(""https://docs.google.com/spreadsheets/d/1kGrh75X1cNR1D7_FcY9zMn"&amp;"HP8iPO4M5RCRjy6nZY0TY/edit#gid=1248694442"",""Table 4: 2nd-line HC or more!A5:A85"")),"""")"),"")</f>
        <v/>
      </c>
      <c r="T56" s="14" t="str">
        <f>IFERROR(__xludf.DUMMYFUNCTION("IFNA(FILTER(IMPORTRANGE(""https://docs.google.com/spreadsheets/d/1kGrh75X1cNR1D7_FcY9zMnHP8iPO4M5RCRjy6nZY0TY/edit#gid=1248694442"",""Table 3: 1st-line HC!F5:F111""), $A56=IMPORTRANGE(""https://docs.google.com/spreadsheets/d/1kGrh75X1cNR1D7_FcY9zMnHP8iPO4"&amp;"M5RCRjy6nZY0TY/edit#gid=1248694442"",""Table 3: 1st-line HC!A5:A111"")),"""")"),"")</f>
        <v/>
      </c>
      <c r="U56" s="14" t="str">
        <f>IFERROR(__xludf.DUMMYFUNCTION("IFNA(FILTER(IMPORTRANGE(""https://docs.google.com/spreadsheets/d/1kGrh75X1cNR1D7_FcY9zMnHP8iPO4M5RCRjy6nZY0TY/edit#gid=1248694442"",""Table 3: 1st-line HC!G5:G111""), $A56=IMPORTRANGE(""https://docs.google.com/spreadsheets/d/1kGrh75X1cNR1D7_FcY9zMnHP8iPO4"&amp;"M5RCRjy6nZY0TY/edit#gid=1248694442"",""Table 3: 1st-line HC!A5:A111"")),"""")"),"")</f>
        <v/>
      </c>
      <c r="V56" s="14" t="str">
        <f>IFERROR(__xludf.DUMMYFUNCTION("IFNA(FILTER(IMPORTRANGE(""https://docs.google.com/spreadsheets/d/1kGrh75X1cNR1D7_FcY9zMnHP8iPO4M5RCRjy6nZY0TY/edit#gid=1248694442"",""Table 3: 1st-line HC!H5:H111""), $A56=IMPORTRANGE(""https://docs.google.com/spreadsheets/d/1kGrh75X1cNR1D7_FcY9zMnHP8iPO4"&amp;"M5RCRjy6nZY0TY/edit#gid=1248694442"",""Table 3: 1st-line HC!A5:A111"")),"""")"),"")</f>
        <v/>
      </c>
      <c r="W56" s="14" t="str">
        <f>IFERROR(__xludf.DUMMYFUNCTION("IFNA(FILTER(IMPORTRANGE(""https://docs.google.com/spreadsheets/d/1kGrh75X1cNR1D7_FcY9zMnHP8iPO4M5RCRjy6nZY0TY/edit#gid=1248694442"",""Table 3: 1st-line HC!I5:I111""), $A56=IMPORTRANGE(""https://docs.google.com/spreadsheets/d/1kGrh75X1cNR1D7_FcY9zMnHP8iPO4"&amp;"M5RCRjy6nZY0TY/edit#gid=1248694442"",""Table 3: 1st-line HC!A5:A111"")),"""")"),"")</f>
        <v/>
      </c>
    </row>
    <row r="57">
      <c r="A57" s="4" t="str">
        <f>IFERROR(__xludf.DUMMYFUNCTION("""COMPUTED_VALUE"""),"ID 117")</f>
        <v>ID 117</v>
      </c>
      <c r="B57" s="14" t="str">
        <f>IFERROR(__xludf.DUMMYFUNCTION("IFNA(FILTER(IMPORTRANGE(""https://docs.google.com/spreadsheets/d/1kGrh75X1cNR1D7_FcY9zMnHP8iPO4M5RCRjy6nZY0TY/edit#gid=1248694442"",""Table 3: 1st-line HC!AZ5:AZ111""), $A57=IMPORTRANGE(""https://docs.google.com/spreadsheets/d/1kGrh75X1cNR1D7_FcY9zMnHP8iP"&amp;"O4M5RCRjy6nZY0TY/edit#gid=1248694442"",""Table 3: 1st-line HC!A5:A111"")),"""")"),"")</f>
        <v/>
      </c>
      <c r="C57" s="14" t="str">
        <f>IFERROR(__xludf.DUMMYFUNCTION("IFNA(FILTER(IMPORTRANGE(""https://docs.google.com/spreadsheets/d/1kGrh75X1cNR1D7_FcY9zMnHP8iPO4M5RCRjy6nZY0TY/edit#gid=1248694442"",""Table 3: 1st-line HC!BA5:BA111""), $A57=IMPORTRANGE(""https://docs.google.com/spreadsheets/d/1kGrh75X1cNR1D7_FcY9zMnHP8iP"&amp;"O4M5RCRjy6nZY0TY/edit#gid=1248694442"",""Table 3: 1st-line HC!A5:A111"")),"""")"),"")</f>
        <v/>
      </c>
      <c r="D57" s="14" t="str">
        <f>IFERROR(__xludf.DUMMYFUNCTION("IFNA(FILTER(IMPORTRANGE(""https://docs.google.com/spreadsheets/d/1kGrh75X1cNR1D7_FcY9zMnHP8iPO4M5RCRjy6nZY0TY/edit#gid=1248694442"",""Table 3: 1st-line HC!BB5:BB111""), $A57=IMPORTRANGE(""https://docs.google.com/spreadsheets/d/1kGrh75X1cNR1D7_FcY9zMnHP8iP"&amp;"O4M5RCRjy6nZY0TY/edit#gid=1248694442"",""Table 3: 1st-line HC!A5:A111"")),"""")"),"")</f>
        <v/>
      </c>
      <c r="E57" s="19" t="str">
        <f>IFERROR(__xludf.DUMMYFUNCTION("IFNA(FILTER(IMPORTRANGE(""https://docs.google.com/spreadsheets/d/1kGrh75X1cNR1D7_FcY9zMnHP8iPO4M5RCRjy6nZY0TY/edit#gid=1248694442"",""Table 3: 1st-line HC!BC5:BC111""), $A57=IMPORTRANGE(""https://docs.google.com/spreadsheets/d/1kGrh75X1cNR1D7_FcY9zMnHP8iP"&amp;"O4M5RCRjy6nZY0TY/edit#gid=1248694442"",""Table 3: 1st-line HC!A5:A111"")),"""")"),"")</f>
        <v/>
      </c>
      <c r="F57" s="14" t="str">
        <f>IFERROR(__xludf.DUMMYFUNCTION("IFNA(FILTER(IMPORTRANGE(""https://docs.google.com/spreadsheets/d/1kGrh75X1cNR1D7_FcY9zMnHP8iPO4M5RCRjy6nZY0TY/edit#gid=1248694442"",""Table 3: 1st-line HC!Y5:Y111""), $A57=IMPORTRANGE(""https://docs.google.com/spreadsheets/d/1kGrh75X1cNR1D7_FcY9zMnHP8iPO4"&amp;"M5RCRjy6nZY0TY/edit#gid=1248694442"",""Table 3: 1st-line HC!A5:A111"")),"""")"),"")</f>
        <v/>
      </c>
      <c r="G57" s="14">
        <f>IFERROR(__xludf.DUMMYFUNCTION("IFNA(FILTER(IMPORTRANGE(""https://docs.google.com/spreadsheets/d/1kGrh75X1cNR1D7_FcY9zMnHP8iPO4M5RCRjy6nZY0TY/edit#gid=1248694442"",""Table 3: 1st-line HC!Z5:Z111""), $A57=IMPORTRANGE(""https://docs.google.com/spreadsheets/d/1kGrh75X1cNR1D7_FcY9zMnHP8iPO4"&amp;"M5RCRjy6nZY0TY/edit#gid=1248694442"",""Table 3: 1st-line HC!A5:A111"")),"""")"),193.0)</f>
        <v>193</v>
      </c>
      <c r="H57" s="14" t="str">
        <f>IFERROR(__xludf.DUMMYFUNCTION("IFNA(FILTER(IMPORTRANGE(""https://docs.google.com/spreadsheets/d/1kGrh75X1cNR1D7_FcY9zMnHP8iPO4M5RCRjy6nZY0TY/edit#gid=1248694442"",""Table 3: 1st-line HC!AA5:AA111""), $A57=IMPORTRANGE(""https://docs.google.com/spreadsheets/d/1kGrh75X1cNR1D7_FcY9zMnHP8iP"&amp;"O4M5RCRjy6nZY0TY/edit#gid=1248694442"",""Table 3: 1st-line HC!A5:A111"")),"""")"),"")</f>
        <v/>
      </c>
      <c r="I57" s="14" t="str">
        <f>IFERROR(__xludf.DUMMYFUNCTION("IFNA(FILTER(IMPORTRANGE(""https://docs.google.com/spreadsheets/d/1kGrh75X1cNR1D7_FcY9zMnHP8iPO4M5RCRjy6nZY0TY/edit#gid=1248694442"",""Table 3: 1st-line HC!AB5:AB111""), $A57=IMPORTRANGE(""https://docs.google.com/spreadsheets/d/1kGrh75X1cNR1D7_FcY9zMnHP8iP"&amp;"O4M5RCRjy6nZY0TY/edit#gid=1248694442"",""Table 3: 1st-line HC!A5:A111"")),"""")"),"")</f>
        <v/>
      </c>
      <c r="J57" s="14" t="str">
        <f>IFERROR(__xludf.DUMMYFUNCTION("IFNA(FILTER(IMPORTRANGE(""https://docs.google.com/spreadsheets/d/1kGrh75X1cNR1D7_FcY9zMnHP8iPO4M5RCRjy6nZY0TY/edit#gid=1248694442"",""Table 3: 1st-line HC!AC5:AC111""), $A57=IMPORTRANGE(""https://docs.google.com/spreadsheets/d/1kGrh75X1cNR1D7_FcY9zMnHP8iP"&amp;"O4M5RCRjy6nZY0TY/edit#gid=1248694442"",""Table 3: 1st-line HC!A5:A111"")),"""")"),"")</f>
        <v/>
      </c>
      <c r="K57" s="20" t="str">
        <f>IFERROR(__xludf.DUMMYFUNCTION("IFNA(FILTER(IMPORTRANGE(""https://docs.google.com/spreadsheets/d/1kGrh75X1cNR1D7_FcY9zMnHP8iPO4M5RCRjy6nZY0TY/edit#gid=1248694442"",""Table 3: 1st-line HC!AD5:AD111""), $A57=IMPORTRANGE(""https://docs.google.com/spreadsheets/d/1kGrh75X1cNR1D7_FcY9zMnHP8iP"&amp;"O4M5RCRjy6nZY0TY/edit#gid=1248694442"",""Table 3: 1st-line HC!A5:A111"")),"""")"),"")</f>
        <v/>
      </c>
      <c r="L57" s="14" t="str">
        <f>IFERROR(__xludf.DUMMYFUNCTION("IFNA(FILTER(IMPORTRANGE(""https://docs.google.com/spreadsheets/d/1kGrh75X1cNR1D7_FcY9zMnHP8iPO4M5RCRjy6nZY0TY/edit#gid=1248694442"",""Table 3: 1st-line HC!W5:W111""), $A57=IMPORTRANGE(""https://docs.google.com/spreadsheets/d/1kGrh75X1cNR1D7_FcY9zMnHP8iPO4"&amp;"M5RCRjy6nZY0TY/edit#gid=1248694442"",""Table 3: 1st-line HC!A5:A111"")),"""")"),"")</f>
        <v/>
      </c>
      <c r="M57" s="14" t="str">
        <f>IFERROR(__xludf.DUMMYFUNCTION("IFNA(FILTER(IMPORTRANGE(""https://docs.google.com/spreadsheets/d/1kGrh75X1cNR1D7_FcY9zMnHP8iPO4M5RCRjy6nZY0TY/edit#gid=1248694442"",""Table 3: 1st-line HC!X5:X111""), $A57=IMPORTRANGE(""https://docs.google.com/spreadsheets/d/1kGrh75X1cNR1D7_FcY9zMnHP8iPO4"&amp;"M5RCRjy6nZY0TY/edit#gid=1248694442"",""Table 3: 1st-line HC!A5:A111"")),"""")"),"")</f>
        <v/>
      </c>
      <c r="N57" s="14" t="str">
        <f>IFERROR(__xludf.DUMMYFUNCTION("IFNA(FILTER(IMPORTRANGE(""https://docs.google.com/spreadsheets/d/1kGrh75X1cNR1D7_FcY9zMnHP8iPO4M5RCRjy6nZY0TY/edit#gid=1248694442"",""Table 4: 2nd-line HC or more!C5:C85""), $A57=IMPORTRANGE(""https://docs.google.com/spreadsheets/d/1kGrh75X1cNR1D7_FcY9zMn"&amp;"HP8iPO4M5RCRjy6nZY0TY/edit#gid=1248694442"",""Table 4: 2nd-line HC or more!A5:A85"")),"""")"),"")</f>
        <v/>
      </c>
      <c r="O57" s="14" t="str">
        <f>IFERROR(__xludf.DUMMYFUNCTION("IFNA(FILTER(IMPORTRANGE(""https://docs.google.com/spreadsheets/d/1kGrh75X1cNR1D7_FcY9zMnHP8iPO4M5RCRjy6nZY0TY/edit#gid=1248694442"",""Table 4: 2nd-line HC or more!D5:D85""), $A57=IMPORTRANGE(""https://docs.google.com/spreadsheets/d/1kGrh75X1cNR1D7_FcY9zMn"&amp;"HP8iPO4M5RCRjy6nZY0TY/edit#gid=1248694442"",""Table 4: 2nd-line HC or more!A5:A85"")),"""")"),"")</f>
        <v/>
      </c>
      <c r="P57" s="14">
        <f>IFERROR(__xludf.DUMMYFUNCTION("IFNA(FILTER(IMPORTRANGE(""https://docs.google.com/spreadsheets/d/1kGrh75X1cNR1D7_FcY9zMnHP8iPO4M5RCRjy6nZY0TY/edit#gid=1248694442"",""Table 4: 2nd-line HC or more!E5:E85""), $A57=IMPORTRANGE(""https://docs.google.com/spreadsheets/d/1kGrh75X1cNR1D7_FcY9zMn"&amp;"HP8iPO4M5RCRjy6nZY0TY/edit#gid=1248694442"",""Table 4: 2nd-line HC or more!A5:A85"")),"""")"),5.0)</f>
        <v>5</v>
      </c>
      <c r="Q57" s="14" t="str">
        <f>IFERROR(__xludf.DUMMYFUNCTION("IFNA(FILTER(IMPORTRANGE(""https://docs.google.com/spreadsheets/d/1kGrh75X1cNR1D7_FcY9zMnHP8iPO4M5RCRjy6nZY0TY/edit#gid=1248694442"",""Table 4: 2nd-line HC or more!F5:F85""), $A57=IMPORTRANGE(""https://docs.google.com/spreadsheets/d/1kGrh75X1cNR1D7_FcY9zMn"&amp;"HP8iPO4M5RCRjy6nZY0TY/edit#gid=1248694442"",""Table 4: 2nd-line HC or more!A5:A85"")),"""")"),"")</f>
        <v/>
      </c>
      <c r="R57" s="14" t="str">
        <f>IFERROR(__xludf.DUMMYFUNCTION("IFNA(FILTER(IMPORTRANGE(""https://docs.google.com/spreadsheets/d/1kGrh75X1cNR1D7_FcY9zMnHP8iPO4M5RCRjy6nZY0TY/edit#gid=1248694442"",""Table 4: 2nd-line HC or more!G5:G85""), $A57=IMPORTRANGE(""https://docs.google.com/spreadsheets/d/1kGrh75X1cNR1D7_FcY9zMn"&amp;"HP8iPO4M5RCRjy6nZY0TY/edit#gid=1248694442"",""Table 4: 2nd-line HC or more!A5:A85"")),"""")"),"")</f>
        <v/>
      </c>
      <c r="S57" s="14" t="str">
        <f>IFERROR(__xludf.DUMMYFUNCTION("IFNA(FILTER(IMPORTRANGE(""https://docs.google.com/spreadsheets/d/1kGrh75X1cNR1D7_FcY9zMnHP8iPO4M5RCRjy6nZY0TY/edit#gid=1248694442"",""Table 4: 2nd-line HC or more!H5:H85""), $A57=IMPORTRANGE(""https://docs.google.com/spreadsheets/d/1kGrh75X1cNR1D7_FcY9zMn"&amp;"HP8iPO4M5RCRjy6nZY0TY/edit#gid=1248694442"",""Table 4: 2nd-line HC or more!A5:A85"")),"""")"),"")</f>
        <v/>
      </c>
      <c r="T57" s="14" t="str">
        <f>IFERROR(__xludf.DUMMYFUNCTION("IFNA(FILTER(IMPORTRANGE(""https://docs.google.com/spreadsheets/d/1kGrh75X1cNR1D7_FcY9zMnHP8iPO4M5RCRjy6nZY0TY/edit#gid=1248694442"",""Table 3: 1st-line HC!F5:F111""), $A57=IMPORTRANGE(""https://docs.google.com/spreadsheets/d/1kGrh75X1cNR1D7_FcY9zMnHP8iPO4"&amp;"M5RCRjy6nZY0TY/edit#gid=1248694442"",""Table 3: 1st-line HC!A5:A111"")),"""")"),"")</f>
        <v/>
      </c>
      <c r="U57" s="14" t="str">
        <f>IFERROR(__xludf.DUMMYFUNCTION("IFNA(FILTER(IMPORTRANGE(""https://docs.google.com/spreadsheets/d/1kGrh75X1cNR1D7_FcY9zMnHP8iPO4M5RCRjy6nZY0TY/edit#gid=1248694442"",""Table 3: 1st-line HC!G5:G111""), $A57=IMPORTRANGE(""https://docs.google.com/spreadsheets/d/1kGrh75X1cNR1D7_FcY9zMnHP8iPO4"&amp;"M5RCRjy6nZY0TY/edit#gid=1248694442"",""Table 3: 1st-line HC!A5:A111"")),"""")"),"")</f>
        <v/>
      </c>
      <c r="V57" s="14">
        <f>IFERROR(__xludf.DUMMYFUNCTION("IFNA(FILTER(IMPORTRANGE(""https://docs.google.com/spreadsheets/d/1kGrh75X1cNR1D7_FcY9zMnHP8iPO4M5RCRjy6nZY0TY/edit#gid=1248694442"",""Table 3: 1st-line HC!H5:H111""), $A57=IMPORTRANGE(""https://docs.google.com/spreadsheets/d/1kGrh75X1cNR1D7_FcY9zMnHP8iPO4"&amp;"M5RCRjy6nZY0TY/edit#gid=1248694442"",""Table 3: 1st-line HC!A5:A111"")),"""")"),212.0)</f>
        <v>212</v>
      </c>
      <c r="W57" s="14" t="str">
        <f>IFERROR(__xludf.DUMMYFUNCTION("IFNA(FILTER(IMPORTRANGE(""https://docs.google.com/spreadsheets/d/1kGrh75X1cNR1D7_FcY9zMnHP8iPO4M5RCRjy6nZY0TY/edit#gid=1248694442"",""Table 3: 1st-line HC!I5:I111""), $A57=IMPORTRANGE(""https://docs.google.com/spreadsheets/d/1kGrh75X1cNR1D7_FcY9zMnHP8iPO4"&amp;"M5RCRjy6nZY0TY/edit#gid=1248694442"",""Table 3: 1st-line HC!A5:A111"")),"""")"),"")</f>
        <v/>
      </c>
    </row>
    <row r="58">
      <c r="A58" s="4" t="str">
        <f>IFERROR(__xludf.DUMMYFUNCTION("""COMPUTED_VALUE"""),"ID 120")</f>
        <v>ID 120</v>
      </c>
      <c r="B58" s="14" t="str">
        <f>IFERROR(__xludf.DUMMYFUNCTION("IFNA(FILTER(IMPORTRANGE(""https://docs.google.com/spreadsheets/d/1kGrh75X1cNR1D7_FcY9zMnHP8iPO4M5RCRjy6nZY0TY/edit#gid=1248694442"",""Table 3: 1st-line HC!AZ5:AZ111""), $A58=IMPORTRANGE(""https://docs.google.com/spreadsheets/d/1kGrh75X1cNR1D7_FcY9zMnHP8iP"&amp;"O4M5RCRjy6nZY0TY/edit#gid=1248694442"",""Table 3: 1st-line HC!A5:A111"")),"""")"),"")</f>
        <v/>
      </c>
      <c r="C58" s="14" t="str">
        <f>IFERROR(__xludf.DUMMYFUNCTION("IFNA(FILTER(IMPORTRANGE(""https://docs.google.com/spreadsheets/d/1kGrh75X1cNR1D7_FcY9zMnHP8iPO4M5RCRjy6nZY0TY/edit#gid=1248694442"",""Table 3: 1st-line HC!BA5:BA111""), $A58=IMPORTRANGE(""https://docs.google.com/spreadsheets/d/1kGrh75X1cNR1D7_FcY9zMnHP8iP"&amp;"O4M5RCRjy6nZY0TY/edit#gid=1248694442"",""Table 3: 1st-line HC!A5:A111"")),"""")"),"")</f>
        <v/>
      </c>
      <c r="D58" s="14" t="str">
        <f>IFERROR(__xludf.DUMMYFUNCTION("IFNA(FILTER(IMPORTRANGE(""https://docs.google.com/spreadsheets/d/1kGrh75X1cNR1D7_FcY9zMnHP8iPO4M5RCRjy6nZY0TY/edit#gid=1248694442"",""Table 3: 1st-line HC!BB5:BB111""), $A58=IMPORTRANGE(""https://docs.google.com/spreadsheets/d/1kGrh75X1cNR1D7_FcY9zMnHP8iP"&amp;"O4M5RCRjy6nZY0TY/edit#gid=1248694442"",""Table 3: 1st-line HC!A5:A111"")),"""")"),"")</f>
        <v/>
      </c>
      <c r="E58" s="19" t="str">
        <f>IFERROR(__xludf.DUMMYFUNCTION("IFNA(FILTER(IMPORTRANGE(""https://docs.google.com/spreadsheets/d/1kGrh75X1cNR1D7_FcY9zMnHP8iPO4M5RCRjy6nZY0TY/edit#gid=1248694442"",""Table 3: 1st-line HC!BC5:BC111""), $A58=IMPORTRANGE(""https://docs.google.com/spreadsheets/d/1kGrh75X1cNR1D7_FcY9zMnHP8iP"&amp;"O4M5RCRjy6nZY0TY/edit#gid=1248694442"",""Table 3: 1st-line HC!A5:A111"")),"""")"),"")</f>
        <v/>
      </c>
      <c r="F58" s="14">
        <f>IFERROR(__xludf.DUMMYFUNCTION("IFNA(FILTER(IMPORTRANGE(""https://docs.google.com/spreadsheets/d/1kGrh75X1cNR1D7_FcY9zMnHP8iPO4M5RCRjy6nZY0TY/edit#gid=1248694442"",""Table 3: 1st-line HC!Y5:Y111""), $A58=IMPORTRANGE(""https://docs.google.com/spreadsheets/d/1kGrh75X1cNR1D7_FcY9zMnHP8iPO4"&amp;"M5RCRjy6nZY0TY/edit#gid=1248694442"",""Table 3: 1st-line HC!A5:A111"")),"""")"),27.0)</f>
        <v>27</v>
      </c>
      <c r="G58" s="14">
        <f>IFERROR(__xludf.DUMMYFUNCTION("IFNA(FILTER(IMPORTRANGE(""https://docs.google.com/spreadsheets/d/1kGrh75X1cNR1D7_FcY9zMnHP8iPO4M5RCRjy6nZY0TY/edit#gid=1248694442"",""Table 3: 1st-line HC!Z5:Z111""), $A58=IMPORTRANGE(""https://docs.google.com/spreadsheets/d/1kGrh75X1cNR1D7_FcY9zMnHP8iPO4"&amp;"M5RCRjy6nZY0TY/edit#gid=1248694442"",""Table 3: 1st-line HC!A5:A111"")),"""")"),18.0)</f>
        <v>18</v>
      </c>
      <c r="H58" s="14" t="str">
        <f>IFERROR(__xludf.DUMMYFUNCTION("IFNA(FILTER(IMPORTRANGE(""https://docs.google.com/spreadsheets/d/1kGrh75X1cNR1D7_FcY9zMnHP8iPO4M5RCRjy6nZY0TY/edit#gid=1248694442"",""Table 3: 1st-line HC!AA5:AA111""), $A58=IMPORTRANGE(""https://docs.google.com/spreadsheets/d/1kGrh75X1cNR1D7_FcY9zMnHP8iP"&amp;"O4M5RCRjy6nZY0TY/edit#gid=1248694442"",""Table 3: 1st-line HC!A5:A111"")),"""")"),"")</f>
        <v/>
      </c>
      <c r="I58" s="14">
        <f>IFERROR(__xludf.DUMMYFUNCTION("IFNA(FILTER(IMPORTRANGE(""https://docs.google.com/spreadsheets/d/1kGrh75X1cNR1D7_FcY9zMnHP8iPO4M5RCRjy6nZY0TY/edit#gid=1248694442"",""Table 3: 1st-line HC!AB5:AB111""), $A58=IMPORTRANGE(""https://docs.google.com/spreadsheets/d/1kGrh75X1cNR1D7_FcY9zMnHP8iP"&amp;"O4M5RCRjy6nZY0TY/edit#gid=1248694442"",""Table 3: 1st-line HC!A5:A111"")),"""")"),32.0)</f>
        <v>32</v>
      </c>
      <c r="J58" s="14">
        <f>IFERROR(__xludf.DUMMYFUNCTION("IFNA(FILTER(IMPORTRANGE(""https://docs.google.com/spreadsheets/d/1kGrh75X1cNR1D7_FcY9zMnHP8iPO4M5RCRjy6nZY0TY/edit#gid=1248694442"",""Table 3: 1st-line HC!AC5:AC111""), $A58=IMPORTRANGE(""https://docs.google.com/spreadsheets/d/1kGrh75X1cNR1D7_FcY9zMnHP8iP"&amp;"O4M5RCRjy6nZY0TY/edit#gid=1248694442"",""Table 3: 1st-line HC!A5:A111"")),"""")"),20.0)</f>
        <v>20</v>
      </c>
      <c r="K58" s="20" t="str">
        <f>IFERROR(__xludf.DUMMYFUNCTION("IFNA(FILTER(IMPORTRANGE(""https://docs.google.com/spreadsheets/d/1kGrh75X1cNR1D7_FcY9zMnHP8iPO4M5RCRjy6nZY0TY/edit#gid=1248694442"",""Table 3: 1st-line HC!AD5:AD111""), $A58=IMPORTRANGE(""https://docs.google.com/spreadsheets/d/1kGrh75X1cNR1D7_FcY9zMnHP8iP"&amp;"O4M5RCRjy6nZY0TY/edit#gid=1248694442"",""Table 3: 1st-line HC!A5:A111"")),"""")"),"")</f>
        <v/>
      </c>
      <c r="L58" s="14" t="str">
        <f>IFERROR(__xludf.DUMMYFUNCTION("IFNA(FILTER(IMPORTRANGE(""https://docs.google.com/spreadsheets/d/1kGrh75X1cNR1D7_FcY9zMnHP8iPO4M5RCRjy6nZY0TY/edit#gid=1248694442"",""Table 3: 1st-line HC!W5:W111""), $A58=IMPORTRANGE(""https://docs.google.com/spreadsheets/d/1kGrh75X1cNR1D7_FcY9zMnHP8iPO4"&amp;"M5RCRjy6nZY0TY/edit#gid=1248694442"",""Table 3: 1st-line HC!A5:A111"")),"""")"),"")</f>
        <v/>
      </c>
      <c r="M58" s="14" t="str">
        <f>IFERROR(__xludf.DUMMYFUNCTION("IFNA(FILTER(IMPORTRANGE(""https://docs.google.com/spreadsheets/d/1kGrh75X1cNR1D7_FcY9zMnHP8iPO4M5RCRjy6nZY0TY/edit#gid=1248694442"",""Table 3: 1st-line HC!X5:X111""), $A58=IMPORTRANGE(""https://docs.google.com/spreadsheets/d/1kGrh75X1cNR1D7_FcY9zMnHP8iPO4"&amp;"M5RCRjy6nZY0TY/edit#gid=1248694442"",""Table 3: 1st-line HC!A5:A111"")),"""")"),"")</f>
        <v/>
      </c>
      <c r="N58" s="14" t="str">
        <f>IFERROR(__xludf.DUMMYFUNCTION("IFNA(FILTER(IMPORTRANGE(""https://docs.google.com/spreadsheets/d/1kGrh75X1cNR1D7_FcY9zMnHP8iPO4M5RCRjy6nZY0TY/edit#gid=1248694442"",""Table 4: 2nd-line HC or more!C5:C85""), $A58=IMPORTRANGE(""https://docs.google.com/spreadsheets/d/1kGrh75X1cNR1D7_FcY9zMn"&amp;"HP8iPO4M5RCRjy6nZY0TY/edit#gid=1248694442"",""Table 4: 2nd-line HC or more!A5:A85"")),"""")"),"")</f>
        <v/>
      </c>
      <c r="O58" s="14">
        <f>IFERROR(__xludf.DUMMYFUNCTION("IFNA(FILTER(IMPORTRANGE(""https://docs.google.com/spreadsheets/d/1kGrh75X1cNR1D7_FcY9zMnHP8iPO4M5RCRjy6nZY0TY/edit#gid=1248694442"",""Table 4: 2nd-line HC or more!D5:D85""), $A58=IMPORTRANGE(""https://docs.google.com/spreadsheets/d/1kGrh75X1cNR1D7_FcY9zMn"&amp;"HP8iPO4M5RCRjy6nZY0TY/edit#gid=1248694442"",""Table 4: 2nd-line HC or more!A5:A85"")),"""")"),16.0)</f>
        <v>16</v>
      </c>
      <c r="P58" s="14" t="str">
        <f>IFERROR(__xludf.DUMMYFUNCTION("IFNA(FILTER(IMPORTRANGE(""https://docs.google.com/spreadsheets/d/1kGrh75X1cNR1D7_FcY9zMnHP8iPO4M5RCRjy6nZY0TY/edit#gid=1248694442"",""Table 4: 2nd-line HC or more!E5:E85""), $A58=IMPORTRANGE(""https://docs.google.com/spreadsheets/d/1kGrh75X1cNR1D7_FcY9zMn"&amp;"HP8iPO4M5RCRjy6nZY0TY/edit#gid=1248694442"",""Table 4: 2nd-line HC or more!A5:A85"")),"""")"),"")</f>
        <v/>
      </c>
      <c r="Q58" s="14" t="str">
        <f>IFERROR(__xludf.DUMMYFUNCTION("IFNA(FILTER(IMPORTRANGE(""https://docs.google.com/spreadsheets/d/1kGrh75X1cNR1D7_FcY9zMnHP8iPO4M5RCRjy6nZY0TY/edit#gid=1248694442"",""Table 4: 2nd-line HC or more!F5:F85""), $A58=IMPORTRANGE(""https://docs.google.com/spreadsheets/d/1kGrh75X1cNR1D7_FcY9zMn"&amp;"HP8iPO4M5RCRjy6nZY0TY/edit#gid=1248694442"",""Table 4: 2nd-line HC or more!A5:A85"")),"""")"),"")</f>
        <v/>
      </c>
      <c r="R58" s="14">
        <f>IFERROR(__xludf.DUMMYFUNCTION("IFNA(FILTER(IMPORTRANGE(""https://docs.google.com/spreadsheets/d/1kGrh75X1cNR1D7_FcY9zMnHP8iPO4M5RCRjy6nZY0TY/edit#gid=1248694442"",""Table 4: 2nd-line HC or more!G5:G85""), $A58=IMPORTRANGE(""https://docs.google.com/spreadsheets/d/1kGrh75X1cNR1D7_FcY9zMn"&amp;"HP8iPO4M5RCRjy6nZY0TY/edit#gid=1248694442"",""Table 4: 2nd-line HC or more!A5:A85"")),"""")"),9.0)</f>
        <v>9</v>
      </c>
      <c r="S58" s="14" t="str">
        <f>IFERROR(__xludf.DUMMYFUNCTION("IFNA(FILTER(IMPORTRANGE(""https://docs.google.com/spreadsheets/d/1kGrh75X1cNR1D7_FcY9zMnHP8iPO4M5RCRjy6nZY0TY/edit#gid=1248694442"",""Table 4: 2nd-line HC or more!H5:H85""), $A58=IMPORTRANGE(""https://docs.google.com/spreadsheets/d/1kGrh75X1cNR1D7_FcY9zMn"&amp;"HP8iPO4M5RCRjy6nZY0TY/edit#gid=1248694442"",""Table 4: 2nd-line HC or more!A5:A85"")),"""")"),"")</f>
        <v/>
      </c>
      <c r="T58" s="14" t="str">
        <f>IFERROR(__xludf.DUMMYFUNCTION("IFNA(FILTER(IMPORTRANGE(""https://docs.google.com/spreadsheets/d/1kGrh75X1cNR1D7_FcY9zMnHP8iPO4M5RCRjy6nZY0TY/edit#gid=1248694442"",""Table 3: 1st-line HC!F5:F111""), $A58=IMPORTRANGE(""https://docs.google.com/spreadsheets/d/1kGrh75X1cNR1D7_FcY9zMnHP8iPO4"&amp;"M5RCRjy6nZY0TY/edit#gid=1248694442"",""Table 3: 1st-line HC!A5:A111"")),"""")"),"")</f>
        <v/>
      </c>
      <c r="U58" s="14">
        <f>IFERROR(__xludf.DUMMYFUNCTION("IFNA(FILTER(IMPORTRANGE(""https://docs.google.com/spreadsheets/d/1kGrh75X1cNR1D7_FcY9zMnHP8iPO4M5RCRjy6nZY0TY/edit#gid=1248694442"",""Table 3: 1st-line HC!G5:G111""), $A58=IMPORTRANGE(""https://docs.google.com/spreadsheets/d/1kGrh75X1cNR1D7_FcY9zMnHP8iPO4"&amp;"M5RCRjy6nZY0TY/edit#gid=1248694442"",""Table 3: 1st-line HC!A5:A111"")),"""")"),97.0)</f>
        <v>97</v>
      </c>
      <c r="V58" s="14" t="str">
        <f>IFERROR(__xludf.DUMMYFUNCTION("IFNA(FILTER(IMPORTRANGE(""https://docs.google.com/spreadsheets/d/1kGrh75X1cNR1D7_FcY9zMnHP8iPO4M5RCRjy6nZY0TY/edit#gid=1248694442"",""Table 3: 1st-line HC!H5:H111""), $A58=IMPORTRANGE(""https://docs.google.com/spreadsheets/d/1kGrh75X1cNR1D7_FcY9zMnHP8iPO4"&amp;"M5RCRjy6nZY0TY/edit#gid=1248694442"",""Table 3: 1st-line HC!A5:A111"")),"""")"),"")</f>
        <v/>
      </c>
      <c r="W58" s="14" t="str">
        <f>IFERROR(__xludf.DUMMYFUNCTION("IFNA(FILTER(IMPORTRANGE(""https://docs.google.com/spreadsheets/d/1kGrh75X1cNR1D7_FcY9zMnHP8iPO4M5RCRjy6nZY0TY/edit#gid=1248694442"",""Table 3: 1st-line HC!I5:I111""), $A58=IMPORTRANGE(""https://docs.google.com/spreadsheets/d/1kGrh75X1cNR1D7_FcY9zMnHP8iPO4"&amp;"M5RCRjy6nZY0TY/edit#gid=1248694442"",""Table 3: 1st-line HC!A5:A111"")),"""")"),"")</f>
        <v/>
      </c>
    </row>
    <row r="59">
      <c r="A59" s="4" t="str">
        <f>IFERROR(__xludf.DUMMYFUNCTION("""COMPUTED_VALUE"""),"ID 123")</f>
        <v>ID 123</v>
      </c>
      <c r="B59" s="14" t="str">
        <f>IFERROR(__xludf.DUMMYFUNCTION("IFNA(FILTER(IMPORTRANGE(""https://docs.google.com/spreadsheets/d/1kGrh75X1cNR1D7_FcY9zMnHP8iPO4M5RCRjy6nZY0TY/edit#gid=1248694442"",""Table 3: 1st-line HC!AZ5:AZ111""), $A59=IMPORTRANGE(""https://docs.google.com/spreadsheets/d/1kGrh75X1cNR1D7_FcY9zMnHP8iP"&amp;"O4M5RCRjy6nZY0TY/edit#gid=1248694442"",""Table 3: 1st-line HC!A5:A111"")),"""")"),"")</f>
        <v/>
      </c>
      <c r="C59" s="14" t="str">
        <f>IFERROR(__xludf.DUMMYFUNCTION("IFNA(FILTER(IMPORTRANGE(""https://docs.google.com/spreadsheets/d/1kGrh75X1cNR1D7_FcY9zMnHP8iPO4M5RCRjy6nZY0TY/edit#gid=1248694442"",""Table 3: 1st-line HC!BA5:BA111""), $A59=IMPORTRANGE(""https://docs.google.com/spreadsheets/d/1kGrh75X1cNR1D7_FcY9zMnHP8iP"&amp;"O4M5RCRjy6nZY0TY/edit#gid=1248694442"",""Table 3: 1st-line HC!A5:A111"")),"""")"),"")</f>
        <v/>
      </c>
      <c r="D59" s="14" t="str">
        <f>IFERROR(__xludf.DUMMYFUNCTION("IFNA(FILTER(IMPORTRANGE(""https://docs.google.com/spreadsheets/d/1kGrh75X1cNR1D7_FcY9zMnHP8iPO4M5RCRjy6nZY0TY/edit#gid=1248694442"",""Table 3: 1st-line HC!BB5:BB111""), $A59=IMPORTRANGE(""https://docs.google.com/spreadsheets/d/1kGrh75X1cNR1D7_FcY9zMnHP8iP"&amp;"O4M5RCRjy6nZY0TY/edit#gid=1248694442"",""Table 3: 1st-line HC!A5:A111"")),"""")"),"")</f>
        <v/>
      </c>
      <c r="E59" s="19" t="str">
        <f>IFERROR(__xludf.DUMMYFUNCTION("IFNA(FILTER(IMPORTRANGE(""https://docs.google.com/spreadsheets/d/1kGrh75X1cNR1D7_FcY9zMnHP8iPO4M5RCRjy6nZY0TY/edit#gid=1248694442"",""Table 3: 1st-line HC!BC5:BC111""), $A59=IMPORTRANGE(""https://docs.google.com/spreadsheets/d/1kGrh75X1cNR1D7_FcY9zMnHP8iP"&amp;"O4M5RCRjy6nZY0TY/edit#gid=1248694442"",""Table 3: 1st-line HC!A5:A111"")),"""")"),"")</f>
        <v/>
      </c>
      <c r="F59" s="14" t="str">
        <f>IFERROR(__xludf.DUMMYFUNCTION("IFNA(FILTER(IMPORTRANGE(""https://docs.google.com/spreadsheets/d/1kGrh75X1cNR1D7_FcY9zMnHP8iPO4M5RCRjy6nZY0TY/edit#gid=1248694442"",""Table 3: 1st-line HC!Y5:Y111""), $A59=IMPORTRANGE(""https://docs.google.com/spreadsheets/d/1kGrh75X1cNR1D7_FcY9zMnHP8iPO4"&amp;"M5RCRjy6nZY0TY/edit#gid=1248694442"",""Table 3: 1st-line HC!A5:A111"")),"""")"),"")</f>
        <v/>
      </c>
      <c r="G59" s="14">
        <f>IFERROR(__xludf.DUMMYFUNCTION("IFNA(FILTER(IMPORTRANGE(""https://docs.google.com/spreadsheets/d/1kGrh75X1cNR1D7_FcY9zMnHP8iPO4M5RCRjy6nZY0TY/edit#gid=1248694442"",""Table 3: 1st-line HC!Z5:Z111""), $A59=IMPORTRANGE(""https://docs.google.com/spreadsheets/d/1kGrh75X1cNR1D7_FcY9zMnHP8iPO4"&amp;"M5RCRjy6nZY0TY/edit#gid=1248694442"",""Table 3: 1st-line HC!A5:A111"")),"""")"),32.0)</f>
        <v>32</v>
      </c>
      <c r="H59" s="14" t="str">
        <f>IFERROR(__xludf.DUMMYFUNCTION("IFNA(FILTER(IMPORTRANGE(""https://docs.google.com/spreadsheets/d/1kGrh75X1cNR1D7_FcY9zMnHP8iPO4M5RCRjy6nZY0TY/edit#gid=1248694442"",""Table 3: 1st-line HC!AA5:AA111""), $A59=IMPORTRANGE(""https://docs.google.com/spreadsheets/d/1kGrh75X1cNR1D7_FcY9zMnHP8iP"&amp;"O4M5RCRjy6nZY0TY/edit#gid=1248694442"",""Table 3: 1st-line HC!A5:A111"")),"""")"),"")</f>
        <v/>
      </c>
      <c r="I59" s="14" t="str">
        <f>IFERROR(__xludf.DUMMYFUNCTION("IFNA(FILTER(IMPORTRANGE(""https://docs.google.com/spreadsheets/d/1kGrh75X1cNR1D7_FcY9zMnHP8iPO4M5RCRjy6nZY0TY/edit#gid=1248694442"",""Table 3: 1st-line HC!AB5:AB111""), $A59=IMPORTRANGE(""https://docs.google.com/spreadsheets/d/1kGrh75X1cNR1D7_FcY9zMnHP8iP"&amp;"O4M5RCRjy6nZY0TY/edit#gid=1248694442"",""Table 3: 1st-line HC!A5:A111"")),"""")"),"")</f>
        <v/>
      </c>
      <c r="J59" s="14" t="str">
        <f>IFERROR(__xludf.DUMMYFUNCTION("IFNA(FILTER(IMPORTRANGE(""https://docs.google.com/spreadsheets/d/1kGrh75X1cNR1D7_FcY9zMnHP8iPO4M5RCRjy6nZY0TY/edit#gid=1248694442"",""Table 3: 1st-line HC!AC5:AC111""), $A59=IMPORTRANGE(""https://docs.google.com/spreadsheets/d/1kGrh75X1cNR1D7_FcY9zMnHP8iP"&amp;"O4M5RCRjy6nZY0TY/edit#gid=1248694442"",""Table 3: 1st-line HC!A5:A111"")),"""")"),"")</f>
        <v/>
      </c>
      <c r="K59" s="20" t="str">
        <f>IFERROR(__xludf.DUMMYFUNCTION("IFNA(FILTER(IMPORTRANGE(""https://docs.google.com/spreadsheets/d/1kGrh75X1cNR1D7_FcY9zMnHP8iPO4M5RCRjy6nZY0TY/edit#gid=1248694442"",""Table 3: 1st-line HC!AD5:AD111""), $A59=IMPORTRANGE(""https://docs.google.com/spreadsheets/d/1kGrh75X1cNR1D7_FcY9zMnHP8iP"&amp;"O4M5RCRjy6nZY0TY/edit#gid=1248694442"",""Table 3: 1st-line HC!A5:A111"")),"""")"),"")</f>
        <v/>
      </c>
      <c r="L59" s="14" t="str">
        <f>IFERROR(__xludf.DUMMYFUNCTION("IFNA(FILTER(IMPORTRANGE(""https://docs.google.com/spreadsheets/d/1kGrh75X1cNR1D7_FcY9zMnHP8iPO4M5RCRjy6nZY0TY/edit#gid=1248694442"",""Table 3: 1st-line HC!W5:W111""), $A59=IMPORTRANGE(""https://docs.google.com/spreadsheets/d/1kGrh75X1cNR1D7_FcY9zMnHP8iPO4"&amp;"M5RCRjy6nZY0TY/edit#gid=1248694442"",""Table 3: 1st-line HC!A5:A111"")),"""")"),"")</f>
        <v/>
      </c>
      <c r="M59" s="14">
        <f>IFERROR(__xludf.DUMMYFUNCTION("IFNA(FILTER(IMPORTRANGE(""https://docs.google.com/spreadsheets/d/1kGrh75X1cNR1D7_FcY9zMnHP8iPO4M5RCRjy6nZY0TY/edit#gid=1248694442"",""Table 3: 1st-line HC!X5:X111""), $A59=IMPORTRANGE(""https://docs.google.com/spreadsheets/d/1kGrh75X1cNR1D7_FcY9zMnHP8iPO4"&amp;"M5RCRjy6nZY0TY/edit#gid=1248694442"",""Table 3: 1st-line HC!A5:A111"")),"""")"),9.0)</f>
        <v>9</v>
      </c>
      <c r="N59" s="14" t="str">
        <f>IFERROR(__xludf.DUMMYFUNCTION("IFNA(FILTER(IMPORTRANGE(""https://docs.google.com/spreadsheets/d/1kGrh75X1cNR1D7_FcY9zMnHP8iPO4M5RCRjy6nZY0TY/edit#gid=1248694442"",""Table 4: 2nd-line HC or more!C5:C85""), $A59=IMPORTRANGE(""https://docs.google.com/spreadsheets/d/1kGrh75X1cNR1D7_FcY9zMn"&amp;"HP8iPO4M5RCRjy6nZY0TY/edit#gid=1248694442"",""Table 4: 2nd-line HC or more!A5:A85"")),"""")"),"")</f>
        <v/>
      </c>
      <c r="O59" s="14">
        <f>IFERROR(__xludf.DUMMYFUNCTION("IFNA(FILTER(IMPORTRANGE(""https://docs.google.com/spreadsheets/d/1kGrh75X1cNR1D7_FcY9zMnHP8iPO4M5RCRjy6nZY0TY/edit#gid=1248694442"",""Table 4: 2nd-line HC or more!D5:D85""), $A59=IMPORTRANGE(""https://docs.google.com/spreadsheets/d/1kGrh75X1cNR1D7_FcY9zMn"&amp;"HP8iPO4M5RCRjy6nZY0TY/edit#gid=1248694442"",""Table 4: 2nd-line HC or more!A5:A85"")),"""")"),8.0)</f>
        <v>8</v>
      </c>
      <c r="P59" s="14" t="str">
        <f>IFERROR(__xludf.DUMMYFUNCTION("IFNA(FILTER(IMPORTRANGE(""https://docs.google.com/spreadsheets/d/1kGrh75X1cNR1D7_FcY9zMnHP8iPO4M5RCRjy6nZY0TY/edit#gid=1248694442"",""Table 4: 2nd-line HC or more!E5:E85""), $A59=IMPORTRANGE(""https://docs.google.com/spreadsheets/d/1kGrh75X1cNR1D7_FcY9zMn"&amp;"HP8iPO4M5RCRjy6nZY0TY/edit#gid=1248694442"",""Table 4: 2nd-line HC or more!A5:A85"")),"""")"),"")</f>
        <v/>
      </c>
      <c r="Q59" s="14" t="str">
        <f>IFERROR(__xludf.DUMMYFUNCTION("IFNA(FILTER(IMPORTRANGE(""https://docs.google.com/spreadsheets/d/1kGrh75X1cNR1D7_FcY9zMnHP8iPO4M5RCRjy6nZY0TY/edit#gid=1248694442"",""Table 4: 2nd-line HC or more!F5:F85""), $A59=IMPORTRANGE(""https://docs.google.com/spreadsheets/d/1kGrh75X1cNR1D7_FcY9zMn"&amp;"HP8iPO4M5RCRjy6nZY0TY/edit#gid=1248694442"",""Table 4: 2nd-line HC or more!A5:A85"")),"""")"),"")</f>
        <v/>
      </c>
      <c r="R59" s="14" t="str">
        <f>IFERROR(__xludf.DUMMYFUNCTION("IFNA(FILTER(IMPORTRANGE(""https://docs.google.com/spreadsheets/d/1kGrh75X1cNR1D7_FcY9zMnHP8iPO4M5RCRjy6nZY0TY/edit#gid=1248694442"",""Table 4: 2nd-line HC or more!G5:G85""), $A59=IMPORTRANGE(""https://docs.google.com/spreadsheets/d/1kGrh75X1cNR1D7_FcY9zMn"&amp;"HP8iPO4M5RCRjy6nZY0TY/edit#gid=1248694442"",""Table 4: 2nd-line HC or more!A5:A85"")),"""")"),"")</f>
        <v/>
      </c>
      <c r="S59" s="14" t="str">
        <f>IFERROR(__xludf.DUMMYFUNCTION("IFNA(FILTER(IMPORTRANGE(""https://docs.google.com/spreadsheets/d/1kGrh75X1cNR1D7_FcY9zMnHP8iPO4M5RCRjy6nZY0TY/edit#gid=1248694442"",""Table 4: 2nd-line HC or more!H5:H85""), $A59=IMPORTRANGE(""https://docs.google.com/spreadsheets/d/1kGrh75X1cNR1D7_FcY9zMn"&amp;"HP8iPO4M5RCRjy6nZY0TY/edit#gid=1248694442"",""Table 4: 2nd-line HC or more!A5:A85"")),"""")"),"")</f>
        <v/>
      </c>
      <c r="T59" s="14" t="str">
        <f>IFERROR(__xludf.DUMMYFUNCTION("IFNA(FILTER(IMPORTRANGE(""https://docs.google.com/spreadsheets/d/1kGrh75X1cNR1D7_FcY9zMnHP8iPO4M5RCRjy6nZY0TY/edit#gid=1248694442"",""Table 3: 1st-line HC!F5:F111""), $A59=IMPORTRANGE(""https://docs.google.com/spreadsheets/d/1kGrh75X1cNR1D7_FcY9zMnHP8iPO4"&amp;"M5RCRjy6nZY0TY/edit#gid=1248694442"",""Table 3: 1st-line HC!A5:A111"")),"""")"),"")</f>
        <v/>
      </c>
      <c r="U59" s="14" t="str">
        <f>IFERROR(__xludf.DUMMYFUNCTION("IFNA(FILTER(IMPORTRANGE(""https://docs.google.com/spreadsheets/d/1kGrh75X1cNR1D7_FcY9zMnHP8iPO4M5RCRjy6nZY0TY/edit#gid=1248694442"",""Table 3: 1st-line HC!G5:G111""), $A59=IMPORTRANGE(""https://docs.google.com/spreadsheets/d/1kGrh75X1cNR1D7_FcY9zMnHP8iPO4"&amp;"M5RCRjy6nZY0TY/edit#gid=1248694442"",""Table 3: 1st-line HC!A5:A111"")),"""")"),"")</f>
        <v/>
      </c>
      <c r="V59" s="14">
        <f>IFERROR(__xludf.DUMMYFUNCTION("IFNA(FILTER(IMPORTRANGE(""https://docs.google.com/spreadsheets/d/1kGrh75X1cNR1D7_FcY9zMnHP8iPO4M5RCRjy6nZY0TY/edit#gid=1248694442"",""Table 3: 1st-line HC!H5:H111""), $A59=IMPORTRANGE(""https://docs.google.com/spreadsheets/d/1kGrh75X1cNR1D7_FcY9zMnHP8iPO4"&amp;"M5RCRjy6nZY0TY/edit#gid=1248694442"",""Table 3: 1st-line HC!A5:A111"")),"""")"),32.0)</f>
        <v>32</v>
      </c>
      <c r="W59" s="14" t="str">
        <f>IFERROR(__xludf.DUMMYFUNCTION("IFNA(FILTER(IMPORTRANGE(""https://docs.google.com/spreadsheets/d/1kGrh75X1cNR1D7_FcY9zMnHP8iPO4M5RCRjy6nZY0TY/edit#gid=1248694442"",""Table 3: 1st-line HC!I5:I111""), $A59=IMPORTRANGE(""https://docs.google.com/spreadsheets/d/1kGrh75X1cNR1D7_FcY9zMnHP8iPO4"&amp;"M5RCRjy6nZY0TY/edit#gid=1248694442"",""Table 3: 1st-line HC!A5:A111"")),"""")"),"")</f>
        <v/>
      </c>
    </row>
    <row r="60">
      <c r="A60" s="4" t="str">
        <f>IFERROR(__xludf.DUMMYFUNCTION("""COMPUTED_VALUE"""),"ID 126")</f>
        <v>ID 126</v>
      </c>
      <c r="B60" s="14">
        <f>IFERROR(__xludf.DUMMYFUNCTION("IFNA(FILTER(IMPORTRANGE(""https://docs.google.com/spreadsheets/d/1kGrh75X1cNR1D7_FcY9zMnHP8iPO4M5RCRjy6nZY0TY/edit#gid=1248694442"",""Table 3: 1st-line HC!AZ5:AZ111""), $A60=IMPORTRANGE(""https://docs.google.com/spreadsheets/d/1kGrh75X1cNR1D7_FcY9zMnHP8iP"&amp;"O4M5RCRjy6nZY0TY/edit#gid=1248694442"",""Table 3: 1st-line HC!A5:A111"")),"""")"),1.46)</f>
        <v>1.46</v>
      </c>
      <c r="C60" s="14" t="str">
        <f>IFERROR(__xludf.DUMMYFUNCTION("IFNA(FILTER(IMPORTRANGE(""https://docs.google.com/spreadsheets/d/1kGrh75X1cNR1D7_FcY9zMnHP8iPO4M5RCRjy6nZY0TY/edit#gid=1248694442"",""Table 3: 1st-line HC!BA5:BA111""), $A60=IMPORTRANGE(""https://docs.google.com/spreadsheets/d/1kGrh75X1cNR1D7_FcY9zMnHP8iP"&amp;"O4M5RCRjy6nZY0TY/edit#gid=1248694442"",""Table 3: 1st-line HC!A5:A111"")),"""")"),"")</f>
        <v/>
      </c>
      <c r="D60" s="14" t="str">
        <f>IFERROR(__xludf.DUMMYFUNCTION("IFNA(FILTER(IMPORTRANGE(""https://docs.google.com/spreadsheets/d/1kGrh75X1cNR1D7_FcY9zMnHP8iPO4M5RCRjy6nZY0TY/edit#gid=1248694442"",""Table 3: 1st-line HC!BB5:BB111""), $A60=IMPORTRANGE(""https://docs.google.com/spreadsheets/d/1kGrh75X1cNR1D7_FcY9zMnHP8iP"&amp;"O4M5RCRjy6nZY0TY/edit#gid=1248694442"",""Table 3: 1st-line HC!A5:A111"")),"""")"),"")</f>
        <v/>
      </c>
      <c r="E60" s="19" t="str">
        <f>IFERROR(__xludf.DUMMYFUNCTION("IFNA(FILTER(IMPORTRANGE(""https://docs.google.com/spreadsheets/d/1kGrh75X1cNR1D7_FcY9zMnHP8iPO4M5RCRjy6nZY0TY/edit#gid=1248694442"",""Table 3: 1st-line HC!BC5:BC111""), $A60=IMPORTRANGE(""https://docs.google.com/spreadsheets/d/1kGrh75X1cNR1D7_FcY9zMnHP8iP"&amp;"O4M5RCRjy6nZY0TY/edit#gid=1248694442"",""Table 3: 1st-line HC!A5:A111"")),"""")"),"1-2")</f>
        <v>1-2</v>
      </c>
      <c r="F60" s="14" t="str">
        <f>IFERROR(__xludf.DUMMYFUNCTION("IFNA(FILTER(IMPORTRANGE(""https://docs.google.com/spreadsheets/d/1kGrh75X1cNR1D7_FcY9zMnHP8iPO4M5RCRjy6nZY0TY/edit#gid=1248694442"",""Table 3: 1st-line HC!Y5:Y111""), $A60=IMPORTRANGE(""https://docs.google.com/spreadsheets/d/1kGrh75X1cNR1D7_FcY9zMnHP8iPO4"&amp;"M5RCRjy6nZY0TY/edit#gid=1248694442"",""Table 3: 1st-line HC!A5:A111"")),"""")"),"")</f>
        <v/>
      </c>
      <c r="G60" s="14">
        <f>IFERROR(__xludf.DUMMYFUNCTION("IFNA(FILTER(IMPORTRANGE(""https://docs.google.com/spreadsheets/d/1kGrh75X1cNR1D7_FcY9zMnHP8iPO4M5RCRjy6nZY0TY/edit#gid=1248694442"",""Table 3: 1st-line HC!Z5:Z111""), $A60=IMPORTRANGE(""https://docs.google.com/spreadsheets/d/1kGrh75X1cNR1D7_FcY9zMnHP8iPO4"&amp;"M5RCRjy6nZY0TY/edit#gid=1248694442"",""Table 3: 1st-line HC!A5:A111"")),"""")"),170.0)</f>
        <v>170</v>
      </c>
      <c r="H60" s="14" t="str">
        <f>IFERROR(__xludf.DUMMYFUNCTION("IFNA(FILTER(IMPORTRANGE(""https://docs.google.com/spreadsheets/d/1kGrh75X1cNR1D7_FcY9zMnHP8iPO4M5RCRjy6nZY0TY/edit#gid=1248694442"",""Table 3: 1st-line HC!AA5:AA111""), $A60=IMPORTRANGE(""https://docs.google.com/spreadsheets/d/1kGrh75X1cNR1D7_FcY9zMnHP8iP"&amp;"O4M5RCRjy6nZY0TY/edit#gid=1248694442"",""Table 3: 1st-line HC!A5:A111"")),"""")"),"")</f>
        <v/>
      </c>
      <c r="I60" s="14" t="str">
        <f>IFERROR(__xludf.DUMMYFUNCTION("IFNA(FILTER(IMPORTRANGE(""https://docs.google.com/spreadsheets/d/1kGrh75X1cNR1D7_FcY9zMnHP8iPO4M5RCRjy6nZY0TY/edit#gid=1248694442"",""Table 3: 1st-line HC!AB5:AB111""), $A60=IMPORTRANGE(""https://docs.google.com/spreadsheets/d/1kGrh75X1cNR1D7_FcY9zMnHP8iP"&amp;"O4M5RCRjy6nZY0TY/edit#gid=1248694442"",""Table 3: 1st-line HC!A5:A111"")),"""")"),"")</f>
        <v/>
      </c>
      <c r="J60" s="14" t="str">
        <f>IFERROR(__xludf.DUMMYFUNCTION("IFNA(FILTER(IMPORTRANGE(""https://docs.google.com/spreadsheets/d/1kGrh75X1cNR1D7_FcY9zMnHP8iPO4M5RCRjy6nZY0TY/edit#gid=1248694442"",""Table 3: 1st-line HC!AC5:AC111""), $A60=IMPORTRANGE(""https://docs.google.com/spreadsheets/d/1kGrh75X1cNR1D7_FcY9zMnHP8iP"&amp;"O4M5RCRjy6nZY0TY/edit#gid=1248694442"",""Table 3: 1st-line HC!A5:A111"")),"""")"),"")</f>
        <v/>
      </c>
      <c r="K60" s="20" t="str">
        <f>IFERROR(__xludf.DUMMYFUNCTION("IFNA(FILTER(IMPORTRANGE(""https://docs.google.com/spreadsheets/d/1kGrh75X1cNR1D7_FcY9zMnHP8iPO4M5RCRjy6nZY0TY/edit#gid=1248694442"",""Table 3: 1st-line HC!AD5:AD111""), $A60=IMPORTRANGE(""https://docs.google.com/spreadsheets/d/1kGrh75X1cNR1D7_FcY9zMnHP8iP"&amp;"O4M5RCRjy6nZY0TY/edit#gid=1248694442"",""Table 3: 1st-line HC!A5:A111"")),"""")"),"")</f>
        <v/>
      </c>
      <c r="L60" s="14" t="str">
        <f>IFERROR(__xludf.DUMMYFUNCTION("IFNA(FILTER(IMPORTRANGE(""https://docs.google.com/spreadsheets/d/1kGrh75X1cNR1D7_FcY9zMnHP8iPO4M5RCRjy6nZY0TY/edit#gid=1248694442"",""Table 3: 1st-line HC!W5:W111""), $A60=IMPORTRANGE(""https://docs.google.com/spreadsheets/d/1kGrh75X1cNR1D7_FcY9zMnHP8iPO4"&amp;"M5RCRjy6nZY0TY/edit#gid=1248694442"",""Table 3: 1st-line HC!A5:A111"")),"""")"),"")</f>
        <v/>
      </c>
      <c r="M60" s="14" t="str">
        <f>IFERROR(__xludf.DUMMYFUNCTION("IFNA(FILTER(IMPORTRANGE(""https://docs.google.com/spreadsheets/d/1kGrh75X1cNR1D7_FcY9zMnHP8iPO4M5RCRjy6nZY0TY/edit#gid=1248694442"",""Table 3: 1st-line HC!X5:X111""), $A60=IMPORTRANGE(""https://docs.google.com/spreadsheets/d/1kGrh75X1cNR1D7_FcY9zMnHP8iPO4"&amp;"M5RCRjy6nZY0TY/edit#gid=1248694442"",""Table 3: 1st-line HC!A5:A111"")),"""")"),"")</f>
        <v/>
      </c>
      <c r="N60" s="14" t="str">
        <f>IFERROR(__xludf.DUMMYFUNCTION("IFNA(FILTER(IMPORTRANGE(""https://docs.google.com/spreadsheets/d/1kGrh75X1cNR1D7_FcY9zMnHP8iPO4M5RCRjy6nZY0TY/edit#gid=1248694442"",""Table 4: 2nd-line HC or more!C5:C85""), $A60=IMPORTRANGE(""https://docs.google.com/spreadsheets/d/1kGrh75X1cNR1D7_FcY9zMn"&amp;"HP8iPO4M5RCRjy6nZY0TY/edit#gid=1248694442"",""Table 4: 2nd-line HC or more!A5:A85"")),"""")"),"")</f>
        <v/>
      </c>
      <c r="O60" s="14">
        <f>IFERROR(__xludf.DUMMYFUNCTION("IFNA(FILTER(IMPORTRANGE(""https://docs.google.com/spreadsheets/d/1kGrh75X1cNR1D7_FcY9zMnHP8iPO4M5RCRjy6nZY0TY/edit#gid=1248694442"",""Table 4: 2nd-line HC or more!D5:D85""), $A60=IMPORTRANGE(""https://docs.google.com/spreadsheets/d/1kGrh75X1cNR1D7_FcY9zMn"&amp;"HP8iPO4M5RCRjy6nZY0TY/edit#gid=1248694442"",""Table 4: 2nd-line HC or more!A5:A85"")),"""")"),78.0)</f>
        <v>78</v>
      </c>
      <c r="P60" s="14" t="str">
        <f>IFERROR(__xludf.DUMMYFUNCTION("IFNA(FILTER(IMPORTRANGE(""https://docs.google.com/spreadsheets/d/1kGrh75X1cNR1D7_FcY9zMnHP8iPO4M5RCRjy6nZY0TY/edit#gid=1248694442"",""Table 4: 2nd-line HC or more!E5:E85""), $A60=IMPORTRANGE(""https://docs.google.com/spreadsheets/d/1kGrh75X1cNR1D7_FcY9zMn"&amp;"HP8iPO4M5RCRjy6nZY0TY/edit#gid=1248694442"",""Table 4: 2nd-line HC or more!A5:A85"")),"""")"),"")</f>
        <v/>
      </c>
      <c r="Q60" s="14" t="str">
        <f>IFERROR(__xludf.DUMMYFUNCTION("IFNA(FILTER(IMPORTRANGE(""https://docs.google.com/spreadsheets/d/1kGrh75X1cNR1D7_FcY9zMnHP8iPO4M5RCRjy6nZY0TY/edit#gid=1248694442"",""Table 4: 2nd-line HC or more!F5:F85""), $A60=IMPORTRANGE(""https://docs.google.com/spreadsheets/d/1kGrh75X1cNR1D7_FcY9zMn"&amp;"HP8iPO4M5RCRjy6nZY0TY/edit#gid=1248694442"",""Table 4: 2nd-line HC or more!A5:A85"")),"""")"),"")</f>
        <v/>
      </c>
      <c r="R60" s="14" t="str">
        <f>IFERROR(__xludf.DUMMYFUNCTION("IFNA(FILTER(IMPORTRANGE(""https://docs.google.com/spreadsheets/d/1kGrh75X1cNR1D7_FcY9zMnHP8iPO4M5RCRjy6nZY0TY/edit#gid=1248694442"",""Table 4: 2nd-line HC or more!G5:G85""), $A60=IMPORTRANGE(""https://docs.google.com/spreadsheets/d/1kGrh75X1cNR1D7_FcY9zMn"&amp;"HP8iPO4M5RCRjy6nZY0TY/edit#gid=1248694442"",""Table 4: 2nd-line HC or more!A5:A85"")),"""")"),"")</f>
        <v/>
      </c>
      <c r="S60" s="14" t="str">
        <f>IFERROR(__xludf.DUMMYFUNCTION("IFNA(FILTER(IMPORTRANGE(""https://docs.google.com/spreadsheets/d/1kGrh75X1cNR1D7_FcY9zMnHP8iPO4M5RCRjy6nZY0TY/edit#gid=1248694442"",""Table 4: 2nd-line HC or more!H5:H85""), $A60=IMPORTRANGE(""https://docs.google.com/spreadsheets/d/1kGrh75X1cNR1D7_FcY9zMn"&amp;"HP8iPO4M5RCRjy6nZY0TY/edit#gid=1248694442"",""Table 4: 2nd-line HC or more!A5:A85"")),"""")"),"EDV = 180")</f>
        <v>EDV = 180</v>
      </c>
      <c r="T60" s="14" t="str">
        <f>IFERROR(__xludf.DUMMYFUNCTION("IFNA(FILTER(IMPORTRANGE(""https://docs.google.com/spreadsheets/d/1kGrh75X1cNR1D7_FcY9zMnHP8iPO4M5RCRjy6nZY0TY/edit#gid=1248694442"",""Table 3: 1st-line HC!F5:F111""), $A60=IMPORTRANGE(""https://docs.google.com/spreadsheets/d/1kGrh75X1cNR1D7_FcY9zMnHP8iPO4"&amp;"M5RCRjy6nZY0TY/edit#gid=1248694442"",""Table 3: 1st-line HC!A5:A111"")),"""")"),"")</f>
        <v/>
      </c>
      <c r="U60" s="14" t="str">
        <f>IFERROR(__xludf.DUMMYFUNCTION("IFNA(FILTER(IMPORTRANGE(""https://docs.google.com/spreadsheets/d/1kGrh75X1cNR1D7_FcY9zMnHP8iPO4M5RCRjy6nZY0TY/edit#gid=1248694442"",""Table 3: 1st-line HC!G5:G111""), $A60=IMPORTRANGE(""https://docs.google.com/spreadsheets/d/1kGrh75X1cNR1D7_FcY9zMnHP8iPO4"&amp;"M5RCRjy6nZY0TY/edit#gid=1248694442"",""Table 3: 1st-line HC!A5:A111"")),"""")"),"")</f>
        <v/>
      </c>
      <c r="V60" s="14" t="str">
        <f>IFERROR(__xludf.DUMMYFUNCTION("IFNA(FILTER(IMPORTRANGE(""https://docs.google.com/spreadsheets/d/1kGrh75X1cNR1D7_FcY9zMnHP8iPO4M5RCRjy6nZY0TY/edit#gid=1248694442"",""Table 3: 1st-line HC!H5:H111""), $A60=IMPORTRANGE(""https://docs.google.com/spreadsheets/d/1kGrh75X1cNR1D7_FcY9zMnHP8iPO4"&amp;"M5RCRjy6nZY0TY/edit#gid=1248694442"",""Table 3: 1st-line HC!A5:A111"")),"""")"),"")</f>
        <v/>
      </c>
      <c r="W60" s="14" t="str">
        <f>IFERROR(__xludf.DUMMYFUNCTION("IFNA(FILTER(IMPORTRANGE(""https://docs.google.com/spreadsheets/d/1kGrh75X1cNR1D7_FcY9zMnHP8iPO4M5RCRjy6nZY0TY/edit#gid=1248694442"",""Table 3: 1st-line HC!I5:I111""), $A60=IMPORTRANGE(""https://docs.google.com/spreadsheets/d/1kGrh75X1cNR1D7_FcY9zMnHP8iPO4"&amp;"M5RCRjy6nZY0TY/edit#gid=1248694442"",""Table 3: 1st-line HC!A5:A111"")),"""")"),"")</f>
        <v/>
      </c>
    </row>
    <row r="61">
      <c r="A61" s="4" t="str">
        <f>IFERROR(__xludf.DUMMYFUNCTION("""COMPUTED_VALUE"""),"ID 129")</f>
        <v>ID 129</v>
      </c>
      <c r="B61" s="14" t="str">
        <f>IFERROR(__xludf.DUMMYFUNCTION("IFNA(FILTER(IMPORTRANGE(""https://docs.google.com/spreadsheets/d/1kGrh75X1cNR1D7_FcY9zMnHP8iPO4M5RCRjy6nZY0TY/edit#gid=1248694442"",""Table 3: 1st-line HC!AZ5:AZ111""), $A61=IMPORTRANGE(""https://docs.google.com/spreadsheets/d/1kGrh75X1cNR1D7_FcY9zMnHP8iP"&amp;"O4M5RCRjy6nZY0TY/edit#gid=1248694442"",""Table 3: 1st-line HC!A5:A111"")),"""")"),"")</f>
        <v/>
      </c>
      <c r="C61" s="14" t="str">
        <f>IFERROR(__xludf.DUMMYFUNCTION("IFNA(FILTER(IMPORTRANGE(""https://docs.google.com/spreadsheets/d/1kGrh75X1cNR1D7_FcY9zMnHP8iPO4M5RCRjy6nZY0TY/edit#gid=1248694442"",""Table 3: 1st-line HC!BA5:BA111""), $A61=IMPORTRANGE(""https://docs.google.com/spreadsheets/d/1kGrh75X1cNR1D7_FcY9zMnHP8iP"&amp;"O4M5RCRjy6nZY0TY/edit#gid=1248694442"",""Table 3: 1st-line HC!A5:A111"")),"""")"),"")</f>
        <v/>
      </c>
      <c r="D61" s="14" t="str">
        <f>IFERROR(__xludf.DUMMYFUNCTION("IFNA(FILTER(IMPORTRANGE(""https://docs.google.com/spreadsheets/d/1kGrh75X1cNR1D7_FcY9zMnHP8iPO4M5RCRjy6nZY0TY/edit#gid=1248694442"",""Table 3: 1st-line HC!BB5:BB111""), $A61=IMPORTRANGE(""https://docs.google.com/spreadsheets/d/1kGrh75X1cNR1D7_FcY9zMnHP8iP"&amp;"O4M5RCRjy6nZY0TY/edit#gid=1248694442"",""Table 3: 1st-line HC!A5:A111"")),"""")"),"")</f>
        <v/>
      </c>
      <c r="E61" s="19" t="str">
        <f>IFERROR(__xludf.DUMMYFUNCTION("IFNA(FILTER(IMPORTRANGE(""https://docs.google.com/spreadsheets/d/1kGrh75X1cNR1D7_FcY9zMnHP8iPO4M5RCRjy6nZY0TY/edit#gid=1248694442"",""Table 3: 1st-line HC!BC5:BC111""), $A61=IMPORTRANGE(""https://docs.google.com/spreadsheets/d/1kGrh75X1cNR1D7_FcY9zMnHP8iP"&amp;"O4M5RCRjy6nZY0TY/edit#gid=1248694442"",""Table 3: 1st-line HC!A5:A111"")),"""")"),"")</f>
        <v/>
      </c>
      <c r="F61" s="14" t="str">
        <f>IFERROR(__xludf.DUMMYFUNCTION("IFNA(FILTER(IMPORTRANGE(""https://docs.google.com/spreadsheets/d/1kGrh75X1cNR1D7_FcY9zMnHP8iPO4M5RCRjy6nZY0TY/edit#gid=1248694442"",""Table 3: 1st-line HC!Y5:Y111""), $A61=IMPORTRANGE(""https://docs.google.com/spreadsheets/d/1kGrh75X1cNR1D7_FcY9zMnHP8iPO4"&amp;"M5RCRjy6nZY0TY/edit#gid=1248694442"",""Table 3: 1st-line HC!A5:A111"")),"""")"),"")</f>
        <v/>
      </c>
      <c r="G61" s="14" t="str">
        <f>IFERROR(__xludf.DUMMYFUNCTION("IFNA(FILTER(IMPORTRANGE(""https://docs.google.com/spreadsheets/d/1kGrh75X1cNR1D7_FcY9zMnHP8iPO4M5RCRjy6nZY0TY/edit#gid=1248694442"",""Table 3: 1st-line HC!Z5:Z111""), $A61=IMPORTRANGE(""https://docs.google.com/spreadsheets/d/1kGrh75X1cNR1D7_FcY9zMnHP8iPO4"&amp;"M5RCRjy6nZY0TY/edit#gid=1248694442"",""Table 3: 1st-line HC!A5:A111"")),"""")"),"")</f>
        <v/>
      </c>
      <c r="H61" s="14" t="str">
        <f>IFERROR(__xludf.DUMMYFUNCTION("IFNA(FILTER(IMPORTRANGE(""https://docs.google.com/spreadsheets/d/1kGrh75X1cNR1D7_FcY9zMnHP8iPO4M5RCRjy6nZY0TY/edit#gid=1248694442"",""Table 3: 1st-line HC!AA5:AA111""), $A61=IMPORTRANGE(""https://docs.google.com/spreadsheets/d/1kGrh75X1cNR1D7_FcY9zMnHP8iP"&amp;"O4M5RCRjy6nZY0TY/edit#gid=1248694442"",""Table 3: 1st-line HC!A5:A111"")),"""")"),"")</f>
        <v/>
      </c>
      <c r="I61" s="14" t="str">
        <f>IFERROR(__xludf.DUMMYFUNCTION("IFNA(FILTER(IMPORTRANGE(""https://docs.google.com/spreadsheets/d/1kGrh75X1cNR1D7_FcY9zMnHP8iPO4M5RCRjy6nZY0TY/edit#gid=1248694442"",""Table 3: 1st-line HC!AB5:AB111""), $A61=IMPORTRANGE(""https://docs.google.com/spreadsheets/d/1kGrh75X1cNR1D7_FcY9zMnHP8iP"&amp;"O4M5RCRjy6nZY0TY/edit#gid=1248694442"",""Table 3: 1st-line HC!A5:A111"")),"""")"),"")</f>
        <v/>
      </c>
      <c r="J61" s="14" t="str">
        <f>IFERROR(__xludf.DUMMYFUNCTION("IFNA(FILTER(IMPORTRANGE(""https://docs.google.com/spreadsheets/d/1kGrh75X1cNR1D7_FcY9zMnHP8iPO4M5RCRjy6nZY0TY/edit#gid=1248694442"",""Table 3: 1st-line HC!AC5:AC111""), $A61=IMPORTRANGE(""https://docs.google.com/spreadsheets/d/1kGrh75X1cNR1D7_FcY9zMnHP8iP"&amp;"O4M5RCRjy6nZY0TY/edit#gid=1248694442"",""Table 3: 1st-line HC!A5:A111"")),"""")"),"")</f>
        <v/>
      </c>
      <c r="K61" s="20" t="str">
        <f>IFERROR(__xludf.DUMMYFUNCTION("IFNA(FILTER(IMPORTRANGE(""https://docs.google.com/spreadsheets/d/1kGrh75X1cNR1D7_FcY9zMnHP8iPO4M5RCRjy6nZY0TY/edit#gid=1248694442"",""Table 3: 1st-line HC!AD5:AD111""), $A61=IMPORTRANGE(""https://docs.google.com/spreadsheets/d/1kGrh75X1cNR1D7_FcY9zMnHP8iP"&amp;"O4M5RCRjy6nZY0TY/edit#gid=1248694442"",""Table 3: 1st-line HC!A5:A111"")),"""")"),"")</f>
        <v/>
      </c>
      <c r="L61" s="14" t="str">
        <f>IFERROR(__xludf.DUMMYFUNCTION("IFNA(FILTER(IMPORTRANGE(""https://docs.google.com/spreadsheets/d/1kGrh75X1cNR1D7_FcY9zMnHP8iPO4M5RCRjy6nZY0TY/edit#gid=1248694442"",""Table 3: 1st-line HC!W5:W111""), $A61=IMPORTRANGE(""https://docs.google.com/spreadsheets/d/1kGrh75X1cNR1D7_FcY9zMnHP8iPO4"&amp;"M5RCRjy6nZY0TY/edit#gid=1248694442"",""Table 3: 1st-line HC!A5:A111"")),"""")"),"")</f>
        <v/>
      </c>
      <c r="M61" s="14" t="str">
        <f>IFERROR(__xludf.DUMMYFUNCTION("IFNA(FILTER(IMPORTRANGE(""https://docs.google.com/spreadsheets/d/1kGrh75X1cNR1D7_FcY9zMnHP8iPO4M5RCRjy6nZY0TY/edit#gid=1248694442"",""Table 3: 1st-line HC!X5:X111""), $A61=IMPORTRANGE(""https://docs.google.com/spreadsheets/d/1kGrh75X1cNR1D7_FcY9zMnHP8iPO4"&amp;"M5RCRjy6nZY0TY/edit#gid=1248694442"",""Table 3: 1st-line HC!A5:A111"")),"""")"),"")</f>
        <v/>
      </c>
      <c r="N61" s="14" t="str">
        <f>IFERROR(__xludf.DUMMYFUNCTION("IFNA(FILTER(IMPORTRANGE(""https://docs.google.com/spreadsheets/d/1kGrh75X1cNR1D7_FcY9zMnHP8iPO4M5RCRjy6nZY0TY/edit#gid=1248694442"",""Table 4: 2nd-line HC or more!C5:C85""), $A61=IMPORTRANGE(""https://docs.google.com/spreadsheets/d/1kGrh75X1cNR1D7_FcY9zMn"&amp;"HP8iPO4M5RCRjy6nZY0TY/edit#gid=1248694442"",""Table 4: 2nd-line HC or more!A5:A85"")),"""")"),"")</f>
        <v/>
      </c>
      <c r="O61" s="14" t="str">
        <f>IFERROR(__xludf.DUMMYFUNCTION("IFNA(FILTER(IMPORTRANGE(""https://docs.google.com/spreadsheets/d/1kGrh75X1cNR1D7_FcY9zMnHP8iPO4M5RCRjy6nZY0TY/edit#gid=1248694442"",""Table 4: 2nd-line HC or more!D5:D85""), $A61=IMPORTRANGE(""https://docs.google.com/spreadsheets/d/1kGrh75X1cNR1D7_FcY9zMn"&amp;"HP8iPO4M5RCRjy6nZY0TY/edit#gid=1248694442"",""Table 4: 2nd-line HC or more!A5:A85"")),"""")"),"")</f>
        <v/>
      </c>
      <c r="P61" s="14" t="str">
        <f>IFERROR(__xludf.DUMMYFUNCTION("IFNA(FILTER(IMPORTRANGE(""https://docs.google.com/spreadsheets/d/1kGrh75X1cNR1D7_FcY9zMnHP8iPO4M5RCRjy6nZY0TY/edit#gid=1248694442"",""Table 4: 2nd-line HC or more!E5:E85""), $A61=IMPORTRANGE(""https://docs.google.com/spreadsheets/d/1kGrh75X1cNR1D7_FcY9zMn"&amp;"HP8iPO4M5RCRjy6nZY0TY/edit#gid=1248694442"",""Table 4: 2nd-line HC or more!A5:A85"")),"""")"),"")</f>
        <v/>
      </c>
      <c r="Q61" s="14" t="str">
        <f>IFERROR(__xludf.DUMMYFUNCTION("IFNA(FILTER(IMPORTRANGE(""https://docs.google.com/spreadsheets/d/1kGrh75X1cNR1D7_FcY9zMnHP8iPO4M5RCRjy6nZY0TY/edit#gid=1248694442"",""Table 4: 2nd-line HC or more!F5:F85""), $A61=IMPORTRANGE(""https://docs.google.com/spreadsheets/d/1kGrh75X1cNR1D7_FcY9zMn"&amp;"HP8iPO4M5RCRjy6nZY0TY/edit#gid=1248694442"",""Table 4: 2nd-line HC or more!A5:A85"")),"""")"),"")</f>
        <v/>
      </c>
      <c r="R61" s="14" t="str">
        <f>IFERROR(__xludf.DUMMYFUNCTION("IFNA(FILTER(IMPORTRANGE(""https://docs.google.com/spreadsheets/d/1kGrh75X1cNR1D7_FcY9zMnHP8iPO4M5RCRjy6nZY0TY/edit#gid=1248694442"",""Table 4: 2nd-line HC or more!G5:G85""), $A61=IMPORTRANGE(""https://docs.google.com/spreadsheets/d/1kGrh75X1cNR1D7_FcY9zMn"&amp;"HP8iPO4M5RCRjy6nZY0TY/edit#gid=1248694442"",""Table 4: 2nd-line HC or more!A5:A85"")),"""")"),"")</f>
        <v/>
      </c>
      <c r="S61" s="14" t="str">
        <f>IFERROR(__xludf.DUMMYFUNCTION("IFNA(FILTER(IMPORTRANGE(""https://docs.google.com/spreadsheets/d/1kGrh75X1cNR1D7_FcY9zMnHP8iPO4M5RCRjy6nZY0TY/edit#gid=1248694442"",""Table 4: 2nd-line HC or more!H5:H85""), $A61=IMPORTRANGE(""https://docs.google.com/spreadsheets/d/1kGrh75X1cNR1D7_FcY9zMn"&amp;"HP8iPO4M5RCRjy6nZY0TY/edit#gid=1248694442"",""Table 4: 2nd-line HC or more!A5:A85"")),"""")"),"")</f>
        <v/>
      </c>
      <c r="T61" s="14" t="str">
        <f>IFERROR(__xludf.DUMMYFUNCTION("IFNA(FILTER(IMPORTRANGE(""https://docs.google.com/spreadsheets/d/1kGrh75X1cNR1D7_FcY9zMnHP8iPO4M5RCRjy6nZY0TY/edit#gid=1248694442"",""Table 3: 1st-line HC!F5:F111""), $A61=IMPORTRANGE(""https://docs.google.com/spreadsheets/d/1kGrh75X1cNR1D7_FcY9zMnHP8iPO4"&amp;"M5RCRjy6nZY0TY/edit#gid=1248694442"",""Table 3: 1st-line HC!A5:A111"")),"""")"),"")</f>
        <v/>
      </c>
      <c r="U61" s="14" t="str">
        <f>IFERROR(__xludf.DUMMYFUNCTION("IFNA(FILTER(IMPORTRANGE(""https://docs.google.com/spreadsheets/d/1kGrh75X1cNR1D7_FcY9zMnHP8iPO4M5RCRjy6nZY0TY/edit#gid=1248694442"",""Table 3: 1st-line HC!G5:G111""), $A61=IMPORTRANGE(""https://docs.google.com/spreadsheets/d/1kGrh75X1cNR1D7_FcY9zMnHP8iPO4"&amp;"M5RCRjy6nZY0TY/edit#gid=1248694442"",""Table 3: 1st-line HC!A5:A111"")),"""")"),"")</f>
        <v/>
      </c>
      <c r="V61" s="14" t="str">
        <f>IFERROR(__xludf.DUMMYFUNCTION("IFNA(FILTER(IMPORTRANGE(""https://docs.google.com/spreadsheets/d/1kGrh75X1cNR1D7_FcY9zMnHP8iPO4M5RCRjy6nZY0TY/edit#gid=1248694442"",""Table 3: 1st-line HC!H5:H111""), $A61=IMPORTRANGE(""https://docs.google.com/spreadsheets/d/1kGrh75X1cNR1D7_FcY9zMnHP8iPO4"&amp;"M5RCRjy6nZY0TY/edit#gid=1248694442"",""Table 3: 1st-line HC!A5:A111"")),"""")"),"")</f>
        <v/>
      </c>
      <c r="W61" s="14" t="str">
        <f>IFERROR(__xludf.DUMMYFUNCTION("IFNA(FILTER(IMPORTRANGE(""https://docs.google.com/spreadsheets/d/1kGrh75X1cNR1D7_FcY9zMnHP8iPO4M5RCRjy6nZY0TY/edit#gid=1248694442"",""Table 3: 1st-line HC!I5:I111""), $A61=IMPORTRANGE(""https://docs.google.com/spreadsheets/d/1kGrh75X1cNR1D7_FcY9zMnHP8iPO4"&amp;"M5RCRjy6nZY0TY/edit#gid=1248694442"",""Table 3: 1st-line HC!A5:A111"")),"""")"),"")</f>
        <v/>
      </c>
    </row>
    <row r="62">
      <c r="A62" s="4" t="str">
        <f>IFERROR(__xludf.DUMMYFUNCTION("""COMPUTED_VALUE"""),"ID 130")</f>
        <v>ID 130</v>
      </c>
      <c r="B62" s="14" t="str">
        <f>IFERROR(__xludf.DUMMYFUNCTION("IFNA(FILTER(IMPORTRANGE(""https://docs.google.com/spreadsheets/d/1kGrh75X1cNR1D7_FcY9zMnHP8iPO4M5RCRjy6nZY0TY/edit#gid=1248694442"",""Table 3: 1st-line HC!AZ5:AZ111""), $A62=IMPORTRANGE(""https://docs.google.com/spreadsheets/d/1kGrh75X1cNR1D7_FcY9zMnHP8iP"&amp;"O4M5RCRjy6nZY0TY/edit#gid=1248694442"",""Table 3: 1st-line HC!A5:A111"")),"""")"),"")</f>
        <v/>
      </c>
      <c r="C62" s="14" t="str">
        <f>IFERROR(__xludf.DUMMYFUNCTION("IFNA(FILTER(IMPORTRANGE(""https://docs.google.com/spreadsheets/d/1kGrh75X1cNR1D7_FcY9zMnHP8iPO4M5RCRjy6nZY0TY/edit#gid=1248694442"",""Table 3: 1st-line HC!BA5:BA111""), $A62=IMPORTRANGE(""https://docs.google.com/spreadsheets/d/1kGrh75X1cNR1D7_FcY9zMnHP8iP"&amp;"O4M5RCRjy6nZY0TY/edit#gid=1248694442"",""Table 3: 1st-line HC!A5:A111"")),"""")"),"")</f>
        <v/>
      </c>
      <c r="D62" s="14" t="str">
        <f>IFERROR(__xludf.DUMMYFUNCTION("IFNA(FILTER(IMPORTRANGE(""https://docs.google.com/spreadsheets/d/1kGrh75X1cNR1D7_FcY9zMnHP8iPO4M5RCRjy6nZY0TY/edit#gid=1248694442"",""Table 3: 1st-line HC!BB5:BB111""), $A62=IMPORTRANGE(""https://docs.google.com/spreadsheets/d/1kGrh75X1cNR1D7_FcY9zMnHP8iP"&amp;"O4M5RCRjy6nZY0TY/edit#gid=1248694442"",""Table 3: 1st-line HC!A5:A111"")),"""")"),"")</f>
        <v/>
      </c>
      <c r="E62" s="19" t="str">
        <f>IFERROR(__xludf.DUMMYFUNCTION("IFNA(FILTER(IMPORTRANGE(""https://docs.google.com/spreadsheets/d/1kGrh75X1cNR1D7_FcY9zMnHP8iPO4M5RCRjy6nZY0TY/edit#gid=1248694442"",""Table 3: 1st-line HC!BC5:BC111""), $A62=IMPORTRANGE(""https://docs.google.com/spreadsheets/d/1kGrh75X1cNR1D7_FcY9zMnHP8iP"&amp;"O4M5RCRjy6nZY0TY/edit#gid=1248694442"",""Table 3: 1st-line HC!A5:A111"")),"""")"),"")</f>
        <v/>
      </c>
      <c r="F62" s="14" t="str">
        <f>IFERROR(__xludf.DUMMYFUNCTION("IFNA(FILTER(IMPORTRANGE(""https://docs.google.com/spreadsheets/d/1kGrh75X1cNR1D7_FcY9zMnHP8iPO4M5RCRjy6nZY0TY/edit#gid=1248694442"",""Table 3: 1st-line HC!Y5:Y111""), $A62=IMPORTRANGE(""https://docs.google.com/spreadsheets/d/1kGrh75X1cNR1D7_FcY9zMnHP8iPO4"&amp;"M5RCRjy6nZY0TY/edit#gid=1248694442"",""Table 3: 1st-line HC!A5:A111"")),"""")"),"")</f>
        <v/>
      </c>
      <c r="G62" s="14" t="str">
        <f>IFERROR(__xludf.DUMMYFUNCTION("IFNA(FILTER(IMPORTRANGE(""https://docs.google.com/spreadsheets/d/1kGrh75X1cNR1D7_FcY9zMnHP8iPO4M5RCRjy6nZY0TY/edit#gid=1248694442"",""Table 3: 1st-line HC!Z5:Z111""), $A62=IMPORTRANGE(""https://docs.google.com/spreadsheets/d/1kGrh75X1cNR1D7_FcY9zMnHP8iPO4"&amp;"M5RCRjy6nZY0TY/edit#gid=1248694442"",""Table 3: 1st-line HC!A5:A111"")),"""")"),"")</f>
        <v/>
      </c>
      <c r="H62" s="14" t="str">
        <f>IFERROR(__xludf.DUMMYFUNCTION("IFNA(FILTER(IMPORTRANGE(""https://docs.google.com/spreadsheets/d/1kGrh75X1cNR1D7_FcY9zMnHP8iPO4M5RCRjy6nZY0TY/edit#gid=1248694442"",""Table 3: 1st-line HC!AA5:AA111""), $A62=IMPORTRANGE(""https://docs.google.com/spreadsheets/d/1kGrh75X1cNR1D7_FcY9zMnHP8iP"&amp;"O4M5RCRjy6nZY0TY/edit#gid=1248694442"",""Table 3: 1st-line HC!A5:A111"")),"""")"),"")</f>
        <v/>
      </c>
      <c r="I62" s="14" t="str">
        <f>IFERROR(__xludf.DUMMYFUNCTION("IFNA(FILTER(IMPORTRANGE(""https://docs.google.com/spreadsheets/d/1kGrh75X1cNR1D7_FcY9zMnHP8iPO4M5RCRjy6nZY0TY/edit#gid=1248694442"",""Table 3: 1st-line HC!AB5:AB111""), $A62=IMPORTRANGE(""https://docs.google.com/spreadsheets/d/1kGrh75X1cNR1D7_FcY9zMnHP8iP"&amp;"O4M5RCRjy6nZY0TY/edit#gid=1248694442"",""Table 3: 1st-line HC!A5:A111"")),"""")"),"")</f>
        <v/>
      </c>
      <c r="J62" s="14" t="str">
        <f>IFERROR(__xludf.DUMMYFUNCTION("IFNA(FILTER(IMPORTRANGE(""https://docs.google.com/spreadsheets/d/1kGrh75X1cNR1D7_FcY9zMnHP8iPO4M5RCRjy6nZY0TY/edit#gid=1248694442"",""Table 3: 1st-line HC!AC5:AC111""), $A62=IMPORTRANGE(""https://docs.google.com/spreadsheets/d/1kGrh75X1cNR1D7_FcY9zMnHP8iP"&amp;"O4M5RCRjy6nZY0TY/edit#gid=1248694442"",""Table 3: 1st-line HC!A5:A111"")),"""")"),"")</f>
        <v/>
      </c>
      <c r="K62" s="20" t="str">
        <f>IFERROR(__xludf.DUMMYFUNCTION("IFNA(FILTER(IMPORTRANGE(""https://docs.google.com/spreadsheets/d/1kGrh75X1cNR1D7_FcY9zMnHP8iPO4M5RCRjy6nZY0TY/edit#gid=1248694442"",""Table 3: 1st-line HC!AD5:AD111""), $A62=IMPORTRANGE(""https://docs.google.com/spreadsheets/d/1kGrh75X1cNR1D7_FcY9zMnHP8iP"&amp;"O4M5RCRjy6nZY0TY/edit#gid=1248694442"",""Table 3: 1st-line HC!A5:A111"")),"""")"),"")</f>
        <v/>
      </c>
      <c r="L62" s="14" t="str">
        <f>IFERROR(__xludf.DUMMYFUNCTION("IFNA(FILTER(IMPORTRANGE(""https://docs.google.com/spreadsheets/d/1kGrh75X1cNR1D7_FcY9zMnHP8iPO4M5RCRjy6nZY0TY/edit#gid=1248694442"",""Table 3: 1st-line HC!W5:W111""), $A62=IMPORTRANGE(""https://docs.google.com/spreadsheets/d/1kGrh75X1cNR1D7_FcY9zMnHP8iPO4"&amp;"M5RCRjy6nZY0TY/edit#gid=1248694442"",""Table 3: 1st-line HC!A5:A111"")),"""")"),"")</f>
        <v/>
      </c>
      <c r="M62" s="14" t="str">
        <f>IFERROR(__xludf.DUMMYFUNCTION("IFNA(FILTER(IMPORTRANGE(""https://docs.google.com/spreadsheets/d/1kGrh75X1cNR1D7_FcY9zMnHP8iPO4M5RCRjy6nZY0TY/edit#gid=1248694442"",""Table 3: 1st-line HC!X5:X111""), $A62=IMPORTRANGE(""https://docs.google.com/spreadsheets/d/1kGrh75X1cNR1D7_FcY9zMnHP8iPO4"&amp;"M5RCRjy6nZY0TY/edit#gid=1248694442"",""Table 3: 1st-line HC!A5:A111"")),"""")"),"")</f>
        <v/>
      </c>
      <c r="N62" s="14" t="str">
        <f>IFERROR(__xludf.DUMMYFUNCTION("IFNA(FILTER(IMPORTRANGE(""https://docs.google.com/spreadsheets/d/1kGrh75X1cNR1D7_FcY9zMnHP8iPO4M5RCRjy6nZY0TY/edit#gid=1248694442"",""Table 4: 2nd-line HC or more!C5:C85""), $A62=IMPORTRANGE(""https://docs.google.com/spreadsheets/d/1kGrh75X1cNR1D7_FcY9zMn"&amp;"HP8iPO4M5RCRjy6nZY0TY/edit#gid=1248694442"",""Table 4: 2nd-line HC or more!A5:A85"")),"""")"),"")</f>
        <v/>
      </c>
      <c r="O62" s="14" t="str">
        <f>IFERROR(__xludf.DUMMYFUNCTION("IFNA(FILTER(IMPORTRANGE(""https://docs.google.com/spreadsheets/d/1kGrh75X1cNR1D7_FcY9zMnHP8iPO4M5RCRjy6nZY0TY/edit#gid=1248694442"",""Table 4: 2nd-line HC or more!D5:D85""), $A62=IMPORTRANGE(""https://docs.google.com/spreadsheets/d/1kGrh75X1cNR1D7_FcY9zMn"&amp;"HP8iPO4M5RCRjy6nZY0TY/edit#gid=1248694442"",""Table 4: 2nd-line HC or more!A5:A85"")),"""")"),"")</f>
        <v/>
      </c>
      <c r="P62" s="14" t="str">
        <f>IFERROR(__xludf.DUMMYFUNCTION("IFNA(FILTER(IMPORTRANGE(""https://docs.google.com/spreadsheets/d/1kGrh75X1cNR1D7_FcY9zMnHP8iPO4M5RCRjy6nZY0TY/edit#gid=1248694442"",""Table 4: 2nd-line HC or more!E5:E85""), $A62=IMPORTRANGE(""https://docs.google.com/spreadsheets/d/1kGrh75X1cNR1D7_FcY9zMn"&amp;"HP8iPO4M5RCRjy6nZY0TY/edit#gid=1248694442"",""Table 4: 2nd-line HC or more!A5:A85"")),"""")"),"")</f>
        <v/>
      </c>
      <c r="Q62" s="14" t="str">
        <f>IFERROR(__xludf.DUMMYFUNCTION("IFNA(FILTER(IMPORTRANGE(""https://docs.google.com/spreadsheets/d/1kGrh75X1cNR1D7_FcY9zMnHP8iPO4M5RCRjy6nZY0TY/edit#gid=1248694442"",""Table 4: 2nd-line HC or more!F5:F85""), $A62=IMPORTRANGE(""https://docs.google.com/spreadsheets/d/1kGrh75X1cNR1D7_FcY9zMn"&amp;"HP8iPO4M5RCRjy6nZY0TY/edit#gid=1248694442"",""Table 4: 2nd-line HC or more!A5:A85"")),"""")"),"")</f>
        <v/>
      </c>
      <c r="R62" s="14" t="str">
        <f>IFERROR(__xludf.DUMMYFUNCTION("IFNA(FILTER(IMPORTRANGE(""https://docs.google.com/spreadsheets/d/1kGrh75X1cNR1D7_FcY9zMnHP8iPO4M5RCRjy6nZY0TY/edit#gid=1248694442"",""Table 4: 2nd-line HC or more!G5:G85""), $A62=IMPORTRANGE(""https://docs.google.com/spreadsheets/d/1kGrh75X1cNR1D7_FcY9zMn"&amp;"HP8iPO4M5RCRjy6nZY0TY/edit#gid=1248694442"",""Table 4: 2nd-line HC or more!A5:A85"")),"""")"),"")</f>
        <v/>
      </c>
      <c r="S62" s="14" t="str">
        <f>IFERROR(__xludf.DUMMYFUNCTION("IFNA(FILTER(IMPORTRANGE(""https://docs.google.com/spreadsheets/d/1kGrh75X1cNR1D7_FcY9zMnHP8iPO4M5RCRjy6nZY0TY/edit#gid=1248694442"",""Table 4: 2nd-line HC or more!H5:H85""), $A62=IMPORTRANGE(""https://docs.google.com/spreadsheets/d/1kGrh75X1cNR1D7_FcY9zMn"&amp;"HP8iPO4M5RCRjy6nZY0TY/edit#gid=1248694442"",""Table 4: 2nd-line HC or more!A5:A85"")),"""")"),"")</f>
        <v/>
      </c>
      <c r="T62" s="14" t="str">
        <f>IFERROR(__xludf.DUMMYFUNCTION("IFNA(FILTER(IMPORTRANGE(""https://docs.google.com/spreadsheets/d/1kGrh75X1cNR1D7_FcY9zMnHP8iPO4M5RCRjy6nZY0TY/edit#gid=1248694442"",""Table 3: 1st-line HC!F5:F111""), $A62=IMPORTRANGE(""https://docs.google.com/spreadsheets/d/1kGrh75X1cNR1D7_FcY9zMnHP8iPO4"&amp;"M5RCRjy6nZY0TY/edit#gid=1248694442"",""Table 3: 1st-line HC!A5:A111"")),"""")"),"")</f>
        <v/>
      </c>
      <c r="U62" s="14" t="str">
        <f>IFERROR(__xludf.DUMMYFUNCTION("IFNA(FILTER(IMPORTRANGE(""https://docs.google.com/spreadsheets/d/1kGrh75X1cNR1D7_FcY9zMnHP8iPO4M5RCRjy6nZY0TY/edit#gid=1248694442"",""Table 3: 1st-line HC!G5:G111""), $A62=IMPORTRANGE(""https://docs.google.com/spreadsheets/d/1kGrh75X1cNR1D7_FcY9zMnHP8iPO4"&amp;"M5RCRjy6nZY0TY/edit#gid=1248694442"",""Table 3: 1st-line HC!A5:A111"")),"""")"),"")</f>
        <v/>
      </c>
      <c r="V62" s="14" t="str">
        <f>IFERROR(__xludf.DUMMYFUNCTION("IFNA(FILTER(IMPORTRANGE(""https://docs.google.com/spreadsheets/d/1kGrh75X1cNR1D7_FcY9zMnHP8iPO4M5RCRjy6nZY0TY/edit#gid=1248694442"",""Table 3: 1st-line HC!H5:H111""), $A62=IMPORTRANGE(""https://docs.google.com/spreadsheets/d/1kGrh75X1cNR1D7_FcY9zMnHP8iPO4"&amp;"M5RCRjy6nZY0TY/edit#gid=1248694442"",""Table 3: 1st-line HC!A5:A111"")),"""")"),"")</f>
        <v/>
      </c>
      <c r="W62" s="14" t="str">
        <f>IFERROR(__xludf.DUMMYFUNCTION("IFNA(FILTER(IMPORTRANGE(""https://docs.google.com/spreadsheets/d/1kGrh75X1cNR1D7_FcY9zMnHP8iPO4M5RCRjy6nZY0TY/edit#gid=1248694442"",""Table 3: 1st-line HC!I5:I111""), $A62=IMPORTRANGE(""https://docs.google.com/spreadsheets/d/1kGrh75X1cNR1D7_FcY9zMnHP8iPO4"&amp;"M5RCRjy6nZY0TY/edit#gid=1248694442"",""Table 3: 1st-line HC!A5:A111"")),"""")"),"")</f>
        <v/>
      </c>
    </row>
    <row r="63">
      <c r="A63" s="4" t="str">
        <f>IFERROR(__xludf.DUMMYFUNCTION("""COMPUTED_VALUE"""),"ID 131")</f>
        <v>ID 131</v>
      </c>
      <c r="B63" s="14" t="str">
        <f>IFERROR(__xludf.DUMMYFUNCTION("IFNA(FILTER(IMPORTRANGE(""https://docs.google.com/spreadsheets/d/1kGrh75X1cNR1D7_FcY9zMnHP8iPO4M5RCRjy6nZY0TY/edit#gid=1248694442"",""Table 3: 1st-line HC!AZ5:AZ111""), $A63=IMPORTRANGE(""https://docs.google.com/spreadsheets/d/1kGrh75X1cNR1D7_FcY9zMnHP8iP"&amp;"O4M5RCRjy6nZY0TY/edit#gid=1248694442"",""Table 3: 1st-line HC!A5:A111"")),"""")"),"")</f>
        <v/>
      </c>
      <c r="C63" s="14" t="str">
        <f>IFERROR(__xludf.DUMMYFUNCTION("IFNA(FILTER(IMPORTRANGE(""https://docs.google.com/spreadsheets/d/1kGrh75X1cNR1D7_FcY9zMnHP8iPO4M5RCRjy6nZY0TY/edit#gid=1248694442"",""Table 3: 1st-line HC!BA5:BA111""), $A63=IMPORTRANGE(""https://docs.google.com/spreadsheets/d/1kGrh75X1cNR1D7_FcY9zMnHP8iP"&amp;"O4M5RCRjy6nZY0TY/edit#gid=1248694442"",""Table 3: 1st-line HC!A5:A111"")),"""")"),"")</f>
        <v/>
      </c>
      <c r="D63" s="14" t="str">
        <f>IFERROR(__xludf.DUMMYFUNCTION("IFNA(FILTER(IMPORTRANGE(""https://docs.google.com/spreadsheets/d/1kGrh75X1cNR1D7_FcY9zMnHP8iPO4M5RCRjy6nZY0TY/edit#gid=1248694442"",""Table 3: 1st-line HC!BB5:BB111""), $A63=IMPORTRANGE(""https://docs.google.com/spreadsheets/d/1kGrh75X1cNR1D7_FcY9zMnHP8iP"&amp;"O4M5RCRjy6nZY0TY/edit#gid=1248694442"",""Table 3: 1st-line HC!A5:A111"")),"""")"),"")</f>
        <v/>
      </c>
      <c r="E63" s="19" t="str">
        <f>IFERROR(__xludf.DUMMYFUNCTION("IFNA(FILTER(IMPORTRANGE(""https://docs.google.com/spreadsheets/d/1kGrh75X1cNR1D7_FcY9zMnHP8iPO4M5RCRjy6nZY0TY/edit#gid=1248694442"",""Table 3: 1st-line HC!BC5:BC111""), $A63=IMPORTRANGE(""https://docs.google.com/spreadsheets/d/1kGrh75X1cNR1D7_FcY9zMnHP8iP"&amp;"O4M5RCRjy6nZY0TY/edit#gid=1248694442"",""Table 3: 1st-line HC!A5:A111"")),"""")"),"")</f>
        <v/>
      </c>
      <c r="F63" s="14" t="str">
        <f>IFERROR(__xludf.DUMMYFUNCTION("IFNA(FILTER(IMPORTRANGE(""https://docs.google.com/spreadsheets/d/1kGrh75X1cNR1D7_FcY9zMnHP8iPO4M5RCRjy6nZY0TY/edit#gid=1248694442"",""Table 3: 1st-line HC!Y5:Y111""), $A63=IMPORTRANGE(""https://docs.google.com/spreadsheets/d/1kGrh75X1cNR1D7_FcY9zMnHP8iPO4"&amp;"M5RCRjy6nZY0TY/edit#gid=1248694442"",""Table 3: 1st-line HC!A5:A111"")),"""")"),"")</f>
        <v/>
      </c>
      <c r="G63" s="14" t="str">
        <f>IFERROR(__xludf.DUMMYFUNCTION("IFNA(FILTER(IMPORTRANGE(""https://docs.google.com/spreadsheets/d/1kGrh75X1cNR1D7_FcY9zMnHP8iPO4M5RCRjy6nZY0TY/edit#gid=1248694442"",""Table 3: 1st-line HC!Z5:Z111""), $A63=IMPORTRANGE(""https://docs.google.com/spreadsheets/d/1kGrh75X1cNR1D7_FcY9zMnHP8iPO4"&amp;"M5RCRjy6nZY0TY/edit#gid=1248694442"",""Table 3: 1st-line HC!A5:A111"")),"""")"),"")</f>
        <v/>
      </c>
      <c r="H63" s="14" t="str">
        <f>IFERROR(__xludf.DUMMYFUNCTION("IFNA(FILTER(IMPORTRANGE(""https://docs.google.com/spreadsheets/d/1kGrh75X1cNR1D7_FcY9zMnHP8iPO4M5RCRjy6nZY0TY/edit#gid=1248694442"",""Table 3: 1st-line HC!AA5:AA111""), $A63=IMPORTRANGE(""https://docs.google.com/spreadsheets/d/1kGrh75X1cNR1D7_FcY9zMnHP8iP"&amp;"O4M5RCRjy6nZY0TY/edit#gid=1248694442"",""Table 3: 1st-line HC!A5:A111"")),"""")"),"")</f>
        <v/>
      </c>
      <c r="I63" s="14" t="str">
        <f>IFERROR(__xludf.DUMMYFUNCTION("IFNA(FILTER(IMPORTRANGE(""https://docs.google.com/spreadsheets/d/1kGrh75X1cNR1D7_FcY9zMnHP8iPO4M5RCRjy6nZY0TY/edit#gid=1248694442"",""Table 3: 1st-line HC!AB5:AB111""), $A63=IMPORTRANGE(""https://docs.google.com/spreadsheets/d/1kGrh75X1cNR1D7_FcY9zMnHP8iP"&amp;"O4M5RCRjy6nZY0TY/edit#gid=1248694442"",""Table 3: 1st-line HC!A5:A111"")),"""")"),"")</f>
        <v/>
      </c>
      <c r="J63" s="14" t="str">
        <f>IFERROR(__xludf.DUMMYFUNCTION("IFNA(FILTER(IMPORTRANGE(""https://docs.google.com/spreadsheets/d/1kGrh75X1cNR1D7_FcY9zMnHP8iPO4M5RCRjy6nZY0TY/edit#gid=1248694442"",""Table 3: 1st-line HC!AC5:AC111""), $A63=IMPORTRANGE(""https://docs.google.com/spreadsheets/d/1kGrh75X1cNR1D7_FcY9zMnHP8iP"&amp;"O4M5RCRjy6nZY0TY/edit#gid=1248694442"",""Table 3: 1st-line HC!A5:A111"")),"""")"),"")</f>
        <v/>
      </c>
      <c r="K63" s="20" t="str">
        <f>IFERROR(__xludf.DUMMYFUNCTION("IFNA(FILTER(IMPORTRANGE(""https://docs.google.com/spreadsheets/d/1kGrh75X1cNR1D7_FcY9zMnHP8iPO4M5RCRjy6nZY0TY/edit#gid=1248694442"",""Table 3: 1st-line HC!AD5:AD111""), $A63=IMPORTRANGE(""https://docs.google.com/spreadsheets/d/1kGrh75X1cNR1D7_FcY9zMnHP8iP"&amp;"O4M5RCRjy6nZY0TY/edit#gid=1248694442"",""Table 3: 1st-line HC!A5:A111"")),"""")"),"")</f>
        <v/>
      </c>
      <c r="L63" s="14" t="str">
        <f>IFERROR(__xludf.DUMMYFUNCTION("IFNA(FILTER(IMPORTRANGE(""https://docs.google.com/spreadsheets/d/1kGrh75X1cNR1D7_FcY9zMnHP8iPO4M5RCRjy6nZY0TY/edit#gid=1248694442"",""Table 3: 1st-line HC!W5:W111""), $A63=IMPORTRANGE(""https://docs.google.com/spreadsheets/d/1kGrh75X1cNR1D7_FcY9zMnHP8iPO4"&amp;"M5RCRjy6nZY0TY/edit#gid=1248694442"",""Table 3: 1st-line HC!A5:A111"")),"""")"),"")</f>
        <v/>
      </c>
      <c r="M63" s="14" t="str">
        <f>IFERROR(__xludf.DUMMYFUNCTION("IFNA(FILTER(IMPORTRANGE(""https://docs.google.com/spreadsheets/d/1kGrh75X1cNR1D7_FcY9zMnHP8iPO4M5RCRjy6nZY0TY/edit#gid=1248694442"",""Table 3: 1st-line HC!X5:X111""), $A63=IMPORTRANGE(""https://docs.google.com/spreadsheets/d/1kGrh75X1cNR1D7_FcY9zMnHP8iPO4"&amp;"M5RCRjy6nZY0TY/edit#gid=1248694442"",""Table 3: 1st-line HC!A5:A111"")),"""")"),"")</f>
        <v/>
      </c>
      <c r="N63" s="14" t="str">
        <f>IFERROR(__xludf.DUMMYFUNCTION("IFNA(FILTER(IMPORTRANGE(""https://docs.google.com/spreadsheets/d/1kGrh75X1cNR1D7_FcY9zMnHP8iPO4M5RCRjy6nZY0TY/edit#gid=1248694442"",""Table 4: 2nd-line HC or more!C5:C85""), $A63=IMPORTRANGE(""https://docs.google.com/spreadsheets/d/1kGrh75X1cNR1D7_FcY9zMn"&amp;"HP8iPO4M5RCRjy6nZY0TY/edit#gid=1248694442"",""Table 4: 2nd-line HC or more!A5:A85"")),"""")"),"")</f>
        <v/>
      </c>
      <c r="O63" s="14" t="str">
        <f>IFERROR(__xludf.DUMMYFUNCTION("IFNA(FILTER(IMPORTRANGE(""https://docs.google.com/spreadsheets/d/1kGrh75X1cNR1D7_FcY9zMnHP8iPO4M5RCRjy6nZY0TY/edit#gid=1248694442"",""Table 4: 2nd-line HC or more!D5:D85""), $A63=IMPORTRANGE(""https://docs.google.com/spreadsheets/d/1kGrh75X1cNR1D7_FcY9zMn"&amp;"HP8iPO4M5RCRjy6nZY0TY/edit#gid=1248694442"",""Table 4: 2nd-line HC or more!A5:A85"")),"""")"),"")</f>
        <v/>
      </c>
      <c r="P63" s="14" t="str">
        <f>IFERROR(__xludf.DUMMYFUNCTION("IFNA(FILTER(IMPORTRANGE(""https://docs.google.com/spreadsheets/d/1kGrh75X1cNR1D7_FcY9zMnHP8iPO4M5RCRjy6nZY0TY/edit#gid=1248694442"",""Table 4: 2nd-line HC or more!E5:E85""), $A63=IMPORTRANGE(""https://docs.google.com/spreadsheets/d/1kGrh75X1cNR1D7_FcY9zMn"&amp;"HP8iPO4M5RCRjy6nZY0TY/edit#gid=1248694442"",""Table 4: 2nd-line HC or more!A5:A85"")),"""")"),"")</f>
        <v/>
      </c>
      <c r="Q63" s="14" t="str">
        <f>IFERROR(__xludf.DUMMYFUNCTION("IFNA(FILTER(IMPORTRANGE(""https://docs.google.com/spreadsheets/d/1kGrh75X1cNR1D7_FcY9zMnHP8iPO4M5RCRjy6nZY0TY/edit#gid=1248694442"",""Table 4: 2nd-line HC or more!F5:F85""), $A63=IMPORTRANGE(""https://docs.google.com/spreadsheets/d/1kGrh75X1cNR1D7_FcY9zMn"&amp;"HP8iPO4M5RCRjy6nZY0TY/edit#gid=1248694442"",""Table 4: 2nd-line HC or more!A5:A85"")),"""")"),"")</f>
        <v/>
      </c>
      <c r="R63" s="14" t="str">
        <f>IFERROR(__xludf.DUMMYFUNCTION("IFNA(FILTER(IMPORTRANGE(""https://docs.google.com/spreadsheets/d/1kGrh75X1cNR1D7_FcY9zMnHP8iPO4M5RCRjy6nZY0TY/edit#gid=1248694442"",""Table 4: 2nd-line HC or more!G5:G85""), $A63=IMPORTRANGE(""https://docs.google.com/spreadsheets/d/1kGrh75X1cNR1D7_FcY9zMn"&amp;"HP8iPO4M5RCRjy6nZY0TY/edit#gid=1248694442"",""Table 4: 2nd-line HC or more!A5:A85"")),"""")"),"")</f>
        <v/>
      </c>
      <c r="S63" s="14" t="str">
        <f>IFERROR(__xludf.DUMMYFUNCTION("IFNA(FILTER(IMPORTRANGE(""https://docs.google.com/spreadsheets/d/1kGrh75X1cNR1D7_FcY9zMnHP8iPO4M5RCRjy6nZY0TY/edit#gid=1248694442"",""Table 4: 2nd-line HC or more!H5:H85""), $A63=IMPORTRANGE(""https://docs.google.com/spreadsheets/d/1kGrh75X1cNR1D7_FcY9zMn"&amp;"HP8iPO4M5RCRjy6nZY0TY/edit#gid=1248694442"",""Table 4: 2nd-line HC or more!A5:A85"")),"""")"),"")</f>
        <v/>
      </c>
      <c r="T63" s="14" t="str">
        <f>IFERROR(__xludf.DUMMYFUNCTION("IFNA(FILTER(IMPORTRANGE(""https://docs.google.com/spreadsheets/d/1kGrh75X1cNR1D7_FcY9zMnHP8iPO4M5RCRjy6nZY0TY/edit#gid=1248694442"",""Table 3: 1st-line HC!F5:F111""), $A63=IMPORTRANGE(""https://docs.google.com/spreadsheets/d/1kGrh75X1cNR1D7_FcY9zMnHP8iPO4"&amp;"M5RCRjy6nZY0TY/edit#gid=1248694442"",""Table 3: 1st-line HC!A5:A111"")),"""")"),"")</f>
        <v/>
      </c>
      <c r="U63" s="14" t="str">
        <f>IFERROR(__xludf.DUMMYFUNCTION("IFNA(FILTER(IMPORTRANGE(""https://docs.google.com/spreadsheets/d/1kGrh75X1cNR1D7_FcY9zMnHP8iPO4M5RCRjy6nZY0TY/edit#gid=1248694442"",""Table 3: 1st-line HC!G5:G111""), $A63=IMPORTRANGE(""https://docs.google.com/spreadsheets/d/1kGrh75X1cNR1D7_FcY9zMnHP8iPO4"&amp;"M5RCRjy6nZY0TY/edit#gid=1248694442"",""Table 3: 1st-line HC!A5:A111"")),"""")"),"")</f>
        <v/>
      </c>
      <c r="V63" s="14" t="str">
        <f>IFERROR(__xludf.DUMMYFUNCTION("IFNA(FILTER(IMPORTRANGE(""https://docs.google.com/spreadsheets/d/1kGrh75X1cNR1D7_FcY9zMnHP8iPO4M5RCRjy6nZY0TY/edit#gid=1248694442"",""Table 3: 1st-line HC!H5:H111""), $A63=IMPORTRANGE(""https://docs.google.com/spreadsheets/d/1kGrh75X1cNR1D7_FcY9zMnHP8iPO4"&amp;"M5RCRjy6nZY0TY/edit#gid=1248694442"",""Table 3: 1st-line HC!A5:A111"")),"""")"),"")</f>
        <v/>
      </c>
      <c r="W63" s="14" t="str">
        <f>IFERROR(__xludf.DUMMYFUNCTION("IFNA(FILTER(IMPORTRANGE(""https://docs.google.com/spreadsheets/d/1kGrh75X1cNR1D7_FcY9zMnHP8iPO4M5RCRjy6nZY0TY/edit#gid=1248694442"",""Table 3: 1st-line HC!I5:I111""), $A63=IMPORTRANGE(""https://docs.google.com/spreadsheets/d/1kGrh75X1cNR1D7_FcY9zMnHP8iPO4"&amp;"M5RCRjy6nZY0TY/edit#gid=1248694442"",""Table 3: 1st-line HC!A5:A111"")),"""")"),"")</f>
        <v/>
      </c>
    </row>
    <row r="64">
      <c r="A64" s="4" t="str">
        <f>IFERROR(__xludf.DUMMYFUNCTION("""COMPUTED_VALUE"""),"ID 132")</f>
        <v>ID 132</v>
      </c>
      <c r="B64" s="14" t="str">
        <f>IFERROR(__xludf.DUMMYFUNCTION("IFNA(FILTER(IMPORTRANGE(""https://docs.google.com/spreadsheets/d/1kGrh75X1cNR1D7_FcY9zMnHP8iPO4M5RCRjy6nZY0TY/edit#gid=1248694442"",""Table 3: 1st-line HC!AZ5:AZ111""), $A64=IMPORTRANGE(""https://docs.google.com/spreadsheets/d/1kGrh75X1cNR1D7_FcY9zMnHP8iP"&amp;"O4M5RCRjy6nZY0TY/edit#gid=1248694442"",""Table 3: 1st-line HC!A5:A111"")),"""")"),"")</f>
        <v/>
      </c>
      <c r="C64" s="14" t="str">
        <f>IFERROR(__xludf.DUMMYFUNCTION("IFNA(FILTER(IMPORTRANGE(""https://docs.google.com/spreadsheets/d/1kGrh75X1cNR1D7_FcY9zMnHP8iPO4M5RCRjy6nZY0TY/edit#gid=1248694442"",""Table 3: 1st-line HC!BA5:BA111""), $A64=IMPORTRANGE(""https://docs.google.com/spreadsheets/d/1kGrh75X1cNR1D7_FcY9zMnHP8iP"&amp;"O4M5RCRjy6nZY0TY/edit#gid=1248694442"",""Table 3: 1st-line HC!A5:A111"")),"""")"),"")</f>
        <v/>
      </c>
      <c r="D64" s="14" t="str">
        <f>IFERROR(__xludf.DUMMYFUNCTION("IFNA(FILTER(IMPORTRANGE(""https://docs.google.com/spreadsheets/d/1kGrh75X1cNR1D7_FcY9zMnHP8iPO4M5RCRjy6nZY0TY/edit#gid=1248694442"",""Table 3: 1st-line HC!BB5:BB111""), $A64=IMPORTRANGE(""https://docs.google.com/spreadsheets/d/1kGrh75X1cNR1D7_FcY9zMnHP8iP"&amp;"O4M5RCRjy6nZY0TY/edit#gid=1248694442"",""Table 3: 1st-line HC!A5:A111"")),"""")"),"")</f>
        <v/>
      </c>
      <c r="E64" s="19" t="str">
        <f>IFERROR(__xludf.DUMMYFUNCTION("IFNA(FILTER(IMPORTRANGE(""https://docs.google.com/spreadsheets/d/1kGrh75X1cNR1D7_FcY9zMnHP8iPO4M5RCRjy6nZY0TY/edit#gid=1248694442"",""Table 3: 1st-line HC!BC5:BC111""), $A64=IMPORTRANGE(""https://docs.google.com/spreadsheets/d/1kGrh75X1cNR1D7_FcY9zMnHP8iP"&amp;"O4M5RCRjy6nZY0TY/edit#gid=1248694442"",""Table 3: 1st-line HC!A5:A111"")),"""")"),"")</f>
        <v/>
      </c>
      <c r="F64" s="14" t="str">
        <f>IFERROR(__xludf.DUMMYFUNCTION("IFNA(FILTER(IMPORTRANGE(""https://docs.google.com/spreadsheets/d/1kGrh75X1cNR1D7_FcY9zMnHP8iPO4M5RCRjy6nZY0TY/edit#gid=1248694442"",""Table 3: 1st-line HC!Y5:Y111""), $A64=IMPORTRANGE(""https://docs.google.com/spreadsheets/d/1kGrh75X1cNR1D7_FcY9zMnHP8iPO4"&amp;"M5RCRjy6nZY0TY/edit#gid=1248694442"",""Table 3: 1st-line HC!A5:A111"")),"""")"),"")</f>
        <v/>
      </c>
      <c r="G64" s="14">
        <f>IFERROR(__xludf.DUMMYFUNCTION("IFNA(FILTER(IMPORTRANGE(""https://docs.google.com/spreadsheets/d/1kGrh75X1cNR1D7_FcY9zMnHP8iPO4M5RCRjy6nZY0TY/edit#gid=1248694442"",""Table 3: 1st-line HC!Z5:Z111""), $A64=IMPORTRANGE(""https://docs.google.com/spreadsheets/d/1kGrh75X1cNR1D7_FcY9zMnHP8iPO4"&amp;"M5RCRjy6nZY0TY/edit#gid=1248694442"",""Table 3: 1st-line HC!A5:A111"")),"""")"),28.0)</f>
        <v>28</v>
      </c>
      <c r="H64" s="14" t="str">
        <f>IFERROR(__xludf.DUMMYFUNCTION("IFNA(FILTER(IMPORTRANGE(""https://docs.google.com/spreadsheets/d/1kGrh75X1cNR1D7_FcY9zMnHP8iPO4M5RCRjy6nZY0TY/edit#gid=1248694442"",""Table 3: 1st-line HC!AA5:AA111""), $A64=IMPORTRANGE(""https://docs.google.com/spreadsheets/d/1kGrh75X1cNR1D7_FcY9zMnHP8iP"&amp;"O4M5RCRjy6nZY0TY/edit#gid=1248694442"",""Table 3: 1st-line HC!A5:A111"")),"""")"),"")</f>
        <v/>
      </c>
      <c r="I64" s="14" t="str">
        <f>IFERROR(__xludf.DUMMYFUNCTION("IFNA(FILTER(IMPORTRANGE(""https://docs.google.com/spreadsheets/d/1kGrh75X1cNR1D7_FcY9zMnHP8iPO4M5RCRjy6nZY0TY/edit#gid=1248694442"",""Table 3: 1st-line HC!AB5:AB111""), $A64=IMPORTRANGE(""https://docs.google.com/spreadsheets/d/1kGrh75X1cNR1D7_FcY9zMnHP8iP"&amp;"O4M5RCRjy6nZY0TY/edit#gid=1248694442"",""Table 3: 1st-line HC!A5:A111"")),"""")"),"")</f>
        <v/>
      </c>
      <c r="J64" s="14" t="str">
        <f>IFERROR(__xludf.DUMMYFUNCTION("IFNA(FILTER(IMPORTRANGE(""https://docs.google.com/spreadsheets/d/1kGrh75X1cNR1D7_FcY9zMnHP8iPO4M5RCRjy6nZY0TY/edit#gid=1248694442"",""Table 3: 1st-line HC!AC5:AC111""), $A64=IMPORTRANGE(""https://docs.google.com/spreadsheets/d/1kGrh75X1cNR1D7_FcY9zMnHP8iP"&amp;"O4M5RCRjy6nZY0TY/edit#gid=1248694442"",""Table 3: 1st-line HC!A5:A111"")),"""")"),"")</f>
        <v/>
      </c>
      <c r="K64" s="20" t="str">
        <f>IFERROR(__xludf.DUMMYFUNCTION("IFNA(FILTER(IMPORTRANGE(""https://docs.google.com/spreadsheets/d/1kGrh75X1cNR1D7_FcY9zMnHP8iPO4M5RCRjy6nZY0TY/edit#gid=1248694442"",""Table 3: 1st-line HC!AD5:AD111""), $A64=IMPORTRANGE(""https://docs.google.com/spreadsheets/d/1kGrh75X1cNR1D7_FcY9zMnHP8iP"&amp;"O4M5RCRjy6nZY0TY/edit#gid=1248694442"",""Table 3: 1st-line HC!A5:A111"")),"""")"),"")</f>
        <v/>
      </c>
      <c r="L64" s="14" t="str">
        <f>IFERROR(__xludf.DUMMYFUNCTION("IFNA(FILTER(IMPORTRANGE(""https://docs.google.com/spreadsheets/d/1kGrh75X1cNR1D7_FcY9zMnHP8iPO4M5RCRjy6nZY0TY/edit#gid=1248694442"",""Table 3: 1st-line HC!W5:W111""), $A64=IMPORTRANGE(""https://docs.google.com/spreadsheets/d/1kGrh75X1cNR1D7_FcY9zMnHP8iPO4"&amp;"M5RCRjy6nZY0TY/edit#gid=1248694442"",""Table 3: 1st-line HC!A5:A111"")),"""")"),"")</f>
        <v/>
      </c>
      <c r="M64" s="14" t="str">
        <f>IFERROR(__xludf.DUMMYFUNCTION("IFNA(FILTER(IMPORTRANGE(""https://docs.google.com/spreadsheets/d/1kGrh75X1cNR1D7_FcY9zMnHP8iPO4M5RCRjy6nZY0TY/edit#gid=1248694442"",""Table 3: 1st-line HC!X5:X111""), $A64=IMPORTRANGE(""https://docs.google.com/spreadsheets/d/1kGrh75X1cNR1D7_FcY9zMnHP8iPO4"&amp;"M5RCRjy6nZY0TY/edit#gid=1248694442"",""Table 3: 1st-line HC!A5:A111"")),"""")"),"")</f>
        <v/>
      </c>
      <c r="N64" s="14" t="str">
        <f>IFERROR(__xludf.DUMMYFUNCTION("IFNA(FILTER(IMPORTRANGE(""https://docs.google.com/spreadsheets/d/1kGrh75X1cNR1D7_FcY9zMnHP8iPO4M5RCRjy6nZY0TY/edit#gid=1248694442"",""Table 4: 2nd-line HC or more!C5:C85""), $A64=IMPORTRANGE(""https://docs.google.com/spreadsheets/d/1kGrh75X1cNR1D7_FcY9zMn"&amp;"HP8iPO4M5RCRjy6nZY0TY/edit#gid=1248694442"",""Table 4: 2nd-line HC or more!A5:A85"")),"""")"),"")</f>
        <v/>
      </c>
      <c r="O64" s="14">
        <f>IFERROR(__xludf.DUMMYFUNCTION("IFNA(FILTER(IMPORTRANGE(""https://docs.google.com/spreadsheets/d/1kGrh75X1cNR1D7_FcY9zMnHP8iPO4M5RCRjy6nZY0TY/edit#gid=1248694442"",""Table 4: 2nd-line HC or more!D5:D85""), $A64=IMPORTRANGE(""https://docs.google.com/spreadsheets/d/1kGrh75X1cNR1D7_FcY9zMn"&amp;"HP8iPO4M5RCRjy6nZY0TY/edit#gid=1248694442"",""Table 4: 2nd-line HC or more!A5:A85"")),"""")"),3.0)</f>
        <v>3</v>
      </c>
      <c r="P64" s="14" t="str">
        <f>IFERROR(__xludf.DUMMYFUNCTION("IFNA(FILTER(IMPORTRANGE(""https://docs.google.com/spreadsheets/d/1kGrh75X1cNR1D7_FcY9zMnHP8iPO4M5RCRjy6nZY0TY/edit#gid=1248694442"",""Table 4: 2nd-line HC or more!E5:E85""), $A64=IMPORTRANGE(""https://docs.google.com/spreadsheets/d/1kGrh75X1cNR1D7_FcY9zMn"&amp;"HP8iPO4M5RCRjy6nZY0TY/edit#gid=1248694442"",""Table 4: 2nd-line HC or more!A5:A85"")),"""")"),"")</f>
        <v/>
      </c>
      <c r="Q64" s="14" t="str">
        <f>IFERROR(__xludf.DUMMYFUNCTION("IFNA(FILTER(IMPORTRANGE(""https://docs.google.com/spreadsheets/d/1kGrh75X1cNR1D7_FcY9zMnHP8iPO4M5RCRjy6nZY0TY/edit#gid=1248694442"",""Table 4: 2nd-line HC or more!F5:F85""), $A64=IMPORTRANGE(""https://docs.google.com/spreadsheets/d/1kGrh75X1cNR1D7_FcY9zMn"&amp;"HP8iPO4M5RCRjy6nZY0TY/edit#gid=1248694442"",""Table 4: 2nd-line HC or more!A5:A85"")),"""")"),"")</f>
        <v/>
      </c>
      <c r="R64" s="14" t="str">
        <f>IFERROR(__xludf.DUMMYFUNCTION("IFNA(FILTER(IMPORTRANGE(""https://docs.google.com/spreadsheets/d/1kGrh75X1cNR1D7_FcY9zMnHP8iPO4M5RCRjy6nZY0TY/edit#gid=1248694442"",""Table 4: 2nd-line HC or more!G5:G85""), $A64=IMPORTRANGE(""https://docs.google.com/spreadsheets/d/1kGrh75X1cNR1D7_FcY9zMn"&amp;"HP8iPO4M5RCRjy6nZY0TY/edit#gid=1248694442"",""Table 4: 2nd-line HC or more!A5:A85"")),"""")"),"")</f>
        <v/>
      </c>
      <c r="S64" s="14" t="str">
        <f>IFERROR(__xludf.DUMMYFUNCTION("IFNA(FILTER(IMPORTRANGE(""https://docs.google.com/spreadsheets/d/1kGrh75X1cNR1D7_FcY9zMnHP8iPO4M5RCRjy6nZY0TY/edit#gid=1248694442"",""Table 4: 2nd-line HC or more!H5:H85""), $A64=IMPORTRANGE(""https://docs.google.com/spreadsheets/d/1kGrh75X1cNR1D7_FcY9zMn"&amp;"HP8iPO4M5RCRjy6nZY0TY/edit#gid=1248694442"",""Table 4: 2nd-line HC or more!A5:A85"")),"""")"),"")</f>
        <v/>
      </c>
      <c r="T64" s="14" t="str">
        <f>IFERROR(__xludf.DUMMYFUNCTION("IFNA(FILTER(IMPORTRANGE(""https://docs.google.com/spreadsheets/d/1kGrh75X1cNR1D7_FcY9zMnHP8iPO4M5RCRjy6nZY0TY/edit#gid=1248694442"",""Table 3: 1st-line HC!F5:F111""), $A64=IMPORTRANGE(""https://docs.google.com/spreadsheets/d/1kGrh75X1cNR1D7_FcY9zMnHP8iPO4"&amp;"M5RCRjy6nZY0TY/edit#gid=1248694442"",""Table 3: 1st-line HC!A5:A111"")),"""")"),"")</f>
        <v/>
      </c>
      <c r="U64" s="14" t="str">
        <f>IFERROR(__xludf.DUMMYFUNCTION("IFNA(FILTER(IMPORTRANGE(""https://docs.google.com/spreadsheets/d/1kGrh75X1cNR1D7_FcY9zMnHP8iPO4M5RCRjy6nZY0TY/edit#gid=1248694442"",""Table 3: 1st-line HC!G5:G111""), $A64=IMPORTRANGE(""https://docs.google.com/spreadsheets/d/1kGrh75X1cNR1D7_FcY9zMnHP8iPO4"&amp;"M5RCRjy6nZY0TY/edit#gid=1248694442"",""Table 3: 1st-line HC!A5:A111"")),"""")"),"")</f>
        <v/>
      </c>
      <c r="V64" s="14">
        <f>IFERROR(__xludf.DUMMYFUNCTION("IFNA(FILTER(IMPORTRANGE(""https://docs.google.com/spreadsheets/d/1kGrh75X1cNR1D7_FcY9zMnHP8iPO4M5RCRjy6nZY0TY/edit#gid=1248694442"",""Table 3: 1st-line HC!H5:H111""), $A64=IMPORTRANGE(""https://docs.google.com/spreadsheets/d/1kGrh75X1cNR1D7_FcY9zMnHP8iPO4"&amp;"M5RCRjy6nZY0TY/edit#gid=1248694442"",""Table 3: 1st-line HC!A5:A111"")),"""")"),28.0)</f>
        <v>28</v>
      </c>
      <c r="W64" s="14" t="str">
        <f>IFERROR(__xludf.DUMMYFUNCTION("IFNA(FILTER(IMPORTRANGE(""https://docs.google.com/spreadsheets/d/1kGrh75X1cNR1D7_FcY9zMnHP8iPO4M5RCRjy6nZY0TY/edit#gid=1248694442"",""Table 3: 1st-line HC!I5:I111""), $A64=IMPORTRANGE(""https://docs.google.com/spreadsheets/d/1kGrh75X1cNR1D7_FcY9zMnHP8iPO4"&amp;"M5RCRjy6nZY0TY/edit#gid=1248694442"",""Table 3: 1st-line HC!A5:A111"")),"""")"),"")</f>
        <v/>
      </c>
    </row>
    <row r="65">
      <c r="A65" s="4" t="str">
        <f>IFERROR(__xludf.DUMMYFUNCTION("""COMPUTED_VALUE"""),"ID 135")</f>
        <v>ID 135</v>
      </c>
      <c r="B65" s="14" t="str">
        <f>IFERROR(__xludf.DUMMYFUNCTION("IFNA(FILTER(IMPORTRANGE(""https://docs.google.com/spreadsheets/d/1kGrh75X1cNR1D7_FcY9zMnHP8iPO4M5RCRjy6nZY0TY/edit#gid=1248694442"",""Table 3: 1st-line HC!AZ5:AZ111""), $A65=IMPORTRANGE(""https://docs.google.com/spreadsheets/d/1kGrh75X1cNR1D7_FcY9zMnHP8iP"&amp;"O4M5RCRjy6nZY0TY/edit#gid=1248694442"",""Table 3: 1st-line HC!A5:A111"")),"""")"),"")</f>
        <v/>
      </c>
      <c r="C65" s="14" t="str">
        <f>IFERROR(__xludf.DUMMYFUNCTION("IFNA(FILTER(IMPORTRANGE(""https://docs.google.com/spreadsheets/d/1kGrh75X1cNR1D7_FcY9zMnHP8iPO4M5RCRjy6nZY0TY/edit#gid=1248694442"",""Table 3: 1st-line HC!BA5:BA111""), $A65=IMPORTRANGE(""https://docs.google.com/spreadsheets/d/1kGrh75X1cNR1D7_FcY9zMnHP8iP"&amp;"O4M5RCRjy6nZY0TY/edit#gid=1248694442"",""Table 3: 1st-line HC!A5:A111"")),"""")"),"")</f>
        <v/>
      </c>
      <c r="D65" s="14" t="str">
        <f>IFERROR(__xludf.DUMMYFUNCTION("IFNA(FILTER(IMPORTRANGE(""https://docs.google.com/spreadsheets/d/1kGrh75X1cNR1D7_FcY9zMnHP8iPO4M5RCRjy6nZY0TY/edit#gid=1248694442"",""Table 3: 1st-line HC!BB5:BB111""), $A65=IMPORTRANGE(""https://docs.google.com/spreadsheets/d/1kGrh75X1cNR1D7_FcY9zMnHP8iP"&amp;"O4M5RCRjy6nZY0TY/edit#gid=1248694442"",""Table 3: 1st-line HC!A5:A111"")),"""")"),"")</f>
        <v/>
      </c>
      <c r="E65" s="19" t="str">
        <f>IFERROR(__xludf.DUMMYFUNCTION("IFNA(FILTER(IMPORTRANGE(""https://docs.google.com/spreadsheets/d/1kGrh75X1cNR1D7_FcY9zMnHP8iPO4M5RCRjy6nZY0TY/edit#gid=1248694442"",""Table 3: 1st-line HC!BC5:BC111""), $A65=IMPORTRANGE(""https://docs.google.com/spreadsheets/d/1kGrh75X1cNR1D7_FcY9zMnHP8iP"&amp;"O4M5RCRjy6nZY0TY/edit#gid=1248694442"",""Table 3: 1st-line HC!A5:A111"")),"""")"),"")</f>
        <v/>
      </c>
      <c r="F65" s="14" t="str">
        <f>IFERROR(__xludf.DUMMYFUNCTION("IFNA(FILTER(IMPORTRANGE(""https://docs.google.com/spreadsheets/d/1kGrh75X1cNR1D7_FcY9zMnHP8iPO4M5RCRjy6nZY0TY/edit#gid=1248694442"",""Table 3: 1st-line HC!Y5:Y111""), $A65=IMPORTRANGE(""https://docs.google.com/spreadsheets/d/1kGrh75X1cNR1D7_FcY9zMnHP8iPO4"&amp;"M5RCRjy6nZY0TY/edit#gid=1248694442"",""Table 3: 1st-line HC!A5:A111"")),"""")"),"")</f>
        <v/>
      </c>
      <c r="G65" s="14">
        <f>IFERROR(__xludf.DUMMYFUNCTION("IFNA(FILTER(IMPORTRANGE(""https://docs.google.com/spreadsheets/d/1kGrh75X1cNR1D7_FcY9zMnHP8iPO4M5RCRjy6nZY0TY/edit#gid=1248694442"",""Table 3: 1st-line HC!Z5:Z111""), $A65=IMPORTRANGE(""https://docs.google.com/spreadsheets/d/1kGrh75X1cNR1D7_FcY9zMnHP8iPO4"&amp;"M5RCRjy6nZY0TY/edit#gid=1248694442"",""Table 3: 1st-line HC!A5:A111"")),"""")"),20.0)</f>
        <v>20</v>
      </c>
      <c r="H65" s="14" t="str">
        <f>IFERROR(__xludf.DUMMYFUNCTION("IFNA(FILTER(IMPORTRANGE(""https://docs.google.com/spreadsheets/d/1kGrh75X1cNR1D7_FcY9zMnHP8iPO4M5RCRjy6nZY0TY/edit#gid=1248694442"",""Table 3: 1st-line HC!AA5:AA111""), $A65=IMPORTRANGE(""https://docs.google.com/spreadsheets/d/1kGrh75X1cNR1D7_FcY9zMnHP8iP"&amp;"O4M5RCRjy6nZY0TY/edit#gid=1248694442"",""Table 3: 1st-line HC!A5:A111"")),"""")"),"")</f>
        <v/>
      </c>
      <c r="I65" s="14" t="str">
        <f>IFERROR(__xludf.DUMMYFUNCTION("IFNA(FILTER(IMPORTRANGE(""https://docs.google.com/spreadsheets/d/1kGrh75X1cNR1D7_FcY9zMnHP8iPO4M5RCRjy6nZY0TY/edit#gid=1248694442"",""Table 3: 1st-line HC!AB5:AB111""), $A65=IMPORTRANGE(""https://docs.google.com/spreadsheets/d/1kGrh75X1cNR1D7_FcY9zMnHP8iP"&amp;"O4M5RCRjy6nZY0TY/edit#gid=1248694442"",""Table 3: 1st-line HC!A5:A111"")),"""")"),"")</f>
        <v/>
      </c>
      <c r="J65" s="14" t="str">
        <f>IFERROR(__xludf.DUMMYFUNCTION("IFNA(FILTER(IMPORTRANGE(""https://docs.google.com/spreadsheets/d/1kGrh75X1cNR1D7_FcY9zMnHP8iPO4M5RCRjy6nZY0TY/edit#gid=1248694442"",""Table 3: 1st-line HC!AC5:AC111""), $A65=IMPORTRANGE(""https://docs.google.com/spreadsheets/d/1kGrh75X1cNR1D7_FcY9zMnHP8iP"&amp;"O4M5RCRjy6nZY0TY/edit#gid=1248694442"",""Table 3: 1st-line HC!A5:A111"")),"""")"),"")</f>
        <v/>
      </c>
      <c r="K65" s="20" t="str">
        <f>IFERROR(__xludf.DUMMYFUNCTION("IFNA(FILTER(IMPORTRANGE(""https://docs.google.com/spreadsheets/d/1kGrh75X1cNR1D7_FcY9zMnHP8iPO4M5RCRjy6nZY0TY/edit#gid=1248694442"",""Table 3: 1st-line HC!AD5:AD111""), $A65=IMPORTRANGE(""https://docs.google.com/spreadsheets/d/1kGrh75X1cNR1D7_FcY9zMnHP8iP"&amp;"O4M5RCRjy6nZY0TY/edit#gid=1248694442"",""Table 3: 1st-line HC!A5:A111"")),"""")"),"VA Shunt = 2")</f>
        <v>VA Shunt = 2</v>
      </c>
      <c r="L65" s="14" t="str">
        <f>IFERROR(__xludf.DUMMYFUNCTION("IFNA(FILTER(IMPORTRANGE(""https://docs.google.com/spreadsheets/d/1kGrh75X1cNR1D7_FcY9zMnHP8iPO4M5RCRjy6nZY0TY/edit#gid=1248694442"",""Table 3: 1st-line HC!W5:W111""), $A65=IMPORTRANGE(""https://docs.google.com/spreadsheets/d/1kGrh75X1cNR1D7_FcY9zMnHP8iPO4"&amp;"M5RCRjy6nZY0TY/edit#gid=1248694442"",""Table 3: 1st-line HC!A5:A111"")),"""")"),"")</f>
        <v/>
      </c>
      <c r="M65" s="14" t="str">
        <f>IFERROR(__xludf.DUMMYFUNCTION("IFNA(FILTER(IMPORTRANGE(""https://docs.google.com/spreadsheets/d/1kGrh75X1cNR1D7_FcY9zMnHP8iPO4M5RCRjy6nZY0TY/edit#gid=1248694442"",""Table 3: 1st-line HC!X5:X111""), $A65=IMPORTRANGE(""https://docs.google.com/spreadsheets/d/1kGrh75X1cNR1D7_FcY9zMnHP8iPO4"&amp;"M5RCRjy6nZY0TY/edit#gid=1248694442"",""Table 3: 1st-line HC!A5:A111"")),"""")"),"")</f>
        <v/>
      </c>
      <c r="N65" s="14" t="str">
        <f>IFERROR(__xludf.DUMMYFUNCTION("IFNA(FILTER(IMPORTRANGE(""https://docs.google.com/spreadsheets/d/1kGrh75X1cNR1D7_FcY9zMnHP8iPO4M5RCRjy6nZY0TY/edit#gid=1248694442"",""Table 4: 2nd-line HC or more!C5:C85""), $A65=IMPORTRANGE(""https://docs.google.com/spreadsheets/d/1kGrh75X1cNR1D7_FcY9zMn"&amp;"HP8iPO4M5RCRjy6nZY0TY/edit#gid=1248694442"",""Table 4: 2nd-line HC or more!A5:A85"")),"""")"),"")</f>
        <v/>
      </c>
      <c r="O65" s="14" t="str">
        <f>IFERROR(__xludf.DUMMYFUNCTION("IFNA(FILTER(IMPORTRANGE(""https://docs.google.com/spreadsheets/d/1kGrh75X1cNR1D7_FcY9zMnHP8iPO4M5RCRjy6nZY0TY/edit#gid=1248694442"",""Table 4: 2nd-line HC or more!D5:D85""), $A65=IMPORTRANGE(""https://docs.google.com/spreadsheets/d/1kGrh75X1cNR1D7_FcY9zMn"&amp;"HP8iPO4M5RCRjy6nZY0TY/edit#gid=1248694442"",""Table 4: 2nd-line HC or more!A5:A85"")),"""")"),"")</f>
        <v/>
      </c>
      <c r="P65" s="14" t="str">
        <f>IFERROR(__xludf.DUMMYFUNCTION("IFNA(FILTER(IMPORTRANGE(""https://docs.google.com/spreadsheets/d/1kGrh75X1cNR1D7_FcY9zMnHP8iPO4M5RCRjy6nZY0TY/edit#gid=1248694442"",""Table 4: 2nd-line HC or more!E5:E85""), $A65=IMPORTRANGE(""https://docs.google.com/spreadsheets/d/1kGrh75X1cNR1D7_FcY9zMn"&amp;"HP8iPO4M5RCRjy6nZY0TY/edit#gid=1248694442"",""Table 4: 2nd-line HC or more!A5:A85"")),"""")"),"")</f>
        <v/>
      </c>
      <c r="Q65" s="14" t="str">
        <f>IFERROR(__xludf.DUMMYFUNCTION("IFNA(FILTER(IMPORTRANGE(""https://docs.google.com/spreadsheets/d/1kGrh75X1cNR1D7_FcY9zMnHP8iPO4M5RCRjy6nZY0TY/edit#gid=1248694442"",""Table 4: 2nd-line HC or more!F5:F85""), $A65=IMPORTRANGE(""https://docs.google.com/spreadsheets/d/1kGrh75X1cNR1D7_FcY9zMn"&amp;"HP8iPO4M5RCRjy6nZY0TY/edit#gid=1248694442"",""Table 4: 2nd-line HC or more!A5:A85"")),"""")"),"")</f>
        <v/>
      </c>
      <c r="R65" s="14" t="str">
        <f>IFERROR(__xludf.DUMMYFUNCTION("IFNA(FILTER(IMPORTRANGE(""https://docs.google.com/spreadsheets/d/1kGrh75X1cNR1D7_FcY9zMnHP8iPO4M5RCRjy6nZY0TY/edit#gid=1248694442"",""Table 4: 2nd-line HC or more!G5:G85""), $A65=IMPORTRANGE(""https://docs.google.com/spreadsheets/d/1kGrh75X1cNR1D7_FcY9zMn"&amp;"HP8iPO4M5RCRjy6nZY0TY/edit#gid=1248694442"",""Table 4: 2nd-line HC or more!A5:A85"")),"""")"),"")</f>
        <v/>
      </c>
      <c r="S65" s="14" t="str">
        <f>IFERROR(__xludf.DUMMYFUNCTION("IFNA(FILTER(IMPORTRANGE(""https://docs.google.com/spreadsheets/d/1kGrh75X1cNR1D7_FcY9zMnHP8iPO4M5RCRjy6nZY0TY/edit#gid=1248694442"",""Table 4: 2nd-line HC or more!H5:H85""), $A65=IMPORTRANGE(""https://docs.google.com/spreadsheets/d/1kGrh75X1cNR1D7_FcY9zMn"&amp;"HP8iPO4M5RCRjy6nZY0TY/edit#gid=1248694442"",""Table 4: 2nd-line HC or more!A5:A85"")),"""")"),"")</f>
        <v/>
      </c>
      <c r="T65" s="14" t="str">
        <f>IFERROR(__xludf.DUMMYFUNCTION("IFNA(FILTER(IMPORTRANGE(""https://docs.google.com/spreadsheets/d/1kGrh75X1cNR1D7_FcY9zMnHP8iPO4M5RCRjy6nZY0TY/edit#gid=1248694442"",""Table 3: 1st-line HC!F5:F111""), $A65=IMPORTRANGE(""https://docs.google.com/spreadsheets/d/1kGrh75X1cNR1D7_FcY9zMnHP8iPO4"&amp;"M5RCRjy6nZY0TY/edit#gid=1248694442"",""Table 3: 1st-line HC!A5:A111"")),"""")"),"")</f>
        <v/>
      </c>
      <c r="U65" s="14" t="str">
        <f>IFERROR(__xludf.DUMMYFUNCTION("IFNA(FILTER(IMPORTRANGE(""https://docs.google.com/spreadsheets/d/1kGrh75X1cNR1D7_FcY9zMnHP8iPO4M5RCRjy6nZY0TY/edit#gid=1248694442"",""Table 3: 1st-line HC!G5:G111""), $A65=IMPORTRANGE(""https://docs.google.com/spreadsheets/d/1kGrh75X1cNR1D7_FcY9zMnHP8iPO4"&amp;"M5RCRjy6nZY0TY/edit#gid=1248694442"",""Table 3: 1st-line HC!A5:A111"")),"""")"),"")</f>
        <v/>
      </c>
      <c r="V65" s="14" t="str">
        <f>IFERROR(__xludf.DUMMYFUNCTION("IFNA(FILTER(IMPORTRANGE(""https://docs.google.com/spreadsheets/d/1kGrh75X1cNR1D7_FcY9zMnHP8iPO4M5RCRjy6nZY0TY/edit#gid=1248694442"",""Table 3: 1st-line HC!H5:H111""), $A65=IMPORTRANGE(""https://docs.google.com/spreadsheets/d/1kGrh75X1cNR1D7_FcY9zMnHP8iPO4"&amp;"M5RCRjy6nZY0TY/edit#gid=1248694442"",""Table 3: 1st-line HC!A5:A111"")),"""")"),"")</f>
        <v/>
      </c>
      <c r="W65" s="14" t="str">
        <f>IFERROR(__xludf.DUMMYFUNCTION("IFNA(FILTER(IMPORTRANGE(""https://docs.google.com/spreadsheets/d/1kGrh75X1cNR1D7_FcY9zMnHP8iPO4M5RCRjy6nZY0TY/edit#gid=1248694442"",""Table 3: 1st-line HC!I5:I111""), $A65=IMPORTRANGE(""https://docs.google.com/spreadsheets/d/1kGrh75X1cNR1D7_FcY9zMnHP8iPO4"&amp;"M5RCRjy6nZY0TY/edit#gid=1248694442"",""Table 3: 1st-line HC!A5:A111"")),"""")"),"")</f>
        <v/>
      </c>
    </row>
    <row r="66">
      <c r="A66" s="4" t="str">
        <f>IFERROR(__xludf.DUMMYFUNCTION("""COMPUTED_VALUE"""),"ID 146")</f>
        <v>ID 146</v>
      </c>
      <c r="B66" s="14" t="str">
        <f>IFERROR(__xludf.DUMMYFUNCTION("IFNA(FILTER(IMPORTRANGE(""https://docs.google.com/spreadsheets/d/1kGrh75X1cNR1D7_FcY9zMnHP8iPO4M5RCRjy6nZY0TY/edit#gid=1248694442"",""Table 3: 1st-line HC!AZ5:AZ111""), $A66=IMPORTRANGE(""https://docs.google.com/spreadsheets/d/1kGrh75X1cNR1D7_FcY9zMnHP8iP"&amp;"O4M5RCRjy6nZY0TY/edit#gid=1248694442"",""Table 3: 1st-line HC!A5:A111"")),"""")"),"")</f>
        <v/>
      </c>
      <c r="C66" s="14" t="str">
        <f>IFERROR(__xludf.DUMMYFUNCTION("IFNA(FILTER(IMPORTRANGE(""https://docs.google.com/spreadsheets/d/1kGrh75X1cNR1D7_FcY9zMnHP8iPO4M5RCRjy6nZY0TY/edit#gid=1248694442"",""Table 3: 1st-line HC!BA5:BA111""), $A66=IMPORTRANGE(""https://docs.google.com/spreadsheets/d/1kGrh75X1cNR1D7_FcY9zMnHP8iP"&amp;"O4M5RCRjy6nZY0TY/edit#gid=1248694442"",""Table 3: 1st-line HC!A5:A111"")),"""")"),"")</f>
        <v/>
      </c>
      <c r="D66" s="14" t="str">
        <f>IFERROR(__xludf.DUMMYFUNCTION("IFNA(FILTER(IMPORTRANGE(""https://docs.google.com/spreadsheets/d/1kGrh75X1cNR1D7_FcY9zMnHP8iPO4M5RCRjy6nZY0TY/edit#gid=1248694442"",""Table 3: 1st-line HC!BB5:BB111""), $A66=IMPORTRANGE(""https://docs.google.com/spreadsheets/d/1kGrh75X1cNR1D7_FcY9zMnHP8iP"&amp;"O4M5RCRjy6nZY0TY/edit#gid=1248694442"",""Table 3: 1st-line HC!A5:A111"")),"""")"),"")</f>
        <v/>
      </c>
      <c r="E66" s="19" t="str">
        <f>IFERROR(__xludf.DUMMYFUNCTION("IFNA(FILTER(IMPORTRANGE(""https://docs.google.com/spreadsheets/d/1kGrh75X1cNR1D7_FcY9zMnHP8iPO4M5RCRjy6nZY0TY/edit#gid=1248694442"",""Table 3: 1st-line HC!BC5:BC111""), $A66=IMPORTRANGE(""https://docs.google.com/spreadsheets/d/1kGrh75X1cNR1D7_FcY9zMnHP8iP"&amp;"O4M5RCRjy6nZY0TY/edit#gid=1248694442"",""Table 3: 1st-line HC!A5:A111"")),"""")"),"1-2")</f>
        <v>1-2</v>
      </c>
      <c r="F66" s="14" t="str">
        <f>IFERROR(__xludf.DUMMYFUNCTION("IFNA(FILTER(IMPORTRANGE(""https://docs.google.com/spreadsheets/d/1kGrh75X1cNR1D7_FcY9zMnHP8iPO4M5RCRjy6nZY0TY/edit#gid=1248694442"",""Table 3: 1st-line HC!Y5:Y111""), $A66=IMPORTRANGE(""https://docs.google.com/spreadsheets/d/1kGrh75X1cNR1D7_FcY9zMnHP8iPO4"&amp;"M5RCRjy6nZY0TY/edit#gid=1248694442"",""Table 3: 1st-line HC!A5:A111"")),"""")"),"")</f>
        <v/>
      </c>
      <c r="G66" s="14">
        <f>IFERROR(__xludf.DUMMYFUNCTION("IFNA(FILTER(IMPORTRANGE(""https://docs.google.com/spreadsheets/d/1kGrh75X1cNR1D7_FcY9zMnHP8iPO4M5RCRjy6nZY0TY/edit#gid=1248694442"",""Table 3: 1st-line HC!Z5:Z111""), $A66=IMPORTRANGE(""https://docs.google.com/spreadsheets/d/1kGrh75X1cNR1D7_FcY9zMnHP8iPO4"&amp;"M5RCRjy6nZY0TY/edit#gid=1248694442"",""Table 3: 1st-line HC!A5:A111"")),"""")"),4.0)</f>
        <v>4</v>
      </c>
      <c r="H66" s="14" t="str">
        <f>IFERROR(__xludf.DUMMYFUNCTION("IFNA(FILTER(IMPORTRANGE(""https://docs.google.com/spreadsheets/d/1kGrh75X1cNR1D7_FcY9zMnHP8iPO4M5RCRjy6nZY0TY/edit#gid=1248694442"",""Table 3: 1st-line HC!AA5:AA111""), $A66=IMPORTRANGE(""https://docs.google.com/spreadsheets/d/1kGrh75X1cNR1D7_FcY9zMnHP8iP"&amp;"O4M5RCRjy6nZY0TY/edit#gid=1248694442"",""Table 3: 1st-line HC!A5:A111"")),"""")"),"")</f>
        <v/>
      </c>
      <c r="I66" s="14" t="str">
        <f>IFERROR(__xludf.DUMMYFUNCTION("IFNA(FILTER(IMPORTRANGE(""https://docs.google.com/spreadsheets/d/1kGrh75X1cNR1D7_FcY9zMnHP8iPO4M5RCRjy6nZY0TY/edit#gid=1248694442"",""Table 3: 1st-line HC!AB5:AB111""), $A66=IMPORTRANGE(""https://docs.google.com/spreadsheets/d/1kGrh75X1cNR1D7_FcY9zMnHP8iP"&amp;"O4M5RCRjy6nZY0TY/edit#gid=1248694442"",""Table 3: 1st-line HC!A5:A111"")),"""")"),"")</f>
        <v/>
      </c>
      <c r="J66" s="14" t="str">
        <f>IFERROR(__xludf.DUMMYFUNCTION("IFNA(FILTER(IMPORTRANGE(""https://docs.google.com/spreadsheets/d/1kGrh75X1cNR1D7_FcY9zMnHP8iPO4M5RCRjy6nZY0TY/edit#gid=1248694442"",""Table 3: 1st-line HC!AC5:AC111""), $A66=IMPORTRANGE(""https://docs.google.com/spreadsheets/d/1kGrh75X1cNR1D7_FcY9zMnHP8iP"&amp;"O4M5RCRjy6nZY0TY/edit#gid=1248694442"",""Table 3: 1st-line HC!A5:A111"")),"""")"),"")</f>
        <v/>
      </c>
      <c r="K66" s="20" t="str">
        <f>IFERROR(__xludf.DUMMYFUNCTION("IFNA(FILTER(IMPORTRANGE(""https://docs.google.com/spreadsheets/d/1kGrh75X1cNR1D7_FcY9zMnHP8iPO4M5RCRjy6nZY0TY/edit#gid=1248694442"",""Table 3: 1st-line HC!AD5:AD111""), $A66=IMPORTRANGE(""https://docs.google.com/spreadsheets/d/1kGrh75X1cNR1D7_FcY9zMnHP8iP"&amp;"O4M5RCRjy6nZY0TY/edit#gid=1248694442"",""Table 3: 1st-line HC!A5:A111"")),"""")"),"Retrograde-ventricular sinus shunt (RVSS) = 5, RVSS converted to VPS=1")</f>
        <v>Retrograde-ventricular sinus shunt (RVSS) = 5, RVSS converted to VPS=1</v>
      </c>
      <c r="L66" s="14" t="str">
        <f>IFERROR(__xludf.DUMMYFUNCTION("IFNA(FILTER(IMPORTRANGE(""https://docs.google.com/spreadsheets/d/1kGrh75X1cNR1D7_FcY9zMnHP8iPO4M5RCRjy6nZY0TY/edit#gid=1248694442"",""Table 3: 1st-line HC!W5:W111""), $A66=IMPORTRANGE(""https://docs.google.com/spreadsheets/d/1kGrh75X1cNR1D7_FcY9zMnHP8iPO4"&amp;"M5RCRjy6nZY0TY/edit#gid=1248694442"",""Table 3: 1st-line HC!A5:A111"")),"""")"),"")</f>
        <v/>
      </c>
      <c r="M66" s="14" t="str">
        <f>IFERROR(__xludf.DUMMYFUNCTION("IFNA(FILTER(IMPORTRANGE(""https://docs.google.com/spreadsheets/d/1kGrh75X1cNR1D7_FcY9zMnHP8iPO4M5RCRjy6nZY0TY/edit#gid=1248694442"",""Table 3: 1st-line HC!X5:X111""), $A66=IMPORTRANGE(""https://docs.google.com/spreadsheets/d/1kGrh75X1cNR1D7_FcY9zMnHP8iPO4"&amp;"M5RCRjy6nZY0TY/edit#gid=1248694442"",""Table 3: 1st-line HC!A5:A111"")),"""")"),"")</f>
        <v/>
      </c>
      <c r="N66" s="14" t="str">
        <f>IFERROR(__xludf.DUMMYFUNCTION("IFNA(FILTER(IMPORTRANGE(""https://docs.google.com/spreadsheets/d/1kGrh75X1cNR1D7_FcY9zMnHP8iPO4M5RCRjy6nZY0TY/edit#gid=1248694442"",""Table 4: 2nd-line HC or more!C5:C85""), $A66=IMPORTRANGE(""https://docs.google.com/spreadsheets/d/1kGrh75X1cNR1D7_FcY9zMn"&amp;"HP8iPO4M5RCRjy6nZY0TY/edit#gid=1248694442"",""Table 4: 2nd-line HC or more!A5:A85"")),"""")"),"")</f>
        <v/>
      </c>
      <c r="O66" s="14">
        <f>IFERROR(__xludf.DUMMYFUNCTION("IFNA(FILTER(IMPORTRANGE(""https://docs.google.com/spreadsheets/d/1kGrh75X1cNR1D7_FcY9zMnHP8iPO4M5RCRjy6nZY0TY/edit#gid=1248694442"",""Table 4: 2nd-line HC or more!D5:D85""), $A66=IMPORTRANGE(""https://docs.google.com/spreadsheets/d/1kGrh75X1cNR1D7_FcY9zMn"&amp;"HP8iPO4M5RCRjy6nZY0TY/edit#gid=1248694442"",""Table 4: 2nd-line HC or more!A5:A85"")),"""")"),2.0)</f>
        <v>2</v>
      </c>
      <c r="P66" s="14" t="str">
        <f>IFERROR(__xludf.DUMMYFUNCTION("IFNA(FILTER(IMPORTRANGE(""https://docs.google.com/spreadsheets/d/1kGrh75X1cNR1D7_FcY9zMnHP8iPO4M5RCRjy6nZY0TY/edit#gid=1248694442"",""Table 4: 2nd-line HC or more!E5:E85""), $A66=IMPORTRANGE(""https://docs.google.com/spreadsheets/d/1kGrh75X1cNR1D7_FcY9zMn"&amp;"HP8iPO4M5RCRjy6nZY0TY/edit#gid=1248694442"",""Table 4: 2nd-line HC or more!A5:A85"")),"""")"),"")</f>
        <v/>
      </c>
      <c r="Q66" s="14" t="str">
        <f>IFERROR(__xludf.DUMMYFUNCTION("IFNA(FILTER(IMPORTRANGE(""https://docs.google.com/spreadsheets/d/1kGrh75X1cNR1D7_FcY9zMnHP8iPO4M5RCRjy6nZY0TY/edit#gid=1248694442"",""Table 4: 2nd-line HC or more!F5:F85""), $A66=IMPORTRANGE(""https://docs.google.com/spreadsheets/d/1kGrh75X1cNR1D7_FcY9zMn"&amp;"HP8iPO4M5RCRjy6nZY0TY/edit#gid=1248694442"",""Table 4: 2nd-line HC or more!A5:A85"")),"""")"),"")</f>
        <v/>
      </c>
      <c r="R66" s="14" t="str">
        <f>IFERROR(__xludf.DUMMYFUNCTION("IFNA(FILTER(IMPORTRANGE(""https://docs.google.com/spreadsheets/d/1kGrh75X1cNR1D7_FcY9zMnHP8iPO4M5RCRjy6nZY0TY/edit#gid=1248694442"",""Table 4: 2nd-line HC or more!G5:G85""), $A66=IMPORTRANGE(""https://docs.google.com/spreadsheets/d/1kGrh75X1cNR1D7_FcY9zMn"&amp;"HP8iPO4M5RCRjy6nZY0TY/edit#gid=1248694442"",""Table 4: 2nd-line HC or more!A5:A85"")),"""")"),"")</f>
        <v/>
      </c>
      <c r="S66" s="14" t="str">
        <f>IFERROR(__xludf.DUMMYFUNCTION("IFNA(FILTER(IMPORTRANGE(""https://docs.google.com/spreadsheets/d/1kGrh75X1cNR1D7_FcY9zMnHP8iPO4M5RCRjy6nZY0TY/edit#gid=1248694442"",""Table 4: 2nd-line HC or more!H5:H85""), $A66=IMPORTRANGE(""https://docs.google.com/spreadsheets/d/1kGrh75X1cNR1D7_FcY9zMn"&amp;"HP8iPO4M5RCRjy6nZY0TY/edit#gid=1248694442"",""Table 4: 2nd-line HC or more!A5:A85"")),"""")"),"")</f>
        <v/>
      </c>
      <c r="T66" s="14">
        <f>IFERROR(__xludf.DUMMYFUNCTION("IFNA(FILTER(IMPORTRANGE(""https://docs.google.com/spreadsheets/d/1kGrh75X1cNR1D7_FcY9zMnHP8iPO4M5RCRjy6nZY0TY/edit#gid=1248694442"",""Table 3: 1st-line HC!F5:F111""), $A66=IMPORTRANGE(""https://docs.google.com/spreadsheets/d/1kGrh75X1cNR1D7_FcY9zMnHP8iPO4"&amp;"M5RCRjy6nZY0TY/edit#gid=1248694442"",""Table 3: 1st-line HC!A5:A111"")),"""")"),9.0)</f>
        <v>9</v>
      </c>
      <c r="U66" s="14">
        <f>IFERROR(__xludf.DUMMYFUNCTION("IFNA(FILTER(IMPORTRANGE(""https://docs.google.com/spreadsheets/d/1kGrh75X1cNR1D7_FcY9zMnHP8iPO4M5RCRjy6nZY0TY/edit#gid=1248694442"",""Table 3: 1st-line HC!G5:G111""), $A66=IMPORTRANGE(""https://docs.google.com/spreadsheets/d/1kGrh75X1cNR1D7_FcY9zMnHP8iPO4"&amp;"M5RCRjy6nZY0TY/edit#gid=1248694442"",""Table 3: 1st-line HC!A5:A111"")),"""")"),9.0)</f>
        <v>9</v>
      </c>
      <c r="V66" s="14" t="str">
        <f>IFERROR(__xludf.DUMMYFUNCTION("IFNA(FILTER(IMPORTRANGE(""https://docs.google.com/spreadsheets/d/1kGrh75X1cNR1D7_FcY9zMnHP8iPO4M5RCRjy6nZY0TY/edit#gid=1248694442"",""Table 3: 1st-line HC!H5:H111""), $A66=IMPORTRANGE(""https://docs.google.com/spreadsheets/d/1kGrh75X1cNR1D7_FcY9zMnHP8iPO4"&amp;"M5RCRjy6nZY0TY/edit#gid=1248694442"",""Table 3: 1st-line HC!A5:A111"")),"""")"),"")</f>
        <v/>
      </c>
      <c r="W66" s="14" t="str">
        <f>IFERROR(__xludf.DUMMYFUNCTION("IFNA(FILTER(IMPORTRANGE(""https://docs.google.com/spreadsheets/d/1kGrh75X1cNR1D7_FcY9zMnHP8iPO4M5RCRjy6nZY0TY/edit#gid=1248694442"",""Table 3: 1st-line HC!I5:I111""), $A66=IMPORTRANGE(""https://docs.google.com/spreadsheets/d/1kGrh75X1cNR1D7_FcY9zMnHP8iPO4"&amp;"M5RCRjy6nZY0TY/edit#gid=1248694442"",""Table 3: 1st-line HC!A5:A111"")),"""")"),"")</f>
        <v/>
      </c>
    </row>
    <row r="67">
      <c r="A67" s="4" t="str">
        <f>IFERROR(__xludf.DUMMYFUNCTION("""COMPUTED_VALUE"""),"ID 149")</f>
        <v>ID 149</v>
      </c>
      <c r="B67" s="14" t="str">
        <f>IFERROR(__xludf.DUMMYFUNCTION("IFNA(FILTER(IMPORTRANGE(""https://docs.google.com/spreadsheets/d/1kGrh75X1cNR1D7_FcY9zMnHP8iPO4M5RCRjy6nZY0TY/edit#gid=1248694442"",""Table 3: 1st-line HC!AZ5:AZ111""), $A67=IMPORTRANGE(""https://docs.google.com/spreadsheets/d/1kGrh75X1cNR1D7_FcY9zMnHP8iP"&amp;"O4M5RCRjy6nZY0TY/edit#gid=1248694442"",""Table 3: 1st-line HC!A5:A111"")),"""")"),"")</f>
        <v/>
      </c>
      <c r="C67" s="14" t="str">
        <f>IFERROR(__xludf.DUMMYFUNCTION("IFNA(FILTER(IMPORTRANGE(""https://docs.google.com/spreadsheets/d/1kGrh75X1cNR1D7_FcY9zMnHP8iPO4M5RCRjy6nZY0TY/edit#gid=1248694442"",""Table 3: 1st-line HC!BA5:BA111""), $A67=IMPORTRANGE(""https://docs.google.com/spreadsheets/d/1kGrh75X1cNR1D7_FcY9zMnHP8iP"&amp;"O4M5RCRjy6nZY0TY/edit#gid=1248694442"",""Table 3: 1st-line HC!A5:A111"")),"""")"),"")</f>
        <v/>
      </c>
      <c r="D67" s="14" t="str">
        <f>IFERROR(__xludf.DUMMYFUNCTION("IFNA(FILTER(IMPORTRANGE(""https://docs.google.com/spreadsheets/d/1kGrh75X1cNR1D7_FcY9zMnHP8iPO4M5RCRjy6nZY0TY/edit#gid=1248694442"",""Table 3: 1st-line HC!BB5:BB111""), $A67=IMPORTRANGE(""https://docs.google.com/spreadsheets/d/1kGrh75X1cNR1D7_FcY9zMnHP8iP"&amp;"O4M5RCRjy6nZY0TY/edit#gid=1248694442"",""Table 3: 1st-line HC!A5:A111"")),"""")"),"")</f>
        <v/>
      </c>
      <c r="E67" s="19" t="str">
        <f>IFERROR(__xludf.DUMMYFUNCTION("IFNA(FILTER(IMPORTRANGE(""https://docs.google.com/spreadsheets/d/1kGrh75X1cNR1D7_FcY9zMnHP8iPO4M5RCRjy6nZY0TY/edit#gid=1248694442"",""Table 3: 1st-line HC!BC5:BC111""), $A67=IMPORTRANGE(""https://docs.google.com/spreadsheets/d/1kGrh75X1cNR1D7_FcY9zMnHP8iP"&amp;"O4M5RCRjy6nZY0TY/edit#gid=1248694442"",""Table 3: 1st-line HC!A5:A111"")),"""")"),"")</f>
        <v/>
      </c>
      <c r="F67" s="14" t="str">
        <f>IFERROR(__xludf.DUMMYFUNCTION("IFNA(FILTER(IMPORTRANGE(""https://docs.google.com/spreadsheets/d/1kGrh75X1cNR1D7_FcY9zMnHP8iPO4M5RCRjy6nZY0TY/edit#gid=1248694442"",""Table 3: 1st-line HC!Y5:Y111""), $A67=IMPORTRANGE(""https://docs.google.com/spreadsheets/d/1kGrh75X1cNR1D7_FcY9zMnHP8iPO4"&amp;"M5RCRjy6nZY0TY/edit#gid=1248694442"",""Table 3: 1st-line HC!A5:A111"")),"""")"),"")</f>
        <v/>
      </c>
      <c r="G67" s="14">
        <f>IFERROR(__xludf.DUMMYFUNCTION("IFNA(FILTER(IMPORTRANGE(""https://docs.google.com/spreadsheets/d/1kGrh75X1cNR1D7_FcY9zMnHP8iPO4M5RCRjy6nZY0TY/edit#gid=1248694442"",""Table 3: 1st-line HC!Z5:Z111""), $A67=IMPORTRANGE(""https://docs.google.com/spreadsheets/d/1kGrh75X1cNR1D7_FcY9zMnHP8iPO4"&amp;"M5RCRjy6nZY0TY/edit#gid=1248694442"",""Table 3: 1st-line HC!A5:A111"")),"""")"),30.0)</f>
        <v>30</v>
      </c>
      <c r="H67" s="14" t="str">
        <f>IFERROR(__xludf.DUMMYFUNCTION("IFNA(FILTER(IMPORTRANGE(""https://docs.google.com/spreadsheets/d/1kGrh75X1cNR1D7_FcY9zMnHP8iPO4M5RCRjy6nZY0TY/edit#gid=1248694442"",""Table 3: 1st-line HC!AA5:AA111""), $A67=IMPORTRANGE(""https://docs.google.com/spreadsheets/d/1kGrh75X1cNR1D7_FcY9zMnHP8iP"&amp;"O4M5RCRjy6nZY0TY/edit#gid=1248694442"",""Table 3: 1st-line HC!A5:A111"")),"""")"),"")</f>
        <v/>
      </c>
      <c r="I67" s="14" t="str">
        <f>IFERROR(__xludf.DUMMYFUNCTION("IFNA(FILTER(IMPORTRANGE(""https://docs.google.com/spreadsheets/d/1kGrh75X1cNR1D7_FcY9zMnHP8iPO4M5RCRjy6nZY0TY/edit#gid=1248694442"",""Table 3: 1st-line HC!AB5:AB111""), $A67=IMPORTRANGE(""https://docs.google.com/spreadsheets/d/1kGrh75X1cNR1D7_FcY9zMnHP8iP"&amp;"O4M5RCRjy6nZY0TY/edit#gid=1248694442"",""Table 3: 1st-line HC!A5:A111"")),"""")"),"")</f>
        <v/>
      </c>
      <c r="J67" s="14" t="str">
        <f>IFERROR(__xludf.DUMMYFUNCTION("IFNA(FILTER(IMPORTRANGE(""https://docs.google.com/spreadsheets/d/1kGrh75X1cNR1D7_FcY9zMnHP8iPO4M5RCRjy6nZY0TY/edit#gid=1248694442"",""Table 3: 1st-line HC!AC5:AC111""), $A67=IMPORTRANGE(""https://docs.google.com/spreadsheets/d/1kGrh75X1cNR1D7_FcY9zMnHP8iP"&amp;"O4M5RCRjy6nZY0TY/edit#gid=1248694442"",""Table 3: 1st-line HC!A5:A111"")),"""")"),"")</f>
        <v/>
      </c>
      <c r="K67" s="20" t="str">
        <f>IFERROR(__xludf.DUMMYFUNCTION("IFNA(FILTER(IMPORTRANGE(""https://docs.google.com/spreadsheets/d/1kGrh75X1cNR1D7_FcY9zMnHP8iPO4M5RCRjy6nZY0TY/edit#gid=1248694442"",""Table 3: 1st-line HC!AD5:AD111""), $A67=IMPORTRANGE(""https://docs.google.com/spreadsheets/d/1kGrh75X1cNR1D7_FcY9zMnHP8iP"&amp;"O4M5RCRjy6nZY0TY/edit#gid=1248694442"",""Table 3: 1st-line HC!A5:A111"")),"""")"),"")</f>
        <v/>
      </c>
      <c r="L67" s="14" t="str">
        <f>IFERROR(__xludf.DUMMYFUNCTION("IFNA(FILTER(IMPORTRANGE(""https://docs.google.com/spreadsheets/d/1kGrh75X1cNR1D7_FcY9zMnHP8iPO4M5RCRjy6nZY0TY/edit#gid=1248694442"",""Table 3: 1st-line HC!W5:W111""), $A67=IMPORTRANGE(""https://docs.google.com/spreadsheets/d/1kGrh75X1cNR1D7_FcY9zMnHP8iPO4"&amp;"M5RCRjy6nZY0TY/edit#gid=1248694442"",""Table 3: 1st-line HC!A5:A111"")),"""")"),"")</f>
        <v/>
      </c>
      <c r="M67" s="14" t="str">
        <f>IFERROR(__xludf.DUMMYFUNCTION("IFNA(FILTER(IMPORTRANGE(""https://docs.google.com/spreadsheets/d/1kGrh75X1cNR1D7_FcY9zMnHP8iPO4M5RCRjy6nZY0TY/edit#gid=1248694442"",""Table 3: 1st-line HC!X5:X111""), $A67=IMPORTRANGE(""https://docs.google.com/spreadsheets/d/1kGrh75X1cNR1D7_FcY9zMnHP8iPO4"&amp;"M5RCRjy6nZY0TY/edit#gid=1248694442"",""Table 3: 1st-line HC!A5:A111"")),"""")"),"")</f>
        <v/>
      </c>
      <c r="N67" s="14" t="str">
        <f>IFERROR(__xludf.DUMMYFUNCTION("IFNA(FILTER(IMPORTRANGE(""https://docs.google.com/spreadsheets/d/1kGrh75X1cNR1D7_FcY9zMnHP8iPO4M5RCRjy6nZY0TY/edit#gid=1248694442"",""Table 4: 2nd-line HC or more!C5:C85""), $A67=IMPORTRANGE(""https://docs.google.com/spreadsheets/d/1kGrh75X1cNR1D7_FcY9zMn"&amp;"HP8iPO4M5RCRjy6nZY0TY/edit#gid=1248694442"",""Table 4: 2nd-line HC or more!A5:A85"")),"""")"),"")</f>
        <v/>
      </c>
      <c r="O67" s="14">
        <f>IFERROR(__xludf.DUMMYFUNCTION("IFNA(FILTER(IMPORTRANGE(""https://docs.google.com/spreadsheets/d/1kGrh75X1cNR1D7_FcY9zMnHP8iPO4M5RCRjy6nZY0TY/edit#gid=1248694442"",""Table 4: 2nd-line HC or more!D5:D85""), $A67=IMPORTRANGE(""https://docs.google.com/spreadsheets/d/1kGrh75X1cNR1D7_FcY9zMn"&amp;"HP8iPO4M5RCRjy6nZY0TY/edit#gid=1248694442"",""Table 4: 2nd-line HC or more!A5:A85"")),"""")"),11.0)</f>
        <v>11</v>
      </c>
      <c r="P67" s="14" t="str">
        <f>IFERROR(__xludf.DUMMYFUNCTION("IFNA(FILTER(IMPORTRANGE(""https://docs.google.com/spreadsheets/d/1kGrh75X1cNR1D7_FcY9zMnHP8iPO4M5RCRjy6nZY0TY/edit#gid=1248694442"",""Table 4: 2nd-line HC or more!E5:E85""), $A67=IMPORTRANGE(""https://docs.google.com/spreadsheets/d/1kGrh75X1cNR1D7_FcY9zMn"&amp;"HP8iPO4M5RCRjy6nZY0TY/edit#gid=1248694442"",""Table 4: 2nd-line HC or more!A5:A85"")),"""")"),"")</f>
        <v/>
      </c>
      <c r="Q67" s="14" t="str">
        <f>IFERROR(__xludf.DUMMYFUNCTION("IFNA(FILTER(IMPORTRANGE(""https://docs.google.com/spreadsheets/d/1kGrh75X1cNR1D7_FcY9zMnHP8iPO4M5RCRjy6nZY0TY/edit#gid=1248694442"",""Table 4: 2nd-line HC or more!F5:F85""), $A67=IMPORTRANGE(""https://docs.google.com/spreadsheets/d/1kGrh75X1cNR1D7_FcY9zMn"&amp;"HP8iPO4M5RCRjy6nZY0TY/edit#gid=1248694442"",""Table 4: 2nd-line HC or more!A5:A85"")),"""")"),"")</f>
        <v/>
      </c>
      <c r="R67" s="14" t="str">
        <f>IFERROR(__xludf.DUMMYFUNCTION("IFNA(FILTER(IMPORTRANGE(""https://docs.google.com/spreadsheets/d/1kGrh75X1cNR1D7_FcY9zMnHP8iPO4M5RCRjy6nZY0TY/edit#gid=1248694442"",""Table 4: 2nd-line HC or more!G5:G85""), $A67=IMPORTRANGE(""https://docs.google.com/spreadsheets/d/1kGrh75X1cNR1D7_FcY9zMn"&amp;"HP8iPO4M5RCRjy6nZY0TY/edit#gid=1248694442"",""Table 4: 2nd-line HC or more!A5:A85"")),"""")"),"")</f>
        <v/>
      </c>
      <c r="S67" s="14" t="str">
        <f>IFERROR(__xludf.DUMMYFUNCTION("IFNA(FILTER(IMPORTRANGE(""https://docs.google.com/spreadsheets/d/1kGrh75X1cNR1D7_FcY9zMnHP8iPO4M5RCRjy6nZY0TY/edit#gid=1248694442"",""Table 4: 2nd-line HC or more!H5:H85""), $A67=IMPORTRANGE(""https://docs.google.com/spreadsheets/d/1kGrh75X1cNR1D7_FcY9zMn"&amp;"HP8iPO4M5RCRjy6nZY0TY/edit#gid=1248694442"",""Table 4: 2nd-line HC or more!A5:A85"")),"""")"),"")</f>
        <v/>
      </c>
      <c r="T67" s="14" t="str">
        <f>IFERROR(__xludf.DUMMYFUNCTION("IFNA(FILTER(IMPORTRANGE(""https://docs.google.com/spreadsheets/d/1kGrh75X1cNR1D7_FcY9zMnHP8iPO4M5RCRjy6nZY0TY/edit#gid=1248694442"",""Table 3: 1st-line HC!F5:F111""), $A67=IMPORTRANGE(""https://docs.google.com/spreadsheets/d/1kGrh75X1cNR1D7_FcY9zMnHP8iPO4"&amp;"M5RCRjy6nZY0TY/edit#gid=1248694442"",""Table 3: 1st-line HC!A5:A111"")),"""")"),"")</f>
        <v/>
      </c>
      <c r="U67" s="14" t="str">
        <f>IFERROR(__xludf.DUMMYFUNCTION("IFNA(FILTER(IMPORTRANGE(""https://docs.google.com/spreadsheets/d/1kGrh75X1cNR1D7_FcY9zMnHP8iPO4M5RCRjy6nZY0TY/edit#gid=1248694442"",""Table 3: 1st-line HC!G5:G111""), $A67=IMPORTRANGE(""https://docs.google.com/spreadsheets/d/1kGrh75X1cNR1D7_FcY9zMnHP8iPO4"&amp;"M5RCRjy6nZY0TY/edit#gid=1248694442"",""Table 3: 1st-line HC!A5:A111"")),"""")"),"")</f>
        <v/>
      </c>
      <c r="V67" s="14">
        <f>IFERROR(__xludf.DUMMYFUNCTION("IFNA(FILTER(IMPORTRANGE(""https://docs.google.com/spreadsheets/d/1kGrh75X1cNR1D7_FcY9zMnHP8iPO4M5RCRjy6nZY0TY/edit#gid=1248694442"",""Table 3: 1st-line HC!H5:H111""), $A67=IMPORTRANGE(""https://docs.google.com/spreadsheets/d/1kGrh75X1cNR1D7_FcY9zMnHP8iPO4"&amp;"M5RCRjy6nZY0TY/edit#gid=1248694442"",""Table 3: 1st-line HC!A5:A111"")),"""")"),37.0)</f>
        <v>37</v>
      </c>
      <c r="W67" s="14" t="str">
        <f>IFERROR(__xludf.DUMMYFUNCTION("IFNA(FILTER(IMPORTRANGE(""https://docs.google.com/spreadsheets/d/1kGrh75X1cNR1D7_FcY9zMnHP8iPO4M5RCRjy6nZY0TY/edit#gid=1248694442"",""Table 3: 1st-line HC!I5:I111""), $A67=IMPORTRANGE(""https://docs.google.com/spreadsheets/d/1kGrh75X1cNR1D7_FcY9zMnHP8iPO4"&amp;"M5RCRjy6nZY0TY/edit#gid=1248694442"",""Table 3: 1st-line HC!A5:A111"")),"""")"),"")</f>
        <v/>
      </c>
    </row>
    <row r="68">
      <c r="A68" s="4" t="str">
        <f>IFERROR(__xludf.DUMMYFUNCTION("""COMPUTED_VALUE"""),"ID 151")</f>
        <v>ID 151</v>
      </c>
      <c r="B68" s="14" t="str">
        <f>IFERROR(__xludf.DUMMYFUNCTION("IFNA(FILTER(IMPORTRANGE(""https://docs.google.com/spreadsheets/d/1kGrh75X1cNR1D7_FcY9zMnHP8iPO4M5RCRjy6nZY0TY/edit#gid=1248694442"",""Table 3: 1st-line HC!AZ5:AZ111""), $A68=IMPORTRANGE(""https://docs.google.com/spreadsheets/d/1kGrh75X1cNR1D7_FcY9zMnHP8iP"&amp;"O4M5RCRjy6nZY0TY/edit#gid=1248694442"",""Table 3: 1st-line HC!A5:A111"")),"""")"),"")</f>
        <v/>
      </c>
      <c r="C68" s="14" t="str">
        <f>IFERROR(__xludf.DUMMYFUNCTION("IFNA(FILTER(IMPORTRANGE(""https://docs.google.com/spreadsheets/d/1kGrh75X1cNR1D7_FcY9zMnHP8iPO4M5RCRjy6nZY0TY/edit#gid=1248694442"",""Table 3: 1st-line HC!BA5:BA111""), $A68=IMPORTRANGE(""https://docs.google.com/spreadsheets/d/1kGrh75X1cNR1D7_FcY9zMnHP8iP"&amp;"O4M5RCRjy6nZY0TY/edit#gid=1248694442"",""Table 3: 1st-line HC!A5:A111"")),"""")"),"")</f>
        <v/>
      </c>
      <c r="D68" s="14" t="str">
        <f>IFERROR(__xludf.DUMMYFUNCTION("IFNA(FILTER(IMPORTRANGE(""https://docs.google.com/spreadsheets/d/1kGrh75X1cNR1D7_FcY9zMnHP8iPO4M5RCRjy6nZY0TY/edit#gid=1248694442"",""Table 3: 1st-line HC!BB5:BB111""), $A68=IMPORTRANGE(""https://docs.google.com/spreadsheets/d/1kGrh75X1cNR1D7_FcY9zMnHP8iP"&amp;"O4M5RCRjy6nZY0TY/edit#gid=1248694442"",""Table 3: 1st-line HC!A5:A111"")),"""")"),"")</f>
        <v/>
      </c>
      <c r="E68" s="19" t="str">
        <f>IFERROR(__xludf.DUMMYFUNCTION("IFNA(FILTER(IMPORTRANGE(""https://docs.google.com/spreadsheets/d/1kGrh75X1cNR1D7_FcY9zMnHP8iPO4M5RCRjy6nZY0TY/edit#gid=1248694442"",""Table 3: 1st-line HC!BC5:BC111""), $A68=IMPORTRANGE(""https://docs.google.com/spreadsheets/d/1kGrh75X1cNR1D7_FcY9zMnHP8iP"&amp;"O4M5RCRjy6nZY0TY/edit#gid=1248694442"",""Table 3: 1st-line HC!A5:A111"")),"""")"),"")</f>
        <v/>
      </c>
      <c r="F68" s="14" t="str">
        <f>IFERROR(__xludf.DUMMYFUNCTION("IFNA(FILTER(IMPORTRANGE(""https://docs.google.com/spreadsheets/d/1kGrh75X1cNR1D7_FcY9zMnHP8iPO4M5RCRjy6nZY0TY/edit#gid=1248694442"",""Table 3: 1st-line HC!Y5:Y111""), $A68=IMPORTRANGE(""https://docs.google.com/spreadsheets/d/1kGrh75X1cNR1D7_FcY9zMnHP8iPO4"&amp;"M5RCRjy6nZY0TY/edit#gid=1248694442"",""Table 3: 1st-line HC!A5:A111"")),"""")"),"")</f>
        <v/>
      </c>
      <c r="G68" s="14">
        <f>IFERROR(__xludf.DUMMYFUNCTION("IFNA(FILTER(IMPORTRANGE(""https://docs.google.com/spreadsheets/d/1kGrh75X1cNR1D7_FcY9zMnHP8iPO4M5RCRjy6nZY0TY/edit#gid=1248694442"",""Table 3: 1st-line HC!Z5:Z111""), $A68=IMPORTRANGE(""https://docs.google.com/spreadsheets/d/1kGrh75X1cNR1D7_FcY9zMnHP8iPO4"&amp;"M5RCRjy6nZY0TY/edit#gid=1248694442"",""Table 3: 1st-line HC!A5:A111"")),"""")"),67.0)</f>
        <v>67</v>
      </c>
      <c r="H68" s="14" t="str">
        <f>IFERROR(__xludf.DUMMYFUNCTION("IFNA(FILTER(IMPORTRANGE(""https://docs.google.com/spreadsheets/d/1kGrh75X1cNR1D7_FcY9zMnHP8iPO4M5RCRjy6nZY0TY/edit#gid=1248694442"",""Table 3: 1st-line HC!AA5:AA111""), $A68=IMPORTRANGE(""https://docs.google.com/spreadsheets/d/1kGrh75X1cNR1D7_FcY9zMnHP8iP"&amp;"O4M5RCRjy6nZY0TY/edit#gid=1248694442"",""Table 3: 1st-line HC!A5:A111"")),"""")"),"")</f>
        <v/>
      </c>
      <c r="I68" s="14" t="str">
        <f>IFERROR(__xludf.DUMMYFUNCTION("IFNA(FILTER(IMPORTRANGE(""https://docs.google.com/spreadsheets/d/1kGrh75X1cNR1D7_FcY9zMnHP8iPO4M5RCRjy6nZY0TY/edit#gid=1248694442"",""Table 3: 1st-line HC!AB5:AB111""), $A68=IMPORTRANGE(""https://docs.google.com/spreadsheets/d/1kGrh75X1cNR1D7_FcY9zMnHP8iP"&amp;"O4M5RCRjy6nZY0TY/edit#gid=1248694442"",""Table 3: 1st-line HC!A5:A111"")),"""")"),"")</f>
        <v/>
      </c>
      <c r="J68" s="14" t="str">
        <f>IFERROR(__xludf.DUMMYFUNCTION("IFNA(FILTER(IMPORTRANGE(""https://docs.google.com/spreadsheets/d/1kGrh75X1cNR1D7_FcY9zMnHP8iPO4M5RCRjy6nZY0TY/edit#gid=1248694442"",""Table 3: 1st-line HC!AC5:AC111""), $A68=IMPORTRANGE(""https://docs.google.com/spreadsheets/d/1kGrh75X1cNR1D7_FcY9zMnHP8iP"&amp;"O4M5RCRjy6nZY0TY/edit#gid=1248694442"",""Table 3: 1st-line HC!A5:A111"")),"""")"),"")</f>
        <v/>
      </c>
      <c r="K68" s="20" t="str">
        <f>IFERROR(__xludf.DUMMYFUNCTION("IFNA(FILTER(IMPORTRANGE(""https://docs.google.com/spreadsheets/d/1kGrh75X1cNR1D7_FcY9zMnHP8iPO4M5RCRjy6nZY0TY/edit#gid=1248694442"",""Table 3: 1st-line HC!AD5:AD111""), $A68=IMPORTRANGE(""https://docs.google.com/spreadsheets/d/1kGrh75X1cNR1D7_FcY9zMnHP8iP"&amp;"O4M5RCRjy6nZY0TY/edit#gid=1248694442"",""Table 3: 1st-line HC!A5:A111"")),"""")"),"")</f>
        <v/>
      </c>
      <c r="L68" s="14" t="str">
        <f>IFERROR(__xludf.DUMMYFUNCTION("IFNA(FILTER(IMPORTRANGE(""https://docs.google.com/spreadsheets/d/1kGrh75X1cNR1D7_FcY9zMnHP8iPO4M5RCRjy6nZY0TY/edit#gid=1248694442"",""Table 3: 1st-line HC!W5:W111""), $A68=IMPORTRANGE(""https://docs.google.com/spreadsheets/d/1kGrh75X1cNR1D7_FcY9zMnHP8iPO4"&amp;"M5RCRjy6nZY0TY/edit#gid=1248694442"",""Table 3: 1st-line HC!A5:A111"")),"""")"),"")</f>
        <v/>
      </c>
      <c r="M68" s="14" t="str">
        <f>IFERROR(__xludf.DUMMYFUNCTION("IFNA(FILTER(IMPORTRANGE(""https://docs.google.com/spreadsheets/d/1kGrh75X1cNR1D7_FcY9zMnHP8iPO4M5RCRjy6nZY0TY/edit#gid=1248694442"",""Table 3: 1st-line HC!X5:X111""), $A68=IMPORTRANGE(""https://docs.google.com/spreadsheets/d/1kGrh75X1cNR1D7_FcY9zMnHP8iPO4"&amp;"M5RCRjy6nZY0TY/edit#gid=1248694442"",""Table 3: 1st-line HC!A5:A111"")),"""")"),"")</f>
        <v/>
      </c>
      <c r="N68" s="14" t="str">
        <f>IFERROR(__xludf.DUMMYFUNCTION("IFNA(FILTER(IMPORTRANGE(""https://docs.google.com/spreadsheets/d/1kGrh75X1cNR1D7_FcY9zMnHP8iPO4M5RCRjy6nZY0TY/edit#gid=1248694442"",""Table 4: 2nd-line HC or more!C5:C85""), $A68=IMPORTRANGE(""https://docs.google.com/spreadsheets/d/1kGrh75X1cNR1D7_FcY9zMn"&amp;"HP8iPO4M5RCRjy6nZY0TY/edit#gid=1248694442"",""Table 4: 2nd-line HC or more!A5:A85"")),"""")"),"")</f>
        <v/>
      </c>
      <c r="O68" s="14" t="str">
        <f>IFERROR(__xludf.DUMMYFUNCTION("IFNA(FILTER(IMPORTRANGE(""https://docs.google.com/spreadsheets/d/1kGrh75X1cNR1D7_FcY9zMnHP8iPO4M5RCRjy6nZY0TY/edit#gid=1248694442"",""Table 4: 2nd-line HC or more!D5:D85""), $A68=IMPORTRANGE(""https://docs.google.com/spreadsheets/d/1kGrh75X1cNR1D7_FcY9zMn"&amp;"HP8iPO4M5RCRjy6nZY0TY/edit#gid=1248694442"",""Table 4: 2nd-line HC or more!A5:A85"")),"""")"),"")</f>
        <v/>
      </c>
      <c r="P68" s="14" t="str">
        <f>IFERROR(__xludf.DUMMYFUNCTION("IFNA(FILTER(IMPORTRANGE(""https://docs.google.com/spreadsheets/d/1kGrh75X1cNR1D7_FcY9zMnHP8iPO4M5RCRjy6nZY0TY/edit#gid=1248694442"",""Table 4: 2nd-line HC or more!E5:E85""), $A68=IMPORTRANGE(""https://docs.google.com/spreadsheets/d/1kGrh75X1cNR1D7_FcY9zMn"&amp;"HP8iPO4M5RCRjy6nZY0TY/edit#gid=1248694442"",""Table 4: 2nd-line HC or more!A5:A85"")),"""")"),"")</f>
        <v/>
      </c>
      <c r="Q68" s="14" t="str">
        <f>IFERROR(__xludf.DUMMYFUNCTION("IFNA(FILTER(IMPORTRANGE(""https://docs.google.com/spreadsheets/d/1kGrh75X1cNR1D7_FcY9zMnHP8iPO4M5RCRjy6nZY0TY/edit#gid=1248694442"",""Table 4: 2nd-line HC or more!F5:F85""), $A68=IMPORTRANGE(""https://docs.google.com/spreadsheets/d/1kGrh75X1cNR1D7_FcY9zMn"&amp;"HP8iPO4M5RCRjy6nZY0TY/edit#gid=1248694442"",""Table 4: 2nd-line HC or more!A5:A85"")),"""")"),"")</f>
        <v/>
      </c>
      <c r="R68" s="14" t="str">
        <f>IFERROR(__xludf.DUMMYFUNCTION("IFNA(FILTER(IMPORTRANGE(""https://docs.google.com/spreadsheets/d/1kGrh75X1cNR1D7_FcY9zMnHP8iPO4M5RCRjy6nZY0TY/edit#gid=1248694442"",""Table 4: 2nd-line HC or more!G5:G85""), $A68=IMPORTRANGE(""https://docs.google.com/spreadsheets/d/1kGrh75X1cNR1D7_FcY9zMn"&amp;"HP8iPO4M5RCRjy6nZY0TY/edit#gid=1248694442"",""Table 4: 2nd-line HC or more!A5:A85"")),"""")"),"")</f>
        <v/>
      </c>
      <c r="S68" s="14" t="str">
        <f>IFERROR(__xludf.DUMMYFUNCTION("IFNA(FILTER(IMPORTRANGE(""https://docs.google.com/spreadsheets/d/1kGrh75X1cNR1D7_FcY9zMnHP8iPO4M5RCRjy6nZY0TY/edit#gid=1248694442"",""Table 4: 2nd-line HC or more!H5:H85""), $A68=IMPORTRANGE(""https://docs.google.com/spreadsheets/d/1kGrh75X1cNR1D7_FcY9zMn"&amp;"HP8iPO4M5RCRjy6nZY0TY/edit#gid=1248694442"",""Table 4: 2nd-line HC or more!A5:A85"")),"""")"),"")</f>
        <v/>
      </c>
      <c r="T68" s="14" t="str">
        <f>IFERROR(__xludf.DUMMYFUNCTION("IFNA(FILTER(IMPORTRANGE(""https://docs.google.com/spreadsheets/d/1kGrh75X1cNR1D7_FcY9zMnHP8iPO4M5RCRjy6nZY0TY/edit#gid=1248694442"",""Table 3: 1st-line HC!F5:F111""), $A68=IMPORTRANGE(""https://docs.google.com/spreadsheets/d/1kGrh75X1cNR1D7_FcY9zMnHP8iPO4"&amp;"M5RCRjy6nZY0TY/edit#gid=1248694442"",""Table 3: 1st-line HC!A5:A111"")),"""")"),"")</f>
        <v/>
      </c>
      <c r="U68" s="14" t="str">
        <f>IFERROR(__xludf.DUMMYFUNCTION("IFNA(FILTER(IMPORTRANGE(""https://docs.google.com/spreadsheets/d/1kGrh75X1cNR1D7_FcY9zMnHP8iPO4M5RCRjy6nZY0TY/edit#gid=1248694442"",""Table 3: 1st-line HC!G5:G111""), $A68=IMPORTRANGE(""https://docs.google.com/spreadsheets/d/1kGrh75X1cNR1D7_FcY9zMnHP8iPO4"&amp;"M5RCRjy6nZY0TY/edit#gid=1248694442"",""Table 3: 1st-line HC!A5:A111"")),"""")"),"")</f>
        <v/>
      </c>
      <c r="V68" s="14" t="str">
        <f>IFERROR(__xludf.DUMMYFUNCTION("IFNA(FILTER(IMPORTRANGE(""https://docs.google.com/spreadsheets/d/1kGrh75X1cNR1D7_FcY9zMnHP8iPO4M5RCRjy6nZY0TY/edit#gid=1248694442"",""Table 3: 1st-line HC!H5:H111""), $A68=IMPORTRANGE(""https://docs.google.com/spreadsheets/d/1kGrh75X1cNR1D7_FcY9zMnHP8iPO4"&amp;"M5RCRjy6nZY0TY/edit#gid=1248694442"",""Table 3: 1st-line HC!A5:A111"")),"""")"),"")</f>
        <v/>
      </c>
      <c r="W68" s="14" t="str">
        <f>IFERROR(__xludf.DUMMYFUNCTION("IFNA(FILTER(IMPORTRANGE(""https://docs.google.com/spreadsheets/d/1kGrh75X1cNR1D7_FcY9zMnHP8iPO4M5RCRjy6nZY0TY/edit#gid=1248694442"",""Table 3: 1st-line HC!I5:I111""), $A68=IMPORTRANGE(""https://docs.google.com/spreadsheets/d/1kGrh75X1cNR1D7_FcY9zMnHP8iPO4"&amp;"M5RCRjy6nZY0TY/edit#gid=1248694442"",""Table 3: 1st-line HC!A5:A111"")),"""")"),"")</f>
        <v/>
      </c>
    </row>
    <row r="69">
      <c r="A69" s="4" t="str">
        <f>IFERROR(__xludf.DUMMYFUNCTION("""COMPUTED_VALUE"""),"ID 152")</f>
        <v>ID 152</v>
      </c>
      <c r="B69" s="14" t="str">
        <f>IFERROR(__xludf.DUMMYFUNCTION("IFNA(FILTER(IMPORTRANGE(""https://docs.google.com/spreadsheets/d/1kGrh75X1cNR1D7_FcY9zMnHP8iPO4M5RCRjy6nZY0TY/edit#gid=1248694442"",""Table 3: 1st-line HC!AZ5:AZ111""), $A69=IMPORTRANGE(""https://docs.google.com/spreadsheets/d/1kGrh75X1cNR1D7_FcY9zMnHP8iP"&amp;"O4M5RCRjy6nZY0TY/edit#gid=1248694442"",""Table 3: 1st-line HC!A5:A111"")),"""")"),"")</f>
        <v/>
      </c>
      <c r="C69" s="14" t="str">
        <f>IFERROR(__xludf.DUMMYFUNCTION("IFNA(FILTER(IMPORTRANGE(""https://docs.google.com/spreadsheets/d/1kGrh75X1cNR1D7_FcY9zMnHP8iPO4M5RCRjy6nZY0TY/edit#gid=1248694442"",""Table 3: 1st-line HC!BA5:BA111""), $A69=IMPORTRANGE(""https://docs.google.com/spreadsheets/d/1kGrh75X1cNR1D7_FcY9zMnHP8iP"&amp;"O4M5RCRjy6nZY0TY/edit#gid=1248694442"",""Table 3: 1st-line HC!A5:A111"")),"""")"),"")</f>
        <v/>
      </c>
      <c r="D69" s="14" t="str">
        <f>IFERROR(__xludf.DUMMYFUNCTION("IFNA(FILTER(IMPORTRANGE(""https://docs.google.com/spreadsheets/d/1kGrh75X1cNR1D7_FcY9zMnHP8iPO4M5RCRjy6nZY0TY/edit#gid=1248694442"",""Table 3: 1st-line HC!BB5:BB111""), $A69=IMPORTRANGE(""https://docs.google.com/spreadsheets/d/1kGrh75X1cNR1D7_FcY9zMnHP8iP"&amp;"O4M5RCRjy6nZY0TY/edit#gid=1248694442"",""Table 3: 1st-line HC!A5:A111"")),"""")"),"")</f>
        <v/>
      </c>
      <c r="E69" s="19" t="str">
        <f>IFERROR(__xludf.DUMMYFUNCTION("IFNA(FILTER(IMPORTRANGE(""https://docs.google.com/spreadsheets/d/1kGrh75X1cNR1D7_FcY9zMnHP8iPO4M5RCRjy6nZY0TY/edit#gid=1248694442"",""Table 3: 1st-line HC!BC5:BC111""), $A69=IMPORTRANGE(""https://docs.google.com/spreadsheets/d/1kGrh75X1cNR1D7_FcY9zMnHP8iP"&amp;"O4M5RCRjy6nZY0TY/edit#gid=1248694442"",""Table 3: 1st-line HC!A5:A111"")),"""")"),"")</f>
        <v/>
      </c>
      <c r="F69" s="14" t="str">
        <f>IFERROR(__xludf.DUMMYFUNCTION("IFNA(FILTER(IMPORTRANGE(""https://docs.google.com/spreadsheets/d/1kGrh75X1cNR1D7_FcY9zMnHP8iPO4M5RCRjy6nZY0TY/edit#gid=1248694442"",""Table 3: 1st-line HC!Y5:Y111""), $A69=IMPORTRANGE(""https://docs.google.com/spreadsheets/d/1kGrh75X1cNR1D7_FcY9zMnHP8iPO4"&amp;"M5RCRjy6nZY0TY/edit#gid=1248694442"",""Table 3: 1st-line HC!A5:A111"")),"""")"),"")</f>
        <v/>
      </c>
      <c r="G69" s="14">
        <f>IFERROR(__xludf.DUMMYFUNCTION("IFNA(FILTER(IMPORTRANGE(""https://docs.google.com/spreadsheets/d/1kGrh75X1cNR1D7_FcY9zMnHP8iPO4M5RCRjy6nZY0TY/edit#gid=1248694442"",""Table 3: 1st-line HC!Z5:Z111""), $A69=IMPORTRANGE(""https://docs.google.com/spreadsheets/d/1kGrh75X1cNR1D7_FcY9zMnHP8iPO4"&amp;"M5RCRjy6nZY0TY/edit#gid=1248694442"",""Table 3: 1st-line HC!A5:A111"")),"""")"),1212.0)</f>
        <v>1212</v>
      </c>
      <c r="H69" s="14">
        <f>IFERROR(__xludf.DUMMYFUNCTION("IFNA(FILTER(IMPORTRANGE(""https://docs.google.com/spreadsheets/d/1kGrh75X1cNR1D7_FcY9zMnHP8iPO4M5RCRjy6nZY0TY/edit#gid=1248694442"",""Table 3: 1st-line HC!AA5:AA111""), $A69=IMPORTRANGE(""https://docs.google.com/spreadsheets/d/1kGrh75X1cNR1D7_FcY9zMnHP8iP"&amp;"O4M5RCRjy6nZY0TY/edit#gid=1248694442"",""Table 3: 1st-line HC!A5:A111"")),"""")"),62.0)</f>
        <v>62</v>
      </c>
      <c r="I69" s="14" t="str">
        <f>IFERROR(__xludf.DUMMYFUNCTION("IFNA(FILTER(IMPORTRANGE(""https://docs.google.com/spreadsheets/d/1kGrh75X1cNR1D7_FcY9zMnHP8iPO4M5RCRjy6nZY0TY/edit#gid=1248694442"",""Table 3: 1st-line HC!AB5:AB111""), $A69=IMPORTRANGE(""https://docs.google.com/spreadsheets/d/1kGrh75X1cNR1D7_FcY9zMnHP8iP"&amp;"O4M5RCRjy6nZY0TY/edit#gid=1248694442"",""Table 3: 1st-line HC!A5:A111"")),"""")"),"")</f>
        <v/>
      </c>
      <c r="J69" s="14" t="str">
        <f>IFERROR(__xludf.DUMMYFUNCTION("IFNA(FILTER(IMPORTRANGE(""https://docs.google.com/spreadsheets/d/1kGrh75X1cNR1D7_FcY9zMnHP8iPO4M5RCRjy6nZY0TY/edit#gid=1248694442"",""Table 3: 1st-line HC!AC5:AC111""), $A69=IMPORTRANGE(""https://docs.google.com/spreadsheets/d/1kGrh75X1cNR1D7_FcY9zMnHP8iP"&amp;"O4M5RCRjy6nZY0TY/edit#gid=1248694442"",""Table 3: 1st-line HC!A5:A111"")),"""")"),"")</f>
        <v/>
      </c>
      <c r="K69" s="20" t="str">
        <f>IFERROR(__xludf.DUMMYFUNCTION("IFNA(FILTER(IMPORTRANGE(""https://docs.google.com/spreadsheets/d/1kGrh75X1cNR1D7_FcY9zMnHP8iPO4M5RCRjy6nZY0TY/edit#gid=1248694442"",""Table 3: 1st-line HC!AD5:AD111""), $A69=IMPORTRANGE(""https://docs.google.com/spreadsheets/d/1kGrh75X1cNR1D7_FcY9zMnHP8iP"&amp;"O4M5RCRjy6nZY0TY/edit#gid=1248694442"",""Table 3: 1st-line HC!A5:A111"")),"""")"),"")</f>
        <v/>
      </c>
      <c r="L69" s="14" t="str">
        <f>IFERROR(__xludf.DUMMYFUNCTION("IFNA(FILTER(IMPORTRANGE(""https://docs.google.com/spreadsheets/d/1kGrh75X1cNR1D7_FcY9zMnHP8iPO4M5RCRjy6nZY0TY/edit#gid=1248694442"",""Table 3: 1st-line HC!W5:W111""), $A69=IMPORTRANGE(""https://docs.google.com/spreadsheets/d/1kGrh75X1cNR1D7_FcY9zMnHP8iPO4"&amp;"M5RCRjy6nZY0TY/edit#gid=1248694442"",""Table 3: 1st-line HC!A5:A111"")),"""")"),"")</f>
        <v/>
      </c>
      <c r="M69" s="14" t="str">
        <f>IFERROR(__xludf.DUMMYFUNCTION("IFNA(FILTER(IMPORTRANGE(""https://docs.google.com/spreadsheets/d/1kGrh75X1cNR1D7_FcY9zMnHP8iPO4M5RCRjy6nZY0TY/edit#gid=1248694442"",""Table 3: 1st-line HC!X5:X111""), $A69=IMPORTRANGE(""https://docs.google.com/spreadsheets/d/1kGrh75X1cNR1D7_FcY9zMnHP8iPO4"&amp;"M5RCRjy6nZY0TY/edit#gid=1248694442"",""Table 3: 1st-line HC!A5:A111"")),"""")"),"")</f>
        <v/>
      </c>
      <c r="N69" s="14" t="str">
        <f>IFERROR(__xludf.DUMMYFUNCTION("IFNA(FILTER(IMPORTRANGE(""https://docs.google.com/spreadsheets/d/1kGrh75X1cNR1D7_FcY9zMnHP8iPO4M5RCRjy6nZY0TY/edit#gid=1248694442"",""Table 4: 2nd-line HC or more!C5:C85""), $A69=IMPORTRANGE(""https://docs.google.com/spreadsheets/d/1kGrh75X1cNR1D7_FcY9zMn"&amp;"HP8iPO4M5RCRjy6nZY0TY/edit#gid=1248694442"",""Table 4: 2nd-line HC or more!A5:A85"")),"""")"),"")</f>
        <v/>
      </c>
      <c r="O69" s="14" t="str">
        <f>IFERROR(__xludf.DUMMYFUNCTION("IFNA(FILTER(IMPORTRANGE(""https://docs.google.com/spreadsheets/d/1kGrh75X1cNR1D7_FcY9zMnHP8iPO4M5RCRjy6nZY0TY/edit#gid=1248694442"",""Table 4: 2nd-line HC or more!D5:D85""), $A69=IMPORTRANGE(""https://docs.google.com/spreadsheets/d/1kGrh75X1cNR1D7_FcY9zMn"&amp;"HP8iPO4M5RCRjy6nZY0TY/edit#gid=1248694442"",""Table 4: 2nd-line HC or more!A5:A85"")),"""")"),"")</f>
        <v/>
      </c>
      <c r="P69" s="14" t="str">
        <f>IFERROR(__xludf.DUMMYFUNCTION("IFNA(FILTER(IMPORTRANGE(""https://docs.google.com/spreadsheets/d/1kGrh75X1cNR1D7_FcY9zMnHP8iPO4M5RCRjy6nZY0TY/edit#gid=1248694442"",""Table 4: 2nd-line HC or more!E5:E85""), $A69=IMPORTRANGE(""https://docs.google.com/spreadsheets/d/1kGrh75X1cNR1D7_FcY9zMn"&amp;"HP8iPO4M5RCRjy6nZY0TY/edit#gid=1248694442"",""Table 4: 2nd-line HC or more!A5:A85"")),"""")"),"")</f>
        <v/>
      </c>
      <c r="Q69" s="14" t="str">
        <f>IFERROR(__xludf.DUMMYFUNCTION("IFNA(FILTER(IMPORTRANGE(""https://docs.google.com/spreadsheets/d/1kGrh75X1cNR1D7_FcY9zMnHP8iPO4M5RCRjy6nZY0TY/edit#gid=1248694442"",""Table 4: 2nd-line HC or more!F5:F85""), $A69=IMPORTRANGE(""https://docs.google.com/spreadsheets/d/1kGrh75X1cNR1D7_FcY9zMn"&amp;"HP8iPO4M5RCRjy6nZY0TY/edit#gid=1248694442"",""Table 4: 2nd-line HC or more!A5:A85"")),"""")"),"")</f>
        <v/>
      </c>
      <c r="R69" s="14" t="str">
        <f>IFERROR(__xludf.DUMMYFUNCTION("IFNA(FILTER(IMPORTRANGE(""https://docs.google.com/spreadsheets/d/1kGrh75X1cNR1D7_FcY9zMnHP8iPO4M5RCRjy6nZY0TY/edit#gid=1248694442"",""Table 4: 2nd-line HC or more!G5:G85""), $A69=IMPORTRANGE(""https://docs.google.com/spreadsheets/d/1kGrh75X1cNR1D7_FcY9zMn"&amp;"HP8iPO4M5RCRjy6nZY0TY/edit#gid=1248694442"",""Table 4: 2nd-line HC or more!A5:A85"")),"""")"),"")</f>
        <v/>
      </c>
      <c r="S69" s="14" t="str">
        <f>IFERROR(__xludf.DUMMYFUNCTION("IFNA(FILTER(IMPORTRANGE(""https://docs.google.com/spreadsheets/d/1kGrh75X1cNR1D7_FcY9zMnHP8iPO4M5RCRjy6nZY0TY/edit#gid=1248694442"",""Table 4: 2nd-line HC or more!H5:H85""), $A69=IMPORTRANGE(""https://docs.google.com/spreadsheets/d/1kGrh75X1cNR1D7_FcY9zMn"&amp;"HP8iPO4M5RCRjy6nZY0TY/edit#gid=1248694442"",""Table 4: 2nd-line HC or more!A5:A85"")),"""")"),"")</f>
        <v/>
      </c>
      <c r="T69" s="14" t="str">
        <f>IFERROR(__xludf.DUMMYFUNCTION("IFNA(FILTER(IMPORTRANGE(""https://docs.google.com/spreadsheets/d/1kGrh75X1cNR1D7_FcY9zMnHP8iPO4M5RCRjy6nZY0TY/edit#gid=1248694442"",""Table 3: 1st-line HC!F5:F111""), $A69=IMPORTRANGE(""https://docs.google.com/spreadsheets/d/1kGrh75X1cNR1D7_FcY9zMnHP8iPO4"&amp;"M5RCRjy6nZY0TY/edit#gid=1248694442"",""Table 3: 1st-line HC!A5:A111"")),"""")"),"")</f>
        <v/>
      </c>
      <c r="U69" s="14" t="str">
        <f>IFERROR(__xludf.DUMMYFUNCTION("IFNA(FILTER(IMPORTRANGE(""https://docs.google.com/spreadsheets/d/1kGrh75X1cNR1D7_FcY9zMnHP8iPO4M5RCRjy6nZY0TY/edit#gid=1248694442"",""Table 3: 1st-line HC!G5:G111""), $A69=IMPORTRANGE(""https://docs.google.com/spreadsheets/d/1kGrh75X1cNR1D7_FcY9zMnHP8iPO4"&amp;"M5RCRjy6nZY0TY/edit#gid=1248694442"",""Table 3: 1st-line HC!A5:A111"")),"""")"),"")</f>
        <v/>
      </c>
      <c r="V69" s="14" t="str">
        <f>IFERROR(__xludf.DUMMYFUNCTION("IFNA(FILTER(IMPORTRANGE(""https://docs.google.com/spreadsheets/d/1kGrh75X1cNR1D7_FcY9zMnHP8iPO4M5RCRjy6nZY0TY/edit#gid=1248694442"",""Table 3: 1st-line HC!H5:H111""), $A69=IMPORTRANGE(""https://docs.google.com/spreadsheets/d/1kGrh75X1cNR1D7_FcY9zMnHP8iPO4"&amp;"M5RCRjy6nZY0TY/edit#gid=1248694442"",""Table 3: 1st-line HC!A5:A111"")),"""")"),"")</f>
        <v/>
      </c>
      <c r="W69" s="14" t="str">
        <f>IFERROR(__xludf.DUMMYFUNCTION("IFNA(FILTER(IMPORTRANGE(""https://docs.google.com/spreadsheets/d/1kGrh75X1cNR1D7_FcY9zMnHP8iPO4M5RCRjy6nZY0TY/edit#gid=1248694442"",""Table 3: 1st-line HC!I5:I111""), $A69=IMPORTRANGE(""https://docs.google.com/spreadsheets/d/1kGrh75X1cNR1D7_FcY9zMnHP8iPO4"&amp;"M5RCRjy6nZY0TY/edit#gid=1248694442"",""Table 3: 1st-line HC!A5:A111"")),"""")"),"")</f>
        <v/>
      </c>
    </row>
    <row r="70">
      <c r="A70" s="4" t="str">
        <f>IFERROR(__xludf.DUMMYFUNCTION("""COMPUTED_VALUE"""),"ID 153")</f>
        <v>ID 153</v>
      </c>
      <c r="B70" s="14" t="str">
        <f>IFERROR(__xludf.DUMMYFUNCTION("IFNA(FILTER(IMPORTRANGE(""https://docs.google.com/spreadsheets/d/1kGrh75X1cNR1D7_FcY9zMnHP8iPO4M5RCRjy6nZY0TY/edit#gid=1248694442"",""Table 3: 1st-line HC!AZ5:AZ111""), $A70=IMPORTRANGE(""https://docs.google.com/spreadsheets/d/1kGrh75X1cNR1D7_FcY9zMnHP8iP"&amp;"O4M5RCRjy6nZY0TY/edit#gid=1248694442"",""Table 3: 1st-line HC!A5:A111"")),"""")"),"")</f>
        <v/>
      </c>
      <c r="C70" s="14" t="str">
        <f>IFERROR(__xludf.DUMMYFUNCTION("IFNA(FILTER(IMPORTRANGE(""https://docs.google.com/spreadsheets/d/1kGrh75X1cNR1D7_FcY9zMnHP8iPO4M5RCRjy6nZY0TY/edit#gid=1248694442"",""Table 3: 1st-line HC!BA5:BA111""), $A70=IMPORTRANGE(""https://docs.google.com/spreadsheets/d/1kGrh75X1cNR1D7_FcY9zMnHP8iP"&amp;"O4M5RCRjy6nZY0TY/edit#gid=1248694442"",""Table 3: 1st-line HC!A5:A111"")),"""")"),"")</f>
        <v/>
      </c>
      <c r="D70" s="14" t="str">
        <f>IFERROR(__xludf.DUMMYFUNCTION("IFNA(FILTER(IMPORTRANGE(""https://docs.google.com/spreadsheets/d/1kGrh75X1cNR1D7_FcY9zMnHP8iPO4M5RCRjy6nZY0TY/edit#gid=1248694442"",""Table 3: 1st-line HC!BB5:BB111""), $A70=IMPORTRANGE(""https://docs.google.com/spreadsheets/d/1kGrh75X1cNR1D7_FcY9zMnHP8iP"&amp;"O4M5RCRjy6nZY0TY/edit#gid=1248694442"",""Table 3: 1st-line HC!A5:A111"")),"""")"),"")</f>
        <v/>
      </c>
      <c r="E70" s="19" t="str">
        <f>IFERROR(__xludf.DUMMYFUNCTION("IFNA(FILTER(IMPORTRANGE(""https://docs.google.com/spreadsheets/d/1kGrh75X1cNR1D7_FcY9zMnHP8iPO4M5RCRjy6nZY0TY/edit#gid=1248694442"",""Table 3: 1st-line HC!BC5:BC111""), $A70=IMPORTRANGE(""https://docs.google.com/spreadsheets/d/1kGrh75X1cNR1D7_FcY9zMnHP8iP"&amp;"O4M5RCRjy6nZY0TY/edit#gid=1248694442"",""Table 3: 1st-line HC!A5:A111"")),"""")"),"")</f>
        <v/>
      </c>
      <c r="F70" s="14" t="str">
        <f>IFERROR(__xludf.DUMMYFUNCTION("IFNA(FILTER(IMPORTRANGE(""https://docs.google.com/spreadsheets/d/1kGrh75X1cNR1D7_FcY9zMnHP8iPO4M5RCRjy6nZY0TY/edit#gid=1248694442"",""Table 3: 1st-line HC!Y5:Y111""), $A70=IMPORTRANGE(""https://docs.google.com/spreadsheets/d/1kGrh75X1cNR1D7_FcY9zMnHP8iPO4"&amp;"M5RCRjy6nZY0TY/edit#gid=1248694442"",""Table 3: 1st-line HC!A5:A111"")),"""")"),"")</f>
        <v/>
      </c>
      <c r="G70" s="14">
        <f>IFERROR(__xludf.DUMMYFUNCTION("IFNA(FILTER(IMPORTRANGE(""https://docs.google.com/spreadsheets/d/1kGrh75X1cNR1D7_FcY9zMnHP8iPO4M5RCRjy6nZY0TY/edit#gid=1248694442"",""Table 3: 1st-line HC!Z5:Z111""), $A70=IMPORTRANGE(""https://docs.google.com/spreadsheets/d/1kGrh75X1cNR1D7_FcY9zMnHP8iPO4"&amp;"M5RCRjy6nZY0TY/edit#gid=1248694442"",""Table 3: 1st-line HC!A5:A111"")),"""")"),34.0)</f>
        <v>34</v>
      </c>
      <c r="H70" s="14" t="str">
        <f>IFERROR(__xludf.DUMMYFUNCTION("IFNA(FILTER(IMPORTRANGE(""https://docs.google.com/spreadsheets/d/1kGrh75X1cNR1D7_FcY9zMnHP8iPO4M5RCRjy6nZY0TY/edit#gid=1248694442"",""Table 3: 1st-line HC!AA5:AA111""), $A70=IMPORTRANGE(""https://docs.google.com/spreadsheets/d/1kGrh75X1cNR1D7_FcY9zMnHP8iP"&amp;"O4M5RCRjy6nZY0TY/edit#gid=1248694442"",""Table 3: 1st-line HC!A5:A111"")),"""")"),"")</f>
        <v/>
      </c>
      <c r="I70" s="14" t="str">
        <f>IFERROR(__xludf.DUMMYFUNCTION("IFNA(FILTER(IMPORTRANGE(""https://docs.google.com/spreadsheets/d/1kGrh75X1cNR1D7_FcY9zMnHP8iPO4M5RCRjy6nZY0TY/edit#gid=1248694442"",""Table 3: 1st-line HC!AB5:AB111""), $A70=IMPORTRANGE(""https://docs.google.com/spreadsheets/d/1kGrh75X1cNR1D7_FcY9zMnHP8iP"&amp;"O4M5RCRjy6nZY0TY/edit#gid=1248694442"",""Table 3: 1st-line HC!A5:A111"")),"""")"),"")</f>
        <v/>
      </c>
      <c r="J70" s="14" t="str">
        <f>IFERROR(__xludf.DUMMYFUNCTION("IFNA(FILTER(IMPORTRANGE(""https://docs.google.com/spreadsheets/d/1kGrh75X1cNR1D7_FcY9zMnHP8iPO4M5RCRjy6nZY0TY/edit#gid=1248694442"",""Table 3: 1st-line HC!AC5:AC111""), $A70=IMPORTRANGE(""https://docs.google.com/spreadsheets/d/1kGrh75X1cNR1D7_FcY9zMnHP8iP"&amp;"O4M5RCRjy6nZY0TY/edit#gid=1248694442"",""Table 3: 1st-line HC!A5:A111"")),"""")"),"")</f>
        <v/>
      </c>
      <c r="K70" s="20" t="str">
        <f>IFERROR(__xludf.DUMMYFUNCTION("IFNA(FILTER(IMPORTRANGE(""https://docs.google.com/spreadsheets/d/1kGrh75X1cNR1D7_FcY9zMnHP8iPO4M5RCRjy6nZY0TY/edit#gid=1248694442"",""Table 3: 1st-line HC!AD5:AD111""), $A70=IMPORTRANGE(""https://docs.google.com/spreadsheets/d/1kGrh75X1cNR1D7_FcY9zMnHP8iP"&amp;"O4M5RCRjy6nZY0TY/edit#gid=1248694442"",""Table 3: 1st-line HC!A5:A111"")),"""")"),"")</f>
        <v/>
      </c>
      <c r="L70" s="14" t="str">
        <f>IFERROR(__xludf.DUMMYFUNCTION("IFNA(FILTER(IMPORTRANGE(""https://docs.google.com/spreadsheets/d/1kGrh75X1cNR1D7_FcY9zMnHP8iPO4M5RCRjy6nZY0TY/edit#gid=1248694442"",""Table 3: 1st-line HC!W5:W111""), $A70=IMPORTRANGE(""https://docs.google.com/spreadsheets/d/1kGrh75X1cNR1D7_FcY9zMnHP8iPO4"&amp;"M5RCRjy6nZY0TY/edit#gid=1248694442"",""Table 3: 1st-line HC!A5:A111"")),"""")"),"")</f>
        <v/>
      </c>
      <c r="M70" s="14" t="str">
        <f>IFERROR(__xludf.DUMMYFUNCTION("IFNA(FILTER(IMPORTRANGE(""https://docs.google.com/spreadsheets/d/1kGrh75X1cNR1D7_FcY9zMnHP8iPO4M5RCRjy6nZY0TY/edit#gid=1248694442"",""Table 3: 1st-line HC!X5:X111""), $A70=IMPORTRANGE(""https://docs.google.com/spreadsheets/d/1kGrh75X1cNR1D7_FcY9zMnHP8iPO4"&amp;"M5RCRjy6nZY0TY/edit#gid=1248694442"",""Table 3: 1st-line HC!A5:A111"")),"""")"),"")</f>
        <v/>
      </c>
      <c r="N70" s="14" t="str">
        <f>IFERROR(__xludf.DUMMYFUNCTION("IFNA(FILTER(IMPORTRANGE(""https://docs.google.com/spreadsheets/d/1kGrh75X1cNR1D7_FcY9zMnHP8iPO4M5RCRjy6nZY0TY/edit#gid=1248694442"",""Table 4: 2nd-line HC or more!C5:C85""), $A70=IMPORTRANGE(""https://docs.google.com/spreadsheets/d/1kGrh75X1cNR1D7_FcY9zMn"&amp;"HP8iPO4M5RCRjy6nZY0TY/edit#gid=1248694442"",""Table 4: 2nd-line HC or more!A5:A85"")),"""")"),"")</f>
        <v/>
      </c>
      <c r="O70" s="14" t="str">
        <f>IFERROR(__xludf.DUMMYFUNCTION("IFNA(FILTER(IMPORTRANGE(""https://docs.google.com/spreadsheets/d/1kGrh75X1cNR1D7_FcY9zMnHP8iPO4M5RCRjy6nZY0TY/edit#gid=1248694442"",""Table 4: 2nd-line HC or more!D5:D85""), $A70=IMPORTRANGE(""https://docs.google.com/spreadsheets/d/1kGrh75X1cNR1D7_FcY9zMn"&amp;"HP8iPO4M5RCRjy6nZY0TY/edit#gid=1248694442"",""Table 4: 2nd-line HC or more!A5:A85"")),"""")"),"")</f>
        <v/>
      </c>
      <c r="P70" s="14" t="str">
        <f>IFERROR(__xludf.DUMMYFUNCTION("IFNA(FILTER(IMPORTRANGE(""https://docs.google.com/spreadsheets/d/1kGrh75X1cNR1D7_FcY9zMnHP8iPO4M5RCRjy6nZY0TY/edit#gid=1248694442"",""Table 4: 2nd-line HC or more!E5:E85""), $A70=IMPORTRANGE(""https://docs.google.com/spreadsheets/d/1kGrh75X1cNR1D7_FcY9zMn"&amp;"HP8iPO4M5RCRjy6nZY0TY/edit#gid=1248694442"",""Table 4: 2nd-line HC or more!A5:A85"")),"""")"),"")</f>
        <v/>
      </c>
      <c r="Q70" s="14" t="str">
        <f>IFERROR(__xludf.DUMMYFUNCTION("IFNA(FILTER(IMPORTRANGE(""https://docs.google.com/spreadsheets/d/1kGrh75X1cNR1D7_FcY9zMnHP8iPO4M5RCRjy6nZY0TY/edit#gid=1248694442"",""Table 4: 2nd-line HC or more!F5:F85""), $A70=IMPORTRANGE(""https://docs.google.com/spreadsheets/d/1kGrh75X1cNR1D7_FcY9zMn"&amp;"HP8iPO4M5RCRjy6nZY0TY/edit#gid=1248694442"",""Table 4: 2nd-line HC or more!A5:A85"")),"""")"),"")</f>
        <v/>
      </c>
      <c r="R70" s="14" t="str">
        <f>IFERROR(__xludf.DUMMYFUNCTION("IFNA(FILTER(IMPORTRANGE(""https://docs.google.com/spreadsheets/d/1kGrh75X1cNR1D7_FcY9zMnHP8iPO4M5RCRjy6nZY0TY/edit#gid=1248694442"",""Table 4: 2nd-line HC or more!G5:G85""), $A70=IMPORTRANGE(""https://docs.google.com/spreadsheets/d/1kGrh75X1cNR1D7_FcY9zMn"&amp;"HP8iPO4M5RCRjy6nZY0TY/edit#gid=1248694442"",""Table 4: 2nd-line HC or more!A5:A85"")),"""")"),"")</f>
        <v/>
      </c>
      <c r="S70" s="14" t="str">
        <f>IFERROR(__xludf.DUMMYFUNCTION("IFNA(FILTER(IMPORTRANGE(""https://docs.google.com/spreadsheets/d/1kGrh75X1cNR1D7_FcY9zMnHP8iPO4M5RCRjy6nZY0TY/edit#gid=1248694442"",""Table 4: 2nd-line HC or more!H5:H85""), $A70=IMPORTRANGE(""https://docs.google.com/spreadsheets/d/1kGrh75X1cNR1D7_FcY9zMn"&amp;"HP8iPO4M5RCRjy6nZY0TY/edit#gid=1248694442"",""Table 4: 2nd-line HC or more!A5:A85"")),"""")"),"")</f>
        <v/>
      </c>
      <c r="T70" s="14" t="str">
        <f>IFERROR(__xludf.DUMMYFUNCTION("IFNA(FILTER(IMPORTRANGE(""https://docs.google.com/spreadsheets/d/1kGrh75X1cNR1D7_FcY9zMnHP8iPO4M5RCRjy6nZY0TY/edit#gid=1248694442"",""Table 3: 1st-line HC!F5:F111""), $A70=IMPORTRANGE(""https://docs.google.com/spreadsheets/d/1kGrh75X1cNR1D7_FcY9zMnHP8iPO4"&amp;"M5RCRjy6nZY0TY/edit#gid=1248694442"",""Table 3: 1st-line HC!A5:A111"")),"""")"),"")</f>
        <v/>
      </c>
      <c r="U70" s="14">
        <f>IFERROR(__xludf.DUMMYFUNCTION("IFNA(FILTER(IMPORTRANGE(""https://docs.google.com/spreadsheets/d/1kGrh75X1cNR1D7_FcY9zMnHP8iPO4M5RCRjy6nZY0TY/edit#gid=1248694442"",""Table 3: 1st-line HC!G5:G111""), $A70=IMPORTRANGE(""https://docs.google.com/spreadsheets/d/1kGrh75X1cNR1D7_FcY9zMnHP8iPO4"&amp;"M5RCRjy6nZY0TY/edit#gid=1248694442"",""Table 3: 1st-line HC!A5:A111"")),"""")"),34.0)</f>
        <v>34</v>
      </c>
      <c r="V70" s="14" t="str">
        <f>IFERROR(__xludf.DUMMYFUNCTION("IFNA(FILTER(IMPORTRANGE(""https://docs.google.com/spreadsheets/d/1kGrh75X1cNR1D7_FcY9zMnHP8iPO4M5RCRjy6nZY0TY/edit#gid=1248694442"",""Table 3: 1st-line HC!H5:H111""), $A70=IMPORTRANGE(""https://docs.google.com/spreadsheets/d/1kGrh75X1cNR1D7_FcY9zMnHP8iPO4"&amp;"M5RCRjy6nZY0TY/edit#gid=1248694442"",""Table 3: 1st-line HC!A5:A111"")),"""")"),"")</f>
        <v/>
      </c>
      <c r="W70" s="14" t="str">
        <f>IFERROR(__xludf.DUMMYFUNCTION("IFNA(FILTER(IMPORTRANGE(""https://docs.google.com/spreadsheets/d/1kGrh75X1cNR1D7_FcY9zMnHP8iPO4M5RCRjy6nZY0TY/edit#gid=1248694442"",""Table 3: 1st-line HC!I5:I111""), $A70=IMPORTRANGE(""https://docs.google.com/spreadsheets/d/1kGrh75X1cNR1D7_FcY9zMnHP8iPO4"&amp;"M5RCRjy6nZY0TY/edit#gid=1248694442"",""Table 3: 1st-line HC!A5:A111"")),"""")"),"")</f>
        <v/>
      </c>
    </row>
    <row r="71">
      <c r="A71" s="4" t="str">
        <f>IFERROR(__xludf.DUMMYFUNCTION("""COMPUTED_VALUE"""),"ID 154")</f>
        <v>ID 154</v>
      </c>
      <c r="B71" s="14" t="str">
        <f>IFERROR(__xludf.DUMMYFUNCTION("IFNA(FILTER(IMPORTRANGE(""https://docs.google.com/spreadsheets/d/1kGrh75X1cNR1D7_FcY9zMnHP8iPO4M5RCRjy6nZY0TY/edit#gid=1248694442"",""Table 3: 1st-line HC!AZ5:AZ111""), $A71=IMPORTRANGE(""https://docs.google.com/spreadsheets/d/1kGrh75X1cNR1D7_FcY9zMnHP8iP"&amp;"O4M5RCRjy6nZY0TY/edit#gid=1248694442"",""Table 3: 1st-line HC!A5:A111"")),"""")"),"")</f>
        <v/>
      </c>
      <c r="C71" s="14" t="str">
        <f>IFERROR(__xludf.DUMMYFUNCTION("IFNA(FILTER(IMPORTRANGE(""https://docs.google.com/spreadsheets/d/1kGrh75X1cNR1D7_FcY9zMnHP8iPO4M5RCRjy6nZY0TY/edit#gid=1248694442"",""Table 3: 1st-line HC!BA5:BA111""), $A71=IMPORTRANGE(""https://docs.google.com/spreadsheets/d/1kGrh75X1cNR1D7_FcY9zMnHP8iP"&amp;"O4M5RCRjy6nZY0TY/edit#gid=1248694442"",""Table 3: 1st-line HC!A5:A111"")),"""")"),"")</f>
        <v/>
      </c>
      <c r="D71" s="14" t="str">
        <f>IFERROR(__xludf.DUMMYFUNCTION("IFNA(FILTER(IMPORTRANGE(""https://docs.google.com/spreadsheets/d/1kGrh75X1cNR1D7_FcY9zMnHP8iPO4M5RCRjy6nZY0TY/edit#gid=1248694442"",""Table 3: 1st-line HC!BB5:BB111""), $A71=IMPORTRANGE(""https://docs.google.com/spreadsheets/d/1kGrh75X1cNR1D7_FcY9zMnHP8iP"&amp;"O4M5RCRjy6nZY0TY/edit#gid=1248694442"",""Table 3: 1st-line HC!A5:A111"")),"""")"),"")</f>
        <v/>
      </c>
      <c r="E71" s="19" t="str">
        <f>IFERROR(__xludf.DUMMYFUNCTION("IFNA(FILTER(IMPORTRANGE(""https://docs.google.com/spreadsheets/d/1kGrh75X1cNR1D7_FcY9zMnHP8iPO4M5RCRjy6nZY0TY/edit#gid=1248694442"",""Table 3: 1st-line HC!BC5:BC111""), $A71=IMPORTRANGE(""https://docs.google.com/spreadsheets/d/1kGrh75X1cNR1D7_FcY9zMnHP8iP"&amp;"O4M5RCRjy6nZY0TY/edit#gid=1248694442"",""Table 3: 1st-line HC!A5:A111"")),"""")"),"")</f>
        <v/>
      </c>
      <c r="F71" s="14" t="str">
        <f>IFERROR(__xludf.DUMMYFUNCTION("IFNA(FILTER(IMPORTRANGE(""https://docs.google.com/spreadsheets/d/1kGrh75X1cNR1D7_FcY9zMnHP8iPO4M5RCRjy6nZY0TY/edit#gid=1248694442"",""Table 3: 1st-line HC!Y5:Y111""), $A71=IMPORTRANGE(""https://docs.google.com/spreadsheets/d/1kGrh75X1cNR1D7_FcY9zMnHP8iPO4"&amp;"M5RCRjy6nZY0TY/edit#gid=1248694442"",""Table 3: 1st-line HC!A5:A111"")),"""")"),"")</f>
        <v/>
      </c>
      <c r="G71" s="14">
        <f>IFERROR(__xludf.DUMMYFUNCTION("IFNA(FILTER(IMPORTRANGE(""https://docs.google.com/spreadsheets/d/1kGrh75X1cNR1D7_FcY9zMnHP8iPO4M5RCRjy6nZY0TY/edit#gid=1248694442"",""Table 3: 1st-line HC!Z5:Z111""), $A71=IMPORTRANGE(""https://docs.google.com/spreadsheets/d/1kGrh75X1cNR1D7_FcY9zMnHP8iPO4"&amp;"M5RCRjy6nZY0TY/edit#gid=1248694442"",""Table 3: 1st-line HC!A5:A111"")),"""")"),116.0)</f>
        <v>116</v>
      </c>
      <c r="H71" s="14" t="str">
        <f>IFERROR(__xludf.DUMMYFUNCTION("IFNA(FILTER(IMPORTRANGE(""https://docs.google.com/spreadsheets/d/1kGrh75X1cNR1D7_FcY9zMnHP8iPO4M5RCRjy6nZY0TY/edit#gid=1248694442"",""Table 3: 1st-line HC!AA5:AA111""), $A71=IMPORTRANGE(""https://docs.google.com/spreadsheets/d/1kGrh75X1cNR1D7_FcY9zMnHP8iP"&amp;"O4M5RCRjy6nZY0TY/edit#gid=1248694442"",""Table 3: 1st-line HC!A5:A111"")),"""")"),"")</f>
        <v/>
      </c>
      <c r="I71" s="14" t="str">
        <f>IFERROR(__xludf.DUMMYFUNCTION("IFNA(FILTER(IMPORTRANGE(""https://docs.google.com/spreadsheets/d/1kGrh75X1cNR1D7_FcY9zMnHP8iPO4M5RCRjy6nZY0TY/edit#gid=1248694442"",""Table 3: 1st-line HC!AB5:AB111""), $A71=IMPORTRANGE(""https://docs.google.com/spreadsheets/d/1kGrh75X1cNR1D7_FcY9zMnHP8iP"&amp;"O4M5RCRjy6nZY0TY/edit#gid=1248694442"",""Table 3: 1st-line HC!A5:A111"")),"""")"),"")</f>
        <v/>
      </c>
      <c r="J71" s="14" t="str">
        <f>IFERROR(__xludf.DUMMYFUNCTION("IFNA(FILTER(IMPORTRANGE(""https://docs.google.com/spreadsheets/d/1kGrh75X1cNR1D7_FcY9zMnHP8iPO4M5RCRjy6nZY0TY/edit#gid=1248694442"",""Table 3: 1st-line HC!AC5:AC111""), $A71=IMPORTRANGE(""https://docs.google.com/spreadsheets/d/1kGrh75X1cNR1D7_FcY9zMnHP8iP"&amp;"O4M5RCRjy6nZY0TY/edit#gid=1248694442"",""Table 3: 1st-line HC!A5:A111"")),"""")"),"")</f>
        <v/>
      </c>
      <c r="K71" s="20" t="str">
        <f>IFERROR(__xludf.DUMMYFUNCTION("IFNA(FILTER(IMPORTRANGE(""https://docs.google.com/spreadsheets/d/1kGrh75X1cNR1D7_FcY9zMnHP8iPO4M5RCRjy6nZY0TY/edit#gid=1248694442"",""Table 3: 1st-line HC!AD5:AD111""), $A71=IMPORTRANGE(""https://docs.google.com/spreadsheets/d/1kGrh75X1cNR1D7_FcY9zMnHP8iP"&amp;"O4M5RCRjy6nZY0TY/edit#gid=1248694442"",""Table 3: 1st-line HC!A5:A111"")),"""")"),"")</f>
        <v/>
      </c>
      <c r="L71" s="14" t="str">
        <f>IFERROR(__xludf.DUMMYFUNCTION("IFNA(FILTER(IMPORTRANGE(""https://docs.google.com/spreadsheets/d/1kGrh75X1cNR1D7_FcY9zMnHP8iPO4M5RCRjy6nZY0TY/edit#gid=1248694442"",""Table 3: 1st-line HC!W5:W111""), $A71=IMPORTRANGE(""https://docs.google.com/spreadsheets/d/1kGrh75X1cNR1D7_FcY9zMnHP8iPO4"&amp;"M5RCRjy6nZY0TY/edit#gid=1248694442"",""Table 3: 1st-line HC!A5:A111"")),"""")"),"")</f>
        <v/>
      </c>
      <c r="M71" s="14" t="str">
        <f>IFERROR(__xludf.DUMMYFUNCTION("IFNA(FILTER(IMPORTRANGE(""https://docs.google.com/spreadsheets/d/1kGrh75X1cNR1D7_FcY9zMnHP8iPO4M5RCRjy6nZY0TY/edit#gid=1248694442"",""Table 3: 1st-line HC!X5:X111""), $A71=IMPORTRANGE(""https://docs.google.com/spreadsheets/d/1kGrh75X1cNR1D7_FcY9zMnHP8iPO4"&amp;"M5RCRjy6nZY0TY/edit#gid=1248694442"",""Table 3: 1st-line HC!A5:A111"")),"""")"),"")</f>
        <v/>
      </c>
      <c r="N71" s="14" t="str">
        <f>IFERROR(__xludf.DUMMYFUNCTION("IFNA(FILTER(IMPORTRANGE(""https://docs.google.com/spreadsheets/d/1kGrh75X1cNR1D7_FcY9zMnHP8iPO4M5RCRjy6nZY0TY/edit#gid=1248694442"",""Table 4: 2nd-line HC or more!C5:C85""), $A71=IMPORTRANGE(""https://docs.google.com/spreadsheets/d/1kGrh75X1cNR1D7_FcY9zMn"&amp;"HP8iPO4M5RCRjy6nZY0TY/edit#gid=1248694442"",""Table 4: 2nd-line HC or more!A5:A85"")),"""")"),"")</f>
        <v/>
      </c>
      <c r="O71" s="14" t="str">
        <f>IFERROR(__xludf.DUMMYFUNCTION("IFNA(FILTER(IMPORTRANGE(""https://docs.google.com/spreadsheets/d/1kGrh75X1cNR1D7_FcY9zMnHP8iPO4M5RCRjy6nZY0TY/edit#gid=1248694442"",""Table 4: 2nd-line HC or more!D5:D85""), $A71=IMPORTRANGE(""https://docs.google.com/spreadsheets/d/1kGrh75X1cNR1D7_FcY9zMn"&amp;"HP8iPO4M5RCRjy6nZY0TY/edit#gid=1248694442"",""Table 4: 2nd-line HC or more!A5:A85"")),"""")"),"")</f>
        <v/>
      </c>
      <c r="P71" s="14" t="str">
        <f>IFERROR(__xludf.DUMMYFUNCTION("IFNA(FILTER(IMPORTRANGE(""https://docs.google.com/spreadsheets/d/1kGrh75X1cNR1D7_FcY9zMnHP8iPO4M5RCRjy6nZY0TY/edit#gid=1248694442"",""Table 4: 2nd-line HC or more!E5:E85""), $A71=IMPORTRANGE(""https://docs.google.com/spreadsheets/d/1kGrh75X1cNR1D7_FcY9zMn"&amp;"HP8iPO4M5RCRjy6nZY0TY/edit#gid=1248694442"",""Table 4: 2nd-line HC or more!A5:A85"")),"""")"),"")</f>
        <v/>
      </c>
      <c r="Q71" s="14" t="str">
        <f>IFERROR(__xludf.DUMMYFUNCTION("IFNA(FILTER(IMPORTRANGE(""https://docs.google.com/spreadsheets/d/1kGrh75X1cNR1D7_FcY9zMnHP8iPO4M5RCRjy6nZY0TY/edit#gid=1248694442"",""Table 4: 2nd-line HC or more!F5:F85""), $A71=IMPORTRANGE(""https://docs.google.com/spreadsheets/d/1kGrh75X1cNR1D7_FcY9zMn"&amp;"HP8iPO4M5RCRjy6nZY0TY/edit#gid=1248694442"",""Table 4: 2nd-line HC or more!A5:A85"")),"""")"),"")</f>
        <v/>
      </c>
      <c r="R71" s="14" t="str">
        <f>IFERROR(__xludf.DUMMYFUNCTION("IFNA(FILTER(IMPORTRANGE(""https://docs.google.com/spreadsheets/d/1kGrh75X1cNR1D7_FcY9zMnHP8iPO4M5RCRjy6nZY0TY/edit#gid=1248694442"",""Table 4: 2nd-line HC or more!G5:G85""), $A71=IMPORTRANGE(""https://docs.google.com/spreadsheets/d/1kGrh75X1cNR1D7_FcY9zMn"&amp;"HP8iPO4M5RCRjy6nZY0TY/edit#gid=1248694442"",""Table 4: 2nd-line HC or more!A5:A85"")),"""")"),"")</f>
        <v/>
      </c>
      <c r="S71" s="14" t="str">
        <f>IFERROR(__xludf.DUMMYFUNCTION("IFNA(FILTER(IMPORTRANGE(""https://docs.google.com/spreadsheets/d/1kGrh75X1cNR1D7_FcY9zMnHP8iPO4M5RCRjy6nZY0TY/edit#gid=1248694442"",""Table 4: 2nd-line HC or more!H5:H85""), $A71=IMPORTRANGE(""https://docs.google.com/spreadsheets/d/1kGrh75X1cNR1D7_FcY9zMn"&amp;"HP8iPO4M5RCRjy6nZY0TY/edit#gid=1248694442"",""Table 4: 2nd-line HC or more!A5:A85"")),"""")"),"")</f>
        <v/>
      </c>
      <c r="T71" s="14" t="str">
        <f>IFERROR(__xludf.DUMMYFUNCTION("IFNA(FILTER(IMPORTRANGE(""https://docs.google.com/spreadsheets/d/1kGrh75X1cNR1D7_FcY9zMnHP8iPO4M5RCRjy6nZY0TY/edit#gid=1248694442"",""Table 3: 1st-line HC!F5:F111""), $A71=IMPORTRANGE(""https://docs.google.com/spreadsheets/d/1kGrh75X1cNR1D7_FcY9zMnHP8iPO4"&amp;"M5RCRjy6nZY0TY/edit#gid=1248694442"",""Table 3: 1st-line HC!A5:A111"")),"""")"),"")</f>
        <v/>
      </c>
      <c r="U71" s="14" t="str">
        <f>IFERROR(__xludf.DUMMYFUNCTION("IFNA(FILTER(IMPORTRANGE(""https://docs.google.com/spreadsheets/d/1kGrh75X1cNR1D7_FcY9zMnHP8iPO4M5RCRjy6nZY0TY/edit#gid=1248694442"",""Table 3: 1st-line HC!G5:G111""), $A71=IMPORTRANGE(""https://docs.google.com/spreadsheets/d/1kGrh75X1cNR1D7_FcY9zMnHP8iPO4"&amp;"M5RCRjy6nZY0TY/edit#gid=1248694442"",""Table 3: 1st-line HC!A5:A111"")),"""")"),"")</f>
        <v/>
      </c>
      <c r="V71" s="14" t="str">
        <f>IFERROR(__xludf.DUMMYFUNCTION("IFNA(FILTER(IMPORTRANGE(""https://docs.google.com/spreadsheets/d/1kGrh75X1cNR1D7_FcY9zMnHP8iPO4M5RCRjy6nZY0TY/edit#gid=1248694442"",""Table 3: 1st-line HC!H5:H111""), $A71=IMPORTRANGE(""https://docs.google.com/spreadsheets/d/1kGrh75X1cNR1D7_FcY9zMnHP8iPO4"&amp;"M5RCRjy6nZY0TY/edit#gid=1248694442"",""Table 3: 1st-line HC!A5:A111"")),"""")"),"")</f>
        <v/>
      </c>
      <c r="W71" s="14" t="str">
        <f>IFERROR(__xludf.DUMMYFUNCTION("IFNA(FILTER(IMPORTRANGE(""https://docs.google.com/spreadsheets/d/1kGrh75X1cNR1D7_FcY9zMnHP8iPO4M5RCRjy6nZY0TY/edit#gid=1248694442"",""Table 3: 1st-line HC!I5:I111""), $A71=IMPORTRANGE(""https://docs.google.com/spreadsheets/d/1kGrh75X1cNR1D7_FcY9zMnHP8iPO4"&amp;"M5RCRjy6nZY0TY/edit#gid=1248694442"",""Table 3: 1st-line HC!A5:A111"")),"""")"),"")</f>
        <v/>
      </c>
    </row>
    <row r="72">
      <c r="A72" s="4" t="str">
        <f>IFERROR(__xludf.DUMMYFUNCTION("""COMPUTED_VALUE"""),"ID 157")</f>
        <v>ID 157</v>
      </c>
      <c r="B72" s="14" t="str">
        <f>IFERROR(__xludf.DUMMYFUNCTION("IFNA(FILTER(IMPORTRANGE(""https://docs.google.com/spreadsheets/d/1kGrh75X1cNR1D7_FcY9zMnHP8iPO4M5RCRjy6nZY0TY/edit#gid=1248694442"",""Table 3: 1st-line HC!AZ5:AZ111""), $A72=IMPORTRANGE(""https://docs.google.com/spreadsheets/d/1kGrh75X1cNR1D7_FcY9zMnHP8iP"&amp;"O4M5RCRjy6nZY0TY/edit#gid=1248694442"",""Table 3: 1st-line HC!A5:A111"")),"""")"),"")</f>
        <v/>
      </c>
      <c r="C72" s="14" t="str">
        <f>IFERROR(__xludf.DUMMYFUNCTION("IFNA(FILTER(IMPORTRANGE(""https://docs.google.com/spreadsheets/d/1kGrh75X1cNR1D7_FcY9zMnHP8iPO4M5RCRjy6nZY0TY/edit#gid=1248694442"",""Table 3: 1st-line HC!BA5:BA111""), $A72=IMPORTRANGE(""https://docs.google.com/spreadsheets/d/1kGrh75X1cNR1D7_FcY9zMnHP8iP"&amp;"O4M5RCRjy6nZY0TY/edit#gid=1248694442"",""Table 3: 1st-line HC!A5:A111"")),"""")"),"")</f>
        <v/>
      </c>
      <c r="D72" s="14" t="str">
        <f>IFERROR(__xludf.DUMMYFUNCTION("IFNA(FILTER(IMPORTRANGE(""https://docs.google.com/spreadsheets/d/1kGrh75X1cNR1D7_FcY9zMnHP8iPO4M5RCRjy6nZY0TY/edit#gid=1248694442"",""Table 3: 1st-line HC!BB5:BB111""), $A72=IMPORTRANGE(""https://docs.google.com/spreadsheets/d/1kGrh75X1cNR1D7_FcY9zMnHP8iP"&amp;"O4M5RCRjy6nZY0TY/edit#gid=1248694442"",""Table 3: 1st-line HC!A5:A111"")),"""")"),"")</f>
        <v/>
      </c>
      <c r="E72" s="19" t="str">
        <f>IFERROR(__xludf.DUMMYFUNCTION("IFNA(FILTER(IMPORTRANGE(""https://docs.google.com/spreadsheets/d/1kGrh75X1cNR1D7_FcY9zMnHP8iPO4M5RCRjy6nZY0TY/edit#gid=1248694442"",""Table 3: 1st-line HC!BC5:BC111""), $A72=IMPORTRANGE(""https://docs.google.com/spreadsheets/d/1kGrh75X1cNR1D7_FcY9zMnHP8iP"&amp;"O4M5RCRjy6nZY0TY/edit#gid=1248694442"",""Table 3: 1st-line HC!A5:A111"")),"""")"),"")</f>
        <v/>
      </c>
      <c r="F72" s="14">
        <f>IFERROR(__xludf.DUMMYFUNCTION("IFNA(FILTER(IMPORTRANGE(""https://docs.google.com/spreadsheets/d/1kGrh75X1cNR1D7_FcY9zMnHP8iPO4M5RCRjy6nZY0TY/edit#gid=1248694442"",""Table 3: 1st-line HC!Y5:Y111""), $A72=IMPORTRANGE(""https://docs.google.com/spreadsheets/d/1kGrh75X1cNR1D7_FcY9zMnHP8iPO4"&amp;"M5RCRjy6nZY0TY/edit#gid=1248694442"",""Table 3: 1st-line HC!A5:A111"")),"""")"),3.0)</f>
        <v>3</v>
      </c>
      <c r="G72" s="14">
        <f>IFERROR(__xludf.DUMMYFUNCTION("IFNA(FILTER(IMPORTRANGE(""https://docs.google.com/spreadsheets/d/1kGrh75X1cNR1D7_FcY9zMnHP8iPO4M5RCRjy6nZY0TY/edit#gid=1248694442"",""Table 3: 1st-line HC!Z5:Z111""), $A72=IMPORTRANGE(""https://docs.google.com/spreadsheets/d/1kGrh75X1cNR1D7_FcY9zMnHP8iPO4"&amp;"M5RCRjy6nZY0TY/edit#gid=1248694442"",""Table 3: 1st-line HC!A5:A111"")),"""")"),22.0)</f>
        <v>22</v>
      </c>
      <c r="H72" s="14" t="str">
        <f>IFERROR(__xludf.DUMMYFUNCTION("IFNA(FILTER(IMPORTRANGE(""https://docs.google.com/spreadsheets/d/1kGrh75X1cNR1D7_FcY9zMnHP8iPO4M5RCRjy6nZY0TY/edit#gid=1248694442"",""Table 3: 1st-line HC!AA5:AA111""), $A72=IMPORTRANGE(""https://docs.google.com/spreadsheets/d/1kGrh75X1cNR1D7_FcY9zMnHP8iP"&amp;"O4M5RCRjy6nZY0TY/edit#gid=1248694442"",""Table 3: 1st-line HC!A5:A111"")),"""")"),"")</f>
        <v/>
      </c>
      <c r="I72" s="14" t="str">
        <f>IFERROR(__xludf.DUMMYFUNCTION("IFNA(FILTER(IMPORTRANGE(""https://docs.google.com/spreadsheets/d/1kGrh75X1cNR1D7_FcY9zMnHP8iPO4M5RCRjy6nZY0TY/edit#gid=1248694442"",""Table 3: 1st-line HC!AB5:AB111""), $A72=IMPORTRANGE(""https://docs.google.com/spreadsheets/d/1kGrh75X1cNR1D7_FcY9zMnHP8iP"&amp;"O4M5RCRjy6nZY0TY/edit#gid=1248694442"",""Table 3: 1st-line HC!A5:A111"")),"""")"),"")</f>
        <v/>
      </c>
      <c r="J72" s="14" t="str">
        <f>IFERROR(__xludf.DUMMYFUNCTION("IFNA(FILTER(IMPORTRANGE(""https://docs.google.com/spreadsheets/d/1kGrh75X1cNR1D7_FcY9zMnHP8iPO4M5RCRjy6nZY0TY/edit#gid=1248694442"",""Table 3: 1st-line HC!AC5:AC111""), $A72=IMPORTRANGE(""https://docs.google.com/spreadsheets/d/1kGrh75X1cNR1D7_FcY9zMnHP8iP"&amp;"O4M5RCRjy6nZY0TY/edit#gid=1248694442"",""Table 3: 1st-line HC!A5:A111"")),"""")"),"")</f>
        <v/>
      </c>
      <c r="K72" s="20" t="str">
        <f>IFERROR(__xludf.DUMMYFUNCTION("IFNA(FILTER(IMPORTRANGE(""https://docs.google.com/spreadsheets/d/1kGrh75X1cNR1D7_FcY9zMnHP8iPO4M5RCRjy6nZY0TY/edit#gid=1248694442"",""Table 3: 1st-line HC!AD5:AD111""), $A72=IMPORTRANGE(""https://docs.google.com/spreadsheets/d/1kGrh75X1cNR1D7_FcY9zMnHP8iP"&amp;"O4M5RCRjy6nZY0TY/edit#gid=1248694442"",""Table 3: 1st-line HC!A5:A111"")),"""")"),"")</f>
        <v/>
      </c>
      <c r="L72" s="14" t="str">
        <f>IFERROR(__xludf.DUMMYFUNCTION("IFNA(FILTER(IMPORTRANGE(""https://docs.google.com/spreadsheets/d/1kGrh75X1cNR1D7_FcY9zMnHP8iPO4M5RCRjy6nZY0TY/edit#gid=1248694442"",""Table 3: 1st-line HC!W5:W111""), $A72=IMPORTRANGE(""https://docs.google.com/spreadsheets/d/1kGrh75X1cNR1D7_FcY9zMnHP8iPO4"&amp;"M5RCRjy6nZY0TY/edit#gid=1248694442"",""Table 3: 1st-line HC!A5:A111"")),"""")"),"")</f>
        <v/>
      </c>
      <c r="M72" s="14" t="str">
        <f>IFERROR(__xludf.DUMMYFUNCTION("IFNA(FILTER(IMPORTRANGE(""https://docs.google.com/spreadsheets/d/1kGrh75X1cNR1D7_FcY9zMnHP8iPO4M5RCRjy6nZY0TY/edit#gid=1248694442"",""Table 3: 1st-line HC!X5:X111""), $A72=IMPORTRANGE(""https://docs.google.com/spreadsheets/d/1kGrh75X1cNR1D7_FcY9zMnHP8iPO4"&amp;"M5RCRjy6nZY0TY/edit#gid=1248694442"",""Table 3: 1st-line HC!A5:A111"")),"""")"),"")</f>
        <v/>
      </c>
      <c r="N72" s="14" t="str">
        <f>IFERROR(__xludf.DUMMYFUNCTION("IFNA(FILTER(IMPORTRANGE(""https://docs.google.com/spreadsheets/d/1kGrh75X1cNR1D7_FcY9zMnHP8iPO4M5RCRjy6nZY0TY/edit#gid=1248694442"",""Table 4: 2nd-line HC or more!C5:C85""), $A72=IMPORTRANGE(""https://docs.google.com/spreadsheets/d/1kGrh75X1cNR1D7_FcY9zMn"&amp;"HP8iPO4M5RCRjy6nZY0TY/edit#gid=1248694442"",""Table 4: 2nd-line HC or more!A5:A85"")),"""")"),"")</f>
        <v/>
      </c>
      <c r="O72" s="14" t="str">
        <f>IFERROR(__xludf.DUMMYFUNCTION("IFNA(FILTER(IMPORTRANGE(""https://docs.google.com/spreadsheets/d/1kGrh75X1cNR1D7_FcY9zMnHP8iPO4M5RCRjy6nZY0TY/edit#gid=1248694442"",""Table 4: 2nd-line HC or more!D5:D85""), $A72=IMPORTRANGE(""https://docs.google.com/spreadsheets/d/1kGrh75X1cNR1D7_FcY9zMn"&amp;"HP8iPO4M5RCRjy6nZY0TY/edit#gid=1248694442"",""Table 4: 2nd-line HC or more!A5:A85"")),"""")"),"")</f>
        <v/>
      </c>
      <c r="P72" s="14" t="str">
        <f>IFERROR(__xludf.DUMMYFUNCTION("IFNA(FILTER(IMPORTRANGE(""https://docs.google.com/spreadsheets/d/1kGrh75X1cNR1D7_FcY9zMnHP8iPO4M5RCRjy6nZY0TY/edit#gid=1248694442"",""Table 4: 2nd-line HC or more!E5:E85""), $A72=IMPORTRANGE(""https://docs.google.com/spreadsheets/d/1kGrh75X1cNR1D7_FcY9zMn"&amp;"HP8iPO4M5RCRjy6nZY0TY/edit#gid=1248694442"",""Table 4: 2nd-line HC or more!A5:A85"")),"""")"),"")</f>
        <v/>
      </c>
      <c r="Q72" s="14" t="str">
        <f>IFERROR(__xludf.DUMMYFUNCTION("IFNA(FILTER(IMPORTRANGE(""https://docs.google.com/spreadsheets/d/1kGrh75X1cNR1D7_FcY9zMnHP8iPO4M5RCRjy6nZY0TY/edit#gid=1248694442"",""Table 4: 2nd-line HC or more!F5:F85""), $A72=IMPORTRANGE(""https://docs.google.com/spreadsheets/d/1kGrh75X1cNR1D7_FcY9zMn"&amp;"HP8iPO4M5RCRjy6nZY0TY/edit#gid=1248694442"",""Table 4: 2nd-line HC or more!A5:A85"")),"""")"),"")</f>
        <v/>
      </c>
      <c r="R72" s="14" t="str">
        <f>IFERROR(__xludf.DUMMYFUNCTION("IFNA(FILTER(IMPORTRANGE(""https://docs.google.com/spreadsheets/d/1kGrh75X1cNR1D7_FcY9zMnHP8iPO4M5RCRjy6nZY0TY/edit#gid=1248694442"",""Table 4: 2nd-line HC or more!G5:G85""), $A72=IMPORTRANGE(""https://docs.google.com/spreadsheets/d/1kGrh75X1cNR1D7_FcY9zMn"&amp;"HP8iPO4M5RCRjy6nZY0TY/edit#gid=1248694442"",""Table 4: 2nd-line HC or more!A5:A85"")),"""")"),"")</f>
        <v/>
      </c>
      <c r="S72" s="14" t="str">
        <f>IFERROR(__xludf.DUMMYFUNCTION("IFNA(FILTER(IMPORTRANGE(""https://docs.google.com/spreadsheets/d/1kGrh75X1cNR1D7_FcY9zMnHP8iPO4M5RCRjy6nZY0TY/edit#gid=1248694442"",""Table 4: 2nd-line HC or more!H5:H85""), $A72=IMPORTRANGE(""https://docs.google.com/spreadsheets/d/1kGrh75X1cNR1D7_FcY9zMn"&amp;"HP8iPO4M5RCRjy6nZY0TY/edit#gid=1248694442"",""Table 4: 2nd-line HC or more!A5:A85"")),"""")"),"")</f>
        <v/>
      </c>
      <c r="T72" s="14" t="str">
        <f>IFERROR(__xludf.DUMMYFUNCTION("IFNA(FILTER(IMPORTRANGE(""https://docs.google.com/spreadsheets/d/1kGrh75X1cNR1D7_FcY9zMnHP8iPO4M5RCRjy6nZY0TY/edit#gid=1248694442"",""Table 3: 1st-line HC!F5:F111""), $A72=IMPORTRANGE(""https://docs.google.com/spreadsheets/d/1kGrh75X1cNR1D7_FcY9zMnHP8iPO4"&amp;"M5RCRjy6nZY0TY/edit#gid=1248694442"",""Table 3: 1st-line HC!A5:A111"")),"""")"),"")</f>
        <v/>
      </c>
      <c r="U72" s="14" t="str">
        <f>IFERROR(__xludf.DUMMYFUNCTION("IFNA(FILTER(IMPORTRANGE(""https://docs.google.com/spreadsheets/d/1kGrh75X1cNR1D7_FcY9zMnHP8iPO4M5RCRjy6nZY0TY/edit#gid=1248694442"",""Table 3: 1st-line HC!G5:G111""), $A72=IMPORTRANGE(""https://docs.google.com/spreadsheets/d/1kGrh75X1cNR1D7_FcY9zMnHP8iPO4"&amp;"M5RCRjy6nZY0TY/edit#gid=1248694442"",""Table 3: 1st-line HC!A5:A111"")),"""")"),"")</f>
        <v/>
      </c>
      <c r="V72" s="14">
        <f>IFERROR(__xludf.DUMMYFUNCTION("IFNA(FILTER(IMPORTRANGE(""https://docs.google.com/spreadsheets/d/1kGrh75X1cNR1D7_FcY9zMnHP8iPO4M5RCRjy6nZY0TY/edit#gid=1248694442"",""Table 3: 1st-line HC!H5:H111""), $A72=IMPORTRANGE(""https://docs.google.com/spreadsheets/d/1kGrh75X1cNR1D7_FcY9zMnHP8iPO4"&amp;"M5RCRjy6nZY0TY/edit#gid=1248694442"",""Table 3: 1st-line HC!A5:A111"")),"""")"),25.0)</f>
        <v>25</v>
      </c>
      <c r="W72" s="14" t="str">
        <f>IFERROR(__xludf.DUMMYFUNCTION("IFNA(FILTER(IMPORTRANGE(""https://docs.google.com/spreadsheets/d/1kGrh75X1cNR1D7_FcY9zMnHP8iPO4M5RCRjy6nZY0TY/edit#gid=1248694442"",""Table 3: 1st-line HC!I5:I111""), $A72=IMPORTRANGE(""https://docs.google.com/spreadsheets/d/1kGrh75X1cNR1D7_FcY9zMnHP8iPO4"&amp;"M5RCRjy6nZY0TY/edit#gid=1248694442"",""Table 3: 1st-line HC!A5:A111"")),"""")"),"")</f>
        <v/>
      </c>
    </row>
    <row r="73">
      <c r="A73" s="4" t="str">
        <f>IFERROR(__xludf.DUMMYFUNCTION("""COMPUTED_VALUE"""),"ID 159")</f>
        <v>ID 159</v>
      </c>
      <c r="B73" s="14" t="str">
        <f>IFERROR(__xludf.DUMMYFUNCTION("IFNA(FILTER(IMPORTRANGE(""https://docs.google.com/spreadsheets/d/1kGrh75X1cNR1D7_FcY9zMnHP8iPO4M5RCRjy6nZY0TY/edit#gid=1248694442"",""Table 3: 1st-line HC!AZ5:AZ111""), $A73=IMPORTRANGE(""https://docs.google.com/spreadsheets/d/1kGrh75X1cNR1D7_FcY9zMnHP8iP"&amp;"O4M5RCRjy6nZY0TY/edit#gid=1248694442"",""Table 3: 1st-line HC!A5:A111"")),"""")"),"")</f>
        <v/>
      </c>
      <c r="C73" s="14" t="str">
        <f>IFERROR(__xludf.DUMMYFUNCTION("IFNA(FILTER(IMPORTRANGE(""https://docs.google.com/spreadsheets/d/1kGrh75X1cNR1D7_FcY9zMnHP8iPO4M5RCRjy6nZY0TY/edit#gid=1248694442"",""Table 3: 1st-line HC!BA5:BA111""), $A73=IMPORTRANGE(""https://docs.google.com/spreadsheets/d/1kGrh75X1cNR1D7_FcY9zMnHP8iP"&amp;"O4M5RCRjy6nZY0TY/edit#gid=1248694442"",""Table 3: 1st-line HC!A5:A111"")),"""")"),"")</f>
        <v/>
      </c>
      <c r="D73" s="14" t="str">
        <f>IFERROR(__xludf.DUMMYFUNCTION("IFNA(FILTER(IMPORTRANGE(""https://docs.google.com/spreadsheets/d/1kGrh75X1cNR1D7_FcY9zMnHP8iPO4M5RCRjy6nZY0TY/edit#gid=1248694442"",""Table 3: 1st-line HC!BB5:BB111""), $A73=IMPORTRANGE(""https://docs.google.com/spreadsheets/d/1kGrh75X1cNR1D7_FcY9zMnHP8iP"&amp;"O4M5RCRjy6nZY0TY/edit#gid=1248694442"",""Table 3: 1st-line HC!A5:A111"")),"""")"),"")</f>
        <v/>
      </c>
      <c r="E73" s="19" t="str">
        <f>IFERROR(__xludf.DUMMYFUNCTION("IFNA(FILTER(IMPORTRANGE(""https://docs.google.com/spreadsheets/d/1kGrh75X1cNR1D7_FcY9zMnHP8iPO4M5RCRjy6nZY0TY/edit#gid=1248694442"",""Table 3: 1st-line HC!BC5:BC111""), $A73=IMPORTRANGE(""https://docs.google.com/spreadsheets/d/1kGrh75X1cNR1D7_FcY9zMnHP8iP"&amp;"O4M5RCRjy6nZY0TY/edit#gid=1248694442"",""Table 3: 1st-line HC!A5:A111"")),"""")"),"")</f>
        <v/>
      </c>
      <c r="F73" s="14">
        <f>IFERROR(__xludf.DUMMYFUNCTION("IFNA(FILTER(IMPORTRANGE(""https://docs.google.com/spreadsheets/d/1kGrh75X1cNR1D7_FcY9zMnHP8iPO4M5RCRjy6nZY0TY/edit#gid=1248694442"",""Table 3: 1st-line HC!Y5:Y111""), $A73=IMPORTRANGE(""https://docs.google.com/spreadsheets/d/1kGrh75X1cNR1D7_FcY9zMnHP8iPO4"&amp;"M5RCRjy6nZY0TY/edit#gid=1248694442"",""Table 3: 1st-line HC!A5:A111"")),"""")"),34.0)</f>
        <v>34</v>
      </c>
      <c r="G73" s="14" t="str">
        <f>IFERROR(__xludf.DUMMYFUNCTION("IFNA(FILTER(IMPORTRANGE(""https://docs.google.com/spreadsheets/d/1kGrh75X1cNR1D7_FcY9zMnHP8iPO4M5RCRjy6nZY0TY/edit#gid=1248694442"",""Table 3: 1st-line HC!Z5:Z111""), $A73=IMPORTRANGE(""https://docs.google.com/spreadsheets/d/1kGrh75X1cNR1D7_FcY9zMnHP8iPO4"&amp;"M5RCRjy6nZY0TY/edit#gid=1248694442"",""Table 3: 1st-line HC!A5:A111"")),"""")"),"")</f>
        <v/>
      </c>
      <c r="H73" s="14" t="str">
        <f>IFERROR(__xludf.DUMMYFUNCTION("IFNA(FILTER(IMPORTRANGE(""https://docs.google.com/spreadsheets/d/1kGrh75X1cNR1D7_FcY9zMnHP8iPO4M5RCRjy6nZY0TY/edit#gid=1248694442"",""Table 3: 1st-line HC!AA5:AA111""), $A73=IMPORTRANGE(""https://docs.google.com/spreadsheets/d/1kGrh75X1cNR1D7_FcY9zMnHP8iP"&amp;"O4M5RCRjy6nZY0TY/edit#gid=1248694442"",""Table 3: 1st-line HC!A5:A111"")),"""")"),"")</f>
        <v/>
      </c>
      <c r="I73" s="14" t="str">
        <f>IFERROR(__xludf.DUMMYFUNCTION("IFNA(FILTER(IMPORTRANGE(""https://docs.google.com/spreadsheets/d/1kGrh75X1cNR1D7_FcY9zMnHP8iPO4M5RCRjy6nZY0TY/edit#gid=1248694442"",""Table 3: 1st-line HC!AB5:AB111""), $A73=IMPORTRANGE(""https://docs.google.com/spreadsheets/d/1kGrh75X1cNR1D7_FcY9zMnHP8iP"&amp;"O4M5RCRjy6nZY0TY/edit#gid=1248694442"",""Table 3: 1st-line HC!A5:A111"")),"""")"),"")</f>
        <v/>
      </c>
      <c r="J73" s="14" t="str">
        <f>IFERROR(__xludf.DUMMYFUNCTION("IFNA(FILTER(IMPORTRANGE(""https://docs.google.com/spreadsheets/d/1kGrh75X1cNR1D7_FcY9zMnHP8iPO4M5RCRjy6nZY0TY/edit#gid=1248694442"",""Table 3: 1st-line HC!AC5:AC111""), $A73=IMPORTRANGE(""https://docs.google.com/spreadsheets/d/1kGrh75X1cNR1D7_FcY9zMnHP8iP"&amp;"O4M5RCRjy6nZY0TY/edit#gid=1248694442"",""Table 3: 1st-line HC!A5:A111"")),"""")"),"")</f>
        <v/>
      </c>
      <c r="K73" s="20" t="str">
        <f>IFERROR(__xludf.DUMMYFUNCTION("IFNA(FILTER(IMPORTRANGE(""https://docs.google.com/spreadsheets/d/1kGrh75X1cNR1D7_FcY9zMnHP8iPO4M5RCRjy6nZY0TY/edit#gid=1248694442"",""Table 3: 1st-line HC!AD5:AD111""), $A73=IMPORTRANGE(""https://docs.google.com/spreadsheets/d/1kGrh75X1cNR1D7_FcY9zMnHP8iP"&amp;"O4M5RCRjy6nZY0TY/edit#gid=1248694442"",""Table 3: 1st-line HC!A5:A111"")),"""")"),"Shunt (unspecified)=14")</f>
        <v>Shunt (unspecified)=14</v>
      </c>
      <c r="L73" s="14" t="str">
        <f>IFERROR(__xludf.DUMMYFUNCTION("IFNA(FILTER(IMPORTRANGE(""https://docs.google.com/spreadsheets/d/1kGrh75X1cNR1D7_FcY9zMnHP8iPO4M5RCRjy6nZY0TY/edit#gid=1248694442"",""Table 3: 1st-line HC!W5:W111""), $A73=IMPORTRANGE(""https://docs.google.com/spreadsheets/d/1kGrh75X1cNR1D7_FcY9zMnHP8iPO4"&amp;"M5RCRjy6nZY0TY/edit#gid=1248694442"",""Table 3: 1st-line HC!A5:A111"")),"""")"),"")</f>
        <v/>
      </c>
      <c r="M73" s="14">
        <f>IFERROR(__xludf.DUMMYFUNCTION("IFNA(FILTER(IMPORTRANGE(""https://docs.google.com/spreadsheets/d/1kGrh75X1cNR1D7_FcY9zMnHP8iPO4M5RCRjy6nZY0TY/edit#gid=1248694442"",""Table 3: 1st-line HC!X5:X111""), $A73=IMPORTRANGE(""https://docs.google.com/spreadsheets/d/1kGrh75X1cNR1D7_FcY9zMnHP8iPO4"&amp;"M5RCRjy6nZY0TY/edit#gid=1248694442"",""Table 3: 1st-line HC!A5:A111"")),"""")"),23.0)</f>
        <v>23</v>
      </c>
      <c r="N73" s="14" t="str">
        <f>IFERROR(__xludf.DUMMYFUNCTION("IFNA(FILTER(IMPORTRANGE(""https://docs.google.com/spreadsheets/d/1kGrh75X1cNR1D7_FcY9zMnHP8iPO4M5RCRjy6nZY0TY/edit#gid=1248694442"",""Table 4: 2nd-line HC or more!C5:C85""), $A73=IMPORTRANGE(""https://docs.google.com/spreadsheets/d/1kGrh75X1cNR1D7_FcY9zMn"&amp;"HP8iPO4M5RCRjy6nZY0TY/edit#gid=1248694442"",""Table 4: 2nd-line HC or more!A5:A85"")),"""")"),"")</f>
        <v/>
      </c>
      <c r="O73" s="14" t="str">
        <f>IFERROR(__xludf.DUMMYFUNCTION("IFNA(FILTER(IMPORTRANGE(""https://docs.google.com/spreadsheets/d/1kGrh75X1cNR1D7_FcY9zMnHP8iPO4M5RCRjy6nZY0TY/edit#gid=1248694442"",""Table 4: 2nd-line HC or more!D5:D85""), $A73=IMPORTRANGE(""https://docs.google.com/spreadsheets/d/1kGrh75X1cNR1D7_FcY9zMn"&amp;"HP8iPO4M5RCRjy6nZY0TY/edit#gid=1248694442"",""Table 4: 2nd-line HC or more!A5:A85"")),"""")"),"")</f>
        <v/>
      </c>
      <c r="P73" s="14" t="str">
        <f>IFERROR(__xludf.DUMMYFUNCTION("IFNA(FILTER(IMPORTRANGE(""https://docs.google.com/spreadsheets/d/1kGrh75X1cNR1D7_FcY9zMnHP8iPO4M5RCRjy6nZY0TY/edit#gid=1248694442"",""Table 4: 2nd-line HC or more!E5:E85""), $A73=IMPORTRANGE(""https://docs.google.com/spreadsheets/d/1kGrh75X1cNR1D7_FcY9zMn"&amp;"HP8iPO4M5RCRjy6nZY0TY/edit#gid=1248694442"",""Table 4: 2nd-line HC or more!A5:A85"")),"""")"),"")</f>
        <v/>
      </c>
      <c r="Q73" s="14" t="str">
        <f>IFERROR(__xludf.DUMMYFUNCTION("IFNA(FILTER(IMPORTRANGE(""https://docs.google.com/spreadsheets/d/1kGrh75X1cNR1D7_FcY9zMnHP8iPO4M5RCRjy6nZY0TY/edit#gid=1248694442"",""Table 4: 2nd-line HC or more!F5:F85""), $A73=IMPORTRANGE(""https://docs.google.com/spreadsheets/d/1kGrh75X1cNR1D7_FcY9zMn"&amp;"HP8iPO4M5RCRjy6nZY0TY/edit#gid=1248694442"",""Table 4: 2nd-line HC or more!A5:A85"")),"""")"),"")</f>
        <v/>
      </c>
      <c r="R73" s="14" t="str">
        <f>IFERROR(__xludf.DUMMYFUNCTION("IFNA(FILTER(IMPORTRANGE(""https://docs.google.com/spreadsheets/d/1kGrh75X1cNR1D7_FcY9zMnHP8iPO4M5RCRjy6nZY0TY/edit#gid=1248694442"",""Table 4: 2nd-line HC or more!G5:G85""), $A73=IMPORTRANGE(""https://docs.google.com/spreadsheets/d/1kGrh75X1cNR1D7_FcY9zMn"&amp;"HP8iPO4M5RCRjy6nZY0TY/edit#gid=1248694442"",""Table 4: 2nd-line HC or more!A5:A85"")),"""")"),"")</f>
        <v/>
      </c>
      <c r="S73" s="14" t="str">
        <f>IFERROR(__xludf.DUMMYFUNCTION("IFNA(FILTER(IMPORTRANGE(""https://docs.google.com/spreadsheets/d/1kGrh75X1cNR1D7_FcY9zMnHP8iPO4M5RCRjy6nZY0TY/edit#gid=1248694442"",""Table 4: 2nd-line HC or more!H5:H85""), $A73=IMPORTRANGE(""https://docs.google.com/spreadsheets/d/1kGrh75X1cNR1D7_FcY9zMn"&amp;"HP8iPO4M5RCRjy6nZY0TY/edit#gid=1248694442"",""Table 4: 2nd-line HC or more!A5:A85"")),"""")"),"Shunt (unspecified)=52")</f>
        <v>Shunt (unspecified)=52</v>
      </c>
      <c r="T73" s="14" t="str">
        <f>IFERROR(__xludf.DUMMYFUNCTION("IFNA(FILTER(IMPORTRANGE(""https://docs.google.com/spreadsheets/d/1kGrh75X1cNR1D7_FcY9zMnHP8iPO4M5RCRjy6nZY0TY/edit#gid=1248694442"",""Table 3: 1st-line HC!F5:F111""), $A73=IMPORTRANGE(""https://docs.google.com/spreadsheets/d/1kGrh75X1cNR1D7_FcY9zMnHP8iPO4"&amp;"M5RCRjy6nZY0TY/edit#gid=1248694442"",""Table 3: 1st-line HC!A5:A111"")),"""")"),"")</f>
        <v/>
      </c>
      <c r="U73" s="14" t="str">
        <f>IFERROR(__xludf.DUMMYFUNCTION("IFNA(FILTER(IMPORTRANGE(""https://docs.google.com/spreadsheets/d/1kGrh75X1cNR1D7_FcY9zMnHP8iPO4M5RCRjy6nZY0TY/edit#gid=1248694442"",""Table 3: 1st-line HC!G5:G111""), $A73=IMPORTRANGE(""https://docs.google.com/spreadsheets/d/1kGrh75X1cNR1D7_FcY9zMnHP8iPO4"&amp;"M5RCRjy6nZY0TY/edit#gid=1248694442"",""Table 3: 1st-line HC!A5:A111"")),"""")"),"")</f>
        <v/>
      </c>
      <c r="V73" s="14" t="str">
        <f>IFERROR(__xludf.DUMMYFUNCTION("IFNA(FILTER(IMPORTRANGE(""https://docs.google.com/spreadsheets/d/1kGrh75X1cNR1D7_FcY9zMnHP8iPO4M5RCRjy6nZY0TY/edit#gid=1248694442"",""Table 3: 1st-line HC!H5:H111""), $A73=IMPORTRANGE(""https://docs.google.com/spreadsheets/d/1kGrh75X1cNR1D7_FcY9zMnHP8iPO4"&amp;"M5RCRjy6nZY0TY/edit#gid=1248694442"",""Table 3: 1st-line HC!A5:A111"")),"""")"),"")</f>
        <v/>
      </c>
      <c r="W73" s="14">
        <f>IFERROR(__xludf.DUMMYFUNCTION("IFNA(FILTER(IMPORTRANGE(""https://docs.google.com/spreadsheets/d/1kGrh75X1cNR1D7_FcY9zMnHP8iPO4M5RCRjy6nZY0TY/edit#gid=1248694442"",""Table 3: 1st-line HC!I5:I111""), $A73=IMPORTRANGE(""https://docs.google.com/spreadsheets/d/1kGrh75X1cNR1D7_FcY9zMnHP8iPO4"&amp;"M5RCRjy6nZY0TY/edit#gid=1248694442"",""Table 3: 1st-line HC!A5:A111"")),"""")"),10.0)</f>
        <v>10</v>
      </c>
    </row>
    <row r="74">
      <c r="A74" s="4" t="str">
        <f>IFERROR(__xludf.DUMMYFUNCTION("""COMPUTED_VALUE"""),"ID 160")</f>
        <v>ID 160</v>
      </c>
      <c r="B74" s="14" t="str">
        <f>IFERROR(__xludf.DUMMYFUNCTION("IFNA(FILTER(IMPORTRANGE(""https://docs.google.com/spreadsheets/d/1kGrh75X1cNR1D7_FcY9zMnHP8iPO4M5RCRjy6nZY0TY/edit#gid=1248694442"",""Table 3: 1st-line HC!AZ5:AZ111""), $A74=IMPORTRANGE(""https://docs.google.com/spreadsheets/d/1kGrh75X1cNR1D7_FcY9zMnHP8iP"&amp;"O4M5RCRjy6nZY0TY/edit#gid=1248694442"",""Table 3: 1st-line HC!A5:A111"")),"""")"),"")</f>
        <v/>
      </c>
      <c r="C74" s="14" t="str">
        <f>IFERROR(__xludf.DUMMYFUNCTION("IFNA(FILTER(IMPORTRANGE(""https://docs.google.com/spreadsheets/d/1kGrh75X1cNR1D7_FcY9zMnHP8iPO4M5RCRjy6nZY0TY/edit#gid=1248694442"",""Table 3: 1st-line HC!BA5:BA111""), $A74=IMPORTRANGE(""https://docs.google.com/spreadsheets/d/1kGrh75X1cNR1D7_FcY9zMnHP8iP"&amp;"O4M5RCRjy6nZY0TY/edit#gid=1248694442"",""Table 3: 1st-line HC!A5:A111"")),"""")"),"")</f>
        <v/>
      </c>
      <c r="D74" s="14" t="str">
        <f>IFERROR(__xludf.DUMMYFUNCTION("IFNA(FILTER(IMPORTRANGE(""https://docs.google.com/spreadsheets/d/1kGrh75X1cNR1D7_FcY9zMnHP8iPO4M5RCRjy6nZY0TY/edit#gid=1248694442"",""Table 3: 1st-line HC!BB5:BB111""), $A74=IMPORTRANGE(""https://docs.google.com/spreadsheets/d/1kGrh75X1cNR1D7_FcY9zMnHP8iP"&amp;"O4M5RCRjy6nZY0TY/edit#gid=1248694442"",""Table 3: 1st-line HC!A5:A111"")),"""")"),"")</f>
        <v/>
      </c>
      <c r="E74" s="19" t="str">
        <f>IFERROR(__xludf.DUMMYFUNCTION("IFNA(FILTER(IMPORTRANGE(""https://docs.google.com/spreadsheets/d/1kGrh75X1cNR1D7_FcY9zMnHP8iPO4M5RCRjy6nZY0TY/edit#gid=1248694442"",""Table 3: 1st-line HC!BC5:BC111""), $A74=IMPORTRANGE(""https://docs.google.com/spreadsheets/d/1kGrh75X1cNR1D7_FcY9zMnHP8iP"&amp;"O4M5RCRjy6nZY0TY/edit#gid=1248694442"",""Table 3: 1st-line HC!A5:A111"")),"""")"),"")</f>
        <v/>
      </c>
      <c r="F74" s="14" t="str">
        <f>IFERROR(__xludf.DUMMYFUNCTION("IFNA(FILTER(IMPORTRANGE(""https://docs.google.com/spreadsheets/d/1kGrh75X1cNR1D7_FcY9zMnHP8iPO4M5RCRjy6nZY0TY/edit#gid=1248694442"",""Table 3: 1st-line HC!Y5:Y111""), $A74=IMPORTRANGE(""https://docs.google.com/spreadsheets/d/1kGrh75X1cNR1D7_FcY9zMnHP8iPO4"&amp;"M5RCRjy6nZY0TY/edit#gid=1248694442"",""Table 3: 1st-line HC!A5:A111"")),"""")"),"")</f>
        <v/>
      </c>
      <c r="G74" s="14">
        <f>IFERROR(__xludf.DUMMYFUNCTION("IFNA(FILTER(IMPORTRANGE(""https://docs.google.com/spreadsheets/d/1kGrh75X1cNR1D7_FcY9zMnHP8iPO4M5RCRjy6nZY0TY/edit#gid=1248694442"",""Table 3: 1st-line HC!Z5:Z111""), $A74=IMPORTRANGE(""https://docs.google.com/spreadsheets/d/1kGrh75X1cNR1D7_FcY9zMnHP8iPO4"&amp;"M5RCRjy6nZY0TY/edit#gid=1248694442"",""Table 3: 1st-line HC!A5:A111"")),"""")"),6.0)</f>
        <v>6</v>
      </c>
      <c r="H74" s="14" t="str">
        <f>IFERROR(__xludf.DUMMYFUNCTION("IFNA(FILTER(IMPORTRANGE(""https://docs.google.com/spreadsheets/d/1kGrh75X1cNR1D7_FcY9zMnHP8iPO4M5RCRjy6nZY0TY/edit#gid=1248694442"",""Table 3: 1st-line HC!AA5:AA111""), $A74=IMPORTRANGE(""https://docs.google.com/spreadsheets/d/1kGrh75X1cNR1D7_FcY9zMnHP8iP"&amp;"O4M5RCRjy6nZY0TY/edit#gid=1248694442"",""Table 3: 1st-line HC!A5:A111"")),"""")"),"")</f>
        <v/>
      </c>
      <c r="I74" s="14" t="str">
        <f>IFERROR(__xludf.DUMMYFUNCTION("IFNA(FILTER(IMPORTRANGE(""https://docs.google.com/spreadsheets/d/1kGrh75X1cNR1D7_FcY9zMnHP8iPO4M5RCRjy6nZY0TY/edit#gid=1248694442"",""Table 3: 1st-line HC!AB5:AB111""), $A74=IMPORTRANGE(""https://docs.google.com/spreadsheets/d/1kGrh75X1cNR1D7_FcY9zMnHP8iP"&amp;"O4M5RCRjy6nZY0TY/edit#gid=1248694442"",""Table 3: 1st-line HC!A5:A111"")),"""")"),"")</f>
        <v/>
      </c>
      <c r="J74" s="14" t="str">
        <f>IFERROR(__xludf.DUMMYFUNCTION("IFNA(FILTER(IMPORTRANGE(""https://docs.google.com/spreadsheets/d/1kGrh75X1cNR1D7_FcY9zMnHP8iPO4M5RCRjy6nZY0TY/edit#gid=1248694442"",""Table 3: 1st-line HC!AC5:AC111""), $A74=IMPORTRANGE(""https://docs.google.com/spreadsheets/d/1kGrh75X1cNR1D7_FcY9zMnHP8iP"&amp;"O4M5RCRjy6nZY0TY/edit#gid=1248694442"",""Table 3: 1st-line HC!A5:A111"")),"""")"),"")</f>
        <v/>
      </c>
      <c r="K74" s="20" t="str">
        <f>IFERROR(__xludf.DUMMYFUNCTION("IFNA(FILTER(IMPORTRANGE(""https://docs.google.com/spreadsheets/d/1kGrh75X1cNR1D7_FcY9zMnHP8iPO4M5RCRjy6nZY0TY/edit#gid=1248694442"",""Table 3: 1st-line HC!AD5:AD111""), $A74=IMPORTRANGE(""https://docs.google.com/spreadsheets/d/1kGrh75X1cNR1D7_FcY9zMnHP8iP"&amp;"O4M5RCRjy6nZY0TY/edit#gid=1248694442"",""Table 3: 1st-line HC!A5:A111"")),"""")"),"")</f>
        <v/>
      </c>
      <c r="L74" s="14" t="str">
        <f>IFERROR(__xludf.DUMMYFUNCTION("IFNA(FILTER(IMPORTRANGE(""https://docs.google.com/spreadsheets/d/1kGrh75X1cNR1D7_FcY9zMnHP8iPO4M5RCRjy6nZY0TY/edit#gid=1248694442"",""Table 3: 1st-line HC!W5:W111""), $A74=IMPORTRANGE(""https://docs.google.com/spreadsheets/d/1kGrh75X1cNR1D7_FcY9zMnHP8iPO4"&amp;"M5RCRjy6nZY0TY/edit#gid=1248694442"",""Table 3: 1st-line HC!A5:A111"")),"""")"),"")</f>
        <v/>
      </c>
      <c r="M74" s="14" t="str">
        <f>IFERROR(__xludf.DUMMYFUNCTION("IFNA(FILTER(IMPORTRANGE(""https://docs.google.com/spreadsheets/d/1kGrh75X1cNR1D7_FcY9zMnHP8iPO4M5RCRjy6nZY0TY/edit#gid=1248694442"",""Table 3: 1st-line HC!X5:X111""), $A74=IMPORTRANGE(""https://docs.google.com/spreadsheets/d/1kGrh75X1cNR1D7_FcY9zMnHP8iPO4"&amp;"M5RCRjy6nZY0TY/edit#gid=1248694442"",""Table 3: 1st-line HC!A5:A111"")),"""")"),"")</f>
        <v/>
      </c>
      <c r="N74" s="14" t="str">
        <f>IFERROR(__xludf.DUMMYFUNCTION("IFNA(FILTER(IMPORTRANGE(""https://docs.google.com/spreadsheets/d/1kGrh75X1cNR1D7_FcY9zMnHP8iPO4M5RCRjy6nZY0TY/edit#gid=1248694442"",""Table 4: 2nd-line HC or more!C5:C85""), $A74=IMPORTRANGE(""https://docs.google.com/spreadsheets/d/1kGrh75X1cNR1D7_FcY9zMn"&amp;"HP8iPO4M5RCRjy6nZY0TY/edit#gid=1248694442"",""Table 4: 2nd-line HC or more!A5:A85"")),"""")"),"")</f>
        <v/>
      </c>
      <c r="O74" s="14" t="str">
        <f>IFERROR(__xludf.DUMMYFUNCTION("IFNA(FILTER(IMPORTRANGE(""https://docs.google.com/spreadsheets/d/1kGrh75X1cNR1D7_FcY9zMnHP8iPO4M5RCRjy6nZY0TY/edit#gid=1248694442"",""Table 4: 2nd-line HC or more!D5:D85""), $A74=IMPORTRANGE(""https://docs.google.com/spreadsheets/d/1kGrh75X1cNR1D7_FcY9zMn"&amp;"HP8iPO4M5RCRjy6nZY0TY/edit#gid=1248694442"",""Table 4: 2nd-line HC or more!A5:A85"")),"""")"),"")</f>
        <v/>
      </c>
      <c r="P74" s="14" t="str">
        <f>IFERROR(__xludf.DUMMYFUNCTION("IFNA(FILTER(IMPORTRANGE(""https://docs.google.com/spreadsheets/d/1kGrh75X1cNR1D7_FcY9zMnHP8iPO4M5RCRjy6nZY0TY/edit#gid=1248694442"",""Table 4: 2nd-line HC or more!E5:E85""), $A74=IMPORTRANGE(""https://docs.google.com/spreadsheets/d/1kGrh75X1cNR1D7_FcY9zMn"&amp;"HP8iPO4M5RCRjy6nZY0TY/edit#gid=1248694442"",""Table 4: 2nd-line HC or more!A5:A85"")),"""")"),"")</f>
        <v/>
      </c>
      <c r="Q74" s="14" t="str">
        <f>IFERROR(__xludf.DUMMYFUNCTION("IFNA(FILTER(IMPORTRANGE(""https://docs.google.com/spreadsheets/d/1kGrh75X1cNR1D7_FcY9zMnHP8iPO4M5RCRjy6nZY0TY/edit#gid=1248694442"",""Table 4: 2nd-line HC or more!F5:F85""), $A74=IMPORTRANGE(""https://docs.google.com/spreadsheets/d/1kGrh75X1cNR1D7_FcY9zMn"&amp;"HP8iPO4M5RCRjy6nZY0TY/edit#gid=1248694442"",""Table 4: 2nd-line HC or more!A5:A85"")),"""")"),"")</f>
        <v/>
      </c>
      <c r="R74" s="14" t="str">
        <f>IFERROR(__xludf.DUMMYFUNCTION("IFNA(FILTER(IMPORTRANGE(""https://docs.google.com/spreadsheets/d/1kGrh75X1cNR1D7_FcY9zMnHP8iPO4M5RCRjy6nZY0TY/edit#gid=1248694442"",""Table 4: 2nd-line HC or more!G5:G85""), $A74=IMPORTRANGE(""https://docs.google.com/spreadsheets/d/1kGrh75X1cNR1D7_FcY9zMn"&amp;"HP8iPO4M5RCRjy6nZY0TY/edit#gid=1248694442"",""Table 4: 2nd-line HC or more!A5:A85"")),"""")"),"")</f>
        <v/>
      </c>
      <c r="S74" s="14" t="str">
        <f>IFERROR(__xludf.DUMMYFUNCTION("IFNA(FILTER(IMPORTRANGE(""https://docs.google.com/spreadsheets/d/1kGrh75X1cNR1D7_FcY9zMnHP8iPO4M5RCRjy6nZY0TY/edit#gid=1248694442"",""Table 4: 2nd-line HC or more!H5:H85""), $A74=IMPORTRANGE(""https://docs.google.com/spreadsheets/d/1kGrh75X1cNR1D7_FcY9zMn"&amp;"HP8iPO4M5RCRjy6nZY0TY/edit#gid=1248694442"",""Table 4: 2nd-line HC or more!A5:A85"")),"""")"),"")</f>
        <v/>
      </c>
      <c r="T74" s="14" t="str">
        <f>IFERROR(__xludf.DUMMYFUNCTION("IFNA(FILTER(IMPORTRANGE(""https://docs.google.com/spreadsheets/d/1kGrh75X1cNR1D7_FcY9zMnHP8iPO4M5RCRjy6nZY0TY/edit#gid=1248694442"",""Table 3: 1st-line HC!F5:F111""), $A74=IMPORTRANGE(""https://docs.google.com/spreadsheets/d/1kGrh75X1cNR1D7_FcY9zMnHP8iPO4"&amp;"M5RCRjy6nZY0TY/edit#gid=1248694442"",""Table 3: 1st-line HC!A5:A111"")),"""")"),"")</f>
        <v/>
      </c>
      <c r="U74" s="14" t="str">
        <f>IFERROR(__xludf.DUMMYFUNCTION("IFNA(FILTER(IMPORTRANGE(""https://docs.google.com/spreadsheets/d/1kGrh75X1cNR1D7_FcY9zMnHP8iPO4M5RCRjy6nZY0TY/edit#gid=1248694442"",""Table 3: 1st-line HC!G5:G111""), $A74=IMPORTRANGE(""https://docs.google.com/spreadsheets/d/1kGrh75X1cNR1D7_FcY9zMnHP8iPO4"&amp;"M5RCRjy6nZY0TY/edit#gid=1248694442"",""Table 3: 1st-line HC!A5:A111"")),"""")"),"")</f>
        <v/>
      </c>
      <c r="V74" s="14" t="str">
        <f>IFERROR(__xludf.DUMMYFUNCTION("IFNA(FILTER(IMPORTRANGE(""https://docs.google.com/spreadsheets/d/1kGrh75X1cNR1D7_FcY9zMnHP8iPO4M5RCRjy6nZY0TY/edit#gid=1248694442"",""Table 3: 1st-line HC!H5:H111""), $A74=IMPORTRANGE(""https://docs.google.com/spreadsheets/d/1kGrh75X1cNR1D7_FcY9zMnHP8iPO4"&amp;"M5RCRjy6nZY0TY/edit#gid=1248694442"",""Table 3: 1st-line HC!A5:A111"")),"""")"),"")</f>
        <v/>
      </c>
      <c r="W74" s="14" t="str">
        <f>IFERROR(__xludf.DUMMYFUNCTION("IFNA(FILTER(IMPORTRANGE(""https://docs.google.com/spreadsheets/d/1kGrh75X1cNR1D7_FcY9zMnHP8iPO4M5RCRjy6nZY0TY/edit#gid=1248694442"",""Table 3: 1st-line HC!I5:I111""), $A74=IMPORTRANGE(""https://docs.google.com/spreadsheets/d/1kGrh75X1cNR1D7_FcY9zMnHP8iPO4"&amp;"M5RCRjy6nZY0TY/edit#gid=1248694442"",""Table 3: 1st-line HC!A5:A111"")),"""")"),"")</f>
        <v/>
      </c>
    </row>
    <row r="75">
      <c r="A75" s="4" t="str">
        <f>IFERROR(__xludf.DUMMYFUNCTION("""COMPUTED_VALUE"""),"ID 161")</f>
        <v>ID 161</v>
      </c>
      <c r="B75" s="14" t="str">
        <f>IFERROR(__xludf.DUMMYFUNCTION("IFNA(FILTER(IMPORTRANGE(""https://docs.google.com/spreadsheets/d/1kGrh75X1cNR1D7_FcY9zMnHP8iPO4M5RCRjy6nZY0TY/edit#gid=1248694442"",""Table 3: 1st-line HC!AZ5:AZ111""), $A75=IMPORTRANGE(""https://docs.google.com/spreadsheets/d/1kGrh75X1cNR1D7_FcY9zMnHP8iP"&amp;"O4M5RCRjy6nZY0TY/edit#gid=1248694442"",""Table 3: 1st-line HC!A5:A111"")),"""")"),"")</f>
        <v/>
      </c>
      <c r="C75" s="14" t="str">
        <f>IFERROR(__xludf.DUMMYFUNCTION("IFNA(FILTER(IMPORTRANGE(""https://docs.google.com/spreadsheets/d/1kGrh75X1cNR1D7_FcY9zMnHP8iPO4M5RCRjy6nZY0TY/edit#gid=1248694442"",""Table 3: 1st-line HC!BA5:BA111""), $A75=IMPORTRANGE(""https://docs.google.com/spreadsheets/d/1kGrh75X1cNR1D7_FcY9zMnHP8iP"&amp;"O4M5RCRjy6nZY0TY/edit#gid=1248694442"",""Table 3: 1st-line HC!A5:A111"")),"""")"),"")</f>
        <v/>
      </c>
      <c r="D75" s="14" t="str">
        <f>IFERROR(__xludf.DUMMYFUNCTION("IFNA(FILTER(IMPORTRANGE(""https://docs.google.com/spreadsheets/d/1kGrh75X1cNR1D7_FcY9zMnHP8iPO4M5RCRjy6nZY0TY/edit#gid=1248694442"",""Table 3: 1st-line HC!BB5:BB111""), $A75=IMPORTRANGE(""https://docs.google.com/spreadsheets/d/1kGrh75X1cNR1D7_FcY9zMnHP8iP"&amp;"O4M5RCRjy6nZY0TY/edit#gid=1248694442"",""Table 3: 1st-line HC!A5:A111"")),"""")"),"")</f>
        <v/>
      </c>
      <c r="E75" s="19" t="str">
        <f>IFERROR(__xludf.DUMMYFUNCTION("IFNA(FILTER(IMPORTRANGE(""https://docs.google.com/spreadsheets/d/1kGrh75X1cNR1D7_FcY9zMnHP8iPO4M5RCRjy6nZY0TY/edit#gid=1248694442"",""Table 3: 1st-line HC!BC5:BC111""), $A75=IMPORTRANGE(""https://docs.google.com/spreadsheets/d/1kGrh75X1cNR1D7_FcY9zMnHP8iP"&amp;"O4M5RCRjy6nZY0TY/edit#gid=1248694442"",""Table 3: 1st-line HC!A5:A111"")),"""")"),"")</f>
        <v/>
      </c>
      <c r="F75" s="14" t="str">
        <f>IFERROR(__xludf.DUMMYFUNCTION("IFNA(FILTER(IMPORTRANGE(""https://docs.google.com/spreadsheets/d/1kGrh75X1cNR1D7_FcY9zMnHP8iPO4M5RCRjy6nZY0TY/edit#gid=1248694442"",""Table 3: 1st-line HC!Y5:Y111""), $A75=IMPORTRANGE(""https://docs.google.com/spreadsheets/d/1kGrh75X1cNR1D7_FcY9zMnHP8iPO4"&amp;"M5RCRjy6nZY0TY/edit#gid=1248694442"",""Table 3: 1st-line HC!A5:A111"")),"""")"),"")</f>
        <v/>
      </c>
      <c r="G75" s="14">
        <f>IFERROR(__xludf.DUMMYFUNCTION("IFNA(FILTER(IMPORTRANGE(""https://docs.google.com/spreadsheets/d/1kGrh75X1cNR1D7_FcY9zMnHP8iPO4M5RCRjy6nZY0TY/edit#gid=1248694442"",""Table 3: 1st-line HC!Z5:Z111""), $A75=IMPORTRANGE(""https://docs.google.com/spreadsheets/d/1kGrh75X1cNR1D7_FcY9zMnHP8iPO4"&amp;"M5RCRjy6nZY0TY/edit#gid=1248694442"",""Table 3: 1st-line HC!A5:A111"")),"""")"),24.0)</f>
        <v>24</v>
      </c>
      <c r="H75" s="14">
        <f>IFERROR(__xludf.DUMMYFUNCTION("IFNA(FILTER(IMPORTRANGE(""https://docs.google.com/spreadsheets/d/1kGrh75X1cNR1D7_FcY9zMnHP8iPO4M5RCRjy6nZY0TY/edit#gid=1248694442"",""Table 3: 1st-line HC!AA5:AA111""), $A75=IMPORTRANGE(""https://docs.google.com/spreadsheets/d/1kGrh75X1cNR1D7_FcY9zMnHP8iP"&amp;"O4M5RCRjy6nZY0TY/edit#gid=1248694442"",""Table 3: 1st-line HC!A5:A111"")),"""")"),3.0)</f>
        <v>3</v>
      </c>
      <c r="I75" s="14" t="str">
        <f>IFERROR(__xludf.DUMMYFUNCTION("IFNA(FILTER(IMPORTRANGE(""https://docs.google.com/spreadsheets/d/1kGrh75X1cNR1D7_FcY9zMnHP8iPO4M5RCRjy6nZY0TY/edit#gid=1248694442"",""Table 3: 1st-line HC!AB5:AB111""), $A75=IMPORTRANGE(""https://docs.google.com/spreadsheets/d/1kGrh75X1cNR1D7_FcY9zMnHP8iP"&amp;"O4M5RCRjy6nZY0TY/edit#gid=1248694442"",""Table 3: 1st-line HC!A5:A111"")),"""")"),"")</f>
        <v/>
      </c>
      <c r="J75" s="14" t="str">
        <f>IFERROR(__xludf.DUMMYFUNCTION("IFNA(FILTER(IMPORTRANGE(""https://docs.google.com/spreadsheets/d/1kGrh75X1cNR1D7_FcY9zMnHP8iPO4M5RCRjy6nZY0TY/edit#gid=1248694442"",""Table 3: 1st-line HC!AC5:AC111""), $A75=IMPORTRANGE(""https://docs.google.com/spreadsheets/d/1kGrh75X1cNR1D7_FcY9zMnHP8iP"&amp;"O4M5RCRjy6nZY0TY/edit#gid=1248694442"",""Table 3: 1st-line HC!A5:A111"")),"""")"),"")</f>
        <v/>
      </c>
      <c r="K75" s="20" t="str">
        <f>IFERROR(__xludf.DUMMYFUNCTION("IFNA(FILTER(IMPORTRANGE(""https://docs.google.com/spreadsheets/d/1kGrh75X1cNR1D7_FcY9zMnHP8iPO4M5RCRjy6nZY0TY/edit#gid=1248694442"",""Table 3: 1st-line HC!AD5:AD111""), $A75=IMPORTRANGE(""https://docs.google.com/spreadsheets/d/1kGrh75X1cNR1D7_FcY9zMnHP8iP"&amp;"O4M5RCRjy6nZY0TY/edit#gid=1248694442"",""Table 3: 1st-line HC!A5:A111"")),"""")"),"")</f>
        <v/>
      </c>
      <c r="L75" s="14" t="str">
        <f>IFERROR(__xludf.DUMMYFUNCTION("IFNA(FILTER(IMPORTRANGE(""https://docs.google.com/spreadsheets/d/1kGrh75X1cNR1D7_FcY9zMnHP8iPO4M5RCRjy6nZY0TY/edit#gid=1248694442"",""Table 3: 1st-line HC!W5:W111""), $A75=IMPORTRANGE(""https://docs.google.com/spreadsheets/d/1kGrh75X1cNR1D7_FcY9zMnHP8iPO4"&amp;"M5RCRjy6nZY0TY/edit#gid=1248694442"",""Table 3: 1st-line HC!A5:A111"")),"""")"),"")</f>
        <v/>
      </c>
      <c r="M75" s="14" t="str">
        <f>IFERROR(__xludf.DUMMYFUNCTION("IFNA(FILTER(IMPORTRANGE(""https://docs.google.com/spreadsheets/d/1kGrh75X1cNR1D7_FcY9zMnHP8iPO4M5RCRjy6nZY0TY/edit#gid=1248694442"",""Table 3: 1st-line HC!X5:X111""), $A75=IMPORTRANGE(""https://docs.google.com/spreadsheets/d/1kGrh75X1cNR1D7_FcY9zMnHP8iPO4"&amp;"M5RCRjy6nZY0TY/edit#gid=1248694442"",""Table 3: 1st-line HC!A5:A111"")),"""")"),"")</f>
        <v/>
      </c>
      <c r="N75" s="14" t="str">
        <f>IFERROR(__xludf.DUMMYFUNCTION("IFNA(FILTER(IMPORTRANGE(""https://docs.google.com/spreadsheets/d/1kGrh75X1cNR1D7_FcY9zMnHP8iPO4M5RCRjy6nZY0TY/edit#gid=1248694442"",""Table 4: 2nd-line HC or more!C5:C85""), $A75=IMPORTRANGE(""https://docs.google.com/spreadsheets/d/1kGrh75X1cNR1D7_FcY9zMn"&amp;"HP8iPO4M5RCRjy6nZY0TY/edit#gid=1248694442"",""Table 4: 2nd-line HC or more!A5:A85"")),"""")"),"")</f>
        <v/>
      </c>
      <c r="O75" s="14" t="str">
        <f>IFERROR(__xludf.DUMMYFUNCTION("IFNA(FILTER(IMPORTRANGE(""https://docs.google.com/spreadsheets/d/1kGrh75X1cNR1D7_FcY9zMnHP8iPO4M5RCRjy6nZY0TY/edit#gid=1248694442"",""Table 4: 2nd-line HC or more!D5:D85""), $A75=IMPORTRANGE(""https://docs.google.com/spreadsheets/d/1kGrh75X1cNR1D7_FcY9zMn"&amp;"HP8iPO4M5RCRjy6nZY0TY/edit#gid=1248694442"",""Table 4: 2nd-line HC or more!A5:A85"")),"""")"),"")</f>
        <v/>
      </c>
      <c r="P75" s="14" t="str">
        <f>IFERROR(__xludf.DUMMYFUNCTION("IFNA(FILTER(IMPORTRANGE(""https://docs.google.com/spreadsheets/d/1kGrh75X1cNR1D7_FcY9zMnHP8iPO4M5RCRjy6nZY0TY/edit#gid=1248694442"",""Table 4: 2nd-line HC or more!E5:E85""), $A75=IMPORTRANGE(""https://docs.google.com/spreadsheets/d/1kGrh75X1cNR1D7_FcY9zMn"&amp;"HP8iPO4M5RCRjy6nZY0TY/edit#gid=1248694442"",""Table 4: 2nd-line HC or more!A5:A85"")),"""")"),"")</f>
        <v/>
      </c>
      <c r="Q75" s="14" t="str">
        <f>IFERROR(__xludf.DUMMYFUNCTION("IFNA(FILTER(IMPORTRANGE(""https://docs.google.com/spreadsheets/d/1kGrh75X1cNR1D7_FcY9zMnHP8iPO4M5RCRjy6nZY0TY/edit#gid=1248694442"",""Table 4: 2nd-line HC or more!F5:F85""), $A75=IMPORTRANGE(""https://docs.google.com/spreadsheets/d/1kGrh75X1cNR1D7_FcY9zMn"&amp;"HP8iPO4M5RCRjy6nZY0TY/edit#gid=1248694442"",""Table 4: 2nd-line HC or more!A5:A85"")),"""")"),"")</f>
        <v/>
      </c>
      <c r="R75" s="14" t="str">
        <f>IFERROR(__xludf.DUMMYFUNCTION("IFNA(FILTER(IMPORTRANGE(""https://docs.google.com/spreadsheets/d/1kGrh75X1cNR1D7_FcY9zMnHP8iPO4M5RCRjy6nZY0TY/edit#gid=1248694442"",""Table 4: 2nd-line HC or more!G5:G85""), $A75=IMPORTRANGE(""https://docs.google.com/spreadsheets/d/1kGrh75X1cNR1D7_FcY9zMn"&amp;"HP8iPO4M5RCRjy6nZY0TY/edit#gid=1248694442"",""Table 4: 2nd-line HC or more!A5:A85"")),"""")"),"")</f>
        <v/>
      </c>
      <c r="S75" s="14" t="str">
        <f>IFERROR(__xludf.DUMMYFUNCTION("IFNA(FILTER(IMPORTRANGE(""https://docs.google.com/spreadsheets/d/1kGrh75X1cNR1D7_FcY9zMnHP8iPO4M5RCRjy6nZY0TY/edit#gid=1248694442"",""Table 4: 2nd-line HC or more!H5:H85""), $A75=IMPORTRANGE(""https://docs.google.com/spreadsheets/d/1kGrh75X1cNR1D7_FcY9zMn"&amp;"HP8iPO4M5RCRjy6nZY0TY/edit#gid=1248694442"",""Table 4: 2nd-line HC or more!A5:A85"")),"""")"),"")</f>
        <v/>
      </c>
      <c r="T75" s="14" t="str">
        <f>IFERROR(__xludf.DUMMYFUNCTION("IFNA(FILTER(IMPORTRANGE(""https://docs.google.com/spreadsheets/d/1kGrh75X1cNR1D7_FcY9zMnHP8iPO4M5RCRjy6nZY0TY/edit#gid=1248694442"",""Table 3: 1st-line HC!F5:F111""), $A75=IMPORTRANGE(""https://docs.google.com/spreadsheets/d/1kGrh75X1cNR1D7_FcY9zMnHP8iPO4"&amp;"M5RCRjy6nZY0TY/edit#gid=1248694442"",""Table 3: 1st-line HC!A5:A111"")),"""")"),"")</f>
        <v/>
      </c>
      <c r="U75" s="14" t="str">
        <f>IFERROR(__xludf.DUMMYFUNCTION("IFNA(FILTER(IMPORTRANGE(""https://docs.google.com/spreadsheets/d/1kGrh75X1cNR1D7_FcY9zMnHP8iPO4M5RCRjy6nZY0TY/edit#gid=1248694442"",""Table 3: 1st-line HC!G5:G111""), $A75=IMPORTRANGE(""https://docs.google.com/spreadsheets/d/1kGrh75X1cNR1D7_FcY9zMnHP8iPO4"&amp;"M5RCRjy6nZY0TY/edit#gid=1248694442"",""Table 3: 1st-line HC!A5:A111"")),"""")"),"")</f>
        <v/>
      </c>
      <c r="V75" s="14" t="str">
        <f>IFERROR(__xludf.DUMMYFUNCTION("IFNA(FILTER(IMPORTRANGE(""https://docs.google.com/spreadsheets/d/1kGrh75X1cNR1D7_FcY9zMnHP8iPO4M5RCRjy6nZY0TY/edit#gid=1248694442"",""Table 3: 1st-line HC!H5:H111""), $A75=IMPORTRANGE(""https://docs.google.com/spreadsheets/d/1kGrh75X1cNR1D7_FcY9zMnHP8iPO4"&amp;"M5RCRjy6nZY0TY/edit#gid=1248694442"",""Table 3: 1st-line HC!A5:A111"")),"""")"),"")</f>
        <v/>
      </c>
      <c r="W75" s="14" t="str">
        <f>IFERROR(__xludf.DUMMYFUNCTION("IFNA(FILTER(IMPORTRANGE(""https://docs.google.com/spreadsheets/d/1kGrh75X1cNR1D7_FcY9zMnHP8iPO4M5RCRjy6nZY0TY/edit#gid=1248694442"",""Table 3: 1st-line HC!I5:I111""), $A75=IMPORTRANGE(""https://docs.google.com/spreadsheets/d/1kGrh75X1cNR1D7_FcY9zMnHP8iPO4"&amp;"M5RCRjy6nZY0TY/edit#gid=1248694442"",""Table 3: 1st-line HC!A5:A111"")),"""")"),"")</f>
        <v/>
      </c>
    </row>
    <row r="76">
      <c r="A76" s="4" t="str">
        <f>IFERROR(__xludf.DUMMYFUNCTION("""COMPUTED_VALUE"""),"ID 162")</f>
        <v>ID 162</v>
      </c>
      <c r="B76" s="14" t="str">
        <f>IFERROR(__xludf.DUMMYFUNCTION("IFNA(FILTER(IMPORTRANGE(""https://docs.google.com/spreadsheets/d/1kGrh75X1cNR1D7_FcY9zMnHP8iPO4M5RCRjy6nZY0TY/edit#gid=1248694442"",""Table 3: 1st-line HC!AZ5:AZ111""), $A76=IMPORTRANGE(""https://docs.google.com/spreadsheets/d/1kGrh75X1cNR1D7_FcY9zMnHP8iP"&amp;"O4M5RCRjy6nZY0TY/edit#gid=1248694442"",""Table 3: 1st-line HC!A5:A111"")),"""")"),"")</f>
        <v/>
      </c>
      <c r="C76" s="14" t="str">
        <f>IFERROR(__xludf.DUMMYFUNCTION("IFNA(FILTER(IMPORTRANGE(""https://docs.google.com/spreadsheets/d/1kGrh75X1cNR1D7_FcY9zMnHP8iPO4M5RCRjy6nZY0TY/edit#gid=1248694442"",""Table 3: 1st-line HC!BA5:BA111""), $A76=IMPORTRANGE(""https://docs.google.com/spreadsheets/d/1kGrh75X1cNR1D7_FcY9zMnHP8iP"&amp;"O4M5RCRjy6nZY0TY/edit#gid=1248694442"",""Table 3: 1st-line HC!A5:A111"")),"""")"),"")</f>
        <v/>
      </c>
      <c r="D76" s="14" t="str">
        <f>IFERROR(__xludf.DUMMYFUNCTION("IFNA(FILTER(IMPORTRANGE(""https://docs.google.com/spreadsheets/d/1kGrh75X1cNR1D7_FcY9zMnHP8iPO4M5RCRjy6nZY0TY/edit#gid=1248694442"",""Table 3: 1st-line HC!BB5:BB111""), $A76=IMPORTRANGE(""https://docs.google.com/spreadsheets/d/1kGrh75X1cNR1D7_FcY9zMnHP8iP"&amp;"O4M5RCRjy6nZY0TY/edit#gid=1248694442"",""Table 3: 1st-line HC!A5:A111"")),"""")"),"")</f>
        <v/>
      </c>
      <c r="E76" s="19" t="str">
        <f>IFERROR(__xludf.DUMMYFUNCTION("IFNA(FILTER(IMPORTRANGE(""https://docs.google.com/spreadsheets/d/1kGrh75X1cNR1D7_FcY9zMnHP8iPO4M5RCRjy6nZY0TY/edit#gid=1248694442"",""Table 3: 1st-line HC!BC5:BC111""), $A76=IMPORTRANGE(""https://docs.google.com/spreadsheets/d/1kGrh75X1cNR1D7_FcY9zMnHP8iP"&amp;"O4M5RCRjy6nZY0TY/edit#gid=1248694442"",""Table 3: 1st-line HC!A5:A111"")),"""")"),"")</f>
        <v/>
      </c>
      <c r="F76" s="14" t="str">
        <f>IFERROR(__xludf.DUMMYFUNCTION("IFNA(FILTER(IMPORTRANGE(""https://docs.google.com/spreadsheets/d/1kGrh75X1cNR1D7_FcY9zMnHP8iPO4M5RCRjy6nZY0TY/edit#gid=1248694442"",""Table 3: 1st-line HC!Y5:Y111""), $A76=IMPORTRANGE(""https://docs.google.com/spreadsheets/d/1kGrh75X1cNR1D7_FcY9zMnHP8iPO4"&amp;"M5RCRjy6nZY0TY/edit#gid=1248694442"",""Table 3: 1st-line HC!A5:A111"")),"""")"),"")</f>
        <v/>
      </c>
      <c r="G76" s="14">
        <f>IFERROR(__xludf.DUMMYFUNCTION("IFNA(FILTER(IMPORTRANGE(""https://docs.google.com/spreadsheets/d/1kGrh75X1cNR1D7_FcY9zMnHP8iPO4M5RCRjy6nZY0TY/edit#gid=1248694442"",""Table 3: 1st-line HC!Z5:Z111""), $A76=IMPORTRANGE(""https://docs.google.com/spreadsheets/d/1kGrh75X1cNR1D7_FcY9zMnHP8iPO4"&amp;"M5RCRjy6nZY0TY/edit#gid=1248694442"",""Table 3: 1st-line HC!A5:A111"")),"""")"),57.0)</f>
        <v>57</v>
      </c>
      <c r="H76" s="14" t="str">
        <f>IFERROR(__xludf.DUMMYFUNCTION("IFNA(FILTER(IMPORTRANGE(""https://docs.google.com/spreadsheets/d/1kGrh75X1cNR1D7_FcY9zMnHP8iPO4M5RCRjy6nZY0TY/edit#gid=1248694442"",""Table 3: 1st-line HC!AA5:AA111""), $A76=IMPORTRANGE(""https://docs.google.com/spreadsheets/d/1kGrh75X1cNR1D7_FcY9zMnHP8iP"&amp;"O4M5RCRjy6nZY0TY/edit#gid=1248694442"",""Table 3: 1st-line HC!A5:A111"")),"""")"),"")</f>
        <v/>
      </c>
      <c r="I76" s="14" t="str">
        <f>IFERROR(__xludf.DUMMYFUNCTION("IFNA(FILTER(IMPORTRANGE(""https://docs.google.com/spreadsheets/d/1kGrh75X1cNR1D7_FcY9zMnHP8iPO4M5RCRjy6nZY0TY/edit#gid=1248694442"",""Table 3: 1st-line HC!AB5:AB111""), $A76=IMPORTRANGE(""https://docs.google.com/spreadsheets/d/1kGrh75X1cNR1D7_FcY9zMnHP8iP"&amp;"O4M5RCRjy6nZY0TY/edit#gid=1248694442"",""Table 3: 1st-line HC!A5:A111"")),"""")"),"")</f>
        <v/>
      </c>
      <c r="J76" s="14" t="str">
        <f>IFERROR(__xludf.DUMMYFUNCTION("IFNA(FILTER(IMPORTRANGE(""https://docs.google.com/spreadsheets/d/1kGrh75X1cNR1D7_FcY9zMnHP8iPO4M5RCRjy6nZY0TY/edit#gid=1248694442"",""Table 3: 1st-line HC!AC5:AC111""), $A76=IMPORTRANGE(""https://docs.google.com/spreadsheets/d/1kGrh75X1cNR1D7_FcY9zMnHP8iP"&amp;"O4M5RCRjy6nZY0TY/edit#gid=1248694442"",""Table 3: 1st-line HC!A5:A111"")),"""")"),"")</f>
        <v/>
      </c>
      <c r="K76" s="20" t="str">
        <f>IFERROR(__xludf.DUMMYFUNCTION("IFNA(FILTER(IMPORTRANGE(""https://docs.google.com/spreadsheets/d/1kGrh75X1cNR1D7_FcY9zMnHP8iPO4M5RCRjy6nZY0TY/edit#gid=1248694442"",""Table 3: 1st-line HC!AD5:AD111""), $A76=IMPORTRANGE(""https://docs.google.com/spreadsheets/d/1kGrh75X1cNR1D7_FcY9zMnHP8iP"&amp;"O4M5RCRjy6nZY0TY/edit#gid=1248694442"",""Table 3: 1st-line HC!A5:A111"")),"""")"),"")</f>
        <v/>
      </c>
      <c r="L76" s="14" t="str">
        <f>IFERROR(__xludf.DUMMYFUNCTION("IFNA(FILTER(IMPORTRANGE(""https://docs.google.com/spreadsheets/d/1kGrh75X1cNR1D7_FcY9zMnHP8iPO4M5RCRjy6nZY0TY/edit#gid=1248694442"",""Table 3: 1st-line HC!W5:W111""), $A76=IMPORTRANGE(""https://docs.google.com/spreadsheets/d/1kGrh75X1cNR1D7_FcY9zMnHP8iPO4"&amp;"M5RCRjy6nZY0TY/edit#gid=1248694442"",""Table 3: 1st-line HC!A5:A111"")),"""")"),"")</f>
        <v/>
      </c>
      <c r="M76" s="14" t="str">
        <f>IFERROR(__xludf.DUMMYFUNCTION("IFNA(FILTER(IMPORTRANGE(""https://docs.google.com/spreadsheets/d/1kGrh75X1cNR1D7_FcY9zMnHP8iPO4M5RCRjy6nZY0TY/edit#gid=1248694442"",""Table 3: 1st-line HC!X5:X111""), $A76=IMPORTRANGE(""https://docs.google.com/spreadsheets/d/1kGrh75X1cNR1D7_FcY9zMnHP8iPO4"&amp;"M5RCRjy6nZY0TY/edit#gid=1248694442"",""Table 3: 1st-line HC!A5:A111"")),"""")"),"")</f>
        <v/>
      </c>
      <c r="N76" s="14" t="str">
        <f>IFERROR(__xludf.DUMMYFUNCTION("IFNA(FILTER(IMPORTRANGE(""https://docs.google.com/spreadsheets/d/1kGrh75X1cNR1D7_FcY9zMnHP8iPO4M5RCRjy6nZY0TY/edit#gid=1248694442"",""Table 4: 2nd-line HC or more!C5:C85""), $A76=IMPORTRANGE(""https://docs.google.com/spreadsheets/d/1kGrh75X1cNR1D7_FcY9zMn"&amp;"HP8iPO4M5RCRjy6nZY0TY/edit#gid=1248694442"",""Table 4: 2nd-line HC or more!A5:A85"")),"""")"),"")</f>
        <v/>
      </c>
      <c r="O76" s="14" t="str">
        <f>IFERROR(__xludf.DUMMYFUNCTION("IFNA(FILTER(IMPORTRANGE(""https://docs.google.com/spreadsheets/d/1kGrh75X1cNR1D7_FcY9zMnHP8iPO4M5RCRjy6nZY0TY/edit#gid=1248694442"",""Table 4: 2nd-line HC or more!D5:D85""), $A76=IMPORTRANGE(""https://docs.google.com/spreadsheets/d/1kGrh75X1cNR1D7_FcY9zMn"&amp;"HP8iPO4M5RCRjy6nZY0TY/edit#gid=1248694442"",""Table 4: 2nd-line HC or more!A5:A85"")),"""")"),"")</f>
        <v/>
      </c>
      <c r="P76" s="14" t="str">
        <f>IFERROR(__xludf.DUMMYFUNCTION("IFNA(FILTER(IMPORTRANGE(""https://docs.google.com/spreadsheets/d/1kGrh75X1cNR1D7_FcY9zMnHP8iPO4M5RCRjy6nZY0TY/edit#gid=1248694442"",""Table 4: 2nd-line HC or more!E5:E85""), $A76=IMPORTRANGE(""https://docs.google.com/spreadsheets/d/1kGrh75X1cNR1D7_FcY9zMn"&amp;"HP8iPO4M5RCRjy6nZY0TY/edit#gid=1248694442"",""Table 4: 2nd-line HC or more!A5:A85"")),"""")"),"")</f>
        <v/>
      </c>
      <c r="Q76" s="14" t="str">
        <f>IFERROR(__xludf.DUMMYFUNCTION("IFNA(FILTER(IMPORTRANGE(""https://docs.google.com/spreadsheets/d/1kGrh75X1cNR1D7_FcY9zMnHP8iPO4M5RCRjy6nZY0TY/edit#gid=1248694442"",""Table 4: 2nd-line HC or more!F5:F85""), $A76=IMPORTRANGE(""https://docs.google.com/spreadsheets/d/1kGrh75X1cNR1D7_FcY9zMn"&amp;"HP8iPO4M5RCRjy6nZY0TY/edit#gid=1248694442"",""Table 4: 2nd-line HC or more!A5:A85"")),"""")"),"")</f>
        <v/>
      </c>
      <c r="R76" s="14" t="str">
        <f>IFERROR(__xludf.DUMMYFUNCTION("IFNA(FILTER(IMPORTRANGE(""https://docs.google.com/spreadsheets/d/1kGrh75X1cNR1D7_FcY9zMnHP8iPO4M5RCRjy6nZY0TY/edit#gid=1248694442"",""Table 4: 2nd-line HC or more!G5:G85""), $A76=IMPORTRANGE(""https://docs.google.com/spreadsheets/d/1kGrh75X1cNR1D7_FcY9zMn"&amp;"HP8iPO4M5RCRjy6nZY0TY/edit#gid=1248694442"",""Table 4: 2nd-line HC or more!A5:A85"")),"""")"),"")</f>
        <v/>
      </c>
      <c r="S76" s="14" t="str">
        <f>IFERROR(__xludf.DUMMYFUNCTION("IFNA(FILTER(IMPORTRANGE(""https://docs.google.com/spreadsheets/d/1kGrh75X1cNR1D7_FcY9zMnHP8iPO4M5RCRjy6nZY0TY/edit#gid=1248694442"",""Table 4: 2nd-line HC or more!H5:H85""), $A76=IMPORTRANGE(""https://docs.google.com/spreadsheets/d/1kGrh75X1cNR1D7_FcY9zMn"&amp;"HP8iPO4M5RCRjy6nZY0TY/edit#gid=1248694442"",""Table 4: 2nd-line HC or more!A5:A85"")),"""")"),"")</f>
        <v/>
      </c>
      <c r="T76" s="14">
        <f>IFERROR(__xludf.DUMMYFUNCTION("IFNA(FILTER(IMPORTRANGE(""https://docs.google.com/spreadsheets/d/1kGrh75X1cNR1D7_FcY9zMnHP8iPO4M5RCRjy6nZY0TY/edit#gid=1248694442"",""Table 3: 1st-line HC!F5:F111""), $A76=IMPORTRANGE(""https://docs.google.com/spreadsheets/d/1kGrh75X1cNR1D7_FcY9zMnHP8iPO4"&amp;"M5RCRjy6nZY0TY/edit#gid=1248694442"",""Table 3: 1st-line HC!A5:A111"")),"""")"),57.0)</f>
        <v>57</v>
      </c>
      <c r="U76" s="14" t="str">
        <f>IFERROR(__xludf.DUMMYFUNCTION("IFNA(FILTER(IMPORTRANGE(""https://docs.google.com/spreadsheets/d/1kGrh75X1cNR1D7_FcY9zMnHP8iPO4M5RCRjy6nZY0TY/edit#gid=1248694442"",""Table 3: 1st-line HC!G5:G111""), $A76=IMPORTRANGE(""https://docs.google.com/spreadsheets/d/1kGrh75X1cNR1D7_FcY9zMnHP8iPO4"&amp;"M5RCRjy6nZY0TY/edit#gid=1248694442"",""Table 3: 1st-line HC!A5:A111"")),"""")"),"")</f>
        <v/>
      </c>
      <c r="V76" s="14">
        <f>IFERROR(__xludf.DUMMYFUNCTION("IFNA(FILTER(IMPORTRANGE(""https://docs.google.com/spreadsheets/d/1kGrh75X1cNR1D7_FcY9zMnHP8iPO4M5RCRjy6nZY0TY/edit#gid=1248694442"",""Table 3: 1st-line HC!H5:H111""), $A76=IMPORTRANGE(""https://docs.google.com/spreadsheets/d/1kGrh75X1cNR1D7_FcY9zMnHP8iPO4"&amp;"M5RCRjy6nZY0TY/edit#gid=1248694442"",""Table 3: 1st-line HC!A5:A111"")),"""")"),57.0)</f>
        <v>57</v>
      </c>
      <c r="W76" s="14" t="str">
        <f>IFERROR(__xludf.DUMMYFUNCTION("IFNA(FILTER(IMPORTRANGE(""https://docs.google.com/spreadsheets/d/1kGrh75X1cNR1D7_FcY9zMnHP8iPO4M5RCRjy6nZY0TY/edit#gid=1248694442"",""Table 3: 1st-line HC!I5:I111""), $A76=IMPORTRANGE(""https://docs.google.com/spreadsheets/d/1kGrh75X1cNR1D7_FcY9zMnHP8iPO4"&amp;"M5RCRjy6nZY0TY/edit#gid=1248694442"",""Table 3: 1st-line HC!A5:A111"")),"""")"),"")</f>
        <v/>
      </c>
    </row>
    <row r="77">
      <c r="A77" s="4" t="str">
        <f>IFERROR(__xludf.DUMMYFUNCTION("""COMPUTED_VALUE"""),"ID 163")</f>
        <v>ID 163</v>
      </c>
      <c r="B77" s="14" t="str">
        <f>IFERROR(__xludf.DUMMYFUNCTION("IFNA(FILTER(IMPORTRANGE(""https://docs.google.com/spreadsheets/d/1kGrh75X1cNR1D7_FcY9zMnHP8iPO4M5RCRjy6nZY0TY/edit#gid=1248694442"",""Table 3: 1st-line HC!AZ5:AZ111""), $A77=IMPORTRANGE(""https://docs.google.com/spreadsheets/d/1kGrh75X1cNR1D7_FcY9zMnHP8iP"&amp;"O4M5RCRjy6nZY0TY/edit#gid=1248694442"",""Table 3: 1st-line HC!A5:A111"")),"""")"),"")</f>
        <v/>
      </c>
      <c r="C77" s="14" t="str">
        <f>IFERROR(__xludf.DUMMYFUNCTION("IFNA(FILTER(IMPORTRANGE(""https://docs.google.com/spreadsheets/d/1kGrh75X1cNR1D7_FcY9zMnHP8iPO4M5RCRjy6nZY0TY/edit#gid=1248694442"",""Table 3: 1st-line HC!BA5:BA111""), $A77=IMPORTRANGE(""https://docs.google.com/spreadsheets/d/1kGrh75X1cNR1D7_FcY9zMnHP8iP"&amp;"O4M5RCRjy6nZY0TY/edit#gid=1248694442"",""Table 3: 1st-line HC!A5:A111"")),"""")"),"")</f>
        <v/>
      </c>
      <c r="D77" s="14" t="str">
        <f>IFERROR(__xludf.DUMMYFUNCTION("IFNA(FILTER(IMPORTRANGE(""https://docs.google.com/spreadsheets/d/1kGrh75X1cNR1D7_FcY9zMnHP8iPO4M5RCRjy6nZY0TY/edit#gid=1248694442"",""Table 3: 1st-line HC!BB5:BB111""), $A77=IMPORTRANGE(""https://docs.google.com/spreadsheets/d/1kGrh75X1cNR1D7_FcY9zMnHP8iP"&amp;"O4M5RCRjy6nZY0TY/edit#gid=1248694442"",""Table 3: 1st-line HC!A5:A111"")),"""")"),"")</f>
        <v/>
      </c>
      <c r="E77" s="19" t="str">
        <f>IFERROR(__xludf.DUMMYFUNCTION("IFNA(FILTER(IMPORTRANGE(""https://docs.google.com/spreadsheets/d/1kGrh75X1cNR1D7_FcY9zMnHP8iPO4M5RCRjy6nZY0TY/edit#gid=1248694442"",""Table 3: 1st-line HC!BC5:BC111""), $A77=IMPORTRANGE(""https://docs.google.com/spreadsheets/d/1kGrh75X1cNR1D7_FcY9zMnHP8iP"&amp;"O4M5RCRjy6nZY0TY/edit#gid=1248694442"",""Table 3: 1st-line HC!A5:A111"")),"""")"),"")</f>
        <v/>
      </c>
      <c r="F77" s="14" t="str">
        <f>IFERROR(__xludf.DUMMYFUNCTION("IFNA(FILTER(IMPORTRANGE(""https://docs.google.com/spreadsheets/d/1kGrh75X1cNR1D7_FcY9zMnHP8iPO4M5RCRjy6nZY0TY/edit#gid=1248694442"",""Table 3: 1st-line HC!Y5:Y111""), $A77=IMPORTRANGE(""https://docs.google.com/spreadsheets/d/1kGrh75X1cNR1D7_FcY9zMnHP8iPO4"&amp;"M5RCRjy6nZY0TY/edit#gid=1248694442"",""Table 3: 1st-line HC!A5:A111"")),"""")"),"")</f>
        <v/>
      </c>
      <c r="G77" s="14">
        <f>IFERROR(__xludf.DUMMYFUNCTION("IFNA(FILTER(IMPORTRANGE(""https://docs.google.com/spreadsheets/d/1kGrh75X1cNR1D7_FcY9zMnHP8iPO4M5RCRjy6nZY0TY/edit#gid=1248694442"",""Table 3: 1st-line HC!Z5:Z111""), $A77=IMPORTRANGE(""https://docs.google.com/spreadsheets/d/1kGrh75X1cNR1D7_FcY9zMnHP8iPO4"&amp;"M5RCRjy6nZY0TY/edit#gid=1248694442"",""Table 3: 1st-line HC!A5:A111"")),"""")"),276.0)</f>
        <v>276</v>
      </c>
      <c r="H77" s="14" t="str">
        <f>IFERROR(__xludf.DUMMYFUNCTION("IFNA(FILTER(IMPORTRANGE(""https://docs.google.com/spreadsheets/d/1kGrh75X1cNR1D7_FcY9zMnHP8iPO4M5RCRjy6nZY0TY/edit#gid=1248694442"",""Table 3: 1st-line HC!AA5:AA111""), $A77=IMPORTRANGE(""https://docs.google.com/spreadsheets/d/1kGrh75X1cNR1D7_FcY9zMnHP8iP"&amp;"O4M5RCRjy6nZY0TY/edit#gid=1248694442"",""Table 3: 1st-line HC!A5:A111"")),"""")"),"")</f>
        <v/>
      </c>
      <c r="I77" s="14" t="str">
        <f>IFERROR(__xludf.DUMMYFUNCTION("IFNA(FILTER(IMPORTRANGE(""https://docs.google.com/spreadsheets/d/1kGrh75X1cNR1D7_FcY9zMnHP8iPO4M5RCRjy6nZY0TY/edit#gid=1248694442"",""Table 3: 1st-line HC!AB5:AB111""), $A77=IMPORTRANGE(""https://docs.google.com/spreadsheets/d/1kGrh75X1cNR1D7_FcY9zMnHP8iP"&amp;"O4M5RCRjy6nZY0TY/edit#gid=1248694442"",""Table 3: 1st-line HC!A5:A111"")),"""")"),"")</f>
        <v/>
      </c>
      <c r="J77" s="14" t="str">
        <f>IFERROR(__xludf.DUMMYFUNCTION("IFNA(FILTER(IMPORTRANGE(""https://docs.google.com/spreadsheets/d/1kGrh75X1cNR1D7_FcY9zMnHP8iPO4M5RCRjy6nZY0TY/edit#gid=1248694442"",""Table 3: 1st-line HC!AC5:AC111""), $A77=IMPORTRANGE(""https://docs.google.com/spreadsheets/d/1kGrh75X1cNR1D7_FcY9zMnHP8iP"&amp;"O4M5RCRjy6nZY0TY/edit#gid=1248694442"",""Table 3: 1st-line HC!A5:A111"")),"""")"),"")</f>
        <v/>
      </c>
      <c r="K77" s="20" t="str">
        <f>IFERROR(__xludf.DUMMYFUNCTION("IFNA(FILTER(IMPORTRANGE(""https://docs.google.com/spreadsheets/d/1kGrh75X1cNR1D7_FcY9zMnHP8iPO4M5RCRjy6nZY0TY/edit#gid=1248694442"",""Table 3: 1st-line HC!AD5:AD111""), $A77=IMPORTRANGE(""https://docs.google.com/spreadsheets/d/1kGrh75X1cNR1D7_FcY9zMnHP8iP"&amp;"O4M5RCRjy6nZY0TY/edit#gid=1248694442"",""Table 3: 1st-line HC!A5:A111"")),"""")"),"")</f>
        <v/>
      </c>
      <c r="L77" s="14" t="str">
        <f>IFERROR(__xludf.DUMMYFUNCTION("IFNA(FILTER(IMPORTRANGE(""https://docs.google.com/spreadsheets/d/1kGrh75X1cNR1D7_FcY9zMnHP8iPO4M5RCRjy6nZY0TY/edit#gid=1248694442"",""Table 3: 1st-line HC!W5:W111""), $A77=IMPORTRANGE(""https://docs.google.com/spreadsheets/d/1kGrh75X1cNR1D7_FcY9zMnHP8iPO4"&amp;"M5RCRjy6nZY0TY/edit#gid=1248694442"",""Table 3: 1st-line HC!A5:A111"")),"""")"),"")</f>
        <v/>
      </c>
      <c r="M77" s="14" t="str">
        <f>IFERROR(__xludf.DUMMYFUNCTION("IFNA(FILTER(IMPORTRANGE(""https://docs.google.com/spreadsheets/d/1kGrh75X1cNR1D7_FcY9zMnHP8iPO4M5RCRjy6nZY0TY/edit#gid=1248694442"",""Table 3: 1st-line HC!X5:X111""), $A77=IMPORTRANGE(""https://docs.google.com/spreadsheets/d/1kGrh75X1cNR1D7_FcY9zMnHP8iPO4"&amp;"M5RCRjy6nZY0TY/edit#gid=1248694442"",""Table 3: 1st-line HC!A5:A111"")),"""")"),"")</f>
        <v/>
      </c>
      <c r="N77" s="14" t="str">
        <f>IFERROR(__xludf.DUMMYFUNCTION("IFNA(FILTER(IMPORTRANGE(""https://docs.google.com/spreadsheets/d/1kGrh75X1cNR1D7_FcY9zMnHP8iPO4M5RCRjy6nZY0TY/edit#gid=1248694442"",""Table 4: 2nd-line HC or more!C5:C85""), $A77=IMPORTRANGE(""https://docs.google.com/spreadsheets/d/1kGrh75X1cNR1D7_FcY9zMn"&amp;"HP8iPO4M5RCRjy6nZY0TY/edit#gid=1248694442"",""Table 4: 2nd-line HC or more!A5:A85"")),"""")"),"")</f>
        <v/>
      </c>
      <c r="O77" s="14" t="str">
        <f>IFERROR(__xludf.DUMMYFUNCTION("IFNA(FILTER(IMPORTRANGE(""https://docs.google.com/spreadsheets/d/1kGrh75X1cNR1D7_FcY9zMnHP8iPO4M5RCRjy6nZY0TY/edit#gid=1248694442"",""Table 4: 2nd-line HC or more!D5:D85""), $A77=IMPORTRANGE(""https://docs.google.com/spreadsheets/d/1kGrh75X1cNR1D7_FcY9zMn"&amp;"HP8iPO4M5RCRjy6nZY0TY/edit#gid=1248694442"",""Table 4: 2nd-line HC or more!A5:A85"")),"""")"),"")</f>
        <v/>
      </c>
      <c r="P77" s="14" t="str">
        <f>IFERROR(__xludf.DUMMYFUNCTION("IFNA(FILTER(IMPORTRANGE(""https://docs.google.com/spreadsheets/d/1kGrh75X1cNR1D7_FcY9zMnHP8iPO4M5RCRjy6nZY0TY/edit#gid=1248694442"",""Table 4: 2nd-line HC or more!E5:E85""), $A77=IMPORTRANGE(""https://docs.google.com/spreadsheets/d/1kGrh75X1cNR1D7_FcY9zMn"&amp;"HP8iPO4M5RCRjy6nZY0TY/edit#gid=1248694442"",""Table 4: 2nd-line HC or more!A5:A85"")),"""")"),"")</f>
        <v/>
      </c>
      <c r="Q77" s="14" t="str">
        <f>IFERROR(__xludf.DUMMYFUNCTION("IFNA(FILTER(IMPORTRANGE(""https://docs.google.com/spreadsheets/d/1kGrh75X1cNR1D7_FcY9zMnHP8iPO4M5RCRjy6nZY0TY/edit#gid=1248694442"",""Table 4: 2nd-line HC or more!F5:F85""), $A77=IMPORTRANGE(""https://docs.google.com/spreadsheets/d/1kGrh75X1cNR1D7_FcY9zMn"&amp;"HP8iPO4M5RCRjy6nZY0TY/edit#gid=1248694442"",""Table 4: 2nd-line HC or more!A5:A85"")),"""")"),"")</f>
        <v/>
      </c>
      <c r="R77" s="14" t="str">
        <f>IFERROR(__xludf.DUMMYFUNCTION("IFNA(FILTER(IMPORTRANGE(""https://docs.google.com/spreadsheets/d/1kGrh75X1cNR1D7_FcY9zMnHP8iPO4M5RCRjy6nZY0TY/edit#gid=1248694442"",""Table 4: 2nd-line HC or more!G5:G85""), $A77=IMPORTRANGE(""https://docs.google.com/spreadsheets/d/1kGrh75X1cNR1D7_FcY9zMn"&amp;"HP8iPO4M5RCRjy6nZY0TY/edit#gid=1248694442"",""Table 4: 2nd-line HC or more!A5:A85"")),"""")"),"")</f>
        <v/>
      </c>
      <c r="S77" s="14" t="str">
        <f>IFERROR(__xludf.DUMMYFUNCTION("IFNA(FILTER(IMPORTRANGE(""https://docs.google.com/spreadsheets/d/1kGrh75X1cNR1D7_FcY9zMnHP8iPO4M5RCRjy6nZY0TY/edit#gid=1248694442"",""Table 4: 2nd-line HC or more!H5:H85""), $A77=IMPORTRANGE(""https://docs.google.com/spreadsheets/d/1kGrh75X1cNR1D7_FcY9zMn"&amp;"HP8iPO4M5RCRjy6nZY0TY/edit#gid=1248694442"",""Table 4: 2nd-line HC or more!A5:A85"")),"""")"),"")</f>
        <v/>
      </c>
      <c r="T77" s="14" t="str">
        <f>IFERROR(__xludf.DUMMYFUNCTION("IFNA(FILTER(IMPORTRANGE(""https://docs.google.com/spreadsheets/d/1kGrh75X1cNR1D7_FcY9zMnHP8iPO4M5RCRjy6nZY0TY/edit#gid=1248694442"",""Table 3: 1st-line HC!F5:F111""), $A77=IMPORTRANGE(""https://docs.google.com/spreadsheets/d/1kGrh75X1cNR1D7_FcY9zMnHP8iPO4"&amp;"M5RCRjy6nZY0TY/edit#gid=1248694442"",""Table 3: 1st-line HC!A5:A111"")),"""")"),"")</f>
        <v/>
      </c>
      <c r="U77" s="14" t="str">
        <f>IFERROR(__xludf.DUMMYFUNCTION("IFNA(FILTER(IMPORTRANGE(""https://docs.google.com/spreadsheets/d/1kGrh75X1cNR1D7_FcY9zMnHP8iPO4M5RCRjy6nZY0TY/edit#gid=1248694442"",""Table 3: 1st-line HC!G5:G111""), $A77=IMPORTRANGE(""https://docs.google.com/spreadsheets/d/1kGrh75X1cNR1D7_FcY9zMnHP8iPO4"&amp;"M5RCRjy6nZY0TY/edit#gid=1248694442"",""Table 3: 1st-line HC!A5:A111"")),"""")"),"")</f>
        <v/>
      </c>
      <c r="V77" s="14">
        <f>IFERROR(__xludf.DUMMYFUNCTION("IFNA(FILTER(IMPORTRANGE(""https://docs.google.com/spreadsheets/d/1kGrh75X1cNR1D7_FcY9zMnHP8iPO4M5RCRjy6nZY0TY/edit#gid=1248694442"",""Table 3: 1st-line HC!H5:H111""), $A77=IMPORTRANGE(""https://docs.google.com/spreadsheets/d/1kGrh75X1cNR1D7_FcY9zMnHP8iPO4"&amp;"M5RCRjy6nZY0TY/edit#gid=1248694442"",""Table 3: 1st-line HC!A5:A111"")),"""")"),276.0)</f>
        <v>276</v>
      </c>
      <c r="W77" s="14" t="str">
        <f>IFERROR(__xludf.DUMMYFUNCTION("IFNA(FILTER(IMPORTRANGE(""https://docs.google.com/spreadsheets/d/1kGrh75X1cNR1D7_FcY9zMnHP8iPO4M5RCRjy6nZY0TY/edit#gid=1248694442"",""Table 3: 1st-line HC!I5:I111""), $A77=IMPORTRANGE(""https://docs.google.com/spreadsheets/d/1kGrh75X1cNR1D7_FcY9zMnHP8iPO4"&amp;"M5RCRjy6nZY0TY/edit#gid=1248694442"",""Table 3: 1st-line HC!A5:A111"")),"""")"),"")</f>
        <v/>
      </c>
    </row>
    <row r="78">
      <c r="A78" s="4" t="str">
        <f>IFERROR(__xludf.DUMMYFUNCTION("""COMPUTED_VALUE"""),"ID 164")</f>
        <v>ID 164</v>
      </c>
      <c r="B78" s="14" t="str">
        <f>IFERROR(__xludf.DUMMYFUNCTION("IFNA(FILTER(IMPORTRANGE(""https://docs.google.com/spreadsheets/d/1kGrh75X1cNR1D7_FcY9zMnHP8iPO4M5RCRjy6nZY0TY/edit#gid=1248694442"",""Table 3: 1st-line HC!AZ5:AZ111""), $A78=IMPORTRANGE(""https://docs.google.com/spreadsheets/d/1kGrh75X1cNR1D7_FcY9zMnHP8iP"&amp;"O4M5RCRjy6nZY0TY/edit#gid=1248694442"",""Table 3: 1st-line HC!A5:A111"")),"""")"),"")</f>
        <v/>
      </c>
      <c r="C78" s="14" t="str">
        <f>IFERROR(__xludf.DUMMYFUNCTION("IFNA(FILTER(IMPORTRANGE(""https://docs.google.com/spreadsheets/d/1kGrh75X1cNR1D7_FcY9zMnHP8iPO4M5RCRjy6nZY0TY/edit#gid=1248694442"",""Table 3: 1st-line HC!BA5:BA111""), $A78=IMPORTRANGE(""https://docs.google.com/spreadsheets/d/1kGrh75X1cNR1D7_FcY9zMnHP8iP"&amp;"O4M5RCRjy6nZY0TY/edit#gid=1248694442"",""Table 3: 1st-line HC!A5:A111"")),"""")"),"")</f>
        <v/>
      </c>
      <c r="D78" s="14" t="str">
        <f>IFERROR(__xludf.DUMMYFUNCTION("IFNA(FILTER(IMPORTRANGE(""https://docs.google.com/spreadsheets/d/1kGrh75X1cNR1D7_FcY9zMnHP8iPO4M5RCRjy6nZY0TY/edit#gid=1248694442"",""Table 3: 1st-line HC!BB5:BB111""), $A78=IMPORTRANGE(""https://docs.google.com/spreadsheets/d/1kGrh75X1cNR1D7_FcY9zMnHP8iP"&amp;"O4M5RCRjy6nZY0TY/edit#gid=1248694442"",""Table 3: 1st-line HC!A5:A111"")),"""")"),"")</f>
        <v/>
      </c>
      <c r="E78" s="19" t="str">
        <f>IFERROR(__xludf.DUMMYFUNCTION("IFNA(FILTER(IMPORTRANGE(""https://docs.google.com/spreadsheets/d/1kGrh75X1cNR1D7_FcY9zMnHP8iPO4M5RCRjy6nZY0TY/edit#gid=1248694442"",""Table 3: 1st-line HC!BC5:BC111""), $A78=IMPORTRANGE(""https://docs.google.com/spreadsheets/d/1kGrh75X1cNR1D7_FcY9zMnHP8iP"&amp;"O4M5RCRjy6nZY0TY/edit#gid=1248694442"",""Table 3: 1st-line HC!A5:A111"")),"""")"),"")</f>
        <v/>
      </c>
      <c r="F78" s="14" t="str">
        <f>IFERROR(__xludf.DUMMYFUNCTION("IFNA(FILTER(IMPORTRANGE(""https://docs.google.com/spreadsheets/d/1kGrh75X1cNR1D7_FcY9zMnHP8iPO4M5RCRjy6nZY0TY/edit#gid=1248694442"",""Table 3: 1st-line HC!Y5:Y111""), $A78=IMPORTRANGE(""https://docs.google.com/spreadsheets/d/1kGrh75X1cNR1D7_FcY9zMnHP8iPO4"&amp;"M5RCRjy6nZY0TY/edit#gid=1248694442"",""Table 3: 1st-line HC!A5:A111"")),"""")"),"")</f>
        <v/>
      </c>
      <c r="G78" s="14" t="str">
        <f>IFERROR(__xludf.DUMMYFUNCTION("IFNA(FILTER(IMPORTRANGE(""https://docs.google.com/spreadsheets/d/1kGrh75X1cNR1D7_FcY9zMnHP8iPO4M5RCRjy6nZY0TY/edit#gid=1248694442"",""Table 3: 1st-line HC!Z5:Z111""), $A78=IMPORTRANGE(""https://docs.google.com/spreadsheets/d/1kGrh75X1cNR1D7_FcY9zMnHP8iPO4"&amp;"M5RCRjy6nZY0TY/edit#gid=1248694442"",""Table 3: 1st-line HC!A5:A111"")),"""")"),"")</f>
        <v/>
      </c>
      <c r="H78" s="14" t="str">
        <f>IFERROR(__xludf.DUMMYFUNCTION("IFNA(FILTER(IMPORTRANGE(""https://docs.google.com/spreadsheets/d/1kGrh75X1cNR1D7_FcY9zMnHP8iPO4M5RCRjy6nZY0TY/edit#gid=1248694442"",""Table 3: 1st-line HC!AA5:AA111""), $A78=IMPORTRANGE(""https://docs.google.com/spreadsheets/d/1kGrh75X1cNR1D7_FcY9zMnHP8iP"&amp;"O4M5RCRjy6nZY0TY/edit#gid=1248694442"",""Table 3: 1st-line HC!A5:A111"")),"""")"),"")</f>
        <v/>
      </c>
      <c r="I78" s="14" t="str">
        <f>IFERROR(__xludf.DUMMYFUNCTION("IFNA(FILTER(IMPORTRANGE(""https://docs.google.com/spreadsheets/d/1kGrh75X1cNR1D7_FcY9zMnHP8iPO4M5RCRjy6nZY0TY/edit#gid=1248694442"",""Table 3: 1st-line HC!AB5:AB111""), $A78=IMPORTRANGE(""https://docs.google.com/spreadsheets/d/1kGrh75X1cNR1D7_FcY9zMnHP8iP"&amp;"O4M5RCRjy6nZY0TY/edit#gid=1248694442"",""Table 3: 1st-line HC!A5:A111"")),"""")"),"")</f>
        <v/>
      </c>
      <c r="J78" s="14" t="str">
        <f>IFERROR(__xludf.DUMMYFUNCTION("IFNA(FILTER(IMPORTRANGE(""https://docs.google.com/spreadsheets/d/1kGrh75X1cNR1D7_FcY9zMnHP8iPO4M5RCRjy6nZY0TY/edit#gid=1248694442"",""Table 3: 1st-line HC!AC5:AC111""), $A78=IMPORTRANGE(""https://docs.google.com/spreadsheets/d/1kGrh75X1cNR1D7_FcY9zMnHP8iP"&amp;"O4M5RCRjy6nZY0TY/edit#gid=1248694442"",""Table 3: 1st-line HC!A5:A111"")),"""")"),"")</f>
        <v/>
      </c>
      <c r="K78" s="20" t="str">
        <f>IFERROR(__xludf.DUMMYFUNCTION("IFNA(FILTER(IMPORTRANGE(""https://docs.google.com/spreadsheets/d/1kGrh75X1cNR1D7_FcY9zMnHP8iPO4M5RCRjy6nZY0TY/edit#gid=1248694442"",""Table 3: 1st-line HC!AD5:AD111""), $A78=IMPORTRANGE(""https://docs.google.com/spreadsheets/d/1kGrh75X1cNR1D7_FcY9zMnHP8iP"&amp;"O4M5RCRjy6nZY0TY/edit#gid=1248694442"",""Table 3: 1st-line HC!A5:A111"")),"""")"),"retrograde ventriculosinus shunt(RVSS)=5")</f>
        <v>retrograde ventriculosinus shunt(RVSS)=5</v>
      </c>
      <c r="L78" s="14" t="str">
        <f>IFERROR(__xludf.DUMMYFUNCTION("IFNA(FILTER(IMPORTRANGE(""https://docs.google.com/spreadsheets/d/1kGrh75X1cNR1D7_FcY9zMnHP8iPO4M5RCRjy6nZY0TY/edit#gid=1248694442"",""Table 3: 1st-line HC!W5:W111""), $A78=IMPORTRANGE(""https://docs.google.com/spreadsheets/d/1kGrh75X1cNR1D7_FcY9zMnHP8iPO4"&amp;"M5RCRjy6nZY0TY/edit#gid=1248694442"",""Table 3: 1st-line HC!A5:A111"")),"""")"),"")</f>
        <v/>
      </c>
      <c r="M78" s="14" t="str">
        <f>IFERROR(__xludf.DUMMYFUNCTION("IFNA(FILTER(IMPORTRANGE(""https://docs.google.com/spreadsheets/d/1kGrh75X1cNR1D7_FcY9zMnHP8iPO4M5RCRjy6nZY0TY/edit#gid=1248694442"",""Table 3: 1st-line HC!X5:X111""), $A78=IMPORTRANGE(""https://docs.google.com/spreadsheets/d/1kGrh75X1cNR1D7_FcY9zMnHP8iPO4"&amp;"M5RCRjy6nZY0TY/edit#gid=1248694442"",""Table 3: 1st-line HC!A5:A111"")),"""")"),"")</f>
        <v/>
      </c>
      <c r="N78" s="14" t="str">
        <f>IFERROR(__xludf.DUMMYFUNCTION("IFNA(FILTER(IMPORTRANGE(""https://docs.google.com/spreadsheets/d/1kGrh75X1cNR1D7_FcY9zMnHP8iPO4M5RCRjy6nZY0TY/edit#gid=1248694442"",""Table 4: 2nd-line HC or more!C5:C85""), $A78=IMPORTRANGE(""https://docs.google.com/spreadsheets/d/1kGrh75X1cNR1D7_FcY9zMn"&amp;"HP8iPO4M5RCRjy6nZY0TY/edit#gid=1248694442"",""Table 4: 2nd-line HC or more!A5:A85"")),"""")"),"")</f>
        <v/>
      </c>
      <c r="O78" s="14" t="str">
        <f>IFERROR(__xludf.DUMMYFUNCTION("IFNA(FILTER(IMPORTRANGE(""https://docs.google.com/spreadsheets/d/1kGrh75X1cNR1D7_FcY9zMnHP8iPO4M5RCRjy6nZY0TY/edit#gid=1248694442"",""Table 4: 2nd-line HC or more!D5:D85""), $A78=IMPORTRANGE(""https://docs.google.com/spreadsheets/d/1kGrh75X1cNR1D7_FcY9zMn"&amp;"HP8iPO4M5RCRjy6nZY0TY/edit#gid=1248694442"",""Table 4: 2nd-line HC or more!A5:A85"")),"""")"),"")</f>
        <v/>
      </c>
      <c r="P78" s="14" t="str">
        <f>IFERROR(__xludf.DUMMYFUNCTION("IFNA(FILTER(IMPORTRANGE(""https://docs.google.com/spreadsheets/d/1kGrh75X1cNR1D7_FcY9zMnHP8iPO4M5RCRjy6nZY0TY/edit#gid=1248694442"",""Table 4: 2nd-line HC or more!E5:E85""), $A78=IMPORTRANGE(""https://docs.google.com/spreadsheets/d/1kGrh75X1cNR1D7_FcY9zMn"&amp;"HP8iPO4M5RCRjy6nZY0TY/edit#gid=1248694442"",""Table 4: 2nd-line HC or more!A5:A85"")),"""")"),"")</f>
        <v/>
      </c>
      <c r="Q78" s="14" t="str">
        <f>IFERROR(__xludf.DUMMYFUNCTION("IFNA(FILTER(IMPORTRANGE(""https://docs.google.com/spreadsheets/d/1kGrh75X1cNR1D7_FcY9zMnHP8iPO4M5RCRjy6nZY0TY/edit#gid=1248694442"",""Table 4: 2nd-line HC or more!F5:F85""), $A78=IMPORTRANGE(""https://docs.google.com/spreadsheets/d/1kGrh75X1cNR1D7_FcY9zMn"&amp;"HP8iPO4M5RCRjy6nZY0TY/edit#gid=1248694442"",""Table 4: 2nd-line HC or more!A5:A85"")),"""")"),"")</f>
        <v/>
      </c>
      <c r="R78" s="14" t="str">
        <f>IFERROR(__xludf.DUMMYFUNCTION("IFNA(FILTER(IMPORTRANGE(""https://docs.google.com/spreadsheets/d/1kGrh75X1cNR1D7_FcY9zMnHP8iPO4M5RCRjy6nZY0TY/edit#gid=1248694442"",""Table 4: 2nd-line HC or more!G5:G85""), $A78=IMPORTRANGE(""https://docs.google.com/spreadsheets/d/1kGrh75X1cNR1D7_FcY9zMn"&amp;"HP8iPO4M5RCRjy6nZY0TY/edit#gid=1248694442"",""Table 4: 2nd-line HC or more!A5:A85"")),"""")"),"")</f>
        <v/>
      </c>
      <c r="S78" s="14" t="str">
        <f>IFERROR(__xludf.DUMMYFUNCTION("IFNA(FILTER(IMPORTRANGE(""https://docs.google.com/spreadsheets/d/1kGrh75X1cNR1D7_FcY9zMnHP8iPO4M5RCRjy6nZY0TY/edit#gid=1248694442"",""Table 4: 2nd-line HC or more!H5:H85""), $A78=IMPORTRANGE(""https://docs.google.com/spreadsheets/d/1kGrh75X1cNR1D7_FcY9zMn"&amp;"HP8iPO4M5RCRjy6nZY0TY/edit#gid=1248694442"",""Table 4: 2nd-line HC or more!A5:A85"")),"""")"),"RVSS=1")</f>
        <v>RVSS=1</v>
      </c>
      <c r="T78" s="14">
        <f>IFERROR(__xludf.DUMMYFUNCTION("IFNA(FILTER(IMPORTRANGE(""https://docs.google.com/spreadsheets/d/1kGrh75X1cNR1D7_FcY9zMnHP8iPO4M5RCRjy6nZY0TY/edit#gid=1248694442"",""Table 3: 1st-line HC!F5:F111""), $A78=IMPORTRANGE(""https://docs.google.com/spreadsheets/d/1kGrh75X1cNR1D7_FcY9zMnHP8iPO4"&amp;"M5RCRjy6nZY0TY/edit#gid=1248694442"",""Table 3: 1st-line HC!A5:A111"")),"""")"),5.0)</f>
        <v>5</v>
      </c>
      <c r="U78" s="14" t="str">
        <f>IFERROR(__xludf.DUMMYFUNCTION("IFNA(FILTER(IMPORTRANGE(""https://docs.google.com/spreadsheets/d/1kGrh75X1cNR1D7_FcY9zMnHP8iPO4M5RCRjy6nZY0TY/edit#gid=1248694442"",""Table 3: 1st-line HC!G5:G111""), $A78=IMPORTRANGE(""https://docs.google.com/spreadsheets/d/1kGrh75X1cNR1D7_FcY9zMnHP8iPO4"&amp;"M5RCRjy6nZY0TY/edit#gid=1248694442"",""Table 3: 1st-line HC!A5:A111"")),"""")"),"")</f>
        <v/>
      </c>
      <c r="V78" s="14">
        <f>IFERROR(__xludf.DUMMYFUNCTION("IFNA(FILTER(IMPORTRANGE(""https://docs.google.com/spreadsheets/d/1kGrh75X1cNR1D7_FcY9zMnHP8iPO4M5RCRjy6nZY0TY/edit#gid=1248694442"",""Table 3: 1st-line HC!H5:H111""), $A78=IMPORTRANGE(""https://docs.google.com/spreadsheets/d/1kGrh75X1cNR1D7_FcY9zMnHP8iPO4"&amp;"M5RCRjy6nZY0TY/edit#gid=1248694442"",""Table 3: 1st-line HC!A5:A111"")),"""")"),5.0)</f>
        <v>5</v>
      </c>
      <c r="W78" s="14" t="str">
        <f>IFERROR(__xludf.DUMMYFUNCTION("IFNA(FILTER(IMPORTRANGE(""https://docs.google.com/spreadsheets/d/1kGrh75X1cNR1D7_FcY9zMnHP8iPO4M5RCRjy6nZY0TY/edit#gid=1248694442"",""Table 3: 1st-line HC!I5:I111""), $A78=IMPORTRANGE(""https://docs.google.com/spreadsheets/d/1kGrh75X1cNR1D7_FcY9zMnHP8iPO4"&amp;"M5RCRjy6nZY0TY/edit#gid=1248694442"",""Table 3: 1st-line HC!A5:A111"")),"""")"),"")</f>
        <v/>
      </c>
    </row>
    <row r="79">
      <c r="A79" s="4" t="str">
        <f>IFERROR(__xludf.DUMMYFUNCTION("""COMPUTED_VALUE"""),"ID 165")</f>
        <v>ID 165</v>
      </c>
      <c r="B79" s="14" t="str">
        <f>IFERROR(__xludf.DUMMYFUNCTION("IFNA(FILTER(IMPORTRANGE(""https://docs.google.com/spreadsheets/d/1kGrh75X1cNR1D7_FcY9zMnHP8iPO4M5RCRjy6nZY0TY/edit#gid=1248694442"",""Table 3: 1st-line HC!AZ5:AZ111""), $A79=IMPORTRANGE(""https://docs.google.com/spreadsheets/d/1kGrh75X1cNR1D7_FcY9zMnHP8iP"&amp;"O4M5RCRjy6nZY0TY/edit#gid=1248694442"",""Table 3: 1st-line HC!A5:A111"")),"""")"),"")</f>
        <v/>
      </c>
      <c r="C79" s="14" t="str">
        <f>IFERROR(__xludf.DUMMYFUNCTION("IFNA(FILTER(IMPORTRANGE(""https://docs.google.com/spreadsheets/d/1kGrh75X1cNR1D7_FcY9zMnHP8iPO4M5RCRjy6nZY0TY/edit#gid=1248694442"",""Table 3: 1st-line HC!BA5:BA111""), $A79=IMPORTRANGE(""https://docs.google.com/spreadsheets/d/1kGrh75X1cNR1D7_FcY9zMnHP8iP"&amp;"O4M5RCRjy6nZY0TY/edit#gid=1248694442"",""Table 3: 1st-line HC!A5:A111"")),"""")"),"")</f>
        <v/>
      </c>
      <c r="D79" s="14" t="str">
        <f>IFERROR(__xludf.DUMMYFUNCTION("IFNA(FILTER(IMPORTRANGE(""https://docs.google.com/spreadsheets/d/1kGrh75X1cNR1D7_FcY9zMnHP8iPO4M5RCRjy6nZY0TY/edit#gid=1248694442"",""Table 3: 1st-line HC!BB5:BB111""), $A79=IMPORTRANGE(""https://docs.google.com/spreadsheets/d/1kGrh75X1cNR1D7_FcY9zMnHP8iP"&amp;"O4M5RCRjy6nZY0TY/edit#gid=1248694442"",""Table 3: 1st-line HC!A5:A111"")),"""")"),"")</f>
        <v/>
      </c>
      <c r="E79" s="19" t="str">
        <f>IFERROR(__xludf.DUMMYFUNCTION("IFNA(FILTER(IMPORTRANGE(""https://docs.google.com/spreadsheets/d/1kGrh75X1cNR1D7_FcY9zMnHP8iPO4M5RCRjy6nZY0TY/edit#gid=1248694442"",""Table 3: 1st-line HC!BC5:BC111""), $A79=IMPORTRANGE(""https://docs.google.com/spreadsheets/d/1kGrh75X1cNR1D7_FcY9zMnHP8iP"&amp;"O4M5RCRjy6nZY0TY/edit#gid=1248694442"",""Table 3: 1st-line HC!A5:A111"")),"""")"),"")</f>
        <v/>
      </c>
      <c r="F79" s="14" t="str">
        <f>IFERROR(__xludf.DUMMYFUNCTION("IFNA(FILTER(IMPORTRANGE(""https://docs.google.com/spreadsheets/d/1kGrh75X1cNR1D7_FcY9zMnHP8iPO4M5RCRjy6nZY0TY/edit#gid=1248694442"",""Table 3: 1st-line HC!Y5:Y111""), $A79=IMPORTRANGE(""https://docs.google.com/spreadsheets/d/1kGrh75X1cNR1D7_FcY9zMnHP8iPO4"&amp;"M5RCRjy6nZY0TY/edit#gid=1248694442"",""Table 3: 1st-line HC!A5:A111"")),"""")"),"")</f>
        <v/>
      </c>
      <c r="G79" s="14">
        <f>IFERROR(__xludf.DUMMYFUNCTION("IFNA(FILTER(IMPORTRANGE(""https://docs.google.com/spreadsheets/d/1kGrh75X1cNR1D7_FcY9zMnHP8iPO4M5RCRjy6nZY0TY/edit#gid=1248694442"",""Table 3: 1st-line HC!Z5:Z111""), $A79=IMPORTRANGE(""https://docs.google.com/spreadsheets/d/1kGrh75X1cNR1D7_FcY9zMnHP8iPO4"&amp;"M5RCRjy6nZY0TY/edit#gid=1248694442"",""Table 3: 1st-line HC!A5:A111"")),"""")"),86.0)</f>
        <v>86</v>
      </c>
      <c r="H79" s="14" t="str">
        <f>IFERROR(__xludf.DUMMYFUNCTION("IFNA(FILTER(IMPORTRANGE(""https://docs.google.com/spreadsheets/d/1kGrh75X1cNR1D7_FcY9zMnHP8iPO4M5RCRjy6nZY0TY/edit#gid=1248694442"",""Table 3: 1st-line HC!AA5:AA111""), $A79=IMPORTRANGE(""https://docs.google.com/spreadsheets/d/1kGrh75X1cNR1D7_FcY9zMnHP8iP"&amp;"O4M5RCRjy6nZY0TY/edit#gid=1248694442"",""Table 3: 1st-line HC!A5:A111"")),"""")"),"")</f>
        <v/>
      </c>
      <c r="I79" s="14" t="str">
        <f>IFERROR(__xludf.DUMMYFUNCTION("IFNA(FILTER(IMPORTRANGE(""https://docs.google.com/spreadsheets/d/1kGrh75X1cNR1D7_FcY9zMnHP8iPO4M5RCRjy6nZY0TY/edit#gid=1248694442"",""Table 3: 1st-line HC!AB5:AB111""), $A79=IMPORTRANGE(""https://docs.google.com/spreadsheets/d/1kGrh75X1cNR1D7_FcY9zMnHP8iP"&amp;"O4M5RCRjy6nZY0TY/edit#gid=1248694442"",""Table 3: 1st-line HC!A5:A111"")),"""")"),"")</f>
        <v/>
      </c>
      <c r="J79" s="14" t="str">
        <f>IFERROR(__xludf.DUMMYFUNCTION("IFNA(FILTER(IMPORTRANGE(""https://docs.google.com/spreadsheets/d/1kGrh75X1cNR1D7_FcY9zMnHP8iPO4M5RCRjy6nZY0TY/edit#gid=1248694442"",""Table 3: 1st-line HC!AC5:AC111""), $A79=IMPORTRANGE(""https://docs.google.com/spreadsheets/d/1kGrh75X1cNR1D7_FcY9zMnHP8iP"&amp;"O4M5RCRjy6nZY0TY/edit#gid=1248694442"",""Table 3: 1st-line HC!A5:A111"")),"""")"),"")</f>
        <v/>
      </c>
      <c r="K79" s="20" t="str">
        <f>IFERROR(__xludf.DUMMYFUNCTION("IFNA(FILTER(IMPORTRANGE(""https://docs.google.com/spreadsheets/d/1kGrh75X1cNR1D7_FcY9zMnHP8iPO4M5RCRjy6nZY0TY/edit#gid=1248694442"",""Table 3: 1st-line HC!AD5:AD111""), $A79=IMPORTRANGE(""https://docs.google.com/spreadsheets/d/1kGrh75X1cNR1D7_FcY9zMnHP8iP"&amp;"O4M5RCRjy6nZY0TY/edit#gid=1248694442"",""Table 3: 1st-line HC!A5:A111"")),"""")"),"")</f>
        <v/>
      </c>
      <c r="L79" s="14" t="str">
        <f>IFERROR(__xludf.DUMMYFUNCTION("IFNA(FILTER(IMPORTRANGE(""https://docs.google.com/spreadsheets/d/1kGrh75X1cNR1D7_FcY9zMnHP8iPO4M5RCRjy6nZY0TY/edit#gid=1248694442"",""Table 3: 1st-line HC!W5:W111""), $A79=IMPORTRANGE(""https://docs.google.com/spreadsheets/d/1kGrh75X1cNR1D7_FcY9zMnHP8iPO4"&amp;"M5RCRjy6nZY0TY/edit#gid=1248694442"",""Table 3: 1st-line HC!A5:A111"")),"""")"),"")</f>
        <v/>
      </c>
      <c r="M79" s="14" t="str">
        <f>IFERROR(__xludf.DUMMYFUNCTION("IFNA(FILTER(IMPORTRANGE(""https://docs.google.com/spreadsheets/d/1kGrh75X1cNR1D7_FcY9zMnHP8iPO4M5RCRjy6nZY0TY/edit#gid=1248694442"",""Table 3: 1st-line HC!X5:X111""), $A79=IMPORTRANGE(""https://docs.google.com/spreadsheets/d/1kGrh75X1cNR1D7_FcY9zMnHP8iPO4"&amp;"M5RCRjy6nZY0TY/edit#gid=1248694442"",""Table 3: 1st-line HC!A5:A111"")),"""")"),"")</f>
        <v/>
      </c>
      <c r="N79" s="14" t="str">
        <f>IFERROR(__xludf.DUMMYFUNCTION("IFNA(FILTER(IMPORTRANGE(""https://docs.google.com/spreadsheets/d/1kGrh75X1cNR1D7_FcY9zMnHP8iPO4M5RCRjy6nZY0TY/edit#gid=1248694442"",""Table 4: 2nd-line HC or more!C5:C85""), $A79=IMPORTRANGE(""https://docs.google.com/spreadsheets/d/1kGrh75X1cNR1D7_FcY9zMn"&amp;"HP8iPO4M5RCRjy6nZY0TY/edit#gid=1248694442"",""Table 4: 2nd-line HC or more!A5:A85"")),"""")"),"")</f>
        <v/>
      </c>
      <c r="O79" s="14" t="str">
        <f>IFERROR(__xludf.DUMMYFUNCTION("IFNA(FILTER(IMPORTRANGE(""https://docs.google.com/spreadsheets/d/1kGrh75X1cNR1D7_FcY9zMnHP8iPO4M5RCRjy6nZY0TY/edit#gid=1248694442"",""Table 4: 2nd-line HC or more!D5:D85""), $A79=IMPORTRANGE(""https://docs.google.com/spreadsheets/d/1kGrh75X1cNR1D7_FcY9zMn"&amp;"HP8iPO4M5RCRjy6nZY0TY/edit#gid=1248694442"",""Table 4: 2nd-line HC or more!A5:A85"")),"""")"),"")</f>
        <v/>
      </c>
      <c r="P79" s="14" t="str">
        <f>IFERROR(__xludf.DUMMYFUNCTION("IFNA(FILTER(IMPORTRANGE(""https://docs.google.com/spreadsheets/d/1kGrh75X1cNR1D7_FcY9zMnHP8iPO4M5RCRjy6nZY0TY/edit#gid=1248694442"",""Table 4: 2nd-line HC or more!E5:E85""), $A79=IMPORTRANGE(""https://docs.google.com/spreadsheets/d/1kGrh75X1cNR1D7_FcY9zMn"&amp;"HP8iPO4M5RCRjy6nZY0TY/edit#gid=1248694442"",""Table 4: 2nd-line HC or more!A5:A85"")),"""")"),"")</f>
        <v/>
      </c>
      <c r="Q79" s="14" t="str">
        <f>IFERROR(__xludf.DUMMYFUNCTION("IFNA(FILTER(IMPORTRANGE(""https://docs.google.com/spreadsheets/d/1kGrh75X1cNR1D7_FcY9zMnHP8iPO4M5RCRjy6nZY0TY/edit#gid=1248694442"",""Table 4: 2nd-line HC or more!F5:F85""), $A79=IMPORTRANGE(""https://docs.google.com/spreadsheets/d/1kGrh75X1cNR1D7_FcY9zMn"&amp;"HP8iPO4M5RCRjy6nZY0TY/edit#gid=1248694442"",""Table 4: 2nd-line HC or more!A5:A85"")),"""")"),"")</f>
        <v/>
      </c>
      <c r="R79" s="14" t="str">
        <f>IFERROR(__xludf.DUMMYFUNCTION("IFNA(FILTER(IMPORTRANGE(""https://docs.google.com/spreadsheets/d/1kGrh75X1cNR1D7_FcY9zMnHP8iPO4M5RCRjy6nZY0TY/edit#gid=1248694442"",""Table 4: 2nd-line HC or more!G5:G85""), $A79=IMPORTRANGE(""https://docs.google.com/spreadsheets/d/1kGrh75X1cNR1D7_FcY9zMn"&amp;"HP8iPO4M5RCRjy6nZY0TY/edit#gid=1248694442"",""Table 4: 2nd-line HC or more!A5:A85"")),"""")"),"")</f>
        <v/>
      </c>
      <c r="S79" s="14" t="str">
        <f>IFERROR(__xludf.DUMMYFUNCTION("IFNA(FILTER(IMPORTRANGE(""https://docs.google.com/spreadsheets/d/1kGrh75X1cNR1D7_FcY9zMnHP8iPO4M5RCRjy6nZY0TY/edit#gid=1248694442"",""Table 4: 2nd-line HC or more!H5:H85""), $A79=IMPORTRANGE(""https://docs.google.com/spreadsheets/d/1kGrh75X1cNR1D7_FcY9zMn"&amp;"HP8iPO4M5RCRjy6nZY0TY/edit#gid=1248694442"",""Table 4: 2nd-line HC or more!A5:A85"")),"""")"),"")</f>
        <v/>
      </c>
      <c r="T79" s="14" t="str">
        <f>IFERROR(__xludf.DUMMYFUNCTION("IFNA(FILTER(IMPORTRANGE(""https://docs.google.com/spreadsheets/d/1kGrh75X1cNR1D7_FcY9zMnHP8iPO4M5RCRjy6nZY0TY/edit#gid=1248694442"",""Table 3: 1st-line HC!F5:F111""), $A79=IMPORTRANGE(""https://docs.google.com/spreadsheets/d/1kGrh75X1cNR1D7_FcY9zMnHP8iPO4"&amp;"M5RCRjy6nZY0TY/edit#gid=1248694442"",""Table 3: 1st-line HC!A5:A111"")),"""")"),"")</f>
        <v/>
      </c>
      <c r="U79" s="14" t="str">
        <f>IFERROR(__xludf.DUMMYFUNCTION("IFNA(FILTER(IMPORTRANGE(""https://docs.google.com/spreadsheets/d/1kGrh75X1cNR1D7_FcY9zMnHP8iPO4M5RCRjy6nZY0TY/edit#gid=1248694442"",""Table 3: 1st-line HC!G5:G111""), $A79=IMPORTRANGE(""https://docs.google.com/spreadsheets/d/1kGrh75X1cNR1D7_FcY9zMnHP8iPO4"&amp;"M5RCRjy6nZY0TY/edit#gid=1248694442"",""Table 3: 1st-line HC!A5:A111"")),"""")"),"")</f>
        <v/>
      </c>
      <c r="V79" s="14">
        <f>IFERROR(__xludf.DUMMYFUNCTION("IFNA(FILTER(IMPORTRANGE(""https://docs.google.com/spreadsheets/d/1kGrh75X1cNR1D7_FcY9zMnHP8iPO4M5RCRjy6nZY0TY/edit#gid=1248694442"",""Table 3: 1st-line HC!H5:H111""), $A79=IMPORTRANGE(""https://docs.google.com/spreadsheets/d/1kGrh75X1cNR1D7_FcY9zMnHP8iPO4"&amp;"M5RCRjy6nZY0TY/edit#gid=1248694442"",""Table 3: 1st-line HC!A5:A111"")),"""")"),78.0)</f>
        <v>78</v>
      </c>
      <c r="W79" s="14">
        <f>IFERROR(__xludf.DUMMYFUNCTION("IFNA(FILTER(IMPORTRANGE(""https://docs.google.com/spreadsheets/d/1kGrh75X1cNR1D7_FcY9zMnHP8iPO4M5RCRjy6nZY0TY/edit#gid=1248694442"",""Table 3: 1st-line HC!I5:I111""), $A79=IMPORTRANGE(""https://docs.google.com/spreadsheets/d/1kGrh75X1cNR1D7_FcY9zMnHP8iPO4"&amp;"M5RCRjy6nZY0TY/edit#gid=1248694442"",""Table 3: 1st-line HC!A5:A111"")),"""")"),8.0)</f>
        <v>8</v>
      </c>
    </row>
    <row r="80">
      <c r="A80" s="4" t="str">
        <f>IFERROR(__xludf.DUMMYFUNCTION("""COMPUTED_VALUE"""),"ID 166")</f>
        <v>ID 166</v>
      </c>
      <c r="B80" s="14">
        <f>IFERROR(__xludf.DUMMYFUNCTION("IFNA(FILTER(IMPORTRANGE(""https://docs.google.com/spreadsheets/d/1kGrh75X1cNR1D7_FcY9zMnHP8iPO4M5RCRjy6nZY0TY/edit#gid=1248694442"",""Table 3: 1st-line HC!AZ5:AZ111""), $A80=IMPORTRANGE(""https://docs.google.com/spreadsheets/d/1kGrh75X1cNR1D7_FcY9zMnHP8iP"&amp;"O4M5RCRjy6nZY0TY/edit#gid=1248694442"",""Table 3: 1st-line HC!A5:A111"")),"""")"),1.0)</f>
        <v>1</v>
      </c>
      <c r="C80" s="14" t="str">
        <f>IFERROR(__xludf.DUMMYFUNCTION("IFNA(FILTER(IMPORTRANGE(""https://docs.google.com/spreadsheets/d/1kGrh75X1cNR1D7_FcY9zMnHP8iPO4M5RCRjy6nZY0TY/edit#gid=1248694442"",""Table 3: 1st-line HC!BA5:BA111""), $A80=IMPORTRANGE(""https://docs.google.com/spreadsheets/d/1kGrh75X1cNR1D7_FcY9zMnHP8iP"&amp;"O4M5RCRjy6nZY0TY/edit#gid=1248694442"",""Table 3: 1st-line HC!A5:A111"")),"""")"),"")</f>
        <v/>
      </c>
      <c r="D80" s="14" t="str">
        <f>IFERROR(__xludf.DUMMYFUNCTION("IFNA(FILTER(IMPORTRANGE(""https://docs.google.com/spreadsheets/d/1kGrh75X1cNR1D7_FcY9zMnHP8iPO4M5RCRjy6nZY0TY/edit#gid=1248694442"",""Table 3: 1st-line HC!BB5:BB111""), $A80=IMPORTRANGE(""https://docs.google.com/spreadsheets/d/1kGrh75X1cNR1D7_FcY9zMnHP8iP"&amp;"O4M5RCRjy6nZY0TY/edit#gid=1248694442"",""Table 3: 1st-line HC!A5:A111"")),"""")"),"")</f>
        <v/>
      </c>
      <c r="E80" s="19" t="str">
        <f>IFERROR(__xludf.DUMMYFUNCTION("IFNA(FILTER(IMPORTRANGE(""https://docs.google.com/spreadsheets/d/1kGrh75X1cNR1D7_FcY9zMnHP8iPO4M5RCRjy6nZY0TY/edit#gid=1248694442"",""Table 3: 1st-line HC!BC5:BC111""), $A80=IMPORTRANGE(""https://docs.google.com/spreadsheets/d/1kGrh75X1cNR1D7_FcY9zMnHP8iP"&amp;"O4M5RCRjy6nZY0TY/edit#gid=1248694442"",""Table 3: 1st-line HC!A5:A111"")),"""")"),"")</f>
        <v/>
      </c>
      <c r="F80" s="14" t="str">
        <f>IFERROR(__xludf.DUMMYFUNCTION("IFNA(FILTER(IMPORTRANGE(""https://docs.google.com/spreadsheets/d/1kGrh75X1cNR1D7_FcY9zMnHP8iPO4M5RCRjy6nZY0TY/edit#gid=1248694442"",""Table 3: 1st-line HC!Y5:Y111""), $A80=IMPORTRANGE(""https://docs.google.com/spreadsheets/d/1kGrh75X1cNR1D7_FcY9zMnHP8iPO4"&amp;"M5RCRjy6nZY0TY/edit#gid=1248694442"",""Table 3: 1st-line HC!A5:A111"")),"""")"),"")</f>
        <v/>
      </c>
      <c r="G80" s="14">
        <f>IFERROR(__xludf.DUMMYFUNCTION("IFNA(FILTER(IMPORTRANGE(""https://docs.google.com/spreadsheets/d/1kGrh75X1cNR1D7_FcY9zMnHP8iPO4M5RCRjy6nZY0TY/edit#gid=1248694442"",""Table 3: 1st-line HC!Z5:Z111""), $A80=IMPORTRANGE(""https://docs.google.com/spreadsheets/d/1kGrh75X1cNR1D7_FcY9zMnHP8iPO4"&amp;"M5RCRjy6nZY0TY/edit#gid=1248694442"",""Table 3: 1st-line HC!A5:A111"")),"""")"),47.0)</f>
        <v>47</v>
      </c>
      <c r="H80" s="14" t="str">
        <f>IFERROR(__xludf.DUMMYFUNCTION("IFNA(FILTER(IMPORTRANGE(""https://docs.google.com/spreadsheets/d/1kGrh75X1cNR1D7_FcY9zMnHP8iPO4M5RCRjy6nZY0TY/edit#gid=1248694442"",""Table 3: 1st-line HC!AA5:AA111""), $A80=IMPORTRANGE(""https://docs.google.com/spreadsheets/d/1kGrh75X1cNR1D7_FcY9zMnHP8iP"&amp;"O4M5RCRjy6nZY0TY/edit#gid=1248694442"",""Table 3: 1st-line HC!A5:A111"")),"""")"),"")</f>
        <v/>
      </c>
      <c r="I80" s="14" t="str">
        <f>IFERROR(__xludf.DUMMYFUNCTION("IFNA(FILTER(IMPORTRANGE(""https://docs.google.com/spreadsheets/d/1kGrh75X1cNR1D7_FcY9zMnHP8iPO4M5RCRjy6nZY0TY/edit#gid=1248694442"",""Table 3: 1st-line HC!AB5:AB111""), $A80=IMPORTRANGE(""https://docs.google.com/spreadsheets/d/1kGrh75X1cNR1D7_FcY9zMnHP8iP"&amp;"O4M5RCRjy6nZY0TY/edit#gid=1248694442"",""Table 3: 1st-line HC!A5:A111"")),"""")"),"")</f>
        <v/>
      </c>
      <c r="J80" s="14" t="str">
        <f>IFERROR(__xludf.DUMMYFUNCTION("IFNA(FILTER(IMPORTRANGE(""https://docs.google.com/spreadsheets/d/1kGrh75X1cNR1D7_FcY9zMnHP8iPO4M5RCRjy6nZY0TY/edit#gid=1248694442"",""Table 3: 1st-line HC!AC5:AC111""), $A80=IMPORTRANGE(""https://docs.google.com/spreadsheets/d/1kGrh75X1cNR1D7_FcY9zMnHP8iP"&amp;"O4M5RCRjy6nZY0TY/edit#gid=1248694442"",""Table 3: 1st-line HC!A5:A111"")),"""")"),"")</f>
        <v/>
      </c>
      <c r="K80" s="20" t="str">
        <f>IFERROR(__xludf.DUMMYFUNCTION("IFNA(FILTER(IMPORTRANGE(""https://docs.google.com/spreadsheets/d/1kGrh75X1cNR1D7_FcY9zMnHP8iPO4M5RCRjy6nZY0TY/edit#gid=1248694442"",""Table 3: 1st-line HC!AD5:AD111""), $A80=IMPORTRANGE(""https://docs.google.com/spreadsheets/d/1kGrh75X1cNR1D7_FcY9zMnHP8iP"&amp;"O4M5RCRjy6nZY0TY/edit#gid=1248694442"",""Table 3: 1st-line HC!A5:A111"")),"""")"),"")</f>
        <v/>
      </c>
      <c r="L80" s="14" t="str">
        <f>IFERROR(__xludf.DUMMYFUNCTION("IFNA(FILTER(IMPORTRANGE(""https://docs.google.com/spreadsheets/d/1kGrh75X1cNR1D7_FcY9zMnHP8iPO4M5RCRjy6nZY0TY/edit#gid=1248694442"",""Table 3: 1st-line HC!W5:W111""), $A80=IMPORTRANGE(""https://docs.google.com/spreadsheets/d/1kGrh75X1cNR1D7_FcY9zMnHP8iPO4"&amp;"M5RCRjy6nZY0TY/edit#gid=1248694442"",""Table 3: 1st-line HC!A5:A111"")),"""")"),"")</f>
        <v/>
      </c>
      <c r="M80" s="14" t="str">
        <f>IFERROR(__xludf.DUMMYFUNCTION("IFNA(FILTER(IMPORTRANGE(""https://docs.google.com/spreadsheets/d/1kGrh75X1cNR1D7_FcY9zMnHP8iPO4M5RCRjy6nZY0TY/edit#gid=1248694442"",""Table 3: 1st-line HC!X5:X111""), $A80=IMPORTRANGE(""https://docs.google.com/spreadsheets/d/1kGrh75X1cNR1D7_FcY9zMnHP8iPO4"&amp;"M5RCRjy6nZY0TY/edit#gid=1248694442"",""Table 3: 1st-line HC!A5:A111"")),"""")"),"")</f>
        <v/>
      </c>
      <c r="N80" s="14" t="str">
        <f>IFERROR(__xludf.DUMMYFUNCTION("IFNA(FILTER(IMPORTRANGE(""https://docs.google.com/spreadsheets/d/1kGrh75X1cNR1D7_FcY9zMnHP8iPO4M5RCRjy6nZY0TY/edit#gid=1248694442"",""Table 4: 2nd-line HC or more!C5:C85""), $A80=IMPORTRANGE(""https://docs.google.com/spreadsheets/d/1kGrh75X1cNR1D7_FcY9zMn"&amp;"HP8iPO4M5RCRjy6nZY0TY/edit#gid=1248694442"",""Table 4: 2nd-line HC or more!A5:A85"")),"""")"),"")</f>
        <v/>
      </c>
      <c r="O80" s="14" t="str">
        <f>IFERROR(__xludf.DUMMYFUNCTION("IFNA(FILTER(IMPORTRANGE(""https://docs.google.com/spreadsheets/d/1kGrh75X1cNR1D7_FcY9zMnHP8iPO4M5RCRjy6nZY0TY/edit#gid=1248694442"",""Table 4: 2nd-line HC or more!D5:D85""), $A80=IMPORTRANGE(""https://docs.google.com/spreadsheets/d/1kGrh75X1cNR1D7_FcY9zMn"&amp;"HP8iPO4M5RCRjy6nZY0TY/edit#gid=1248694442"",""Table 4: 2nd-line HC or more!A5:A85"")),"""")"),"")</f>
        <v/>
      </c>
      <c r="P80" s="14" t="str">
        <f>IFERROR(__xludf.DUMMYFUNCTION("IFNA(FILTER(IMPORTRANGE(""https://docs.google.com/spreadsheets/d/1kGrh75X1cNR1D7_FcY9zMnHP8iPO4M5RCRjy6nZY0TY/edit#gid=1248694442"",""Table 4: 2nd-line HC or more!E5:E85""), $A80=IMPORTRANGE(""https://docs.google.com/spreadsheets/d/1kGrh75X1cNR1D7_FcY9zMn"&amp;"HP8iPO4M5RCRjy6nZY0TY/edit#gid=1248694442"",""Table 4: 2nd-line HC or more!A5:A85"")),"""")"),"")</f>
        <v/>
      </c>
      <c r="Q80" s="14" t="str">
        <f>IFERROR(__xludf.DUMMYFUNCTION("IFNA(FILTER(IMPORTRANGE(""https://docs.google.com/spreadsheets/d/1kGrh75X1cNR1D7_FcY9zMnHP8iPO4M5RCRjy6nZY0TY/edit#gid=1248694442"",""Table 4: 2nd-line HC or more!F5:F85""), $A80=IMPORTRANGE(""https://docs.google.com/spreadsheets/d/1kGrh75X1cNR1D7_FcY9zMn"&amp;"HP8iPO4M5RCRjy6nZY0TY/edit#gid=1248694442"",""Table 4: 2nd-line HC or more!A5:A85"")),"""")"),"")</f>
        <v/>
      </c>
      <c r="R80" s="14" t="str">
        <f>IFERROR(__xludf.DUMMYFUNCTION("IFNA(FILTER(IMPORTRANGE(""https://docs.google.com/spreadsheets/d/1kGrh75X1cNR1D7_FcY9zMnHP8iPO4M5RCRjy6nZY0TY/edit#gid=1248694442"",""Table 4: 2nd-line HC or more!G5:G85""), $A80=IMPORTRANGE(""https://docs.google.com/spreadsheets/d/1kGrh75X1cNR1D7_FcY9zMn"&amp;"HP8iPO4M5RCRjy6nZY0TY/edit#gid=1248694442"",""Table 4: 2nd-line HC or more!A5:A85"")),"""")"),"")</f>
        <v/>
      </c>
      <c r="S80" s="14" t="str">
        <f>IFERROR(__xludf.DUMMYFUNCTION("IFNA(FILTER(IMPORTRANGE(""https://docs.google.com/spreadsheets/d/1kGrh75X1cNR1D7_FcY9zMnHP8iPO4M5RCRjy6nZY0TY/edit#gid=1248694442"",""Table 4: 2nd-line HC or more!H5:H85""), $A80=IMPORTRANGE(""https://docs.google.com/spreadsheets/d/1kGrh75X1cNR1D7_FcY9zMn"&amp;"HP8iPO4M5RCRjy6nZY0TY/edit#gid=1248694442"",""Table 4: 2nd-line HC or more!A5:A85"")),"""")"),"")</f>
        <v/>
      </c>
      <c r="T80" s="14" t="str">
        <f>IFERROR(__xludf.DUMMYFUNCTION("IFNA(FILTER(IMPORTRANGE(""https://docs.google.com/spreadsheets/d/1kGrh75X1cNR1D7_FcY9zMnHP8iPO4M5RCRjy6nZY0TY/edit#gid=1248694442"",""Table 3: 1st-line HC!F5:F111""), $A80=IMPORTRANGE(""https://docs.google.com/spreadsheets/d/1kGrh75X1cNR1D7_FcY9zMnHP8iPO4"&amp;"M5RCRjy6nZY0TY/edit#gid=1248694442"",""Table 3: 1st-line HC!A5:A111"")),"""")"),"")</f>
        <v/>
      </c>
      <c r="U80" s="14" t="str">
        <f>IFERROR(__xludf.DUMMYFUNCTION("IFNA(FILTER(IMPORTRANGE(""https://docs.google.com/spreadsheets/d/1kGrh75X1cNR1D7_FcY9zMnHP8iPO4M5RCRjy6nZY0TY/edit#gid=1248694442"",""Table 3: 1st-line HC!G5:G111""), $A80=IMPORTRANGE(""https://docs.google.com/spreadsheets/d/1kGrh75X1cNR1D7_FcY9zMnHP8iPO4"&amp;"M5RCRjy6nZY0TY/edit#gid=1248694442"",""Table 3: 1st-line HC!A5:A111"")),"""")"),"")</f>
        <v/>
      </c>
      <c r="V80" s="14">
        <f>IFERROR(__xludf.DUMMYFUNCTION("IFNA(FILTER(IMPORTRANGE(""https://docs.google.com/spreadsheets/d/1kGrh75X1cNR1D7_FcY9zMnHP8iPO4M5RCRjy6nZY0TY/edit#gid=1248694442"",""Table 3: 1st-line HC!H5:H111""), $A80=IMPORTRANGE(""https://docs.google.com/spreadsheets/d/1kGrh75X1cNR1D7_FcY9zMnHP8iPO4"&amp;"M5RCRjy6nZY0TY/edit#gid=1248694442"",""Table 3: 1st-line HC!A5:A111"")),"""")"),47.0)</f>
        <v>47</v>
      </c>
      <c r="W80" s="14" t="str">
        <f>IFERROR(__xludf.DUMMYFUNCTION("IFNA(FILTER(IMPORTRANGE(""https://docs.google.com/spreadsheets/d/1kGrh75X1cNR1D7_FcY9zMnHP8iPO4M5RCRjy6nZY0TY/edit#gid=1248694442"",""Table 3: 1st-line HC!I5:I111""), $A80=IMPORTRANGE(""https://docs.google.com/spreadsheets/d/1kGrh75X1cNR1D7_FcY9zMnHP8iPO4"&amp;"M5RCRjy6nZY0TY/edit#gid=1248694442"",""Table 3: 1st-line HC!A5:A111"")),"""")"),"")</f>
        <v/>
      </c>
    </row>
    <row r="81">
      <c r="A81" s="4" t="str">
        <f>IFERROR(__xludf.DUMMYFUNCTION("""COMPUTED_VALUE"""),"ID 167")</f>
        <v>ID 167</v>
      </c>
      <c r="B81" s="14" t="str">
        <f>IFERROR(__xludf.DUMMYFUNCTION("IFNA(FILTER(IMPORTRANGE(""https://docs.google.com/spreadsheets/d/1kGrh75X1cNR1D7_FcY9zMnHP8iPO4M5RCRjy6nZY0TY/edit#gid=1248694442"",""Table 3: 1st-line HC!AZ5:AZ111""), $A81=IMPORTRANGE(""https://docs.google.com/spreadsheets/d/1kGrh75X1cNR1D7_FcY9zMnHP8iP"&amp;"O4M5RCRjy6nZY0TY/edit#gid=1248694442"",""Table 3: 1st-line HC!A5:A111"")),"""")"),"")</f>
        <v/>
      </c>
      <c r="C81" s="14" t="str">
        <f>IFERROR(__xludf.DUMMYFUNCTION("IFNA(FILTER(IMPORTRANGE(""https://docs.google.com/spreadsheets/d/1kGrh75X1cNR1D7_FcY9zMnHP8iPO4M5RCRjy6nZY0TY/edit#gid=1248694442"",""Table 3: 1st-line HC!BA5:BA111""), $A81=IMPORTRANGE(""https://docs.google.com/spreadsheets/d/1kGrh75X1cNR1D7_FcY9zMnHP8iP"&amp;"O4M5RCRjy6nZY0TY/edit#gid=1248694442"",""Table 3: 1st-line HC!A5:A111"")),"""")"),"")</f>
        <v/>
      </c>
      <c r="D81" s="14" t="str">
        <f>IFERROR(__xludf.DUMMYFUNCTION("IFNA(FILTER(IMPORTRANGE(""https://docs.google.com/spreadsheets/d/1kGrh75X1cNR1D7_FcY9zMnHP8iPO4M5RCRjy6nZY0TY/edit#gid=1248694442"",""Table 3: 1st-line HC!BB5:BB111""), $A81=IMPORTRANGE(""https://docs.google.com/spreadsheets/d/1kGrh75X1cNR1D7_FcY9zMnHP8iP"&amp;"O4M5RCRjy6nZY0TY/edit#gid=1248694442"",""Table 3: 1st-line HC!A5:A111"")),"""")"),"")</f>
        <v/>
      </c>
      <c r="E81" s="19" t="str">
        <f>IFERROR(__xludf.DUMMYFUNCTION("IFNA(FILTER(IMPORTRANGE(""https://docs.google.com/spreadsheets/d/1kGrh75X1cNR1D7_FcY9zMnHP8iPO4M5RCRjy6nZY0TY/edit#gid=1248694442"",""Table 3: 1st-line HC!BC5:BC111""), $A81=IMPORTRANGE(""https://docs.google.com/spreadsheets/d/1kGrh75X1cNR1D7_FcY9zMnHP8iP"&amp;"O4M5RCRjy6nZY0TY/edit#gid=1248694442"",""Table 3: 1st-line HC!A5:A111"")),"""")"),"")</f>
        <v/>
      </c>
      <c r="F81" s="14" t="str">
        <f>IFERROR(__xludf.DUMMYFUNCTION("IFNA(FILTER(IMPORTRANGE(""https://docs.google.com/spreadsheets/d/1kGrh75X1cNR1D7_FcY9zMnHP8iPO4M5RCRjy6nZY0TY/edit#gid=1248694442"",""Table 3: 1st-line HC!Y5:Y111""), $A81=IMPORTRANGE(""https://docs.google.com/spreadsheets/d/1kGrh75X1cNR1D7_FcY9zMnHP8iPO4"&amp;"M5RCRjy6nZY0TY/edit#gid=1248694442"",""Table 3: 1st-line HC!A5:A111"")),"""")"),"")</f>
        <v/>
      </c>
      <c r="G81" s="14" t="str">
        <f>IFERROR(__xludf.DUMMYFUNCTION("IFNA(FILTER(IMPORTRANGE(""https://docs.google.com/spreadsheets/d/1kGrh75X1cNR1D7_FcY9zMnHP8iPO4M5RCRjy6nZY0TY/edit#gid=1248694442"",""Table 3: 1st-line HC!Z5:Z111""), $A81=IMPORTRANGE(""https://docs.google.com/spreadsheets/d/1kGrh75X1cNR1D7_FcY9zMnHP8iPO4"&amp;"M5RCRjy6nZY0TY/edit#gid=1248694442"",""Table 3: 1st-line HC!A5:A111"")),"""")"),"")</f>
        <v/>
      </c>
      <c r="H81" s="14" t="str">
        <f>IFERROR(__xludf.DUMMYFUNCTION("IFNA(FILTER(IMPORTRANGE(""https://docs.google.com/spreadsheets/d/1kGrh75X1cNR1D7_FcY9zMnHP8iPO4M5RCRjy6nZY0TY/edit#gid=1248694442"",""Table 3: 1st-line HC!AA5:AA111""), $A81=IMPORTRANGE(""https://docs.google.com/spreadsheets/d/1kGrh75X1cNR1D7_FcY9zMnHP8iP"&amp;"O4M5RCRjy6nZY0TY/edit#gid=1248694442"",""Table 3: 1st-line HC!A5:A111"")),"""")"),"")</f>
        <v/>
      </c>
      <c r="I81" s="14" t="str">
        <f>IFERROR(__xludf.DUMMYFUNCTION("IFNA(FILTER(IMPORTRANGE(""https://docs.google.com/spreadsheets/d/1kGrh75X1cNR1D7_FcY9zMnHP8iPO4M5RCRjy6nZY0TY/edit#gid=1248694442"",""Table 3: 1st-line HC!AB5:AB111""), $A81=IMPORTRANGE(""https://docs.google.com/spreadsheets/d/1kGrh75X1cNR1D7_FcY9zMnHP8iP"&amp;"O4M5RCRjy6nZY0TY/edit#gid=1248694442"",""Table 3: 1st-line HC!A5:A111"")),"""")"),"")</f>
        <v/>
      </c>
      <c r="J81" s="14" t="str">
        <f>IFERROR(__xludf.DUMMYFUNCTION("IFNA(FILTER(IMPORTRANGE(""https://docs.google.com/spreadsheets/d/1kGrh75X1cNR1D7_FcY9zMnHP8iPO4M5RCRjy6nZY0TY/edit#gid=1248694442"",""Table 3: 1st-line HC!AC5:AC111""), $A81=IMPORTRANGE(""https://docs.google.com/spreadsheets/d/1kGrh75X1cNR1D7_FcY9zMnHP8iP"&amp;"O4M5RCRjy6nZY0TY/edit#gid=1248694442"",""Table 3: 1st-line HC!A5:A111"")),"""")"),"")</f>
        <v/>
      </c>
      <c r="K81" s="20" t="str">
        <f>IFERROR(__xludf.DUMMYFUNCTION("IFNA(FILTER(IMPORTRANGE(""https://docs.google.com/spreadsheets/d/1kGrh75X1cNR1D7_FcY9zMnHP8iPO4M5RCRjy6nZY0TY/edit#gid=1248694442"",""Table 3: 1st-line HC!AD5:AD111""), $A81=IMPORTRANGE(""https://docs.google.com/spreadsheets/d/1kGrh75X1cNR1D7_FcY9zMnHP8iP"&amp;"O4M5RCRjy6nZY0TY/edit#gid=1248694442"",""Table 3: 1st-line HC!A5:A111"")),"""")"),"")</f>
        <v/>
      </c>
      <c r="L81" s="14">
        <f>IFERROR(__xludf.DUMMYFUNCTION("IFNA(FILTER(IMPORTRANGE(""https://docs.google.com/spreadsheets/d/1kGrh75X1cNR1D7_FcY9zMnHP8iPO4M5RCRjy6nZY0TY/edit#gid=1248694442"",""Table 3: 1st-line HC!W5:W111""), $A81=IMPORTRANGE(""https://docs.google.com/spreadsheets/d/1kGrh75X1cNR1D7_FcY9zMnHP8iPO4"&amp;"M5RCRjy6nZY0TY/edit#gid=1248694442"",""Table 3: 1st-line HC!A5:A111"")),"""")"),39.0)</f>
        <v>39</v>
      </c>
      <c r="M81" s="14" t="str">
        <f>IFERROR(__xludf.DUMMYFUNCTION("IFNA(FILTER(IMPORTRANGE(""https://docs.google.com/spreadsheets/d/1kGrh75X1cNR1D7_FcY9zMnHP8iPO4M5RCRjy6nZY0TY/edit#gid=1248694442"",""Table 3: 1st-line HC!X5:X111""), $A81=IMPORTRANGE(""https://docs.google.com/spreadsheets/d/1kGrh75X1cNR1D7_FcY9zMnHP8iPO4"&amp;"M5RCRjy6nZY0TY/edit#gid=1248694442"",""Table 3: 1st-line HC!A5:A111"")),"""")"),"")</f>
        <v/>
      </c>
      <c r="N81" s="14" t="str">
        <f>IFERROR(__xludf.DUMMYFUNCTION("IFNA(FILTER(IMPORTRANGE(""https://docs.google.com/spreadsheets/d/1kGrh75X1cNR1D7_FcY9zMnHP8iPO4M5RCRjy6nZY0TY/edit#gid=1248694442"",""Table 4: 2nd-line HC or more!C5:C85""), $A81=IMPORTRANGE(""https://docs.google.com/spreadsheets/d/1kGrh75X1cNR1D7_FcY9zMn"&amp;"HP8iPO4M5RCRjy6nZY0TY/edit#gid=1248694442"",""Table 4: 2nd-line HC or more!A5:A85"")),"""")"),"")</f>
        <v/>
      </c>
      <c r="O81" s="14" t="str">
        <f>IFERROR(__xludf.DUMMYFUNCTION("IFNA(FILTER(IMPORTRANGE(""https://docs.google.com/spreadsheets/d/1kGrh75X1cNR1D7_FcY9zMnHP8iPO4M5RCRjy6nZY0TY/edit#gid=1248694442"",""Table 4: 2nd-line HC or more!D5:D85""), $A81=IMPORTRANGE(""https://docs.google.com/spreadsheets/d/1kGrh75X1cNR1D7_FcY9zMn"&amp;"HP8iPO4M5RCRjy6nZY0TY/edit#gid=1248694442"",""Table 4: 2nd-line HC or more!A5:A85"")),"""")"),"")</f>
        <v/>
      </c>
      <c r="P81" s="14" t="str">
        <f>IFERROR(__xludf.DUMMYFUNCTION("IFNA(FILTER(IMPORTRANGE(""https://docs.google.com/spreadsheets/d/1kGrh75X1cNR1D7_FcY9zMnHP8iPO4M5RCRjy6nZY0TY/edit#gid=1248694442"",""Table 4: 2nd-line HC or more!E5:E85""), $A81=IMPORTRANGE(""https://docs.google.com/spreadsheets/d/1kGrh75X1cNR1D7_FcY9zMn"&amp;"HP8iPO4M5RCRjy6nZY0TY/edit#gid=1248694442"",""Table 4: 2nd-line HC or more!A5:A85"")),"""")"),"")</f>
        <v/>
      </c>
      <c r="Q81" s="14" t="str">
        <f>IFERROR(__xludf.DUMMYFUNCTION("IFNA(FILTER(IMPORTRANGE(""https://docs.google.com/spreadsheets/d/1kGrh75X1cNR1D7_FcY9zMnHP8iPO4M5RCRjy6nZY0TY/edit#gid=1248694442"",""Table 4: 2nd-line HC or more!F5:F85""), $A81=IMPORTRANGE(""https://docs.google.com/spreadsheets/d/1kGrh75X1cNR1D7_FcY9zMn"&amp;"HP8iPO4M5RCRjy6nZY0TY/edit#gid=1248694442"",""Table 4: 2nd-line HC or more!A5:A85"")),"""")"),"")</f>
        <v/>
      </c>
      <c r="R81" s="14" t="str">
        <f>IFERROR(__xludf.DUMMYFUNCTION("IFNA(FILTER(IMPORTRANGE(""https://docs.google.com/spreadsheets/d/1kGrh75X1cNR1D7_FcY9zMnHP8iPO4M5RCRjy6nZY0TY/edit#gid=1248694442"",""Table 4: 2nd-line HC or more!G5:G85""), $A81=IMPORTRANGE(""https://docs.google.com/spreadsheets/d/1kGrh75X1cNR1D7_FcY9zMn"&amp;"HP8iPO4M5RCRjy6nZY0TY/edit#gid=1248694442"",""Table 4: 2nd-line HC or more!A5:A85"")),"""")"),"")</f>
        <v/>
      </c>
      <c r="S81" s="14" t="str">
        <f>IFERROR(__xludf.DUMMYFUNCTION("IFNA(FILTER(IMPORTRANGE(""https://docs.google.com/spreadsheets/d/1kGrh75X1cNR1D7_FcY9zMnHP8iPO4M5RCRjy6nZY0TY/edit#gid=1248694442"",""Table 4: 2nd-line HC or more!H5:H85""), $A81=IMPORTRANGE(""https://docs.google.com/spreadsheets/d/1kGrh75X1cNR1D7_FcY9zMn"&amp;"HP8iPO4M5RCRjy6nZY0TY/edit#gid=1248694442"",""Table 4: 2nd-line HC or more!A5:A85"")),"""")"),"")</f>
        <v/>
      </c>
      <c r="T81" s="14" t="str">
        <f>IFERROR(__xludf.DUMMYFUNCTION("IFNA(FILTER(IMPORTRANGE(""https://docs.google.com/spreadsheets/d/1kGrh75X1cNR1D7_FcY9zMnHP8iPO4M5RCRjy6nZY0TY/edit#gid=1248694442"",""Table 3: 1st-line HC!F5:F111""), $A81=IMPORTRANGE(""https://docs.google.com/spreadsheets/d/1kGrh75X1cNR1D7_FcY9zMnHP8iPO4"&amp;"M5RCRjy6nZY0TY/edit#gid=1248694442"",""Table 3: 1st-line HC!A5:A111"")),"""")"),"")</f>
        <v/>
      </c>
      <c r="U81" s="14" t="str">
        <f>IFERROR(__xludf.DUMMYFUNCTION("IFNA(FILTER(IMPORTRANGE(""https://docs.google.com/spreadsheets/d/1kGrh75X1cNR1D7_FcY9zMnHP8iPO4M5RCRjy6nZY0TY/edit#gid=1248694442"",""Table 3: 1st-line HC!G5:G111""), $A81=IMPORTRANGE(""https://docs.google.com/spreadsheets/d/1kGrh75X1cNR1D7_FcY9zMnHP8iPO4"&amp;"M5RCRjy6nZY0TY/edit#gid=1248694442"",""Table 3: 1st-line HC!A5:A111"")),"""")"),"")</f>
        <v/>
      </c>
      <c r="V81" s="14">
        <f>IFERROR(__xludf.DUMMYFUNCTION("IFNA(FILTER(IMPORTRANGE(""https://docs.google.com/spreadsheets/d/1kGrh75X1cNR1D7_FcY9zMnHP8iPO4M5RCRjy6nZY0TY/edit#gid=1248694442"",""Table 3: 1st-line HC!H5:H111""), $A81=IMPORTRANGE(""https://docs.google.com/spreadsheets/d/1kGrh75X1cNR1D7_FcY9zMnHP8iPO4"&amp;"M5RCRjy6nZY0TY/edit#gid=1248694442"",""Table 3: 1st-line HC!A5:A111"")),"""")"),39.0)</f>
        <v>39</v>
      </c>
      <c r="W81" s="14" t="str">
        <f>IFERROR(__xludf.DUMMYFUNCTION("IFNA(FILTER(IMPORTRANGE(""https://docs.google.com/spreadsheets/d/1kGrh75X1cNR1D7_FcY9zMnHP8iPO4M5RCRjy6nZY0TY/edit#gid=1248694442"",""Table 3: 1st-line HC!I5:I111""), $A81=IMPORTRANGE(""https://docs.google.com/spreadsheets/d/1kGrh75X1cNR1D7_FcY9zMnHP8iPO4"&amp;"M5RCRjy6nZY0TY/edit#gid=1248694442"",""Table 3: 1st-line HC!A5:A111"")),"""")"),"")</f>
        <v/>
      </c>
    </row>
    <row r="82">
      <c r="A82" s="4" t="str">
        <f>IFERROR(__xludf.DUMMYFUNCTION("""COMPUTED_VALUE"""),"ID 168")</f>
        <v>ID 168</v>
      </c>
      <c r="B82" s="14" t="str">
        <f>IFERROR(__xludf.DUMMYFUNCTION("IFNA(FILTER(IMPORTRANGE(""https://docs.google.com/spreadsheets/d/1kGrh75X1cNR1D7_FcY9zMnHP8iPO4M5RCRjy6nZY0TY/edit#gid=1248694442"",""Table 3: 1st-line HC!AZ5:AZ111""), $A82=IMPORTRANGE(""https://docs.google.com/spreadsheets/d/1kGrh75X1cNR1D7_FcY9zMnHP8iP"&amp;"O4M5RCRjy6nZY0TY/edit#gid=1248694442"",""Table 3: 1st-line HC!A5:A111"")),"""")"),"")</f>
        <v/>
      </c>
      <c r="C82" s="14" t="str">
        <f>IFERROR(__xludf.DUMMYFUNCTION("IFNA(FILTER(IMPORTRANGE(""https://docs.google.com/spreadsheets/d/1kGrh75X1cNR1D7_FcY9zMnHP8iPO4M5RCRjy6nZY0TY/edit#gid=1248694442"",""Table 3: 1st-line HC!BA5:BA111""), $A82=IMPORTRANGE(""https://docs.google.com/spreadsheets/d/1kGrh75X1cNR1D7_FcY9zMnHP8iP"&amp;"O4M5RCRjy6nZY0TY/edit#gid=1248694442"",""Table 3: 1st-line HC!A5:A111"")),"""")"),"")</f>
        <v/>
      </c>
      <c r="D82" s="14" t="str">
        <f>IFERROR(__xludf.DUMMYFUNCTION("IFNA(FILTER(IMPORTRANGE(""https://docs.google.com/spreadsheets/d/1kGrh75X1cNR1D7_FcY9zMnHP8iPO4M5RCRjy6nZY0TY/edit#gid=1248694442"",""Table 3: 1st-line HC!BB5:BB111""), $A82=IMPORTRANGE(""https://docs.google.com/spreadsheets/d/1kGrh75X1cNR1D7_FcY9zMnHP8iP"&amp;"O4M5RCRjy6nZY0TY/edit#gid=1248694442"",""Table 3: 1st-line HC!A5:A111"")),"""")"),"")</f>
        <v/>
      </c>
      <c r="E82" s="19" t="str">
        <f>IFERROR(__xludf.DUMMYFUNCTION("IFNA(FILTER(IMPORTRANGE(""https://docs.google.com/spreadsheets/d/1kGrh75X1cNR1D7_FcY9zMnHP8iPO4M5RCRjy6nZY0TY/edit#gid=1248694442"",""Table 3: 1st-line HC!BC5:BC111""), $A82=IMPORTRANGE(""https://docs.google.com/spreadsheets/d/1kGrh75X1cNR1D7_FcY9zMnHP8iP"&amp;"O4M5RCRjy6nZY0TY/edit#gid=1248694442"",""Table 3: 1st-line HC!A5:A111"")),"""")"),"")</f>
        <v/>
      </c>
      <c r="F82" s="14" t="str">
        <f>IFERROR(__xludf.DUMMYFUNCTION("IFNA(FILTER(IMPORTRANGE(""https://docs.google.com/spreadsheets/d/1kGrh75X1cNR1D7_FcY9zMnHP8iPO4M5RCRjy6nZY0TY/edit#gid=1248694442"",""Table 3: 1st-line HC!Y5:Y111""), $A82=IMPORTRANGE(""https://docs.google.com/spreadsheets/d/1kGrh75X1cNR1D7_FcY9zMnHP8iPO4"&amp;"M5RCRjy6nZY0TY/edit#gid=1248694442"",""Table 3: 1st-line HC!A5:A111"")),"""")"),"")</f>
        <v/>
      </c>
      <c r="G82" s="14" t="str">
        <f>IFERROR(__xludf.DUMMYFUNCTION("IFNA(FILTER(IMPORTRANGE(""https://docs.google.com/spreadsheets/d/1kGrh75X1cNR1D7_FcY9zMnHP8iPO4M5RCRjy6nZY0TY/edit#gid=1248694442"",""Table 3: 1st-line HC!Z5:Z111""), $A82=IMPORTRANGE(""https://docs.google.com/spreadsheets/d/1kGrh75X1cNR1D7_FcY9zMnHP8iPO4"&amp;"M5RCRjy6nZY0TY/edit#gid=1248694442"",""Table 3: 1st-line HC!A5:A111"")),"""")"),"")</f>
        <v/>
      </c>
      <c r="H82" s="14" t="str">
        <f>IFERROR(__xludf.DUMMYFUNCTION("IFNA(FILTER(IMPORTRANGE(""https://docs.google.com/spreadsheets/d/1kGrh75X1cNR1D7_FcY9zMnHP8iPO4M5RCRjy6nZY0TY/edit#gid=1248694442"",""Table 3: 1st-line HC!AA5:AA111""), $A82=IMPORTRANGE(""https://docs.google.com/spreadsheets/d/1kGrh75X1cNR1D7_FcY9zMnHP8iP"&amp;"O4M5RCRjy6nZY0TY/edit#gid=1248694442"",""Table 3: 1st-line HC!A5:A111"")),"""")"),"")</f>
        <v/>
      </c>
      <c r="I82" s="14" t="str">
        <f>IFERROR(__xludf.DUMMYFUNCTION("IFNA(FILTER(IMPORTRANGE(""https://docs.google.com/spreadsheets/d/1kGrh75X1cNR1D7_FcY9zMnHP8iPO4M5RCRjy6nZY0TY/edit#gid=1248694442"",""Table 3: 1st-line HC!AB5:AB111""), $A82=IMPORTRANGE(""https://docs.google.com/spreadsheets/d/1kGrh75X1cNR1D7_FcY9zMnHP8iP"&amp;"O4M5RCRjy6nZY0TY/edit#gid=1248694442"",""Table 3: 1st-line HC!A5:A111"")),"""")"),"")</f>
        <v/>
      </c>
      <c r="J82" s="14" t="str">
        <f>IFERROR(__xludf.DUMMYFUNCTION("IFNA(FILTER(IMPORTRANGE(""https://docs.google.com/spreadsheets/d/1kGrh75X1cNR1D7_FcY9zMnHP8iPO4M5RCRjy6nZY0TY/edit#gid=1248694442"",""Table 3: 1st-line HC!AC5:AC111""), $A82=IMPORTRANGE(""https://docs.google.com/spreadsheets/d/1kGrh75X1cNR1D7_FcY9zMnHP8iP"&amp;"O4M5RCRjy6nZY0TY/edit#gid=1248694442"",""Table 3: 1st-line HC!A5:A111"")),"""")"),"")</f>
        <v/>
      </c>
      <c r="K82" s="20" t="str">
        <f>IFERROR(__xludf.DUMMYFUNCTION("IFNA(FILTER(IMPORTRANGE(""https://docs.google.com/spreadsheets/d/1kGrh75X1cNR1D7_FcY9zMnHP8iPO4M5RCRjy6nZY0TY/edit#gid=1248694442"",""Table 3: 1st-line HC!AD5:AD111""), $A82=IMPORTRANGE(""https://docs.google.com/spreadsheets/d/1kGrh75X1cNR1D7_FcY9zMnHP8iP"&amp;"O4M5RCRjy6nZY0TY/edit#gid=1248694442"",""Table 3: 1st-line HC!A5:A111"")),"""")"),"")</f>
        <v/>
      </c>
      <c r="L82" s="14">
        <f>IFERROR(__xludf.DUMMYFUNCTION("IFNA(FILTER(IMPORTRANGE(""https://docs.google.com/spreadsheets/d/1kGrh75X1cNR1D7_FcY9zMnHP8iPO4M5RCRjy6nZY0TY/edit#gid=1248694442"",""Table 3: 1st-line HC!W5:W111""), $A82=IMPORTRANGE(""https://docs.google.com/spreadsheets/d/1kGrh75X1cNR1D7_FcY9zMnHP8iPO4"&amp;"M5RCRjy6nZY0TY/edit#gid=1248694442"",""Table 3: 1st-line HC!A5:A111"")),"""")"),9.0)</f>
        <v>9</v>
      </c>
      <c r="M82" s="14">
        <f>IFERROR(__xludf.DUMMYFUNCTION("IFNA(FILTER(IMPORTRANGE(""https://docs.google.com/spreadsheets/d/1kGrh75X1cNR1D7_FcY9zMnHP8iPO4M5RCRjy6nZY0TY/edit#gid=1248694442"",""Table 3: 1st-line HC!X5:X111""), $A82=IMPORTRANGE(""https://docs.google.com/spreadsheets/d/1kGrh75X1cNR1D7_FcY9zMnHP8iPO4"&amp;"M5RCRjy6nZY0TY/edit#gid=1248694442"",""Table 3: 1st-line HC!A5:A111"")),"""")"),1.0)</f>
        <v>1</v>
      </c>
      <c r="N82" s="14" t="str">
        <f>IFERROR(__xludf.DUMMYFUNCTION("IFNA(FILTER(IMPORTRANGE(""https://docs.google.com/spreadsheets/d/1kGrh75X1cNR1D7_FcY9zMnHP8iPO4M5RCRjy6nZY0TY/edit#gid=1248694442"",""Table 4: 2nd-line HC or more!C5:C85""), $A82=IMPORTRANGE(""https://docs.google.com/spreadsheets/d/1kGrh75X1cNR1D7_FcY9zMn"&amp;"HP8iPO4M5RCRjy6nZY0TY/edit#gid=1248694442"",""Table 4: 2nd-line HC or more!A5:A85"")),"""")"),"")</f>
        <v/>
      </c>
      <c r="O82" s="14">
        <f>IFERROR(__xludf.DUMMYFUNCTION("IFNA(FILTER(IMPORTRANGE(""https://docs.google.com/spreadsheets/d/1kGrh75X1cNR1D7_FcY9zMnHP8iPO4M5RCRjy6nZY0TY/edit#gid=1248694442"",""Table 4: 2nd-line HC or more!D5:D85""), $A82=IMPORTRANGE(""https://docs.google.com/spreadsheets/d/1kGrh75X1cNR1D7_FcY9zMn"&amp;"HP8iPO4M5RCRjy6nZY0TY/edit#gid=1248694442"",""Table 4: 2nd-line HC or more!A5:A85"")),"""")"),1.0)</f>
        <v>1</v>
      </c>
      <c r="P82" s="14" t="str">
        <f>IFERROR(__xludf.DUMMYFUNCTION("IFNA(FILTER(IMPORTRANGE(""https://docs.google.com/spreadsheets/d/1kGrh75X1cNR1D7_FcY9zMnHP8iPO4M5RCRjy6nZY0TY/edit#gid=1248694442"",""Table 4: 2nd-line HC or more!E5:E85""), $A82=IMPORTRANGE(""https://docs.google.com/spreadsheets/d/1kGrh75X1cNR1D7_FcY9zMn"&amp;"HP8iPO4M5RCRjy6nZY0TY/edit#gid=1248694442"",""Table 4: 2nd-line HC or more!A5:A85"")),"""")"),"")</f>
        <v/>
      </c>
      <c r="Q82" s="14" t="str">
        <f>IFERROR(__xludf.DUMMYFUNCTION("IFNA(FILTER(IMPORTRANGE(""https://docs.google.com/spreadsheets/d/1kGrh75X1cNR1D7_FcY9zMnHP8iPO4M5RCRjy6nZY0TY/edit#gid=1248694442"",""Table 4: 2nd-line HC or more!F5:F85""), $A82=IMPORTRANGE(""https://docs.google.com/spreadsheets/d/1kGrh75X1cNR1D7_FcY9zMn"&amp;"HP8iPO4M5RCRjy6nZY0TY/edit#gid=1248694442"",""Table 4: 2nd-line HC or more!A5:A85"")),"""")"),"")</f>
        <v/>
      </c>
      <c r="R82" s="14" t="str">
        <f>IFERROR(__xludf.DUMMYFUNCTION("IFNA(FILTER(IMPORTRANGE(""https://docs.google.com/spreadsheets/d/1kGrh75X1cNR1D7_FcY9zMnHP8iPO4M5RCRjy6nZY0TY/edit#gid=1248694442"",""Table 4: 2nd-line HC or more!G5:G85""), $A82=IMPORTRANGE(""https://docs.google.com/spreadsheets/d/1kGrh75X1cNR1D7_FcY9zMn"&amp;"HP8iPO4M5RCRjy6nZY0TY/edit#gid=1248694442"",""Table 4: 2nd-line HC or more!A5:A85"")),"""")"),"")</f>
        <v/>
      </c>
      <c r="S82" s="14" t="str">
        <f>IFERROR(__xludf.DUMMYFUNCTION("IFNA(FILTER(IMPORTRANGE(""https://docs.google.com/spreadsheets/d/1kGrh75X1cNR1D7_FcY9zMnHP8iPO4M5RCRjy6nZY0TY/edit#gid=1248694442"",""Table 4: 2nd-line HC or more!H5:H85""), $A82=IMPORTRANGE(""https://docs.google.com/spreadsheets/d/1kGrh75X1cNR1D7_FcY9zMn"&amp;"HP8iPO4M5RCRjy6nZY0TY/edit#gid=1248694442"",""Table 4: 2nd-line HC or more!A5:A85"")),"""")"),"")</f>
        <v/>
      </c>
      <c r="T82" s="14">
        <f>IFERROR(__xludf.DUMMYFUNCTION("IFNA(FILTER(IMPORTRANGE(""https://docs.google.com/spreadsheets/d/1kGrh75X1cNR1D7_FcY9zMnHP8iPO4M5RCRjy6nZY0TY/edit#gid=1248694442"",""Table 3: 1st-line HC!F5:F111""), $A82=IMPORTRANGE(""https://docs.google.com/spreadsheets/d/1kGrh75X1cNR1D7_FcY9zMnHP8iPO4"&amp;"M5RCRjy6nZY0TY/edit#gid=1248694442"",""Table 3: 1st-line HC!A5:A111"")),"""")"),9.0)</f>
        <v>9</v>
      </c>
      <c r="U82" s="14" t="str">
        <f>IFERROR(__xludf.DUMMYFUNCTION("IFNA(FILTER(IMPORTRANGE(""https://docs.google.com/spreadsheets/d/1kGrh75X1cNR1D7_FcY9zMnHP8iPO4M5RCRjy6nZY0TY/edit#gid=1248694442"",""Table 3: 1st-line HC!G5:G111""), $A82=IMPORTRANGE(""https://docs.google.com/spreadsheets/d/1kGrh75X1cNR1D7_FcY9zMnHP8iPO4"&amp;"M5RCRjy6nZY0TY/edit#gid=1248694442"",""Table 3: 1st-line HC!A5:A111"")),"""")"),"")</f>
        <v/>
      </c>
      <c r="V82" s="14" t="str">
        <f>IFERROR(__xludf.DUMMYFUNCTION("IFNA(FILTER(IMPORTRANGE(""https://docs.google.com/spreadsheets/d/1kGrh75X1cNR1D7_FcY9zMnHP8iPO4M5RCRjy6nZY0TY/edit#gid=1248694442"",""Table 3: 1st-line HC!H5:H111""), $A82=IMPORTRANGE(""https://docs.google.com/spreadsheets/d/1kGrh75X1cNR1D7_FcY9zMnHP8iPO4"&amp;"M5RCRjy6nZY0TY/edit#gid=1248694442"",""Table 3: 1st-line HC!A5:A111"")),"""")"),"")</f>
        <v/>
      </c>
      <c r="W82" s="14" t="str">
        <f>IFERROR(__xludf.DUMMYFUNCTION("IFNA(FILTER(IMPORTRANGE(""https://docs.google.com/spreadsheets/d/1kGrh75X1cNR1D7_FcY9zMnHP8iPO4M5RCRjy6nZY0TY/edit#gid=1248694442"",""Table 3: 1st-line HC!I5:I111""), $A82=IMPORTRANGE(""https://docs.google.com/spreadsheets/d/1kGrh75X1cNR1D7_FcY9zMnHP8iPO4"&amp;"M5RCRjy6nZY0TY/edit#gid=1248694442"",""Table 3: 1st-line HC!A5:A111"")),"""")"),"")</f>
        <v/>
      </c>
    </row>
    <row r="83">
      <c r="A83" s="4" t="str">
        <f>IFERROR(__xludf.DUMMYFUNCTION("""COMPUTED_VALUE"""),"ID 169")</f>
        <v>ID 169</v>
      </c>
      <c r="B83" s="14">
        <f>IFERROR(__xludf.DUMMYFUNCTION("IFNA(FILTER(IMPORTRANGE(""https://docs.google.com/spreadsheets/d/1kGrh75X1cNR1D7_FcY9zMnHP8iPO4M5RCRjy6nZY0TY/edit#gid=1248694442"",""Table 3: 1st-line HC!AZ5:AZ111""), $A83=IMPORTRANGE(""https://docs.google.com/spreadsheets/d/1kGrh75X1cNR1D7_FcY9zMnHP8iP"&amp;"O4M5RCRjy6nZY0TY/edit#gid=1248694442"",""Table 3: 1st-line HC!A5:A111"")),"""")"),2.5)</f>
        <v>2.5</v>
      </c>
      <c r="C83" s="14">
        <f>IFERROR(__xludf.DUMMYFUNCTION("IFNA(FILTER(IMPORTRANGE(""https://docs.google.com/spreadsheets/d/1kGrh75X1cNR1D7_FcY9zMnHP8iPO4M5RCRjy6nZY0TY/edit#gid=1248694442"",""Table 3: 1st-line HC!BA5:BA111""), $A83=IMPORTRANGE(""https://docs.google.com/spreadsheets/d/1kGrh75X1cNR1D7_FcY9zMnHP8iP"&amp;"O4M5RCRjy6nZY0TY/edit#gid=1248694442"",""Table 3: 1st-line HC!A5:A111"")),"""")"),2.5)</f>
        <v>2.5</v>
      </c>
      <c r="D83" s="14" t="str">
        <f>IFERROR(__xludf.DUMMYFUNCTION("IFNA(FILTER(IMPORTRANGE(""https://docs.google.com/spreadsheets/d/1kGrh75X1cNR1D7_FcY9zMnHP8iPO4M5RCRjy6nZY0TY/edit#gid=1248694442"",""Table 3: 1st-line HC!BB5:BB111""), $A83=IMPORTRANGE(""https://docs.google.com/spreadsheets/d/1kGrh75X1cNR1D7_FcY9zMnHP8iP"&amp;"O4M5RCRjy6nZY0TY/edit#gid=1248694442"",""Table 3: 1st-line HC!A5:A111"")),"""")"),"")</f>
        <v/>
      </c>
      <c r="E83" s="19" t="str">
        <f>IFERROR(__xludf.DUMMYFUNCTION("IFNA(FILTER(IMPORTRANGE(""https://docs.google.com/spreadsheets/d/1kGrh75X1cNR1D7_FcY9zMnHP8iPO4M5RCRjy6nZY0TY/edit#gid=1248694442"",""Table 3: 1st-line HC!BC5:BC111""), $A83=IMPORTRANGE(""https://docs.google.com/spreadsheets/d/1kGrh75X1cNR1D7_FcY9zMnHP8iP"&amp;"O4M5RCRjy6nZY0TY/edit#gid=1248694442"",""Table 3: 1st-line HC!A5:A111"")),"""")"),"2-3")</f>
        <v>2-3</v>
      </c>
      <c r="F83" s="14" t="str">
        <f>IFERROR(__xludf.DUMMYFUNCTION("IFNA(FILTER(IMPORTRANGE(""https://docs.google.com/spreadsheets/d/1kGrh75X1cNR1D7_FcY9zMnHP8iPO4M5RCRjy6nZY0TY/edit#gid=1248694442"",""Table 3: 1st-line HC!Y5:Y111""), $A83=IMPORTRANGE(""https://docs.google.com/spreadsheets/d/1kGrh75X1cNR1D7_FcY9zMnHP8iPO4"&amp;"M5RCRjy6nZY0TY/edit#gid=1248694442"",""Table 3: 1st-line HC!A5:A111"")),"""")"),"")</f>
        <v/>
      </c>
      <c r="G83" s="14" t="str">
        <f>IFERROR(__xludf.DUMMYFUNCTION("IFNA(FILTER(IMPORTRANGE(""https://docs.google.com/spreadsheets/d/1kGrh75X1cNR1D7_FcY9zMnHP8iPO4M5RCRjy6nZY0TY/edit#gid=1248694442"",""Table 3: 1st-line HC!Z5:Z111""), $A83=IMPORTRANGE(""https://docs.google.com/spreadsheets/d/1kGrh75X1cNR1D7_FcY9zMnHP8iPO4"&amp;"M5RCRjy6nZY0TY/edit#gid=1248694442"",""Table 3: 1st-line HC!A5:A111"")),"""")"),"")</f>
        <v/>
      </c>
      <c r="H83" s="14" t="str">
        <f>IFERROR(__xludf.DUMMYFUNCTION("IFNA(FILTER(IMPORTRANGE(""https://docs.google.com/spreadsheets/d/1kGrh75X1cNR1D7_FcY9zMnHP8iPO4M5RCRjy6nZY0TY/edit#gid=1248694442"",""Table 3: 1st-line HC!AA5:AA111""), $A83=IMPORTRANGE(""https://docs.google.com/spreadsheets/d/1kGrh75X1cNR1D7_FcY9zMnHP8iP"&amp;"O4M5RCRjy6nZY0TY/edit#gid=1248694442"",""Table 3: 1st-line HC!A5:A111"")),"""")"),"")</f>
        <v/>
      </c>
      <c r="I83" s="14" t="str">
        <f>IFERROR(__xludf.DUMMYFUNCTION("IFNA(FILTER(IMPORTRANGE(""https://docs.google.com/spreadsheets/d/1kGrh75X1cNR1D7_FcY9zMnHP8iPO4M5RCRjy6nZY0TY/edit#gid=1248694442"",""Table 3: 1st-line HC!AB5:AB111""), $A83=IMPORTRANGE(""https://docs.google.com/spreadsheets/d/1kGrh75X1cNR1D7_FcY9zMnHP8iP"&amp;"O4M5RCRjy6nZY0TY/edit#gid=1248694442"",""Table 3: 1st-line HC!A5:A111"")),"""")"),"")</f>
        <v/>
      </c>
      <c r="J83" s="14" t="str">
        <f>IFERROR(__xludf.DUMMYFUNCTION("IFNA(FILTER(IMPORTRANGE(""https://docs.google.com/spreadsheets/d/1kGrh75X1cNR1D7_FcY9zMnHP8iPO4M5RCRjy6nZY0TY/edit#gid=1248694442"",""Table 3: 1st-line HC!AC5:AC111""), $A83=IMPORTRANGE(""https://docs.google.com/spreadsheets/d/1kGrh75X1cNR1D7_FcY9zMnHP8iP"&amp;"O4M5RCRjy6nZY0TY/edit#gid=1248694442"",""Table 3: 1st-line HC!A5:A111"")),"""")"),"")</f>
        <v/>
      </c>
      <c r="K83" s="20" t="str">
        <f>IFERROR(__xludf.DUMMYFUNCTION("IFNA(FILTER(IMPORTRANGE(""https://docs.google.com/spreadsheets/d/1kGrh75X1cNR1D7_FcY9zMnHP8iPO4M5RCRjy6nZY0TY/edit#gid=1248694442"",""Table 3: 1st-line HC!AD5:AD111""), $A83=IMPORTRANGE(""https://docs.google.com/spreadsheets/d/1kGrh75X1cNR1D7_FcY9zMnHP8iP"&amp;"O4M5RCRjy6nZY0TY/edit#gid=1248694442"",""Table 3: 1st-line HC!A5:A111"")),"""")"),"Ventriculoarterial shunt =2")</f>
        <v>Ventriculoarterial shunt =2</v>
      </c>
      <c r="L83" s="14" t="str">
        <f>IFERROR(__xludf.DUMMYFUNCTION("IFNA(FILTER(IMPORTRANGE(""https://docs.google.com/spreadsheets/d/1kGrh75X1cNR1D7_FcY9zMnHP8iPO4M5RCRjy6nZY0TY/edit#gid=1248694442"",""Table 3: 1st-line HC!W5:W111""), $A83=IMPORTRANGE(""https://docs.google.com/spreadsheets/d/1kGrh75X1cNR1D7_FcY9zMnHP8iPO4"&amp;"M5RCRjy6nZY0TY/edit#gid=1248694442"",""Table 3: 1st-line HC!A5:A111"")),"""")"),"")</f>
        <v/>
      </c>
      <c r="M83" s="14" t="str">
        <f>IFERROR(__xludf.DUMMYFUNCTION("IFNA(FILTER(IMPORTRANGE(""https://docs.google.com/spreadsheets/d/1kGrh75X1cNR1D7_FcY9zMnHP8iPO4M5RCRjy6nZY0TY/edit#gid=1248694442"",""Table 3: 1st-line HC!X5:X111""), $A83=IMPORTRANGE(""https://docs.google.com/spreadsheets/d/1kGrh75X1cNR1D7_FcY9zMnHP8iPO4"&amp;"M5RCRjy6nZY0TY/edit#gid=1248694442"",""Table 3: 1st-line HC!A5:A111"")),"""")"),"")</f>
        <v/>
      </c>
      <c r="N83" s="14" t="str">
        <f>IFERROR(__xludf.DUMMYFUNCTION("IFNA(FILTER(IMPORTRANGE(""https://docs.google.com/spreadsheets/d/1kGrh75X1cNR1D7_FcY9zMnHP8iPO4M5RCRjy6nZY0TY/edit#gid=1248694442"",""Table 4: 2nd-line HC or more!C5:C85""), $A83=IMPORTRANGE(""https://docs.google.com/spreadsheets/d/1kGrh75X1cNR1D7_FcY9zMn"&amp;"HP8iPO4M5RCRjy6nZY0TY/edit#gid=1248694442"",""Table 4: 2nd-line HC or more!A5:A85"")),"""")"),"")</f>
        <v/>
      </c>
      <c r="O83" s="14" t="str">
        <f>IFERROR(__xludf.DUMMYFUNCTION("IFNA(FILTER(IMPORTRANGE(""https://docs.google.com/spreadsheets/d/1kGrh75X1cNR1D7_FcY9zMnHP8iPO4M5RCRjy6nZY0TY/edit#gid=1248694442"",""Table 4: 2nd-line HC or more!D5:D85""), $A83=IMPORTRANGE(""https://docs.google.com/spreadsheets/d/1kGrh75X1cNR1D7_FcY9zMn"&amp;"HP8iPO4M5RCRjy6nZY0TY/edit#gid=1248694442"",""Table 4: 2nd-line HC or more!A5:A85"")),"""")"),"")</f>
        <v/>
      </c>
      <c r="P83" s="14" t="str">
        <f>IFERROR(__xludf.DUMMYFUNCTION("IFNA(FILTER(IMPORTRANGE(""https://docs.google.com/spreadsheets/d/1kGrh75X1cNR1D7_FcY9zMnHP8iPO4M5RCRjy6nZY0TY/edit#gid=1248694442"",""Table 4: 2nd-line HC or more!E5:E85""), $A83=IMPORTRANGE(""https://docs.google.com/spreadsheets/d/1kGrh75X1cNR1D7_FcY9zMn"&amp;"HP8iPO4M5RCRjy6nZY0TY/edit#gid=1248694442"",""Table 4: 2nd-line HC or more!A5:A85"")),"""")"),"")</f>
        <v/>
      </c>
      <c r="Q83" s="14" t="str">
        <f>IFERROR(__xludf.DUMMYFUNCTION("IFNA(FILTER(IMPORTRANGE(""https://docs.google.com/spreadsheets/d/1kGrh75X1cNR1D7_FcY9zMnHP8iPO4M5RCRjy6nZY0TY/edit#gid=1248694442"",""Table 4: 2nd-line HC or more!F5:F85""), $A83=IMPORTRANGE(""https://docs.google.com/spreadsheets/d/1kGrh75X1cNR1D7_FcY9zMn"&amp;"HP8iPO4M5RCRjy6nZY0TY/edit#gid=1248694442"",""Table 4: 2nd-line HC or more!A5:A85"")),"""")"),"")</f>
        <v/>
      </c>
      <c r="R83" s="14" t="str">
        <f>IFERROR(__xludf.DUMMYFUNCTION("IFNA(FILTER(IMPORTRANGE(""https://docs.google.com/spreadsheets/d/1kGrh75X1cNR1D7_FcY9zMnHP8iPO4M5RCRjy6nZY0TY/edit#gid=1248694442"",""Table 4: 2nd-line HC or more!G5:G85""), $A83=IMPORTRANGE(""https://docs.google.com/spreadsheets/d/1kGrh75X1cNR1D7_FcY9zMn"&amp;"HP8iPO4M5RCRjy6nZY0TY/edit#gid=1248694442"",""Table 4: 2nd-line HC or more!A5:A85"")),"""")"),"")</f>
        <v/>
      </c>
      <c r="S83" s="14" t="str">
        <f>IFERROR(__xludf.DUMMYFUNCTION("IFNA(FILTER(IMPORTRANGE(""https://docs.google.com/spreadsheets/d/1kGrh75X1cNR1D7_FcY9zMnHP8iPO4M5RCRjy6nZY0TY/edit#gid=1248694442"",""Table 4: 2nd-line HC or more!H5:H85""), $A83=IMPORTRANGE(""https://docs.google.com/spreadsheets/d/1kGrh75X1cNR1D7_FcY9zMn"&amp;"HP8iPO4M5RCRjy6nZY0TY/edit#gid=1248694442"",""Table 4: 2nd-line HC or more!A5:A85"")),"""")"),"VA shunt =2")</f>
        <v>VA shunt =2</v>
      </c>
      <c r="T83" s="14" t="str">
        <f>IFERROR(__xludf.DUMMYFUNCTION("IFNA(FILTER(IMPORTRANGE(""https://docs.google.com/spreadsheets/d/1kGrh75X1cNR1D7_FcY9zMnHP8iPO4M5RCRjy6nZY0TY/edit#gid=1248694442"",""Table 3: 1st-line HC!F5:F111""), $A83=IMPORTRANGE(""https://docs.google.com/spreadsheets/d/1kGrh75X1cNR1D7_FcY9zMnHP8iPO4"&amp;"M5RCRjy6nZY0TY/edit#gid=1248694442"",""Table 3: 1st-line HC!A5:A111"")),"""")"),"")</f>
        <v/>
      </c>
      <c r="U83" s="14" t="str">
        <f>IFERROR(__xludf.DUMMYFUNCTION("IFNA(FILTER(IMPORTRANGE(""https://docs.google.com/spreadsheets/d/1kGrh75X1cNR1D7_FcY9zMnHP8iPO4M5RCRjy6nZY0TY/edit#gid=1248694442"",""Table 3: 1st-line HC!G5:G111""), $A83=IMPORTRANGE(""https://docs.google.com/spreadsheets/d/1kGrh75X1cNR1D7_FcY9zMnHP8iPO4"&amp;"M5RCRjy6nZY0TY/edit#gid=1248694442"",""Table 3: 1st-line HC!A5:A111"")),"""")"),"")</f>
        <v/>
      </c>
      <c r="V83" s="14" t="str">
        <f>IFERROR(__xludf.DUMMYFUNCTION("IFNA(FILTER(IMPORTRANGE(""https://docs.google.com/spreadsheets/d/1kGrh75X1cNR1D7_FcY9zMnHP8iPO4M5RCRjy6nZY0TY/edit#gid=1248694442"",""Table 3: 1st-line HC!H5:H111""), $A83=IMPORTRANGE(""https://docs.google.com/spreadsheets/d/1kGrh75X1cNR1D7_FcY9zMnHP8iPO4"&amp;"M5RCRjy6nZY0TY/edit#gid=1248694442"",""Table 3: 1st-line HC!A5:A111"")),"""")"),"")</f>
        <v/>
      </c>
      <c r="W83" s="14" t="str">
        <f>IFERROR(__xludf.DUMMYFUNCTION("IFNA(FILTER(IMPORTRANGE(""https://docs.google.com/spreadsheets/d/1kGrh75X1cNR1D7_FcY9zMnHP8iPO4M5RCRjy6nZY0TY/edit#gid=1248694442"",""Table 3: 1st-line HC!I5:I111""), $A83=IMPORTRANGE(""https://docs.google.com/spreadsheets/d/1kGrh75X1cNR1D7_FcY9zMnHP8iPO4"&amp;"M5RCRjy6nZY0TY/edit#gid=1248694442"",""Table 3: 1st-line HC!A5:A111"")),"""")"),"")</f>
        <v/>
      </c>
    </row>
    <row r="84">
      <c r="A84" s="4" t="str">
        <f>IFERROR(__xludf.DUMMYFUNCTION("""COMPUTED_VALUE"""),"ID 170")</f>
        <v>ID 170</v>
      </c>
      <c r="B84" s="14" t="str">
        <f>IFERROR(__xludf.DUMMYFUNCTION("IFNA(FILTER(IMPORTRANGE(""https://docs.google.com/spreadsheets/d/1kGrh75X1cNR1D7_FcY9zMnHP8iPO4M5RCRjy6nZY0TY/edit#gid=1248694442"",""Table 3: 1st-line HC!AZ5:AZ111""), $A84=IMPORTRANGE(""https://docs.google.com/spreadsheets/d/1kGrh75X1cNR1D7_FcY9zMnHP8iP"&amp;"O4M5RCRjy6nZY0TY/edit#gid=1248694442"",""Table 3: 1st-line HC!A5:A111"")),"""")"),"")</f>
        <v/>
      </c>
      <c r="C84" s="14" t="str">
        <f>IFERROR(__xludf.DUMMYFUNCTION("IFNA(FILTER(IMPORTRANGE(""https://docs.google.com/spreadsheets/d/1kGrh75X1cNR1D7_FcY9zMnHP8iPO4M5RCRjy6nZY0TY/edit#gid=1248694442"",""Table 3: 1st-line HC!BA5:BA111""), $A84=IMPORTRANGE(""https://docs.google.com/spreadsheets/d/1kGrh75X1cNR1D7_FcY9zMnHP8iP"&amp;"O4M5RCRjy6nZY0TY/edit#gid=1248694442"",""Table 3: 1st-line HC!A5:A111"")),"""")"),"")</f>
        <v/>
      </c>
      <c r="D84" s="14" t="str">
        <f>IFERROR(__xludf.DUMMYFUNCTION("IFNA(FILTER(IMPORTRANGE(""https://docs.google.com/spreadsheets/d/1kGrh75X1cNR1D7_FcY9zMnHP8iPO4M5RCRjy6nZY0TY/edit#gid=1248694442"",""Table 3: 1st-line HC!BB5:BB111""), $A84=IMPORTRANGE(""https://docs.google.com/spreadsheets/d/1kGrh75X1cNR1D7_FcY9zMnHP8iP"&amp;"O4M5RCRjy6nZY0TY/edit#gid=1248694442"",""Table 3: 1st-line HC!A5:A111"")),"""")"),"")</f>
        <v/>
      </c>
      <c r="E84" s="19" t="str">
        <f>IFERROR(__xludf.DUMMYFUNCTION("IFNA(FILTER(IMPORTRANGE(""https://docs.google.com/spreadsheets/d/1kGrh75X1cNR1D7_FcY9zMnHP8iPO4M5RCRjy6nZY0TY/edit#gid=1248694442"",""Table 3: 1st-line HC!BC5:BC111""), $A84=IMPORTRANGE(""https://docs.google.com/spreadsheets/d/1kGrh75X1cNR1D7_FcY9zMnHP8iP"&amp;"O4M5RCRjy6nZY0TY/edit#gid=1248694442"",""Table 3: 1st-line HC!A5:A111"")),"""")"),"")</f>
        <v/>
      </c>
      <c r="F84" s="14" t="str">
        <f>IFERROR(__xludf.DUMMYFUNCTION("IFNA(FILTER(IMPORTRANGE(""https://docs.google.com/spreadsheets/d/1kGrh75X1cNR1D7_FcY9zMnHP8iPO4M5RCRjy6nZY0TY/edit#gid=1248694442"",""Table 3: 1st-line HC!Y5:Y111""), $A84=IMPORTRANGE(""https://docs.google.com/spreadsheets/d/1kGrh75X1cNR1D7_FcY9zMnHP8iPO4"&amp;"M5RCRjy6nZY0TY/edit#gid=1248694442"",""Table 3: 1st-line HC!A5:A111"")),"""")"),"")</f>
        <v/>
      </c>
      <c r="G84" s="14">
        <f>IFERROR(__xludf.DUMMYFUNCTION("IFNA(FILTER(IMPORTRANGE(""https://docs.google.com/spreadsheets/d/1kGrh75X1cNR1D7_FcY9zMnHP8iPO4M5RCRjy6nZY0TY/edit#gid=1248694442"",""Table 3: 1st-line HC!Z5:Z111""), $A84=IMPORTRANGE(""https://docs.google.com/spreadsheets/d/1kGrh75X1cNR1D7_FcY9zMnHP8iPO4"&amp;"M5RCRjy6nZY0TY/edit#gid=1248694442"",""Table 3: 1st-line HC!A5:A111"")),"""")"),34.0)</f>
        <v>34</v>
      </c>
      <c r="H84" s="14" t="str">
        <f>IFERROR(__xludf.DUMMYFUNCTION("IFNA(FILTER(IMPORTRANGE(""https://docs.google.com/spreadsheets/d/1kGrh75X1cNR1D7_FcY9zMnHP8iPO4M5RCRjy6nZY0TY/edit#gid=1248694442"",""Table 3: 1st-line HC!AA5:AA111""), $A84=IMPORTRANGE(""https://docs.google.com/spreadsheets/d/1kGrh75X1cNR1D7_FcY9zMnHP8iP"&amp;"O4M5RCRjy6nZY0TY/edit#gid=1248694442"",""Table 3: 1st-line HC!A5:A111"")),"""")"),"")</f>
        <v/>
      </c>
      <c r="I84" s="14" t="str">
        <f>IFERROR(__xludf.DUMMYFUNCTION("IFNA(FILTER(IMPORTRANGE(""https://docs.google.com/spreadsheets/d/1kGrh75X1cNR1D7_FcY9zMnHP8iPO4M5RCRjy6nZY0TY/edit#gid=1248694442"",""Table 3: 1st-line HC!AB5:AB111""), $A84=IMPORTRANGE(""https://docs.google.com/spreadsheets/d/1kGrh75X1cNR1D7_FcY9zMnHP8iP"&amp;"O4M5RCRjy6nZY0TY/edit#gid=1248694442"",""Table 3: 1st-line HC!A5:A111"")),"""")"),"")</f>
        <v/>
      </c>
      <c r="J84" s="14" t="str">
        <f>IFERROR(__xludf.DUMMYFUNCTION("IFNA(FILTER(IMPORTRANGE(""https://docs.google.com/spreadsheets/d/1kGrh75X1cNR1D7_FcY9zMnHP8iPO4M5RCRjy6nZY0TY/edit#gid=1248694442"",""Table 3: 1st-line HC!AC5:AC111""), $A84=IMPORTRANGE(""https://docs.google.com/spreadsheets/d/1kGrh75X1cNR1D7_FcY9zMnHP8iP"&amp;"O4M5RCRjy6nZY0TY/edit#gid=1248694442"",""Table 3: 1st-line HC!A5:A111"")),"""")"),"")</f>
        <v/>
      </c>
      <c r="K84" s="20" t="str">
        <f>IFERROR(__xludf.DUMMYFUNCTION("IFNA(FILTER(IMPORTRANGE(""https://docs.google.com/spreadsheets/d/1kGrh75X1cNR1D7_FcY9zMnHP8iPO4M5RCRjy6nZY0TY/edit#gid=1248694442"",""Table 3: 1st-line HC!AD5:AD111""), $A84=IMPORTRANGE(""https://docs.google.com/spreadsheets/d/1kGrh75X1cNR1D7_FcY9zMnHP8iP"&amp;"O4M5RCRjy6nZY0TY/edit#gid=1248694442"",""Table 3: 1st-line HC!A5:A111"")),"""")"),"")</f>
        <v/>
      </c>
      <c r="L84" s="14" t="str">
        <f>IFERROR(__xludf.DUMMYFUNCTION("IFNA(FILTER(IMPORTRANGE(""https://docs.google.com/spreadsheets/d/1kGrh75X1cNR1D7_FcY9zMnHP8iPO4M5RCRjy6nZY0TY/edit#gid=1248694442"",""Table 3: 1st-line HC!W5:W111""), $A84=IMPORTRANGE(""https://docs.google.com/spreadsheets/d/1kGrh75X1cNR1D7_FcY9zMnHP8iPO4"&amp;"M5RCRjy6nZY0TY/edit#gid=1248694442"",""Table 3: 1st-line HC!A5:A111"")),"""")"),"")</f>
        <v/>
      </c>
      <c r="M84" s="14" t="str">
        <f>IFERROR(__xludf.DUMMYFUNCTION("IFNA(FILTER(IMPORTRANGE(""https://docs.google.com/spreadsheets/d/1kGrh75X1cNR1D7_FcY9zMnHP8iPO4M5RCRjy6nZY0TY/edit#gid=1248694442"",""Table 3: 1st-line HC!X5:X111""), $A84=IMPORTRANGE(""https://docs.google.com/spreadsheets/d/1kGrh75X1cNR1D7_FcY9zMnHP8iPO4"&amp;"M5RCRjy6nZY0TY/edit#gid=1248694442"",""Table 3: 1st-line HC!A5:A111"")),"""")"),"")</f>
        <v/>
      </c>
      <c r="N84" s="14" t="str">
        <f>IFERROR(__xludf.DUMMYFUNCTION("IFNA(FILTER(IMPORTRANGE(""https://docs.google.com/spreadsheets/d/1kGrh75X1cNR1D7_FcY9zMnHP8iPO4M5RCRjy6nZY0TY/edit#gid=1248694442"",""Table 4: 2nd-line HC or more!C5:C85""), $A84=IMPORTRANGE(""https://docs.google.com/spreadsheets/d/1kGrh75X1cNR1D7_FcY9zMn"&amp;"HP8iPO4M5RCRjy6nZY0TY/edit#gid=1248694442"",""Table 4: 2nd-line HC or more!A5:A85"")),"""")"),"")</f>
        <v/>
      </c>
      <c r="O84" s="14">
        <f>IFERROR(__xludf.DUMMYFUNCTION("IFNA(FILTER(IMPORTRANGE(""https://docs.google.com/spreadsheets/d/1kGrh75X1cNR1D7_FcY9zMnHP8iPO4M5RCRjy6nZY0TY/edit#gid=1248694442"",""Table 4: 2nd-line HC or more!D5:D85""), $A84=IMPORTRANGE(""https://docs.google.com/spreadsheets/d/1kGrh75X1cNR1D7_FcY9zMn"&amp;"HP8iPO4M5RCRjy6nZY0TY/edit#gid=1248694442"",""Table 4: 2nd-line HC or more!A5:A85"")),"""")"),5.0)</f>
        <v>5</v>
      </c>
      <c r="P84" s="14" t="str">
        <f>IFERROR(__xludf.DUMMYFUNCTION("IFNA(FILTER(IMPORTRANGE(""https://docs.google.com/spreadsheets/d/1kGrh75X1cNR1D7_FcY9zMnHP8iPO4M5RCRjy6nZY0TY/edit#gid=1248694442"",""Table 4: 2nd-line HC or more!E5:E85""), $A84=IMPORTRANGE(""https://docs.google.com/spreadsheets/d/1kGrh75X1cNR1D7_FcY9zMn"&amp;"HP8iPO4M5RCRjy6nZY0TY/edit#gid=1248694442"",""Table 4: 2nd-line HC or more!A5:A85"")),"""")"),"")</f>
        <v/>
      </c>
      <c r="Q84" s="14" t="str">
        <f>IFERROR(__xludf.DUMMYFUNCTION("IFNA(FILTER(IMPORTRANGE(""https://docs.google.com/spreadsheets/d/1kGrh75X1cNR1D7_FcY9zMnHP8iPO4M5RCRjy6nZY0TY/edit#gid=1248694442"",""Table 4: 2nd-line HC or more!F5:F85""), $A84=IMPORTRANGE(""https://docs.google.com/spreadsheets/d/1kGrh75X1cNR1D7_FcY9zMn"&amp;"HP8iPO4M5RCRjy6nZY0TY/edit#gid=1248694442"",""Table 4: 2nd-line HC or more!A5:A85"")),"""")"),"")</f>
        <v/>
      </c>
      <c r="R84" s="14" t="str">
        <f>IFERROR(__xludf.DUMMYFUNCTION("IFNA(FILTER(IMPORTRANGE(""https://docs.google.com/spreadsheets/d/1kGrh75X1cNR1D7_FcY9zMnHP8iPO4M5RCRjy6nZY0TY/edit#gid=1248694442"",""Table 4: 2nd-line HC or more!G5:G85""), $A84=IMPORTRANGE(""https://docs.google.com/spreadsheets/d/1kGrh75X1cNR1D7_FcY9zMn"&amp;"HP8iPO4M5RCRjy6nZY0TY/edit#gid=1248694442"",""Table 4: 2nd-line HC or more!A5:A85"")),"""")"),"")</f>
        <v/>
      </c>
      <c r="S84" s="14" t="str">
        <f>IFERROR(__xludf.DUMMYFUNCTION("IFNA(FILTER(IMPORTRANGE(""https://docs.google.com/spreadsheets/d/1kGrh75X1cNR1D7_FcY9zMnHP8iPO4M5RCRjy6nZY0TY/edit#gid=1248694442"",""Table 4: 2nd-line HC or more!H5:H85""), $A84=IMPORTRANGE(""https://docs.google.com/spreadsheets/d/1kGrh75X1cNR1D7_FcY9zMn"&amp;"HP8iPO4M5RCRjy6nZY0TY/edit#gid=1248694442"",""Table 4: 2nd-line HC or more!A5:A85"")),"""")"),"")</f>
        <v/>
      </c>
      <c r="T84" s="14">
        <f>IFERROR(__xludf.DUMMYFUNCTION("IFNA(FILTER(IMPORTRANGE(""https://docs.google.com/spreadsheets/d/1kGrh75X1cNR1D7_FcY9zMnHP8iPO4M5RCRjy6nZY0TY/edit#gid=1248694442"",""Table 3: 1st-line HC!F5:F111""), $A84=IMPORTRANGE(""https://docs.google.com/spreadsheets/d/1kGrh75X1cNR1D7_FcY9zMnHP8iPO4"&amp;"M5RCRjy6nZY0TY/edit#gid=1248694442"",""Table 3: 1st-line HC!A5:A111"")),"""")"),34.0)</f>
        <v>34</v>
      </c>
      <c r="U84" s="14" t="str">
        <f>IFERROR(__xludf.DUMMYFUNCTION("IFNA(FILTER(IMPORTRANGE(""https://docs.google.com/spreadsheets/d/1kGrh75X1cNR1D7_FcY9zMnHP8iPO4M5RCRjy6nZY0TY/edit#gid=1248694442"",""Table 3: 1st-line HC!G5:G111""), $A84=IMPORTRANGE(""https://docs.google.com/spreadsheets/d/1kGrh75X1cNR1D7_FcY9zMnHP8iPO4"&amp;"M5RCRjy6nZY0TY/edit#gid=1248694442"",""Table 3: 1st-line HC!A5:A111"")),"""")"),"")</f>
        <v/>
      </c>
      <c r="V84" s="14" t="str">
        <f>IFERROR(__xludf.DUMMYFUNCTION("IFNA(FILTER(IMPORTRANGE(""https://docs.google.com/spreadsheets/d/1kGrh75X1cNR1D7_FcY9zMnHP8iPO4M5RCRjy6nZY0TY/edit#gid=1248694442"",""Table 3: 1st-line HC!H5:H111""), $A84=IMPORTRANGE(""https://docs.google.com/spreadsheets/d/1kGrh75X1cNR1D7_FcY9zMnHP8iPO4"&amp;"M5RCRjy6nZY0TY/edit#gid=1248694442"",""Table 3: 1st-line HC!A5:A111"")),"""")"),"")</f>
        <v/>
      </c>
      <c r="W84" s="14" t="str">
        <f>IFERROR(__xludf.DUMMYFUNCTION("IFNA(FILTER(IMPORTRANGE(""https://docs.google.com/spreadsheets/d/1kGrh75X1cNR1D7_FcY9zMnHP8iPO4M5RCRjy6nZY0TY/edit#gid=1248694442"",""Table 3: 1st-line HC!I5:I111""), $A84=IMPORTRANGE(""https://docs.google.com/spreadsheets/d/1kGrh75X1cNR1D7_FcY9zMnHP8iPO4"&amp;"M5RCRjy6nZY0TY/edit#gid=1248694442"",""Table 3: 1st-line HC!A5:A111"")),"""")"),"")</f>
        <v/>
      </c>
    </row>
    <row r="85">
      <c r="A85" s="4" t="str">
        <f>IFERROR(__xludf.DUMMYFUNCTION("""COMPUTED_VALUE"""),"ID 172")</f>
        <v>ID 172</v>
      </c>
      <c r="B85" s="14" t="str">
        <f>IFERROR(__xludf.DUMMYFUNCTION("IFNA(FILTER(IMPORTRANGE(""https://docs.google.com/spreadsheets/d/1kGrh75X1cNR1D7_FcY9zMnHP8iPO4M5RCRjy6nZY0TY/edit#gid=1248694442"",""Table 3: 1st-line HC!AZ5:AZ111""), $A85=IMPORTRANGE(""https://docs.google.com/spreadsheets/d/1kGrh75X1cNR1D7_FcY9zMnHP8iP"&amp;"O4M5RCRjy6nZY0TY/edit#gid=1248694442"",""Table 3: 1st-line HC!A5:A111"")),"""")"),"")</f>
        <v/>
      </c>
      <c r="C85" s="14" t="str">
        <f>IFERROR(__xludf.DUMMYFUNCTION("IFNA(FILTER(IMPORTRANGE(""https://docs.google.com/spreadsheets/d/1kGrh75X1cNR1D7_FcY9zMnHP8iPO4M5RCRjy6nZY0TY/edit#gid=1248694442"",""Table 3: 1st-line HC!BA5:BA111""), $A85=IMPORTRANGE(""https://docs.google.com/spreadsheets/d/1kGrh75X1cNR1D7_FcY9zMnHP8iP"&amp;"O4M5RCRjy6nZY0TY/edit#gid=1248694442"",""Table 3: 1st-line HC!A5:A111"")),"""")"),"")</f>
        <v/>
      </c>
      <c r="D85" s="14" t="str">
        <f>IFERROR(__xludf.DUMMYFUNCTION("IFNA(FILTER(IMPORTRANGE(""https://docs.google.com/spreadsheets/d/1kGrh75X1cNR1D7_FcY9zMnHP8iPO4M5RCRjy6nZY0TY/edit#gid=1248694442"",""Table 3: 1st-line HC!BB5:BB111""), $A85=IMPORTRANGE(""https://docs.google.com/spreadsheets/d/1kGrh75X1cNR1D7_FcY9zMnHP8iP"&amp;"O4M5RCRjy6nZY0TY/edit#gid=1248694442"",""Table 3: 1st-line HC!A5:A111"")),"""")"),"")</f>
        <v/>
      </c>
      <c r="E85" s="19" t="str">
        <f>IFERROR(__xludf.DUMMYFUNCTION("IFNA(FILTER(IMPORTRANGE(""https://docs.google.com/spreadsheets/d/1kGrh75X1cNR1D7_FcY9zMnHP8iPO4M5RCRjy6nZY0TY/edit#gid=1248694442"",""Table 3: 1st-line HC!BC5:BC111""), $A85=IMPORTRANGE(""https://docs.google.com/spreadsheets/d/1kGrh75X1cNR1D7_FcY9zMnHP8iP"&amp;"O4M5RCRjy6nZY0TY/edit#gid=1248694442"",""Table 3: 1st-line HC!A5:A111"")),"""")"),"")</f>
        <v/>
      </c>
      <c r="F85" s="14" t="str">
        <f>IFERROR(__xludf.DUMMYFUNCTION("IFNA(FILTER(IMPORTRANGE(""https://docs.google.com/spreadsheets/d/1kGrh75X1cNR1D7_FcY9zMnHP8iPO4M5RCRjy6nZY0TY/edit#gid=1248694442"",""Table 3: 1st-line HC!Y5:Y111""), $A85=IMPORTRANGE(""https://docs.google.com/spreadsheets/d/1kGrh75X1cNR1D7_FcY9zMnHP8iPO4"&amp;"M5RCRjy6nZY0TY/edit#gid=1248694442"",""Table 3: 1st-line HC!A5:A111"")),"""")"),"")</f>
        <v/>
      </c>
      <c r="G85" s="14" t="str">
        <f>IFERROR(__xludf.DUMMYFUNCTION("IFNA(FILTER(IMPORTRANGE(""https://docs.google.com/spreadsheets/d/1kGrh75X1cNR1D7_FcY9zMnHP8iPO4M5RCRjy6nZY0TY/edit#gid=1248694442"",""Table 3: 1st-line HC!Z5:Z111""), $A85=IMPORTRANGE(""https://docs.google.com/spreadsheets/d/1kGrh75X1cNR1D7_FcY9zMnHP8iPO4"&amp;"M5RCRjy6nZY0TY/edit#gid=1248694442"",""Table 3: 1st-line HC!A5:A111"")),"""")"),"")</f>
        <v/>
      </c>
      <c r="H85" s="14">
        <f>IFERROR(__xludf.DUMMYFUNCTION("IFNA(FILTER(IMPORTRANGE(""https://docs.google.com/spreadsheets/d/1kGrh75X1cNR1D7_FcY9zMnHP8iPO4M5RCRjy6nZY0TY/edit#gid=1248694442"",""Table 3: 1st-line HC!AA5:AA111""), $A85=IMPORTRANGE(""https://docs.google.com/spreadsheets/d/1kGrh75X1cNR1D7_FcY9zMnHP8iP"&amp;"O4M5RCRjy6nZY0TY/edit#gid=1248694442"",""Table 3: 1st-line HC!A5:A111"")),"""")"),9.0)</f>
        <v>9</v>
      </c>
      <c r="I85" s="14" t="str">
        <f>IFERROR(__xludf.DUMMYFUNCTION("IFNA(FILTER(IMPORTRANGE(""https://docs.google.com/spreadsheets/d/1kGrh75X1cNR1D7_FcY9zMnHP8iPO4M5RCRjy6nZY0TY/edit#gid=1248694442"",""Table 3: 1st-line HC!AB5:AB111""), $A85=IMPORTRANGE(""https://docs.google.com/spreadsheets/d/1kGrh75X1cNR1D7_FcY9zMnHP8iP"&amp;"O4M5RCRjy6nZY0TY/edit#gid=1248694442"",""Table 3: 1st-line HC!A5:A111"")),"""")"),"")</f>
        <v/>
      </c>
      <c r="J85" s="14" t="str">
        <f>IFERROR(__xludf.DUMMYFUNCTION("IFNA(FILTER(IMPORTRANGE(""https://docs.google.com/spreadsheets/d/1kGrh75X1cNR1D7_FcY9zMnHP8iPO4M5RCRjy6nZY0TY/edit#gid=1248694442"",""Table 3: 1st-line HC!AC5:AC111""), $A85=IMPORTRANGE(""https://docs.google.com/spreadsheets/d/1kGrh75X1cNR1D7_FcY9zMnHP8iP"&amp;"O4M5RCRjy6nZY0TY/edit#gid=1248694442"",""Table 3: 1st-line HC!A5:A111"")),"""")"),"")</f>
        <v/>
      </c>
      <c r="K85" s="20" t="str">
        <f>IFERROR(__xludf.DUMMYFUNCTION("IFNA(FILTER(IMPORTRANGE(""https://docs.google.com/spreadsheets/d/1kGrh75X1cNR1D7_FcY9zMnHP8iPO4M5RCRjy6nZY0TY/edit#gid=1248694442"",""Table 3: 1st-line HC!AD5:AD111""), $A85=IMPORTRANGE(""https://docs.google.com/spreadsheets/d/1kGrh75X1cNR1D7_FcY9zMnHP8iP"&amp;"O4M5RCRjy6nZY0TY/edit#gid=1248694442"",""Table 3: 1st-line HC!A5:A111"")),"""")"),"")</f>
        <v/>
      </c>
      <c r="L85" s="14" t="str">
        <f>IFERROR(__xludf.DUMMYFUNCTION("IFNA(FILTER(IMPORTRANGE(""https://docs.google.com/spreadsheets/d/1kGrh75X1cNR1D7_FcY9zMnHP8iPO4M5RCRjy6nZY0TY/edit#gid=1248694442"",""Table 3: 1st-line HC!W5:W111""), $A85=IMPORTRANGE(""https://docs.google.com/spreadsheets/d/1kGrh75X1cNR1D7_FcY9zMnHP8iPO4"&amp;"M5RCRjy6nZY0TY/edit#gid=1248694442"",""Table 3: 1st-line HC!A5:A111"")),"""")"),"")</f>
        <v/>
      </c>
      <c r="M85" s="14" t="str">
        <f>IFERROR(__xludf.DUMMYFUNCTION("IFNA(FILTER(IMPORTRANGE(""https://docs.google.com/spreadsheets/d/1kGrh75X1cNR1D7_FcY9zMnHP8iPO4M5RCRjy6nZY0TY/edit#gid=1248694442"",""Table 3: 1st-line HC!X5:X111""), $A85=IMPORTRANGE(""https://docs.google.com/spreadsheets/d/1kGrh75X1cNR1D7_FcY9zMnHP8iPO4"&amp;"M5RCRjy6nZY0TY/edit#gid=1248694442"",""Table 3: 1st-line HC!A5:A111"")),"""")"),"")</f>
        <v/>
      </c>
      <c r="N85" s="14" t="str">
        <f>IFERROR(__xludf.DUMMYFUNCTION("IFNA(FILTER(IMPORTRANGE(""https://docs.google.com/spreadsheets/d/1kGrh75X1cNR1D7_FcY9zMnHP8iPO4M5RCRjy6nZY0TY/edit#gid=1248694442"",""Table 4: 2nd-line HC or more!C5:C85""), $A85=IMPORTRANGE(""https://docs.google.com/spreadsheets/d/1kGrh75X1cNR1D7_FcY9zMn"&amp;"HP8iPO4M5RCRjy6nZY0TY/edit#gid=1248694442"",""Table 4: 2nd-line HC or more!A5:A85"")),"""")"),"")</f>
        <v/>
      </c>
      <c r="O85" s="14" t="str">
        <f>IFERROR(__xludf.DUMMYFUNCTION("IFNA(FILTER(IMPORTRANGE(""https://docs.google.com/spreadsheets/d/1kGrh75X1cNR1D7_FcY9zMnHP8iPO4M5RCRjy6nZY0TY/edit#gid=1248694442"",""Table 4: 2nd-line HC or more!D5:D85""), $A85=IMPORTRANGE(""https://docs.google.com/spreadsheets/d/1kGrh75X1cNR1D7_FcY9zMn"&amp;"HP8iPO4M5RCRjy6nZY0TY/edit#gid=1248694442"",""Table 4: 2nd-line HC or more!A5:A85"")),"""")"),"")</f>
        <v/>
      </c>
      <c r="P85" s="14" t="str">
        <f>IFERROR(__xludf.DUMMYFUNCTION("IFNA(FILTER(IMPORTRANGE(""https://docs.google.com/spreadsheets/d/1kGrh75X1cNR1D7_FcY9zMnHP8iPO4M5RCRjy6nZY0TY/edit#gid=1248694442"",""Table 4: 2nd-line HC or more!E5:E85""), $A85=IMPORTRANGE(""https://docs.google.com/spreadsheets/d/1kGrh75X1cNR1D7_FcY9zMn"&amp;"HP8iPO4M5RCRjy6nZY0TY/edit#gid=1248694442"",""Table 4: 2nd-line HC or more!A5:A85"")),"""")"),"")</f>
        <v/>
      </c>
      <c r="Q85" s="14" t="str">
        <f>IFERROR(__xludf.DUMMYFUNCTION("IFNA(FILTER(IMPORTRANGE(""https://docs.google.com/spreadsheets/d/1kGrh75X1cNR1D7_FcY9zMnHP8iPO4M5RCRjy6nZY0TY/edit#gid=1248694442"",""Table 4: 2nd-line HC or more!F5:F85""), $A85=IMPORTRANGE(""https://docs.google.com/spreadsheets/d/1kGrh75X1cNR1D7_FcY9zMn"&amp;"HP8iPO4M5RCRjy6nZY0TY/edit#gid=1248694442"",""Table 4: 2nd-line HC or more!A5:A85"")),"""")"),"")</f>
        <v/>
      </c>
      <c r="R85" s="14" t="str">
        <f>IFERROR(__xludf.DUMMYFUNCTION("IFNA(FILTER(IMPORTRANGE(""https://docs.google.com/spreadsheets/d/1kGrh75X1cNR1D7_FcY9zMnHP8iPO4M5RCRjy6nZY0TY/edit#gid=1248694442"",""Table 4: 2nd-line HC or more!G5:G85""), $A85=IMPORTRANGE(""https://docs.google.com/spreadsheets/d/1kGrh75X1cNR1D7_FcY9zMn"&amp;"HP8iPO4M5RCRjy6nZY0TY/edit#gid=1248694442"",""Table 4: 2nd-line HC or more!A5:A85"")),"""")"),"")</f>
        <v/>
      </c>
      <c r="S85" s="14" t="str">
        <f>IFERROR(__xludf.DUMMYFUNCTION("IFNA(FILTER(IMPORTRANGE(""https://docs.google.com/spreadsheets/d/1kGrh75X1cNR1D7_FcY9zMnHP8iPO4M5RCRjy6nZY0TY/edit#gid=1248694442"",""Table 4: 2nd-line HC or more!H5:H85""), $A85=IMPORTRANGE(""https://docs.google.com/spreadsheets/d/1kGrh75X1cNR1D7_FcY9zMn"&amp;"HP8iPO4M5RCRjy6nZY0TY/edit#gid=1248694442"",""Table 4: 2nd-line HC or more!A5:A85"")),"""")"),"")</f>
        <v/>
      </c>
      <c r="T85" s="14" t="str">
        <f>IFERROR(__xludf.DUMMYFUNCTION("IFNA(FILTER(IMPORTRANGE(""https://docs.google.com/spreadsheets/d/1kGrh75X1cNR1D7_FcY9zMnHP8iPO4M5RCRjy6nZY0TY/edit#gid=1248694442"",""Table 3: 1st-line HC!F5:F111""), $A85=IMPORTRANGE(""https://docs.google.com/spreadsheets/d/1kGrh75X1cNR1D7_FcY9zMnHP8iPO4"&amp;"M5RCRjy6nZY0TY/edit#gid=1248694442"",""Table 3: 1st-line HC!A5:A111"")),"""")"),"")</f>
        <v/>
      </c>
      <c r="U85" s="14" t="str">
        <f>IFERROR(__xludf.DUMMYFUNCTION("IFNA(FILTER(IMPORTRANGE(""https://docs.google.com/spreadsheets/d/1kGrh75X1cNR1D7_FcY9zMnHP8iPO4M5RCRjy6nZY0TY/edit#gid=1248694442"",""Table 3: 1st-line HC!G5:G111""), $A85=IMPORTRANGE(""https://docs.google.com/spreadsheets/d/1kGrh75X1cNR1D7_FcY9zMnHP8iPO4"&amp;"M5RCRjy6nZY0TY/edit#gid=1248694442"",""Table 3: 1st-line HC!A5:A111"")),"""")"),"")</f>
        <v/>
      </c>
      <c r="V85" s="14" t="str">
        <f>IFERROR(__xludf.DUMMYFUNCTION("IFNA(FILTER(IMPORTRANGE(""https://docs.google.com/spreadsheets/d/1kGrh75X1cNR1D7_FcY9zMnHP8iPO4M5RCRjy6nZY0TY/edit#gid=1248694442"",""Table 3: 1st-line HC!H5:H111""), $A85=IMPORTRANGE(""https://docs.google.com/spreadsheets/d/1kGrh75X1cNR1D7_FcY9zMnHP8iPO4"&amp;"M5RCRjy6nZY0TY/edit#gid=1248694442"",""Table 3: 1st-line HC!A5:A111"")),"""")"),"")</f>
        <v/>
      </c>
      <c r="W85" s="14" t="str">
        <f>IFERROR(__xludf.DUMMYFUNCTION("IFNA(FILTER(IMPORTRANGE(""https://docs.google.com/spreadsheets/d/1kGrh75X1cNR1D7_FcY9zMnHP8iPO4M5RCRjy6nZY0TY/edit#gid=1248694442"",""Table 3: 1st-line HC!I5:I111""), $A85=IMPORTRANGE(""https://docs.google.com/spreadsheets/d/1kGrh75X1cNR1D7_FcY9zMnHP8iPO4"&amp;"M5RCRjy6nZY0TY/edit#gid=1248694442"",""Table 3: 1st-line HC!A5:A111"")),"""")"),"")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4.38"/>
    <col customWidth="1" min="3" max="3" width="20.13"/>
    <col customWidth="1" min="4" max="4" width="14.13"/>
    <col customWidth="1" min="5" max="5" width="17.5"/>
    <col customWidth="1" min="6" max="6" width="18.5"/>
    <col customWidth="1" min="7" max="7" width="20.63"/>
    <col customWidth="1" min="8" max="13" width="17.5"/>
    <col customWidth="1" min="14" max="14" width="18.88"/>
    <col customWidth="1" min="15" max="15" width="15.13"/>
    <col customWidth="1" min="16" max="16" width="17.63"/>
    <col customWidth="1" min="17" max="17" width="41.63"/>
    <col customWidth="1" min="18" max="23" width="20.0"/>
    <col customWidth="1" min="24" max="29" width="19.5"/>
    <col customWidth="1" min="30" max="30" width="21.0"/>
    <col customWidth="1" min="31" max="36" width="21.13"/>
    <col customWidth="1" min="37" max="37" width="20.5"/>
    <col customWidth="1" min="38" max="38" width="20.13"/>
    <col customWidth="1" min="39" max="39" width="21.38"/>
    <col customWidth="1" min="40" max="43" width="17.25"/>
    <col customWidth="1" min="44" max="44" width="16.5"/>
    <col customWidth="1" min="45" max="45" width="19.38"/>
  </cols>
  <sheetData>
    <row r="1">
      <c r="A1" s="1" t="s">
        <v>134</v>
      </c>
      <c r="B1" s="3" t="s">
        <v>288</v>
      </c>
      <c r="C1" s="3" t="s">
        <v>289</v>
      </c>
      <c r="D1" s="3" t="s">
        <v>290</v>
      </c>
      <c r="E1" s="3" t="s">
        <v>291</v>
      </c>
      <c r="F1" s="3" t="s">
        <v>292</v>
      </c>
      <c r="G1" s="3" t="s">
        <v>293</v>
      </c>
      <c r="H1" s="3" t="s">
        <v>294</v>
      </c>
      <c r="I1" s="3" t="s">
        <v>295</v>
      </c>
      <c r="J1" s="3" t="s">
        <v>296</v>
      </c>
      <c r="K1" s="3" t="s">
        <v>297</v>
      </c>
      <c r="L1" s="3" t="s">
        <v>298</v>
      </c>
      <c r="M1" s="3" t="s">
        <v>299</v>
      </c>
      <c r="N1" s="3" t="s">
        <v>300</v>
      </c>
      <c r="O1" s="3" t="s">
        <v>301</v>
      </c>
      <c r="P1" s="3" t="s">
        <v>302</v>
      </c>
      <c r="Q1" s="2" t="s">
        <v>303</v>
      </c>
      <c r="R1" s="17" t="s">
        <v>304</v>
      </c>
      <c r="S1" s="17" t="s">
        <v>305</v>
      </c>
      <c r="T1" s="17" t="s">
        <v>306</v>
      </c>
      <c r="U1" s="17" t="s">
        <v>307</v>
      </c>
      <c r="V1" s="17" t="s">
        <v>308</v>
      </c>
      <c r="W1" s="17" t="s">
        <v>309</v>
      </c>
      <c r="X1" s="17" t="s">
        <v>310</v>
      </c>
      <c r="Y1" s="17" t="s">
        <v>311</v>
      </c>
      <c r="Z1" s="17" t="s">
        <v>312</v>
      </c>
      <c r="AA1" s="17" t="s">
        <v>313</v>
      </c>
      <c r="AB1" s="17" t="s">
        <v>314</v>
      </c>
      <c r="AC1" s="17" t="s">
        <v>315</v>
      </c>
      <c r="AD1" s="2" t="s">
        <v>316</v>
      </c>
      <c r="AE1" s="3" t="s">
        <v>317</v>
      </c>
      <c r="AF1" s="3" t="s">
        <v>318</v>
      </c>
      <c r="AG1" s="3" t="s">
        <v>319</v>
      </c>
      <c r="AH1" s="3" t="s">
        <v>320</v>
      </c>
      <c r="AI1" s="3" t="s">
        <v>321</v>
      </c>
      <c r="AJ1" s="3" t="s">
        <v>322</v>
      </c>
      <c r="AK1" s="17" t="s">
        <v>323</v>
      </c>
      <c r="AL1" s="17" t="s">
        <v>324</v>
      </c>
      <c r="AM1" s="2" t="s">
        <v>325</v>
      </c>
      <c r="AN1" s="1" t="s">
        <v>326</v>
      </c>
      <c r="AO1" s="1" t="s">
        <v>327</v>
      </c>
      <c r="AP1" s="1" t="s">
        <v>328</v>
      </c>
      <c r="AQ1" s="1" t="s">
        <v>329</v>
      </c>
      <c r="AR1" s="1" t="s">
        <v>330</v>
      </c>
      <c r="AS1" s="1" t="s">
        <v>331</v>
      </c>
      <c r="AT1" s="1" t="s">
        <v>332</v>
      </c>
    </row>
    <row r="2">
      <c r="A2" s="4" t="str">
        <f>IFERROR(__xludf.DUMMYFUNCTION("FILTER(IMPORTRANGE(""https://docs.google.com/spreadsheets/d/1kGrh75X1cNR1D7_FcY9zMnHP8iPO4M5RCRjy6nZY0TY/edit#gid=1248694442"",""Table 1: Study characteristics!A4:A175""),IMPORTRANGE(""https://docs.google.com/spreadsheets/d/1kGrh75X1cNR1D7_FcY9zMnHP8iPO4M"&amp;"5RCRjy6nZY0TY/edit#gid=1248694442"",""Table 1: Study characteristics!D4:D175"")=""Passed"")"),"ID 1")</f>
        <v>ID 1</v>
      </c>
      <c r="B2" s="20" t="str">
        <f>IFERROR(__xludf.DUMMYFUNCTION("IFNA(FILTER(IMPORTRANGE(""https://docs.google.com/spreadsheets/d/1kGrh75X1cNR1D7_FcY9zMnHP8iPO4M5RCRjy6nZY0TY/edit#gid=1248694442"",""Table 3: 1st-line HC!BK5:BK111""), $A2=IMPORTRANGE(""https://docs.google.com/spreadsheets/d/1kGrh75X1cNR1D7_FcY9zMnHP8iPO"&amp;"4M5RCRjy6nZY0TY/edit#gid=1248694442"",""Table 3: 1st-line HC!A5:A111"")),"""")"),"")</f>
        <v/>
      </c>
      <c r="C2" s="20" t="str">
        <f>IFERROR(__xludf.DUMMYFUNCTION("IFNA(FILTER(IMPORTRANGE(""https://docs.google.com/spreadsheets/d/1kGrh75X1cNR1D7_FcY9zMnHP8iPO4M5RCRjy6nZY0TY/edit#gid=1248694442"",""Subgroup 1: Fr ~ Tx!B3:B20""), $A2=IMPORTRANGE(""https://docs.google.com/spreadsheets/d/1kGrh75X1cNR1D7_FcY9zMnHP8iPO4M5R"&amp;"CRjy6nZY0TY/edit#gid=1248694442"",""Subgroup 1: Fr ~ Tx!A3:A20"")),"""")"),"")</f>
        <v/>
      </c>
      <c r="D2" s="20" t="str">
        <f>IFERROR(__xludf.DUMMYFUNCTION("IFNA(FILTER(IMPORTRANGE(""https://docs.google.com/spreadsheets/d/1kGrh75X1cNR1D7_FcY9zMnHP8iPO4M5RCRjy6nZY0TY/edit#gid=1248694442"",""Subgroup 1: Fr ~ Tx!C3:C20""), $A2=IMPORTRANGE(""https://docs.google.com/spreadsheets/d/1kGrh75X1cNR1D7_FcY9zMnHP8iPO4M5R"&amp;"CRjy6nZY0TY/edit#gid=1248694442"",""Subgroup 1: Fr ~ Tx!A3:A20"")),"""")"),"")</f>
        <v/>
      </c>
      <c r="E2" s="20" t="str">
        <f>IFERROR(__xludf.DUMMYFUNCTION("IFNA(FILTER(IMPORTRANGE(""https://docs.google.com/spreadsheets/d/1kGrh75X1cNR1D7_FcY9zMnHP8iPO4M5RCRjy6nZY0TY/edit#gid=1248694442"",""Subgroup 1: Fr ~ Tx!D3:D20""), $A2=IMPORTRANGE(""https://docs.google.com/spreadsheets/d/1kGrh75X1cNR1D7_FcY9zMnHP8iPO4M5R"&amp;"CRjy6nZY0TY/edit#gid=1248694442"",""Subgroup 1: Fr ~ Tx!A3:A20"")),"""")"),"")</f>
        <v/>
      </c>
      <c r="F2" s="20" t="str">
        <f>IFERROR(__xludf.DUMMYFUNCTION("IFNA(FILTER(IMPORTRANGE(""https://docs.google.com/spreadsheets/d/1kGrh75X1cNR1D7_FcY9zMnHP8iPO4M5RCRjy6nZY0TY/edit#gid=1248694442"",""Subgroup 1: Fr ~ Tx!E3:E20""), $A2=IMPORTRANGE(""https://docs.google.com/spreadsheets/d/1kGrh75X1cNR1D7_FcY9zMnHP8iPO4M5R"&amp;"CRjy6nZY0TY/edit#gid=1248694442"",""Subgroup 1: Fr ~ Tx!A3:A20"")),"""")"),"")</f>
        <v/>
      </c>
      <c r="G2" s="20" t="str">
        <f>IFERROR(__xludf.DUMMYFUNCTION("IFNA(FILTER(IMPORTRANGE(""https://docs.google.com/spreadsheets/d/1kGrh75X1cNR1D7_FcY9zMnHP8iPO4M5RCRjy6nZY0TY/edit#gid=1248694442"",""Subgroup 1: Fr ~ Tx!F3:F20""), $A2=IMPORTRANGE(""https://docs.google.com/spreadsheets/d/1kGrh75X1cNR1D7_FcY9zMnHP8iPO4M5R"&amp;"CRjy6nZY0TY/edit#gid=1248694442"",""Subgroup 1: Fr ~ Tx!A3:A20"")),"""")"),"")</f>
        <v/>
      </c>
      <c r="H2" s="20" t="str">
        <f>IFERROR(__xludf.DUMMYFUNCTION("IFNA(FILTER(IMPORTRANGE(""https://docs.google.com/spreadsheets/d/1kGrh75X1cNR1D7_FcY9zMnHP8iPO4M5RCRjy6nZY0TY/edit#gid=1248694442"",""Table 3: 1st-line HC!BD5:BD111""), $A2=IMPORTRANGE(""https://docs.google.com/spreadsheets/d/1kGrh75X1cNR1D7_FcY9zMnHP8iPO"&amp;"4M5RCRjy6nZY0TY/edit#gid=1248694442"",""Table 3: 1st-line HC!A5:A111"")),"""")"),"")</f>
        <v/>
      </c>
      <c r="I2" s="20" t="str">
        <f>IFERROR(__xludf.DUMMYFUNCTION("IFNA(FILTER(IMPORTRANGE(""https://docs.google.com/spreadsheets/d/1kGrh75X1cNR1D7_FcY9zMnHP8iPO4M5RCRjy6nZY0TY/edit#gid=1248694442"",""Subgroup 5: Tf ~ Tx!B3:B8""), $A2=IMPORTRANGE(""https://docs.google.com/spreadsheets/d/1kGrh75X1cNR1D7_FcY9zMnHP8iPO4M5RC"&amp;"Rjy6nZY0TY/edit#gid=1248694442"",""Subgroup 5: Tf ~ Tx!A3:A8"")),"""")"),"")</f>
        <v/>
      </c>
      <c r="J2" s="20" t="str">
        <f>IFERROR(__xludf.DUMMYFUNCTION("IFNA(FILTER(IMPORTRANGE(""https://docs.google.com/spreadsheets/d/1kGrh75X1cNR1D7_FcY9zMnHP8iPO4M5RCRjy6nZY0TY/edit#gid=1248694442"",""Subgroup 5: Tf ~ Tx!C3:C8""), $A2=IMPORTRANGE(""https://docs.google.com/spreadsheets/d/1kGrh75X1cNR1D7_FcY9zMnHP8iPO4M5RC"&amp;"Rjy6nZY0TY/edit#gid=1248694442"",""Subgroup 5: Tf ~ Tx!A3:A8"")),"""")"),"")</f>
        <v/>
      </c>
      <c r="K2" s="20" t="str">
        <f>IFERROR(__xludf.DUMMYFUNCTION("IFNA(FILTER(IMPORTRANGE(""https://docs.google.com/spreadsheets/d/1kGrh75X1cNR1D7_FcY9zMnHP8iPO4M5RCRjy6nZY0TY/edit#gid=1248694442"",""Subgroup 5: Tf ~ Tx!D3:D8""), $A2=IMPORTRANGE(""https://docs.google.com/spreadsheets/d/1kGrh75X1cNR1D7_FcY9zMnHP8iPO4M5RC"&amp;"Rjy6nZY0TY/edit#gid=1248694442"",""Subgroup 5: Tf ~ Tx!A3:A8"")),"""")"),"")</f>
        <v/>
      </c>
      <c r="L2" s="20" t="str">
        <f>IFERROR(__xludf.DUMMYFUNCTION("IFNA(FILTER(IMPORTRANGE(""https://docs.google.com/spreadsheets/d/1kGrh75X1cNR1D7_FcY9zMnHP8iPO4M5RCRjy6nZY0TY/edit#gid=1248694442"",""Subgroup 5: Tf ~ Tx!E3:E8""), $A2=IMPORTRANGE(""https://docs.google.com/spreadsheets/d/1kGrh75X1cNR1D7_FcY9zMnHP8iPO4M5RC"&amp;"Rjy6nZY0TY/edit#gid=1248694442"",""Subgroup 5: Tf ~ Tx!A3:A8"")),"""")"),"")</f>
        <v/>
      </c>
      <c r="M2" s="20" t="str">
        <f>IFERROR(__xludf.DUMMYFUNCTION("IFNA(FILTER(IMPORTRANGE(""https://docs.google.com/spreadsheets/d/1kGrh75X1cNR1D7_FcY9zMnHP8iPO4M5RCRjy6nZY0TY/edit#gid=1248694442"",""Subgroup 5: Tf ~ Tx!F3:F8""), $A2=IMPORTRANGE(""https://docs.google.com/spreadsheets/d/1kGrh75X1cNR1D7_FcY9zMnHP8iPO4M5RC"&amp;"Rjy6nZY0TY/edit#gid=1248694442"",""Subgroup 5: Tf ~ Tx!A3:A8"")),"""")"),"")</f>
        <v/>
      </c>
      <c r="N2" s="20" t="str">
        <f>IFERROR(__xludf.DUMMYFUNCTION("IFNA(FILTER(IMPORTRANGE(""https://docs.google.com/spreadsheets/d/1kGrh75X1cNR1D7_FcY9zMnHP8iPO4M5RCRjy6nZY0TY/edit#gid=1248694442"",""Table 3: 1st-line HC!BE5:BE111""), $A2=IMPORTRANGE(""https://docs.google.com/spreadsheets/d/1kGrh75X1cNR1D7_FcY9zMnHP8iPO"&amp;"4M5RCRjy6nZY0TY/edit#gid=1248694442"",""Table 3: 1st-line HC!A5:A111"")),"""")"),"")</f>
        <v/>
      </c>
      <c r="O2" s="20" t="str">
        <f>IFERROR(__xludf.DUMMYFUNCTION("IFNA(FILTER(IMPORTRANGE(""https://docs.google.com/spreadsheets/d/1kGrh75X1cNR1D7_FcY9zMnHP8iPO4M5RCRjy6nZY0TY/edit#gid=1248694442"",""Table 3: 1st-line HC!BF5:BF111""), $A2=IMPORTRANGE(""https://docs.google.com/spreadsheets/d/1kGrh75X1cNR1D7_FcY9zMnHP8iPO"&amp;"4M5RCRjy6nZY0TY/edit#gid=1248694442"",""Table 3: 1st-line HC!A5:A111"")),"""")"),"")</f>
        <v/>
      </c>
      <c r="P2" s="20" t="str">
        <f>IFERROR(__xludf.DUMMYFUNCTION("IFNA(FILTER(IMPORTRANGE(""https://docs.google.com/spreadsheets/d/1kGrh75X1cNR1D7_FcY9zMnHP8iPO4M5RCRjy6nZY0TY/edit#gid=1248694442"",""Table 3: 1st-line HC!BG5:BG111""), $A2=IMPORTRANGE(""https://docs.google.com/spreadsheets/d/1kGrh75X1cNR1D7_FcY9zMnHP8iPO"&amp;"4M5RCRjy6nZY0TY/edit#gid=1248694442"",""Table 3: 1st-line HC!A5:A111"")),"""")"),"")</f>
        <v/>
      </c>
      <c r="Q2" s="21" t="str">
        <f>IFERROR(__xludf.DUMMYFUNCTION("IFNA(FILTER(IMPORTRANGE(""https://docs.google.com/spreadsheets/d/1kGrh75X1cNR1D7_FcY9zMnHP8iPO4M5RCRjy6nZY0TY/edit#gid=1248694442"",""Table 3: 1st-line HC!BH5:BH111""), $A2=IMPORTRANGE(""https://docs.google.com/spreadsheets/d/1kGrh75X1cNR1D7_FcY9zMnHP8iPO"&amp;"4M5RCRjy6nZY0TY/edit#gid=1248694442"",""Table 3: 1st-line HC!A5:A111"")),"""")"),"")</f>
        <v/>
      </c>
      <c r="R2" s="19" t="str">
        <f>IFERROR(__xludf.DUMMYFUNCTION("IFNA(FILTER(IMPORTRANGE(""https://docs.google.com/spreadsheets/d/1kGrh75X1cNR1D7_FcY9zMnHP8iPO4M5RCRjy6nZY0TY/edit#gid=1248694442"",""Table 3: 1st-line HC!AJ5:AJ111""), $A2=IMPORTRANGE(""https://docs.google.com/spreadsheets/d/1kGrh75X1cNR1D7_FcY9zMnHP8iPO"&amp;"4M5RCRjy6nZY0TY/edit#gid=1248694442"",""Table 3: 1st-line HC!A5:A111"")),"""")"),"")</f>
        <v/>
      </c>
      <c r="S2" s="20" t="str">
        <f>IFERROR(__xludf.DUMMYFUNCTION("IFNA(FILTER(IMPORTRANGE(""https://docs.google.com/spreadsheets/d/1kGrh75X1cNR1D7_FcY9zMnHP8iPO4M5RCRjy6nZY0TY/edit#gid=1248694442"",""Subgroup 3: Mi ~ Tx!B3:B17""), $A2=IMPORTRANGE(""https://docs.google.com/spreadsheets/d/1kGrh75X1cNR1D7_FcY9zMnHP8iPO4M5R"&amp;"CRjy6nZY0TY/edit#gid=1248694442"",""Subgroup 3: Mi ~ Tx!A3:A17"")),"""")"),"")</f>
        <v/>
      </c>
      <c r="T2" s="20" t="str">
        <f>IFERROR(__xludf.DUMMYFUNCTION("IFNA(FILTER(IMPORTRANGE(""https://docs.google.com/spreadsheets/d/1kGrh75X1cNR1D7_FcY9zMnHP8iPO4M5RCRjy6nZY0TY/edit#gid=1248694442"",""Subgroup 3: Mi ~ Tx!C3:C17""), $A2=IMPORTRANGE(""https://docs.google.com/spreadsheets/d/1kGrh75X1cNR1D7_FcY9zMnHP8iPO4M5R"&amp;"CRjy6nZY0TY/edit#gid=1248694442"",""Subgroup 3: Mi ~ Tx!A3:A17"")),"""")"),"")</f>
        <v/>
      </c>
      <c r="U2" s="20" t="str">
        <f>IFERROR(__xludf.DUMMYFUNCTION("IFNA(FILTER(IMPORTRANGE(""https://docs.google.com/spreadsheets/d/1kGrh75X1cNR1D7_FcY9zMnHP8iPO4M5RCRjy6nZY0TY/edit#gid=1248694442"",""Subgroup 3: Mi ~ Tx!D3:D17""), $A2=IMPORTRANGE(""https://docs.google.com/spreadsheets/d/1kGrh75X1cNR1D7_FcY9zMnHP8iPO4M5R"&amp;"CRjy6nZY0TY/edit#gid=1248694442"",""Subgroup 3: Mi ~ Tx!A3:A17"")),"""")"),"")</f>
        <v/>
      </c>
      <c r="V2" s="20" t="str">
        <f>IFERROR(__xludf.DUMMYFUNCTION("IFNA(FILTER(IMPORTRANGE(""https://docs.google.com/spreadsheets/d/1kGrh75X1cNR1D7_FcY9zMnHP8iPO4M5RCRjy6nZY0TY/edit#gid=1248694442"",""Subgroup 3: Mi ~ Tx!E3:E17""), $A2=IMPORTRANGE(""https://docs.google.com/spreadsheets/d/1kGrh75X1cNR1D7_FcY9zMnHP8iPO4M5R"&amp;"CRjy6nZY0TY/edit#gid=1248694442"",""Subgroup 3: Mi ~ Tx!A3:A17"")),"""")"),"")</f>
        <v/>
      </c>
      <c r="W2" s="20" t="str">
        <f>IFERROR(__xludf.DUMMYFUNCTION("IFNA(FILTER(IMPORTRANGE(""https://docs.google.com/spreadsheets/d/1kGrh75X1cNR1D7_FcY9zMnHP8iPO4M5RCRjy6nZY0TY/edit#gid=1248694442"",""Subgroup 3: Mi ~ Tx!F3:F17""), $A2=IMPORTRANGE(""https://docs.google.com/spreadsheets/d/1kGrh75X1cNR1D7_FcY9zMnHP8iPO4M5R"&amp;"CRjy6nZY0TY/edit#gid=1248694442"",""Subgroup 3: Mi ~ Tx!A3:A17"")),"""")"),"")</f>
        <v/>
      </c>
      <c r="X2" s="19" t="str">
        <f>IFERROR(__xludf.DUMMYFUNCTION("IFNA(FILTER(IMPORTRANGE(""https://docs.google.com/spreadsheets/d/1kGrh75X1cNR1D7_FcY9zMnHP8iPO4M5RCRjy6nZY0TY/edit#gid=1248694442"",""Table 3: 1st-line HC!AK5:AK111""), $A2=IMPORTRANGE(""https://docs.google.com/spreadsheets/d/1kGrh75X1cNR1D7_FcY9zMnHP8iPO"&amp;"4M5RCRjy6nZY0TY/edit#gid=1248694442"",""Table 3: 1st-line HC!A5:A111"")),"""")"),"")</f>
        <v/>
      </c>
      <c r="Y2" s="20" t="str">
        <f>IFERROR(__xludf.DUMMYFUNCTION("IFNA(FILTER(IMPORTRANGE(""https://docs.google.com/spreadsheets/d/1kGrh75X1cNR1D7_FcY9zMnHP8iPO4M5RCRjy6nZY0TY/edit#gid=1248694442"",""Subgroup 4: Mp ~ Tx!B3:B20""), $A2=IMPORTRANGE(""https://docs.google.com/spreadsheets/d/1kGrh75X1cNR1D7_FcY9zMnHP8iPO4M5R"&amp;"CRjy6nZY0TY/edit#gid=1248694442"",""Subgroup 4: Mp ~ Tx!A3:A20"")),"""")"),"")</f>
        <v/>
      </c>
      <c r="Z2" s="20" t="str">
        <f>IFERROR(__xludf.DUMMYFUNCTION("IFNA(FILTER(IMPORTRANGE(""https://docs.google.com/spreadsheets/d/1kGrh75X1cNR1D7_FcY9zMnHP8iPO4M5RCRjy6nZY0TY/edit#gid=1248694442"",""Subgroup 4: Mp ~ Tx!C3:C20""), $A2=IMPORTRANGE(""https://docs.google.com/spreadsheets/d/1kGrh75X1cNR1D7_FcY9zMnHP8iPO4M5R"&amp;"CRjy6nZY0TY/edit#gid=1248694442"",""Subgroup 4: Mp ~ Tx!A3:A20"")),"""")"),"")</f>
        <v/>
      </c>
      <c r="AA2" s="20" t="str">
        <f>IFERROR(__xludf.DUMMYFUNCTION("IFNA(FILTER(IMPORTRANGE(""https://docs.google.com/spreadsheets/d/1kGrh75X1cNR1D7_FcY9zMnHP8iPO4M5RCRjy6nZY0TY/edit#gid=1248694442"",""Subgroup 4: Mp ~ Tx!D3:D20""), $A2=IMPORTRANGE(""https://docs.google.com/spreadsheets/d/1kGrh75X1cNR1D7_FcY9zMnHP8iPO4M5R"&amp;"CRjy6nZY0TY/edit#gid=1248694442"",""Subgroup 4: Mp ~ Tx!A3:A20"")),"""")"),"")</f>
        <v/>
      </c>
      <c r="AB2" s="20" t="str">
        <f>IFERROR(__xludf.DUMMYFUNCTION("IFNA(FILTER(IMPORTRANGE(""https://docs.google.com/spreadsheets/d/1kGrh75X1cNR1D7_FcY9zMnHP8iPO4M5RCRjy6nZY0TY/edit#gid=1248694442"",""Subgroup 4: Mp ~ Tx!E3:E20""), $A2=IMPORTRANGE(""https://docs.google.com/spreadsheets/d/1kGrh75X1cNR1D7_FcY9zMnHP8iPO4M5R"&amp;"CRjy6nZY0TY/edit#gid=1248694442"",""Subgroup 4: Mp ~ Tx!A3:A20"")),"""")"),"")</f>
        <v/>
      </c>
      <c r="AC2" s="20" t="str">
        <f>IFERROR(__xludf.DUMMYFUNCTION("IFNA(FILTER(IMPORTRANGE(""https://docs.google.com/spreadsheets/d/1kGrh75X1cNR1D7_FcY9zMnHP8iPO4M5RCRjy6nZY0TY/edit#gid=1248694442"",""Subgroup 4: Mp ~ Tx!F3:F20""), $A2=IMPORTRANGE(""https://docs.google.com/spreadsheets/d/1kGrh75X1cNR1D7_FcY9zMnHP8iPO4M5R"&amp;"CRjy6nZY0TY/edit#gid=1248694442"",""Subgroup 4: Mp ~ Tx!A3:A20"")),"""")"),"")</f>
        <v/>
      </c>
      <c r="AD2" s="22" t="str">
        <f>IFERROR(__xludf.DUMMYFUNCTION("IFNA(FILTER(IMPORTRANGE(""https://docs.google.com/spreadsheets/d/1kGrh75X1cNR1D7_FcY9zMnHP8iPO4M5RCRjy6nZY0TY/edit#gid=1248694442"",""Table 3: 1st-line HC!AL5:AL111""), $A2=IMPORTRANGE(""https://docs.google.com/spreadsheets/d/1kGrh75X1cNR1D7_FcY9zMnHP8iPO"&amp;"4M5RCRjy6nZY0TY/edit#gid=1248694442"",""Table 3: 1st-line HC!A5:A111"")),"""")"),"")</f>
        <v/>
      </c>
      <c r="AE2" s="20" t="str">
        <f>IFERROR(__xludf.DUMMYFUNCTION("IFNA(FILTER(IMPORTRANGE(""https://docs.google.com/spreadsheets/d/1kGrh75X1cNR1D7_FcY9zMnHP8iPO4M5RCRjy6nZY0TY/edit#gid=1248694442"",""Table 3: 1st-line HC!BJ5:BJ111""), $A2=IMPORTRANGE(""https://docs.google.com/spreadsheets/d/1kGrh75X1cNR1D7_FcY9zMnHP8iPO"&amp;"4M5RCRjy6nZY0TY/edit#gid=1248694442"",""Table 3: 1st-line HC!A5:A111"")),"""")"),"")</f>
        <v/>
      </c>
      <c r="AF2" s="20" t="str">
        <f>IFERROR(__xludf.DUMMYFUNCTION("IFNA(FILTER(IMPORTRANGE(""https://docs.google.com/spreadsheets/d/1kGrh75X1cNR1D7_FcY9zMnHP8iPO4M5RCRjy6nZY0TY/edit#gid=1248694442"",""Subgroup 2: Cr ~ Tx!B3:B23""), $A2=IMPORTRANGE(""https://docs.google.com/spreadsheets/d/1kGrh75X1cNR1D7_FcY9zMnHP8iPO4M5R"&amp;"CRjy6nZY0TY/edit#gid=1248694442"",""Subgroup 2: Cr ~ Tx!A3:A23"")),"""")"),"")</f>
        <v/>
      </c>
      <c r="AG2" s="20" t="str">
        <f>IFERROR(__xludf.DUMMYFUNCTION("IFNA(FILTER(IMPORTRANGE(""https://docs.google.com/spreadsheets/d/1kGrh75X1cNR1D7_FcY9zMnHP8iPO4M5RCRjy6nZY0TY/edit#gid=1248694442"",""Subgroup 2: Cr ~ Tx!C3:C23""), $A2=IMPORTRANGE(""https://docs.google.com/spreadsheets/d/1kGrh75X1cNR1D7_FcY9zMnHP8iPO4M5R"&amp;"CRjy6nZY0TY/edit#gid=1248694442"",""Subgroup 2: Cr ~ Tx!A3:A23"")),"""")"),"")</f>
        <v/>
      </c>
      <c r="AH2" s="20" t="str">
        <f>IFERROR(__xludf.DUMMYFUNCTION("IFNA(FILTER(IMPORTRANGE(""https://docs.google.com/spreadsheets/d/1kGrh75X1cNR1D7_FcY9zMnHP8iPO4M5RCRjy6nZY0TY/edit#gid=1248694442"",""Subgroup 2: Cr ~ Tx!D3:D23""), $A2=IMPORTRANGE(""https://docs.google.com/spreadsheets/d/1kGrh75X1cNR1D7_FcY9zMnHP8iPO4M5R"&amp;"CRjy6nZY0TY/edit#gid=1248694442"",""Subgroup 2: Cr ~ Tx!A3:A23"")),"""")"),"")</f>
        <v/>
      </c>
      <c r="AI2" s="20" t="str">
        <f>IFERROR(__xludf.DUMMYFUNCTION("IFNA(FILTER(IMPORTRANGE(""https://docs.google.com/spreadsheets/d/1kGrh75X1cNR1D7_FcY9zMnHP8iPO4M5RCRjy6nZY0TY/edit#gid=1248694442"",""Subgroup 2: Cr ~ Tx!E3:E23""), $A2=IMPORTRANGE(""https://docs.google.com/spreadsheets/d/1kGrh75X1cNR1D7_FcY9zMnHP8iPO4M5R"&amp;"CRjy6nZY0TY/edit#gid=1248694442"",""Subgroup 2: Cr ~ Tx!A3:A23"")),"""")"),"")</f>
        <v/>
      </c>
      <c r="AJ2" s="20" t="str">
        <f>IFERROR(__xludf.DUMMYFUNCTION("IFNA(FILTER(IMPORTRANGE(""https://docs.google.com/spreadsheets/d/1kGrh75X1cNR1D7_FcY9zMnHP8iPO4M5RCRjy6nZY0TY/edit#gid=1248694442"",""Subgroup 2: Cr ~ Tx!F3:F23""), $A2=IMPORTRANGE(""https://docs.google.com/spreadsheets/d/1kGrh75X1cNR1D7_FcY9zMnHP8iPO4M5R"&amp;"CRjy6nZY0TY/edit#gid=1248694442"",""Subgroup 2: Cr ~ Tx!A3:A23"")),"""")"),"")</f>
        <v/>
      </c>
      <c r="AK2" s="14" t="str">
        <f>IFERROR(__xludf.DUMMYFUNCTION("IFNA(FILTER(IMPORTRANGE(""https://docs.google.com/spreadsheets/d/1kGrh75X1cNR1D7_FcY9zMnHP8iPO4M5RCRjy6nZY0TY/edit#gid=1248694442"",""Table 4: 2nd-line HC or more!M5:M85""), $A2=IMPORTRANGE(""https://docs.google.com/spreadsheets/d/1kGrh75X1cNR1D7_FcY9zMnH"&amp;"P8iPO4M5RCRjy6nZY0TY/edit#gid=1248694442"",""Table 4: 2nd-line HC or more!A5:A85"")),"""")"),"")</f>
        <v/>
      </c>
      <c r="AL2" s="14" t="str">
        <f>IFERROR(__xludf.DUMMYFUNCTION("IFNA(FILTER(IMPORTRANGE(""https://docs.google.com/spreadsheets/d/1kGrh75X1cNR1D7_FcY9zMnHP8iPO4M5RCRjy6nZY0TY/edit#gid=1248694442"",""Table 4: 2nd-line HC or more!N5:N85""), $A2=IMPORTRANGE(""https://docs.google.com/spreadsheets/d/1kGrh75X1cNR1D7_FcY9zMnH"&amp;"P8iPO4M5RCRjy6nZY0TY/edit#gid=1248694442"",""Table 4: 2nd-line HC or more!A5:A85"")),"""")"),"")</f>
        <v/>
      </c>
      <c r="AM2" s="14" t="str">
        <f>IFERROR(__xludf.DUMMYFUNCTION("IFNA(FILTER(IMPORTRANGE(""https://docs.google.com/spreadsheets/d/1kGrh75X1cNR1D7_FcY9zMnHP8iPO4M5RCRjy6nZY0TY/edit#gid=1248694442"",""Table 4: 2nd-line HC or more!O5:O85""), $A2=IMPORTRANGE(""https://docs.google.com/spreadsheets/d/1kGrh75X1cNR1D7_FcY9zMnH"&amp;"P8iPO4M5RCRjy6nZY0TY/edit#gid=1248694442"",""Table 4: 2nd-line HC or more!A5:A85"")),"""")"),"")</f>
        <v/>
      </c>
      <c r="AN2" s="14" t="str">
        <f>IFERROR(__xludf.DUMMYFUNCTION("IFNA(FILTER(IMPORTRANGE(""https://docs.google.com/spreadsheets/d/1kGrh75X1cNR1D7_FcY9zMnHP8iPO4M5RCRjy6nZY0TY/edit#gid=1248694442"",""Table 3: 1st-line HC!AP5:AP111""), $A2=IMPORTRANGE(""https://docs.google.com/spreadsheets/d/1kGrh75X1cNR1D7_FcY9zMnHP8iPO"&amp;"4M5RCRjy6nZY0TY/edit#gid=1248694442"",""Table 3: 1st-line HC!A5:A111"")),"""")"),"")</f>
        <v/>
      </c>
      <c r="AO2" s="14" t="str">
        <f>IFERROR(__xludf.DUMMYFUNCTION("IFNA(FILTER(IMPORTRANGE(""https://docs.google.com/spreadsheets/d/1kGrh75X1cNR1D7_FcY9zMnHP8iPO4M5RCRjy6nZY0TY/edit#gid=1248694442"",""Table 3: 1st-line HC!AO5:AO111""), $A2=IMPORTRANGE(""https://docs.google.com/spreadsheets/d/1kGrh75X1cNR1D7_FcY9zMnHP8iPO"&amp;"4M5RCRjy6nZY0TY/edit#gid=1248694442"",""Table 3: 1st-line HC!A5:A111"")),"""")"),"")</f>
        <v/>
      </c>
      <c r="AP2" s="14" t="str">
        <f>IFERROR(__xludf.DUMMYFUNCTION("IFNA(FILTER(IMPORTRANGE(""https://docs.google.com/spreadsheets/d/1kGrh75X1cNR1D7_FcY9zMnHP8iPO4M5RCRjy6nZY0TY/edit#gid=1248694442"",""Table 3: 1st-line HC!AQ5:AQ111""), $A2=IMPORTRANGE(""https://docs.google.com/spreadsheets/d/1kGrh75X1cNR1D7_FcY9zMnHP8iPO"&amp;"4M5RCRjy6nZY0TY/edit#gid=1248694442"",""Table 3: 1st-line HC!A5:A111"")),"""")"),"")</f>
        <v/>
      </c>
      <c r="AQ2" s="14">
        <f>IFERROR(__xludf.DUMMYFUNCTION("IFNA(FILTER(IMPORTRANGE(""https://docs.google.com/spreadsheets/d/1kGrh75X1cNR1D7_FcY9zMnHP8iPO4M5RCRjy6nZY0TY/edit#gid=1248694442"",""Table 2: MMC!T5:T114""), $A2=IMPORTRANGE(""https://docs.google.com/spreadsheets/d/1kGrh75X1cNR1D7_FcY9zMnHP8iPO4M5RCRjy6n"&amp;"ZY0TY/edit#gid=1248694442"",""Table 2: MMC!A5:A114"")),"""")"),39.0)</f>
        <v>39</v>
      </c>
      <c r="AR2" s="14" t="str">
        <f>IFERROR(__xludf.DUMMYFUNCTION("IFNA(FILTER(IMPORTRANGE(""https://docs.google.com/spreadsheets/d/1kGrh75X1cNR1D7_FcY9zMnHP8iPO4M5RCRjy6nZY0TY/edit#gid=1248694442"",""Table 2: MMC!U5:U114""), $A2=IMPORTRANGE(""https://docs.google.com/spreadsheets/d/1kGrh75X1cNR1D7_FcY9zMnHP8iPO4M5RCRjy6n"&amp;"ZY0TY/edit#gid=1248694442"",""Table 2: MMC!A5:A114"")),"""")"),"")</f>
        <v/>
      </c>
      <c r="AS2" s="14" t="str">
        <f>IFERROR(__xludf.DUMMYFUNCTION("IFNA(FILTER(IMPORTRANGE(""https://docs.google.com/spreadsheets/d/1kGrh75X1cNR1D7_FcY9zMnHP8iPO4M5RCRjy6nZY0TY/edit#gid=1248694442"",""Table 2: MMC!V5:V114""), $A2=IMPORTRANGE(""https://docs.google.com/spreadsheets/d/1kGrh75X1cNR1D7_FcY9zMnHP8iPO4M5RCRjy6n"&amp;"ZY0TY/edit#gid=1248694442"",""Table 2: MMC!A5:A114"")),"""")"),"")</f>
        <v/>
      </c>
      <c r="AT2" s="4" t="str">
        <f>IFERROR(__xludf.DUMMYFUNCTION("IFNA(FILTER(IMPORTRANGE(""https://docs.google.com/spreadsheets/d/1kGrh75X1cNR1D7_FcY9zMnHP8iPO4M5RCRjy6nZY0TY/edit#gid=1248694442"",""Table 2: MMC!W5:W114""), $A2=IMPORTRANGE(""https://docs.google.com/spreadsheets/d/1kGrh75X1cNR1D7_FcY9zMnHP8iPO4M5RCRjy6n"&amp;"ZY0TY/edit#gid=1248694442"",""Table 2: MMC!A5:A114"")),"""")"),"")</f>
        <v/>
      </c>
    </row>
    <row r="3">
      <c r="A3" s="4" t="str">
        <f>IFERROR(__xludf.DUMMYFUNCTION("""COMPUTED_VALUE"""),"ID 4")</f>
        <v>ID 4</v>
      </c>
      <c r="B3" s="20" t="str">
        <f>IFERROR(__xludf.DUMMYFUNCTION("IFNA(FILTER(IMPORTRANGE(""https://docs.google.com/spreadsheets/d/1kGrh75X1cNR1D7_FcY9zMnHP8iPO4M5RCRjy6nZY0TY/edit#gid=1248694442"",""Table 3: 1st-line HC!BK5:BK111""), $A3=IMPORTRANGE(""https://docs.google.com/spreadsheets/d/1kGrh75X1cNR1D7_FcY9zMnHP8iPO"&amp;"4M5RCRjy6nZY0TY/edit#gid=1248694442"",""Table 3: 1st-line HC!A5:A111"")),"""")"),"")</f>
        <v/>
      </c>
      <c r="C3" s="20" t="str">
        <f>IFERROR(__xludf.DUMMYFUNCTION("IFNA(FILTER(IMPORTRANGE(""https://docs.google.com/spreadsheets/d/1kGrh75X1cNR1D7_FcY9zMnHP8iPO4M5RCRjy6nZY0TY/edit#gid=1248694442"",""Subgroup 1: Fr ~ Tx!B3:B20""), $A3=IMPORTRANGE(""https://docs.google.com/spreadsheets/d/1kGrh75X1cNR1D7_FcY9zMnHP8iPO4M5R"&amp;"CRjy6nZY0TY/edit#gid=1248694442"",""Subgroup 1: Fr ~ Tx!A3:A20"")),"""")"),"")</f>
        <v/>
      </c>
      <c r="D3" s="20" t="str">
        <f>IFERROR(__xludf.DUMMYFUNCTION("IFNA(FILTER(IMPORTRANGE(""https://docs.google.com/spreadsheets/d/1kGrh75X1cNR1D7_FcY9zMnHP8iPO4M5RCRjy6nZY0TY/edit#gid=1248694442"",""Subgroup 1: Fr ~ Tx!C3:C20""), $A3=IMPORTRANGE(""https://docs.google.com/spreadsheets/d/1kGrh75X1cNR1D7_FcY9zMnHP8iPO4M5R"&amp;"CRjy6nZY0TY/edit#gid=1248694442"",""Subgroup 1: Fr ~ Tx!A3:A20"")),"""")"),"")</f>
        <v/>
      </c>
      <c r="E3" s="20" t="str">
        <f>IFERROR(__xludf.DUMMYFUNCTION("IFNA(FILTER(IMPORTRANGE(""https://docs.google.com/spreadsheets/d/1kGrh75X1cNR1D7_FcY9zMnHP8iPO4M5RCRjy6nZY0TY/edit#gid=1248694442"",""Subgroup 1: Fr ~ Tx!D3:D20""), $A3=IMPORTRANGE(""https://docs.google.com/spreadsheets/d/1kGrh75X1cNR1D7_FcY9zMnHP8iPO4M5R"&amp;"CRjy6nZY0TY/edit#gid=1248694442"",""Subgroup 1: Fr ~ Tx!A3:A20"")),"""")"),"")</f>
        <v/>
      </c>
      <c r="F3" s="20" t="str">
        <f>IFERROR(__xludf.DUMMYFUNCTION("IFNA(FILTER(IMPORTRANGE(""https://docs.google.com/spreadsheets/d/1kGrh75X1cNR1D7_FcY9zMnHP8iPO4M5RCRjy6nZY0TY/edit#gid=1248694442"",""Subgroup 1: Fr ~ Tx!E3:E20""), $A3=IMPORTRANGE(""https://docs.google.com/spreadsheets/d/1kGrh75X1cNR1D7_FcY9zMnHP8iPO4M5R"&amp;"CRjy6nZY0TY/edit#gid=1248694442"",""Subgroup 1: Fr ~ Tx!A3:A20"")),"""")"),"")</f>
        <v/>
      </c>
      <c r="G3" s="20" t="str">
        <f>IFERROR(__xludf.DUMMYFUNCTION("IFNA(FILTER(IMPORTRANGE(""https://docs.google.com/spreadsheets/d/1kGrh75X1cNR1D7_FcY9zMnHP8iPO4M5RCRjy6nZY0TY/edit#gid=1248694442"",""Subgroup 1: Fr ~ Tx!F3:F20""), $A3=IMPORTRANGE(""https://docs.google.com/spreadsheets/d/1kGrh75X1cNR1D7_FcY9zMnHP8iPO4M5R"&amp;"CRjy6nZY0TY/edit#gid=1248694442"",""Subgroup 1: Fr ~ Tx!A3:A20"")),"""")"),"")</f>
        <v/>
      </c>
      <c r="H3" s="20" t="str">
        <f>IFERROR(__xludf.DUMMYFUNCTION("IFNA(FILTER(IMPORTRANGE(""https://docs.google.com/spreadsheets/d/1kGrh75X1cNR1D7_FcY9zMnHP8iPO4M5RCRjy6nZY0TY/edit#gid=1248694442"",""Table 3: 1st-line HC!BD5:BD111""), $A3=IMPORTRANGE(""https://docs.google.com/spreadsheets/d/1kGrh75X1cNR1D7_FcY9zMnHP8iPO"&amp;"4M5RCRjy6nZY0TY/edit#gid=1248694442"",""Table 3: 1st-line HC!A5:A111"")),"""")"),"")</f>
        <v/>
      </c>
      <c r="I3" s="20" t="str">
        <f>IFERROR(__xludf.DUMMYFUNCTION("IFNA(FILTER(IMPORTRANGE(""https://docs.google.com/spreadsheets/d/1kGrh75X1cNR1D7_FcY9zMnHP8iPO4M5RCRjy6nZY0TY/edit#gid=1248694442"",""Subgroup 5: Tf ~ Tx!B3:B8""), $A3=IMPORTRANGE(""https://docs.google.com/spreadsheets/d/1kGrh75X1cNR1D7_FcY9zMnHP8iPO4M5RC"&amp;"Rjy6nZY0TY/edit#gid=1248694442"",""Subgroup 5: Tf ~ Tx!A3:A8"")),"""")"),"")</f>
        <v/>
      </c>
      <c r="J3" s="20" t="str">
        <f>IFERROR(__xludf.DUMMYFUNCTION("IFNA(FILTER(IMPORTRANGE(""https://docs.google.com/spreadsheets/d/1kGrh75X1cNR1D7_FcY9zMnHP8iPO4M5RCRjy6nZY0TY/edit#gid=1248694442"",""Subgroup 5: Tf ~ Tx!C3:C8""), $A3=IMPORTRANGE(""https://docs.google.com/spreadsheets/d/1kGrh75X1cNR1D7_FcY9zMnHP8iPO4M5RC"&amp;"Rjy6nZY0TY/edit#gid=1248694442"",""Subgroup 5: Tf ~ Tx!A3:A8"")),"""")"),"")</f>
        <v/>
      </c>
      <c r="K3" s="20" t="str">
        <f>IFERROR(__xludf.DUMMYFUNCTION("IFNA(FILTER(IMPORTRANGE(""https://docs.google.com/spreadsheets/d/1kGrh75X1cNR1D7_FcY9zMnHP8iPO4M5RCRjy6nZY0TY/edit#gid=1248694442"",""Subgroup 5: Tf ~ Tx!D3:D8""), $A3=IMPORTRANGE(""https://docs.google.com/spreadsheets/d/1kGrh75X1cNR1D7_FcY9zMnHP8iPO4M5RC"&amp;"Rjy6nZY0TY/edit#gid=1248694442"",""Subgroup 5: Tf ~ Tx!A3:A8"")),"""")"),"")</f>
        <v/>
      </c>
      <c r="L3" s="20" t="str">
        <f>IFERROR(__xludf.DUMMYFUNCTION("IFNA(FILTER(IMPORTRANGE(""https://docs.google.com/spreadsheets/d/1kGrh75X1cNR1D7_FcY9zMnHP8iPO4M5RCRjy6nZY0TY/edit#gid=1248694442"",""Subgroup 5: Tf ~ Tx!E3:E8""), $A3=IMPORTRANGE(""https://docs.google.com/spreadsheets/d/1kGrh75X1cNR1D7_FcY9zMnHP8iPO4M5RC"&amp;"Rjy6nZY0TY/edit#gid=1248694442"",""Subgroup 5: Tf ~ Tx!A3:A8"")),"""")"),"")</f>
        <v/>
      </c>
      <c r="M3" s="20" t="str">
        <f>IFERROR(__xludf.DUMMYFUNCTION("IFNA(FILTER(IMPORTRANGE(""https://docs.google.com/spreadsheets/d/1kGrh75X1cNR1D7_FcY9zMnHP8iPO4M5RCRjy6nZY0TY/edit#gid=1248694442"",""Subgroup 5: Tf ~ Tx!F3:F8""), $A3=IMPORTRANGE(""https://docs.google.com/spreadsheets/d/1kGrh75X1cNR1D7_FcY9zMnHP8iPO4M5RC"&amp;"Rjy6nZY0TY/edit#gid=1248694442"",""Subgroup 5: Tf ~ Tx!A3:A8"")),"""")"),"")</f>
        <v/>
      </c>
      <c r="N3" s="20" t="str">
        <f>IFERROR(__xludf.DUMMYFUNCTION("IFNA(FILTER(IMPORTRANGE(""https://docs.google.com/spreadsheets/d/1kGrh75X1cNR1D7_FcY9zMnHP8iPO4M5RCRjy6nZY0TY/edit#gid=1248694442"",""Table 3: 1st-line HC!BE5:BE111""), $A3=IMPORTRANGE(""https://docs.google.com/spreadsheets/d/1kGrh75X1cNR1D7_FcY9zMnHP8iPO"&amp;"4M5RCRjy6nZY0TY/edit#gid=1248694442"",""Table 3: 1st-line HC!A5:A111"")),"""")"),"")</f>
        <v/>
      </c>
      <c r="O3" s="20" t="str">
        <f>IFERROR(__xludf.DUMMYFUNCTION("IFNA(FILTER(IMPORTRANGE(""https://docs.google.com/spreadsheets/d/1kGrh75X1cNR1D7_FcY9zMnHP8iPO4M5RCRjy6nZY0TY/edit#gid=1248694442"",""Table 3: 1st-line HC!BF5:BF111""), $A3=IMPORTRANGE(""https://docs.google.com/spreadsheets/d/1kGrh75X1cNR1D7_FcY9zMnHP8iPO"&amp;"4M5RCRjy6nZY0TY/edit#gid=1248694442"",""Table 3: 1st-line HC!A5:A111"")),"""")"),"")</f>
        <v/>
      </c>
      <c r="P3" s="20" t="str">
        <f>IFERROR(__xludf.DUMMYFUNCTION("IFNA(FILTER(IMPORTRANGE(""https://docs.google.com/spreadsheets/d/1kGrh75X1cNR1D7_FcY9zMnHP8iPO4M5RCRjy6nZY0TY/edit#gid=1248694442"",""Table 3: 1st-line HC!BG5:BG111""), $A3=IMPORTRANGE(""https://docs.google.com/spreadsheets/d/1kGrh75X1cNR1D7_FcY9zMnHP8iPO"&amp;"4M5RCRjy6nZY0TY/edit#gid=1248694442"",""Table 3: 1st-line HC!A5:A111"")),"""")"),"")</f>
        <v/>
      </c>
      <c r="Q3" s="21" t="str">
        <f>IFERROR(__xludf.DUMMYFUNCTION("IFNA(FILTER(IMPORTRANGE(""https://docs.google.com/spreadsheets/d/1kGrh75X1cNR1D7_FcY9zMnHP8iPO4M5RCRjy6nZY0TY/edit#gid=1248694442"",""Table 3: 1st-line HC!BH5:BH111""), $A3=IMPORTRANGE(""https://docs.google.com/spreadsheets/d/1kGrh75X1cNR1D7_FcY9zMnHP8iPO"&amp;"4M5RCRjy6nZY0TY/edit#gid=1248694442"",""Table 3: 1st-line HC!A5:A111"")),"""")"),"")</f>
        <v/>
      </c>
      <c r="R3" s="19">
        <f>IFERROR(__xludf.DUMMYFUNCTION("IFNA(FILTER(IMPORTRANGE(""https://docs.google.com/spreadsheets/d/1kGrh75X1cNR1D7_FcY9zMnHP8iPO4M5RCRjy6nZY0TY/edit#gid=1248694442"",""Table 3: 1st-line HC!AJ5:AJ111""), $A3=IMPORTRANGE(""https://docs.google.com/spreadsheets/d/1kGrh75X1cNR1D7_FcY9zMnHP8iPO"&amp;"4M5RCRjy6nZY0TY/edit#gid=1248694442"",""Table 3: 1st-line HC!A5:A111"")),"""")"),0.0)</f>
        <v>0</v>
      </c>
      <c r="S3" s="20" t="str">
        <f>IFERROR(__xludf.DUMMYFUNCTION("IFNA(FILTER(IMPORTRANGE(""https://docs.google.com/spreadsheets/d/1kGrh75X1cNR1D7_FcY9zMnHP8iPO4M5RCRjy6nZY0TY/edit#gid=1248694442"",""Subgroup 3: Mi ~ Tx!B3:B17""), $A3=IMPORTRANGE(""https://docs.google.com/spreadsheets/d/1kGrh75X1cNR1D7_FcY9zMnHP8iPO4M5R"&amp;"CRjy6nZY0TY/edit#gid=1248694442"",""Subgroup 3: Mi ~ Tx!A3:A17"")),"""")"),"")</f>
        <v/>
      </c>
      <c r="T3" s="20">
        <f>IFERROR(__xludf.DUMMYFUNCTION("IFNA(FILTER(IMPORTRANGE(""https://docs.google.com/spreadsheets/d/1kGrh75X1cNR1D7_FcY9zMnHP8iPO4M5RCRjy6nZY0TY/edit#gid=1248694442"",""Subgroup 3: Mi ~ Tx!C3:C17""), $A3=IMPORTRANGE(""https://docs.google.com/spreadsheets/d/1kGrh75X1cNR1D7_FcY9zMnHP8iPO4M5R"&amp;"CRjy6nZY0TY/edit#gid=1248694442"",""Subgroup 3: Mi ~ Tx!A3:A17"")),"""")"),0.0)</f>
        <v>0</v>
      </c>
      <c r="U3" s="20" t="str">
        <f>IFERROR(__xludf.DUMMYFUNCTION("IFNA(FILTER(IMPORTRANGE(""https://docs.google.com/spreadsheets/d/1kGrh75X1cNR1D7_FcY9zMnHP8iPO4M5RCRjy6nZY0TY/edit#gid=1248694442"",""Subgroup 3: Mi ~ Tx!D3:D17""), $A3=IMPORTRANGE(""https://docs.google.com/spreadsheets/d/1kGrh75X1cNR1D7_FcY9zMnHP8iPO4M5R"&amp;"CRjy6nZY0TY/edit#gid=1248694442"",""Subgroup 3: Mi ~ Tx!A3:A17"")),"""")"),"")</f>
        <v/>
      </c>
      <c r="V3" s="20" t="str">
        <f>IFERROR(__xludf.DUMMYFUNCTION("IFNA(FILTER(IMPORTRANGE(""https://docs.google.com/spreadsheets/d/1kGrh75X1cNR1D7_FcY9zMnHP8iPO4M5RCRjy6nZY0TY/edit#gid=1248694442"",""Subgroup 3: Mi ~ Tx!E3:E17""), $A3=IMPORTRANGE(""https://docs.google.com/spreadsheets/d/1kGrh75X1cNR1D7_FcY9zMnHP8iPO4M5R"&amp;"CRjy6nZY0TY/edit#gid=1248694442"",""Subgroup 3: Mi ~ Tx!A3:A17"")),"""")"),"")</f>
        <v/>
      </c>
      <c r="W3" s="20" t="str">
        <f>IFERROR(__xludf.DUMMYFUNCTION("IFNA(FILTER(IMPORTRANGE(""https://docs.google.com/spreadsheets/d/1kGrh75X1cNR1D7_FcY9zMnHP8iPO4M5RCRjy6nZY0TY/edit#gid=1248694442"",""Subgroup 3: Mi ~ Tx!F3:F17""), $A3=IMPORTRANGE(""https://docs.google.com/spreadsheets/d/1kGrh75X1cNR1D7_FcY9zMnHP8iPO4M5R"&amp;"CRjy6nZY0TY/edit#gid=1248694442"",""Subgroup 3: Mi ~ Tx!A3:A17"")),"""")"),"")</f>
        <v/>
      </c>
      <c r="X3" s="19" t="str">
        <f>IFERROR(__xludf.DUMMYFUNCTION("IFNA(FILTER(IMPORTRANGE(""https://docs.google.com/spreadsheets/d/1kGrh75X1cNR1D7_FcY9zMnHP8iPO4M5RCRjy6nZY0TY/edit#gid=1248694442"",""Table 3: 1st-line HC!AK5:AK111""), $A3=IMPORTRANGE(""https://docs.google.com/spreadsheets/d/1kGrh75X1cNR1D7_FcY9zMnHP8iPO"&amp;"4M5RCRjy6nZY0TY/edit#gid=1248694442"",""Table 3: 1st-line HC!A5:A111"")),"""")"),"")</f>
        <v/>
      </c>
      <c r="Y3" s="20" t="str">
        <f>IFERROR(__xludf.DUMMYFUNCTION("IFNA(FILTER(IMPORTRANGE(""https://docs.google.com/spreadsheets/d/1kGrh75X1cNR1D7_FcY9zMnHP8iPO4M5RCRjy6nZY0TY/edit#gid=1248694442"",""Subgroup 4: Mp ~ Tx!B3:B20""), $A3=IMPORTRANGE(""https://docs.google.com/spreadsheets/d/1kGrh75X1cNR1D7_FcY9zMnHP8iPO4M5R"&amp;"CRjy6nZY0TY/edit#gid=1248694442"",""Subgroup 4: Mp ~ Tx!A3:A20"")),"""")"),"")</f>
        <v/>
      </c>
      <c r="Z3" s="20" t="str">
        <f>IFERROR(__xludf.DUMMYFUNCTION("IFNA(FILTER(IMPORTRANGE(""https://docs.google.com/spreadsheets/d/1kGrh75X1cNR1D7_FcY9zMnHP8iPO4M5RCRjy6nZY0TY/edit#gid=1248694442"",""Subgroup 4: Mp ~ Tx!C3:C20""), $A3=IMPORTRANGE(""https://docs.google.com/spreadsheets/d/1kGrh75X1cNR1D7_FcY9zMnHP8iPO4M5R"&amp;"CRjy6nZY0TY/edit#gid=1248694442"",""Subgroup 4: Mp ~ Tx!A3:A20"")),"""")"),"")</f>
        <v/>
      </c>
      <c r="AA3" s="20" t="str">
        <f>IFERROR(__xludf.DUMMYFUNCTION("IFNA(FILTER(IMPORTRANGE(""https://docs.google.com/spreadsheets/d/1kGrh75X1cNR1D7_FcY9zMnHP8iPO4M5RCRjy6nZY0TY/edit#gid=1248694442"",""Subgroup 4: Mp ~ Tx!D3:D20""), $A3=IMPORTRANGE(""https://docs.google.com/spreadsheets/d/1kGrh75X1cNR1D7_FcY9zMnHP8iPO4M5R"&amp;"CRjy6nZY0TY/edit#gid=1248694442"",""Subgroup 4: Mp ~ Tx!A3:A20"")),"""")"),"")</f>
        <v/>
      </c>
      <c r="AB3" s="20" t="str">
        <f>IFERROR(__xludf.DUMMYFUNCTION("IFNA(FILTER(IMPORTRANGE(""https://docs.google.com/spreadsheets/d/1kGrh75X1cNR1D7_FcY9zMnHP8iPO4M5RCRjy6nZY0TY/edit#gid=1248694442"",""Subgroup 4: Mp ~ Tx!E3:E20""), $A3=IMPORTRANGE(""https://docs.google.com/spreadsheets/d/1kGrh75X1cNR1D7_FcY9zMnHP8iPO4M5R"&amp;"CRjy6nZY0TY/edit#gid=1248694442"",""Subgroup 4: Mp ~ Tx!A3:A20"")),"""")"),"")</f>
        <v/>
      </c>
      <c r="AC3" s="20" t="str">
        <f>IFERROR(__xludf.DUMMYFUNCTION("IFNA(FILTER(IMPORTRANGE(""https://docs.google.com/spreadsheets/d/1kGrh75X1cNR1D7_FcY9zMnHP8iPO4M5RCRjy6nZY0TY/edit#gid=1248694442"",""Subgroup 4: Mp ~ Tx!F3:F20""), $A3=IMPORTRANGE(""https://docs.google.com/spreadsheets/d/1kGrh75X1cNR1D7_FcY9zMnHP8iPO4M5R"&amp;"CRjy6nZY0TY/edit#gid=1248694442"",""Subgroup 4: Mp ~ Tx!A3:A20"")),"""")"),"")</f>
        <v/>
      </c>
      <c r="AD3" s="22" t="str">
        <f>IFERROR(__xludf.DUMMYFUNCTION("IFNA(FILTER(IMPORTRANGE(""https://docs.google.com/spreadsheets/d/1kGrh75X1cNR1D7_FcY9zMnHP8iPO4M5RCRjy6nZY0TY/edit#gid=1248694442"",""Table 3: 1st-line HC!AL5:AL111""), $A3=IMPORTRANGE(""https://docs.google.com/spreadsheets/d/1kGrh75X1cNR1D7_FcY9zMnHP8iPO"&amp;"4M5RCRjy6nZY0TY/edit#gid=1248694442"",""Table 3: 1st-line HC!A5:A111"")),"""")"),"")</f>
        <v/>
      </c>
      <c r="AE3" s="20" t="str">
        <f>IFERROR(__xludf.DUMMYFUNCTION("IFNA(FILTER(IMPORTRANGE(""https://docs.google.com/spreadsheets/d/1kGrh75X1cNR1D7_FcY9zMnHP8iPO4M5RCRjy6nZY0TY/edit#gid=1248694442"",""Table 3: 1st-line HC!BJ5:BJ111""), $A3=IMPORTRANGE(""https://docs.google.com/spreadsheets/d/1kGrh75X1cNR1D7_FcY9zMnHP8iPO"&amp;"4M5RCRjy6nZY0TY/edit#gid=1248694442"",""Table 3: 1st-line HC!A5:A111"")),"""")"),"")</f>
        <v/>
      </c>
      <c r="AF3" s="20" t="str">
        <f>IFERROR(__xludf.DUMMYFUNCTION("IFNA(FILTER(IMPORTRANGE(""https://docs.google.com/spreadsheets/d/1kGrh75X1cNR1D7_FcY9zMnHP8iPO4M5RCRjy6nZY0TY/edit#gid=1248694442"",""Subgroup 2: Cr ~ Tx!B3:B23""), $A3=IMPORTRANGE(""https://docs.google.com/spreadsheets/d/1kGrh75X1cNR1D7_FcY9zMnHP8iPO4M5R"&amp;"CRjy6nZY0TY/edit#gid=1248694442"",""Subgroup 2: Cr ~ Tx!A3:A23"")),"""")"),"")</f>
        <v/>
      </c>
      <c r="AG3" s="20" t="str">
        <f>IFERROR(__xludf.DUMMYFUNCTION("IFNA(FILTER(IMPORTRANGE(""https://docs.google.com/spreadsheets/d/1kGrh75X1cNR1D7_FcY9zMnHP8iPO4M5RCRjy6nZY0TY/edit#gid=1248694442"",""Subgroup 2: Cr ~ Tx!C3:C23""), $A3=IMPORTRANGE(""https://docs.google.com/spreadsheets/d/1kGrh75X1cNR1D7_FcY9zMnHP8iPO4M5R"&amp;"CRjy6nZY0TY/edit#gid=1248694442"",""Subgroup 2: Cr ~ Tx!A3:A23"")),"""")"),"")</f>
        <v/>
      </c>
      <c r="AH3" s="20" t="str">
        <f>IFERROR(__xludf.DUMMYFUNCTION("IFNA(FILTER(IMPORTRANGE(""https://docs.google.com/spreadsheets/d/1kGrh75X1cNR1D7_FcY9zMnHP8iPO4M5RCRjy6nZY0TY/edit#gid=1248694442"",""Subgroup 2: Cr ~ Tx!D3:D23""), $A3=IMPORTRANGE(""https://docs.google.com/spreadsheets/d/1kGrh75X1cNR1D7_FcY9zMnHP8iPO4M5R"&amp;"CRjy6nZY0TY/edit#gid=1248694442"",""Subgroup 2: Cr ~ Tx!A3:A23"")),"""")"),"")</f>
        <v/>
      </c>
      <c r="AI3" s="20" t="str">
        <f>IFERROR(__xludf.DUMMYFUNCTION("IFNA(FILTER(IMPORTRANGE(""https://docs.google.com/spreadsheets/d/1kGrh75X1cNR1D7_FcY9zMnHP8iPO4M5RCRjy6nZY0TY/edit#gid=1248694442"",""Subgroup 2: Cr ~ Tx!E3:E23""), $A3=IMPORTRANGE(""https://docs.google.com/spreadsheets/d/1kGrh75X1cNR1D7_FcY9zMnHP8iPO4M5R"&amp;"CRjy6nZY0TY/edit#gid=1248694442"",""Subgroup 2: Cr ~ Tx!A3:A23"")),"""")"),"")</f>
        <v/>
      </c>
      <c r="AJ3" s="20" t="str">
        <f>IFERROR(__xludf.DUMMYFUNCTION("IFNA(FILTER(IMPORTRANGE(""https://docs.google.com/spreadsheets/d/1kGrh75X1cNR1D7_FcY9zMnHP8iPO4M5RCRjy6nZY0TY/edit#gid=1248694442"",""Subgroup 2: Cr ~ Tx!F3:F23""), $A3=IMPORTRANGE(""https://docs.google.com/spreadsheets/d/1kGrh75X1cNR1D7_FcY9zMnHP8iPO4M5R"&amp;"CRjy6nZY0TY/edit#gid=1248694442"",""Subgroup 2: Cr ~ Tx!A3:A23"")),"""")"),"")</f>
        <v/>
      </c>
      <c r="AK3" s="14" t="str">
        <f>IFERROR(__xludf.DUMMYFUNCTION("IFNA(FILTER(IMPORTRANGE(""https://docs.google.com/spreadsheets/d/1kGrh75X1cNR1D7_FcY9zMnHP8iPO4M5RCRjy6nZY0TY/edit#gid=1248694442"",""Table 4: 2nd-line HC or more!M5:M85""), $A3=IMPORTRANGE(""https://docs.google.com/spreadsheets/d/1kGrh75X1cNR1D7_FcY9zMnH"&amp;"P8iPO4M5RCRjy6nZY0TY/edit#gid=1248694442"",""Table 4: 2nd-line HC or more!A5:A85"")),"""")"),"")</f>
        <v/>
      </c>
      <c r="AL3" s="14" t="str">
        <f>IFERROR(__xludf.DUMMYFUNCTION("IFNA(FILTER(IMPORTRANGE(""https://docs.google.com/spreadsheets/d/1kGrh75X1cNR1D7_FcY9zMnHP8iPO4M5RCRjy6nZY0TY/edit#gid=1248694442"",""Table 4: 2nd-line HC or more!N5:N85""), $A3=IMPORTRANGE(""https://docs.google.com/spreadsheets/d/1kGrh75X1cNR1D7_FcY9zMnH"&amp;"P8iPO4M5RCRjy6nZY0TY/edit#gid=1248694442"",""Table 4: 2nd-line HC or more!A5:A85"")),"""")"),"")</f>
        <v/>
      </c>
      <c r="AM3" s="14" t="str">
        <f>IFERROR(__xludf.DUMMYFUNCTION("IFNA(FILTER(IMPORTRANGE(""https://docs.google.com/spreadsheets/d/1kGrh75X1cNR1D7_FcY9zMnHP8iPO4M5RCRjy6nZY0TY/edit#gid=1248694442"",""Table 4: 2nd-line HC or more!O5:O85""), $A3=IMPORTRANGE(""https://docs.google.com/spreadsheets/d/1kGrh75X1cNR1D7_FcY9zMnH"&amp;"P8iPO4M5RCRjy6nZY0TY/edit#gid=1248694442"",""Table 4: 2nd-line HC or more!A5:A85"")),"""")"),"")</f>
        <v/>
      </c>
      <c r="AN3" s="14" t="str">
        <f>IFERROR(__xludf.DUMMYFUNCTION("IFNA(FILTER(IMPORTRANGE(""https://docs.google.com/spreadsheets/d/1kGrh75X1cNR1D7_FcY9zMnHP8iPO4M5RCRjy6nZY0TY/edit#gid=1248694442"",""Table 3: 1st-line HC!AP5:AP111""), $A3=IMPORTRANGE(""https://docs.google.com/spreadsheets/d/1kGrh75X1cNR1D7_FcY9zMnHP8iPO"&amp;"4M5RCRjy6nZY0TY/edit#gid=1248694442"",""Table 3: 1st-line HC!A5:A111"")),"""")"),"")</f>
        <v/>
      </c>
      <c r="AO3" s="14" t="str">
        <f>IFERROR(__xludf.DUMMYFUNCTION("IFNA(FILTER(IMPORTRANGE(""https://docs.google.com/spreadsheets/d/1kGrh75X1cNR1D7_FcY9zMnHP8iPO4M5RCRjy6nZY0TY/edit#gid=1248694442"",""Table 3: 1st-line HC!AO5:AO111""), $A3=IMPORTRANGE(""https://docs.google.com/spreadsheets/d/1kGrh75X1cNR1D7_FcY9zMnHP8iPO"&amp;"4M5RCRjy6nZY0TY/edit#gid=1248694442"",""Table 3: 1st-line HC!A5:A111"")),"""")"),"")</f>
        <v/>
      </c>
      <c r="AP3" s="14">
        <f>IFERROR(__xludf.DUMMYFUNCTION("IFNA(FILTER(IMPORTRANGE(""https://docs.google.com/spreadsheets/d/1kGrh75X1cNR1D7_FcY9zMnHP8iPO4M5RCRjy6nZY0TY/edit#gid=1248694442"",""Table 3: 1st-line HC!AQ5:AQ111""), $A3=IMPORTRANGE(""https://docs.google.com/spreadsheets/d/1kGrh75X1cNR1D7_FcY9zMnHP8iPO"&amp;"4M5RCRjy6nZY0TY/edit#gid=1248694442"",""Table 3: 1st-line HC!A5:A111"")),"""")"),7.0)</f>
        <v>7</v>
      </c>
      <c r="AQ3" s="14" t="str">
        <f>IFERROR(__xludf.DUMMYFUNCTION("IFNA(FILTER(IMPORTRANGE(""https://docs.google.com/spreadsheets/d/1kGrh75X1cNR1D7_FcY9zMnHP8iPO4M5RCRjy6nZY0TY/edit#gid=1248694442"",""Table 2: MMC!T5:T114""), $A3=IMPORTRANGE(""https://docs.google.com/spreadsheets/d/1kGrh75X1cNR1D7_FcY9zMnHP8iPO4M5RCRjy6n"&amp;"ZY0TY/edit#gid=1248694442"",""Table 2: MMC!A5:A114"")),"""")"),"")</f>
        <v/>
      </c>
      <c r="AR3" s="14" t="str">
        <f>IFERROR(__xludf.DUMMYFUNCTION("IFNA(FILTER(IMPORTRANGE(""https://docs.google.com/spreadsheets/d/1kGrh75X1cNR1D7_FcY9zMnHP8iPO4M5RCRjy6nZY0TY/edit#gid=1248694442"",""Table 2: MMC!U5:U114""), $A3=IMPORTRANGE(""https://docs.google.com/spreadsheets/d/1kGrh75X1cNR1D7_FcY9zMnHP8iPO4M5RCRjy6n"&amp;"ZY0TY/edit#gid=1248694442"",""Table 2: MMC!A5:A114"")),"""")"),"")</f>
        <v/>
      </c>
      <c r="AS3" s="14" t="str">
        <f>IFERROR(__xludf.DUMMYFUNCTION("IFNA(FILTER(IMPORTRANGE(""https://docs.google.com/spreadsheets/d/1kGrh75X1cNR1D7_FcY9zMnHP8iPO4M5RCRjy6nZY0TY/edit#gid=1248694442"",""Table 2: MMC!V5:V114""), $A3=IMPORTRANGE(""https://docs.google.com/spreadsheets/d/1kGrh75X1cNR1D7_FcY9zMnHP8iPO4M5RCRjy6n"&amp;"ZY0TY/edit#gid=1248694442"",""Table 2: MMC!A5:A114"")),"""")"),"")</f>
        <v/>
      </c>
      <c r="AT3" s="4" t="str">
        <f>IFERROR(__xludf.DUMMYFUNCTION("IFNA(FILTER(IMPORTRANGE(""https://docs.google.com/spreadsheets/d/1kGrh75X1cNR1D7_FcY9zMnHP8iPO4M5RCRjy6nZY0TY/edit#gid=1248694442"",""Table 2: MMC!W5:W114""), $A3=IMPORTRANGE(""https://docs.google.com/spreadsheets/d/1kGrh75X1cNR1D7_FcY9zMnHP8iPO4M5RCRjy6n"&amp;"ZY0TY/edit#gid=1248694442"",""Table 2: MMC!A5:A114"")),"""")"),"")</f>
        <v/>
      </c>
    </row>
    <row r="4">
      <c r="A4" s="4" t="str">
        <f>IFERROR(__xludf.DUMMYFUNCTION("""COMPUTED_VALUE"""),"ID 5")</f>
        <v>ID 5</v>
      </c>
      <c r="B4" s="20" t="str">
        <f>IFERROR(__xludf.DUMMYFUNCTION("IFNA(FILTER(IMPORTRANGE(""https://docs.google.com/spreadsheets/d/1kGrh75X1cNR1D7_FcY9zMnHP8iPO4M5RCRjy6nZY0TY/edit#gid=1248694442"",""Table 3: 1st-line HC!BK5:BK111""), $A4=IMPORTRANGE(""https://docs.google.com/spreadsheets/d/1kGrh75X1cNR1D7_FcY9zMnHP8iPO"&amp;"4M5RCRjy6nZY0TY/edit#gid=1248694442"",""Table 3: 1st-line HC!A5:A111"")),"""")"),"")</f>
        <v/>
      </c>
      <c r="C4" s="20" t="str">
        <f>IFERROR(__xludf.DUMMYFUNCTION("IFNA(FILTER(IMPORTRANGE(""https://docs.google.com/spreadsheets/d/1kGrh75X1cNR1D7_FcY9zMnHP8iPO4M5RCRjy6nZY0TY/edit#gid=1248694442"",""Subgroup 1: Fr ~ Tx!B3:B20""), $A4=IMPORTRANGE(""https://docs.google.com/spreadsheets/d/1kGrh75X1cNR1D7_FcY9zMnHP8iPO4M5R"&amp;"CRjy6nZY0TY/edit#gid=1248694442"",""Subgroup 1: Fr ~ Tx!A3:A20"")),"""")"),"")</f>
        <v/>
      </c>
      <c r="D4" s="20" t="str">
        <f>IFERROR(__xludf.DUMMYFUNCTION("IFNA(FILTER(IMPORTRANGE(""https://docs.google.com/spreadsheets/d/1kGrh75X1cNR1D7_FcY9zMnHP8iPO4M5RCRjy6nZY0TY/edit#gid=1248694442"",""Subgroup 1: Fr ~ Tx!C3:C20""), $A4=IMPORTRANGE(""https://docs.google.com/spreadsheets/d/1kGrh75X1cNR1D7_FcY9zMnHP8iPO4M5R"&amp;"CRjy6nZY0TY/edit#gid=1248694442"",""Subgroup 1: Fr ~ Tx!A3:A20"")),"""")"),"")</f>
        <v/>
      </c>
      <c r="E4" s="20" t="str">
        <f>IFERROR(__xludf.DUMMYFUNCTION("IFNA(FILTER(IMPORTRANGE(""https://docs.google.com/spreadsheets/d/1kGrh75X1cNR1D7_FcY9zMnHP8iPO4M5RCRjy6nZY0TY/edit#gid=1248694442"",""Subgroup 1: Fr ~ Tx!D3:D20""), $A4=IMPORTRANGE(""https://docs.google.com/spreadsheets/d/1kGrh75X1cNR1D7_FcY9zMnHP8iPO4M5R"&amp;"CRjy6nZY0TY/edit#gid=1248694442"",""Subgroup 1: Fr ~ Tx!A3:A20"")),"""")"),"")</f>
        <v/>
      </c>
      <c r="F4" s="20" t="str">
        <f>IFERROR(__xludf.DUMMYFUNCTION("IFNA(FILTER(IMPORTRANGE(""https://docs.google.com/spreadsheets/d/1kGrh75X1cNR1D7_FcY9zMnHP8iPO4M5RCRjy6nZY0TY/edit#gid=1248694442"",""Subgroup 1: Fr ~ Tx!E3:E20""), $A4=IMPORTRANGE(""https://docs.google.com/spreadsheets/d/1kGrh75X1cNR1D7_FcY9zMnHP8iPO4M5R"&amp;"CRjy6nZY0TY/edit#gid=1248694442"",""Subgroup 1: Fr ~ Tx!A3:A20"")),"""")"),"")</f>
        <v/>
      </c>
      <c r="G4" s="20" t="str">
        <f>IFERROR(__xludf.DUMMYFUNCTION("IFNA(FILTER(IMPORTRANGE(""https://docs.google.com/spreadsheets/d/1kGrh75X1cNR1D7_FcY9zMnHP8iPO4M5RCRjy6nZY0TY/edit#gid=1248694442"",""Subgroup 1: Fr ~ Tx!F3:F20""), $A4=IMPORTRANGE(""https://docs.google.com/spreadsheets/d/1kGrh75X1cNR1D7_FcY9zMnHP8iPO4M5R"&amp;"CRjy6nZY0TY/edit#gid=1248694442"",""Subgroup 1: Fr ~ Tx!A3:A20"")),"""")"),"")</f>
        <v/>
      </c>
      <c r="H4" s="20" t="str">
        <f>IFERROR(__xludf.DUMMYFUNCTION("IFNA(FILTER(IMPORTRANGE(""https://docs.google.com/spreadsheets/d/1kGrh75X1cNR1D7_FcY9zMnHP8iPO4M5RCRjy6nZY0TY/edit#gid=1248694442"",""Table 3: 1st-line HC!BD5:BD111""), $A4=IMPORTRANGE(""https://docs.google.com/spreadsheets/d/1kGrh75X1cNR1D7_FcY9zMnHP8iPO"&amp;"4M5RCRjy6nZY0TY/edit#gid=1248694442"",""Table 3: 1st-line HC!A5:A111"")),"""")"),"")</f>
        <v/>
      </c>
      <c r="I4" s="20" t="str">
        <f>IFERROR(__xludf.DUMMYFUNCTION("IFNA(FILTER(IMPORTRANGE(""https://docs.google.com/spreadsheets/d/1kGrh75X1cNR1D7_FcY9zMnHP8iPO4M5RCRjy6nZY0TY/edit#gid=1248694442"",""Subgroup 5: Tf ~ Tx!B3:B8""), $A4=IMPORTRANGE(""https://docs.google.com/spreadsheets/d/1kGrh75X1cNR1D7_FcY9zMnHP8iPO4M5RC"&amp;"Rjy6nZY0TY/edit#gid=1248694442"",""Subgroup 5: Tf ~ Tx!A3:A8"")),"""")"),"")</f>
        <v/>
      </c>
      <c r="J4" s="20" t="str">
        <f>IFERROR(__xludf.DUMMYFUNCTION("IFNA(FILTER(IMPORTRANGE(""https://docs.google.com/spreadsheets/d/1kGrh75X1cNR1D7_FcY9zMnHP8iPO4M5RCRjy6nZY0TY/edit#gid=1248694442"",""Subgroup 5: Tf ~ Tx!C3:C8""), $A4=IMPORTRANGE(""https://docs.google.com/spreadsheets/d/1kGrh75X1cNR1D7_FcY9zMnHP8iPO4M5RC"&amp;"Rjy6nZY0TY/edit#gid=1248694442"",""Subgroup 5: Tf ~ Tx!A3:A8"")),"""")"),"")</f>
        <v/>
      </c>
      <c r="K4" s="20" t="str">
        <f>IFERROR(__xludf.DUMMYFUNCTION("IFNA(FILTER(IMPORTRANGE(""https://docs.google.com/spreadsheets/d/1kGrh75X1cNR1D7_FcY9zMnHP8iPO4M5RCRjy6nZY0TY/edit#gid=1248694442"",""Subgroup 5: Tf ~ Tx!D3:D8""), $A4=IMPORTRANGE(""https://docs.google.com/spreadsheets/d/1kGrh75X1cNR1D7_FcY9zMnHP8iPO4M5RC"&amp;"Rjy6nZY0TY/edit#gid=1248694442"",""Subgroup 5: Tf ~ Tx!A3:A8"")),"""")"),"")</f>
        <v/>
      </c>
      <c r="L4" s="20" t="str">
        <f>IFERROR(__xludf.DUMMYFUNCTION("IFNA(FILTER(IMPORTRANGE(""https://docs.google.com/spreadsheets/d/1kGrh75X1cNR1D7_FcY9zMnHP8iPO4M5RCRjy6nZY0TY/edit#gid=1248694442"",""Subgroup 5: Tf ~ Tx!E3:E8""), $A4=IMPORTRANGE(""https://docs.google.com/spreadsheets/d/1kGrh75X1cNR1D7_FcY9zMnHP8iPO4M5RC"&amp;"Rjy6nZY0TY/edit#gid=1248694442"",""Subgroup 5: Tf ~ Tx!A3:A8"")),"""")"),"")</f>
        <v/>
      </c>
      <c r="M4" s="20" t="str">
        <f>IFERROR(__xludf.DUMMYFUNCTION("IFNA(FILTER(IMPORTRANGE(""https://docs.google.com/spreadsheets/d/1kGrh75X1cNR1D7_FcY9zMnHP8iPO4M5RCRjy6nZY0TY/edit#gid=1248694442"",""Subgroup 5: Tf ~ Tx!F3:F8""), $A4=IMPORTRANGE(""https://docs.google.com/spreadsheets/d/1kGrh75X1cNR1D7_FcY9zMnHP8iPO4M5RC"&amp;"Rjy6nZY0TY/edit#gid=1248694442"",""Subgroup 5: Tf ~ Tx!A3:A8"")),"""")"),"")</f>
        <v/>
      </c>
      <c r="N4" s="20" t="str">
        <f>IFERROR(__xludf.DUMMYFUNCTION("IFNA(FILTER(IMPORTRANGE(""https://docs.google.com/spreadsheets/d/1kGrh75X1cNR1D7_FcY9zMnHP8iPO4M5RCRjy6nZY0TY/edit#gid=1248694442"",""Table 3: 1st-line HC!BE5:BE111""), $A4=IMPORTRANGE(""https://docs.google.com/spreadsheets/d/1kGrh75X1cNR1D7_FcY9zMnHP8iPO"&amp;"4M5RCRjy6nZY0TY/edit#gid=1248694442"",""Table 3: 1st-line HC!A5:A111"")),"""")"),"")</f>
        <v/>
      </c>
      <c r="O4" s="20" t="str">
        <f>IFERROR(__xludf.DUMMYFUNCTION("IFNA(FILTER(IMPORTRANGE(""https://docs.google.com/spreadsheets/d/1kGrh75X1cNR1D7_FcY9zMnHP8iPO4M5RCRjy6nZY0TY/edit#gid=1248694442"",""Table 3: 1st-line HC!BF5:BF111""), $A4=IMPORTRANGE(""https://docs.google.com/spreadsheets/d/1kGrh75X1cNR1D7_FcY9zMnHP8iPO"&amp;"4M5RCRjy6nZY0TY/edit#gid=1248694442"",""Table 3: 1st-line HC!A5:A111"")),"""")"),"")</f>
        <v/>
      </c>
      <c r="P4" s="20" t="str">
        <f>IFERROR(__xludf.DUMMYFUNCTION("IFNA(FILTER(IMPORTRANGE(""https://docs.google.com/spreadsheets/d/1kGrh75X1cNR1D7_FcY9zMnHP8iPO4M5RCRjy6nZY0TY/edit#gid=1248694442"",""Table 3: 1st-line HC!BG5:BG111""), $A4=IMPORTRANGE(""https://docs.google.com/spreadsheets/d/1kGrh75X1cNR1D7_FcY9zMnHP8iPO"&amp;"4M5RCRjy6nZY0TY/edit#gid=1248694442"",""Table 3: 1st-line HC!A5:A111"")),"""")"),"")</f>
        <v/>
      </c>
      <c r="Q4" s="21" t="str">
        <f>IFERROR(__xludf.DUMMYFUNCTION("IFNA(FILTER(IMPORTRANGE(""https://docs.google.com/spreadsheets/d/1kGrh75X1cNR1D7_FcY9zMnHP8iPO4M5RCRjy6nZY0TY/edit#gid=1248694442"",""Table 3: 1st-line HC!BH5:BH111""), $A4=IMPORTRANGE(""https://docs.google.com/spreadsheets/d/1kGrh75X1cNR1D7_FcY9zMnHP8iPO"&amp;"4M5RCRjy6nZY0TY/edit#gid=1248694442"",""Table 3: 1st-line HC!A5:A111"")),"""")"),"")</f>
        <v/>
      </c>
      <c r="R4" s="19">
        <f>IFERROR(__xludf.DUMMYFUNCTION("IFNA(FILTER(IMPORTRANGE(""https://docs.google.com/spreadsheets/d/1kGrh75X1cNR1D7_FcY9zMnHP8iPO4M5RCRjy6nZY0TY/edit#gid=1248694442"",""Table 3: 1st-line HC!AJ5:AJ111""), $A4=IMPORTRANGE(""https://docs.google.com/spreadsheets/d/1kGrh75X1cNR1D7_FcY9zMnHP8iPO"&amp;"4M5RCRjy6nZY0TY/edit#gid=1248694442"",""Table 3: 1st-line HC!A5:A111"")),"""")"),0.0)</f>
        <v>0</v>
      </c>
      <c r="S4" s="20" t="str">
        <f>IFERROR(__xludf.DUMMYFUNCTION("IFNA(FILTER(IMPORTRANGE(""https://docs.google.com/spreadsheets/d/1kGrh75X1cNR1D7_FcY9zMnHP8iPO4M5RCRjy6nZY0TY/edit#gid=1248694442"",""Subgroup 3: Mi ~ Tx!B3:B17""), $A4=IMPORTRANGE(""https://docs.google.com/spreadsheets/d/1kGrh75X1cNR1D7_FcY9zMnHP8iPO4M5R"&amp;"CRjy6nZY0TY/edit#gid=1248694442"",""Subgroup 3: Mi ~ Tx!A3:A17"")),"""")"),"")</f>
        <v/>
      </c>
      <c r="T4" s="20">
        <f>IFERROR(__xludf.DUMMYFUNCTION("IFNA(FILTER(IMPORTRANGE(""https://docs.google.com/spreadsheets/d/1kGrh75X1cNR1D7_FcY9zMnHP8iPO4M5RCRjy6nZY0TY/edit#gid=1248694442"",""Subgroup 3: Mi ~ Tx!C3:C17""), $A4=IMPORTRANGE(""https://docs.google.com/spreadsheets/d/1kGrh75X1cNR1D7_FcY9zMnHP8iPO4M5R"&amp;"CRjy6nZY0TY/edit#gid=1248694442"",""Subgroup 3: Mi ~ Tx!A3:A17"")),"""")"),0.0)</f>
        <v>0</v>
      </c>
      <c r="U4" s="20" t="str">
        <f>IFERROR(__xludf.DUMMYFUNCTION("IFNA(FILTER(IMPORTRANGE(""https://docs.google.com/spreadsheets/d/1kGrh75X1cNR1D7_FcY9zMnHP8iPO4M5RCRjy6nZY0TY/edit#gid=1248694442"",""Subgroup 3: Mi ~ Tx!D3:D17""), $A4=IMPORTRANGE(""https://docs.google.com/spreadsheets/d/1kGrh75X1cNR1D7_FcY9zMnHP8iPO4M5R"&amp;"CRjy6nZY0TY/edit#gid=1248694442"",""Subgroup 3: Mi ~ Tx!A3:A17"")),"""")"),"")</f>
        <v/>
      </c>
      <c r="V4" s="20" t="str">
        <f>IFERROR(__xludf.DUMMYFUNCTION("IFNA(FILTER(IMPORTRANGE(""https://docs.google.com/spreadsheets/d/1kGrh75X1cNR1D7_FcY9zMnHP8iPO4M5RCRjy6nZY0TY/edit#gid=1248694442"",""Subgroup 3: Mi ~ Tx!E3:E17""), $A4=IMPORTRANGE(""https://docs.google.com/spreadsheets/d/1kGrh75X1cNR1D7_FcY9zMnHP8iPO4M5R"&amp;"CRjy6nZY0TY/edit#gid=1248694442"",""Subgroup 3: Mi ~ Tx!A3:A17"")),"""")"),"")</f>
        <v/>
      </c>
      <c r="W4" s="20" t="str">
        <f>IFERROR(__xludf.DUMMYFUNCTION("IFNA(FILTER(IMPORTRANGE(""https://docs.google.com/spreadsheets/d/1kGrh75X1cNR1D7_FcY9zMnHP8iPO4M5RCRjy6nZY0TY/edit#gid=1248694442"",""Subgroup 3: Mi ~ Tx!F3:F17""), $A4=IMPORTRANGE(""https://docs.google.com/spreadsheets/d/1kGrh75X1cNR1D7_FcY9zMnHP8iPO4M5R"&amp;"CRjy6nZY0TY/edit#gid=1248694442"",""Subgroup 3: Mi ~ Tx!A3:A17"")),"""")"),"")</f>
        <v/>
      </c>
      <c r="X4" s="19">
        <f>IFERROR(__xludf.DUMMYFUNCTION("IFNA(FILTER(IMPORTRANGE(""https://docs.google.com/spreadsheets/d/1kGrh75X1cNR1D7_FcY9zMnHP8iPO4M5RCRjy6nZY0TY/edit#gid=1248694442"",""Table 3: 1st-line HC!AK5:AK111""), $A4=IMPORTRANGE(""https://docs.google.com/spreadsheets/d/1kGrh75X1cNR1D7_FcY9zMnHP8iPO"&amp;"4M5RCRjy6nZY0TY/edit#gid=1248694442"",""Table 3: 1st-line HC!A5:A111"")),"""")"),0.0)</f>
        <v>0</v>
      </c>
      <c r="Y4" s="20" t="str">
        <f>IFERROR(__xludf.DUMMYFUNCTION("IFNA(FILTER(IMPORTRANGE(""https://docs.google.com/spreadsheets/d/1kGrh75X1cNR1D7_FcY9zMnHP8iPO4M5RCRjy6nZY0TY/edit#gid=1248694442"",""Subgroup 4: Mp ~ Tx!B3:B20""), $A4=IMPORTRANGE(""https://docs.google.com/spreadsheets/d/1kGrh75X1cNR1D7_FcY9zMnHP8iPO4M5R"&amp;"CRjy6nZY0TY/edit#gid=1248694442"",""Subgroup 4: Mp ~ Tx!A3:A20"")),"""")"),"")</f>
        <v/>
      </c>
      <c r="Z4" s="20" t="str">
        <f>IFERROR(__xludf.DUMMYFUNCTION("IFNA(FILTER(IMPORTRANGE(""https://docs.google.com/spreadsheets/d/1kGrh75X1cNR1D7_FcY9zMnHP8iPO4M5RCRjy6nZY0TY/edit#gid=1248694442"",""Subgroup 4: Mp ~ Tx!C3:C20""), $A4=IMPORTRANGE(""https://docs.google.com/spreadsheets/d/1kGrh75X1cNR1D7_FcY9zMnHP8iPO4M5R"&amp;"CRjy6nZY0TY/edit#gid=1248694442"",""Subgroup 4: Mp ~ Tx!A3:A20"")),"""")"),"NA")</f>
        <v>NA</v>
      </c>
      <c r="AA4" s="20" t="str">
        <f>IFERROR(__xludf.DUMMYFUNCTION("IFNA(FILTER(IMPORTRANGE(""https://docs.google.com/spreadsheets/d/1kGrh75X1cNR1D7_FcY9zMnHP8iPO4M5RCRjy6nZY0TY/edit#gid=1248694442"",""Subgroup 4: Mp ~ Tx!D3:D20""), $A4=IMPORTRANGE(""https://docs.google.com/spreadsheets/d/1kGrh75X1cNR1D7_FcY9zMnHP8iPO4M5R"&amp;"CRjy6nZY0TY/edit#gid=1248694442"",""Subgroup 4: Mp ~ Tx!A3:A20"")),"""")"),"")</f>
        <v/>
      </c>
      <c r="AB4" s="20" t="str">
        <f>IFERROR(__xludf.DUMMYFUNCTION("IFNA(FILTER(IMPORTRANGE(""https://docs.google.com/spreadsheets/d/1kGrh75X1cNR1D7_FcY9zMnHP8iPO4M5RCRjy6nZY0TY/edit#gid=1248694442"",""Subgroup 4: Mp ~ Tx!E3:E20""), $A4=IMPORTRANGE(""https://docs.google.com/spreadsheets/d/1kGrh75X1cNR1D7_FcY9zMnHP8iPO4M5R"&amp;"CRjy6nZY0TY/edit#gid=1248694442"",""Subgroup 4: Mp ~ Tx!A3:A20"")),"""")"),"")</f>
        <v/>
      </c>
      <c r="AC4" s="20" t="str">
        <f>IFERROR(__xludf.DUMMYFUNCTION("IFNA(FILTER(IMPORTRANGE(""https://docs.google.com/spreadsheets/d/1kGrh75X1cNR1D7_FcY9zMnHP8iPO4M5RCRjy6nZY0TY/edit#gid=1248694442"",""Subgroup 4: Mp ~ Tx!F3:F20""), $A4=IMPORTRANGE(""https://docs.google.com/spreadsheets/d/1kGrh75X1cNR1D7_FcY9zMnHP8iPO4M5R"&amp;"CRjy6nZY0TY/edit#gid=1248694442"",""Subgroup 4: Mp ~ Tx!A3:A20"")),"""")"),"")</f>
        <v/>
      </c>
      <c r="AD4" s="22" t="str">
        <f>IFERROR(__xludf.DUMMYFUNCTION("IFNA(FILTER(IMPORTRANGE(""https://docs.google.com/spreadsheets/d/1kGrh75X1cNR1D7_FcY9zMnHP8iPO4M5RCRjy6nZY0TY/edit#gid=1248694442"",""Table 3: 1st-line HC!AL5:AL111""), $A4=IMPORTRANGE(""https://docs.google.com/spreadsheets/d/1kGrh75X1cNR1D7_FcY9zMnHP8iPO"&amp;"4M5RCRjy6nZY0TY/edit#gid=1248694442"",""Table 3: 1st-line HC!A5:A111"")),"""")"),"")</f>
        <v/>
      </c>
      <c r="AE4" s="20" t="str">
        <f>IFERROR(__xludf.DUMMYFUNCTION("IFNA(FILTER(IMPORTRANGE(""https://docs.google.com/spreadsheets/d/1kGrh75X1cNR1D7_FcY9zMnHP8iPO4M5RCRjy6nZY0TY/edit#gid=1248694442"",""Table 3: 1st-line HC!BJ5:BJ111""), $A4=IMPORTRANGE(""https://docs.google.com/spreadsheets/d/1kGrh75X1cNR1D7_FcY9zMnHP8iPO"&amp;"4M5RCRjy6nZY0TY/edit#gid=1248694442"",""Table 3: 1st-line HC!A5:A111"")),"""")"),"")</f>
        <v/>
      </c>
      <c r="AF4" s="20" t="str">
        <f>IFERROR(__xludf.DUMMYFUNCTION("IFNA(FILTER(IMPORTRANGE(""https://docs.google.com/spreadsheets/d/1kGrh75X1cNR1D7_FcY9zMnHP8iPO4M5RCRjy6nZY0TY/edit#gid=1248694442"",""Subgroup 2: Cr ~ Tx!B3:B23""), $A4=IMPORTRANGE(""https://docs.google.com/spreadsheets/d/1kGrh75X1cNR1D7_FcY9zMnHP8iPO4M5R"&amp;"CRjy6nZY0TY/edit#gid=1248694442"",""Subgroup 2: Cr ~ Tx!A3:A23"")),"""")"),"")</f>
        <v/>
      </c>
      <c r="AG4" s="20" t="str">
        <f>IFERROR(__xludf.DUMMYFUNCTION("IFNA(FILTER(IMPORTRANGE(""https://docs.google.com/spreadsheets/d/1kGrh75X1cNR1D7_FcY9zMnHP8iPO4M5RCRjy6nZY0TY/edit#gid=1248694442"",""Subgroup 2: Cr ~ Tx!C3:C23""), $A4=IMPORTRANGE(""https://docs.google.com/spreadsheets/d/1kGrh75X1cNR1D7_FcY9zMnHP8iPO4M5R"&amp;"CRjy6nZY0TY/edit#gid=1248694442"",""Subgroup 2: Cr ~ Tx!A3:A23"")),"""")"),"")</f>
        <v/>
      </c>
      <c r="AH4" s="20" t="str">
        <f>IFERROR(__xludf.DUMMYFUNCTION("IFNA(FILTER(IMPORTRANGE(""https://docs.google.com/spreadsheets/d/1kGrh75X1cNR1D7_FcY9zMnHP8iPO4M5RCRjy6nZY0TY/edit#gid=1248694442"",""Subgroup 2: Cr ~ Tx!D3:D23""), $A4=IMPORTRANGE(""https://docs.google.com/spreadsheets/d/1kGrh75X1cNR1D7_FcY9zMnHP8iPO4M5R"&amp;"CRjy6nZY0TY/edit#gid=1248694442"",""Subgroup 2: Cr ~ Tx!A3:A23"")),"""")"),"")</f>
        <v/>
      </c>
      <c r="AI4" s="20" t="str">
        <f>IFERROR(__xludf.DUMMYFUNCTION("IFNA(FILTER(IMPORTRANGE(""https://docs.google.com/spreadsheets/d/1kGrh75X1cNR1D7_FcY9zMnHP8iPO4M5RCRjy6nZY0TY/edit#gid=1248694442"",""Subgroup 2: Cr ~ Tx!E3:E23""), $A4=IMPORTRANGE(""https://docs.google.com/spreadsheets/d/1kGrh75X1cNR1D7_FcY9zMnHP8iPO4M5R"&amp;"CRjy6nZY0TY/edit#gid=1248694442"",""Subgroup 2: Cr ~ Tx!A3:A23"")),"""")"),"")</f>
        <v/>
      </c>
      <c r="AJ4" s="20" t="str">
        <f>IFERROR(__xludf.DUMMYFUNCTION("IFNA(FILTER(IMPORTRANGE(""https://docs.google.com/spreadsheets/d/1kGrh75X1cNR1D7_FcY9zMnHP8iPO4M5RCRjy6nZY0TY/edit#gid=1248694442"",""Subgroup 2: Cr ~ Tx!F3:F23""), $A4=IMPORTRANGE(""https://docs.google.com/spreadsheets/d/1kGrh75X1cNR1D7_FcY9zMnHP8iPO4M5R"&amp;"CRjy6nZY0TY/edit#gid=1248694442"",""Subgroup 2: Cr ~ Tx!A3:A23"")),"""")"),"")</f>
        <v/>
      </c>
      <c r="AK4" s="14" t="str">
        <f>IFERROR(__xludf.DUMMYFUNCTION("IFNA(FILTER(IMPORTRANGE(""https://docs.google.com/spreadsheets/d/1kGrh75X1cNR1D7_FcY9zMnHP8iPO4M5RCRjy6nZY0TY/edit#gid=1248694442"",""Table 4: 2nd-line HC or more!M5:M85""), $A4=IMPORTRANGE(""https://docs.google.com/spreadsheets/d/1kGrh75X1cNR1D7_FcY9zMnH"&amp;"P8iPO4M5RCRjy6nZY0TY/edit#gid=1248694442"",""Table 4: 2nd-line HC or more!A5:A85"")),"""")"),"")</f>
        <v/>
      </c>
      <c r="AL4" s="14" t="str">
        <f>IFERROR(__xludf.DUMMYFUNCTION("IFNA(FILTER(IMPORTRANGE(""https://docs.google.com/spreadsheets/d/1kGrh75X1cNR1D7_FcY9zMnHP8iPO4M5RCRjy6nZY0TY/edit#gid=1248694442"",""Table 4: 2nd-line HC or more!N5:N85""), $A4=IMPORTRANGE(""https://docs.google.com/spreadsheets/d/1kGrh75X1cNR1D7_FcY9zMnH"&amp;"P8iPO4M5RCRjy6nZY0TY/edit#gid=1248694442"",""Table 4: 2nd-line HC or more!A5:A85"")),"""")"),"")</f>
        <v/>
      </c>
      <c r="AM4" s="14" t="str">
        <f>IFERROR(__xludf.DUMMYFUNCTION("IFNA(FILTER(IMPORTRANGE(""https://docs.google.com/spreadsheets/d/1kGrh75X1cNR1D7_FcY9zMnHP8iPO4M5RCRjy6nZY0TY/edit#gid=1248694442"",""Table 4: 2nd-line HC or more!O5:O85""), $A4=IMPORTRANGE(""https://docs.google.com/spreadsheets/d/1kGrh75X1cNR1D7_FcY9zMnH"&amp;"P8iPO4M5RCRjy6nZY0TY/edit#gid=1248694442"",""Table 4: 2nd-line HC or more!A5:A85"")),"""")"),"")</f>
        <v/>
      </c>
      <c r="AN4" s="14" t="str">
        <f>IFERROR(__xludf.DUMMYFUNCTION("IFNA(FILTER(IMPORTRANGE(""https://docs.google.com/spreadsheets/d/1kGrh75X1cNR1D7_FcY9zMnHP8iPO4M5RCRjy6nZY0TY/edit#gid=1248694442"",""Table 3: 1st-line HC!AP5:AP111""), $A4=IMPORTRANGE(""https://docs.google.com/spreadsheets/d/1kGrh75X1cNR1D7_FcY9zMnHP8iPO"&amp;"4M5RCRjy6nZY0TY/edit#gid=1248694442"",""Table 3: 1st-line HC!A5:A111"")),"""")"),"")</f>
        <v/>
      </c>
      <c r="AO4" s="14" t="str">
        <f>IFERROR(__xludf.DUMMYFUNCTION("IFNA(FILTER(IMPORTRANGE(""https://docs.google.com/spreadsheets/d/1kGrh75X1cNR1D7_FcY9zMnHP8iPO4M5RCRjy6nZY0TY/edit#gid=1248694442"",""Table 3: 1st-line HC!AO5:AO111""), $A4=IMPORTRANGE(""https://docs.google.com/spreadsheets/d/1kGrh75X1cNR1D7_FcY9zMnHP8iPO"&amp;"4M5RCRjy6nZY0TY/edit#gid=1248694442"",""Table 3: 1st-line HC!A5:A111"")),"""")"),"")</f>
        <v/>
      </c>
      <c r="AP4" s="14" t="str">
        <f>IFERROR(__xludf.DUMMYFUNCTION("IFNA(FILTER(IMPORTRANGE(""https://docs.google.com/spreadsheets/d/1kGrh75X1cNR1D7_FcY9zMnHP8iPO4M5RCRjy6nZY0TY/edit#gid=1248694442"",""Table 3: 1st-line HC!AQ5:AQ111""), $A4=IMPORTRANGE(""https://docs.google.com/spreadsheets/d/1kGrh75X1cNR1D7_FcY9zMnHP8iPO"&amp;"4M5RCRjy6nZY0TY/edit#gid=1248694442"",""Table 3: 1st-line HC!A5:A111"")),"""")"),"")</f>
        <v/>
      </c>
      <c r="AQ4" s="14" t="str">
        <f>IFERROR(__xludf.DUMMYFUNCTION("IFNA(FILTER(IMPORTRANGE(""https://docs.google.com/spreadsheets/d/1kGrh75X1cNR1D7_FcY9zMnHP8iPO4M5RCRjy6nZY0TY/edit#gid=1248694442"",""Table 2: MMC!T5:T114""), $A4=IMPORTRANGE(""https://docs.google.com/spreadsheets/d/1kGrh75X1cNR1D7_FcY9zMnHP8iPO4M5RCRjy6n"&amp;"ZY0TY/edit#gid=1248694442"",""Table 2: MMC!A5:A114"")),"""")"),"")</f>
        <v/>
      </c>
      <c r="AR4" s="14">
        <f>IFERROR(__xludf.DUMMYFUNCTION("IFNA(FILTER(IMPORTRANGE(""https://docs.google.com/spreadsheets/d/1kGrh75X1cNR1D7_FcY9zMnHP8iPO4M5RCRjy6nZY0TY/edit#gid=1248694442"",""Table 2: MMC!U5:U114""), $A4=IMPORTRANGE(""https://docs.google.com/spreadsheets/d/1kGrh75X1cNR1D7_FcY9zMnHP8iPO4M5RCRjy6n"&amp;"ZY0TY/edit#gid=1248694442"",""Table 2: MMC!A5:A114"")),"""")"),6.0)</f>
        <v>6</v>
      </c>
      <c r="AS4" s="14">
        <f>IFERROR(__xludf.DUMMYFUNCTION("IFNA(FILTER(IMPORTRANGE(""https://docs.google.com/spreadsheets/d/1kGrh75X1cNR1D7_FcY9zMnHP8iPO4M5RCRjy6nZY0TY/edit#gid=1248694442"",""Table 2: MMC!V5:V114""), $A4=IMPORTRANGE(""https://docs.google.com/spreadsheets/d/1kGrh75X1cNR1D7_FcY9zMnHP8iPO4M5RCRjy6n"&amp;"ZY0TY/edit#gid=1248694442"",""Table 2: MMC!A5:A114"")),"""")"),14.0)</f>
        <v>14</v>
      </c>
      <c r="AT4" s="4" t="str">
        <f>IFERROR(__xludf.DUMMYFUNCTION("IFNA(FILTER(IMPORTRANGE(""https://docs.google.com/spreadsheets/d/1kGrh75X1cNR1D7_FcY9zMnHP8iPO4M5RCRjy6nZY0TY/edit#gid=1248694442"",""Table 2: MMC!W5:W114""), $A4=IMPORTRANGE(""https://docs.google.com/spreadsheets/d/1kGrh75X1cNR1D7_FcY9zMnHP8iPO4M5RCRjy6n"&amp;"ZY0TY/edit#gid=1248694442"",""Table 2: MMC!A5:A114"")),"""")"),"")</f>
        <v/>
      </c>
    </row>
    <row r="5">
      <c r="A5" s="4" t="str">
        <f>IFERROR(__xludf.DUMMYFUNCTION("""COMPUTED_VALUE"""),"ID 6")</f>
        <v>ID 6</v>
      </c>
      <c r="B5" s="20" t="str">
        <f>IFERROR(__xludf.DUMMYFUNCTION("IFNA(FILTER(IMPORTRANGE(""https://docs.google.com/spreadsheets/d/1kGrh75X1cNR1D7_FcY9zMnHP8iPO4M5RCRjy6nZY0TY/edit#gid=1248694442"",""Table 3: 1st-line HC!BK5:BK111""), $A5=IMPORTRANGE(""https://docs.google.com/spreadsheets/d/1kGrh75X1cNR1D7_FcY9zMnHP8iPO"&amp;"4M5RCRjy6nZY0TY/edit#gid=1248694442"",""Table 3: 1st-line HC!A5:A111"")),"""")"),"")</f>
        <v/>
      </c>
      <c r="C5" s="20" t="str">
        <f>IFERROR(__xludf.DUMMYFUNCTION("IFNA(FILTER(IMPORTRANGE(""https://docs.google.com/spreadsheets/d/1kGrh75X1cNR1D7_FcY9zMnHP8iPO4M5RCRjy6nZY0TY/edit#gid=1248694442"",""Subgroup 1: Fr ~ Tx!B3:B20""), $A5=IMPORTRANGE(""https://docs.google.com/spreadsheets/d/1kGrh75X1cNR1D7_FcY9zMnHP8iPO4M5R"&amp;"CRjy6nZY0TY/edit#gid=1248694442"",""Subgroup 1: Fr ~ Tx!A3:A20"")),"""")"),"")</f>
        <v/>
      </c>
      <c r="D5" s="20" t="str">
        <f>IFERROR(__xludf.DUMMYFUNCTION("IFNA(FILTER(IMPORTRANGE(""https://docs.google.com/spreadsheets/d/1kGrh75X1cNR1D7_FcY9zMnHP8iPO4M5RCRjy6nZY0TY/edit#gid=1248694442"",""Subgroup 1: Fr ~ Tx!C3:C20""), $A5=IMPORTRANGE(""https://docs.google.com/spreadsheets/d/1kGrh75X1cNR1D7_FcY9zMnHP8iPO4M5R"&amp;"CRjy6nZY0TY/edit#gid=1248694442"",""Subgroup 1: Fr ~ Tx!A3:A20"")),"""")"),"")</f>
        <v/>
      </c>
      <c r="E5" s="20" t="str">
        <f>IFERROR(__xludf.DUMMYFUNCTION("IFNA(FILTER(IMPORTRANGE(""https://docs.google.com/spreadsheets/d/1kGrh75X1cNR1D7_FcY9zMnHP8iPO4M5RCRjy6nZY0TY/edit#gid=1248694442"",""Subgroup 1: Fr ~ Tx!D3:D20""), $A5=IMPORTRANGE(""https://docs.google.com/spreadsheets/d/1kGrh75X1cNR1D7_FcY9zMnHP8iPO4M5R"&amp;"CRjy6nZY0TY/edit#gid=1248694442"",""Subgroup 1: Fr ~ Tx!A3:A20"")),"""")"),"")</f>
        <v/>
      </c>
      <c r="F5" s="20" t="str">
        <f>IFERROR(__xludf.DUMMYFUNCTION("IFNA(FILTER(IMPORTRANGE(""https://docs.google.com/spreadsheets/d/1kGrh75X1cNR1D7_FcY9zMnHP8iPO4M5RCRjy6nZY0TY/edit#gid=1248694442"",""Subgroup 1: Fr ~ Tx!E3:E20""), $A5=IMPORTRANGE(""https://docs.google.com/spreadsheets/d/1kGrh75X1cNR1D7_FcY9zMnHP8iPO4M5R"&amp;"CRjy6nZY0TY/edit#gid=1248694442"",""Subgroup 1: Fr ~ Tx!A3:A20"")),"""")"),"")</f>
        <v/>
      </c>
      <c r="G5" s="20" t="str">
        <f>IFERROR(__xludf.DUMMYFUNCTION("IFNA(FILTER(IMPORTRANGE(""https://docs.google.com/spreadsheets/d/1kGrh75X1cNR1D7_FcY9zMnHP8iPO4M5RCRjy6nZY0TY/edit#gid=1248694442"",""Subgroup 1: Fr ~ Tx!F3:F20""), $A5=IMPORTRANGE(""https://docs.google.com/spreadsheets/d/1kGrh75X1cNR1D7_FcY9zMnHP8iPO4M5R"&amp;"CRjy6nZY0TY/edit#gid=1248694442"",""Subgroup 1: Fr ~ Tx!A3:A20"")),"""")"),"")</f>
        <v/>
      </c>
      <c r="H5" s="20" t="str">
        <f>IFERROR(__xludf.DUMMYFUNCTION("IFNA(FILTER(IMPORTRANGE(""https://docs.google.com/spreadsheets/d/1kGrh75X1cNR1D7_FcY9zMnHP8iPO4M5RCRjy6nZY0TY/edit#gid=1248694442"",""Table 3: 1st-line HC!BD5:BD111""), $A5=IMPORTRANGE(""https://docs.google.com/spreadsheets/d/1kGrh75X1cNR1D7_FcY9zMnHP8iPO"&amp;"4M5RCRjy6nZY0TY/edit#gid=1248694442"",""Table 3: 1st-line HC!A5:A111"")),"""")"),"")</f>
        <v/>
      </c>
      <c r="I5" s="20" t="str">
        <f>IFERROR(__xludf.DUMMYFUNCTION("IFNA(FILTER(IMPORTRANGE(""https://docs.google.com/spreadsheets/d/1kGrh75X1cNR1D7_FcY9zMnHP8iPO4M5RCRjy6nZY0TY/edit#gid=1248694442"",""Subgroup 5: Tf ~ Tx!B3:B8""), $A5=IMPORTRANGE(""https://docs.google.com/spreadsheets/d/1kGrh75X1cNR1D7_FcY9zMnHP8iPO4M5RC"&amp;"Rjy6nZY0TY/edit#gid=1248694442"",""Subgroup 5: Tf ~ Tx!A3:A8"")),"""")"),"")</f>
        <v/>
      </c>
      <c r="J5" s="20" t="str">
        <f>IFERROR(__xludf.DUMMYFUNCTION("IFNA(FILTER(IMPORTRANGE(""https://docs.google.com/spreadsheets/d/1kGrh75X1cNR1D7_FcY9zMnHP8iPO4M5RCRjy6nZY0TY/edit#gid=1248694442"",""Subgroup 5: Tf ~ Tx!C3:C8""), $A5=IMPORTRANGE(""https://docs.google.com/spreadsheets/d/1kGrh75X1cNR1D7_FcY9zMnHP8iPO4M5RC"&amp;"Rjy6nZY0TY/edit#gid=1248694442"",""Subgroup 5: Tf ~ Tx!A3:A8"")),"""")"),"")</f>
        <v/>
      </c>
      <c r="K5" s="20" t="str">
        <f>IFERROR(__xludf.DUMMYFUNCTION("IFNA(FILTER(IMPORTRANGE(""https://docs.google.com/spreadsheets/d/1kGrh75X1cNR1D7_FcY9zMnHP8iPO4M5RCRjy6nZY0TY/edit#gid=1248694442"",""Subgroup 5: Tf ~ Tx!D3:D8""), $A5=IMPORTRANGE(""https://docs.google.com/spreadsheets/d/1kGrh75X1cNR1D7_FcY9zMnHP8iPO4M5RC"&amp;"Rjy6nZY0TY/edit#gid=1248694442"",""Subgroup 5: Tf ~ Tx!A3:A8"")),"""")"),"")</f>
        <v/>
      </c>
      <c r="L5" s="20" t="str">
        <f>IFERROR(__xludf.DUMMYFUNCTION("IFNA(FILTER(IMPORTRANGE(""https://docs.google.com/spreadsheets/d/1kGrh75X1cNR1D7_FcY9zMnHP8iPO4M5RCRjy6nZY0TY/edit#gid=1248694442"",""Subgroup 5: Tf ~ Tx!E3:E8""), $A5=IMPORTRANGE(""https://docs.google.com/spreadsheets/d/1kGrh75X1cNR1D7_FcY9zMnHP8iPO4M5RC"&amp;"Rjy6nZY0TY/edit#gid=1248694442"",""Subgroup 5: Tf ~ Tx!A3:A8"")),"""")"),"")</f>
        <v/>
      </c>
      <c r="M5" s="20" t="str">
        <f>IFERROR(__xludf.DUMMYFUNCTION("IFNA(FILTER(IMPORTRANGE(""https://docs.google.com/spreadsheets/d/1kGrh75X1cNR1D7_FcY9zMnHP8iPO4M5RCRjy6nZY0TY/edit#gid=1248694442"",""Subgroup 5: Tf ~ Tx!F3:F8""), $A5=IMPORTRANGE(""https://docs.google.com/spreadsheets/d/1kGrh75X1cNR1D7_FcY9zMnHP8iPO4M5RC"&amp;"Rjy6nZY0TY/edit#gid=1248694442"",""Subgroup 5: Tf ~ Tx!A3:A8"")),"""")"),"")</f>
        <v/>
      </c>
      <c r="N5" s="20" t="str">
        <f>IFERROR(__xludf.DUMMYFUNCTION("IFNA(FILTER(IMPORTRANGE(""https://docs.google.com/spreadsheets/d/1kGrh75X1cNR1D7_FcY9zMnHP8iPO4M5RCRjy6nZY0TY/edit#gid=1248694442"",""Table 3: 1st-line HC!BE5:BE111""), $A5=IMPORTRANGE(""https://docs.google.com/spreadsheets/d/1kGrh75X1cNR1D7_FcY9zMnHP8iPO"&amp;"4M5RCRjy6nZY0TY/edit#gid=1248694442"",""Table 3: 1st-line HC!A5:A111"")),"""")"),"")</f>
        <v/>
      </c>
      <c r="O5" s="20" t="str">
        <f>IFERROR(__xludf.DUMMYFUNCTION("IFNA(FILTER(IMPORTRANGE(""https://docs.google.com/spreadsheets/d/1kGrh75X1cNR1D7_FcY9zMnHP8iPO4M5RCRjy6nZY0TY/edit#gid=1248694442"",""Table 3: 1st-line HC!BF5:BF111""), $A5=IMPORTRANGE(""https://docs.google.com/spreadsheets/d/1kGrh75X1cNR1D7_FcY9zMnHP8iPO"&amp;"4M5RCRjy6nZY0TY/edit#gid=1248694442"",""Table 3: 1st-line HC!A5:A111"")),"""")"),"")</f>
        <v/>
      </c>
      <c r="P5" s="20" t="str">
        <f>IFERROR(__xludf.DUMMYFUNCTION("IFNA(FILTER(IMPORTRANGE(""https://docs.google.com/spreadsheets/d/1kGrh75X1cNR1D7_FcY9zMnHP8iPO4M5RCRjy6nZY0TY/edit#gid=1248694442"",""Table 3: 1st-line HC!BG5:BG111""), $A5=IMPORTRANGE(""https://docs.google.com/spreadsheets/d/1kGrh75X1cNR1D7_FcY9zMnHP8iPO"&amp;"4M5RCRjy6nZY0TY/edit#gid=1248694442"",""Table 3: 1st-line HC!A5:A111"")),"""")"),"")</f>
        <v/>
      </c>
      <c r="Q5" s="21" t="str">
        <f>IFERROR(__xludf.DUMMYFUNCTION("IFNA(FILTER(IMPORTRANGE(""https://docs.google.com/spreadsheets/d/1kGrh75X1cNR1D7_FcY9zMnHP8iPO4M5RCRjy6nZY0TY/edit#gid=1248694442"",""Table 3: 1st-line HC!BH5:BH111""), $A5=IMPORTRANGE(""https://docs.google.com/spreadsheets/d/1kGrh75X1cNR1D7_FcY9zMnHP8iPO"&amp;"4M5RCRjy6nZY0TY/edit#gid=1248694442"",""Table 3: 1st-line HC!A5:A111"")),"""")"),"")</f>
        <v/>
      </c>
      <c r="R5" s="19">
        <f>IFERROR(__xludf.DUMMYFUNCTION("IFNA(FILTER(IMPORTRANGE(""https://docs.google.com/spreadsheets/d/1kGrh75X1cNR1D7_FcY9zMnHP8iPO4M5RCRjy6nZY0TY/edit#gid=1248694442"",""Table 3: 1st-line HC!AJ5:AJ111""), $A5=IMPORTRANGE(""https://docs.google.com/spreadsheets/d/1kGrh75X1cNR1D7_FcY9zMnHP8iPO"&amp;"4M5RCRjy6nZY0TY/edit#gid=1248694442"",""Table 3: 1st-line HC!A5:A111"")),"""")"),0.0)</f>
        <v>0</v>
      </c>
      <c r="S5" s="20" t="str">
        <f>IFERROR(__xludf.DUMMYFUNCTION("IFNA(FILTER(IMPORTRANGE(""https://docs.google.com/spreadsheets/d/1kGrh75X1cNR1D7_FcY9zMnHP8iPO4M5RCRjy6nZY0TY/edit#gid=1248694442"",""Subgroup 3: Mi ~ Tx!B3:B17""), $A5=IMPORTRANGE(""https://docs.google.com/spreadsheets/d/1kGrh75X1cNR1D7_FcY9zMnHP8iPO4M5R"&amp;"CRjy6nZY0TY/edit#gid=1248694442"",""Subgroup 3: Mi ~ Tx!A3:A17"")),"""")"),"")</f>
        <v/>
      </c>
      <c r="T5" s="20">
        <f>IFERROR(__xludf.DUMMYFUNCTION("IFNA(FILTER(IMPORTRANGE(""https://docs.google.com/spreadsheets/d/1kGrh75X1cNR1D7_FcY9zMnHP8iPO4M5RCRjy6nZY0TY/edit#gid=1248694442"",""Subgroup 3: Mi ~ Tx!C3:C17""), $A5=IMPORTRANGE(""https://docs.google.com/spreadsheets/d/1kGrh75X1cNR1D7_FcY9zMnHP8iPO4M5R"&amp;"CRjy6nZY0TY/edit#gid=1248694442"",""Subgroup 3: Mi ~ Tx!A3:A17"")),"""")"),0.0)</f>
        <v>0</v>
      </c>
      <c r="U5" s="20" t="str">
        <f>IFERROR(__xludf.DUMMYFUNCTION("IFNA(FILTER(IMPORTRANGE(""https://docs.google.com/spreadsheets/d/1kGrh75X1cNR1D7_FcY9zMnHP8iPO4M5RCRjy6nZY0TY/edit#gid=1248694442"",""Subgroup 3: Mi ~ Tx!D3:D17""), $A5=IMPORTRANGE(""https://docs.google.com/spreadsheets/d/1kGrh75X1cNR1D7_FcY9zMnHP8iPO4M5R"&amp;"CRjy6nZY0TY/edit#gid=1248694442"",""Subgroup 3: Mi ~ Tx!A3:A17"")),"""")"),"")</f>
        <v/>
      </c>
      <c r="V5" s="20" t="str">
        <f>IFERROR(__xludf.DUMMYFUNCTION("IFNA(FILTER(IMPORTRANGE(""https://docs.google.com/spreadsheets/d/1kGrh75X1cNR1D7_FcY9zMnHP8iPO4M5RCRjy6nZY0TY/edit#gid=1248694442"",""Subgroup 3: Mi ~ Tx!E3:E17""), $A5=IMPORTRANGE(""https://docs.google.com/spreadsheets/d/1kGrh75X1cNR1D7_FcY9zMnHP8iPO4M5R"&amp;"CRjy6nZY0TY/edit#gid=1248694442"",""Subgroup 3: Mi ~ Tx!A3:A17"")),"""")"),"")</f>
        <v/>
      </c>
      <c r="W5" s="20" t="str">
        <f>IFERROR(__xludf.DUMMYFUNCTION("IFNA(FILTER(IMPORTRANGE(""https://docs.google.com/spreadsheets/d/1kGrh75X1cNR1D7_FcY9zMnHP8iPO4M5RCRjy6nZY0TY/edit#gid=1248694442"",""Subgroup 3: Mi ~ Tx!F3:F17""), $A5=IMPORTRANGE(""https://docs.google.com/spreadsheets/d/1kGrh75X1cNR1D7_FcY9zMnHP8iPO4M5R"&amp;"CRjy6nZY0TY/edit#gid=1248694442"",""Subgroup 3: Mi ~ Tx!A3:A17"")),"""")"),"")</f>
        <v/>
      </c>
      <c r="X5" s="19">
        <f>IFERROR(__xludf.DUMMYFUNCTION("IFNA(FILTER(IMPORTRANGE(""https://docs.google.com/spreadsheets/d/1kGrh75X1cNR1D7_FcY9zMnHP8iPO4M5RCRjy6nZY0TY/edit#gid=1248694442"",""Table 3: 1st-line HC!AK5:AK111""), $A5=IMPORTRANGE(""https://docs.google.com/spreadsheets/d/1kGrh75X1cNR1D7_FcY9zMnHP8iPO"&amp;"4M5RCRjy6nZY0TY/edit#gid=1248694442"",""Table 3: 1st-line HC!A5:A111"")),"""")"),0.0)</f>
        <v>0</v>
      </c>
      <c r="Y5" s="20" t="str">
        <f>IFERROR(__xludf.DUMMYFUNCTION("IFNA(FILTER(IMPORTRANGE(""https://docs.google.com/spreadsheets/d/1kGrh75X1cNR1D7_FcY9zMnHP8iPO4M5RCRjy6nZY0TY/edit#gid=1248694442"",""Subgroup 4: Mp ~ Tx!B3:B20""), $A5=IMPORTRANGE(""https://docs.google.com/spreadsheets/d/1kGrh75X1cNR1D7_FcY9zMnHP8iPO4M5R"&amp;"CRjy6nZY0TY/edit#gid=1248694442"",""Subgroup 4: Mp ~ Tx!A3:A20"")),"""")"),"")</f>
        <v/>
      </c>
      <c r="Z5" s="20" t="str">
        <f>IFERROR(__xludf.DUMMYFUNCTION("IFNA(FILTER(IMPORTRANGE(""https://docs.google.com/spreadsheets/d/1kGrh75X1cNR1D7_FcY9zMnHP8iPO4M5RCRjy6nZY0TY/edit#gid=1248694442"",""Subgroup 4: Mp ~ Tx!C3:C20""), $A5=IMPORTRANGE(""https://docs.google.com/spreadsheets/d/1kGrh75X1cNR1D7_FcY9zMnHP8iPO4M5R"&amp;"CRjy6nZY0TY/edit#gid=1248694442"",""Subgroup 4: Mp ~ Tx!A3:A20"")),"""")"),"NA")</f>
        <v>NA</v>
      </c>
      <c r="AA5" s="20" t="str">
        <f>IFERROR(__xludf.DUMMYFUNCTION("IFNA(FILTER(IMPORTRANGE(""https://docs.google.com/spreadsheets/d/1kGrh75X1cNR1D7_FcY9zMnHP8iPO4M5RCRjy6nZY0TY/edit#gid=1248694442"",""Subgroup 4: Mp ~ Tx!D3:D20""), $A5=IMPORTRANGE(""https://docs.google.com/spreadsheets/d/1kGrh75X1cNR1D7_FcY9zMnHP8iPO4M5R"&amp;"CRjy6nZY0TY/edit#gid=1248694442"",""Subgroup 4: Mp ~ Tx!A3:A20"")),"""")"),"")</f>
        <v/>
      </c>
      <c r="AB5" s="20" t="str">
        <f>IFERROR(__xludf.DUMMYFUNCTION("IFNA(FILTER(IMPORTRANGE(""https://docs.google.com/spreadsheets/d/1kGrh75X1cNR1D7_FcY9zMnHP8iPO4M5RCRjy6nZY0TY/edit#gid=1248694442"",""Subgroup 4: Mp ~ Tx!E3:E20""), $A5=IMPORTRANGE(""https://docs.google.com/spreadsheets/d/1kGrh75X1cNR1D7_FcY9zMnHP8iPO4M5R"&amp;"CRjy6nZY0TY/edit#gid=1248694442"",""Subgroup 4: Mp ~ Tx!A3:A20"")),"""")"),"")</f>
        <v/>
      </c>
      <c r="AC5" s="20" t="str">
        <f>IFERROR(__xludf.DUMMYFUNCTION("IFNA(FILTER(IMPORTRANGE(""https://docs.google.com/spreadsheets/d/1kGrh75X1cNR1D7_FcY9zMnHP8iPO4M5RCRjy6nZY0TY/edit#gid=1248694442"",""Subgroup 4: Mp ~ Tx!F3:F20""), $A5=IMPORTRANGE(""https://docs.google.com/spreadsheets/d/1kGrh75X1cNR1D7_FcY9zMnHP8iPO4M5R"&amp;"CRjy6nZY0TY/edit#gid=1248694442"",""Subgroup 4: Mp ~ Tx!A3:A20"")),"""")"),"")</f>
        <v/>
      </c>
      <c r="AD5" s="22" t="str">
        <f>IFERROR(__xludf.DUMMYFUNCTION("IFNA(FILTER(IMPORTRANGE(""https://docs.google.com/spreadsheets/d/1kGrh75X1cNR1D7_FcY9zMnHP8iPO4M5RCRjy6nZY0TY/edit#gid=1248694442"",""Table 3: 1st-line HC!AL5:AL111""), $A5=IMPORTRANGE(""https://docs.google.com/spreadsheets/d/1kGrh75X1cNR1D7_FcY9zMnHP8iPO"&amp;"4M5RCRjy6nZY0TY/edit#gid=1248694442"",""Table 3: 1st-line HC!A5:A111"")),"""")"),"")</f>
        <v/>
      </c>
      <c r="AE5" s="20" t="str">
        <f>IFERROR(__xludf.DUMMYFUNCTION("IFNA(FILTER(IMPORTRANGE(""https://docs.google.com/spreadsheets/d/1kGrh75X1cNR1D7_FcY9zMnHP8iPO4M5RCRjy6nZY0TY/edit#gid=1248694442"",""Table 3: 1st-line HC!BJ5:BJ111""), $A5=IMPORTRANGE(""https://docs.google.com/spreadsheets/d/1kGrh75X1cNR1D7_FcY9zMnHP8iPO"&amp;"4M5RCRjy6nZY0TY/edit#gid=1248694442"",""Table 3: 1st-line HC!A5:A111"")),"""")"),"")</f>
        <v/>
      </c>
      <c r="AF5" s="20" t="str">
        <f>IFERROR(__xludf.DUMMYFUNCTION("IFNA(FILTER(IMPORTRANGE(""https://docs.google.com/spreadsheets/d/1kGrh75X1cNR1D7_FcY9zMnHP8iPO4M5RCRjy6nZY0TY/edit#gid=1248694442"",""Subgroup 2: Cr ~ Tx!B3:B23""), $A5=IMPORTRANGE(""https://docs.google.com/spreadsheets/d/1kGrh75X1cNR1D7_FcY9zMnHP8iPO4M5R"&amp;"CRjy6nZY0TY/edit#gid=1248694442"",""Subgroup 2: Cr ~ Tx!A3:A23"")),"""")"),"")</f>
        <v/>
      </c>
      <c r="AG5" s="20" t="str">
        <f>IFERROR(__xludf.DUMMYFUNCTION("IFNA(FILTER(IMPORTRANGE(""https://docs.google.com/spreadsheets/d/1kGrh75X1cNR1D7_FcY9zMnHP8iPO4M5RCRjy6nZY0TY/edit#gid=1248694442"",""Subgroup 2: Cr ~ Tx!C3:C23""), $A5=IMPORTRANGE(""https://docs.google.com/spreadsheets/d/1kGrh75X1cNR1D7_FcY9zMnHP8iPO4M5R"&amp;"CRjy6nZY0TY/edit#gid=1248694442"",""Subgroup 2: Cr ~ Tx!A3:A23"")),"""")"),"")</f>
        <v/>
      </c>
      <c r="AH5" s="20" t="str">
        <f>IFERROR(__xludf.DUMMYFUNCTION("IFNA(FILTER(IMPORTRANGE(""https://docs.google.com/spreadsheets/d/1kGrh75X1cNR1D7_FcY9zMnHP8iPO4M5RCRjy6nZY0TY/edit#gid=1248694442"",""Subgroup 2: Cr ~ Tx!D3:D23""), $A5=IMPORTRANGE(""https://docs.google.com/spreadsheets/d/1kGrh75X1cNR1D7_FcY9zMnHP8iPO4M5R"&amp;"CRjy6nZY0TY/edit#gid=1248694442"",""Subgroup 2: Cr ~ Tx!A3:A23"")),"""")"),"")</f>
        <v/>
      </c>
      <c r="AI5" s="20" t="str">
        <f>IFERROR(__xludf.DUMMYFUNCTION("IFNA(FILTER(IMPORTRANGE(""https://docs.google.com/spreadsheets/d/1kGrh75X1cNR1D7_FcY9zMnHP8iPO4M5RCRjy6nZY0TY/edit#gid=1248694442"",""Subgroup 2: Cr ~ Tx!E3:E23""), $A5=IMPORTRANGE(""https://docs.google.com/spreadsheets/d/1kGrh75X1cNR1D7_FcY9zMnHP8iPO4M5R"&amp;"CRjy6nZY0TY/edit#gid=1248694442"",""Subgroup 2: Cr ~ Tx!A3:A23"")),"""")"),"")</f>
        <v/>
      </c>
      <c r="AJ5" s="20" t="str">
        <f>IFERROR(__xludf.DUMMYFUNCTION("IFNA(FILTER(IMPORTRANGE(""https://docs.google.com/spreadsheets/d/1kGrh75X1cNR1D7_FcY9zMnHP8iPO4M5RCRjy6nZY0TY/edit#gid=1248694442"",""Subgroup 2: Cr ~ Tx!F3:F23""), $A5=IMPORTRANGE(""https://docs.google.com/spreadsheets/d/1kGrh75X1cNR1D7_FcY9zMnHP8iPO4M5R"&amp;"CRjy6nZY0TY/edit#gid=1248694442"",""Subgroup 2: Cr ~ Tx!A3:A23"")),"""")"),"")</f>
        <v/>
      </c>
      <c r="AK5" s="14">
        <f>IFERROR(__xludf.DUMMYFUNCTION("IFNA(FILTER(IMPORTRANGE(""https://docs.google.com/spreadsheets/d/1kGrh75X1cNR1D7_FcY9zMnHP8iPO4M5RCRjy6nZY0TY/edit#gid=1248694442"",""Table 4: 2nd-line HC or more!M5:M85""), $A5=IMPORTRANGE(""https://docs.google.com/spreadsheets/d/1kGrh75X1cNR1D7_FcY9zMnH"&amp;"P8iPO4M5RCRjy6nZY0TY/edit#gid=1248694442"",""Table 4: 2nd-line HC or more!A5:A85"")),"""")"),0.0)</f>
        <v>0</v>
      </c>
      <c r="AL5" s="14">
        <f>IFERROR(__xludf.DUMMYFUNCTION("IFNA(FILTER(IMPORTRANGE(""https://docs.google.com/spreadsheets/d/1kGrh75X1cNR1D7_FcY9zMnHP8iPO4M5RCRjy6nZY0TY/edit#gid=1248694442"",""Table 4: 2nd-line HC or more!N5:N85""), $A5=IMPORTRANGE(""https://docs.google.com/spreadsheets/d/1kGrh75X1cNR1D7_FcY9zMnH"&amp;"P8iPO4M5RCRjy6nZY0TY/edit#gid=1248694442"",""Table 4: 2nd-line HC or more!A5:A85"")),"""")"),0.0)</f>
        <v>0</v>
      </c>
      <c r="AM5" s="14" t="str">
        <f>IFERROR(__xludf.DUMMYFUNCTION("IFNA(FILTER(IMPORTRANGE(""https://docs.google.com/spreadsheets/d/1kGrh75X1cNR1D7_FcY9zMnHP8iPO4M5RCRjy6nZY0TY/edit#gid=1248694442"",""Table 4: 2nd-line HC or more!O5:O85""), $A5=IMPORTRANGE(""https://docs.google.com/spreadsheets/d/1kGrh75X1cNR1D7_FcY9zMnH"&amp;"P8iPO4M5RCRjy6nZY0TY/edit#gid=1248694442"",""Table 4: 2nd-line HC or more!A5:A85"")),"""")"),"")</f>
        <v/>
      </c>
      <c r="AN5" s="14" t="str">
        <f>IFERROR(__xludf.DUMMYFUNCTION("IFNA(FILTER(IMPORTRANGE(""https://docs.google.com/spreadsheets/d/1kGrh75X1cNR1D7_FcY9zMnHP8iPO4M5RCRjy6nZY0TY/edit#gid=1248694442"",""Table 3: 1st-line HC!AP5:AP111""), $A5=IMPORTRANGE(""https://docs.google.com/spreadsheets/d/1kGrh75X1cNR1D7_FcY9zMnHP8iPO"&amp;"4M5RCRjy6nZY0TY/edit#gid=1248694442"",""Table 3: 1st-line HC!A5:A111"")),"""")"),"")</f>
        <v/>
      </c>
      <c r="AO5" s="14" t="str">
        <f>IFERROR(__xludf.DUMMYFUNCTION("IFNA(FILTER(IMPORTRANGE(""https://docs.google.com/spreadsheets/d/1kGrh75X1cNR1D7_FcY9zMnHP8iPO4M5RCRjy6nZY0TY/edit#gid=1248694442"",""Table 3: 1st-line HC!AO5:AO111""), $A5=IMPORTRANGE(""https://docs.google.com/spreadsheets/d/1kGrh75X1cNR1D7_FcY9zMnHP8iPO"&amp;"4M5RCRjy6nZY0TY/edit#gid=1248694442"",""Table 3: 1st-line HC!A5:A111"")),"""")"),"")</f>
        <v/>
      </c>
      <c r="AP5" s="14" t="str">
        <f>IFERROR(__xludf.DUMMYFUNCTION("IFNA(FILTER(IMPORTRANGE(""https://docs.google.com/spreadsheets/d/1kGrh75X1cNR1D7_FcY9zMnHP8iPO4M5RCRjy6nZY0TY/edit#gid=1248694442"",""Table 3: 1st-line HC!AQ5:AQ111""), $A5=IMPORTRANGE(""https://docs.google.com/spreadsheets/d/1kGrh75X1cNR1D7_FcY9zMnHP8iPO"&amp;"4M5RCRjy6nZY0TY/edit#gid=1248694442"",""Table 3: 1st-line HC!A5:A111"")),"""")"),"")</f>
        <v/>
      </c>
      <c r="AQ5" s="14" t="str">
        <f>IFERROR(__xludf.DUMMYFUNCTION("IFNA(FILTER(IMPORTRANGE(""https://docs.google.com/spreadsheets/d/1kGrh75X1cNR1D7_FcY9zMnHP8iPO4M5RCRjy6nZY0TY/edit#gid=1248694442"",""Table 2: MMC!T5:T114""), $A5=IMPORTRANGE(""https://docs.google.com/spreadsheets/d/1kGrh75X1cNR1D7_FcY9zMnHP8iPO4M5RCRjy6n"&amp;"ZY0TY/edit#gid=1248694442"",""Table 2: MMC!A5:A114"")),"""")"),"")</f>
        <v/>
      </c>
      <c r="AR5" s="14" t="str">
        <f>IFERROR(__xludf.DUMMYFUNCTION("IFNA(FILTER(IMPORTRANGE(""https://docs.google.com/spreadsheets/d/1kGrh75X1cNR1D7_FcY9zMnHP8iPO4M5RCRjy6nZY0TY/edit#gid=1248694442"",""Table 2: MMC!U5:U114""), $A5=IMPORTRANGE(""https://docs.google.com/spreadsheets/d/1kGrh75X1cNR1D7_FcY9zMnHP8iPO4M5RCRjy6n"&amp;"ZY0TY/edit#gid=1248694442"",""Table 2: MMC!A5:A114"")),"""")"),"")</f>
        <v/>
      </c>
      <c r="AS5" s="14" t="str">
        <f>IFERROR(__xludf.DUMMYFUNCTION("IFNA(FILTER(IMPORTRANGE(""https://docs.google.com/spreadsheets/d/1kGrh75X1cNR1D7_FcY9zMnHP8iPO4M5RCRjy6nZY0TY/edit#gid=1248694442"",""Table 2: MMC!V5:V114""), $A5=IMPORTRANGE(""https://docs.google.com/spreadsheets/d/1kGrh75X1cNR1D7_FcY9zMnHP8iPO4M5RCRjy6n"&amp;"ZY0TY/edit#gid=1248694442"",""Table 2: MMC!A5:A114"")),"""")"),"")</f>
        <v/>
      </c>
      <c r="AT5" s="4" t="str">
        <f>IFERROR(__xludf.DUMMYFUNCTION("IFNA(FILTER(IMPORTRANGE(""https://docs.google.com/spreadsheets/d/1kGrh75X1cNR1D7_FcY9zMnHP8iPO4M5RCRjy6nZY0TY/edit#gid=1248694442"",""Table 2: MMC!W5:W114""), $A5=IMPORTRANGE(""https://docs.google.com/spreadsheets/d/1kGrh75X1cNR1D7_FcY9zMnHP8iPO4M5RCRjy6n"&amp;"ZY0TY/edit#gid=1248694442"",""Table 2: MMC!A5:A114"")),"""")"),"")</f>
        <v/>
      </c>
    </row>
    <row r="6">
      <c r="A6" s="4" t="str">
        <f>IFERROR(__xludf.DUMMYFUNCTION("""COMPUTED_VALUE"""),"ID 8")</f>
        <v>ID 8</v>
      </c>
      <c r="B6" s="20">
        <f>IFERROR(__xludf.DUMMYFUNCTION("IFNA(FILTER(IMPORTRANGE(""https://docs.google.com/spreadsheets/d/1kGrh75X1cNR1D7_FcY9zMnHP8iPO4M5RCRjy6nZY0TY/edit#gid=1248694442"",""Table 3: 1st-line HC!BK5:BK111""), $A6=IMPORTRANGE(""https://docs.google.com/spreadsheets/d/1kGrh75X1cNR1D7_FcY9zMnHP8iPO"&amp;"4M5RCRjy6nZY0TY/edit#gid=1248694442"",""Table 3: 1st-line HC!A5:A111"")),"""")"),1.0)</f>
        <v>1</v>
      </c>
      <c r="C6" s="20" t="str">
        <f>IFERROR(__xludf.DUMMYFUNCTION("IFNA(FILTER(IMPORTRANGE(""https://docs.google.com/spreadsheets/d/1kGrh75X1cNR1D7_FcY9zMnHP8iPO4M5RCRjy6nZY0TY/edit#gid=1248694442"",""Subgroup 1: Fr ~ Tx!B3:B20""), $A6=IMPORTRANGE(""https://docs.google.com/spreadsheets/d/1kGrh75X1cNR1D7_FcY9zMnHP8iPO4M5R"&amp;"CRjy6nZY0TY/edit#gid=1248694442"",""Subgroup 1: Fr ~ Tx!A3:A20"")),"""")"),"")</f>
        <v/>
      </c>
      <c r="D6" s="20">
        <f>IFERROR(__xludf.DUMMYFUNCTION("IFNA(FILTER(IMPORTRANGE(""https://docs.google.com/spreadsheets/d/1kGrh75X1cNR1D7_FcY9zMnHP8iPO4M5RCRjy6nZY0TY/edit#gid=1248694442"",""Subgroup 1: Fr ~ Tx!C3:C20""), $A6=IMPORTRANGE(""https://docs.google.com/spreadsheets/d/1kGrh75X1cNR1D7_FcY9zMnHP8iPO4M5R"&amp;"CRjy6nZY0TY/edit#gid=1248694442"",""Subgroup 1: Fr ~ Tx!A3:A20"")),"""")"),1.0)</f>
        <v>1</v>
      </c>
      <c r="E6" s="20" t="str">
        <f>IFERROR(__xludf.DUMMYFUNCTION("IFNA(FILTER(IMPORTRANGE(""https://docs.google.com/spreadsheets/d/1kGrh75X1cNR1D7_FcY9zMnHP8iPO4M5RCRjy6nZY0TY/edit#gid=1248694442"",""Subgroup 1: Fr ~ Tx!D3:D20""), $A6=IMPORTRANGE(""https://docs.google.com/spreadsheets/d/1kGrh75X1cNR1D7_FcY9zMnHP8iPO4M5R"&amp;"CRjy6nZY0TY/edit#gid=1248694442"",""Subgroup 1: Fr ~ Tx!A3:A20"")),"""")"),"")</f>
        <v/>
      </c>
      <c r="F6" s="20" t="str">
        <f>IFERROR(__xludf.DUMMYFUNCTION("IFNA(FILTER(IMPORTRANGE(""https://docs.google.com/spreadsheets/d/1kGrh75X1cNR1D7_FcY9zMnHP8iPO4M5RCRjy6nZY0TY/edit#gid=1248694442"",""Subgroup 1: Fr ~ Tx!E3:E20""), $A6=IMPORTRANGE(""https://docs.google.com/spreadsheets/d/1kGrh75X1cNR1D7_FcY9zMnHP8iPO4M5R"&amp;"CRjy6nZY0TY/edit#gid=1248694442"",""Subgroup 1: Fr ~ Tx!A3:A20"")),"""")"),"")</f>
        <v/>
      </c>
      <c r="G6" s="20" t="str">
        <f>IFERROR(__xludf.DUMMYFUNCTION("IFNA(FILTER(IMPORTRANGE(""https://docs.google.com/spreadsheets/d/1kGrh75X1cNR1D7_FcY9zMnHP8iPO4M5RCRjy6nZY0TY/edit#gid=1248694442"",""Subgroup 1: Fr ~ Tx!F3:F20""), $A6=IMPORTRANGE(""https://docs.google.com/spreadsheets/d/1kGrh75X1cNR1D7_FcY9zMnHP8iPO4M5R"&amp;"CRjy6nZY0TY/edit#gid=1248694442"",""Subgroup 1: Fr ~ Tx!A3:A20"")),"""")"),"")</f>
        <v/>
      </c>
      <c r="H6" s="20" t="str">
        <f>IFERROR(__xludf.DUMMYFUNCTION("IFNA(FILTER(IMPORTRANGE(""https://docs.google.com/spreadsheets/d/1kGrh75X1cNR1D7_FcY9zMnHP8iPO4M5RCRjy6nZY0TY/edit#gid=1248694442"",""Table 3: 1st-line HC!BD5:BD111""), $A6=IMPORTRANGE(""https://docs.google.com/spreadsheets/d/1kGrh75X1cNR1D7_FcY9zMnHP8iPO"&amp;"4M5RCRjy6nZY0TY/edit#gid=1248694442"",""Table 3: 1st-line HC!A5:A111"")),"""")"),"")</f>
        <v/>
      </c>
      <c r="I6" s="20" t="str">
        <f>IFERROR(__xludf.DUMMYFUNCTION("IFNA(FILTER(IMPORTRANGE(""https://docs.google.com/spreadsheets/d/1kGrh75X1cNR1D7_FcY9zMnHP8iPO4M5RCRjy6nZY0TY/edit#gid=1248694442"",""Subgroup 5: Tf ~ Tx!B3:B8""), $A6=IMPORTRANGE(""https://docs.google.com/spreadsheets/d/1kGrh75X1cNR1D7_FcY9zMnHP8iPO4M5RC"&amp;"Rjy6nZY0TY/edit#gid=1248694442"",""Subgroup 5: Tf ~ Tx!A3:A8"")),"""")"),"")</f>
        <v/>
      </c>
      <c r="J6" s="20" t="str">
        <f>IFERROR(__xludf.DUMMYFUNCTION("IFNA(FILTER(IMPORTRANGE(""https://docs.google.com/spreadsheets/d/1kGrh75X1cNR1D7_FcY9zMnHP8iPO4M5RCRjy6nZY0TY/edit#gid=1248694442"",""Subgroup 5: Tf ~ Tx!C3:C8""), $A6=IMPORTRANGE(""https://docs.google.com/spreadsheets/d/1kGrh75X1cNR1D7_FcY9zMnHP8iPO4M5RC"&amp;"Rjy6nZY0TY/edit#gid=1248694442"",""Subgroup 5: Tf ~ Tx!A3:A8"")),"""")"),"")</f>
        <v/>
      </c>
      <c r="K6" s="20" t="str">
        <f>IFERROR(__xludf.DUMMYFUNCTION("IFNA(FILTER(IMPORTRANGE(""https://docs.google.com/spreadsheets/d/1kGrh75X1cNR1D7_FcY9zMnHP8iPO4M5RCRjy6nZY0TY/edit#gid=1248694442"",""Subgroup 5: Tf ~ Tx!D3:D8""), $A6=IMPORTRANGE(""https://docs.google.com/spreadsheets/d/1kGrh75X1cNR1D7_FcY9zMnHP8iPO4M5RC"&amp;"Rjy6nZY0TY/edit#gid=1248694442"",""Subgroup 5: Tf ~ Tx!A3:A8"")),"""")"),"")</f>
        <v/>
      </c>
      <c r="L6" s="20" t="str">
        <f>IFERROR(__xludf.DUMMYFUNCTION("IFNA(FILTER(IMPORTRANGE(""https://docs.google.com/spreadsheets/d/1kGrh75X1cNR1D7_FcY9zMnHP8iPO4M5RCRjy6nZY0TY/edit#gid=1248694442"",""Subgroup 5: Tf ~ Tx!E3:E8""), $A6=IMPORTRANGE(""https://docs.google.com/spreadsheets/d/1kGrh75X1cNR1D7_FcY9zMnHP8iPO4M5RC"&amp;"Rjy6nZY0TY/edit#gid=1248694442"",""Subgroup 5: Tf ~ Tx!A3:A8"")),"""")"),"")</f>
        <v/>
      </c>
      <c r="M6" s="20" t="str">
        <f>IFERROR(__xludf.DUMMYFUNCTION("IFNA(FILTER(IMPORTRANGE(""https://docs.google.com/spreadsheets/d/1kGrh75X1cNR1D7_FcY9zMnHP8iPO4M5RCRjy6nZY0TY/edit#gid=1248694442"",""Subgroup 5: Tf ~ Tx!F3:F8""), $A6=IMPORTRANGE(""https://docs.google.com/spreadsheets/d/1kGrh75X1cNR1D7_FcY9zMnHP8iPO4M5RC"&amp;"Rjy6nZY0TY/edit#gid=1248694442"",""Subgroup 5: Tf ~ Tx!A3:A8"")),"""")"),"")</f>
        <v/>
      </c>
      <c r="N6" s="20" t="str">
        <f>IFERROR(__xludf.DUMMYFUNCTION("IFNA(FILTER(IMPORTRANGE(""https://docs.google.com/spreadsheets/d/1kGrh75X1cNR1D7_FcY9zMnHP8iPO4M5RCRjy6nZY0TY/edit#gid=1248694442"",""Table 3: 1st-line HC!BE5:BE111""), $A6=IMPORTRANGE(""https://docs.google.com/spreadsheets/d/1kGrh75X1cNR1D7_FcY9zMnHP8iPO"&amp;"4M5RCRjy6nZY0TY/edit#gid=1248694442"",""Table 3: 1st-line HC!A5:A111"")),"""")"),"")</f>
        <v/>
      </c>
      <c r="O6" s="20" t="str">
        <f>IFERROR(__xludf.DUMMYFUNCTION("IFNA(FILTER(IMPORTRANGE(""https://docs.google.com/spreadsheets/d/1kGrh75X1cNR1D7_FcY9zMnHP8iPO4M5RCRjy6nZY0TY/edit#gid=1248694442"",""Table 3: 1st-line HC!BF5:BF111""), $A6=IMPORTRANGE(""https://docs.google.com/spreadsheets/d/1kGrh75X1cNR1D7_FcY9zMnHP8iPO"&amp;"4M5RCRjy6nZY0TY/edit#gid=1248694442"",""Table 3: 1st-line HC!A5:A111"")),"""")"),"")</f>
        <v/>
      </c>
      <c r="P6" s="20" t="str">
        <f>IFERROR(__xludf.DUMMYFUNCTION("IFNA(FILTER(IMPORTRANGE(""https://docs.google.com/spreadsheets/d/1kGrh75X1cNR1D7_FcY9zMnHP8iPO4M5RCRjy6nZY0TY/edit#gid=1248694442"",""Table 3: 1st-line HC!BG5:BG111""), $A6=IMPORTRANGE(""https://docs.google.com/spreadsheets/d/1kGrh75X1cNR1D7_FcY9zMnHP8iPO"&amp;"4M5RCRjy6nZY0TY/edit#gid=1248694442"",""Table 3: 1st-line HC!A5:A111"")),"""")"),"")</f>
        <v/>
      </c>
      <c r="Q6" s="21" t="str">
        <f>IFERROR(__xludf.DUMMYFUNCTION("IFNA(FILTER(IMPORTRANGE(""https://docs.google.com/spreadsheets/d/1kGrh75X1cNR1D7_FcY9zMnHP8iPO4M5RCRjy6nZY0TY/edit#gid=1248694442"",""Table 3: 1st-line HC!BH5:BH111""), $A6=IMPORTRANGE(""https://docs.google.com/spreadsheets/d/1kGrh75X1cNR1D7_FcY9zMnHP8iPO"&amp;"4M5RCRjy6nZY0TY/edit#gid=1248694442"",""Table 3: 1st-line HC!A5:A111"")),"""")"),"")</f>
        <v/>
      </c>
      <c r="R6" s="19" t="str">
        <f>IFERROR(__xludf.DUMMYFUNCTION("IFNA(FILTER(IMPORTRANGE(""https://docs.google.com/spreadsheets/d/1kGrh75X1cNR1D7_FcY9zMnHP8iPO4M5RCRjy6nZY0TY/edit#gid=1248694442"",""Table 3: 1st-line HC!AJ5:AJ111""), $A6=IMPORTRANGE(""https://docs.google.com/spreadsheets/d/1kGrh75X1cNR1D7_FcY9zMnHP8iPO"&amp;"4M5RCRjy6nZY0TY/edit#gid=1248694442"",""Table 3: 1st-line HC!A5:A111"")),"""")"),"")</f>
        <v/>
      </c>
      <c r="S6" s="20" t="str">
        <f>IFERROR(__xludf.DUMMYFUNCTION("IFNA(FILTER(IMPORTRANGE(""https://docs.google.com/spreadsheets/d/1kGrh75X1cNR1D7_FcY9zMnHP8iPO4M5RCRjy6nZY0TY/edit#gid=1248694442"",""Subgroup 3: Mi ~ Tx!B3:B17""), $A6=IMPORTRANGE(""https://docs.google.com/spreadsheets/d/1kGrh75X1cNR1D7_FcY9zMnHP8iPO4M5R"&amp;"CRjy6nZY0TY/edit#gid=1248694442"",""Subgroup 3: Mi ~ Tx!A3:A17"")),"""")"),"")</f>
        <v/>
      </c>
      <c r="T6" s="20" t="str">
        <f>IFERROR(__xludf.DUMMYFUNCTION("IFNA(FILTER(IMPORTRANGE(""https://docs.google.com/spreadsheets/d/1kGrh75X1cNR1D7_FcY9zMnHP8iPO4M5RCRjy6nZY0TY/edit#gid=1248694442"",""Subgroup 3: Mi ~ Tx!C3:C17""), $A6=IMPORTRANGE(""https://docs.google.com/spreadsheets/d/1kGrh75X1cNR1D7_FcY9zMnHP8iPO4M5R"&amp;"CRjy6nZY0TY/edit#gid=1248694442"",""Subgroup 3: Mi ~ Tx!A3:A17"")),"""")"),"")</f>
        <v/>
      </c>
      <c r="U6" s="20" t="str">
        <f>IFERROR(__xludf.DUMMYFUNCTION("IFNA(FILTER(IMPORTRANGE(""https://docs.google.com/spreadsheets/d/1kGrh75X1cNR1D7_FcY9zMnHP8iPO4M5RCRjy6nZY0TY/edit#gid=1248694442"",""Subgroup 3: Mi ~ Tx!D3:D17""), $A6=IMPORTRANGE(""https://docs.google.com/spreadsheets/d/1kGrh75X1cNR1D7_FcY9zMnHP8iPO4M5R"&amp;"CRjy6nZY0TY/edit#gid=1248694442"",""Subgroup 3: Mi ~ Tx!A3:A17"")),"""")"),"")</f>
        <v/>
      </c>
      <c r="V6" s="20" t="str">
        <f>IFERROR(__xludf.DUMMYFUNCTION("IFNA(FILTER(IMPORTRANGE(""https://docs.google.com/spreadsheets/d/1kGrh75X1cNR1D7_FcY9zMnHP8iPO4M5RCRjy6nZY0TY/edit#gid=1248694442"",""Subgroup 3: Mi ~ Tx!E3:E17""), $A6=IMPORTRANGE(""https://docs.google.com/spreadsheets/d/1kGrh75X1cNR1D7_FcY9zMnHP8iPO4M5R"&amp;"CRjy6nZY0TY/edit#gid=1248694442"",""Subgroup 3: Mi ~ Tx!A3:A17"")),"""")"),"")</f>
        <v/>
      </c>
      <c r="W6" s="20" t="str">
        <f>IFERROR(__xludf.DUMMYFUNCTION("IFNA(FILTER(IMPORTRANGE(""https://docs.google.com/spreadsheets/d/1kGrh75X1cNR1D7_FcY9zMnHP8iPO4M5RCRjy6nZY0TY/edit#gid=1248694442"",""Subgroup 3: Mi ~ Tx!F3:F17""), $A6=IMPORTRANGE(""https://docs.google.com/spreadsheets/d/1kGrh75X1cNR1D7_FcY9zMnHP8iPO4M5R"&amp;"CRjy6nZY0TY/edit#gid=1248694442"",""Subgroup 3: Mi ~ Tx!A3:A17"")),"""")"),"")</f>
        <v/>
      </c>
      <c r="X6" s="19" t="str">
        <f>IFERROR(__xludf.DUMMYFUNCTION("IFNA(FILTER(IMPORTRANGE(""https://docs.google.com/spreadsheets/d/1kGrh75X1cNR1D7_FcY9zMnHP8iPO4M5RCRjy6nZY0TY/edit#gid=1248694442"",""Table 3: 1st-line HC!AK5:AK111""), $A6=IMPORTRANGE(""https://docs.google.com/spreadsheets/d/1kGrh75X1cNR1D7_FcY9zMnHP8iPO"&amp;"4M5RCRjy6nZY0TY/edit#gid=1248694442"",""Table 3: 1st-line HC!A5:A111"")),"""")"),"")</f>
        <v/>
      </c>
      <c r="Y6" s="20" t="str">
        <f>IFERROR(__xludf.DUMMYFUNCTION("IFNA(FILTER(IMPORTRANGE(""https://docs.google.com/spreadsheets/d/1kGrh75X1cNR1D7_FcY9zMnHP8iPO4M5RCRjy6nZY0TY/edit#gid=1248694442"",""Subgroup 4: Mp ~ Tx!B3:B20""), $A6=IMPORTRANGE(""https://docs.google.com/spreadsheets/d/1kGrh75X1cNR1D7_FcY9zMnHP8iPO4M5R"&amp;"CRjy6nZY0TY/edit#gid=1248694442"",""Subgroup 4: Mp ~ Tx!A3:A20"")),"""")"),"")</f>
        <v/>
      </c>
      <c r="Z6" s="20" t="str">
        <f>IFERROR(__xludf.DUMMYFUNCTION("IFNA(FILTER(IMPORTRANGE(""https://docs.google.com/spreadsheets/d/1kGrh75X1cNR1D7_FcY9zMnHP8iPO4M5RCRjy6nZY0TY/edit#gid=1248694442"",""Subgroup 4: Mp ~ Tx!C3:C20""), $A6=IMPORTRANGE(""https://docs.google.com/spreadsheets/d/1kGrh75X1cNR1D7_FcY9zMnHP8iPO4M5R"&amp;"CRjy6nZY0TY/edit#gid=1248694442"",""Subgroup 4: Mp ~ Tx!A3:A20"")),"""")"),"")</f>
        <v/>
      </c>
      <c r="AA6" s="20" t="str">
        <f>IFERROR(__xludf.DUMMYFUNCTION("IFNA(FILTER(IMPORTRANGE(""https://docs.google.com/spreadsheets/d/1kGrh75X1cNR1D7_FcY9zMnHP8iPO4M5RCRjy6nZY0TY/edit#gid=1248694442"",""Subgroup 4: Mp ~ Tx!D3:D20""), $A6=IMPORTRANGE(""https://docs.google.com/spreadsheets/d/1kGrh75X1cNR1D7_FcY9zMnHP8iPO4M5R"&amp;"CRjy6nZY0TY/edit#gid=1248694442"",""Subgroup 4: Mp ~ Tx!A3:A20"")),"""")"),"")</f>
        <v/>
      </c>
      <c r="AB6" s="20" t="str">
        <f>IFERROR(__xludf.DUMMYFUNCTION("IFNA(FILTER(IMPORTRANGE(""https://docs.google.com/spreadsheets/d/1kGrh75X1cNR1D7_FcY9zMnHP8iPO4M5RCRjy6nZY0TY/edit#gid=1248694442"",""Subgroup 4: Mp ~ Tx!E3:E20""), $A6=IMPORTRANGE(""https://docs.google.com/spreadsheets/d/1kGrh75X1cNR1D7_FcY9zMnHP8iPO4M5R"&amp;"CRjy6nZY0TY/edit#gid=1248694442"",""Subgroup 4: Mp ~ Tx!A3:A20"")),"""")"),"")</f>
        <v/>
      </c>
      <c r="AC6" s="20" t="str">
        <f>IFERROR(__xludf.DUMMYFUNCTION("IFNA(FILTER(IMPORTRANGE(""https://docs.google.com/spreadsheets/d/1kGrh75X1cNR1D7_FcY9zMnHP8iPO4M5RCRjy6nZY0TY/edit#gid=1248694442"",""Subgroup 4: Mp ~ Tx!F3:F20""), $A6=IMPORTRANGE(""https://docs.google.com/spreadsheets/d/1kGrh75X1cNR1D7_FcY9zMnHP8iPO4M5R"&amp;"CRjy6nZY0TY/edit#gid=1248694442"",""Subgroup 4: Mp ~ Tx!A3:A20"")),"""")"),"")</f>
        <v/>
      </c>
      <c r="AD6" s="22" t="str">
        <f>IFERROR(__xludf.DUMMYFUNCTION("IFNA(FILTER(IMPORTRANGE(""https://docs.google.com/spreadsheets/d/1kGrh75X1cNR1D7_FcY9zMnHP8iPO4M5RCRjy6nZY0TY/edit#gid=1248694442"",""Table 3: 1st-line HC!AL5:AL111""), $A6=IMPORTRANGE(""https://docs.google.com/spreadsheets/d/1kGrh75X1cNR1D7_FcY9zMnHP8iPO"&amp;"4M5RCRjy6nZY0TY/edit#gid=1248694442"",""Table 3: 1st-line HC!A5:A111"")),"""")"),"")</f>
        <v/>
      </c>
      <c r="AE6" s="20" t="str">
        <f>IFERROR(__xludf.DUMMYFUNCTION("IFNA(FILTER(IMPORTRANGE(""https://docs.google.com/spreadsheets/d/1kGrh75X1cNR1D7_FcY9zMnHP8iPO4M5RCRjy6nZY0TY/edit#gid=1248694442"",""Table 3: 1st-line HC!BJ5:BJ111""), $A6=IMPORTRANGE(""https://docs.google.com/spreadsheets/d/1kGrh75X1cNR1D7_FcY9zMnHP8iPO"&amp;"4M5RCRjy6nZY0TY/edit#gid=1248694442"",""Table 3: 1st-line HC!A5:A111"")),"""")"),"")</f>
        <v/>
      </c>
      <c r="AF6" s="20" t="str">
        <f>IFERROR(__xludf.DUMMYFUNCTION("IFNA(FILTER(IMPORTRANGE(""https://docs.google.com/spreadsheets/d/1kGrh75X1cNR1D7_FcY9zMnHP8iPO4M5RCRjy6nZY0TY/edit#gid=1248694442"",""Subgroup 2: Cr ~ Tx!B3:B23""), $A6=IMPORTRANGE(""https://docs.google.com/spreadsheets/d/1kGrh75X1cNR1D7_FcY9zMnHP8iPO4M5R"&amp;"CRjy6nZY0TY/edit#gid=1248694442"",""Subgroup 2: Cr ~ Tx!A3:A23"")),"""")"),"")</f>
        <v/>
      </c>
      <c r="AG6" s="20" t="str">
        <f>IFERROR(__xludf.DUMMYFUNCTION("IFNA(FILTER(IMPORTRANGE(""https://docs.google.com/spreadsheets/d/1kGrh75X1cNR1D7_FcY9zMnHP8iPO4M5RCRjy6nZY0TY/edit#gid=1248694442"",""Subgroup 2: Cr ~ Tx!C3:C23""), $A6=IMPORTRANGE(""https://docs.google.com/spreadsheets/d/1kGrh75X1cNR1D7_FcY9zMnHP8iPO4M5R"&amp;"CRjy6nZY0TY/edit#gid=1248694442"",""Subgroup 2: Cr ~ Tx!A3:A23"")),"""")"),"")</f>
        <v/>
      </c>
      <c r="AH6" s="20" t="str">
        <f>IFERROR(__xludf.DUMMYFUNCTION("IFNA(FILTER(IMPORTRANGE(""https://docs.google.com/spreadsheets/d/1kGrh75X1cNR1D7_FcY9zMnHP8iPO4M5RCRjy6nZY0TY/edit#gid=1248694442"",""Subgroup 2: Cr ~ Tx!D3:D23""), $A6=IMPORTRANGE(""https://docs.google.com/spreadsheets/d/1kGrh75X1cNR1D7_FcY9zMnHP8iPO4M5R"&amp;"CRjy6nZY0TY/edit#gid=1248694442"",""Subgroup 2: Cr ~ Tx!A3:A23"")),"""")"),"")</f>
        <v/>
      </c>
      <c r="AI6" s="20" t="str">
        <f>IFERROR(__xludf.DUMMYFUNCTION("IFNA(FILTER(IMPORTRANGE(""https://docs.google.com/spreadsheets/d/1kGrh75X1cNR1D7_FcY9zMnHP8iPO4M5RCRjy6nZY0TY/edit#gid=1248694442"",""Subgroup 2: Cr ~ Tx!E3:E23""), $A6=IMPORTRANGE(""https://docs.google.com/spreadsheets/d/1kGrh75X1cNR1D7_FcY9zMnHP8iPO4M5R"&amp;"CRjy6nZY0TY/edit#gid=1248694442"",""Subgroup 2: Cr ~ Tx!A3:A23"")),"""")"),"")</f>
        <v/>
      </c>
      <c r="AJ6" s="20" t="str">
        <f>IFERROR(__xludf.DUMMYFUNCTION("IFNA(FILTER(IMPORTRANGE(""https://docs.google.com/spreadsheets/d/1kGrh75X1cNR1D7_FcY9zMnHP8iPO4M5RCRjy6nZY0TY/edit#gid=1248694442"",""Subgroup 2: Cr ~ Tx!F3:F23""), $A6=IMPORTRANGE(""https://docs.google.com/spreadsheets/d/1kGrh75X1cNR1D7_FcY9zMnHP8iPO4M5R"&amp;"CRjy6nZY0TY/edit#gid=1248694442"",""Subgroup 2: Cr ~ Tx!A3:A23"")),"""")"),"")</f>
        <v/>
      </c>
      <c r="AK6" s="14" t="str">
        <f>IFERROR(__xludf.DUMMYFUNCTION("IFNA(FILTER(IMPORTRANGE(""https://docs.google.com/spreadsheets/d/1kGrh75X1cNR1D7_FcY9zMnHP8iPO4M5RCRjy6nZY0TY/edit#gid=1248694442"",""Table 4: 2nd-line HC or more!M5:M85""), $A6=IMPORTRANGE(""https://docs.google.com/spreadsheets/d/1kGrh75X1cNR1D7_FcY9zMnH"&amp;"P8iPO4M5RCRjy6nZY0TY/edit#gid=1248694442"",""Table 4: 2nd-line HC or more!A5:A85"")),"""")"),"")</f>
        <v/>
      </c>
      <c r="AL6" s="14" t="str">
        <f>IFERROR(__xludf.DUMMYFUNCTION("IFNA(FILTER(IMPORTRANGE(""https://docs.google.com/spreadsheets/d/1kGrh75X1cNR1D7_FcY9zMnHP8iPO4M5RCRjy6nZY0TY/edit#gid=1248694442"",""Table 4: 2nd-line HC or more!N5:N85""), $A6=IMPORTRANGE(""https://docs.google.com/spreadsheets/d/1kGrh75X1cNR1D7_FcY9zMnH"&amp;"P8iPO4M5RCRjy6nZY0TY/edit#gid=1248694442"",""Table 4: 2nd-line HC or more!A5:A85"")),"""")"),"")</f>
        <v/>
      </c>
      <c r="AM6" s="14" t="str">
        <f>IFERROR(__xludf.DUMMYFUNCTION("IFNA(FILTER(IMPORTRANGE(""https://docs.google.com/spreadsheets/d/1kGrh75X1cNR1D7_FcY9zMnHP8iPO4M5RCRjy6nZY0TY/edit#gid=1248694442"",""Table 4: 2nd-line HC or more!O5:O85""), $A6=IMPORTRANGE(""https://docs.google.com/spreadsheets/d/1kGrh75X1cNR1D7_FcY9zMnH"&amp;"P8iPO4M5RCRjy6nZY0TY/edit#gid=1248694442"",""Table 4: 2nd-line HC or more!A5:A85"")),"""")"),"")</f>
        <v/>
      </c>
      <c r="AN6" s="14" t="str">
        <f>IFERROR(__xludf.DUMMYFUNCTION("IFNA(FILTER(IMPORTRANGE(""https://docs.google.com/spreadsheets/d/1kGrh75X1cNR1D7_FcY9zMnHP8iPO4M5RCRjy6nZY0TY/edit#gid=1248694442"",""Table 3: 1st-line HC!AP5:AP111""), $A6=IMPORTRANGE(""https://docs.google.com/spreadsheets/d/1kGrh75X1cNR1D7_FcY9zMnHP8iPO"&amp;"4M5RCRjy6nZY0TY/edit#gid=1248694442"",""Table 3: 1st-line HC!A5:A111"")),"""")"),"")</f>
        <v/>
      </c>
      <c r="AO6" s="14" t="str">
        <f>IFERROR(__xludf.DUMMYFUNCTION("IFNA(FILTER(IMPORTRANGE(""https://docs.google.com/spreadsheets/d/1kGrh75X1cNR1D7_FcY9zMnHP8iPO4M5RCRjy6nZY0TY/edit#gid=1248694442"",""Table 3: 1st-line HC!AO5:AO111""), $A6=IMPORTRANGE(""https://docs.google.com/spreadsheets/d/1kGrh75X1cNR1D7_FcY9zMnHP8iPO"&amp;"4M5RCRjy6nZY0TY/edit#gid=1248694442"",""Table 3: 1st-line HC!A5:A111"")),"""")"),"")</f>
        <v/>
      </c>
      <c r="AP6" s="14" t="str">
        <f>IFERROR(__xludf.DUMMYFUNCTION("IFNA(FILTER(IMPORTRANGE(""https://docs.google.com/spreadsheets/d/1kGrh75X1cNR1D7_FcY9zMnHP8iPO4M5RCRjy6nZY0TY/edit#gid=1248694442"",""Table 3: 1st-line HC!AQ5:AQ111""), $A6=IMPORTRANGE(""https://docs.google.com/spreadsheets/d/1kGrh75X1cNR1D7_FcY9zMnHP8iPO"&amp;"4M5RCRjy6nZY0TY/edit#gid=1248694442"",""Table 3: 1st-line HC!A5:A111"")),"""")"),"")</f>
        <v/>
      </c>
      <c r="AQ6" s="14" t="str">
        <f>IFERROR(__xludf.DUMMYFUNCTION("IFNA(FILTER(IMPORTRANGE(""https://docs.google.com/spreadsheets/d/1kGrh75X1cNR1D7_FcY9zMnHP8iPO4M5RCRjy6nZY0TY/edit#gid=1248694442"",""Table 2: MMC!T5:T114""), $A6=IMPORTRANGE(""https://docs.google.com/spreadsheets/d/1kGrh75X1cNR1D7_FcY9zMnHP8iPO4M5RCRjy6n"&amp;"ZY0TY/edit#gid=1248694442"",""Table 2: MMC!A5:A114"")),"""")"),"")</f>
        <v/>
      </c>
      <c r="AR6" s="14" t="str">
        <f>IFERROR(__xludf.DUMMYFUNCTION("IFNA(FILTER(IMPORTRANGE(""https://docs.google.com/spreadsheets/d/1kGrh75X1cNR1D7_FcY9zMnHP8iPO4M5RCRjy6nZY0TY/edit#gid=1248694442"",""Table 2: MMC!U5:U114""), $A6=IMPORTRANGE(""https://docs.google.com/spreadsheets/d/1kGrh75X1cNR1D7_FcY9zMnHP8iPO4M5RCRjy6n"&amp;"ZY0TY/edit#gid=1248694442"",""Table 2: MMC!A5:A114"")),"""")"),"")</f>
        <v/>
      </c>
      <c r="AS6" s="14" t="str">
        <f>IFERROR(__xludf.DUMMYFUNCTION("IFNA(FILTER(IMPORTRANGE(""https://docs.google.com/spreadsheets/d/1kGrh75X1cNR1D7_FcY9zMnHP8iPO4M5RCRjy6nZY0TY/edit#gid=1248694442"",""Table 2: MMC!V5:V114""), $A6=IMPORTRANGE(""https://docs.google.com/spreadsheets/d/1kGrh75X1cNR1D7_FcY9zMnHP8iPO4M5RCRjy6n"&amp;"ZY0TY/edit#gid=1248694442"",""Table 2: MMC!A5:A114"")),"""")"),"")</f>
        <v/>
      </c>
      <c r="AT6" s="4" t="str">
        <f>IFERROR(__xludf.DUMMYFUNCTION("IFNA(FILTER(IMPORTRANGE(""https://docs.google.com/spreadsheets/d/1kGrh75X1cNR1D7_FcY9zMnHP8iPO4M5RCRjy6nZY0TY/edit#gid=1248694442"",""Table 2: MMC!W5:W114""), $A6=IMPORTRANGE(""https://docs.google.com/spreadsheets/d/1kGrh75X1cNR1D7_FcY9zMnHP8iPO4M5RCRjy6n"&amp;"ZY0TY/edit#gid=1248694442"",""Table 2: MMC!A5:A114"")),"""")"),"")</f>
        <v/>
      </c>
    </row>
    <row r="7">
      <c r="A7" s="4" t="str">
        <f>IFERROR(__xludf.DUMMYFUNCTION("""COMPUTED_VALUE"""),"ID 9")</f>
        <v>ID 9</v>
      </c>
      <c r="B7" s="20" t="str">
        <f>IFERROR(__xludf.DUMMYFUNCTION("IFNA(FILTER(IMPORTRANGE(""https://docs.google.com/spreadsheets/d/1kGrh75X1cNR1D7_FcY9zMnHP8iPO4M5RCRjy6nZY0TY/edit#gid=1248694442"",""Table 3: 1st-line HC!BK5:BK111""), $A7=IMPORTRANGE(""https://docs.google.com/spreadsheets/d/1kGrh75X1cNR1D7_FcY9zMnHP8iPO"&amp;"4M5RCRjy6nZY0TY/edit#gid=1248694442"",""Table 3: 1st-line HC!A5:A111"")),"""")"),"")</f>
        <v/>
      </c>
      <c r="C7" s="20" t="str">
        <f>IFERROR(__xludf.DUMMYFUNCTION("IFNA(FILTER(IMPORTRANGE(""https://docs.google.com/spreadsheets/d/1kGrh75X1cNR1D7_FcY9zMnHP8iPO4M5RCRjy6nZY0TY/edit#gid=1248694442"",""Subgroup 1: Fr ~ Tx!B3:B20""), $A7=IMPORTRANGE(""https://docs.google.com/spreadsheets/d/1kGrh75X1cNR1D7_FcY9zMnHP8iPO4M5R"&amp;"CRjy6nZY0TY/edit#gid=1248694442"",""Subgroup 1: Fr ~ Tx!A3:A20"")),"""")"),"")</f>
        <v/>
      </c>
      <c r="D7" s="20" t="str">
        <f>IFERROR(__xludf.DUMMYFUNCTION("IFNA(FILTER(IMPORTRANGE(""https://docs.google.com/spreadsheets/d/1kGrh75X1cNR1D7_FcY9zMnHP8iPO4M5RCRjy6nZY0TY/edit#gid=1248694442"",""Subgroup 1: Fr ~ Tx!C3:C20""), $A7=IMPORTRANGE(""https://docs.google.com/spreadsheets/d/1kGrh75X1cNR1D7_FcY9zMnHP8iPO4M5R"&amp;"CRjy6nZY0TY/edit#gid=1248694442"",""Subgroup 1: Fr ~ Tx!A3:A20"")),"""")"),"")</f>
        <v/>
      </c>
      <c r="E7" s="20" t="str">
        <f>IFERROR(__xludf.DUMMYFUNCTION("IFNA(FILTER(IMPORTRANGE(""https://docs.google.com/spreadsheets/d/1kGrh75X1cNR1D7_FcY9zMnHP8iPO4M5RCRjy6nZY0TY/edit#gid=1248694442"",""Subgroup 1: Fr ~ Tx!D3:D20""), $A7=IMPORTRANGE(""https://docs.google.com/spreadsheets/d/1kGrh75X1cNR1D7_FcY9zMnHP8iPO4M5R"&amp;"CRjy6nZY0TY/edit#gid=1248694442"",""Subgroup 1: Fr ~ Tx!A3:A20"")),"""")"),"")</f>
        <v/>
      </c>
      <c r="F7" s="20" t="str">
        <f>IFERROR(__xludf.DUMMYFUNCTION("IFNA(FILTER(IMPORTRANGE(""https://docs.google.com/spreadsheets/d/1kGrh75X1cNR1D7_FcY9zMnHP8iPO4M5RCRjy6nZY0TY/edit#gid=1248694442"",""Subgroup 1: Fr ~ Tx!E3:E20""), $A7=IMPORTRANGE(""https://docs.google.com/spreadsheets/d/1kGrh75X1cNR1D7_FcY9zMnHP8iPO4M5R"&amp;"CRjy6nZY0TY/edit#gid=1248694442"",""Subgroup 1: Fr ~ Tx!A3:A20"")),"""")"),"")</f>
        <v/>
      </c>
      <c r="G7" s="20" t="str">
        <f>IFERROR(__xludf.DUMMYFUNCTION("IFNA(FILTER(IMPORTRANGE(""https://docs.google.com/spreadsheets/d/1kGrh75X1cNR1D7_FcY9zMnHP8iPO4M5RCRjy6nZY0TY/edit#gid=1248694442"",""Subgroup 1: Fr ~ Tx!F3:F20""), $A7=IMPORTRANGE(""https://docs.google.com/spreadsheets/d/1kGrh75X1cNR1D7_FcY9zMnHP8iPO4M5R"&amp;"CRjy6nZY0TY/edit#gid=1248694442"",""Subgroup 1: Fr ~ Tx!A3:A20"")),"""")"),"")</f>
        <v/>
      </c>
      <c r="H7" s="20" t="str">
        <f>IFERROR(__xludf.DUMMYFUNCTION("IFNA(FILTER(IMPORTRANGE(""https://docs.google.com/spreadsheets/d/1kGrh75X1cNR1D7_FcY9zMnHP8iPO4M5RCRjy6nZY0TY/edit#gid=1248694442"",""Table 3: 1st-line HC!BD5:BD111""), $A7=IMPORTRANGE(""https://docs.google.com/spreadsheets/d/1kGrh75X1cNR1D7_FcY9zMnHP8iPO"&amp;"4M5RCRjy6nZY0TY/edit#gid=1248694442"",""Table 3: 1st-line HC!A5:A111"")),"""")"),"")</f>
        <v/>
      </c>
      <c r="I7" s="20" t="str">
        <f>IFERROR(__xludf.DUMMYFUNCTION("IFNA(FILTER(IMPORTRANGE(""https://docs.google.com/spreadsheets/d/1kGrh75X1cNR1D7_FcY9zMnHP8iPO4M5RCRjy6nZY0TY/edit#gid=1248694442"",""Subgroup 5: Tf ~ Tx!B3:B8""), $A7=IMPORTRANGE(""https://docs.google.com/spreadsheets/d/1kGrh75X1cNR1D7_FcY9zMnHP8iPO4M5RC"&amp;"Rjy6nZY0TY/edit#gid=1248694442"",""Subgroup 5: Tf ~ Tx!A3:A8"")),"""")"),"")</f>
        <v/>
      </c>
      <c r="J7" s="20" t="str">
        <f>IFERROR(__xludf.DUMMYFUNCTION("IFNA(FILTER(IMPORTRANGE(""https://docs.google.com/spreadsheets/d/1kGrh75X1cNR1D7_FcY9zMnHP8iPO4M5RCRjy6nZY0TY/edit#gid=1248694442"",""Subgroup 5: Tf ~ Tx!C3:C8""), $A7=IMPORTRANGE(""https://docs.google.com/spreadsheets/d/1kGrh75X1cNR1D7_FcY9zMnHP8iPO4M5RC"&amp;"Rjy6nZY0TY/edit#gid=1248694442"",""Subgroup 5: Tf ~ Tx!A3:A8"")),"""")"),"")</f>
        <v/>
      </c>
      <c r="K7" s="20" t="str">
        <f>IFERROR(__xludf.DUMMYFUNCTION("IFNA(FILTER(IMPORTRANGE(""https://docs.google.com/spreadsheets/d/1kGrh75X1cNR1D7_FcY9zMnHP8iPO4M5RCRjy6nZY0TY/edit#gid=1248694442"",""Subgroup 5: Tf ~ Tx!D3:D8""), $A7=IMPORTRANGE(""https://docs.google.com/spreadsheets/d/1kGrh75X1cNR1D7_FcY9zMnHP8iPO4M5RC"&amp;"Rjy6nZY0TY/edit#gid=1248694442"",""Subgroup 5: Tf ~ Tx!A3:A8"")),"""")"),"")</f>
        <v/>
      </c>
      <c r="L7" s="20" t="str">
        <f>IFERROR(__xludf.DUMMYFUNCTION("IFNA(FILTER(IMPORTRANGE(""https://docs.google.com/spreadsheets/d/1kGrh75X1cNR1D7_FcY9zMnHP8iPO4M5RCRjy6nZY0TY/edit#gid=1248694442"",""Subgroup 5: Tf ~ Tx!E3:E8""), $A7=IMPORTRANGE(""https://docs.google.com/spreadsheets/d/1kGrh75X1cNR1D7_FcY9zMnHP8iPO4M5RC"&amp;"Rjy6nZY0TY/edit#gid=1248694442"",""Subgroup 5: Tf ~ Tx!A3:A8"")),"""")"),"")</f>
        <v/>
      </c>
      <c r="M7" s="20" t="str">
        <f>IFERROR(__xludf.DUMMYFUNCTION("IFNA(FILTER(IMPORTRANGE(""https://docs.google.com/spreadsheets/d/1kGrh75X1cNR1D7_FcY9zMnHP8iPO4M5RCRjy6nZY0TY/edit#gid=1248694442"",""Subgroup 5: Tf ~ Tx!F3:F8""), $A7=IMPORTRANGE(""https://docs.google.com/spreadsheets/d/1kGrh75X1cNR1D7_FcY9zMnHP8iPO4M5RC"&amp;"Rjy6nZY0TY/edit#gid=1248694442"",""Subgroup 5: Tf ~ Tx!A3:A8"")),"""")"),"")</f>
        <v/>
      </c>
      <c r="N7" s="20" t="str">
        <f>IFERROR(__xludf.DUMMYFUNCTION("IFNA(FILTER(IMPORTRANGE(""https://docs.google.com/spreadsheets/d/1kGrh75X1cNR1D7_FcY9zMnHP8iPO4M5RCRjy6nZY0TY/edit#gid=1248694442"",""Table 3: 1st-line HC!BE5:BE111""), $A7=IMPORTRANGE(""https://docs.google.com/spreadsheets/d/1kGrh75X1cNR1D7_FcY9zMnHP8iPO"&amp;"4M5RCRjy6nZY0TY/edit#gid=1248694442"",""Table 3: 1st-line HC!A5:A111"")),"""")"),"")</f>
        <v/>
      </c>
      <c r="O7" s="20" t="str">
        <f>IFERROR(__xludf.DUMMYFUNCTION("IFNA(FILTER(IMPORTRANGE(""https://docs.google.com/spreadsheets/d/1kGrh75X1cNR1D7_FcY9zMnHP8iPO4M5RCRjy6nZY0TY/edit#gid=1248694442"",""Table 3: 1st-line HC!BF5:BF111""), $A7=IMPORTRANGE(""https://docs.google.com/spreadsheets/d/1kGrh75X1cNR1D7_FcY9zMnHP8iPO"&amp;"4M5RCRjy6nZY0TY/edit#gid=1248694442"",""Table 3: 1st-line HC!A5:A111"")),"""")"),"")</f>
        <v/>
      </c>
      <c r="P7" s="20" t="str">
        <f>IFERROR(__xludf.DUMMYFUNCTION("IFNA(FILTER(IMPORTRANGE(""https://docs.google.com/spreadsheets/d/1kGrh75X1cNR1D7_FcY9zMnHP8iPO4M5RCRjy6nZY0TY/edit#gid=1248694442"",""Table 3: 1st-line HC!BG5:BG111""), $A7=IMPORTRANGE(""https://docs.google.com/spreadsheets/d/1kGrh75X1cNR1D7_FcY9zMnHP8iPO"&amp;"4M5RCRjy6nZY0TY/edit#gid=1248694442"",""Table 3: 1st-line HC!A5:A111"")),"""")"),"")</f>
        <v/>
      </c>
      <c r="Q7" s="21" t="str">
        <f>IFERROR(__xludf.DUMMYFUNCTION("IFNA(FILTER(IMPORTRANGE(""https://docs.google.com/spreadsheets/d/1kGrh75X1cNR1D7_FcY9zMnHP8iPO4M5RCRjy6nZY0TY/edit#gid=1248694442"",""Table 3: 1st-line HC!BH5:BH111""), $A7=IMPORTRANGE(""https://docs.google.com/spreadsheets/d/1kGrh75X1cNR1D7_FcY9zMnHP8iPO"&amp;"4M5RCRjy6nZY0TY/edit#gid=1248694442"",""Table 3: 1st-line HC!A5:A111"")),"""")"),"")</f>
        <v/>
      </c>
      <c r="R7" s="19" t="str">
        <f>IFERROR(__xludf.DUMMYFUNCTION("IFNA(FILTER(IMPORTRANGE(""https://docs.google.com/spreadsheets/d/1kGrh75X1cNR1D7_FcY9zMnHP8iPO4M5RCRjy6nZY0TY/edit#gid=1248694442"",""Table 3: 1st-line HC!AJ5:AJ111""), $A7=IMPORTRANGE(""https://docs.google.com/spreadsheets/d/1kGrh75X1cNR1D7_FcY9zMnHP8iPO"&amp;"4M5RCRjy6nZY0TY/edit#gid=1248694442"",""Table 3: 1st-line HC!A5:A111"")),"""")"),"")</f>
        <v/>
      </c>
      <c r="S7" s="20" t="str">
        <f>IFERROR(__xludf.DUMMYFUNCTION("IFNA(FILTER(IMPORTRANGE(""https://docs.google.com/spreadsheets/d/1kGrh75X1cNR1D7_FcY9zMnHP8iPO4M5RCRjy6nZY0TY/edit#gid=1248694442"",""Subgroup 3: Mi ~ Tx!B3:B17""), $A7=IMPORTRANGE(""https://docs.google.com/spreadsheets/d/1kGrh75X1cNR1D7_FcY9zMnHP8iPO4M5R"&amp;"CRjy6nZY0TY/edit#gid=1248694442"",""Subgroup 3: Mi ~ Tx!A3:A17"")),"""")"),"")</f>
        <v/>
      </c>
      <c r="T7" s="20" t="str">
        <f>IFERROR(__xludf.DUMMYFUNCTION("IFNA(FILTER(IMPORTRANGE(""https://docs.google.com/spreadsheets/d/1kGrh75X1cNR1D7_FcY9zMnHP8iPO4M5RCRjy6nZY0TY/edit#gid=1248694442"",""Subgroup 3: Mi ~ Tx!C3:C17""), $A7=IMPORTRANGE(""https://docs.google.com/spreadsheets/d/1kGrh75X1cNR1D7_FcY9zMnHP8iPO4M5R"&amp;"CRjy6nZY0TY/edit#gid=1248694442"",""Subgroup 3: Mi ~ Tx!A3:A17"")),"""")"),"")</f>
        <v/>
      </c>
      <c r="U7" s="20" t="str">
        <f>IFERROR(__xludf.DUMMYFUNCTION("IFNA(FILTER(IMPORTRANGE(""https://docs.google.com/spreadsheets/d/1kGrh75X1cNR1D7_FcY9zMnHP8iPO4M5RCRjy6nZY0TY/edit#gid=1248694442"",""Subgroup 3: Mi ~ Tx!D3:D17""), $A7=IMPORTRANGE(""https://docs.google.com/spreadsheets/d/1kGrh75X1cNR1D7_FcY9zMnHP8iPO4M5R"&amp;"CRjy6nZY0TY/edit#gid=1248694442"",""Subgroup 3: Mi ~ Tx!A3:A17"")),"""")"),"")</f>
        <v/>
      </c>
      <c r="V7" s="20" t="str">
        <f>IFERROR(__xludf.DUMMYFUNCTION("IFNA(FILTER(IMPORTRANGE(""https://docs.google.com/spreadsheets/d/1kGrh75X1cNR1D7_FcY9zMnHP8iPO4M5RCRjy6nZY0TY/edit#gid=1248694442"",""Subgroup 3: Mi ~ Tx!E3:E17""), $A7=IMPORTRANGE(""https://docs.google.com/spreadsheets/d/1kGrh75X1cNR1D7_FcY9zMnHP8iPO4M5R"&amp;"CRjy6nZY0TY/edit#gid=1248694442"",""Subgroup 3: Mi ~ Tx!A3:A17"")),"""")"),"")</f>
        <v/>
      </c>
      <c r="W7" s="20" t="str">
        <f>IFERROR(__xludf.DUMMYFUNCTION("IFNA(FILTER(IMPORTRANGE(""https://docs.google.com/spreadsheets/d/1kGrh75X1cNR1D7_FcY9zMnHP8iPO4M5RCRjy6nZY0TY/edit#gid=1248694442"",""Subgroup 3: Mi ~ Tx!F3:F17""), $A7=IMPORTRANGE(""https://docs.google.com/spreadsheets/d/1kGrh75X1cNR1D7_FcY9zMnHP8iPO4M5R"&amp;"CRjy6nZY0TY/edit#gid=1248694442"",""Subgroup 3: Mi ~ Tx!A3:A17"")),"""")"),"")</f>
        <v/>
      </c>
      <c r="X7" s="19" t="str">
        <f>IFERROR(__xludf.DUMMYFUNCTION("IFNA(FILTER(IMPORTRANGE(""https://docs.google.com/spreadsheets/d/1kGrh75X1cNR1D7_FcY9zMnHP8iPO4M5RCRjy6nZY0TY/edit#gid=1248694442"",""Table 3: 1st-line HC!AK5:AK111""), $A7=IMPORTRANGE(""https://docs.google.com/spreadsheets/d/1kGrh75X1cNR1D7_FcY9zMnHP8iPO"&amp;"4M5RCRjy6nZY0TY/edit#gid=1248694442"",""Table 3: 1st-line HC!A5:A111"")),"""")"),"")</f>
        <v/>
      </c>
      <c r="Y7" s="20" t="str">
        <f>IFERROR(__xludf.DUMMYFUNCTION("IFNA(FILTER(IMPORTRANGE(""https://docs.google.com/spreadsheets/d/1kGrh75X1cNR1D7_FcY9zMnHP8iPO4M5RCRjy6nZY0TY/edit#gid=1248694442"",""Subgroup 4: Mp ~ Tx!B3:B20""), $A7=IMPORTRANGE(""https://docs.google.com/spreadsheets/d/1kGrh75X1cNR1D7_FcY9zMnHP8iPO4M5R"&amp;"CRjy6nZY0TY/edit#gid=1248694442"",""Subgroup 4: Mp ~ Tx!A3:A20"")),"""")"),"")</f>
        <v/>
      </c>
      <c r="Z7" s="20" t="str">
        <f>IFERROR(__xludf.DUMMYFUNCTION("IFNA(FILTER(IMPORTRANGE(""https://docs.google.com/spreadsheets/d/1kGrh75X1cNR1D7_FcY9zMnHP8iPO4M5RCRjy6nZY0TY/edit#gid=1248694442"",""Subgroup 4: Mp ~ Tx!C3:C20""), $A7=IMPORTRANGE(""https://docs.google.com/spreadsheets/d/1kGrh75X1cNR1D7_FcY9zMnHP8iPO4M5R"&amp;"CRjy6nZY0TY/edit#gid=1248694442"",""Subgroup 4: Mp ~ Tx!A3:A20"")),"""")"),"")</f>
        <v/>
      </c>
      <c r="AA7" s="20" t="str">
        <f>IFERROR(__xludf.DUMMYFUNCTION("IFNA(FILTER(IMPORTRANGE(""https://docs.google.com/spreadsheets/d/1kGrh75X1cNR1D7_FcY9zMnHP8iPO4M5RCRjy6nZY0TY/edit#gid=1248694442"",""Subgroup 4: Mp ~ Tx!D3:D20""), $A7=IMPORTRANGE(""https://docs.google.com/spreadsheets/d/1kGrh75X1cNR1D7_FcY9zMnHP8iPO4M5R"&amp;"CRjy6nZY0TY/edit#gid=1248694442"",""Subgroup 4: Mp ~ Tx!A3:A20"")),"""")"),"")</f>
        <v/>
      </c>
      <c r="AB7" s="20" t="str">
        <f>IFERROR(__xludf.DUMMYFUNCTION("IFNA(FILTER(IMPORTRANGE(""https://docs.google.com/spreadsheets/d/1kGrh75X1cNR1D7_FcY9zMnHP8iPO4M5RCRjy6nZY0TY/edit#gid=1248694442"",""Subgroup 4: Mp ~ Tx!E3:E20""), $A7=IMPORTRANGE(""https://docs.google.com/spreadsheets/d/1kGrh75X1cNR1D7_FcY9zMnHP8iPO4M5R"&amp;"CRjy6nZY0TY/edit#gid=1248694442"",""Subgroup 4: Mp ~ Tx!A3:A20"")),"""")"),"")</f>
        <v/>
      </c>
      <c r="AC7" s="20" t="str">
        <f>IFERROR(__xludf.DUMMYFUNCTION("IFNA(FILTER(IMPORTRANGE(""https://docs.google.com/spreadsheets/d/1kGrh75X1cNR1D7_FcY9zMnHP8iPO4M5RCRjy6nZY0TY/edit#gid=1248694442"",""Subgroup 4: Mp ~ Tx!F3:F20""), $A7=IMPORTRANGE(""https://docs.google.com/spreadsheets/d/1kGrh75X1cNR1D7_FcY9zMnHP8iPO4M5R"&amp;"CRjy6nZY0TY/edit#gid=1248694442"",""Subgroup 4: Mp ~ Tx!A3:A20"")),"""")"),"")</f>
        <v/>
      </c>
      <c r="AD7" s="22" t="str">
        <f>IFERROR(__xludf.DUMMYFUNCTION("IFNA(FILTER(IMPORTRANGE(""https://docs.google.com/spreadsheets/d/1kGrh75X1cNR1D7_FcY9zMnHP8iPO4M5RCRjy6nZY0TY/edit#gid=1248694442"",""Table 3: 1st-line HC!AL5:AL111""), $A7=IMPORTRANGE(""https://docs.google.com/spreadsheets/d/1kGrh75X1cNR1D7_FcY9zMnHP8iPO"&amp;"4M5RCRjy6nZY0TY/edit#gid=1248694442"",""Table 3: 1st-line HC!A5:A111"")),"""")"),"")</f>
        <v/>
      </c>
      <c r="AE7" s="20">
        <f>IFERROR(__xludf.DUMMYFUNCTION("IFNA(FILTER(IMPORTRANGE(""https://docs.google.com/spreadsheets/d/1kGrh75X1cNR1D7_FcY9zMnHP8iPO4M5RCRjy6nZY0TY/edit#gid=1248694442"",""Table 3: 1st-line HC!BJ5:BJ111""), $A7=IMPORTRANGE(""https://docs.google.com/spreadsheets/d/1kGrh75X1cNR1D7_FcY9zMnHP8iPO"&amp;"4M5RCRjy6nZY0TY/edit#gid=1248694442"",""Table 3: 1st-line HC!A5:A111"")),"""")"),0.59)</f>
        <v>0.59</v>
      </c>
      <c r="AF7" s="20" t="str">
        <f>IFERROR(__xludf.DUMMYFUNCTION("IFNA(FILTER(IMPORTRANGE(""https://docs.google.com/spreadsheets/d/1kGrh75X1cNR1D7_FcY9zMnHP8iPO4M5RCRjy6nZY0TY/edit#gid=1248694442"",""Subgroup 2: Cr ~ Tx!B3:B23""), $A7=IMPORTRANGE(""https://docs.google.com/spreadsheets/d/1kGrh75X1cNR1D7_FcY9zMnHP8iPO4M5R"&amp;"CRjy6nZY0TY/edit#gid=1248694442"",""Subgroup 2: Cr ~ Tx!A3:A23"")),"""")"),"")</f>
        <v/>
      </c>
      <c r="AG7" s="20">
        <f>IFERROR(__xludf.DUMMYFUNCTION("IFNA(FILTER(IMPORTRANGE(""https://docs.google.com/spreadsheets/d/1kGrh75X1cNR1D7_FcY9zMnHP8iPO4M5RCRjy6nZY0TY/edit#gid=1248694442"",""Subgroup 2: Cr ~ Tx!C3:C23""), $A7=IMPORTRANGE(""https://docs.google.com/spreadsheets/d/1kGrh75X1cNR1D7_FcY9zMnHP8iPO4M5R"&amp;"CRjy6nZY0TY/edit#gid=1248694442"",""Subgroup 2: Cr ~ Tx!A3:A23"")),"""")"),0.587933)</f>
        <v>0.587933</v>
      </c>
      <c r="AH7" s="20" t="str">
        <f>IFERROR(__xludf.DUMMYFUNCTION("IFNA(FILTER(IMPORTRANGE(""https://docs.google.com/spreadsheets/d/1kGrh75X1cNR1D7_FcY9zMnHP8iPO4M5RCRjy6nZY0TY/edit#gid=1248694442"",""Subgroup 2: Cr ~ Tx!D3:D23""), $A7=IMPORTRANGE(""https://docs.google.com/spreadsheets/d/1kGrh75X1cNR1D7_FcY9zMnHP8iPO4M5R"&amp;"CRjy6nZY0TY/edit#gid=1248694442"",""Subgroup 2: Cr ~ Tx!A3:A23"")),"""")"),"")</f>
        <v/>
      </c>
      <c r="AI7" s="20" t="str">
        <f>IFERROR(__xludf.DUMMYFUNCTION("IFNA(FILTER(IMPORTRANGE(""https://docs.google.com/spreadsheets/d/1kGrh75X1cNR1D7_FcY9zMnHP8iPO4M5RCRjy6nZY0TY/edit#gid=1248694442"",""Subgroup 2: Cr ~ Tx!E3:E23""), $A7=IMPORTRANGE(""https://docs.google.com/spreadsheets/d/1kGrh75X1cNR1D7_FcY9zMnHP8iPO4M5R"&amp;"CRjy6nZY0TY/edit#gid=1248694442"",""Subgroup 2: Cr ~ Tx!A3:A23"")),"""")"),"")</f>
        <v/>
      </c>
      <c r="AJ7" s="20" t="str">
        <f>IFERROR(__xludf.DUMMYFUNCTION("IFNA(FILTER(IMPORTRANGE(""https://docs.google.com/spreadsheets/d/1kGrh75X1cNR1D7_FcY9zMnHP8iPO4M5RCRjy6nZY0TY/edit#gid=1248694442"",""Subgroup 2: Cr ~ Tx!F3:F23""), $A7=IMPORTRANGE(""https://docs.google.com/spreadsheets/d/1kGrh75X1cNR1D7_FcY9zMnHP8iPO4M5R"&amp;"CRjy6nZY0TY/edit#gid=1248694442"",""Subgroup 2: Cr ~ Tx!A3:A23"")),"""")"),"")</f>
        <v/>
      </c>
      <c r="AK7" s="14" t="str">
        <f>IFERROR(__xludf.DUMMYFUNCTION("IFNA(FILTER(IMPORTRANGE(""https://docs.google.com/spreadsheets/d/1kGrh75X1cNR1D7_FcY9zMnHP8iPO4M5RCRjy6nZY0TY/edit#gid=1248694442"",""Table 4: 2nd-line HC or more!M5:M85""), $A7=IMPORTRANGE(""https://docs.google.com/spreadsheets/d/1kGrh75X1cNR1D7_FcY9zMnH"&amp;"P8iPO4M5RCRjy6nZY0TY/edit#gid=1248694442"",""Table 4: 2nd-line HC or more!A5:A85"")),"""")"),"")</f>
        <v/>
      </c>
      <c r="AL7" s="14" t="str">
        <f>IFERROR(__xludf.DUMMYFUNCTION("IFNA(FILTER(IMPORTRANGE(""https://docs.google.com/spreadsheets/d/1kGrh75X1cNR1D7_FcY9zMnHP8iPO4M5RCRjy6nZY0TY/edit#gid=1248694442"",""Table 4: 2nd-line HC or more!N5:N85""), $A7=IMPORTRANGE(""https://docs.google.com/spreadsheets/d/1kGrh75X1cNR1D7_FcY9zMnH"&amp;"P8iPO4M5RCRjy6nZY0TY/edit#gid=1248694442"",""Table 4: 2nd-line HC or more!A5:A85"")),"""")"),"")</f>
        <v/>
      </c>
      <c r="AM7" s="14" t="str">
        <f>IFERROR(__xludf.DUMMYFUNCTION("IFNA(FILTER(IMPORTRANGE(""https://docs.google.com/spreadsheets/d/1kGrh75X1cNR1D7_FcY9zMnHP8iPO4M5RCRjy6nZY0TY/edit#gid=1248694442"",""Table 4: 2nd-line HC or more!O5:O85""), $A7=IMPORTRANGE(""https://docs.google.com/spreadsheets/d/1kGrh75X1cNR1D7_FcY9zMnH"&amp;"P8iPO4M5RCRjy6nZY0TY/edit#gid=1248694442"",""Table 4: 2nd-line HC or more!A5:A85"")),"""")"),"")</f>
        <v/>
      </c>
      <c r="AN7" s="14" t="str">
        <f>IFERROR(__xludf.DUMMYFUNCTION("IFNA(FILTER(IMPORTRANGE(""https://docs.google.com/spreadsheets/d/1kGrh75X1cNR1D7_FcY9zMnHP8iPO4M5RCRjy6nZY0TY/edit#gid=1248694442"",""Table 3: 1st-line HC!AP5:AP111""), $A7=IMPORTRANGE(""https://docs.google.com/spreadsheets/d/1kGrh75X1cNR1D7_FcY9zMnHP8iPO"&amp;"4M5RCRjy6nZY0TY/edit#gid=1248694442"",""Table 3: 1st-line HC!A5:A111"")),"""")"),"")</f>
        <v/>
      </c>
      <c r="AO7" s="14">
        <f>IFERROR(__xludf.DUMMYFUNCTION("IFNA(FILTER(IMPORTRANGE(""https://docs.google.com/spreadsheets/d/1kGrh75X1cNR1D7_FcY9zMnHP8iPO4M5RCRjy6nZY0TY/edit#gid=1248694442"",""Table 3: 1st-line HC!AO5:AO111""), $A7=IMPORTRANGE(""https://docs.google.com/spreadsheets/d/1kGrh75X1cNR1D7_FcY9zMnHP8iPO"&amp;"4M5RCRjy6nZY0TY/edit#gid=1248694442"",""Table 3: 1st-line HC!A5:A111"")),"""")"),118.0)</f>
        <v>118</v>
      </c>
      <c r="AP7" s="14" t="str">
        <f>IFERROR(__xludf.DUMMYFUNCTION("IFNA(FILTER(IMPORTRANGE(""https://docs.google.com/spreadsheets/d/1kGrh75X1cNR1D7_FcY9zMnHP8iPO4M5RCRjy6nZY0TY/edit#gid=1248694442"",""Table 3: 1st-line HC!AQ5:AQ111""), $A7=IMPORTRANGE(""https://docs.google.com/spreadsheets/d/1kGrh75X1cNR1D7_FcY9zMnHP8iPO"&amp;"4M5RCRjy6nZY0TY/edit#gid=1248694442"",""Table 3: 1st-line HC!A5:A111"")),"""")"),"")</f>
        <v/>
      </c>
      <c r="AQ7" s="14" t="str">
        <f>IFERROR(__xludf.DUMMYFUNCTION("IFNA(FILTER(IMPORTRANGE(""https://docs.google.com/spreadsheets/d/1kGrh75X1cNR1D7_FcY9zMnHP8iPO4M5RCRjy6nZY0TY/edit#gid=1248694442"",""Table 2: MMC!T5:T114""), $A7=IMPORTRANGE(""https://docs.google.com/spreadsheets/d/1kGrh75X1cNR1D7_FcY9zMnHP8iPO4M5RCRjy6n"&amp;"ZY0TY/edit#gid=1248694442"",""Table 2: MMC!A5:A114"")),"""")"),"")</f>
        <v/>
      </c>
      <c r="AR7" s="14" t="str">
        <f>IFERROR(__xludf.DUMMYFUNCTION("IFNA(FILTER(IMPORTRANGE(""https://docs.google.com/spreadsheets/d/1kGrh75X1cNR1D7_FcY9zMnHP8iPO4M5RCRjy6nZY0TY/edit#gid=1248694442"",""Table 2: MMC!U5:U114""), $A7=IMPORTRANGE(""https://docs.google.com/spreadsheets/d/1kGrh75X1cNR1D7_FcY9zMnHP8iPO4M5RCRjy6n"&amp;"ZY0TY/edit#gid=1248694442"",""Table 2: MMC!A5:A114"")),"""")"),"")</f>
        <v/>
      </c>
      <c r="AS7" s="14" t="str">
        <f>IFERROR(__xludf.DUMMYFUNCTION("IFNA(FILTER(IMPORTRANGE(""https://docs.google.com/spreadsheets/d/1kGrh75X1cNR1D7_FcY9zMnHP8iPO4M5RCRjy6nZY0TY/edit#gid=1248694442"",""Table 2: MMC!V5:V114""), $A7=IMPORTRANGE(""https://docs.google.com/spreadsheets/d/1kGrh75X1cNR1D7_FcY9zMnHP8iPO4M5RCRjy6n"&amp;"ZY0TY/edit#gid=1248694442"",""Table 2: MMC!A5:A114"")),"""")"),"")</f>
        <v/>
      </c>
      <c r="AT7" s="4" t="str">
        <f>IFERROR(__xludf.DUMMYFUNCTION("IFNA(FILTER(IMPORTRANGE(""https://docs.google.com/spreadsheets/d/1kGrh75X1cNR1D7_FcY9zMnHP8iPO4M5RCRjy6nZY0TY/edit#gid=1248694442"",""Table 2: MMC!W5:W114""), $A7=IMPORTRANGE(""https://docs.google.com/spreadsheets/d/1kGrh75X1cNR1D7_FcY9zMnHP8iPO4M5RCRjy6n"&amp;"ZY0TY/edit#gid=1248694442"",""Table 2: MMC!A5:A114"")),"""")"),"")</f>
        <v/>
      </c>
    </row>
    <row r="8">
      <c r="A8" s="4" t="str">
        <f>IFERROR(__xludf.DUMMYFUNCTION("""COMPUTED_VALUE"""),"ID 10")</f>
        <v>ID 10</v>
      </c>
      <c r="B8" s="20" t="str">
        <f>IFERROR(__xludf.DUMMYFUNCTION("IFNA(FILTER(IMPORTRANGE(""https://docs.google.com/spreadsheets/d/1kGrh75X1cNR1D7_FcY9zMnHP8iPO4M5RCRjy6nZY0TY/edit#gid=1248694442"",""Table 3: 1st-line HC!BK5:BK111""), $A8=IMPORTRANGE(""https://docs.google.com/spreadsheets/d/1kGrh75X1cNR1D7_FcY9zMnHP8iPO"&amp;"4M5RCRjy6nZY0TY/edit#gid=1248694442"",""Table 3: 1st-line HC!A5:A111"")),"""")"),"")</f>
        <v/>
      </c>
      <c r="C8" s="20" t="str">
        <f>IFERROR(__xludf.DUMMYFUNCTION("IFNA(FILTER(IMPORTRANGE(""https://docs.google.com/spreadsheets/d/1kGrh75X1cNR1D7_FcY9zMnHP8iPO4M5RCRjy6nZY0TY/edit#gid=1248694442"",""Subgroup 1: Fr ~ Tx!B3:B20""), $A8=IMPORTRANGE(""https://docs.google.com/spreadsheets/d/1kGrh75X1cNR1D7_FcY9zMnHP8iPO4M5R"&amp;"CRjy6nZY0TY/edit#gid=1248694442"",""Subgroup 1: Fr ~ Tx!A3:A20"")),"""")"),"")</f>
        <v/>
      </c>
      <c r="D8" s="20" t="str">
        <f>IFERROR(__xludf.DUMMYFUNCTION("IFNA(FILTER(IMPORTRANGE(""https://docs.google.com/spreadsheets/d/1kGrh75X1cNR1D7_FcY9zMnHP8iPO4M5RCRjy6nZY0TY/edit#gid=1248694442"",""Subgroup 1: Fr ~ Tx!C3:C20""), $A8=IMPORTRANGE(""https://docs.google.com/spreadsheets/d/1kGrh75X1cNR1D7_FcY9zMnHP8iPO4M5R"&amp;"CRjy6nZY0TY/edit#gid=1248694442"",""Subgroup 1: Fr ~ Tx!A3:A20"")),"""")"),"")</f>
        <v/>
      </c>
      <c r="E8" s="20" t="str">
        <f>IFERROR(__xludf.DUMMYFUNCTION("IFNA(FILTER(IMPORTRANGE(""https://docs.google.com/spreadsheets/d/1kGrh75X1cNR1D7_FcY9zMnHP8iPO4M5RCRjy6nZY0TY/edit#gid=1248694442"",""Subgroup 1: Fr ~ Tx!D3:D20""), $A8=IMPORTRANGE(""https://docs.google.com/spreadsheets/d/1kGrh75X1cNR1D7_FcY9zMnHP8iPO4M5R"&amp;"CRjy6nZY0TY/edit#gid=1248694442"",""Subgroup 1: Fr ~ Tx!A3:A20"")),"""")"),"")</f>
        <v/>
      </c>
      <c r="F8" s="20" t="str">
        <f>IFERROR(__xludf.DUMMYFUNCTION("IFNA(FILTER(IMPORTRANGE(""https://docs.google.com/spreadsheets/d/1kGrh75X1cNR1D7_FcY9zMnHP8iPO4M5RCRjy6nZY0TY/edit#gid=1248694442"",""Subgroup 1: Fr ~ Tx!E3:E20""), $A8=IMPORTRANGE(""https://docs.google.com/spreadsheets/d/1kGrh75X1cNR1D7_FcY9zMnHP8iPO4M5R"&amp;"CRjy6nZY0TY/edit#gid=1248694442"",""Subgroup 1: Fr ~ Tx!A3:A20"")),"""")"),"")</f>
        <v/>
      </c>
      <c r="G8" s="20" t="str">
        <f>IFERROR(__xludf.DUMMYFUNCTION("IFNA(FILTER(IMPORTRANGE(""https://docs.google.com/spreadsheets/d/1kGrh75X1cNR1D7_FcY9zMnHP8iPO4M5RCRjy6nZY0TY/edit#gid=1248694442"",""Subgroup 1: Fr ~ Tx!F3:F20""), $A8=IMPORTRANGE(""https://docs.google.com/spreadsheets/d/1kGrh75X1cNR1D7_FcY9zMnHP8iPO4M5R"&amp;"CRjy6nZY0TY/edit#gid=1248694442"",""Subgroup 1: Fr ~ Tx!A3:A20"")),"""")"),"")</f>
        <v/>
      </c>
      <c r="H8" s="20" t="str">
        <f>IFERROR(__xludf.DUMMYFUNCTION("IFNA(FILTER(IMPORTRANGE(""https://docs.google.com/spreadsheets/d/1kGrh75X1cNR1D7_FcY9zMnHP8iPO4M5RCRjy6nZY0TY/edit#gid=1248694442"",""Table 3: 1st-line HC!BD5:BD111""), $A8=IMPORTRANGE(""https://docs.google.com/spreadsheets/d/1kGrh75X1cNR1D7_FcY9zMnHP8iPO"&amp;"4M5RCRjy6nZY0TY/edit#gid=1248694442"",""Table 3: 1st-line HC!A5:A111"")),"""")"),"")</f>
        <v/>
      </c>
      <c r="I8" s="20" t="str">
        <f>IFERROR(__xludf.DUMMYFUNCTION("IFNA(FILTER(IMPORTRANGE(""https://docs.google.com/spreadsheets/d/1kGrh75X1cNR1D7_FcY9zMnHP8iPO4M5RCRjy6nZY0TY/edit#gid=1248694442"",""Subgroup 5: Tf ~ Tx!B3:B8""), $A8=IMPORTRANGE(""https://docs.google.com/spreadsheets/d/1kGrh75X1cNR1D7_FcY9zMnHP8iPO4M5RC"&amp;"Rjy6nZY0TY/edit#gid=1248694442"",""Subgroup 5: Tf ~ Tx!A3:A8"")),"""")"),"")</f>
        <v/>
      </c>
      <c r="J8" s="20" t="str">
        <f>IFERROR(__xludf.DUMMYFUNCTION("IFNA(FILTER(IMPORTRANGE(""https://docs.google.com/spreadsheets/d/1kGrh75X1cNR1D7_FcY9zMnHP8iPO4M5RCRjy6nZY0TY/edit#gid=1248694442"",""Subgroup 5: Tf ~ Tx!C3:C8""), $A8=IMPORTRANGE(""https://docs.google.com/spreadsheets/d/1kGrh75X1cNR1D7_FcY9zMnHP8iPO4M5RC"&amp;"Rjy6nZY0TY/edit#gid=1248694442"",""Subgroup 5: Tf ~ Tx!A3:A8"")),"""")"),"")</f>
        <v/>
      </c>
      <c r="K8" s="20" t="str">
        <f>IFERROR(__xludf.DUMMYFUNCTION("IFNA(FILTER(IMPORTRANGE(""https://docs.google.com/spreadsheets/d/1kGrh75X1cNR1D7_FcY9zMnHP8iPO4M5RCRjy6nZY0TY/edit#gid=1248694442"",""Subgroup 5: Tf ~ Tx!D3:D8""), $A8=IMPORTRANGE(""https://docs.google.com/spreadsheets/d/1kGrh75X1cNR1D7_FcY9zMnHP8iPO4M5RC"&amp;"Rjy6nZY0TY/edit#gid=1248694442"",""Subgroup 5: Tf ~ Tx!A3:A8"")),"""")"),"")</f>
        <v/>
      </c>
      <c r="L8" s="20" t="str">
        <f>IFERROR(__xludf.DUMMYFUNCTION("IFNA(FILTER(IMPORTRANGE(""https://docs.google.com/spreadsheets/d/1kGrh75X1cNR1D7_FcY9zMnHP8iPO4M5RCRjy6nZY0TY/edit#gid=1248694442"",""Subgroup 5: Tf ~ Tx!E3:E8""), $A8=IMPORTRANGE(""https://docs.google.com/spreadsheets/d/1kGrh75X1cNR1D7_FcY9zMnHP8iPO4M5RC"&amp;"Rjy6nZY0TY/edit#gid=1248694442"",""Subgroup 5: Tf ~ Tx!A3:A8"")),"""")"),"")</f>
        <v/>
      </c>
      <c r="M8" s="20" t="str">
        <f>IFERROR(__xludf.DUMMYFUNCTION("IFNA(FILTER(IMPORTRANGE(""https://docs.google.com/spreadsheets/d/1kGrh75X1cNR1D7_FcY9zMnHP8iPO4M5RCRjy6nZY0TY/edit#gid=1248694442"",""Subgroup 5: Tf ~ Tx!F3:F8""), $A8=IMPORTRANGE(""https://docs.google.com/spreadsheets/d/1kGrh75X1cNR1D7_FcY9zMnHP8iPO4M5RC"&amp;"Rjy6nZY0TY/edit#gid=1248694442"",""Subgroup 5: Tf ~ Tx!A3:A8"")),"""")"),"")</f>
        <v/>
      </c>
      <c r="N8" s="20" t="str">
        <f>IFERROR(__xludf.DUMMYFUNCTION("IFNA(FILTER(IMPORTRANGE(""https://docs.google.com/spreadsheets/d/1kGrh75X1cNR1D7_FcY9zMnHP8iPO4M5RCRjy6nZY0TY/edit#gid=1248694442"",""Table 3: 1st-line HC!BE5:BE111""), $A8=IMPORTRANGE(""https://docs.google.com/spreadsheets/d/1kGrh75X1cNR1D7_FcY9zMnHP8iPO"&amp;"4M5RCRjy6nZY0TY/edit#gid=1248694442"",""Table 3: 1st-line HC!A5:A111"")),"""")"),"")</f>
        <v/>
      </c>
      <c r="O8" s="20" t="str">
        <f>IFERROR(__xludf.DUMMYFUNCTION("IFNA(FILTER(IMPORTRANGE(""https://docs.google.com/spreadsheets/d/1kGrh75X1cNR1D7_FcY9zMnHP8iPO4M5RCRjy6nZY0TY/edit#gid=1248694442"",""Table 3: 1st-line HC!BF5:BF111""), $A8=IMPORTRANGE(""https://docs.google.com/spreadsheets/d/1kGrh75X1cNR1D7_FcY9zMnHP8iPO"&amp;"4M5RCRjy6nZY0TY/edit#gid=1248694442"",""Table 3: 1st-line HC!A5:A111"")),"""")"),"")</f>
        <v/>
      </c>
      <c r="P8" s="20" t="str">
        <f>IFERROR(__xludf.DUMMYFUNCTION("IFNA(FILTER(IMPORTRANGE(""https://docs.google.com/spreadsheets/d/1kGrh75X1cNR1D7_FcY9zMnHP8iPO4M5RCRjy6nZY0TY/edit#gid=1248694442"",""Table 3: 1st-line HC!BG5:BG111""), $A8=IMPORTRANGE(""https://docs.google.com/spreadsheets/d/1kGrh75X1cNR1D7_FcY9zMnHP8iPO"&amp;"4M5RCRjy6nZY0TY/edit#gid=1248694442"",""Table 3: 1st-line HC!A5:A111"")),"""")"),"")</f>
        <v/>
      </c>
      <c r="Q8" s="21" t="str">
        <f>IFERROR(__xludf.DUMMYFUNCTION("IFNA(FILTER(IMPORTRANGE(""https://docs.google.com/spreadsheets/d/1kGrh75X1cNR1D7_FcY9zMnHP8iPO4M5RCRjy6nZY0TY/edit#gid=1248694442"",""Table 3: 1st-line HC!BH5:BH111""), $A8=IMPORTRANGE(""https://docs.google.com/spreadsheets/d/1kGrh75X1cNR1D7_FcY9zMnHP8iPO"&amp;"4M5RCRjy6nZY0TY/edit#gid=1248694442"",""Table 3: 1st-line HC!A5:A111"")),"""")"),"")</f>
        <v/>
      </c>
      <c r="R8" s="19" t="str">
        <f>IFERROR(__xludf.DUMMYFUNCTION("IFNA(FILTER(IMPORTRANGE(""https://docs.google.com/spreadsheets/d/1kGrh75X1cNR1D7_FcY9zMnHP8iPO4M5RCRjy6nZY0TY/edit#gid=1248694442"",""Table 3: 1st-line HC!AJ5:AJ111""), $A8=IMPORTRANGE(""https://docs.google.com/spreadsheets/d/1kGrh75X1cNR1D7_FcY9zMnHP8iPO"&amp;"4M5RCRjy6nZY0TY/edit#gid=1248694442"",""Table 3: 1st-line HC!A5:A111"")),"""")"),"")</f>
        <v/>
      </c>
      <c r="S8" s="20" t="str">
        <f>IFERROR(__xludf.DUMMYFUNCTION("IFNA(FILTER(IMPORTRANGE(""https://docs.google.com/spreadsheets/d/1kGrh75X1cNR1D7_FcY9zMnHP8iPO4M5RCRjy6nZY0TY/edit#gid=1248694442"",""Subgroup 3: Mi ~ Tx!B3:B17""), $A8=IMPORTRANGE(""https://docs.google.com/spreadsheets/d/1kGrh75X1cNR1D7_FcY9zMnHP8iPO4M5R"&amp;"CRjy6nZY0TY/edit#gid=1248694442"",""Subgroup 3: Mi ~ Tx!A3:A17"")),"""")"),"")</f>
        <v/>
      </c>
      <c r="T8" s="20" t="str">
        <f>IFERROR(__xludf.DUMMYFUNCTION("IFNA(FILTER(IMPORTRANGE(""https://docs.google.com/spreadsheets/d/1kGrh75X1cNR1D7_FcY9zMnHP8iPO4M5RCRjy6nZY0TY/edit#gid=1248694442"",""Subgroup 3: Mi ~ Tx!C3:C17""), $A8=IMPORTRANGE(""https://docs.google.com/spreadsheets/d/1kGrh75X1cNR1D7_FcY9zMnHP8iPO4M5R"&amp;"CRjy6nZY0TY/edit#gid=1248694442"",""Subgroup 3: Mi ~ Tx!A3:A17"")),"""")"),"")</f>
        <v/>
      </c>
      <c r="U8" s="20" t="str">
        <f>IFERROR(__xludf.DUMMYFUNCTION("IFNA(FILTER(IMPORTRANGE(""https://docs.google.com/spreadsheets/d/1kGrh75X1cNR1D7_FcY9zMnHP8iPO4M5RCRjy6nZY0TY/edit#gid=1248694442"",""Subgroup 3: Mi ~ Tx!D3:D17""), $A8=IMPORTRANGE(""https://docs.google.com/spreadsheets/d/1kGrh75X1cNR1D7_FcY9zMnHP8iPO4M5R"&amp;"CRjy6nZY0TY/edit#gid=1248694442"",""Subgroup 3: Mi ~ Tx!A3:A17"")),"""")"),"")</f>
        <v/>
      </c>
      <c r="V8" s="20" t="str">
        <f>IFERROR(__xludf.DUMMYFUNCTION("IFNA(FILTER(IMPORTRANGE(""https://docs.google.com/spreadsheets/d/1kGrh75X1cNR1D7_FcY9zMnHP8iPO4M5RCRjy6nZY0TY/edit#gid=1248694442"",""Subgroup 3: Mi ~ Tx!E3:E17""), $A8=IMPORTRANGE(""https://docs.google.com/spreadsheets/d/1kGrh75X1cNR1D7_FcY9zMnHP8iPO4M5R"&amp;"CRjy6nZY0TY/edit#gid=1248694442"",""Subgroup 3: Mi ~ Tx!A3:A17"")),"""")"),"")</f>
        <v/>
      </c>
      <c r="W8" s="20" t="str">
        <f>IFERROR(__xludf.DUMMYFUNCTION("IFNA(FILTER(IMPORTRANGE(""https://docs.google.com/spreadsheets/d/1kGrh75X1cNR1D7_FcY9zMnHP8iPO4M5RCRjy6nZY0TY/edit#gid=1248694442"",""Subgroup 3: Mi ~ Tx!F3:F17""), $A8=IMPORTRANGE(""https://docs.google.com/spreadsheets/d/1kGrh75X1cNR1D7_FcY9zMnHP8iPO4M5R"&amp;"CRjy6nZY0TY/edit#gid=1248694442"",""Subgroup 3: Mi ~ Tx!A3:A17"")),"""")"),"")</f>
        <v/>
      </c>
      <c r="X8" s="19" t="str">
        <f>IFERROR(__xludf.DUMMYFUNCTION("IFNA(FILTER(IMPORTRANGE(""https://docs.google.com/spreadsheets/d/1kGrh75X1cNR1D7_FcY9zMnHP8iPO4M5RCRjy6nZY0TY/edit#gid=1248694442"",""Table 3: 1st-line HC!AK5:AK111""), $A8=IMPORTRANGE(""https://docs.google.com/spreadsheets/d/1kGrh75X1cNR1D7_FcY9zMnHP8iPO"&amp;"4M5RCRjy6nZY0TY/edit#gid=1248694442"",""Table 3: 1st-line HC!A5:A111"")),"""")"),"")</f>
        <v/>
      </c>
      <c r="Y8" s="20" t="str">
        <f>IFERROR(__xludf.DUMMYFUNCTION("IFNA(FILTER(IMPORTRANGE(""https://docs.google.com/spreadsheets/d/1kGrh75X1cNR1D7_FcY9zMnHP8iPO4M5RCRjy6nZY0TY/edit#gid=1248694442"",""Subgroup 4: Mp ~ Tx!B3:B20""), $A8=IMPORTRANGE(""https://docs.google.com/spreadsheets/d/1kGrh75X1cNR1D7_FcY9zMnHP8iPO4M5R"&amp;"CRjy6nZY0TY/edit#gid=1248694442"",""Subgroup 4: Mp ~ Tx!A3:A20"")),"""")"),"")</f>
        <v/>
      </c>
      <c r="Z8" s="20" t="str">
        <f>IFERROR(__xludf.DUMMYFUNCTION("IFNA(FILTER(IMPORTRANGE(""https://docs.google.com/spreadsheets/d/1kGrh75X1cNR1D7_FcY9zMnHP8iPO4M5RCRjy6nZY0TY/edit#gid=1248694442"",""Subgroup 4: Mp ~ Tx!C3:C20""), $A8=IMPORTRANGE(""https://docs.google.com/spreadsheets/d/1kGrh75X1cNR1D7_FcY9zMnHP8iPO4M5R"&amp;"CRjy6nZY0TY/edit#gid=1248694442"",""Subgroup 4: Mp ~ Tx!A3:A20"")),"""")"),"")</f>
        <v/>
      </c>
      <c r="AA8" s="20" t="str">
        <f>IFERROR(__xludf.DUMMYFUNCTION("IFNA(FILTER(IMPORTRANGE(""https://docs.google.com/spreadsheets/d/1kGrh75X1cNR1D7_FcY9zMnHP8iPO4M5RCRjy6nZY0TY/edit#gid=1248694442"",""Subgroup 4: Mp ~ Tx!D3:D20""), $A8=IMPORTRANGE(""https://docs.google.com/spreadsheets/d/1kGrh75X1cNR1D7_FcY9zMnHP8iPO4M5R"&amp;"CRjy6nZY0TY/edit#gid=1248694442"",""Subgroup 4: Mp ~ Tx!A3:A20"")),"""")"),"")</f>
        <v/>
      </c>
      <c r="AB8" s="20" t="str">
        <f>IFERROR(__xludf.DUMMYFUNCTION("IFNA(FILTER(IMPORTRANGE(""https://docs.google.com/spreadsheets/d/1kGrh75X1cNR1D7_FcY9zMnHP8iPO4M5RCRjy6nZY0TY/edit#gid=1248694442"",""Subgroup 4: Mp ~ Tx!E3:E20""), $A8=IMPORTRANGE(""https://docs.google.com/spreadsheets/d/1kGrh75X1cNR1D7_FcY9zMnHP8iPO4M5R"&amp;"CRjy6nZY0TY/edit#gid=1248694442"",""Subgroup 4: Mp ~ Tx!A3:A20"")),"""")"),"")</f>
        <v/>
      </c>
      <c r="AC8" s="20" t="str">
        <f>IFERROR(__xludf.DUMMYFUNCTION("IFNA(FILTER(IMPORTRANGE(""https://docs.google.com/spreadsheets/d/1kGrh75X1cNR1D7_FcY9zMnHP8iPO4M5RCRjy6nZY0TY/edit#gid=1248694442"",""Subgroup 4: Mp ~ Tx!F3:F20""), $A8=IMPORTRANGE(""https://docs.google.com/spreadsheets/d/1kGrh75X1cNR1D7_FcY9zMnHP8iPO4M5R"&amp;"CRjy6nZY0TY/edit#gid=1248694442"",""Subgroup 4: Mp ~ Tx!A3:A20"")),"""")"),"")</f>
        <v/>
      </c>
      <c r="AD8" s="22" t="str">
        <f>IFERROR(__xludf.DUMMYFUNCTION("IFNA(FILTER(IMPORTRANGE(""https://docs.google.com/spreadsheets/d/1kGrh75X1cNR1D7_FcY9zMnHP8iPO4M5RCRjy6nZY0TY/edit#gid=1248694442"",""Table 3: 1st-line HC!AL5:AL111""), $A8=IMPORTRANGE(""https://docs.google.com/spreadsheets/d/1kGrh75X1cNR1D7_FcY9zMnHP8iPO"&amp;"4M5RCRjy6nZY0TY/edit#gid=1248694442"",""Table 3: 1st-line HC!A5:A111"")),"""")"),"")</f>
        <v/>
      </c>
      <c r="AE8" s="20" t="str">
        <f>IFERROR(__xludf.DUMMYFUNCTION("IFNA(FILTER(IMPORTRANGE(""https://docs.google.com/spreadsheets/d/1kGrh75X1cNR1D7_FcY9zMnHP8iPO4M5RCRjy6nZY0TY/edit#gid=1248694442"",""Table 3: 1st-line HC!BJ5:BJ111""), $A8=IMPORTRANGE(""https://docs.google.com/spreadsheets/d/1kGrh75X1cNR1D7_FcY9zMnHP8iPO"&amp;"4M5RCRjy6nZY0TY/edit#gid=1248694442"",""Table 3: 1st-line HC!A5:A111"")),"""")"),"")</f>
        <v/>
      </c>
      <c r="AF8" s="20" t="str">
        <f>IFERROR(__xludf.DUMMYFUNCTION("IFNA(FILTER(IMPORTRANGE(""https://docs.google.com/spreadsheets/d/1kGrh75X1cNR1D7_FcY9zMnHP8iPO4M5RCRjy6nZY0TY/edit#gid=1248694442"",""Subgroup 2: Cr ~ Tx!B3:B23""), $A8=IMPORTRANGE(""https://docs.google.com/spreadsheets/d/1kGrh75X1cNR1D7_FcY9zMnHP8iPO4M5R"&amp;"CRjy6nZY0TY/edit#gid=1248694442"",""Subgroup 2: Cr ~ Tx!A3:A23"")),"""")"),"")</f>
        <v/>
      </c>
      <c r="AG8" s="20" t="str">
        <f>IFERROR(__xludf.DUMMYFUNCTION("IFNA(FILTER(IMPORTRANGE(""https://docs.google.com/spreadsheets/d/1kGrh75X1cNR1D7_FcY9zMnHP8iPO4M5RCRjy6nZY0TY/edit#gid=1248694442"",""Subgroup 2: Cr ~ Tx!C3:C23""), $A8=IMPORTRANGE(""https://docs.google.com/spreadsheets/d/1kGrh75X1cNR1D7_FcY9zMnHP8iPO4M5R"&amp;"CRjy6nZY0TY/edit#gid=1248694442"",""Subgroup 2: Cr ~ Tx!A3:A23"")),"""")"),"")</f>
        <v/>
      </c>
      <c r="AH8" s="20" t="str">
        <f>IFERROR(__xludf.DUMMYFUNCTION("IFNA(FILTER(IMPORTRANGE(""https://docs.google.com/spreadsheets/d/1kGrh75X1cNR1D7_FcY9zMnHP8iPO4M5RCRjy6nZY0TY/edit#gid=1248694442"",""Subgroup 2: Cr ~ Tx!D3:D23""), $A8=IMPORTRANGE(""https://docs.google.com/spreadsheets/d/1kGrh75X1cNR1D7_FcY9zMnHP8iPO4M5R"&amp;"CRjy6nZY0TY/edit#gid=1248694442"",""Subgroup 2: Cr ~ Tx!A3:A23"")),"""")"),"")</f>
        <v/>
      </c>
      <c r="AI8" s="20" t="str">
        <f>IFERROR(__xludf.DUMMYFUNCTION("IFNA(FILTER(IMPORTRANGE(""https://docs.google.com/spreadsheets/d/1kGrh75X1cNR1D7_FcY9zMnHP8iPO4M5RCRjy6nZY0TY/edit#gid=1248694442"",""Subgroup 2: Cr ~ Tx!E3:E23""), $A8=IMPORTRANGE(""https://docs.google.com/spreadsheets/d/1kGrh75X1cNR1D7_FcY9zMnHP8iPO4M5R"&amp;"CRjy6nZY0TY/edit#gid=1248694442"",""Subgroup 2: Cr ~ Tx!A3:A23"")),"""")"),"")</f>
        <v/>
      </c>
      <c r="AJ8" s="20" t="str">
        <f>IFERROR(__xludf.DUMMYFUNCTION("IFNA(FILTER(IMPORTRANGE(""https://docs.google.com/spreadsheets/d/1kGrh75X1cNR1D7_FcY9zMnHP8iPO4M5RCRjy6nZY0TY/edit#gid=1248694442"",""Subgroup 2: Cr ~ Tx!F3:F23""), $A8=IMPORTRANGE(""https://docs.google.com/spreadsheets/d/1kGrh75X1cNR1D7_FcY9zMnHP8iPO4M5R"&amp;"CRjy6nZY0TY/edit#gid=1248694442"",""Subgroup 2: Cr ~ Tx!A3:A23"")),"""")"),"")</f>
        <v/>
      </c>
      <c r="AK8" s="14" t="str">
        <f>IFERROR(__xludf.DUMMYFUNCTION("IFNA(FILTER(IMPORTRANGE(""https://docs.google.com/spreadsheets/d/1kGrh75X1cNR1D7_FcY9zMnHP8iPO4M5RCRjy6nZY0TY/edit#gid=1248694442"",""Table 4: 2nd-line HC or more!M5:M85""), $A8=IMPORTRANGE(""https://docs.google.com/spreadsheets/d/1kGrh75X1cNR1D7_FcY9zMnH"&amp;"P8iPO4M5RCRjy6nZY0TY/edit#gid=1248694442"",""Table 4: 2nd-line HC or more!A5:A85"")),"""")"),"")</f>
        <v/>
      </c>
      <c r="AL8" s="14" t="str">
        <f>IFERROR(__xludf.DUMMYFUNCTION("IFNA(FILTER(IMPORTRANGE(""https://docs.google.com/spreadsheets/d/1kGrh75X1cNR1D7_FcY9zMnHP8iPO4M5RCRjy6nZY0TY/edit#gid=1248694442"",""Table 4: 2nd-line HC or more!N5:N85""), $A8=IMPORTRANGE(""https://docs.google.com/spreadsheets/d/1kGrh75X1cNR1D7_FcY9zMnH"&amp;"P8iPO4M5RCRjy6nZY0TY/edit#gid=1248694442"",""Table 4: 2nd-line HC or more!A5:A85"")),"""")"),"")</f>
        <v/>
      </c>
      <c r="AM8" s="14" t="str">
        <f>IFERROR(__xludf.DUMMYFUNCTION("IFNA(FILTER(IMPORTRANGE(""https://docs.google.com/spreadsheets/d/1kGrh75X1cNR1D7_FcY9zMnHP8iPO4M5RCRjy6nZY0TY/edit#gid=1248694442"",""Table 4: 2nd-line HC or more!O5:O85""), $A8=IMPORTRANGE(""https://docs.google.com/spreadsheets/d/1kGrh75X1cNR1D7_FcY9zMnH"&amp;"P8iPO4M5RCRjy6nZY0TY/edit#gid=1248694442"",""Table 4: 2nd-line HC or more!A5:A85"")),"""")"),"")</f>
        <v/>
      </c>
      <c r="AN8" s="14" t="str">
        <f>IFERROR(__xludf.DUMMYFUNCTION("IFNA(FILTER(IMPORTRANGE(""https://docs.google.com/spreadsheets/d/1kGrh75X1cNR1D7_FcY9zMnHP8iPO4M5RCRjy6nZY0TY/edit#gid=1248694442"",""Table 3: 1st-line HC!AP5:AP111""), $A8=IMPORTRANGE(""https://docs.google.com/spreadsheets/d/1kGrh75X1cNR1D7_FcY9zMnHP8iPO"&amp;"4M5RCRjy6nZY0TY/edit#gid=1248694442"",""Table 3: 1st-line HC!A5:A111"")),"""")"),"")</f>
        <v/>
      </c>
      <c r="AO8" s="14" t="str">
        <f>IFERROR(__xludf.DUMMYFUNCTION("IFNA(FILTER(IMPORTRANGE(""https://docs.google.com/spreadsheets/d/1kGrh75X1cNR1D7_FcY9zMnHP8iPO4M5RCRjy6nZY0TY/edit#gid=1248694442"",""Table 3: 1st-line HC!AO5:AO111""), $A8=IMPORTRANGE(""https://docs.google.com/spreadsheets/d/1kGrh75X1cNR1D7_FcY9zMnHP8iPO"&amp;"4M5RCRjy6nZY0TY/edit#gid=1248694442"",""Table 3: 1st-line HC!A5:A111"")),"""")"),"")</f>
        <v/>
      </c>
      <c r="AP8" s="14" t="str">
        <f>IFERROR(__xludf.DUMMYFUNCTION("IFNA(FILTER(IMPORTRANGE(""https://docs.google.com/spreadsheets/d/1kGrh75X1cNR1D7_FcY9zMnHP8iPO4M5RCRjy6nZY0TY/edit#gid=1248694442"",""Table 3: 1st-line HC!AQ5:AQ111""), $A8=IMPORTRANGE(""https://docs.google.com/spreadsheets/d/1kGrh75X1cNR1D7_FcY9zMnHP8iPO"&amp;"4M5RCRjy6nZY0TY/edit#gid=1248694442"",""Table 3: 1st-line HC!A5:A111"")),"""")"),"")</f>
        <v/>
      </c>
      <c r="AQ8" s="14" t="str">
        <f>IFERROR(__xludf.DUMMYFUNCTION("IFNA(FILTER(IMPORTRANGE(""https://docs.google.com/spreadsheets/d/1kGrh75X1cNR1D7_FcY9zMnHP8iPO4M5RCRjy6nZY0TY/edit#gid=1248694442"",""Table 2: MMC!T5:T114""), $A8=IMPORTRANGE(""https://docs.google.com/spreadsheets/d/1kGrh75X1cNR1D7_FcY9zMnHP8iPO4M5RCRjy6n"&amp;"ZY0TY/edit#gid=1248694442"",""Table 2: MMC!A5:A114"")),"""")"),"")</f>
        <v/>
      </c>
      <c r="AR8" s="14" t="str">
        <f>IFERROR(__xludf.DUMMYFUNCTION("IFNA(FILTER(IMPORTRANGE(""https://docs.google.com/spreadsheets/d/1kGrh75X1cNR1D7_FcY9zMnHP8iPO4M5RCRjy6nZY0TY/edit#gid=1248694442"",""Table 2: MMC!U5:U114""), $A8=IMPORTRANGE(""https://docs.google.com/spreadsheets/d/1kGrh75X1cNR1D7_FcY9zMnHP8iPO4M5RCRjy6n"&amp;"ZY0TY/edit#gid=1248694442"",""Table 2: MMC!A5:A114"")),"""")"),"")</f>
        <v/>
      </c>
      <c r="AS8" s="14">
        <f>IFERROR(__xludf.DUMMYFUNCTION("IFNA(FILTER(IMPORTRANGE(""https://docs.google.com/spreadsheets/d/1kGrh75X1cNR1D7_FcY9zMnHP8iPO4M5RCRjy6nZY0TY/edit#gid=1248694442"",""Table 2: MMC!V5:V114""), $A8=IMPORTRANGE(""https://docs.google.com/spreadsheets/d/1kGrh75X1cNR1D7_FcY9zMnHP8iPO4M5RCRjy6n"&amp;"ZY0TY/edit#gid=1248694442"",""Table 2: MMC!A5:A114"")),"""")"),3.0)</f>
        <v>3</v>
      </c>
      <c r="AT8" s="4" t="str">
        <f>IFERROR(__xludf.DUMMYFUNCTION("IFNA(FILTER(IMPORTRANGE(""https://docs.google.com/spreadsheets/d/1kGrh75X1cNR1D7_FcY9zMnHP8iPO4M5RCRjy6nZY0TY/edit#gid=1248694442"",""Table 2: MMC!W5:W114""), $A8=IMPORTRANGE(""https://docs.google.com/spreadsheets/d/1kGrh75X1cNR1D7_FcY9zMnHP8iPO4M5RCRjy6n"&amp;"ZY0TY/edit#gid=1248694442"",""Table 2: MMC!A5:A114"")),"""")"),"skin necrosis=12; CSF fistula at the surgical wound=4")</f>
        <v>skin necrosis=12; CSF fistula at the surgical wound=4</v>
      </c>
    </row>
    <row r="9">
      <c r="A9" s="4" t="str">
        <f>IFERROR(__xludf.DUMMYFUNCTION("""COMPUTED_VALUE"""),"ID 11")</f>
        <v>ID 11</v>
      </c>
      <c r="B9" s="20" t="str">
        <f>IFERROR(__xludf.DUMMYFUNCTION("IFNA(FILTER(IMPORTRANGE(""https://docs.google.com/spreadsheets/d/1kGrh75X1cNR1D7_FcY9zMnHP8iPO4M5RCRjy6nZY0TY/edit#gid=1248694442"",""Table 3: 1st-line HC!BK5:BK111""), $A9=IMPORTRANGE(""https://docs.google.com/spreadsheets/d/1kGrh75X1cNR1D7_FcY9zMnHP8iPO"&amp;"4M5RCRjy6nZY0TY/edit#gid=1248694442"",""Table 3: 1st-line HC!A5:A111"")),"""")"),"")</f>
        <v/>
      </c>
      <c r="C9" s="20" t="str">
        <f>IFERROR(__xludf.DUMMYFUNCTION("IFNA(FILTER(IMPORTRANGE(""https://docs.google.com/spreadsheets/d/1kGrh75X1cNR1D7_FcY9zMnHP8iPO4M5RCRjy6nZY0TY/edit#gid=1248694442"",""Subgroup 1: Fr ~ Tx!B3:B20""), $A9=IMPORTRANGE(""https://docs.google.com/spreadsheets/d/1kGrh75X1cNR1D7_FcY9zMnHP8iPO4M5R"&amp;"CRjy6nZY0TY/edit#gid=1248694442"",""Subgroup 1: Fr ~ Tx!A3:A20"")),"""")"),"")</f>
        <v/>
      </c>
      <c r="D9" s="20" t="str">
        <f>IFERROR(__xludf.DUMMYFUNCTION("IFNA(FILTER(IMPORTRANGE(""https://docs.google.com/spreadsheets/d/1kGrh75X1cNR1D7_FcY9zMnHP8iPO4M5RCRjy6nZY0TY/edit#gid=1248694442"",""Subgroup 1: Fr ~ Tx!C3:C20""), $A9=IMPORTRANGE(""https://docs.google.com/spreadsheets/d/1kGrh75X1cNR1D7_FcY9zMnHP8iPO4M5R"&amp;"CRjy6nZY0TY/edit#gid=1248694442"",""Subgroup 1: Fr ~ Tx!A3:A20"")),"""")"),"")</f>
        <v/>
      </c>
      <c r="E9" s="20" t="str">
        <f>IFERROR(__xludf.DUMMYFUNCTION("IFNA(FILTER(IMPORTRANGE(""https://docs.google.com/spreadsheets/d/1kGrh75X1cNR1D7_FcY9zMnHP8iPO4M5RCRjy6nZY0TY/edit#gid=1248694442"",""Subgroup 1: Fr ~ Tx!D3:D20""), $A9=IMPORTRANGE(""https://docs.google.com/spreadsheets/d/1kGrh75X1cNR1D7_FcY9zMnHP8iPO4M5R"&amp;"CRjy6nZY0TY/edit#gid=1248694442"",""Subgroup 1: Fr ~ Tx!A3:A20"")),"""")"),"")</f>
        <v/>
      </c>
      <c r="F9" s="20" t="str">
        <f>IFERROR(__xludf.DUMMYFUNCTION("IFNA(FILTER(IMPORTRANGE(""https://docs.google.com/spreadsheets/d/1kGrh75X1cNR1D7_FcY9zMnHP8iPO4M5RCRjy6nZY0TY/edit#gid=1248694442"",""Subgroup 1: Fr ~ Tx!E3:E20""), $A9=IMPORTRANGE(""https://docs.google.com/spreadsheets/d/1kGrh75X1cNR1D7_FcY9zMnHP8iPO4M5R"&amp;"CRjy6nZY0TY/edit#gid=1248694442"",""Subgroup 1: Fr ~ Tx!A3:A20"")),"""")"),"")</f>
        <v/>
      </c>
      <c r="G9" s="20" t="str">
        <f>IFERROR(__xludf.DUMMYFUNCTION("IFNA(FILTER(IMPORTRANGE(""https://docs.google.com/spreadsheets/d/1kGrh75X1cNR1D7_FcY9zMnHP8iPO4M5RCRjy6nZY0TY/edit#gid=1248694442"",""Subgroup 1: Fr ~ Tx!F3:F20""), $A9=IMPORTRANGE(""https://docs.google.com/spreadsheets/d/1kGrh75X1cNR1D7_FcY9zMnHP8iPO4M5R"&amp;"CRjy6nZY0TY/edit#gid=1248694442"",""Subgroup 1: Fr ~ Tx!A3:A20"")),"""")"),"")</f>
        <v/>
      </c>
      <c r="H9" s="20" t="str">
        <f>IFERROR(__xludf.DUMMYFUNCTION("IFNA(FILTER(IMPORTRANGE(""https://docs.google.com/spreadsheets/d/1kGrh75X1cNR1D7_FcY9zMnHP8iPO4M5RCRjy6nZY0TY/edit#gid=1248694442"",""Table 3: 1st-line HC!BD5:BD111""), $A9=IMPORTRANGE(""https://docs.google.com/spreadsheets/d/1kGrh75X1cNR1D7_FcY9zMnHP8iPO"&amp;"4M5RCRjy6nZY0TY/edit#gid=1248694442"",""Table 3: 1st-line HC!A5:A111"")),"""")"),"")</f>
        <v/>
      </c>
      <c r="I9" s="20" t="str">
        <f>IFERROR(__xludf.DUMMYFUNCTION("IFNA(FILTER(IMPORTRANGE(""https://docs.google.com/spreadsheets/d/1kGrh75X1cNR1D7_FcY9zMnHP8iPO4M5RCRjy6nZY0TY/edit#gid=1248694442"",""Subgroup 5: Tf ~ Tx!B3:B8""), $A9=IMPORTRANGE(""https://docs.google.com/spreadsheets/d/1kGrh75X1cNR1D7_FcY9zMnHP8iPO4M5RC"&amp;"Rjy6nZY0TY/edit#gid=1248694442"",""Subgroup 5: Tf ~ Tx!A3:A8"")),"""")"),"")</f>
        <v/>
      </c>
      <c r="J9" s="20" t="str">
        <f>IFERROR(__xludf.DUMMYFUNCTION("IFNA(FILTER(IMPORTRANGE(""https://docs.google.com/spreadsheets/d/1kGrh75X1cNR1D7_FcY9zMnHP8iPO4M5RCRjy6nZY0TY/edit#gid=1248694442"",""Subgroup 5: Tf ~ Tx!C3:C8""), $A9=IMPORTRANGE(""https://docs.google.com/spreadsheets/d/1kGrh75X1cNR1D7_FcY9zMnHP8iPO4M5RC"&amp;"Rjy6nZY0TY/edit#gid=1248694442"",""Subgroup 5: Tf ~ Tx!A3:A8"")),"""")"),"")</f>
        <v/>
      </c>
      <c r="K9" s="20" t="str">
        <f>IFERROR(__xludf.DUMMYFUNCTION("IFNA(FILTER(IMPORTRANGE(""https://docs.google.com/spreadsheets/d/1kGrh75X1cNR1D7_FcY9zMnHP8iPO4M5RCRjy6nZY0TY/edit#gid=1248694442"",""Subgroup 5: Tf ~ Tx!D3:D8""), $A9=IMPORTRANGE(""https://docs.google.com/spreadsheets/d/1kGrh75X1cNR1D7_FcY9zMnHP8iPO4M5RC"&amp;"Rjy6nZY0TY/edit#gid=1248694442"",""Subgroup 5: Tf ~ Tx!A3:A8"")),"""")"),"")</f>
        <v/>
      </c>
      <c r="L9" s="20" t="str">
        <f>IFERROR(__xludf.DUMMYFUNCTION("IFNA(FILTER(IMPORTRANGE(""https://docs.google.com/spreadsheets/d/1kGrh75X1cNR1D7_FcY9zMnHP8iPO4M5RCRjy6nZY0TY/edit#gid=1248694442"",""Subgroup 5: Tf ~ Tx!E3:E8""), $A9=IMPORTRANGE(""https://docs.google.com/spreadsheets/d/1kGrh75X1cNR1D7_FcY9zMnHP8iPO4M5RC"&amp;"Rjy6nZY0TY/edit#gid=1248694442"",""Subgroup 5: Tf ~ Tx!A3:A8"")),"""")"),"")</f>
        <v/>
      </c>
      <c r="M9" s="20" t="str">
        <f>IFERROR(__xludf.DUMMYFUNCTION("IFNA(FILTER(IMPORTRANGE(""https://docs.google.com/spreadsheets/d/1kGrh75X1cNR1D7_FcY9zMnHP8iPO4M5RCRjy6nZY0TY/edit#gid=1248694442"",""Subgroup 5: Tf ~ Tx!F3:F8""), $A9=IMPORTRANGE(""https://docs.google.com/spreadsheets/d/1kGrh75X1cNR1D7_FcY9zMnHP8iPO4M5RC"&amp;"Rjy6nZY0TY/edit#gid=1248694442"",""Subgroup 5: Tf ~ Tx!A3:A8"")),"""")"),"")</f>
        <v/>
      </c>
      <c r="N9" s="20" t="str">
        <f>IFERROR(__xludf.DUMMYFUNCTION("IFNA(FILTER(IMPORTRANGE(""https://docs.google.com/spreadsheets/d/1kGrh75X1cNR1D7_FcY9zMnHP8iPO4M5RCRjy6nZY0TY/edit#gid=1248694442"",""Table 3: 1st-line HC!BE5:BE111""), $A9=IMPORTRANGE(""https://docs.google.com/spreadsheets/d/1kGrh75X1cNR1D7_FcY9zMnHP8iPO"&amp;"4M5RCRjy6nZY0TY/edit#gid=1248694442"",""Table 3: 1st-line HC!A5:A111"")),"""")"),"")</f>
        <v/>
      </c>
      <c r="O9" s="20" t="str">
        <f>IFERROR(__xludf.DUMMYFUNCTION("IFNA(FILTER(IMPORTRANGE(""https://docs.google.com/spreadsheets/d/1kGrh75X1cNR1D7_FcY9zMnHP8iPO4M5RCRjy6nZY0TY/edit#gid=1248694442"",""Table 3: 1st-line HC!BF5:BF111""), $A9=IMPORTRANGE(""https://docs.google.com/spreadsheets/d/1kGrh75X1cNR1D7_FcY9zMnHP8iPO"&amp;"4M5RCRjy6nZY0TY/edit#gid=1248694442"",""Table 3: 1st-line HC!A5:A111"")),"""")"),"")</f>
        <v/>
      </c>
      <c r="P9" s="20" t="str">
        <f>IFERROR(__xludf.DUMMYFUNCTION("IFNA(FILTER(IMPORTRANGE(""https://docs.google.com/spreadsheets/d/1kGrh75X1cNR1D7_FcY9zMnHP8iPO4M5RCRjy6nZY0TY/edit#gid=1248694442"",""Table 3: 1st-line HC!BG5:BG111""), $A9=IMPORTRANGE(""https://docs.google.com/spreadsheets/d/1kGrh75X1cNR1D7_FcY9zMnHP8iPO"&amp;"4M5RCRjy6nZY0TY/edit#gid=1248694442"",""Table 3: 1st-line HC!A5:A111"")),"""")"),"")</f>
        <v/>
      </c>
      <c r="Q9" s="21" t="str">
        <f>IFERROR(__xludf.DUMMYFUNCTION("IFNA(FILTER(IMPORTRANGE(""https://docs.google.com/spreadsheets/d/1kGrh75X1cNR1D7_FcY9zMnHP8iPO4M5RCRjy6nZY0TY/edit#gid=1248694442"",""Table 3: 1st-line HC!BH5:BH111""), $A9=IMPORTRANGE(""https://docs.google.com/spreadsheets/d/1kGrh75X1cNR1D7_FcY9zMnHP8iPO"&amp;"4M5RCRjy6nZY0TY/edit#gid=1248694442"",""Table 3: 1st-line HC!A5:A111"")),"""")"),"")</f>
        <v/>
      </c>
      <c r="R9" s="19" t="str">
        <f>IFERROR(__xludf.DUMMYFUNCTION("IFNA(FILTER(IMPORTRANGE(""https://docs.google.com/spreadsheets/d/1kGrh75X1cNR1D7_FcY9zMnHP8iPO4M5RCRjy6nZY0TY/edit#gid=1248694442"",""Table 3: 1st-line HC!AJ5:AJ111""), $A9=IMPORTRANGE(""https://docs.google.com/spreadsheets/d/1kGrh75X1cNR1D7_FcY9zMnHP8iPO"&amp;"4M5RCRjy6nZY0TY/edit#gid=1248694442"",""Table 3: 1st-line HC!A5:A111"")),"""")"),"")</f>
        <v/>
      </c>
      <c r="S9" s="20" t="str">
        <f>IFERROR(__xludf.DUMMYFUNCTION("IFNA(FILTER(IMPORTRANGE(""https://docs.google.com/spreadsheets/d/1kGrh75X1cNR1D7_FcY9zMnHP8iPO4M5RCRjy6nZY0TY/edit#gid=1248694442"",""Subgroup 3: Mi ~ Tx!B3:B17""), $A9=IMPORTRANGE(""https://docs.google.com/spreadsheets/d/1kGrh75X1cNR1D7_FcY9zMnHP8iPO4M5R"&amp;"CRjy6nZY0TY/edit#gid=1248694442"",""Subgroup 3: Mi ~ Tx!A3:A17"")),"""")"),"")</f>
        <v/>
      </c>
      <c r="T9" s="20" t="str">
        <f>IFERROR(__xludf.DUMMYFUNCTION("IFNA(FILTER(IMPORTRANGE(""https://docs.google.com/spreadsheets/d/1kGrh75X1cNR1D7_FcY9zMnHP8iPO4M5RCRjy6nZY0TY/edit#gid=1248694442"",""Subgroup 3: Mi ~ Tx!C3:C17""), $A9=IMPORTRANGE(""https://docs.google.com/spreadsheets/d/1kGrh75X1cNR1D7_FcY9zMnHP8iPO4M5R"&amp;"CRjy6nZY0TY/edit#gid=1248694442"",""Subgroup 3: Mi ~ Tx!A3:A17"")),"""")"),"")</f>
        <v/>
      </c>
      <c r="U9" s="20" t="str">
        <f>IFERROR(__xludf.DUMMYFUNCTION("IFNA(FILTER(IMPORTRANGE(""https://docs.google.com/spreadsheets/d/1kGrh75X1cNR1D7_FcY9zMnHP8iPO4M5RCRjy6nZY0TY/edit#gid=1248694442"",""Subgroup 3: Mi ~ Tx!D3:D17""), $A9=IMPORTRANGE(""https://docs.google.com/spreadsheets/d/1kGrh75X1cNR1D7_FcY9zMnHP8iPO4M5R"&amp;"CRjy6nZY0TY/edit#gid=1248694442"",""Subgroup 3: Mi ~ Tx!A3:A17"")),"""")"),"")</f>
        <v/>
      </c>
      <c r="V9" s="20" t="str">
        <f>IFERROR(__xludf.DUMMYFUNCTION("IFNA(FILTER(IMPORTRANGE(""https://docs.google.com/spreadsheets/d/1kGrh75X1cNR1D7_FcY9zMnHP8iPO4M5RCRjy6nZY0TY/edit#gid=1248694442"",""Subgroup 3: Mi ~ Tx!E3:E17""), $A9=IMPORTRANGE(""https://docs.google.com/spreadsheets/d/1kGrh75X1cNR1D7_FcY9zMnHP8iPO4M5R"&amp;"CRjy6nZY0TY/edit#gid=1248694442"",""Subgroup 3: Mi ~ Tx!A3:A17"")),"""")"),"")</f>
        <v/>
      </c>
      <c r="W9" s="20" t="str">
        <f>IFERROR(__xludf.DUMMYFUNCTION("IFNA(FILTER(IMPORTRANGE(""https://docs.google.com/spreadsheets/d/1kGrh75X1cNR1D7_FcY9zMnHP8iPO4M5RCRjy6nZY0TY/edit#gid=1248694442"",""Subgroup 3: Mi ~ Tx!F3:F17""), $A9=IMPORTRANGE(""https://docs.google.com/spreadsheets/d/1kGrh75X1cNR1D7_FcY9zMnHP8iPO4M5R"&amp;"CRjy6nZY0TY/edit#gid=1248694442"",""Subgroup 3: Mi ~ Tx!A3:A17"")),"""")"),"")</f>
        <v/>
      </c>
      <c r="X9" s="19">
        <f>IFERROR(__xludf.DUMMYFUNCTION("IFNA(FILTER(IMPORTRANGE(""https://docs.google.com/spreadsheets/d/1kGrh75X1cNR1D7_FcY9zMnHP8iPO4M5RCRjy6nZY0TY/edit#gid=1248694442"",""Table 3: 1st-line HC!AK5:AK111""), $A9=IMPORTRANGE(""https://docs.google.com/spreadsheets/d/1kGrh75X1cNR1D7_FcY9zMnHP8iPO"&amp;"4M5RCRjy6nZY0TY/edit#gid=1248694442"",""Table 3: 1st-line HC!A5:A111"")),"""")"),1.0)</f>
        <v>1</v>
      </c>
      <c r="Y9" s="20" t="str">
        <f>IFERROR(__xludf.DUMMYFUNCTION("IFNA(FILTER(IMPORTRANGE(""https://docs.google.com/spreadsheets/d/1kGrh75X1cNR1D7_FcY9zMnHP8iPO4M5RCRjy6nZY0TY/edit#gid=1248694442"",""Subgroup 4: Mp ~ Tx!B3:B20""), $A9=IMPORTRANGE(""https://docs.google.com/spreadsheets/d/1kGrh75X1cNR1D7_FcY9zMnHP8iPO4M5R"&amp;"CRjy6nZY0TY/edit#gid=1248694442"",""Subgroup 4: Mp ~ Tx!A3:A20"")),"""")"),"")</f>
        <v/>
      </c>
      <c r="Z9" s="20" t="str">
        <f>IFERROR(__xludf.DUMMYFUNCTION("IFNA(FILTER(IMPORTRANGE(""https://docs.google.com/spreadsheets/d/1kGrh75X1cNR1D7_FcY9zMnHP8iPO4M5RCRjy6nZY0TY/edit#gid=1248694442"",""Subgroup 4: Mp ~ Tx!C3:C20""), $A9=IMPORTRANGE(""https://docs.google.com/spreadsheets/d/1kGrh75X1cNR1D7_FcY9zMnHP8iPO4M5R"&amp;"CRjy6nZY0TY/edit#gid=1248694442"",""Subgroup 4: Mp ~ Tx!A3:A20"")),"""")"),"")</f>
        <v/>
      </c>
      <c r="AA9" s="20" t="str">
        <f>IFERROR(__xludf.DUMMYFUNCTION("IFNA(FILTER(IMPORTRANGE(""https://docs.google.com/spreadsheets/d/1kGrh75X1cNR1D7_FcY9zMnHP8iPO4M5RCRjy6nZY0TY/edit#gid=1248694442"",""Subgroup 4: Mp ~ Tx!D3:D20""), $A9=IMPORTRANGE(""https://docs.google.com/spreadsheets/d/1kGrh75X1cNR1D7_FcY9zMnHP8iPO4M5R"&amp;"CRjy6nZY0TY/edit#gid=1248694442"",""Subgroup 4: Mp ~ Tx!A3:A20"")),"""")"),"")</f>
        <v/>
      </c>
      <c r="AB9" s="20" t="str">
        <f>IFERROR(__xludf.DUMMYFUNCTION("IFNA(FILTER(IMPORTRANGE(""https://docs.google.com/spreadsheets/d/1kGrh75X1cNR1D7_FcY9zMnHP8iPO4M5RCRjy6nZY0TY/edit#gid=1248694442"",""Subgroup 4: Mp ~ Tx!E3:E20""), $A9=IMPORTRANGE(""https://docs.google.com/spreadsheets/d/1kGrh75X1cNR1D7_FcY9zMnHP8iPO4M5R"&amp;"CRjy6nZY0TY/edit#gid=1248694442"",""Subgroup 4: Mp ~ Tx!A3:A20"")),"""")"),"")</f>
        <v/>
      </c>
      <c r="AC9" s="20" t="str">
        <f>IFERROR(__xludf.DUMMYFUNCTION("IFNA(FILTER(IMPORTRANGE(""https://docs.google.com/spreadsheets/d/1kGrh75X1cNR1D7_FcY9zMnHP8iPO4M5RCRjy6nZY0TY/edit#gid=1248694442"",""Subgroup 4: Mp ~ Tx!F3:F20""), $A9=IMPORTRANGE(""https://docs.google.com/spreadsheets/d/1kGrh75X1cNR1D7_FcY9zMnHP8iPO4M5R"&amp;"CRjy6nZY0TY/edit#gid=1248694442"",""Subgroup 4: Mp ~ Tx!A3:A20"")),"""")"),"")</f>
        <v/>
      </c>
      <c r="AD9" s="22" t="str">
        <f>IFERROR(__xludf.DUMMYFUNCTION("IFNA(FILTER(IMPORTRANGE(""https://docs.google.com/spreadsheets/d/1kGrh75X1cNR1D7_FcY9zMnHP8iPO4M5RCRjy6nZY0TY/edit#gid=1248694442"",""Table 3: 1st-line HC!AL5:AL111""), $A9=IMPORTRANGE(""https://docs.google.com/spreadsheets/d/1kGrh75X1cNR1D7_FcY9zMnHP8iPO"&amp;"4M5RCRjy6nZY0TY/edit#gid=1248694442"",""Table 3: 1st-line HC!A5:A111"")),"""")"),"1 death from Chari malformation herniation after surgery")</f>
        <v>1 death from Chari malformation herniation after surgery</v>
      </c>
      <c r="AE9" s="20">
        <f>IFERROR(__xludf.DUMMYFUNCTION("IFNA(FILTER(IMPORTRANGE(""https://docs.google.com/spreadsheets/d/1kGrh75X1cNR1D7_FcY9zMnHP8iPO4M5RCRjy6nZY0TY/edit#gid=1248694442"",""Table 3: 1st-line HC!BJ5:BJ111""), $A9=IMPORTRANGE(""https://docs.google.com/spreadsheets/d/1kGrh75X1cNR1D7_FcY9zMnHP8iPO"&amp;"4M5RCRjy6nZY0TY/edit#gid=1248694442"",""Table 3: 1st-line HC!A5:A111"")),"""")"),0.5)</f>
        <v>0.5</v>
      </c>
      <c r="AF9" s="20" t="str">
        <f>IFERROR(__xludf.DUMMYFUNCTION("IFNA(FILTER(IMPORTRANGE(""https://docs.google.com/spreadsheets/d/1kGrh75X1cNR1D7_FcY9zMnHP8iPO4M5RCRjy6nZY0TY/edit#gid=1248694442"",""Subgroup 2: Cr ~ Tx!B3:B23""), $A9=IMPORTRANGE(""https://docs.google.com/spreadsheets/d/1kGrh75X1cNR1D7_FcY9zMnHP8iPO4M5R"&amp;"CRjy6nZY0TY/edit#gid=1248694442"",""Subgroup 2: Cr ~ Tx!A3:A23"")),"""")"),"")</f>
        <v/>
      </c>
      <c r="AG9" s="20">
        <f>IFERROR(__xludf.DUMMYFUNCTION("IFNA(FILTER(IMPORTRANGE(""https://docs.google.com/spreadsheets/d/1kGrh75X1cNR1D7_FcY9zMnHP8iPO4M5RCRjy6nZY0TY/edit#gid=1248694442"",""Subgroup 2: Cr ~ Tx!C3:C23""), $A9=IMPORTRANGE(""https://docs.google.com/spreadsheets/d/1kGrh75X1cNR1D7_FcY9zMnHP8iPO4M5R"&amp;"CRjy6nZY0TY/edit#gid=1248694442"",""Subgroup 2: Cr ~ Tx!A3:A23"")),"""")"),0.0)</f>
        <v>0</v>
      </c>
      <c r="AH9" s="20" t="str">
        <f>IFERROR(__xludf.DUMMYFUNCTION("IFNA(FILTER(IMPORTRANGE(""https://docs.google.com/spreadsheets/d/1kGrh75X1cNR1D7_FcY9zMnHP8iPO4M5RCRjy6nZY0TY/edit#gid=1248694442"",""Subgroup 2: Cr ~ Tx!D3:D23""), $A9=IMPORTRANGE(""https://docs.google.com/spreadsheets/d/1kGrh75X1cNR1D7_FcY9zMnHP8iPO4M5R"&amp;"CRjy6nZY0TY/edit#gid=1248694442"",""Subgroup 2: Cr ~ Tx!A3:A23"")),"""")"),"")</f>
        <v/>
      </c>
      <c r="AI9" s="20" t="str">
        <f>IFERROR(__xludf.DUMMYFUNCTION("IFNA(FILTER(IMPORTRANGE(""https://docs.google.com/spreadsheets/d/1kGrh75X1cNR1D7_FcY9zMnHP8iPO4M5RCRjy6nZY0TY/edit#gid=1248694442"",""Subgroup 2: Cr ~ Tx!E3:E23""), $A9=IMPORTRANGE(""https://docs.google.com/spreadsheets/d/1kGrh75X1cNR1D7_FcY9zMnHP8iPO4M5R"&amp;"CRjy6nZY0TY/edit#gid=1248694442"",""Subgroup 2: Cr ~ Tx!A3:A23"")),"""")"),"")</f>
        <v/>
      </c>
      <c r="AJ9" s="20" t="str">
        <f>IFERROR(__xludf.DUMMYFUNCTION("IFNA(FILTER(IMPORTRANGE(""https://docs.google.com/spreadsheets/d/1kGrh75X1cNR1D7_FcY9zMnHP8iPO4M5RCRjy6nZY0TY/edit#gid=1248694442"",""Subgroup 2: Cr ~ Tx!F3:F23""), $A9=IMPORTRANGE(""https://docs.google.com/spreadsheets/d/1kGrh75X1cNR1D7_FcY9zMnHP8iPO4M5R"&amp;"CRjy6nZY0TY/edit#gid=1248694442"",""Subgroup 2: Cr ~ Tx!A3:A23"")),"""")"),"")</f>
        <v/>
      </c>
      <c r="AK9" s="14" t="str">
        <f>IFERROR(__xludf.DUMMYFUNCTION("IFNA(FILTER(IMPORTRANGE(""https://docs.google.com/spreadsheets/d/1kGrh75X1cNR1D7_FcY9zMnHP8iPO4M5RCRjy6nZY0TY/edit#gid=1248694442"",""Table 4: 2nd-line HC or more!M5:M85""), $A9=IMPORTRANGE(""https://docs.google.com/spreadsheets/d/1kGrh75X1cNR1D7_FcY9zMnH"&amp;"P8iPO4M5RCRjy6nZY0TY/edit#gid=1248694442"",""Table 4: 2nd-line HC or more!A5:A85"")),"""")"),"")</f>
        <v/>
      </c>
      <c r="AL9" s="14" t="str">
        <f>IFERROR(__xludf.DUMMYFUNCTION("IFNA(FILTER(IMPORTRANGE(""https://docs.google.com/spreadsheets/d/1kGrh75X1cNR1D7_FcY9zMnHP8iPO4M5RCRjy6nZY0TY/edit#gid=1248694442"",""Table 4: 2nd-line HC or more!N5:N85""), $A9=IMPORTRANGE(""https://docs.google.com/spreadsheets/d/1kGrh75X1cNR1D7_FcY9zMnH"&amp;"P8iPO4M5RCRjy6nZY0TY/edit#gid=1248694442"",""Table 4: 2nd-line HC or more!A5:A85"")),"""")"),"")</f>
        <v/>
      </c>
      <c r="AM9" s="14" t="str">
        <f>IFERROR(__xludf.DUMMYFUNCTION("IFNA(FILTER(IMPORTRANGE(""https://docs.google.com/spreadsheets/d/1kGrh75X1cNR1D7_FcY9zMnHP8iPO4M5RCRjy6nZY0TY/edit#gid=1248694442"",""Table 4: 2nd-line HC or more!O5:O85""), $A9=IMPORTRANGE(""https://docs.google.com/spreadsheets/d/1kGrh75X1cNR1D7_FcY9zMnH"&amp;"P8iPO4M5RCRjy6nZY0TY/edit#gid=1248694442"",""Table 4: 2nd-line HC or more!A5:A85"")),"""")"),"")</f>
        <v/>
      </c>
      <c r="AN9" s="14" t="str">
        <f>IFERROR(__xludf.DUMMYFUNCTION("IFNA(FILTER(IMPORTRANGE(""https://docs.google.com/spreadsheets/d/1kGrh75X1cNR1D7_FcY9zMnHP8iPO4M5RCRjy6nZY0TY/edit#gid=1248694442"",""Table 3: 1st-line HC!AP5:AP111""), $A9=IMPORTRANGE(""https://docs.google.com/spreadsheets/d/1kGrh75X1cNR1D7_FcY9zMnHP8iPO"&amp;"4M5RCRjy6nZY0TY/edit#gid=1248694442"",""Table 3: 1st-line HC!A5:A111"")),"""")"),"")</f>
        <v/>
      </c>
      <c r="AO9" s="14" t="str">
        <f>IFERROR(__xludf.DUMMYFUNCTION("IFNA(FILTER(IMPORTRANGE(""https://docs.google.com/spreadsheets/d/1kGrh75X1cNR1D7_FcY9zMnHP8iPO4M5RCRjy6nZY0TY/edit#gid=1248694442"",""Table 3: 1st-line HC!AO5:AO111""), $A9=IMPORTRANGE(""https://docs.google.com/spreadsheets/d/1kGrh75X1cNR1D7_FcY9zMnHP8iPO"&amp;"4M5RCRjy6nZY0TY/edit#gid=1248694442"",""Table 3: 1st-line HC!A5:A111"")),"""")"),"")</f>
        <v/>
      </c>
      <c r="AP9" s="14" t="str">
        <f>IFERROR(__xludf.DUMMYFUNCTION("IFNA(FILTER(IMPORTRANGE(""https://docs.google.com/spreadsheets/d/1kGrh75X1cNR1D7_FcY9zMnHP8iPO4M5RCRjy6nZY0TY/edit#gid=1248694442"",""Table 3: 1st-line HC!AQ5:AQ111""), $A9=IMPORTRANGE(""https://docs.google.com/spreadsheets/d/1kGrh75X1cNR1D7_FcY9zMnHP8iPO"&amp;"4M5RCRjy6nZY0TY/edit#gid=1248694442"",""Table 3: 1st-line HC!A5:A111"")),"""")"),"")</f>
        <v/>
      </c>
      <c r="AQ9" s="14" t="str">
        <f>IFERROR(__xludf.DUMMYFUNCTION("IFNA(FILTER(IMPORTRANGE(""https://docs.google.com/spreadsheets/d/1kGrh75X1cNR1D7_FcY9zMnHP8iPO4M5RCRjy6nZY0TY/edit#gid=1248694442"",""Table 2: MMC!T5:T114""), $A9=IMPORTRANGE(""https://docs.google.com/spreadsheets/d/1kGrh75X1cNR1D7_FcY9zMnHP8iPO4M5RCRjy6n"&amp;"ZY0TY/edit#gid=1248694442"",""Table 2: MMC!A5:A114"")),"""")"),"")</f>
        <v/>
      </c>
      <c r="AR9" s="14" t="str">
        <f>IFERROR(__xludf.DUMMYFUNCTION("IFNA(FILTER(IMPORTRANGE(""https://docs.google.com/spreadsheets/d/1kGrh75X1cNR1D7_FcY9zMnHP8iPO4M5RCRjy6nZY0TY/edit#gid=1248694442"",""Table 2: MMC!U5:U114""), $A9=IMPORTRANGE(""https://docs.google.com/spreadsheets/d/1kGrh75X1cNR1D7_FcY9zMnHP8iPO4M5RCRjy6n"&amp;"ZY0TY/edit#gid=1248694442"",""Table 2: MMC!A5:A114"")),"""")"),"")</f>
        <v/>
      </c>
      <c r="AS9" s="14" t="str">
        <f>IFERROR(__xludf.DUMMYFUNCTION("IFNA(FILTER(IMPORTRANGE(""https://docs.google.com/spreadsheets/d/1kGrh75X1cNR1D7_FcY9zMnHP8iPO4M5RCRjy6nZY0TY/edit#gid=1248694442"",""Table 2: MMC!V5:V114""), $A9=IMPORTRANGE(""https://docs.google.com/spreadsheets/d/1kGrh75X1cNR1D7_FcY9zMnHP8iPO4M5RCRjy6n"&amp;"ZY0TY/edit#gid=1248694442"",""Table 2: MMC!A5:A114"")),"""")"),"")</f>
        <v/>
      </c>
      <c r="AT9" s="4" t="str">
        <f>IFERROR(__xludf.DUMMYFUNCTION("IFNA(FILTER(IMPORTRANGE(""https://docs.google.com/spreadsheets/d/1kGrh75X1cNR1D7_FcY9zMnHP8iPO4M5RCRjy6nZY0TY/edit#gid=1248694442"",""Table 2: MMC!W5:W114""), $A9=IMPORTRANGE(""https://docs.google.com/spreadsheets/d/1kGrh75X1cNR1D7_FcY9zMnHP8iPO4M5RCRjy6n"&amp;"ZY0TY/edit#gid=1248694442"",""Table 2: MMC!A5:A114"")),"""")"),"")</f>
        <v/>
      </c>
    </row>
    <row r="10">
      <c r="A10" s="4" t="str">
        <f>IFERROR(__xludf.DUMMYFUNCTION("""COMPUTED_VALUE"""),"ID 14")</f>
        <v>ID 14</v>
      </c>
      <c r="B10" s="20" t="str">
        <f>IFERROR(__xludf.DUMMYFUNCTION("IFNA(FILTER(IMPORTRANGE(""https://docs.google.com/spreadsheets/d/1kGrh75X1cNR1D7_FcY9zMnHP8iPO4M5RCRjy6nZY0TY/edit#gid=1248694442"",""Table 3: 1st-line HC!BK5:BK111""), $A10=IMPORTRANGE(""https://docs.google.com/spreadsheets/d/1kGrh75X1cNR1D7_FcY9zMnHP8iP"&amp;"O4M5RCRjy6nZY0TY/edit#gid=1248694442"",""Table 3: 1st-line HC!A5:A111"")),"""")"),"")</f>
        <v/>
      </c>
      <c r="C10" s="20" t="str">
        <f>IFERROR(__xludf.DUMMYFUNCTION("IFNA(FILTER(IMPORTRANGE(""https://docs.google.com/spreadsheets/d/1kGrh75X1cNR1D7_FcY9zMnHP8iPO4M5RCRjy6nZY0TY/edit#gid=1248694442"",""Subgroup 1: Fr ~ Tx!B3:B20""), $A10=IMPORTRANGE(""https://docs.google.com/spreadsheets/d/1kGrh75X1cNR1D7_FcY9zMnHP8iPO4M5"&amp;"RCRjy6nZY0TY/edit#gid=1248694442"",""Subgroup 1: Fr ~ Tx!A3:A20"")),"""")"),"")</f>
        <v/>
      </c>
      <c r="D10" s="20" t="str">
        <f>IFERROR(__xludf.DUMMYFUNCTION("IFNA(FILTER(IMPORTRANGE(""https://docs.google.com/spreadsheets/d/1kGrh75X1cNR1D7_FcY9zMnHP8iPO4M5RCRjy6nZY0TY/edit#gid=1248694442"",""Subgroup 1: Fr ~ Tx!C3:C20""), $A10=IMPORTRANGE(""https://docs.google.com/spreadsheets/d/1kGrh75X1cNR1D7_FcY9zMnHP8iPO4M5"&amp;"RCRjy6nZY0TY/edit#gid=1248694442"",""Subgroup 1: Fr ~ Tx!A3:A20"")),"""")"),"")</f>
        <v/>
      </c>
      <c r="E10" s="20" t="str">
        <f>IFERROR(__xludf.DUMMYFUNCTION("IFNA(FILTER(IMPORTRANGE(""https://docs.google.com/spreadsheets/d/1kGrh75X1cNR1D7_FcY9zMnHP8iPO4M5RCRjy6nZY0TY/edit#gid=1248694442"",""Subgroup 1: Fr ~ Tx!D3:D20""), $A10=IMPORTRANGE(""https://docs.google.com/spreadsheets/d/1kGrh75X1cNR1D7_FcY9zMnHP8iPO4M5"&amp;"RCRjy6nZY0TY/edit#gid=1248694442"",""Subgroup 1: Fr ~ Tx!A3:A20"")),"""")"),"")</f>
        <v/>
      </c>
      <c r="F10" s="20" t="str">
        <f>IFERROR(__xludf.DUMMYFUNCTION("IFNA(FILTER(IMPORTRANGE(""https://docs.google.com/spreadsheets/d/1kGrh75X1cNR1D7_FcY9zMnHP8iPO4M5RCRjy6nZY0TY/edit#gid=1248694442"",""Subgroup 1: Fr ~ Tx!E3:E20""), $A10=IMPORTRANGE(""https://docs.google.com/spreadsheets/d/1kGrh75X1cNR1D7_FcY9zMnHP8iPO4M5"&amp;"RCRjy6nZY0TY/edit#gid=1248694442"",""Subgroup 1: Fr ~ Tx!A3:A20"")),"""")"),"")</f>
        <v/>
      </c>
      <c r="G10" s="20" t="str">
        <f>IFERROR(__xludf.DUMMYFUNCTION("IFNA(FILTER(IMPORTRANGE(""https://docs.google.com/spreadsheets/d/1kGrh75X1cNR1D7_FcY9zMnHP8iPO4M5RCRjy6nZY0TY/edit#gid=1248694442"",""Subgroup 1: Fr ~ Tx!F3:F20""), $A10=IMPORTRANGE(""https://docs.google.com/spreadsheets/d/1kGrh75X1cNR1D7_FcY9zMnHP8iPO4M5"&amp;"RCRjy6nZY0TY/edit#gid=1248694442"",""Subgroup 1: Fr ~ Tx!A3:A20"")),"""")"),"")</f>
        <v/>
      </c>
      <c r="H10" s="20" t="str">
        <f>IFERROR(__xludf.DUMMYFUNCTION("IFNA(FILTER(IMPORTRANGE(""https://docs.google.com/spreadsheets/d/1kGrh75X1cNR1D7_FcY9zMnHP8iPO4M5RCRjy6nZY0TY/edit#gid=1248694442"",""Table 3: 1st-line HC!BD5:BD111""), $A10=IMPORTRANGE(""https://docs.google.com/spreadsheets/d/1kGrh75X1cNR1D7_FcY9zMnHP8iP"&amp;"O4M5RCRjy6nZY0TY/edit#gid=1248694442"",""Table 3: 1st-line HC!A5:A111"")),"""")"),"")</f>
        <v/>
      </c>
      <c r="I10" s="20" t="str">
        <f>IFERROR(__xludf.DUMMYFUNCTION("IFNA(FILTER(IMPORTRANGE(""https://docs.google.com/spreadsheets/d/1kGrh75X1cNR1D7_FcY9zMnHP8iPO4M5RCRjy6nZY0TY/edit#gid=1248694442"",""Subgroup 5: Tf ~ Tx!B3:B8""), $A10=IMPORTRANGE(""https://docs.google.com/spreadsheets/d/1kGrh75X1cNR1D7_FcY9zMnHP8iPO4M5R"&amp;"CRjy6nZY0TY/edit#gid=1248694442"",""Subgroup 5: Tf ~ Tx!A3:A8"")),"""")"),"")</f>
        <v/>
      </c>
      <c r="J10" s="20" t="str">
        <f>IFERROR(__xludf.DUMMYFUNCTION("IFNA(FILTER(IMPORTRANGE(""https://docs.google.com/spreadsheets/d/1kGrh75X1cNR1D7_FcY9zMnHP8iPO4M5RCRjy6nZY0TY/edit#gid=1248694442"",""Subgroup 5: Tf ~ Tx!C3:C8""), $A10=IMPORTRANGE(""https://docs.google.com/spreadsheets/d/1kGrh75X1cNR1D7_FcY9zMnHP8iPO4M5R"&amp;"CRjy6nZY0TY/edit#gid=1248694442"",""Subgroup 5: Tf ~ Tx!A3:A8"")),"""")"),"")</f>
        <v/>
      </c>
      <c r="K10" s="20" t="str">
        <f>IFERROR(__xludf.DUMMYFUNCTION("IFNA(FILTER(IMPORTRANGE(""https://docs.google.com/spreadsheets/d/1kGrh75X1cNR1D7_FcY9zMnHP8iPO4M5RCRjy6nZY0TY/edit#gid=1248694442"",""Subgroup 5: Tf ~ Tx!D3:D8""), $A10=IMPORTRANGE(""https://docs.google.com/spreadsheets/d/1kGrh75X1cNR1D7_FcY9zMnHP8iPO4M5R"&amp;"CRjy6nZY0TY/edit#gid=1248694442"",""Subgroup 5: Tf ~ Tx!A3:A8"")),"""")"),"")</f>
        <v/>
      </c>
      <c r="L10" s="20" t="str">
        <f>IFERROR(__xludf.DUMMYFUNCTION("IFNA(FILTER(IMPORTRANGE(""https://docs.google.com/spreadsheets/d/1kGrh75X1cNR1D7_FcY9zMnHP8iPO4M5RCRjy6nZY0TY/edit#gid=1248694442"",""Subgroup 5: Tf ~ Tx!E3:E8""), $A10=IMPORTRANGE(""https://docs.google.com/spreadsheets/d/1kGrh75X1cNR1D7_FcY9zMnHP8iPO4M5R"&amp;"CRjy6nZY0TY/edit#gid=1248694442"",""Subgroup 5: Tf ~ Tx!A3:A8"")),"""")"),"")</f>
        <v/>
      </c>
      <c r="M10" s="20" t="str">
        <f>IFERROR(__xludf.DUMMYFUNCTION("IFNA(FILTER(IMPORTRANGE(""https://docs.google.com/spreadsheets/d/1kGrh75X1cNR1D7_FcY9zMnHP8iPO4M5RCRjy6nZY0TY/edit#gid=1248694442"",""Subgroup 5: Tf ~ Tx!F3:F8""), $A10=IMPORTRANGE(""https://docs.google.com/spreadsheets/d/1kGrh75X1cNR1D7_FcY9zMnHP8iPO4M5R"&amp;"CRjy6nZY0TY/edit#gid=1248694442"",""Subgroup 5: Tf ~ Tx!A3:A8"")),"""")"),"")</f>
        <v/>
      </c>
      <c r="N10" s="20" t="str">
        <f>IFERROR(__xludf.DUMMYFUNCTION("IFNA(FILTER(IMPORTRANGE(""https://docs.google.com/spreadsheets/d/1kGrh75X1cNR1D7_FcY9zMnHP8iPO4M5RCRjy6nZY0TY/edit#gid=1248694442"",""Table 3: 1st-line HC!BE5:BE111""), $A10=IMPORTRANGE(""https://docs.google.com/spreadsheets/d/1kGrh75X1cNR1D7_FcY9zMnHP8iP"&amp;"O4M5RCRjy6nZY0TY/edit#gid=1248694442"",""Table 3: 1st-line HC!A5:A111"")),"""")"),"")</f>
        <v/>
      </c>
      <c r="O10" s="20" t="str">
        <f>IFERROR(__xludf.DUMMYFUNCTION("IFNA(FILTER(IMPORTRANGE(""https://docs.google.com/spreadsheets/d/1kGrh75X1cNR1D7_FcY9zMnHP8iPO4M5RCRjy6nZY0TY/edit#gid=1248694442"",""Table 3: 1st-line HC!BF5:BF111""), $A10=IMPORTRANGE(""https://docs.google.com/spreadsheets/d/1kGrh75X1cNR1D7_FcY9zMnHP8iP"&amp;"O4M5RCRjy6nZY0TY/edit#gid=1248694442"",""Table 3: 1st-line HC!A5:A111"")),"""")"),"")</f>
        <v/>
      </c>
      <c r="P10" s="20" t="str">
        <f>IFERROR(__xludf.DUMMYFUNCTION("IFNA(FILTER(IMPORTRANGE(""https://docs.google.com/spreadsheets/d/1kGrh75X1cNR1D7_FcY9zMnHP8iPO4M5RCRjy6nZY0TY/edit#gid=1248694442"",""Table 3: 1st-line HC!BG5:BG111""), $A10=IMPORTRANGE(""https://docs.google.com/spreadsheets/d/1kGrh75X1cNR1D7_FcY9zMnHP8iP"&amp;"O4M5RCRjy6nZY0TY/edit#gid=1248694442"",""Table 3: 1st-line HC!A5:A111"")),"""")"),"")</f>
        <v/>
      </c>
      <c r="Q10" s="21" t="str">
        <f>IFERROR(__xludf.DUMMYFUNCTION("IFNA(FILTER(IMPORTRANGE(""https://docs.google.com/spreadsheets/d/1kGrh75X1cNR1D7_FcY9zMnHP8iPO4M5RCRjy6nZY0TY/edit#gid=1248694442"",""Table 3: 1st-line HC!BH5:BH111""), $A10=IMPORTRANGE(""https://docs.google.com/spreadsheets/d/1kGrh75X1cNR1D7_FcY9zMnHP8iP"&amp;"O4M5RCRjy6nZY0TY/edit#gid=1248694442"",""Table 3: 1st-line HC!A5:A111"")),"""")"),"")</f>
        <v/>
      </c>
      <c r="R10" s="19" t="str">
        <f>IFERROR(__xludf.DUMMYFUNCTION("IFNA(FILTER(IMPORTRANGE(""https://docs.google.com/spreadsheets/d/1kGrh75X1cNR1D7_FcY9zMnHP8iPO4M5RCRjy6nZY0TY/edit#gid=1248694442"",""Table 3: 1st-line HC!AJ5:AJ111""), $A10=IMPORTRANGE(""https://docs.google.com/spreadsheets/d/1kGrh75X1cNR1D7_FcY9zMnHP8iP"&amp;"O4M5RCRjy6nZY0TY/edit#gid=1248694442"",""Table 3: 1st-line HC!A5:A111"")),"""")"),"")</f>
        <v/>
      </c>
      <c r="S10" s="20" t="str">
        <f>IFERROR(__xludf.DUMMYFUNCTION("IFNA(FILTER(IMPORTRANGE(""https://docs.google.com/spreadsheets/d/1kGrh75X1cNR1D7_FcY9zMnHP8iPO4M5RCRjy6nZY0TY/edit#gid=1248694442"",""Subgroup 3: Mi ~ Tx!B3:B17""), $A10=IMPORTRANGE(""https://docs.google.com/spreadsheets/d/1kGrh75X1cNR1D7_FcY9zMnHP8iPO4M5"&amp;"RCRjy6nZY0TY/edit#gid=1248694442"",""Subgroup 3: Mi ~ Tx!A3:A17"")),"""")"),"")</f>
        <v/>
      </c>
      <c r="T10" s="20" t="str">
        <f>IFERROR(__xludf.DUMMYFUNCTION("IFNA(FILTER(IMPORTRANGE(""https://docs.google.com/spreadsheets/d/1kGrh75X1cNR1D7_FcY9zMnHP8iPO4M5RCRjy6nZY0TY/edit#gid=1248694442"",""Subgroup 3: Mi ~ Tx!C3:C17""), $A10=IMPORTRANGE(""https://docs.google.com/spreadsheets/d/1kGrh75X1cNR1D7_FcY9zMnHP8iPO4M5"&amp;"RCRjy6nZY0TY/edit#gid=1248694442"",""Subgroup 3: Mi ~ Tx!A3:A17"")),"""")"),"")</f>
        <v/>
      </c>
      <c r="U10" s="20" t="str">
        <f>IFERROR(__xludf.DUMMYFUNCTION("IFNA(FILTER(IMPORTRANGE(""https://docs.google.com/spreadsheets/d/1kGrh75X1cNR1D7_FcY9zMnHP8iPO4M5RCRjy6nZY0TY/edit#gid=1248694442"",""Subgroup 3: Mi ~ Tx!D3:D17""), $A10=IMPORTRANGE(""https://docs.google.com/spreadsheets/d/1kGrh75X1cNR1D7_FcY9zMnHP8iPO4M5"&amp;"RCRjy6nZY0TY/edit#gid=1248694442"",""Subgroup 3: Mi ~ Tx!A3:A17"")),"""")"),"")</f>
        <v/>
      </c>
      <c r="V10" s="20" t="str">
        <f>IFERROR(__xludf.DUMMYFUNCTION("IFNA(FILTER(IMPORTRANGE(""https://docs.google.com/spreadsheets/d/1kGrh75X1cNR1D7_FcY9zMnHP8iPO4M5RCRjy6nZY0TY/edit#gid=1248694442"",""Subgroup 3: Mi ~ Tx!E3:E17""), $A10=IMPORTRANGE(""https://docs.google.com/spreadsheets/d/1kGrh75X1cNR1D7_FcY9zMnHP8iPO4M5"&amp;"RCRjy6nZY0TY/edit#gid=1248694442"",""Subgroup 3: Mi ~ Tx!A3:A17"")),"""")"),"")</f>
        <v/>
      </c>
      <c r="W10" s="20" t="str">
        <f>IFERROR(__xludf.DUMMYFUNCTION("IFNA(FILTER(IMPORTRANGE(""https://docs.google.com/spreadsheets/d/1kGrh75X1cNR1D7_FcY9zMnHP8iPO4M5RCRjy6nZY0TY/edit#gid=1248694442"",""Subgroup 3: Mi ~ Tx!F3:F17""), $A10=IMPORTRANGE(""https://docs.google.com/spreadsheets/d/1kGrh75X1cNR1D7_FcY9zMnHP8iPO4M5"&amp;"RCRjy6nZY0TY/edit#gid=1248694442"",""Subgroup 3: Mi ~ Tx!A3:A17"")),"""")"),"")</f>
        <v/>
      </c>
      <c r="X10" s="19" t="str">
        <f>IFERROR(__xludf.DUMMYFUNCTION("IFNA(FILTER(IMPORTRANGE(""https://docs.google.com/spreadsheets/d/1kGrh75X1cNR1D7_FcY9zMnHP8iPO4M5RCRjy6nZY0TY/edit#gid=1248694442"",""Table 3: 1st-line HC!AK5:AK111""), $A10=IMPORTRANGE(""https://docs.google.com/spreadsheets/d/1kGrh75X1cNR1D7_FcY9zMnHP8iP"&amp;"O4M5RCRjy6nZY0TY/edit#gid=1248694442"",""Table 3: 1st-line HC!A5:A111"")),"""")"),"")</f>
        <v/>
      </c>
      <c r="Y10" s="20" t="str">
        <f>IFERROR(__xludf.DUMMYFUNCTION("IFNA(FILTER(IMPORTRANGE(""https://docs.google.com/spreadsheets/d/1kGrh75X1cNR1D7_FcY9zMnHP8iPO4M5RCRjy6nZY0TY/edit#gid=1248694442"",""Subgroup 4: Mp ~ Tx!B3:B20""), $A10=IMPORTRANGE(""https://docs.google.com/spreadsheets/d/1kGrh75X1cNR1D7_FcY9zMnHP8iPO4M5"&amp;"RCRjy6nZY0TY/edit#gid=1248694442"",""Subgroup 4: Mp ~ Tx!A3:A20"")),"""")"),"")</f>
        <v/>
      </c>
      <c r="Z10" s="20" t="str">
        <f>IFERROR(__xludf.DUMMYFUNCTION("IFNA(FILTER(IMPORTRANGE(""https://docs.google.com/spreadsheets/d/1kGrh75X1cNR1D7_FcY9zMnHP8iPO4M5RCRjy6nZY0TY/edit#gid=1248694442"",""Subgroup 4: Mp ~ Tx!C3:C20""), $A10=IMPORTRANGE(""https://docs.google.com/spreadsheets/d/1kGrh75X1cNR1D7_FcY9zMnHP8iPO4M5"&amp;"RCRjy6nZY0TY/edit#gid=1248694442"",""Subgroup 4: Mp ~ Tx!A3:A20"")),"""")"),"")</f>
        <v/>
      </c>
      <c r="AA10" s="20" t="str">
        <f>IFERROR(__xludf.DUMMYFUNCTION("IFNA(FILTER(IMPORTRANGE(""https://docs.google.com/spreadsheets/d/1kGrh75X1cNR1D7_FcY9zMnHP8iPO4M5RCRjy6nZY0TY/edit#gid=1248694442"",""Subgroup 4: Mp ~ Tx!D3:D20""), $A10=IMPORTRANGE(""https://docs.google.com/spreadsheets/d/1kGrh75X1cNR1D7_FcY9zMnHP8iPO4M5"&amp;"RCRjy6nZY0TY/edit#gid=1248694442"",""Subgroup 4: Mp ~ Tx!A3:A20"")),"""")"),"")</f>
        <v/>
      </c>
      <c r="AB10" s="20" t="str">
        <f>IFERROR(__xludf.DUMMYFUNCTION("IFNA(FILTER(IMPORTRANGE(""https://docs.google.com/spreadsheets/d/1kGrh75X1cNR1D7_FcY9zMnHP8iPO4M5RCRjy6nZY0TY/edit#gid=1248694442"",""Subgroup 4: Mp ~ Tx!E3:E20""), $A10=IMPORTRANGE(""https://docs.google.com/spreadsheets/d/1kGrh75X1cNR1D7_FcY9zMnHP8iPO4M5"&amp;"RCRjy6nZY0TY/edit#gid=1248694442"",""Subgroup 4: Mp ~ Tx!A3:A20"")),"""")"),"")</f>
        <v/>
      </c>
      <c r="AC10" s="20" t="str">
        <f>IFERROR(__xludf.DUMMYFUNCTION("IFNA(FILTER(IMPORTRANGE(""https://docs.google.com/spreadsheets/d/1kGrh75X1cNR1D7_FcY9zMnHP8iPO4M5RCRjy6nZY0TY/edit#gid=1248694442"",""Subgroup 4: Mp ~ Tx!F3:F20""), $A10=IMPORTRANGE(""https://docs.google.com/spreadsheets/d/1kGrh75X1cNR1D7_FcY9zMnHP8iPO4M5"&amp;"RCRjy6nZY0TY/edit#gid=1248694442"",""Subgroup 4: Mp ~ Tx!A3:A20"")),"""")"),"")</f>
        <v/>
      </c>
      <c r="AD10" s="22" t="str">
        <f>IFERROR(__xludf.DUMMYFUNCTION("IFNA(FILTER(IMPORTRANGE(""https://docs.google.com/spreadsheets/d/1kGrh75X1cNR1D7_FcY9zMnHP8iPO4M5RCRjy6nZY0TY/edit#gid=1248694442"",""Table 3: 1st-line HC!AL5:AL111""), $A10=IMPORTRANGE(""https://docs.google.com/spreadsheets/d/1kGrh75X1cNR1D7_FcY9zMnHP8iP"&amp;"O4M5RCRjy6nZY0TY/edit#gid=1248694442"",""Table 3: 1st-line HC!A5:A111"")),"""")"),"")</f>
        <v/>
      </c>
      <c r="AE10" s="20" t="str">
        <f>IFERROR(__xludf.DUMMYFUNCTION("IFNA(FILTER(IMPORTRANGE(""https://docs.google.com/spreadsheets/d/1kGrh75X1cNR1D7_FcY9zMnHP8iPO4M5RCRjy6nZY0TY/edit#gid=1248694442"",""Table 3: 1st-line HC!BJ5:BJ111""), $A10=IMPORTRANGE(""https://docs.google.com/spreadsheets/d/1kGrh75X1cNR1D7_FcY9zMnHP8iP"&amp;"O4M5RCRjy6nZY0TY/edit#gid=1248694442"",""Table 3: 1st-line HC!A5:A111"")),"""")"),"")</f>
        <v/>
      </c>
      <c r="AF10" s="20" t="str">
        <f>IFERROR(__xludf.DUMMYFUNCTION("IFNA(FILTER(IMPORTRANGE(""https://docs.google.com/spreadsheets/d/1kGrh75X1cNR1D7_FcY9zMnHP8iPO4M5RCRjy6nZY0TY/edit#gid=1248694442"",""Subgroup 2: Cr ~ Tx!B3:B23""), $A10=IMPORTRANGE(""https://docs.google.com/spreadsheets/d/1kGrh75X1cNR1D7_FcY9zMnHP8iPO4M5"&amp;"RCRjy6nZY0TY/edit#gid=1248694442"",""Subgroup 2: Cr ~ Tx!A3:A23"")),"""")"),"")</f>
        <v/>
      </c>
      <c r="AG10" s="20" t="str">
        <f>IFERROR(__xludf.DUMMYFUNCTION("IFNA(FILTER(IMPORTRANGE(""https://docs.google.com/spreadsheets/d/1kGrh75X1cNR1D7_FcY9zMnHP8iPO4M5RCRjy6nZY0TY/edit#gid=1248694442"",""Subgroup 2: Cr ~ Tx!C3:C23""), $A10=IMPORTRANGE(""https://docs.google.com/spreadsheets/d/1kGrh75X1cNR1D7_FcY9zMnHP8iPO4M5"&amp;"RCRjy6nZY0TY/edit#gid=1248694442"",""Subgroup 2: Cr ~ Tx!A3:A23"")),"""")"),"")</f>
        <v/>
      </c>
      <c r="AH10" s="20" t="str">
        <f>IFERROR(__xludf.DUMMYFUNCTION("IFNA(FILTER(IMPORTRANGE(""https://docs.google.com/spreadsheets/d/1kGrh75X1cNR1D7_FcY9zMnHP8iPO4M5RCRjy6nZY0TY/edit#gid=1248694442"",""Subgroup 2: Cr ~ Tx!D3:D23""), $A10=IMPORTRANGE(""https://docs.google.com/spreadsheets/d/1kGrh75X1cNR1D7_FcY9zMnHP8iPO4M5"&amp;"RCRjy6nZY0TY/edit#gid=1248694442"",""Subgroup 2: Cr ~ Tx!A3:A23"")),"""")"),"")</f>
        <v/>
      </c>
      <c r="AI10" s="20" t="str">
        <f>IFERROR(__xludf.DUMMYFUNCTION("IFNA(FILTER(IMPORTRANGE(""https://docs.google.com/spreadsheets/d/1kGrh75X1cNR1D7_FcY9zMnHP8iPO4M5RCRjy6nZY0TY/edit#gid=1248694442"",""Subgroup 2: Cr ~ Tx!E3:E23""), $A10=IMPORTRANGE(""https://docs.google.com/spreadsheets/d/1kGrh75X1cNR1D7_FcY9zMnHP8iPO4M5"&amp;"RCRjy6nZY0TY/edit#gid=1248694442"",""Subgroup 2: Cr ~ Tx!A3:A23"")),"""")"),"")</f>
        <v/>
      </c>
      <c r="AJ10" s="20" t="str">
        <f>IFERROR(__xludf.DUMMYFUNCTION("IFNA(FILTER(IMPORTRANGE(""https://docs.google.com/spreadsheets/d/1kGrh75X1cNR1D7_FcY9zMnHP8iPO4M5RCRjy6nZY0TY/edit#gid=1248694442"",""Subgroup 2: Cr ~ Tx!F3:F23""), $A10=IMPORTRANGE(""https://docs.google.com/spreadsheets/d/1kGrh75X1cNR1D7_FcY9zMnHP8iPO4M5"&amp;"RCRjy6nZY0TY/edit#gid=1248694442"",""Subgroup 2: Cr ~ Tx!A3:A23"")),"""")"),"")</f>
        <v/>
      </c>
      <c r="AK10" s="14" t="str">
        <f>IFERROR(__xludf.DUMMYFUNCTION("IFNA(FILTER(IMPORTRANGE(""https://docs.google.com/spreadsheets/d/1kGrh75X1cNR1D7_FcY9zMnHP8iPO4M5RCRjy6nZY0TY/edit#gid=1248694442"",""Table 4: 2nd-line HC or more!M5:M85""), $A10=IMPORTRANGE(""https://docs.google.com/spreadsheets/d/1kGrh75X1cNR1D7_FcY9zMn"&amp;"HP8iPO4M5RCRjy6nZY0TY/edit#gid=1248694442"",""Table 4: 2nd-line HC or more!A5:A85"")),"""")"),"")</f>
        <v/>
      </c>
      <c r="AL10" s="14" t="str">
        <f>IFERROR(__xludf.DUMMYFUNCTION("IFNA(FILTER(IMPORTRANGE(""https://docs.google.com/spreadsheets/d/1kGrh75X1cNR1D7_FcY9zMnHP8iPO4M5RCRjy6nZY0TY/edit#gid=1248694442"",""Table 4: 2nd-line HC or more!N5:N85""), $A10=IMPORTRANGE(""https://docs.google.com/spreadsheets/d/1kGrh75X1cNR1D7_FcY9zMn"&amp;"HP8iPO4M5RCRjy6nZY0TY/edit#gid=1248694442"",""Table 4: 2nd-line HC or more!A5:A85"")),"""")"),"")</f>
        <v/>
      </c>
      <c r="AM10" s="14" t="str">
        <f>IFERROR(__xludf.DUMMYFUNCTION("IFNA(FILTER(IMPORTRANGE(""https://docs.google.com/spreadsheets/d/1kGrh75X1cNR1D7_FcY9zMnHP8iPO4M5RCRjy6nZY0TY/edit#gid=1248694442"",""Table 4: 2nd-line HC or more!O5:O85""), $A10=IMPORTRANGE(""https://docs.google.com/spreadsheets/d/1kGrh75X1cNR1D7_FcY9zMn"&amp;"HP8iPO4M5RCRjy6nZY0TY/edit#gid=1248694442"",""Table 4: 2nd-line HC or more!A5:A85"")),"""")"),"")</f>
        <v/>
      </c>
      <c r="AN10" s="14" t="str">
        <f>IFERROR(__xludf.DUMMYFUNCTION("IFNA(FILTER(IMPORTRANGE(""https://docs.google.com/spreadsheets/d/1kGrh75X1cNR1D7_FcY9zMnHP8iPO4M5RCRjy6nZY0TY/edit#gid=1248694442"",""Table 3: 1st-line HC!AP5:AP111""), $A10=IMPORTRANGE(""https://docs.google.com/spreadsheets/d/1kGrh75X1cNR1D7_FcY9zMnHP8iP"&amp;"O4M5RCRjy6nZY0TY/edit#gid=1248694442"",""Table 3: 1st-line HC!A5:A111"")),"""")"),"")</f>
        <v/>
      </c>
      <c r="AO10" s="14" t="str">
        <f>IFERROR(__xludf.DUMMYFUNCTION("IFNA(FILTER(IMPORTRANGE(""https://docs.google.com/spreadsheets/d/1kGrh75X1cNR1D7_FcY9zMnHP8iPO4M5RCRjy6nZY0TY/edit#gid=1248694442"",""Table 3: 1st-line HC!AO5:AO111""), $A10=IMPORTRANGE(""https://docs.google.com/spreadsheets/d/1kGrh75X1cNR1D7_FcY9zMnHP8iP"&amp;"O4M5RCRjy6nZY0TY/edit#gid=1248694442"",""Table 3: 1st-line HC!A5:A111"")),"""")"),"")</f>
        <v/>
      </c>
      <c r="AP10" s="14" t="str">
        <f>IFERROR(__xludf.DUMMYFUNCTION("IFNA(FILTER(IMPORTRANGE(""https://docs.google.com/spreadsheets/d/1kGrh75X1cNR1D7_FcY9zMnHP8iPO4M5RCRjy6nZY0TY/edit#gid=1248694442"",""Table 3: 1st-line HC!AQ5:AQ111""), $A10=IMPORTRANGE(""https://docs.google.com/spreadsheets/d/1kGrh75X1cNR1D7_FcY9zMnHP8iP"&amp;"O4M5RCRjy6nZY0TY/edit#gid=1248694442"",""Table 3: 1st-line HC!A5:A111"")),"""")"),"")</f>
        <v/>
      </c>
      <c r="AQ10" s="14" t="str">
        <f>IFERROR(__xludf.DUMMYFUNCTION("IFNA(FILTER(IMPORTRANGE(""https://docs.google.com/spreadsheets/d/1kGrh75X1cNR1D7_FcY9zMnHP8iPO4M5RCRjy6nZY0TY/edit#gid=1248694442"",""Table 2: MMC!T5:T114""), $A10=IMPORTRANGE(""https://docs.google.com/spreadsheets/d/1kGrh75X1cNR1D7_FcY9zMnHP8iPO4M5RCRjy6"&amp;"nZY0TY/edit#gid=1248694442"",""Table 2: MMC!A5:A114"")),"""")"),"")</f>
        <v/>
      </c>
      <c r="AR10" s="14" t="str">
        <f>IFERROR(__xludf.DUMMYFUNCTION("IFNA(FILTER(IMPORTRANGE(""https://docs.google.com/spreadsheets/d/1kGrh75X1cNR1D7_FcY9zMnHP8iPO4M5RCRjy6nZY0TY/edit#gid=1248694442"",""Table 2: MMC!U5:U114""), $A10=IMPORTRANGE(""https://docs.google.com/spreadsheets/d/1kGrh75X1cNR1D7_FcY9zMnHP8iPO4M5RCRjy6"&amp;"nZY0TY/edit#gid=1248694442"",""Table 2: MMC!A5:A114"")),"""")"),"")</f>
        <v/>
      </c>
      <c r="AS10" s="14" t="str">
        <f>IFERROR(__xludf.DUMMYFUNCTION("IFNA(FILTER(IMPORTRANGE(""https://docs.google.com/spreadsheets/d/1kGrh75X1cNR1D7_FcY9zMnHP8iPO4M5RCRjy6nZY0TY/edit#gid=1248694442"",""Table 2: MMC!V5:V114""), $A10=IMPORTRANGE(""https://docs.google.com/spreadsheets/d/1kGrh75X1cNR1D7_FcY9zMnHP8iPO4M5RCRjy6"&amp;"nZY0TY/edit#gid=1248694442"",""Table 2: MMC!A5:A114"")),"""")"),"")</f>
        <v/>
      </c>
      <c r="AT10" s="4" t="str">
        <f>IFERROR(__xludf.DUMMYFUNCTION("IFNA(FILTER(IMPORTRANGE(""https://docs.google.com/spreadsheets/d/1kGrh75X1cNR1D7_FcY9zMnHP8iPO4M5RCRjy6nZY0TY/edit#gid=1248694442"",""Table 2: MMC!W5:W114""), $A10=IMPORTRANGE(""https://docs.google.com/spreadsheets/d/1kGrh75X1cNR1D7_FcY9zMnHP8iPO4M5RCRjy6"&amp;"nZY0TY/edit#gid=1248694442"",""Table 2: MMC!A5:A114"")),"""")"),"")</f>
        <v/>
      </c>
    </row>
    <row r="11">
      <c r="A11" s="4" t="str">
        <f>IFERROR(__xludf.DUMMYFUNCTION("""COMPUTED_VALUE"""),"ID 15")</f>
        <v>ID 15</v>
      </c>
      <c r="B11" s="20" t="str">
        <f>IFERROR(__xludf.DUMMYFUNCTION("IFNA(FILTER(IMPORTRANGE(""https://docs.google.com/spreadsheets/d/1kGrh75X1cNR1D7_FcY9zMnHP8iPO4M5RCRjy6nZY0TY/edit#gid=1248694442"",""Table 3: 1st-line HC!BK5:BK111""), $A11=IMPORTRANGE(""https://docs.google.com/spreadsheets/d/1kGrh75X1cNR1D7_FcY9zMnHP8iP"&amp;"O4M5RCRjy6nZY0TY/edit#gid=1248694442"",""Table 3: 1st-line HC!A5:A111"")),"""")"),"")</f>
        <v/>
      </c>
      <c r="C11" s="20" t="str">
        <f>IFERROR(__xludf.DUMMYFUNCTION("IFNA(FILTER(IMPORTRANGE(""https://docs.google.com/spreadsheets/d/1kGrh75X1cNR1D7_FcY9zMnHP8iPO4M5RCRjy6nZY0TY/edit#gid=1248694442"",""Subgroup 1: Fr ~ Tx!B3:B20""), $A11=IMPORTRANGE(""https://docs.google.com/spreadsheets/d/1kGrh75X1cNR1D7_FcY9zMnHP8iPO4M5"&amp;"RCRjy6nZY0TY/edit#gid=1248694442"",""Subgroup 1: Fr ~ Tx!A3:A20"")),"""")"),"")</f>
        <v/>
      </c>
      <c r="D11" s="20" t="str">
        <f>IFERROR(__xludf.DUMMYFUNCTION("IFNA(FILTER(IMPORTRANGE(""https://docs.google.com/spreadsheets/d/1kGrh75X1cNR1D7_FcY9zMnHP8iPO4M5RCRjy6nZY0TY/edit#gid=1248694442"",""Subgroup 1: Fr ~ Tx!C3:C20""), $A11=IMPORTRANGE(""https://docs.google.com/spreadsheets/d/1kGrh75X1cNR1D7_FcY9zMnHP8iPO4M5"&amp;"RCRjy6nZY0TY/edit#gid=1248694442"",""Subgroup 1: Fr ~ Tx!A3:A20"")),"""")"),"")</f>
        <v/>
      </c>
      <c r="E11" s="20" t="str">
        <f>IFERROR(__xludf.DUMMYFUNCTION("IFNA(FILTER(IMPORTRANGE(""https://docs.google.com/spreadsheets/d/1kGrh75X1cNR1D7_FcY9zMnHP8iPO4M5RCRjy6nZY0TY/edit#gid=1248694442"",""Subgroup 1: Fr ~ Tx!D3:D20""), $A11=IMPORTRANGE(""https://docs.google.com/spreadsheets/d/1kGrh75X1cNR1D7_FcY9zMnHP8iPO4M5"&amp;"RCRjy6nZY0TY/edit#gid=1248694442"",""Subgroup 1: Fr ~ Tx!A3:A20"")),"""")"),"")</f>
        <v/>
      </c>
      <c r="F11" s="20" t="str">
        <f>IFERROR(__xludf.DUMMYFUNCTION("IFNA(FILTER(IMPORTRANGE(""https://docs.google.com/spreadsheets/d/1kGrh75X1cNR1D7_FcY9zMnHP8iPO4M5RCRjy6nZY0TY/edit#gid=1248694442"",""Subgroup 1: Fr ~ Tx!E3:E20""), $A11=IMPORTRANGE(""https://docs.google.com/spreadsheets/d/1kGrh75X1cNR1D7_FcY9zMnHP8iPO4M5"&amp;"RCRjy6nZY0TY/edit#gid=1248694442"",""Subgroup 1: Fr ~ Tx!A3:A20"")),"""")"),"")</f>
        <v/>
      </c>
      <c r="G11" s="20" t="str">
        <f>IFERROR(__xludf.DUMMYFUNCTION("IFNA(FILTER(IMPORTRANGE(""https://docs.google.com/spreadsheets/d/1kGrh75X1cNR1D7_FcY9zMnHP8iPO4M5RCRjy6nZY0TY/edit#gid=1248694442"",""Subgroup 1: Fr ~ Tx!F3:F20""), $A11=IMPORTRANGE(""https://docs.google.com/spreadsheets/d/1kGrh75X1cNR1D7_FcY9zMnHP8iPO4M5"&amp;"RCRjy6nZY0TY/edit#gid=1248694442"",""Subgroup 1: Fr ~ Tx!A3:A20"")),"""")"),"")</f>
        <v/>
      </c>
      <c r="H11" s="20" t="str">
        <f>IFERROR(__xludf.DUMMYFUNCTION("IFNA(FILTER(IMPORTRANGE(""https://docs.google.com/spreadsheets/d/1kGrh75X1cNR1D7_FcY9zMnHP8iPO4M5RCRjy6nZY0TY/edit#gid=1248694442"",""Table 3: 1st-line HC!BD5:BD111""), $A11=IMPORTRANGE(""https://docs.google.com/spreadsheets/d/1kGrh75X1cNR1D7_FcY9zMnHP8iP"&amp;"O4M5RCRjy6nZY0TY/edit#gid=1248694442"",""Table 3: 1st-line HC!A5:A111"")),"""")"),"")</f>
        <v/>
      </c>
      <c r="I11" s="20" t="str">
        <f>IFERROR(__xludf.DUMMYFUNCTION("IFNA(FILTER(IMPORTRANGE(""https://docs.google.com/spreadsheets/d/1kGrh75X1cNR1D7_FcY9zMnHP8iPO4M5RCRjy6nZY0TY/edit#gid=1248694442"",""Subgroup 5: Tf ~ Tx!B3:B8""), $A11=IMPORTRANGE(""https://docs.google.com/spreadsheets/d/1kGrh75X1cNR1D7_FcY9zMnHP8iPO4M5R"&amp;"CRjy6nZY0TY/edit#gid=1248694442"",""Subgroup 5: Tf ~ Tx!A3:A8"")),"""")"),"")</f>
        <v/>
      </c>
      <c r="J11" s="20" t="str">
        <f>IFERROR(__xludf.DUMMYFUNCTION("IFNA(FILTER(IMPORTRANGE(""https://docs.google.com/spreadsheets/d/1kGrh75X1cNR1D7_FcY9zMnHP8iPO4M5RCRjy6nZY0TY/edit#gid=1248694442"",""Subgroup 5: Tf ~ Tx!C3:C8""), $A11=IMPORTRANGE(""https://docs.google.com/spreadsheets/d/1kGrh75X1cNR1D7_FcY9zMnHP8iPO4M5R"&amp;"CRjy6nZY0TY/edit#gid=1248694442"",""Subgroup 5: Tf ~ Tx!A3:A8"")),"""")"),"")</f>
        <v/>
      </c>
      <c r="K11" s="20" t="str">
        <f>IFERROR(__xludf.DUMMYFUNCTION("IFNA(FILTER(IMPORTRANGE(""https://docs.google.com/spreadsheets/d/1kGrh75X1cNR1D7_FcY9zMnHP8iPO4M5RCRjy6nZY0TY/edit#gid=1248694442"",""Subgroup 5: Tf ~ Tx!D3:D8""), $A11=IMPORTRANGE(""https://docs.google.com/spreadsheets/d/1kGrh75X1cNR1D7_FcY9zMnHP8iPO4M5R"&amp;"CRjy6nZY0TY/edit#gid=1248694442"",""Subgroup 5: Tf ~ Tx!A3:A8"")),"""")"),"")</f>
        <v/>
      </c>
      <c r="L11" s="20" t="str">
        <f>IFERROR(__xludf.DUMMYFUNCTION("IFNA(FILTER(IMPORTRANGE(""https://docs.google.com/spreadsheets/d/1kGrh75X1cNR1D7_FcY9zMnHP8iPO4M5RCRjy6nZY0TY/edit#gid=1248694442"",""Subgroup 5: Tf ~ Tx!E3:E8""), $A11=IMPORTRANGE(""https://docs.google.com/spreadsheets/d/1kGrh75X1cNR1D7_FcY9zMnHP8iPO4M5R"&amp;"CRjy6nZY0TY/edit#gid=1248694442"",""Subgroup 5: Tf ~ Tx!A3:A8"")),"""")"),"")</f>
        <v/>
      </c>
      <c r="M11" s="20" t="str">
        <f>IFERROR(__xludf.DUMMYFUNCTION("IFNA(FILTER(IMPORTRANGE(""https://docs.google.com/spreadsheets/d/1kGrh75X1cNR1D7_FcY9zMnHP8iPO4M5RCRjy6nZY0TY/edit#gid=1248694442"",""Subgroup 5: Tf ~ Tx!F3:F8""), $A11=IMPORTRANGE(""https://docs.google.com/spreadsheets/d/1kGrh75X1cNR1D7_FcY9zMnHP8iPO4M5R"&amp;"CRjy6nZY0TY/edit#gid=1248694442"",""Subgroup 5: Tf ~ Tx!A3:A8"")),"""")"),"")</f>
        <v/>
      </c>
      <c r="N11" s="20" t="str">
        <f>IFERROR(__xludf.DUMMYFUNCTION("IFNA(FILTER(IMPORTRANGE(""https://docs.google.com/spreadsheets/d/1kGrh75X1cNR1D7_FcY9zMnHP8iPO4M5RCRjy6nZY0TY/edit#gid=1248694442"",""Table 3: 1st-line HC!BE5:BE111""), $A11=IMPORTRANGE(""https://docs.google.com/spreadsheets/d/1kGrh75X1cNR1D7_FcY9zMnHP8iP"&amp;"O4M5RCRjy6nZY0TY/edit#gid=1248694442"",""Table 3: 1st-line HC!A5:A111"")),"""")"),"")</f>
        <v/>
      </c>
      <c r="O11" s="20" t="str">
        <f>IFERROR(__xludf.DUMMYFUNCTION("IFNA(FILTER(IMPORTRANGE(""https://docs.google.com/spreadsheets/d/1kGrh75X1cNR1D7_FcY9zMnHP8iPO4M5RCRjy6nZY0TY/edit#gid=1248694442"",""Table 3: 1st-line HC!BF5:BF111""), $A11=IMPORTRANGE(""https://docs.google.com/spreadsheets/d/1kGrh75X1cNR1D7_FcY9zMnHP8iP"&amp;"O4M5RCRjy6nZY0TY/edit#gid=1248694442"",""Table 3: 1st-line HC!A5:A111"")),"""")"),"")</f>
        <v/>
      </c>
      <c r="P11" s="20" t="str">
        <f>IFERROR(__xludf.DUMMYFUNCTION("IFNA(FILTER(IMPORTRANGE(""https://docs.google.com/spreadsheets/d/1kGrh75X1cNR1D7_FcY9zMnHP8iPO4M5RCRjy6nZY0TY/edit#gid=1248694442"",""Table 3: 1st-line HC!BG5:BG111""), $A11=IMPORTRANGE(""https://docs.google.com/spreadsheets/d/1kGrh75X1cNR1D7_FcY9zMnHP8iP"&amp;"O4M5RCRjy6nZY0TY/edit#gid=1248694442"",""Table 3: 1st-line HC!A5:A111"")),"""")"),"")</f>
        <v/>
      </c>
      <c r="Q11" s="21" t="str">
        <f>IFERROR(__xludf.DUMMYFUNCTION("IFNA(FILTER(IMPORTRANGE(""https://docs.google.com/spreadsheets/d/1kGrh75X1cNR1D7_FcY9zMnHP8iPO4M5RCRjy6nZY0TY/edit#gid=1248694442"",""Table 3: 1st-line HC!BH5:BH111""), $A11=IMPORTRANGE(""https://docs.google.com/spreadsheets/d/1kGrh75X1cNR1D7_FcY9zMnHP8iP"&amp;"O4M5RCRjy6nZY0TY/edit#gid=1248694442"",""Table 3: 1st-line HC!A5:A111"")),"""")"),"")</f>
        <v/>
      </c>
      <c r="R11" s="19" t="str">
        <f>IFERROR(__xludf.DUMMYFUNCTION("IFNA(FILTER(IMPORTRANGE(""https://docs.google.com/spreadsheets/d/1kGrh75X1cNR1D7_FcY9zMnHP8iPO4M5RCRjy6nZY0TY/edit#gid=1248694442"",""Table 3: 1st-line HC!AJ5:AJ111""), $A11=IMPORTRANGE(""https://docs.google.com/spreadsheets/d/1kGrh75X1cNR1D7_FcY9zMnHP8iP"&amp;"O4M5RCRjy6nZY0TY/edit#gid=1248694442"",""Table 3: 1st-line HC!A5:A111"")),"""")"),"")</f>
        <v/>
      </c>
      <c r="S11" s="20" t="str">
        <f>IFERROR(__xludf.DUMMYFUNCTION("IFNA(FILTER(IMPORTRANGE(""https://docs.google.com/spreadsheets/d/1kGrh75X1cNR1D7_FcY9zMnHP8iPO4M5RCRjy6nZY0TY/edit#gid=1248694442"",""Subgroup 3: Mi ~ Tx!B3:B17""), $A11=IMPORTRANGE(""https://docs.google.com/spreadsheets/d/1kGrh75X1cNR1D7_FcY9zMnHP8iPO4M5"&amp;"RCRjy6nZY0TY/edit#gid=1248694442"",""Subgroup 3: Mi ~ Tx!A3:A17"")),"""")"),"")</f>
        <v/>
      </c>
      <c r="T11" s="20" t="str">
        <f>IFERROR(__xludf.DUMMYFUNCTION("IFNA(FILTER(IMPORTRANGE(""https://docs.google.com/spreadsheets/d/1kGrh75X1cNR1D7_FcY9zMnHP8iPO4M5RCRjy6nZY0TY/edit#gid=1248694442"",""Subgroup 3: Mi ~ Tx!C3:C17""), $A11=IMPORTRANGE(""https://docs.google.com/spreadsheets/d/1kGrh75X1cNR1D7_FcY9zMnHP8iPO4M5"&amp;"RCRjy6nZY0TY/edit#gid=1248694442"",""Subgroup 3: Mi ~ Tx!A3:A17"")),"""")"),"")</f>
        <v/>
      </c>
      <c r="U11" s="20" t="str">
        <f>IFERROR(__xludf.DUMMYFUNCTION("IFNA(FILTER(IMPORTRANGE(""https://docs.google.com/spreadsheets/d/1kGrh75X1cNR1D7_FcY9zMnHP8iPO4M5RCRjy6nZY0TY/edit#gid=1248694442"",""Subgroup 3: Mi ~ Tx!D3:D17""), $A11=IMPORTRANGE(""https://docs.google.com/spreadsheets/d/1kGrh75X1cNR1D7_FcY9zMnHP8iPO4M5"&amp;"RCRjy6nZY0TY/edit#gid=1248694442"",""Subgroup 3: Mi ~ Tx!A3:A17"")),"""")"),"")</f>
        <v/>
      </c>
      <c r="V11" s="20" t="str">
        <f>IFERROR(__xludf.DUMMYFUNCTION("IFNA(FILTER(IMPORTRANGE(""https://docs.google.com/spreadsheets/d/1kGrh75X1cNR1D7_FcY9zMnHP8iPO4M5RCRjy6nZY0TY/edit#gid=1248694442"",""Subgroup 3: Mi ~ Tx!E3:E17""), $A11=IMPORTRANGE(""https://docs.google.com/spreadsheets/d/1kGrh75X1cNR1D7_FcY9zMnHP8iPO4M5"&amp;"RCRjy6nZY0TY/edit#gid=1248694442"",""Subgroup 3: Mi ~ Tx!A3:A17"")),"""")"),"")</f>
        <v/>
      </c>
      <c r="W11" s="20" t="str">
        <f>IFERROR(__xludf.DUMMYFUNCTION("IFNA(FILTER(IMPORTRANGE(""https://docs.google.com/spreadsheets/d/1kGrh75X1cNR1D7_FcY9zMnHP8iPO4M5RCRjy6nZY0TY/edit#gid=1248694442"",""Subgroup 3: Mi ~ Tx!F3:F17""), $A11=IMPORTRANGE(""https://docs.google.com/spreadsheets/d/1kGrh75X1cNR1D7_FcY9zMnHP8iPO4M5"&amp;"RCRjy6nZY0TY/edit#gid=1248694442"",""Subgroup 3: Mi ~ Tx!A3:A17"")),"""")"),"")</f>
        <v/>
      </c>
      <c r="X11" s="19" t="str">
        <f>IFERROR(__xludf.DUMMYFUNCTION("IFNA(FILTER(IMPORTRANGE(""https://docs.google.com/spreadsheets/d/1kGrh75X1cNR1D7_FcY9zMnHP8iPO4M5RCRjy6nZY0TY/edit#gid=1248694442"",""Table 3: 1st-line HC!AK5:AK111""), $A11=IMPORTRANGE(""https://docs.google.com/spreadsheets/d/1kGrh75X1cNR1D7_FcY9zMnHP8iP"&amp;"O4M5RCRjy6nZY0TY/edit#gid=1248694442"",""Table 3: 1st-line HC!A5:A111"")),"""")"),"")</f>
        <v/>
      </c>
      <c r="Y11" s="20" t="str">
        <f>IFERROR(__xludf.DUMMYFUNCTION("IFNA(FILTER(IMPORTRANGE(""https://docs.google.com/spreadsheets/d/1kGrh75X1cNR1D7_FcY9zMnHP8iPO4M5RCRjy6nZY0TY/edit#gid=1248694442"",""Subgroup 4: Mp ~ Tx!B3:B20""), $A11=IMPORTRANGE(""https://docs.google.com/spreadsheets/d/1kGrh75X1cNR1D7_FcY9zMnHP8iPO4M5"&amp;"RCRjy6nZY0TY/edit#gid=1248694442"",""Subgroup 4: Mp ~ Tx!A3:A20"")),"""")"),"")</f>
        <v/>
      </c>
      <c r="Z11" s="20" t="str">
        <f>IFERROR(__xludf.DUMMYFUNCTION("IFNA(FILTER(IMPORTRANGE(""https://docs.google.com/spreadsheets/d/1kGrh75X1cNR1D7_FcY9zMnHP8iPO4M5RCRjy6nZY0TY/edit#gid=1248694442"",""Subgroup 4: Mp ~ Tx!C3:C20""), $A11=IMPORTRANGE(""https://docs.google.com/spreadsheets/d/1kGrh75X1cNR1D7_FcY9zMnHP8iPO4M5"&amp;"RCRjy6nZY0TY/edit#gid=1248694442"",""Subgroup 4: Mp ~ Tx!A3:A20"")),"""")"),"")</f>
        <v/>
      </c>
      <c r="AA11" s="20" t="str">
        <f>IFERROR(__xludf.DUMMYFUNCTION("IFNA(FILTER(IMPORTRANGE(""https://docs.google.com/spreadsheets/d/1kGrh75X1cNR1D7_FcY9zMnHP8iPO4M5RCRjy6nZY0TY/edit#gid=1248694442"",""Subgroup 4: Mp ~ Tx!D3:D20""), $A11=IMPORTRANGE(""https://docs.google.com/spreadsheets/d/1kGrh75X1cNR1D7_FcY9zMnHP8iPO4M5"&amp;"RCRjy6nZY0TY/edit#gid=1248694442"",""Subgroup 4: Mp ~ Tx!A3:A20"")),"""")"),"")</f>
        <v/>
      </c>
      <c r="AB11" s="20" t="str">
        <f>IFERROR(__xludf.DUMMYFUNCTION("IFNA(FILTER(IMPORTRANGE(""https://docs.google.com/spreadsheets/d/1kGrh75X1cNR1D7_FcY9zMnHP8iPO4M5RCRjy6nZY0TY/edit#gid=1248694442"",""Subgroup 4: Mp ~ Tx!E3:E20""), $A11=IMPORTRANGE(""https://docs.google.com/spreadsheets/d/1kGrh75X1cNR1D7_FcY9zMnHP8iPO4M5"&amp;"RCRjy6nZY0TY/edit#gid=1248694442"",""Subgroup 4: Mp ~ Tx!A3:A20"")),"""")"),"")</f>
        <v/>
      </c>
      <c r="AC11" s="20" t="str">
        <f>IFERROR(__xludf.DUMMYFUNCTION("IFNA(FILTER(IMPORTRANGE(""https://docs.google.com/spreadsheets/d/1kGrh75X1cNR1D7_FcY9zMnHP8iPO4M5RCRjy6nZY0TY/edit#gid=1248694442"",""Subgroup 4: Mp ~ Tx!F3:F20""), $A11=IMPORTRANGE(""https://docs.google.com/spreadsheets/d/1kGrh75X1cNR1D7_FcY9zMnHP8iPO4M5"&amp;"RCRjy6nZY0TY/edit#gid=1248694442"",""Subgroup 4: Mp ~ Tx!A3:A20"")),"""")"),"")</f>
        <v/>
      </c>
      <c r="AD11" s="22" t="str">
        <f>IFERROR(__xludf.DUMMYFUNCTION("IFNA(FILTER(IMPORTRANGE(""https://docs.google.com/spreadsheets/d/1kGrh75X1cNR1D7_FcY9zMnHP8iPO4M5RCRjy6nZY0TY/edit#gid=1248694442"",""Table 3: 1st-line HC!AL5:AL111""), $A11=IMPORTRANGE(""https://docs.google.com/spreadsheets/d/1kGrh75X1cNR1D7_FcY9zMnHP8iP"&amp;"O4M5RCRjy6nZY0TY/edit#gid=1248694442"",""Table 3: 1st-line HC!A5:A111"")),"""")"),"")</f>
        <v/>
      </c>
      <c r="AE11" s="20" t="str">
        <f>IFERROR(__xludf.DUMMYFUNCTION("IFNA(FILTER(IMPORTRANGE(""https://docs.google.com/spreadsheets/d/1kGrh75X1cNR1D7_FcY9zMnHP8iPO4M5RCRjy6nZY0TY/edit#gid=1248694442"",""Table 3: 1st-line HC!BJ5:BJ111""), $A11=IMPORTRANGE(""https://docs.google.com/spreadsheets/d/1kGrh75X1cNR1D7_FcY9zMnHP8iP"&amp;"O4M5RCRjy6nZY0TY/edit#gid=1248694442"",""Table 3: 1st-line HC!A5:A111"")),"""")"),"")</f>
        <v/>
      </c>
      <c r="AF11" s="20" t="str">
        <f>IFERROR(__xludf.DUMMYFUNCTION("IFNA(FILTER(IMPORTRANGE(""https://docs.google.com/spreadsheets/d/1kGrh75X1cNR1D7_FcY9zMnHP8iPO4M5RCRjy6nZY0TY/edit#gid=1248694442"",""Subgroup 2: Cr ~ Tx!B3:B23""), $A11=IMPORTRANGE(""https://docs.google.com/spreadsheets/d/1kGrh75X1cNR1D7_FcY9zMnHP8iPO4M5"&amp;"RCRjy6nZY0TY/edit#gid=1248694442"",""Subgroup 2: Cr ~ Tx!A3:A23"")),"""")"),"")</f>
        <v/>
      </c>
      <c r="AG11" s="20" t="str">
        <f>IFERROR(__xludf.DUMMYFUNCTION("IFNA(FILTER(IMPORTRANGE(""https://docs.google.com/spreadsheets/d/1kGrh75X1cNR1D7_FcY9zMnHP8iPO4M5RCRjy6nZY0TY/edit#gid=1248694442"",""Subgroup 2: Cr ~ Tx!C3:C23""), $A11=IMPORTRANGE(""https://docs.google.com/spreadsheets/d/1kGrh75X1cNR1D7_FcY9zMnHP8iPO4M5"&amp;"RCRjy6nZY0TY/edit#gid=1248694442"",""Subgroup 2: Cr ~ Tx!A3:A23"")),"""")"),"")</f>
        <v/>
      </c>
      <c r="AH11" s="20" t="str">
        <f>IFERROR(__xludf.DUMMYFUNCTION("IFNA(FILTER(IMPORTRANGE(""https://docs.google.com/spreadsheets/d/1kGrh75X1cNR1D7_FcY9zMnHP8iPO4M5RCRjy6nZY0TY/edit#gid=1248694442"",""Subgroup 2: Cr ~ Tx!D3:D23""), $A11=IMPORTRANGE(""https://docs.google.com/spreadsheets/d/1kGrh75X1cNR1D7_FcY9zMnHP8iPO4M5"&amp;"RCRjy6nZY0TY/edit#gid=1248694442"",""Subgroup 2: Cr ~ Tx!A3:A23"")),"""")"),"")</f>
        <v/>
      </c>
      <c r="AI11" s="20" t="str">
        <f>IFERROR(__xludf.DUMMYFUNCTION("IFNA(FILTER(IMPORTRANGE(""https://docs.google.com/spreadsheets/d/1kGrh75X1cNR1D7_FcY9zMnHP8iPO4M5RCRjy6nZY0TY/edit#gid=1248694442"",""Subgroup 2: Cr ~ Tx!E3:E23""), $A11=IMPORTRANGE(""https://docs.google.com/spreadsheets/d/1kGrh75X1cNR1D7_FcY9zMnHP8iPO4M5"&amp;"RCRjy6nZY0TY/edit#gid=1248694442"",""Subgroup 2: Cr ~ Tx!A3:A23"")),"""")"),"")</f>
        <v/>
      </c>
      <c r="AJ11" s="20" t="str">
        <f>IFERROR(__xludf.DUMMYFUNCTION("IFNA(FILTER(IMPORTRANGE(""https://docs.google.com/spreadsheets/d/1kGrh75X1cNR1D7_FcY9zMnHP8iPO4M5RCRjy6nZY0TY/edit#gid=1248694442"",""Subgroup 2: Cr ~ Tx!F3:F23""), $A11=IMPORTRANGE(""https://docs.google.com/spreadsheets/d/1kGrh75X1cNR1D7_FcY9zMnHP8iPO4M5"&amp;"RCRjy6nZY0TY/edit#gid=1248694442"",""Subgroup 2: Cr ~ Tx!A3:A23"")),"""")"),"")</f>
        <v/>
      </c>
      <c r="AK11" s="14" t="str">
        <f>IFERROR(__xludf.DUMMYFUNCTION("IFNA(FILTER(IMPORTRANGE(""https://docs.google.com/spreadsheets/d/1kGrh75X1cNR1D7_FcY9zMnHP8iPO4M5RCRjy6nZY0TY/edit#gid=1248694442"",""Table 4: 2nd-line HC or more!M5:M85""), $A11=IMPORTRANGE(""https://docs.google.com/spreadsheets/d/1kGrh75X1cNR1D7_FcY9zMn"&amp;"HP8iPO4M5RCRjy6nZY0TY/edit#gid=1248694442"",""Table 4: 2nd-line HC or more!A5:A85"")),"""")"),"")</f>
        <v/>
      </c>
      <c r="AL11" s="14" t="str">
        <f>IFERROR(__xludf.DUMMYFUNCTION("IFNA(FILTER(IMPORTRANGE(""https://docs.google.com/spreadsheets/d/1kGrh75X1cNR1D7_FcY9zMnHP8iPO4M5RCRjy6nZY0TY/edit#gid=1248694442"",""Table 4: 2nd-line HC or more!N5:N85""), $A11=IMPORTRANGE(""https://docs.google.com/spreadsheets/d/1kGrh75X1cNR1D7_FcY9zMn"&amp;"HP8iPO4M5RCRjy6nZY0TY/edit#gid=1248694442"",""Table 4: 2nd-line HC or more!A5:A85"")),"""")"),"")</f>
        <v/>
      </c>
      <c r="AM11" s="14" t="str">
        <f>IFERROR(__xludf.DUMMYFUNCTION("IFNA(FILTER(IMPORTRANGE(""https://docs.google.com/spreadsheets/d/1kGrh75X1cNR1D7_FcY9zMnHP8iPO4M5RCRjy6nZY0TY/edit#gid=1248694442"",""Table 4: 2nd-line HC or more!O5:O85""), $A11=IMPORTRANGE(""https://docs.google.com/spreadsheets/d/1kGrh75X1cNR1D7_FcY9zMn"&amp;"HP8iPO4M5RCRjy6nZY0TY/edit#gid=1248694442"",""Table 4: 2nd-line HC or more!A5:A85"")),"""")"),"")</f>
        <v/>
      </c>
      <c r="AN11" s="14" t="str">
        <f>IFERROR(__xludf.DUMMYFUNCTION("IFNA(FILTER(IMPORTRANGE(""https://docs.google.com/spreadsheets/d/1kGrh75X1cNR1D7_FcY9zMnHP8iPO4M5RCRjy6nZY0TY/edit#gid=1248694442"",""Table 3: 1st-line HC!AP5:AP111""), $A11=IMPORTRANGE(""https://docs.google.com/spreadsheets/d/1kGrh75X1cNR1D7_FcY9zMnHP8iP"&amp;"O4M5RCRjy6nZY0TY/edit#gid=1248694442"",""Table 3: 1st-line HC!A5:A111"")),"""")"),"")</f>
        <v/>
      </c>
      <c r="AO11" s="14" t="str">
        <f>IFERROR(__xludf.DUMMYFUNCTION("IFNA(FILTER(IMPORTRANGE(""https://docs.google.com/spreadsheets/d/1kGrh75X1cNR1D7_FcY9zMnHP8iPO4M5RCRjy6nZY0TY/edit#gid=1248694442"",""Table 3: 1st-line HC!AO5:AO111""), $A11=IMPORTRANGE(""https://docs.google.com/spreadsheets/d/1kGrh75X1cNR1D7_FcY9zMnHP8iP"&amp;"O4M5RCRjy6nZY0TY/edit#gid=1248694442"",""Table 3: 1st-line HC!A5:A111"")),"""")"),"")</f>
        <v/>
      </c>
      <c r="AP11" s="14" t="str">
        <f>IFERROR(__xludf.DUMMYFUNCTION("IFNA(FILTER(IMPORTRANGE(""https://docs.google.com/spreadsheets/d/1kGrh75X1cNR1D7_FcY9zMnHP8iPO4M5RCRjy6nZY0TY/edit#gid=1248694442"",""Table 3: 1st-line HC!AQ5:AQ111""), $A11=IMPORTRANGE(""https://docs.google.com/spreadsheets/d/1kGrh75X1cNR1D7_FcY9zMnHP8iP"&amp;"O4M5RCRjy6nZY0TY/edit#gid=1248694442"",""Table 3: 1st-line HC!A5:A111"")),"""")"),"")</f>
        <v/>
      </c>
      <c r="AQ11" s="14" t="str">
        <f>IFERROR(__xludf.DUMMYFUNCTION("IFNA(FILTER(IMPORTRANGE(""https://docs.google.com/spreadsheets/d/1kGrh75X1cNR1D7_FcY9zMnHP8iPO4M5RCRjy6nZY0TY/edit#gid=1248694442"",""Table 2: MMC!T5:T114""), $A11=IMPORTRANGE(""https://docs.google.com/spreadsheets/d/1kGrh75X1cNR1D7_FcY9zMnHP8iPO4M5RCRjy6"&amp;"nZY0TY/edit#gid=1248694442"",""Table 2: MMC!A5:A114"")),"""")"),"")</f>
        <v/>
      </c>
      <c r="AR11" s="14" t="str">
        <f>IFERROR(__xludf.DUMMYFUNCTION("IFNA(FILTER(IMPORTRANGE(""https://docs.google.com/spreadsheets/d/1kGrh75X1cNR1D7_FcY9zMnHP8iPO4M5RCRjy6nZY0TY/edit#gid=1248694442"",""Table 2: MMC!U5:U114""), $A11=IMPORTRANGE(""https://docs.google.com/spreadsheets/d/1kGrh75X1cNR1D7_FcY9zMnHP8iPO4M5RCRjy6"&amp;"nZY0TY/edit#gid=1248694442"",""Table 2: MMC!A5:A114"")),"""")"),"")</f>
        <v/>
      </c>
      <c r="AS11" s="14" t="str">
        <f>IFERROR(__xludf.DUMMYFUNCTION("IFNA(FILTER(IMPORTRANGE(""https://docs.google.com/spreadsheets/d/1kGrh75X1cNR1D7_FcY9zMnHP8iPO4M5RCRjy6nZY0TY/edit#gid=1248694442"",""Table 2: MMC!V5:V114""), $A11=IMPORTRANGE(""https://docs.google.com/spreadsheets/d/1kGrh75X1cNR1D7_FcY9zMnHP8iPO4M5RCRjy6"&amp;"nZY0TY/edit#gid=1248694442"",""Table 2: MMC!A5:A114"")),"""")"),"")</f>
        <v/>
      </c>
      <c r="AT11" s="4" t="str">
        <f>IFERROR(__xludf.DUMMYFUNCTION("IFNA(FILTER(IMPORTRANGE(""https://docs.google.com/spreadsheets/d/1kGrh75X1cNR1D7_FcY9zMnHP8iPO4M5RCRjy6nZY0TY/edit#gid=1248694442"",""Table 2: MMC!W5:W114""), $A11=IMPORTRANGE(""https://docs.google.com/spreadsheets/d/1kGrh75X1cNR1D7_FcY9zMnHP8iPO4M5RCRjy6"&amp;"nZY0TY/edit#gid=1248694442"",""Table 2: MMC!A5:A114"")),"""")"),"")</f>
        <v/>
      </c>
    </row>
    <row r="12">
      <c r="A12" s="4" t="str">
        <f>IFERROR(__xludf.DUMMYFUNCTION("""COMPUTED_VALUE"""),"ID 18")</f>
        <v>ID 18</v>
      </c>
      <c r="B12" s="20" t="str">
        <f>IFERROR(__xludf.DUMMYFUNCTION("IFNA(FILTER(IMPORTRANGE(""https://docs.google.com/spreadsheets/d/1kGrh75X1cNR1D7_FcY9zMnHP8iPO4M5RCRjy6nZY0TY/edit#gid=1248694442"",""Table 3: 1st-line HC!BK5:BK111""), $A12=IMPORTRANGE(""https://docs.google.com/spreadsheets/d/1kGrh75X1cNR1D7_FcY9zMnHP8iP"&amp;"O4M5RCRjy6nZY0TY/edit#gid=1248694442"",""Table 3: 1st-line HC!A5:A111"")),"""")"),"")</f>
        <v/>
      </c>
      <c r="C12" s="20" t="str">
        <f>IFERROR(__xludf.DUMMYFUNCTION("IFNA(FILTER(IMPORTRANGE(""https://docs.google.com/spreadsheets/d/1kGrh75X1cNR1D7_FcY9zMnHP8iPO4M5RCRjy6nZY0TY/edit#gid=1248694442"",""Subgroup 1: Fr ~ Tx!B3:B20""), $A12=IMPORTRANGE(""https://docs.google.com/spreadsheets/d/1kGrh75X1cNR1D7_FcY9zMnHP8iPO4M5"&amp;"RCRjy6nZY0TY/edit#gid=1248694442"",""Subgroup 1: Fr ~ Tx!A3:A20"")),"""")"),"")</f>
        <v/>
      </c>
      <c r="D12" s="20" t="str">
        <f>IFERROR(__xludf.DUMMYFUNCTION("IFNA(FILTER(IMPORTRANGE(""https://docs.google.com/spreadsheets/d/1kGrh75X1cNR1D7_FcY9zMnHP8iPO4M5RCRjy6nZY0TY/edit#gid=1248694442"",""Subgroup 1: Fr ~ Tx!C3:C20""), $A12=IMPORTRANGE(""https://docs.google.com/spreadsheets/d/1kGrh75X1cNR1D7_FcY9zMnHP8iPO4M5"&amp;"RCRjy6nZY0TY/edit#gid=1248694442"",""Subgroup 1: Fr ~ Tx!A3:A20"")),"""")"),"")</f>
        <v/>
      </c>
      <c r="E12" s="20" t="str">
        <f>IFERROR(__xludf.DUMMYFUNCTION("IFNA(FILTER(IMPORTRANGE(""https://docs.google.com/spreadsheets/d/1kGrh75X1cNR1D7_FcY9zMnHP8iPO4M5RCRjy6nZY0TY/edit#gid=1248694442"",""Subgroup 1: Fr ~ Tx!D3:D20""), $A12=IMPORTRANGE(""https://docs.google.com/spreadsheets/d/1kGrh75X1cNR1D7_FcY9zMnHP8iPO4M5"&amp;"RCRjy6nZY0TY/edit#gid=1248694442"",""Subgroup 1: Fr ~ Tx!A3:A20"")),"""")"),"")</f>
        <v/>
      </c>
      <c r="F12" s="20" t="str">
        <f>IFERROR(__xludf.DUMMYFUNCTION("IFNA(FILTER(IMPORTRANGE(""https://docs.google.com/spreadsheets/d/1kGrh75X1cNR1D7_FcY9zMnHP8iPO4M5RCRjy6nZY0TY/edit#gid=1248694442"",""Subgroup 1: Fr ~ Tx!E3:E20""), $A12=IMPORTRANGE(""https://docs.google.com/spreadsheets/d/1kGrh75X1cNR1D7_FcY9zMnHP8iPO4M5"&amp;"RCRjy6nZY0TY/edit#gid=1248694442"",""Subgroup 1: Fr ~ Tx!A3:A20"")),"""")"),"")</f>
        <v/>
      </c>
      <c r="G12" s="20" t="str">
        <f>IFERROR(__xludf.DUMMYFUNCTION("IFNA(FILTER(IMPORTRANGE(""https://docs.google.com/spreadsheets/d/1kGrh75X1cNR1D7_FcY9zMnHP8iPO4M5RCRjy6nZY0TY/edit#gid=1248694442"",""Subgroup 1: Fr ~ Tx!F3:F20""), $A12=IMPORTRANGE(""https://docs.google.com/spreadsheets/d/1kGrh75X1cNR1D7_FcY9zMnHP8iPO4M5"&amp;"RCRjy6nZY0TY/edit#gid=1248694442"",""Subgroup 1: Fr ~ Tx!A3:A20"")),"""")"),"")</f>
        <v/>
      </c>
      <c r="H12" s="20" t="str">
        <f>IFERROR(__xludf.DUMMYFUNCTION("IFNA(FILTER(IMPORTRANGE(""https://docs.google.com/spreadsheets/d/1kGrh75X1cNR1D7_FcY9zMnHP8iPO4M5RCRjy6nZY0TY/edit#gid=1248694442"",""Table 3: 1st-line HC!BD5:BD111""), $A12=IMPORTRANGE(""https://docs.google.com/spreadsheets/d/1kGrh75X1cNR1D7_FcY9zMnHP8iP"&amp;"O4M5RCRjy6nZY0TY/edit#gid=1248694442"",""Table 3: 1st-line HC!A5:A111"")),"""")"),"")</f>
        <v/>
      </c>
      <c r="I12" s="20" t="str">
        <f>IFERROR(__xludf.DUMMYFUNCTION("IFNA(FILTER(IMPORTRANGE(""https://docs.google.com/spreadsheets/d/1kGrh75X1cNR1D7_FcY9zMnHP8iPO4M5RCRjy6nZY0TY/edit#gid=1248694442"",""Subgroup 5: Tf ~ Tx!B3:B8""), $A12=IMPORTRANGE(""https://docs.google.com/spreadsheets/d/1kGrh75X1cNR1D7_FcY9zMnHP8iPO4M5R"&amp;"CRjy6nZY0TY/edit#gid=1248694442"",""Subgroup 5: Tf ~ Tx!A3:A8"")),"""")"),"")</f>
        <v/>
      </c>
      <c r="J12" s="20" t="str">
        <f>IFERROR(__xludf.DUMMYFUNCTION("IFNA(FILTER(IMPORTRANGE(""https://docs.google.com/spreadsheets/d/1kGrh75X1cNR1D7_FcY9zMnHP8iPO4M5RCRjy6nZY0TY/edit#gid=1248694442"",""Subgroup 5: Tf ~ Tx!C3:C8""), $A12=IMPORTRANGE(""https://docs.google.com/spreadsheets/d/1kGrh75X1cNR1D7_FcY9zMnHP8iPO4M5R"&amp;"CRjy6nZY0TY/edit#gid=1248694442"",""Subgroup 5: Tf ~ Tx!A3:A8"")),"""")"),"")</f>
        <v/>
      </c>
      <c r="K12" s="20" t="str">
        <f>IFERROR(__xludf.DUMMYFUNCTION("IFNA(FILTER(IMPORTRANGE(""https://docs.google.com/spreadsheets/d/1kGrh75X1cNR1D7_FcY9zMnHP8iPO4M5RCRjy6nZY0TY/edit#gid=1248694442"",""Subgroup 5: Tf ~ Tx!D3:D8""), $A12=IMPORTRANGE(""https://docs.google.com/spreadsheets/d/1kGrh75X1cNR1D7_FcY9zMnHP8iPO4M5R"&amp;"CRjy6nZY0TY/edit#gid=1248694442"",""Subgroup 5: Tf ~ Tx!A3:A8"")),"""")"),"")</f>
        <v/>
      </c>
      <c r="L12" s="20" t="str">
        <f>IFERROR(__xludf.DUMMYFUNCTION("IFNA(FILTER(IMPORTRANGE(""https://docs.google.com/spreadsheets/d/1kGrh75X1cNR1D7_FcY9zMnHP8iPO4M5RCRjy6nZY0TY/edit#gid=1248694442"",""Subgroup 5: Tf ~ Tx!E3:E8""), $A12=IMPORTRANGE(""https://docs.google.com/spreadsheets/d/1kGrh75X1cNR1D7_FcY9zMnHP8iPO4M5R"&amp;"CRjy6nZY0TY/edit#gid=1248694442"",""Subgroup 5: Tf ~ Tx!A3:A8"")),"""")"),"")</f>
        <v/>
      </c>
      <c r="M12" s="20" t="str">
        <f>IFERROR(__xludf.DUMMYFUNCTION("IFNA(FILTER(IMPORTRANGE(""https://docs.google.com/spreadsheets/d/1kGrh75X1cNR1D7_FcY9zMnHP8iPO4M5RCRjy6nZY0TY/edit#gid=1248694442"",""Subgroup 5: Tf ~ Tx!F3:F8""), $A12=IMPORTRANGE(""https://docs.google.com/spreadsheets/d/1kGrh75X1cNR1D7_FcY9zMnHP8iPO4M5R"&amp;"CRjy6nZY0TY/edit#gid=1248694442"",""Subgroup 5: Tf ~ Tx!A3:A8"")),"""")"),"")</f>
        <v/>
      </c>
      <c r="N12" s="20" t="str">
        <f>IFERROR(__xludf.DUMMYFUNCTION("IFNA(FILTER(IMPORTRANGE(""https://docs.google.com/spreadsheets/d/1kGrh75X1cNR1D7_FcY9zMnHP8iPO4M5RCRjy6nZY0TY/edit#gid=1248694442"",""Table 3: 1st-line HC!BE5:BE111""), $A12=IMPORTRANGE(""https://docs.google.com/spreadsheets/d/1kGrh75X1cNR1D7_FcY9zMnHP8iP"&amp;"O4M5RCRjy6nZY0TY/edit#gid=1248694442"",""Table 3: 1st-line HC!A5:A111"")),"""")"),"")</f>
        <v/>
      </c>
      <c r="O12" s="20" t="str">
        <f>IFERROR(__xludf.DUMMYFUNCTION("IFNA(FILTER(IMPORTRANGE(""https://docs.google.com/spreadsheets/d/1kGrh75X1cNR1D7_FcY9zMnHP8iPO4M5RCRjy6nZY0TY/edit#gid=1248694442"",""Table 3: 1st-line HC!BF5:BF111""), $A12=IMPORTRANGE(""https://docs.google.com/spreadsheets/d/1kGrh75X1cNR1D7_FcY9zMnHP8iP"&amp;"O4M5RCRjy6nZY0TY/edit#gid=1248694442"",""Table 3: 1st-line HC!A5:A111"")),"""")"),"")</f>
        <v/>
      </c>
      <c r="P12" s="20" t="str">
        <f>IFERROR(__xludf.DUMMYFUNCTION("IFNA(FILTER(IMPORTRANGE(""https://docs.google.com/spreadsheets/d/1kGrh75X1cNR1D7_FcY9zMnHP8iPO4M5RCRjy6nZY0TY/edit#gid=1248694442"",""Table 3: 1st-line HC!BG5:BG111""), $A12=IMPORTRANGE(""https://docs.google.com/spreadsheets/d/1kGrh75X1cNR1D7_FcY9zMnHP8iP"&amp;"O4M5RCRjy6nZY0TY/edit#gid=1248694442"",""Table 3: 1st-line HC!A5:A111"")),"""")"),"")</f>
        <v/>
      </c>
      <c r="Q12" s="21" t="str">
        <f>IFERROR(__xludf.DUMMYFUNCTION("IFNA(FILTER(IMPORTRANGE(""https://docs.google.com/spreadsheets/d/1kGrh75X1cNR1D7_FcY9zMnHP8iPO4M5RCRjy6nZY0TY/edit#gid=1248694442"",""Table 3: 1st-line HC!BH5:BH111""), $A12=IMPORTRANGE(""https://docs.google.com/spreadsheets/d/1kGrh75X1cNR1D7_FcY9zMnHP8iP"&amp;"O4M5RCRjy6nZY0TY/edit#gid=1248694442"",""Table 3: 1st-line HC!A5:A111"")),"""")"),"")</f>
        <v/>
      </c>
      <c r="R12" s="19" t="str">
        <f>IFERROR(__xludf.DUMMYFUNCTION("IFNA(FILTER(IMPORTRANGE(""https://docs.google.com/spreadsheets/d/1kGrh75X1cNR1D7_FcY9zMnHP8iPO4M5RCRjy6nZY0TY/edit#gid=1248694442"",""Table 3: 1st-line HC!AJ5:AJ111""), $A12=IMPORTRANGE(""https://docs.google.com/spreadsheets/d/1kGrh75X1cNR1D7_FcY9zMnHP8iP"&amp;"O4M5RCRjy6nZY0TY/edit#gid=1248694442"",""Table 3: 1st-line HC!A5:A111"")),"""")"),"")</f>
        <v/>
      </c>
      <c r="S12" s="20" t="str">
        <f>IFERROR(__xludf.DUMMYFUNCTION("IFNA(FILTER(IMPORTRANGE(""https://docs.google.com/spreadsheets/d/1kGrh75X1cNR1D7_FcY9zMnHP8iPO4M5RCRjy6nZY0TY/edit#gid=1248694442"",""Subgroup 3: Mi ~ Tx!B3:B17""), $A12=IMPORTRANGE(""https://docs.google.com/spreadsheets/d/1kGrh75X1cNR1D7_FcY9zMnHP8iPO4M5"&amp;"RCRjy6nZY0TY/edit#gid=1248694442"",""Subgroup 3: Mi ~ Tx!A3:A17"")),"""")"),"")</f>
        <v/>
      </c>
      <c r="T12" s="20" t="str">
        <f>IFERROR(__xludf.DUMMYFUNCTION("IFNA(FILTER(IMPORTRANGE(""https://docs.google.com/spreadsheets/d/1kGrh75X1cNR1D7_FcY9zMnHP8iPO4M5RCRjy6nZY0TY/edit#gid=1248694442"",""Subgroup 3: Mi ~ Tx!C3:C17""), $A12=IMPORTRANGE(""https://docs.google.com/spreadsheets/d/1kGrh75X1cNR1D7_FcY9zMnHP8iPO4M5"&amp;"RCRjy6nZY0TY/edit#gid=1248694442"",""Subgroup 3: Mi ~ Tx!A3:A17"")),"""")"),"")</f>
        <v/>
      </c>
      <c r="U12" s="20" t="str">
        <f>IFERROR(__xludf.DUMMYFUNCTION("IFNA(FILTER(IMPORTRANGE(""https://docs.google.com/spreadsheets/d/1kGrh75X1cNR1D7_FcY9zMnHP8iPO4M5RCRjy6nZY0TY/edit#gid=1248694442"",""Subgroup 3: Mi ~ Tx!D3:D17""), $A12=IMPORTRANGE(""https://docs.google.com/spreadsheets/d/1kGrh75X1cNR1D7_FcY9zMnHP8iPO4M5"&amp;"RCRjy6nZY0TY/edit#gid=1248694442"",""Subgroup 3: Mi ~ Tx!A3:A17"")),"""")"),"")</f>
        <v/>
      </c>
      <c r="V12" s="20" t="str">
        <f>IFERROR(__xludf.DUMMYFUNCTION("IFNA(FILTER(IMPORTRANGE(""https://docs.google.com/spreadsheets/d/1kGrh75X1cNR1D7_FcY9zMnHP8iPO4M5RCRjy6nZY0TY/edit#gid=1248694442"",""Subgroup 3: Mi ~ Tx!E3:E17""), $A12=IMPORTRANGE(""https://docs.google.com/spreadsheets/d/1kGrh75X1cNR1D7_FcY9zMnHP8iPO4M5"&amp;"RCRjy6nZY0TY/edit#gid=1248694442"",""Subgroup 3: Mi ~ Tx!A3:A17"")),"""")"),"")</f>
        <v/>
      </c>
      <c r="W12" s="20" t="str">
        <f>IFERROR(__xludf.DUMMYFUNCTION("IFNA(FILTER(IMPORTRANGE(""https://docs.google.com/spreadsheets/d/1kGrh75X1cNR1D7_FcY9zMnHP8iPO4M5RCRjy6nZY0TY/edit#gid=1248694442"",""Subgroup 3: Mi ~ Tx!F3:F17""), $A12=IMPORTRANGE(""https://docs.google.com/spreadsheets/d/1kGrh75X1cNR1D7_FcY9zMnHP8iPO4M5"&amp;"RCRjy6nZY0TY/edit#gid=1248694442"",""Subgroup 3: Mi ~ Tx!A3:A17"")),"""")"),"")</f>
        <v/>
      </c>
      <c r="X12" s="19" t="str">
        <f>IFERROR(__xludf.DUMMYFUNCTION("IFNA(FILTER(IMPORTRANGE(""https://docs.google.com/spreadsheets/d/1kGrh75X1cNR1D7_FcY9zMnHP8iPO4M5RCRjy6nZY0TY/edit#gid=1248694442"",""Table 3: 1st-line HC!AK5:AK111""), $A12=IMPORTRANGE(""https://docs.google.com/spreadsheets/d/1kGrh75X1cNR1D7_FcY9zMnHP8iP"&amp;"O4M5RCRjy6nZY0TY/edit#gid=1248694442"",""Table 3: 1st-line HC!A5:A111"")),"""")"),"")</f>
        <v/>
      </c>
      <c r="Y12" s="20" t="str">
        <f>IFERROR(__xludf.DUMMYFUNCTION("IFNA(FILTER(IMPORTRANGE(""https://docs.google.com/spreadsheets/d/1kGrh75X1cNR1D7_FcY9zMnHP8iPO4M5RCRjy6nZY0TY/edit#gid=1248694442"",""Subgroup 4: Mp ~ Tx!B3:B20""), $A12=IMPORTRANGE(""https://docs.google.com/spreadsheets/d/1kGrh75X1cNR1D7_FcY9zMnHP8iPO4M5"&amp;"RCRjy6nZY0TY/edit#gid=1248694442"",""Subgroup 4: Mp ~ Tx!A3:A20"")),"""")"),"")</f>
        <v/>
      </c>
      <c r="Z12" s="20" t="str">
        <f>IFERROR(__xludf.DUMMYFUNCTION("IFNA(FILTER(IMPORTRANGE(""https://docs.google.com/spreadsheets/d/1kGrh75X1cNR1D7_FcY9zMnHP8iPO4M5RCRjy6nZY0TY/edit#gid=1248694442"",""Subgroup 4: Mp ~ Tx!C3:C20""), $A12=IMPORTRANGE(""https://docs.google.com/spreadsheets/d/1kGrh75X1cNR1D7_FcY9zMnHP8iPO4M5"&amp;"RCRjy6nZY0TY/edit#gid=1248694442"",""Subgroup 4: Mp ~ Tx!A3:A20"")),"""")"),"")</f>
        <v/>
      </c>
      <c r="AA12" s="20" t="str">
        <f>IFERROR(__xludf.DUMMYFUNCTION("IFNA(FILTER(IMPORTRANGE(""https://docs.google.com/spreadsheets/d/1kGrh75X1cNR1D7_FcY9zMnHP8iPO4M5RCRjy6nZY0TY/edit#gid=1248694442"",""Subgroup 4: Mp ~ Tx!D3:D20""), $A12=IMPORTRANGE(""https://docs.google.com/spreadsheets/d/1kGrh75X1cNR1D7_FcY9zMnHP8iPO4M5"&amp;"RCRjy6nZY0TY/edit#gid=1248694442"",""Subgroup 4: Mp ~ Tx!A3:A20"")),"""")"),"")</f>
        <v/>
      </c>
      <c r="AB12" s="20" t="str">
        <f>IFERROR(__xludf.DUMMYFUNCTION("IFNA(FILTER(IMPORTRANGE(""https://docs.google.com/spreadsheets/d/1kGrh75X1cNR1D7_FcY9zMnHP8iPO4M5RCRjy6nZY0TY/edit#gid=1248694442"",""Subgroup 4: Mp ~ Tx!E3:E20""), $A12=IMPORTRANGE(""https://docs.google.com/spreadsheets/d/1kGrh75X1cNR1D7_FcY9zMnHP8iPO4M5"&amp;"RCRjy6nZY0TY/edit#gid=1248694442"",""Subgroup 4: Mp ~ Tx!A3:A20"")),"""")"),"")</f>
        <v/>
      </c>
      <c r="AC12" s="20" t="str">
        <f>IFERROR(__xludf.DUMMYFUNCTION("IFNA(FILTER(IMPORTRANGE(""https://docs.google.com/spreadsheets/d/1kGrh75X1cNR1D7_FcY9zMnHP8iPO4M5RCRjy6nZY0TY/edit#gid=1248694442"",""Subgroup 4: Mp ~ Tx!F3:F20""), $A12=IMPORTRANGE(""https://docs.google.com/spreadsheets/d/1kGrh75X1cNR1D7_FcY9zMnHP8iPO4M5"&amp;"RCRjy6nZY0TY/edit#gid=1248694442"",""Subgroup 4: Mp ~ Tx!A3:A20"")),"""")"),"")</f>
        <v/>
      </c>
      <c r="AD12" s="22" t="str">
        <f>IFERROR(__xludf.DUMMYFUNCTION("IFNA(FILTER(IMPORTRANGE(""https://docs.google.com/spreadsheets/d/1kGrh75X1cNR1D7_FcY9zMnHP8iPO4M5RCRjy6nZY0TY/edit#gid=1248694442"",""Table 3: 1st-line HC!AL5:AL111""), $A12=IMPORTRANGE(""https://docs.google.com/spreadsheets/d/1kGrh75X1cNR1D7_FcY9zMnHP8iP"&amp;"O4M5RCRjy6nZY0TY/edit#gid=1248694442"",""Table 3: 1st-line HC!A5:A111"")),"""")"),"")</f>
        <v/>
      </c>
      <c r="AE12" s="20" t="str">
        <f>IFERROR(__xludf.DUMMYFUNCTION("IFNA(FILTER(IMPORTRANGE(""https://docs.google.com/spreadsheets/d/1kGrh75X1cNR1D7_FcY9zMnHP8iPO4M5RCRjy6nZY0TY/edit#gid=1248694442"",""Table 3: 1st-line HC!BJ5:BJ111""), $A12=IMPORTRANGE(""https://docs.google.com/spreadsheets/d/1kGrh75X1cNR1D7_FcY9zMnHP8iP"&amp;"O4M5RCRjy6nZY0TY/edit#gid=1248694442"",""Table 3: 1st-line HC!A5:A111"")),"""")"),"")</f>
        <v/>
      </c>
      <c r="AF12" s="20" t="str">
        <f>IFERROR(__xludf.DUMMYFUNCTION("IFNA(FILTER(IMPORTRANGE(""https://docs.google.com/spreadsheets/d/1kGrh75X1cNR1D7_FcY9zMnHP8iPO4M5RCRjy6nZY0TY/edit#gid=1248694442"",""Subgroup 2: Cr ~ Tx!B3:B23""), $A12=IMPORTRANGE(""https://docs.google.com/spreadsheets/d/1kGrh75X1cNR1D7_FcY9zMnHP8iPO4M5"&amp;"RCRjy6nZY0TY/edit#gid=1248694442"",""Subgroup 2: Cr ~ Tx!A3:A23"")),"""")"),"")</f>
        <v/>
      </c>
      <c r="AG12" s="20" t="str">
        <f>IFERROR(__xludf.DUMMYFUNCTION("IFNA(FILTER(IMPORTRANGE(""https://docs.google.com/spreadsheets/d/1kGrh75X1cNR1D7_FcY9zMnHP8iPO4M5RCRjy6nZY0TY/edit#gid=1248694442"",""Subgroup 2: Cr ~ Tx!C3:C23""), $A12=IMPORTRANGE(""https://docs.google.com/spreadsheets/d/1kGrh75X1cNR1D7_FcY9zMnHP8iPO4M5"&amp;"RCRjy6nZY0TY/edit#gid=1248694442"",""Subgroup 2: Cr ~ Tx!A3:A23"")),"""")"),"")</f>
        <v/>
      </c>
      <c r="AH12" s="20" t="str">
        <f>IFERROR(__xludf.DUMMYFUNCTION("IFNA(FILTER(IMPORTRANGE(""https://docs.google.com/spreadsheets/d/1kGrh75X1cNR1D7_FcY9zMnHP8iPO4M5RCRjy6nZY0TY/edit#gid=1248694442"",""Subgroup 2: Cr ~ Tx!D3:D23""), $A12=IMPORTRANGE(""https://docs.google.com/spreadsheets/d/1kGrh75X1cNR1D7_FcY9zMnHP8iPO4M5"&amp;"RCRjy6nZY0TY/edit#gid=1248694442"",""Subgroup 2: Cr ~ Tx!A3:A23"")),"""")"),"")</f>
        <v/>
      </c>
      <c r="AI12" s="20" t="str">
        <f>IFERROR(__xludf.DUMMYFUNCTION("IFNA(FILTER(IMPORTRANGE(""https://docs.google.com/spreadsheets/d/1kGrh75X1cNR1D7_FcY9zMnHP8iPO4M5RCRjy6nZY0TY/edit#gid=1248694442"",""Subgroup 2: Cr ~ Tx!E3:E23""), $A12=IMPORTRANGE(""https://docs.google.com/spreadsheets/d/1kGrh75X1cNR1D7_FcY9zMnHP8iPO4M5"&amp;"RCRjy6nZY0TY/edit#gid=1248694442"",""Subgroup 2: Cr ~ Tx!A3:A23"")),"""")"),"")</f>
        <v/>
      </c>
      <c r="AJ12" s="20" t="str">
        <f>IFERROR(__xludf.DUMMYFUNCTION("IFNA(FILTER(IMPORTRANGE(""https://docs.google.com/spreadsheets/d/1kGrh75X1cNR1D7_FcY9zMnHP8iPO4M5RCRjy6nZY0TY/edit#gid=1248694442"",""Subgroup 2: Cr ~ Tx!F3:F23""), $A12=IMPORTRANGE(""https://docs.google.com/spreadsheets/d/1kGrh75X1cNR1D7_FcY9zMnHP8iPO4M5"&amp;"RCRjy6nZY0TY/edit#gid=1248694442"",""Subgroup 2: Cr ~ Tx!A3:A23"")),"""")"),"")</f>
        <v/>
      </c>
      <c r="AK12" s="14" t="str">
        <f>IFERROR(__xludf.DUMMYFUNCTION("IFNA(FILTER(IMPORTRANGE(""https://docs.google.com/spreadsheets/d/1kGrh75X1cNR1D7_FcY9zMnHP8iPO4M5RCRjy6nZY0TY/edit#gid=1248694442"",""Table 4: 2nd-line HC or more!M5:M85""), $A12=IMPORTRANGE(""https://docs.google.com/spreadsheets/d/1kGrh75X1cNR1D7_FcY9zMn"&amp;"HP8iPO4M5RCRjy6nZY0TY/edit#gid=1248694442"",""Table 4: 2nd-line HC or more!A5:A85"")),"""")"),"")</f>
        <v/>
      </c>
      <c r="AL12" s="14" t="str">
        <f>IFERROR(__xludf.DUMMYFUNCTION("IFNA(FILTER(IMPORTRANGE(""https://docs.google.com/spreadsheets/d/1kGrh75X1cNR1D7_FcY9zMnHP8iPO4M5RCRjy6nZY0TY/edit#gid=1248694442"",""Table 4: 2nd-line HC or more!N5:N85""), $A12=IMPORTRANGE(""https://docs.google.com/spreadsheets/d/1kGrh75X1cNR1D7_FcY9zMn"&amp;"HP8iPO4M5RCRjy6nZY0TY/edit#gid=1248694442"",""Table 4: 2nd-line HC or more!A5:A85"")),"""")"),"")</f>
        <v/>
      </c>
      <c r="AM12" s="14" t="str">
        <f>IFERROR(__xludf.DUMMYFUNCTION("IFNA(FILTER(IMPORTRANGE(""https://docs.google.com/spreadsheets/d/1kGrh75X1cNR1D7_FcY9zMnHP8iPO4M5RCRjy6nZY0TY/edit#gid=1248694442"",""Table 4: 2nd-line HC or more!O5:O85""), $A12=IMPORTRANGE(""https://docs.google.com/spreadsheets/d/1kGrh75X1cNR1D7_FcY9zMn"&amp;"HP8iPO4M5RCRjy6nZY0TY/edit#gid=1248694442"",""Table 4: 2nd-line HC or more!A5:A85"")),"""")"),"")</f>
        <v/>
      </c>
      <c r="AN12" s="14" t="str">
        <f>IFERROR(__xludf.DUMMYFUNCTION("IFNA(FILTER(IMPORTRANGE(""https://docs.google.com/spreadsheets/d/1kGrh75X1cNR1D7_FcY9zMnHP8iPO4M5RCRjy6nZY0TY/edit#gid=1248694442"",""Table 3: 1st-line HC!AP5:AP111""), $A12=IMPORTRANGE(""https://docs.google.com/spreadsheets/d/1kGrh75X1cNR1D7_FcY9zMnHP8iP"&amp;"O4M5RCRjy6nZY0TY/edit#gid=1248694442"",""Table 3: 1st-line HC!A5:A111"")),"""")"),"")</f>
        <v/>
      </c>
      <c r="AO12" s="14" t="str">
        <f>IFERROR(__xludf.DUMMYFUNCTION("IFNA(FILTER(IMPORTRANGE(""https://docs.google.com/spreadsheets/d/1kGrh75X1cNR1D7_FcY9zMnHP8iPO4M5RCRjy6nZY0TY/edit#gid=1248694442"",""Table 3: 1st-line HC!AO5:AO111""), $A12=IMPORTRANGE(""https://docs.google.com/spreadsheets/d/1kGrh75X1cNR1D7_FcY9zMnHP8iP"&amp;"O4M5RCRjy6nZY0TY/edit#gid=1248694442"",""Table 3: 1st-line HC!A5:A111"")),"""")"),"")</f>
        <v/>
      </c>
      <c r="AP12" s="14">
        <f>IFERROR(__xludf.DUMMYFUNCTION("IFNA(FILTER(IMPORTRANGE(""https://docs.google.com/spreadsheets/d/1kGrh75X1cNR1D7_FcY9zMnHP8iPO4M5RCRjy6nZY0TY/edit#gid=1248694442"",""Table 3: 1st-line HC!AQ5:AQ111""), $A12=IMPORTRANGE(""https://docs.google.com/spreadsheets/d/1kGrh75X1cNR1D7_FcY9zMnHP8iP"&amp;"O4M5RCRjy6nZY0TY/edit#gid=1248694442"",""Table 3: 1st-line HC!A5:A111"")),"""")"),48.0)</f>
        <v>48</v>
      </c>
      <c r="AQ12" s="14" t="str">
        <f>IFERROR(__xludf.DUMMYFUNCTION("IFNA(FILTER(IMPORTRANGE(""https://docs.google.com/spreadsheets/d/1kGrh75X1cNR1D7_FcY9zMnHP8iPO4M5RCRjy6nZY0TY/edit#gid=1248694442"",""Table 2: MMC!T5:T114""), $A12=IMPORTRANGE(""https://docs.google.com/spreadsheets/d/1kGrh75X1cNR1D7_FcY9zMnHP8iPO4M5RCRjy6"&amp;"nZY0TY/edit#gid=1248694442"",""Table 2: MMC!A5:A114"")),"""")"),"")</f>
        <v/>
      </c>
      <c r="AR12" s="14" t="str">
        <f>IFERROR(__xludf.DUMMYFUNCTION("IFNA(FILTER(IMPORTRANGE(""https://docs.google.com/spreadsheets/d/1kGrh75X1cNR1D7_FcY9zMnHP8iPO4M5RCRjy6nZY0TY/edit#gid=1248694442"",""Table 2: MMC!U5:U114""), $A12=IMPORTRANGE(""https://docs.google.com/spreadsheets/d/1kGrh75X1cNR1D7_FcY9zMnHP8iPO4M5RCRjy6"&amp;"nZY0TY/edit#gid=1248694442"",""Table 2: MMC!A5:A114"")),"""")"),"")</f>
        <v/>
      </c>
      <c r="AS12" s="14" t="str">
        <f>IFERROR(__xludf.DUMMYFUNCTION("IFNA(FILTER(IMPORTRANGE(""https://docs.google.com/spreadsheets/d/1kGrh75X1cNR1D7_FcY9zMnHP8iPO4M5RCRjy6nZY0TY/edit#gid=1248694442"",""Table 2: MMC!V5:V114""), $A12=IMPORTRANGE(""https://docs.google.com/spreadsheets/d/1kGrh75X1cNR1D7_FcY9zMnHP8iPO4M5RCRjy6"&amp;"nZY0TY/edit#gid=1248694442"",""Table 2: MMC!A5:A114"")),"""")"),"")</f>
        <v/>
      </c>
      <c r="AT12" s="4" t="str">
        <f>IFERROR(__xludf.DUMMYFUNCTION("IFNA(FILTER(IMPORTRANGE(""https://docs.google.com/spreadsheets/d/1kGrh75X1cNR1D7_FcY9zMnHP8iPO4M5RCRjy6nZY0TY/edit#gid=1248694442"",""Table 2: MMC!W5:W114""), $A12=IMPORTRANGE(""https://docs.google.com/spreadsheets/d/1kGrh75X1cNR1D7_FcY9zMnHP8iPO4M5RCRjy6"&amp;"nZY0TY/edit#gid=1248694442"",""Table 2: MMC!A5:A114"")),"""")"),"")</f>
        <v/>
      </c>
    </row>
    <row r="13">
      <c r="A13" s="4" t="str">
        <f>IFERROR(__xludf.DUMMYFUNCTION("""COMPUTED_VALUE"""),"ID 20")</f>
        <v>ID 20</v>
      </c>
      <c r="B13" s="20" t="str">
        <f>IFERROR(__xludf.DUMMYFUNCTION("IFNA(FILTER(IMPORTRANGE(""https://docs.google.com/spreadsheets/d/1kGrh75X1cNR1D7_FcY9zMnHP8iPO4M5RCRjy6nZY0TY/edit#gid=1248694442"",""Table 3: 1st-line HC!BK5:BK111""), $A13=IMPORTRANGE(""https://docs.google.com/spreadsheets/d/1kGrh75X1cNR1D7_FcY9zMnHP8iP"&amp;"O4M5RCRjy6nZY0TY/edit#gid=1248694442"",""Table 3: 1st-line HC!A5:A111"")),"""")"),"")</f>
        <v/>
      </c>
      <c r="C13" s="20" t="str">
        <f>IFERROR(__xludf.DUMMYFUNCTION("IFNA(FILTER(IMPORTRANGE(""https://docs.google.com/spreadsheets/d/1kGrh75X1cNR1D7_FcY9zMnHP8iPO4M5RCRjy6nZY0TY/edit#gid=1248694442"",""Subgroup 1: Fr ~ Tx!B3:B20""), $A13=IMPORTRANGE(""https://docs.google.com/spreadsheets/d/1kGrh75X1cNR1D7_FcY9zMnHP8iPO4M5"&amp;"RCRjy6nZY0TY/edit#gid=1248694442"",""Subgroup 1: Fr ~ Tx!A3:A20"")),"""")"),"")</f>
        <v/>
      </c>
      <c r="D13" s="20" t="str">
        <f>IFERROR(__xludf.DUMMYFUNCTION("IFNA(FILTER(IMPORTRANGE(""https://docs.google.com/spreadsheets/d/1kGrh75X1cNR1D7_FcY9zMnHP8iPO4M5RCRjy6nZY0TY/edit#gid=1248694442"",""Subgroup 1: Fr ~ Tx!C3:C20""), $A13=IMPORTRANGE(""https://docs.google.com/spreadsheets/d/1kGrh75X1cNR1D7_FcY9zMnHP8iPO4M5"&amp;"RCRjy6nZY0TY/edit#gid=1248694442"",""Subgroup 1: Fr ~ Tx!A3:A20"")),"""")"),"")</f>
        <v/>
      </c>
      <c r="E13" s="20" t="str">
        <f>IFERROR(__xludf.DUMMYFUNCTION("IFNA(FILTER(IMPORTRANGE(""https://docs.google.com/spreadsheets/d/1kGrh75X1cNR1D7_FcY9zMnHP8iPO4M5RCRjy6nZY0TY/edit#gid=1248694442"",""Subgroup 1: Fr ~ Tx!D3:D20""), $A13=IMPORTRANGE(""https://docs.google.com/spreadsheets/d/1kGrh75X1cNR1D7_FcY9zMnHP8iPO4M5"&amp;"RCRjy6nZY0TY/edit#gid=1248694442"",""Subgroup 1: Fr ~ Tx!A3:A20"")),"""")"),"")</f>
        <v/>
      </c>
      <c r="F13" s="20" t="str">
        <f>IFERROR(__xludf.DUMMYFUNCTION("IFNA(FILTER(IMPORTRANGE(""https://docs.google.com/spreadsheets/d/1kGrh75X1cNR1D7_FcY9zMnHP8iPO4M5RCRjy6nZY0TY/edit#gid=1248694442"",""Subgroup 1: Fr ~ Tx!E3:E20""), $A13=IMPORTRANGE(""https://docs.google.com/spreadsheets/d/1kGrh75X1cNR1D7_FcY9zMnHP8iPO4M5"&amp;"RCRjy6nZY0TY/edit#gid=1248694442"",""Subgroup 1: Fr ~ Tx!A3:A20"")),"""")"),"")</f>
        <v/>
      </c>
      <c r="G13" s="20" t="str">
        <f>IFERROR(__xludf.DUMMYFUNCTION("IFNA(FILTER(IMPORTRANGE(""https://docs.google.com/spreadsheets/d/1kGrh75X1cNR1D7_FcY9zMnHP8iPO4M5RCRjy6nZY0TY/edit#gid=1248694442"",""Subgroup 1: Fr ~ Tx!F3:F20""), $A13=IMPORTRANGE(""https://docs.google.com/spreadsheets/d/1kGrh75X1cNR1D7_FcY9zMnHP8iPO4M5"&amp;"RCRjy6nZY0TY/edit#gid=1248694442"",""Subgroup 1: Fr ~ Tx!A3:A20"")),"""")"),"")</f>
        <v/>
      </c>
      <c r="H13" s="20" t="str">
        <f>IFERROR(__xludf.DUMMYFUNCTION("IFNA(FILTER(IMPORTRANGE(""https://docs.google.com/spreadsheets/d/1kGrh75X1cNR1D7_FcY9zMnHP8iPO4M5RCRjy6nZY0TY/edit#gid=1248694442"",""Table 3: 1st-line HC!BD5:BD111""), $A13=IMPORTRANGE(""https://docs.google.com/spreadsheets/d/1kGrh75X1cNR1D7_FcY9zMnHP8iP"&amp;"O4M5RCRjy6nZY0TY/edit#gid=1248694442"",""Table 3: 1st-line HC!A5:A111"")),"""")"),"")</f>
        <v/>
      </c>
      <c r="I13" s="20" t="str">
        <f>IFERROR(__xludf.DUMMYFUNCTION("IFNA(FILTER(IMPORTRANGE(""https://docs.google.com/spreadsheets/d/1kGrh75X1cNR1D7_FcY9zMnHP8iPO4M5RCRjy6nZY0TY/edit#gid=1248694442"",""Subgroup 5: Tf ~ Tx!B3:B8""), $A13=IMPORTRANGE(""https://docs.google.com/spreadsheets/d/1kGrh75X1cNR1D7_FcY9zMnHP8iPO4M5R"&amp;"CRjy6nZY0TY/edit#gid=1248694442"",""Subgroup 5: Tf ~ Tx!A3:A8"")),"""")"),"")</f>
        <v/>
      </c>
      <c r="J13" s="20" t="str">
        <f>IFERROR(__xludf.DUMMYFUNCTION("IFNA(FILTER(IMPORTRANGE(""https://docs.google.com/spreadsheets/d/1kGrh75X1cNR1D7_FcY9zMnHP8iPO4M5RCRjy6nZY0TY/edit#gid=1248694442"",""Subgroup 5: Tf ~ Tx!C3:C8""), $A13=IMPORTRANGE(""https://docs.google.com/spreadsheets/d/1kGrh75X1cNR1D7_FcY9zMnHP8iPO4M5R"&amp;"CRjy6nZY0TY/edit#gid=1248694442"",""Subgroup 5: Tf ~ Tx!A3:A8"")),"""")"),"")</f>
        <v/>
      </c>
      <c r="K13" s="20" t="str">
        <f>IFERROR(__xludf.DUMMYFUNCTION("IFNA(FILTER(IMPORTRANGE(""https://docs.google.com/spreadsheets/d/1kGrh75X1cNR1D7_FcY9zMnHP8iPO4M5RCRjy6nZY0TY/edit#gid=1248694442"",""Subgroup 5: Tf ~ Tx!D3:D8""), $A13=IMPORTRANGE(""https://docs.google.com/spreadsheets/d/1kGrh75X1cNR1D7_FcY9zMnHP8iPO4M5R"&amp;"CRjy6nZY0TY/edit#gid=1248694442"",""Subgroup 5: Tf ~ Tx!A3:A8"")),"""")"),"")</f>
        <v/>
      </c>
      <c r="L13" s="20" t="str">
        <f>IFERROR(__xludf.DUMMYFUNCTION("IFNA(FILTER(IMPORTRANGE(""https://docs.google.com/spreadsheets/d/1kGrh75X1cNR1D7_FcY9zMnHP8iPO4M5RCRjy6nZY0TY/edit#gid=1248694442"",""Subgroup 5: Tf ~ Tx!E3:E8""), $A13=IMPORTRANGE(""https://docs.google.com/spreadsheets/d/1kGrh75X1cNR1D7_FcY9zMnHP8iPO4M5R"&amp;"CRjy6nZY0TY/edit#gid=1248694442"",""Subgroup 5: Tf ~ Tx!A3:A8"")),"""")"),"")</f>
        <v/>
      </c>
      <c r="M13" s="20" t="str">
        <f>IFERROR(__xludf.DUMMYFUNCTION("IFNA(FILTER(IMPORTRANGE(""https://docs.google.com/spreadsheets/d/1kGrh75X1cNR1D7_FcY9zMnHP8iPO4M5RCRjy6nZY0TY/edit#gid=1248694442"",""Subgroup 5: Tf ~ Tx!F3:F8""), $A13=IMPORTRANGE(""https://docs.google.com/spreadsheets/d/1kGrh75X1cNR1D7_FcY9zMnHP8iPO4M5R"&amp;"CRjy6nZY0TY/edit#gid=1248694442"",""Subgroup 5: Tf ~ Tx!A3:A8"")),"""")"),"")</f>
        <v/>
      </c>
      <c r="N13" s="20" t="str">
        <f>IFERROR(__xludf.DUMMYFUNCTION("IFNA(FILTER(IMPORTRANGE(""https://docs.google.com/spreadsheets/d/1kGrh75X1cNR1D7_FcY9zMnHP8iPO4M5RCRjy6nZY0TY/edit#gid=1248694442"",""Table 3: 1st-line HC!BE5:BE111""), $A13=IMPORTRANGE(""https://docs.google.com/spreadsheets/d/1kGrh75X1cNR1D7_FcY9zMnHP8iP"&amp;"O4M5RCRjy6nZY0TY/edit#gid=1248694442"",""Table 3: 1st-line HC!A5:A111"")),"""")"),"")</f>
        <v/>
      </c>
      <c r="O13" s="20" t="str">
        <f>IFERROR(__xludf.DUMMYFUNCTION("IFNA(FILTER(IMPORTRANGE(""https://docs.google.com/spreadsheets/d/1kGrh75X1cNR1D7_FcY9zMnHP8iPO4M5RCRjy6nZY0TY/edit#gid=1248694442"",""Table 3: 1st-line HC!BF5:BF111""), $A13=IMPORTRANGE(""https://docs.google.com/spreadsheets/d/1kGrh75X1cNR1D7_FcY9zMnHP8iP"&amp;"O4M5RCRjy6nZY0TY/edit#gid=1248694442"",""Table 3: 1st-line HC!A5:A111"")),"""")"),"")</f>
        <v/>
      </c>
      <c r="P13" s="20" t="str">
        <f>IFERROR(__xludf.DUMMYFUNCTION("IFNA(FILTER(IMPORTRANGE(""https://docs.google.com/spreadsheets/d/1kGrh75X1cNR1D7_FcY9zMnHP8iPO4M5RCRjy6nZY0TY/edit#gid=1248694442"",""Table 3: 1st-line HC!BG5:BG111""), $A13=IMPORTRANGE(""https://docs.google.com/spreadsheets/d/1kGrh75X1cNR1D7_FcY9zMnHP8iP"&amp;"O4M5RCRjy6nZY0TY/edit#gid=1248694442"",""Table 3: 1st-line HC!A5:A111"")),"""")"),"")</f>
        <v/>
      </c>
      <c r="Q13" s="21" t="str">
        <f>IFERROR(__xludf.DUMMYFUNCTION("IFNA(FILTER(IMPORTRANGE(""https://docs.google.com/spreadsheets/d/1kGrh75X1cNR1D7_FcY9zMnHP8iPO4M5RCRjy6nZY0TY/edit#gid=1248694442"",""Table 3: 1st-line HC!BH5:BH111""), $A13=IMPORTRANGE(""https://docs.google.com/spreadsheets/d/1kGrh75X1cNR1D7_FcY9zMnHP8iP"&amp;"O4M5RCRjy6nZY0TY/edit#gid=1248694442"",""Table 3: 1st-line HC!A5:A111"")),"""")"),"")</f>
        <v/>
      </c>
      <c r="R13" s="19" t="str">
        <f>IFERROR(__xludf.DUMMYFUNCTION("IFNA(FILTER(IMPORTRANGE(""https://docs.google.com/spreadsheets/d/1kGrh75X1cNR1D7_FcY9zMnHP8iPO4M5RCRjy6nZY0TY/edit#gid=1248694442"",""Table 3: 1st-line HC!AJ5:AJ111""), $A13=IMPORTRANGE(""https://docs.google.com/spreadsheets/d/1kGrh75X1cNR1D7_FcY9zMnHP8iP"&amp;"O4M5RCRjy6nZY0TY/edit#gid=1248694442"",""Table 3: 1st-line HC!A5:A111"")),"""")"),"")</f>
        <v/>
      </c>
      <c r="S13" s="20" t="str">
        <f>IFERROR(__xludf.DUMMYFUNCTION("IFNA(FILTER(IMPORTRANGE(""https://docs.google.com/spreadsheets/d/1kGrh75X1cNR1D7_FcY9zMnHP8iPO4M5RCRjy6nZY0TY/edit#gid=1248694442"",""Subgroup 3: Mi ~ Tx!B3:B17""), $A13=IMPORTRANGE(""https://docs.google.com/spreadsheets/d/1kGrh75X1cNR1D7_FcY9zMnHP8iPO4M5"&amp;"RCRjy6nZY0TY/edit#gid=1248694442"",""Subgroup 3: Mi ~ Tx!A3:A17"")),"""")"),"")</f>
        <v/>
      </c>
      <c r="T13" s="20" t="str">
        <f>IFERROR(__xludf.DUMMYFUNCTION("IFNA(FILTER(IMPORTRANGE(""https://docs.google.com/spreadsheets/d/1kGrh75X1cNR1D7_FcY9zMnHP8iPO4M5RCRjy6nZY0TY/edit#gid=1248694442"",""Subgroup 3: Mi ~ Tx!C3:C17""), $A13=IMPORTRANGE(""https://docs.google.com/spreadsheets/d/1kGrh75X1cNR1D7_FcY9zMnHP8iPO4M5"&amp;"RCRjy6nZY0TY/edit#gid=1248694442"",""Subgroup 3: Mi ~ Tx!A3:A17"")),"""")"),"")</f>
        <v/>
      </c>
      <c r="U13" s="20" t="str">
        <f>IFERROR(__xludf.DUMMYFUNCTION("IFNA(FILTER(IMPORTRANGE(""https://docs.google.com/spreadsheets/d/1kGrh75X1cNR1D7_FcY9zMnHP8iPO4M5RCRjy6nZY0TY/edit#gid=1248694442"",""Subgroup 3: Mi ~ Tx!D3:D17""), $A13=IMPORTRANGE(""https://docs.google.com/spreadsheets/d/1kGrh75X1cNR1D7_FcY9zMnHP8iPO4M5"&amp;"RCRjy6nZY0TY/edit#gid=1248694442"",""Subgroup 3: Mi ~ Tx!A3:A17"")),"""")"),"")</f>
        <v/>
      </c>
      <c r="V13" s="20" t="str">
        <f>IFERROR(__xludf.DUMMYFUNCTION("IFNA(FILTER(IMPORTRANGE(""https://docs.google.com/spreadsheets/d/1kGrh75X1cNR1D7_FcY9zMnHP8iPO4M5RCRjy6nZY0TY/edit#gid=1248694442"",""Subgroup 3: Mi ~ Tx!E3:E17""), $A13=IMPORTRANGE(""https://docs.google.com/spreadsheets/d/1kGrh75X1cNR1D7_FcY9zMnHP8iPO4M5"&amp;"RCRjy6nZY0TY/edit#gid=1248694442"",""Subgroup 3: Mi ~ Tx!A3:A17"")),"""")"),"")</f>
        <v/>
      </c>
      <c r="W13" s="20" t="str">
        <f>IFERROR(__xludf.DUMMYFUNCTION("IFNA(FILTER(IMPORTRANGE(""https://docs.google.com/spreadsheets/d/1kGrh75X1cNR1D7_FcY9zMnHP8iPO4M5RCRjy6nZY0TY/edit#gid=1248694442"",""Subgroup 3: Mi ~ Tx!F3:F17""), $A13=IMPORTRANGE(""https://docs.google.com/spreadsheets/d/1kGrh75X1cNR1D7_FcY9zMnHP8iPO4M5"&amp;"RCRjy6nZY0TY/edit#gid=1248694442"",""Subgroup 3: Mi ~ Tx!A3:A17"")),"""")"),"")</f>
        <v/>
      </c>
      <c r="X13" s="19" t="str">
        <f>IFERROR(__xludf.DUMMYFUNCTION("IFNA(FILTER(IMPORTRANGE(""https://docs.google.com/spreadsheets/d/1kGrh75X1cNR1D7_FcY9zMnHP8iPO4M5RCRjy6nZY0TY/edit#gid=1248694442"",""Table 3: 1st-line HC!AK5:AK111""), $A13=IMPORTRANGE(""https://docs.google.com/spreadsheets/d/1kGrh75X1cNR1D7_FcY9zMnHP8iP"&amp;"O4M5RCRjy6nZY0TY/edit#gid=1248694442"",""Table 3: 1st-line HC!A5:A111"")),"""")"),"")</f>
        <v/>
      </c>
      <c r="Y13" s="20" t="str">
        <f>IFERROR(__xludf.DUMMYFUNCTION("IFNA(FILTER(IMPORTRANGE(""https://docs.google.com/spreadsheets/d/1kGrh75X1cNR1D7_FcY9zMnHP8iPO4M5RCRjy6nZY0TY/edit#gid=1248694442"",""Subgroup 4: Mp ~ Tx!B3:B20""), $A13=IMPORTRANGE(""https://docs.google.com/spreadsheets/d/1kGrh75X1cNR1D7_FcY9zMnHP8iPO4M5"&amp;"RCRjy6nZY0TY/edit#gid=1248694442"",""Subgroup 4: Mp ~ Tx!A3:A20"")),"""")"),"")</f>
        <v/>
      </c>
      <c r="Z13" s="20" t="str">
        <f>IFERROR(__xludf.DUMMYFUNCTION("IFNA(FILTER(IMPORTRANGE(""https://docs.google.com/spreadsheets/d/1kGrh75X1cNR1D7_FcY9zMnHP8iPO4M5RCRjy6nZY0TY/edit#gid=1248694442"",""Subgroup 4: Mp ~ Tx!C3:C20""), $A13=IMPORTRANGE(""https://docs.google.com/spreadsheets/d/1kGrh75X1cNR1D7_FcY9zMnHP8iPO4M5"&amp;"RCRjy6nZY0TY/edit#gid=1248694442"",""Subgroup 4: Mp ~ Tx!A3:A20"")),"""")"),"")</f>
        <v/>
      </c>
      <c r="AA13" s="20" t="str">
        <f>IFERROR(__xludf.DUMMYFUNCTION("IFNA(FILTER(IMPORTRANGE(""https://docs.google.com/spreadsheets/d/1kGrh75X1cNR1D7_FcY9zMnHP8iPO4M5RCRjy6nZY0TY/edit#gid=1248694442"",""Subgroup 4: Mp ~ Tx!D3:D20""), $A13=IMPORTRANGE(""https://docs.google.com/spreadsheets/d/1kGrh75X1cNR1D7_FcY9zMnHP8iPO4M5"&amp;"RCRjy6nZY0TY/edit#gid=1248694442"",""Subgroup 4: Mp ~ Tx!A3:A20"")),"""")"),"")</f>
        <v/>
      </c>
      <c r="AB13" s="20" t="str">
        <f>IFERROR(__xludf.DUMMYFUNCTION("IFNA(FILTER(IMPORTRANGE(""https://docs.google.com/spreadsheets/d/1kGrh75X1cNR1D7_FcY9zMnHP8iPO4M5RCRjy6nZY0TY/edit#gid=1248694442"",""Subgroup 4: Mp ~ Tx!E3:E20""), $A13=IMPORTRANGE(""https://docs.google.com/spreadsheets/d/1kGrh75X1cNR1D7_FcY9zMnHP8iPO4M5"&amp;"RCRjy6nZY0TY/edit#gid=1248694442"",""Subgroup 4: Mp ~ Tx!A3:A20"")),"""")"),"")</f>
        <v/>
      </c>
      <c r="AC13" s="20" t="str">
        <f>IFERROR(__xludf.DUMMYFUNCTION("IFNA(FILTER(IMPORTRANGE(""https://docs.google.com/spreadsheets/d/1kGrh75X1cNR1D7_FcY9zMnHP8iPO4M5RCRjy6nZY0TY/edit#gid=1248694442"",""Subgroup 4: Mp ~ Tx!F3:F20""), $A13=IMPORTRANGE(""https://docs.google.com/spreadsheets/d/1kGrh75X1cNR1D7_FcY9zMnHP8iPO4M5"&amp;"RCRjy6nZY0TY/edit#gid=1248694442"",""Subgroup 4: Mp ~ Tx!A3:A20"")),"""")"),"")</f>
        <v/>
      </c>
      <c r="AD13" s="22" t="str">
        <f>IFERROR(__xludf.DUMMYFUNCTION("IFNA(FILTER(IMPORTRANGE(""https://docs.google.com/spreadsheets/d/1kGrh75X1cNR1D7_FcY9zMnHP8iPO4M5RCRjy6nZY0TY/edit#gid=1248694442"",""Table 3: 1st-line HC!AL5:AL111""), $A13=IMPORTRANGE(""https://docs.google.com/spreadsheets/d/1kGrh75X1cNR1D7_FcY9zMnHP8iP"&amp;"O4M5RCRjy6nZY0TY/edit#gid=1248694442"",""Table 3: 1st-line HC!A5:A111"")),"""")"),"")</f>
        <v/>
      </c>
      <c r="AE13" s="20" t="str">
        <f>IFERROR(__xludf.DUMMYFUNCTION("IFNA(FILTER(IMPORTRANGE(""https://docs.google.com/spreadsheets/d/1kGrh75X1cNR1D7_FcY9zMnHP8iPO4M5RCRjy6nZY0TY/edit#gid=1248694442"",""Table 3: 1st-line HC!BJ5:BJ111""), $A13=IMPORTRANGE(""https://docs.google.com/spreadsheets/d/1kGrh75X1cNR1D7_FcY9zMnHP8iP"&amp;"O4M5RCRjy6nZY0TY/edit#gid=1248694442"",""Table 3: 1st-line HC!A5:A111"")),"""")"),"")</f>
        <v/>
      </c>
      <c r="AF13" s="20" t="str">
        <f>IFERROR(__xludf.DUMMYFUNCTION("IFNA(FILTER(IMPORTRANGE(""https://docs.google.com/spreadsheets/d/1kGrh75X1cNR1D7_FcY9zMnHP8iPO4M5RCRjy6nZY0TY/edit#gid=1248694442"",""Subgroup 2: Cr ~ Tx!B3:B23""), $A13=IMPORTRANGE(""https://docs.google.com/spreadsheets/d/1kGrh75X1cNR1D7_FcY9zMnHP8iPO4M5"&amp;"RCRjy6nZY0TY/edit#gid=1248694442"",""Subgroup 2: Cr ~ Tx!A3:A23"")),"""")"),"")</f>
        <v/>
      </c>
      <c r="AG13" s="20" t="str">
        <f>IFERROR(__xludf.DUMMYFUNCTION("IFNA(FILTER(IMPORTRANGE(""https://docs.google.com/spreadsheets/d/1kGrh75X1cNR1D7_FcY9zMnHP8iPO4M5RCRjy6nZY0TY/edit#gid=1248694442"",""Subgroup 2: Cr ~ Tx!C3:C23""), $A13=IMPORTRANGE(""https://docs.google.com/spreadsheets/d/1kGrh75X1cNR1D7_FcY9zMnHP8iPO4M5"&amp;"RCRjy6nZY0TY/edit#gid=1248694442"",""Subgroup 2: Cr ~ Tx!A3:A23"")),"""")"),"")</f>
        <v/>
      </c>
      <c r="AH13" s="20" t="str">
        <f>IFERROR(__xludf.DUMMYFUNCTION("IFNA(FILTER(IMPORTRANGE(""https://docs.google.com/spreadsheets/d/1kGrh75X1cNR1D7_FcY9zMnHP8iPO4M5RCRjy6nZY0TY/edit#gid=1248694442"",""Subgroup 2: Cr ~ Tx!D3:D23""), $A13=IMPORTRANGE(""https://docs.google.com/spreadsheets/d/1kGrh75X1cNR1D7_FcY9zMnHP8iPO4M5"&amp;"RCRjy6nZY0TY/edit#gid=1248694442"",""Subgroup 2: Cr ~ Tx!A3:A23"")),"""")"),"")</f>
        <v/>
      </c>
      <c r="AI13" s="20" t="str">
        <f>IFERROR(__xludf.DUMMYFUNCTION("IFNA(FILTER(IMPORTRANGE(""https://docs.google.com/spreadsheets/d/1kGrh75X1cNR1D7_FcY9zMnHP8iPO4M5RCRjy6nZY0TY/edit#gid=1248694442"",""Subgroup 2: Cr ~ Tx!E3:E23""), $A13=IMPORTRANGE(""https://docs.google.com/spreadsheets/d/1kGrh75X1cNR1D7_FcY9zMnHP8iPO4M5"&amp;"RCRjy6nZY0TY/edit#gid=1248694442"",""Subgroup 2: Cr ~ Tx!A3:A23"")),"""")"),"")</f>
        <v/>
      </c>
      <c r="AJ13" s="20" t="str">
        <f>IFERROR(__xludf.DUMMYFUNCTION("IFNA(FILTER(IMPORTRANGE(""https://docs.google.com/spreadsheets/d/1kGrh75X1cNR1D7_FcY9zMnHP8iPO4M5RCRjy6nZY0TY/edit#gid=1248694442"",""Subgroup 2: Cr ~ Tx!F3:F23""), $A13=IMPORTRANGE(""https://docs.google.com/spreadsheets/d/1kGrh75X1cNR1D7_FcY9zMnHP8iPO4M5"&amp;"RCRjy6nZY0TY/edit#gid=1248694442"",""Subgroup 2: Cr ~ Tx!A3:A23"")),"""")"),"")</f>
        <v/>
      </c>
      <c r="AK13" s="14" t="str">
        <f>IFERROR(__xludf.DUMMYFUNCTION("IFNA(FILTER(IMPORTRANGE(""https://docs.google.com/spreadsheets/d/1kGrh75X1cNR1D7_FcY9zMnHP8iPO4M5RCRjy6nZY0TY/edit#gid=1248694442"",""Table 4: 2nd-line HC or more!M5:M85""), $A13=IMPORTRANGE(""https://docs.google.com/spreadsheets/d/1kGrh75X1cNR1D7_FcY9zMn"&amp;"HP8iPO4M5RCRjy6nZY0TY/edit#gid=1248694442"",""Table 4: 2nd-line HC or more!A5:A85"")),"""")"),"")</f>
        <v/>
      </c>
      <c r="AL13" s="14" t="str">
        <f>IFERROR(__xludf.DUMMYFUNCTION("IFNA(FILTER(IMPORTRANGE(""https://docs.google.com/spreadsheets/d/1kGrh75X1cNR1D7_FcY9zMnHP8iPO4M5RCRjy6nZY0TY/edit#gid=1248694442"",""Table 4: 2nd-line HC or more!N5:N85""), $A13=IMPORTRANGE(""https://docs.google.com/spreadsheets/d/1kGrh75X1cNR1D7_FcY9zMn"&amp;"HP8iPO4M5RCRjy6nZY0TY/edit#gid=1248694442"",""Table 4: 2nd-line HC or more!A5:A85"")),"""")"),"")</f>
        <v/>
      </c>
      <c r="AM13" s="14" t="str">
        <f>IFERROR(__xludf.DUMMYFUNCTION("IFNA(FILTER(IMPORTRANGE(""https://docs.google.com/spreadsheets/d/1kGrh75X1cNR1D7_FcY9zMnHP8iPO4M5RCRjy6nZY0TY/edit#gid=1248694442"",""Table 4: 2nd-line HC or more!O5:O85""), $A13=IMPORTRANGE(""https://docs.google.com/spreadsheets/d/1kGrh75X1cNR1D7_FcY9zMn"&amp;"HP8iPO4M5RCRjy6nZY0TY/edit#gid=1248694442"",""Table 4: 2nd-line HC or more!A5:A85"")),"""")"),"")</f>
        <v/>
      </c>
      <c r="AN13" s="14" t="str">
        <f>IFERROR(__xludf.DUMMYFUNCTION("IFNA(FILTER(IMPORTRANGE(""https://docs.google.com/spreadsheets/d/1kGrh75X1cNR1D7_FcY9zMnHP8iPO4M5RCRjy6nZY0TY/edit#gid=1248694442"",""Table 3: 1st-line HC!AP5:AP111""), $A13=IMPORTRANGE(""https://docs.google.com/spreadsheets/d/1kGrh75X1cNR1D7_FcY9zMnHP8iP"&amp;"O4M5RCRjy6nZY0TY/edit#gid=1248694442"",""Table 3: 1st-line HC!A5:A111"")),"""")"),"")</f>
        <v/>
      </c>
      <c r="AO13" s="14" t="str">
        <f>IFERROR(__xludf.DUMMYFUNCTION("IFNA(FILTER(IMPORTRANGE(""https://docs.google.com/spreadsheets/d/1kGrh75X1cNR1D7_FcY9zMnHP8iPO4M5RCRjy6nZY0TY/edit#gid=1248694442"",""Table 3: 1st-line HC!AO5:AO111""), $A13=IMPORTRANGE(""https://docs.google.com/spreadsheets/d/1kGrh75X1cNR1D7_FcY9zMnHP8iP"&amp;"O4M5RCRjy6nZY0TY/edit#gid=1248694442"",""Table 3: 1st-line HC!A5:A111"")),"""")"),"")</f>
        <v/>
      </c>
      <c r="AP13" s="14" t="str">
        <f>IFERROR(__xludf.DUMMYFUNCTION("IFNA(FILTER(IMPORTRANGE(""https://docs.google.com/spreadsheets/d/1kGrh75X1cNR1D7_FcY9zMnHP8iPO4M5RCRjy6nZY0TY/edit#gid=1248694442"",""Table 3: 1st-line HC!AQ5:AQ111""), $A13=IMPORTRANGE(""https://docs.google.com/spreadsheets/d/1kGrh75X1cNR1D7_FcY9zMnHP8iP"&amp;"O4M5RCRjy6nZY0TY/edit#gid=1248694442"",""Table 3: 1st-line HC!A5:A111"")),"""")"),"")</f>
        <v/>
      </c>
      <c r="AQ13" s="14" t="str">
        <f>IFERROR(__xludf.DUMMYFUNCTION("IFNA(FILTER(IMPORTRANGE(""https://docs.google.com/spreadsheets/d/1kGrh75X1cNR1D7_FcY9zMnHP8iPO4M5RCRjy6nZY0TY/edit#gid=1248694442"",""Table 2: MMC!T5:T114""), $A13=IMPORTRANGE(""https://docs.google.com/spreadsheets/d/1kGrh75X1cNR1D7_FcY9zMnHP8iPO4M5RCRjy6"&amp;"nZY0TY/edit#gid=1248694442"",""Table 2: MMC!A5:A114"")),"""")"),"")</f>
        <v/>
      </c>
      <c r="AR13" s="14">
        <f>IFERROR(__xludf.DUMMYFUNCTION("IFNA(FILTER(IMPORTRANGE(""https://docs.google.com/spreadsheets/d/1kGrh75X1cNR1D7_FcY9zMnHP8iPO4M5RCRjy6nZY0TY/edit#gid=1248694442"",""Table 2: MMC!U5:U114""), $A13=IMPORTRANGE(""https://docs.google.com/spreadsheets/d/1kGrh75X1cNR1D7_FcY9zMnHP8iPO4M5RCRjy6"&amp;"nZY0TY/edit#gid=1248694442"",""Table 2: MMC!A5:A114"")),"""")"),1.0)</f>
        <v>1</v>
      </c>
      <c r="AS13" s="14">
        <f>IFERROR(__xludf.DUMMYFUNCTION("IFNA(FILTER(IMPORTRANGE(""https://docs.google.com/spreadsheets/d/1kGrh75X1cNR1D7_FcY9zMnHP8iPO4M5RCRjy6nZY0TY/edit#gid=1248694442"",""Table 2: MMC!V5:V114""), $A13=IMPORTRANGE(""https://docs.google.com/spreadsheets/d/1kGrh75X1cNR1D7_FcY9zMnHP8iPO4M5RCRjy6"&amp;"nZY0TY/edit#gid=1248694442"",""Table 2: MMC!A5:A114"")),"""")"),1.0)</f>
        <v>1</v>
      </c>
      <c r="AT13" s="4" t="str">
        <f>IFERROR(__xludf.DUMMYFUNCTION("IFNA(FILTER(IMPORTRANGE(""https://docs.google.com/spreadsheets/d/1kGrh75X1cNR1D7_FcY9zMnHP8iPO4M5RCRjy6nZY0TY/edit#gid=1248694442"",""Table 2: MMC!W5:W114""), $A13=IMPORTRANGE(""https://docs.google.com/spreadsheets/d/1kGrh75X1cNR1D7_FcY9zMnHP8iPO4M5RCRjy6"&amp;"nZY0TY/edit#gid=1248694442"",""Table 2: MMC!A5:A114"")),"""")"),"CSF leakage=1; Accumulation of CSF under skin that spontaneously absorbed=1")</f>
        <v>CSF leakage=1; Accumulation of CSF under skin that spontaneously absorbed=1</v>
      </c>
    </row>
    <row r="14">
      <c r="A14" s="4" t="str">
        <f>IFERROR(__xludf.DUMMYFUNCTION("""COMPUTED_VALUE"""),"ID 22")</f>
        <v>ID 22</v>
      </c>
      <c r="B14" s="20" t="str">
        <f>IFERROR(__xludf.DUMMYFUNCTION("IFNA(FILTER(IMPORTRANGE(""https://docs.google.com/spreadsheets/d/1kGrh75X1cNR1D7_FcY9zMnHP8iPO4M5RCRjy6nZY0TY/edit#gid=1248694442"",""Table 3: 1st-line HC!BK5:BK111""), $A14=IMPORTRANGE(""https://docs.google.com/spreadsheets/d/1kGrh75X1cNR1D7_FcY9zMnHP8iP"&amp;"O4M5RCRjy6nZY0TY/edit#gid=1248694442"",""Table 3: 1st-line HC!A5:A111"")),"""")"),"")</f>
        <v/>
      </c>
      <c r="C14" s="20" t="str">
        <f>IFERROR(__xludf.DUMMYFUNCTION("IFNA(FILTER(IMPORTRANGE(""https://docs.google.com/spreadsheets/d/1kGrh75X1cNR1D7_FcY9zMnHP8iPO4M5RCRjy6nZY0TY/edit#gid=1248694442"",""Subgroup 1: Fr ~ Tx!B3:B20""), $A14=IMPORTRANGE(""https://docs.google.com/spreadsheets/d/1kGrh75X1cNR1D7_FcY9zMnHP8iPO4M5"&amp;"RCRjy6nZY0TY/edit#gid=1248694442"",""Subgroup 1: Fr ~ Tx!A3:A20"")),"""")"),"")</f>
        <v/>
      </c>
      <c r="D14" s="20" t="str">
        <f>IFERROR(__xludf.DUMMYFUNCTION("IFNA(FILTER(IMPORTRANGE(""https://docs.google.com/spreadsheets/d/1kGrh75X1cNR1D7_FcY9zMnHP8iPO4M5RCRjy6nZY0TY/edit#gid=1248694442"",""Subgroup 1: Fr ~ Tx!C3:C20""), $A14=IMPORTRANGE(""https://docs.google.com/spreadsheets/d/1kGrh75X1cNR1D7_FcY9zMnHP8iPO4M5"&amp;"RCRjy6nZY0TY/edit#gid=1248694442"",""Subgroup 1: Fr ~ Tx!A3:A20"")),"""")"),"")</f>
        <v/>
      </c>
      <c r="E14" s="20" t="str">
        <f>IFERROR(__xludf.DUMMYFUNCTION("IFNA(FILTER(IMPORTRANGE(""https://docs.google.com/spreadsheets/d/1kGrh75X1cNR1D7_FcY9zMnHP8iPO4M5RCRjy6nZY0TY/edit#gid=1248694442"",""Subgroup 1: Fr ~ Tx!D3:D20""), $A14=IMPORTRANGE(""https://docs.google.com/spreadsheets/d/1kGrh75X1cNR1D7_FcY9zMnHP8iPO4M5"&amp;"RCRjy6nZY0TY/edit#gid=1248694442"",""Subgroup 1: Fr ~ Tx!A3:A20"")),"""")"),"")</f>
        <v/>
      </c>
      <c r="F14" s="20" t="str">
        <f>IFERROR(__xludf.DUMMYFUNCTION("IFNA(FILTER(IMPORTRANGE(""https://docs.google.com/spreadsheets/d/1kGrh75X1cNR1D7_FcY9zMnHP8iPO4M5RCRjy6nZY0TY/edit#gid=1248694442"",""Subgroup 1: Fr ~ Tx!E3:E20""), $A14=IMPORTRANGE(""https://docs.google.com/spreadsheets/d/1kGrh75X1cNR1D7_FcY9zMnHP8iPO4M5"&amp;"RCRjy6nZY0TY/edit#gid=1248694442"",""Subgroup 1: Fr ~ Tx!A3:A20"")),"""")"),"")</f>
        <v/>
      </c>
      <c r="G14" s="20" t="str">
        <f>IFERROR(__xludf.DUMMYFUNCTION("IFNA(FILTER(IMPORTRANGE(""https://docs.google.com/spreadsheets/d/1kGrh75X1cNR1D7_FcY9zMnHP8iPO4M5RCRjy6nZY0TY/edit#gid=1248694442"",""Subgroup 1: Fr ~ Tx!F3:F20""), $A14=IMPORTRANGE(""https://docs.google.com/spreadsheets/d/1kGrh75X1cNR1D7_FcY9zMnHP8iPO4M5"&amp;"RCRjy6nZY0TY/edit#gid=1248694442"",""Subgroup 1: Fr ~ Tx!A3:A20"")),"""")"),"")</f>
        <v/>
      </c>
      <c r="H14" s="20" t="str">
        <f>IFERROR(__xludf.DUMMYFUNCTION("IFNA(FILTER(IMPORTRANGE(""https://docs.google.com/spreadsheets/d/1kGrh75X1cNR1D7_FcY9zMnHP8iPO4M5RCRjy6nZY0TY/edit#gid=1248694442"",""Table 3: 1st-line HC!BD5:BD111""), $A14=IMPORTRANGE(""https://docs.google.com/spreadsheets/d/1kGrh75X1cNR1D7_FcY9zMnHP8iP"&amp;"O4M5RCRjy6nZY0TY/edit#gid=1248694442"",""Table 3: 1st-line HC!A5:A111"")),"""")"),"")</f>
        <v/>
      </c>
      <c r="I14" s="20" t="str">
        <f>IFERROR(__xludf.DUMMYFUNCTION("IFNA(FILTER(IMPORTRANGE(""https://docs.google.com/spreadsheets/d/1kGrh75X1cNR1D7_FcY9zMnHP8iPO4M5RCRjy6nZY0TY/edit#gid=1248694442"",""Subgroup 5: Tf ~ Tx!B3:B8""), $A14=IMPORTRANGE(""https://docs.google.com/spreadsheets/d/1kGrh75X1cNR1D7_FcY9zMnHP8iPO4M5R"&amp;"CRjy6nZY0TY/edit#gid=1248694442"",""Subgroup 5: Tf ~ Tx!A3:A8"")),"""")"),"")</f>
        <v/>
      </c>
      <c r="J14" s="20" t="str">
        <f>IFERROR(__xludf.DUMMYFUNCTION("IFNA(FILTER(IMPORTRANGE(""https://docs.google.com/spreadsheets/d/1kGrh75X1cNR1D7_FcY9zMnHP8iPO4M5RCRjy6nZY0TY/edit#gid=1248694442"",""Subgroup 5: Tf ~ Tx!C3:C8""), $A14=IMPORTRANGE(""https://docs.google.com/spreadsheets/d/1kGrh75X1cNR1D7_FcY9zMnHP8iPO4M5R"&amp;"CRjy6nZY0TY/edit#gid=1248694442"",""Subgroup 5: Tf ~ Tx!A3:A8"")),"""")"),"")</f>
        <v/>
      </c>
      <c r="K14" s="20" t="str">
        <f>IFERROR(__xludf.DUMMYFUNCTION("IFNA(FILTER(IMPORTRANGE(""https://docs.google.com/spreadsheets/d/1kGrh75X1cNR1D7_FcY9zMnHP8iPO4M5RCRjy6nZY0TY/edit#gid=1248694442"",""Subgroup 5: Tf ~ Tx!D3:D8""), $A14=IMPORTRANGE(""https://docs.google.com/spreadsheets/d/1kGrh75X1cNR1D7_FcY9zMnHP8iPO4M5R"&amp;"CRjy6nZY0TY/edit#gid=1248694442"",""Subgroup 5: Tf ~ Tx!A3:A8"")),"""")"),"")</f>
        <v/>
      </c>
      <c r="L14" s="20" t="str">
        <f>IFERROR(__xludf.DUMMYFUNCTION("IFNA(FILTER(IMPORTRANGE(""https://docs.google.com/spreadsheets/d/1kGrh75X1cNR1D7_FcY9zMnHP8iPO4M5RCRjy6nZY0TY/edit#gid=1248694442"",""Subgroup 5: Tf ~ Tx!E3:E8""), $A14=IMPORTRANGE(""https://docs.google.com/spreadsheets/d/1kGrh75X1cNR1D7_FcY9zMnHP8iPO4M5R"&amp;"CRjy6nZY0TY/edit#gid=1248694442"",""Subgroup 5: Tf ~ Tx!A3:A8"")),"""")"),"")</f>
        <v/>
      </c>
      <c r="M14" s="20" t="str">
        <f>IFERROR(__xludf.DUMMYFUNCTION("IFNA(FILTER(IMPORTRANGE(""https://docs.google.com/spreadsheets/d/1kGrh75X1cNR1D7_FcY9zMnHP8iPO4M5RCRjy6nZY0TY/edit#gid=1248694442"",""Subgroup 5: Tf ~ Tx!F3:F8""), $A14=IMPORTRANGE(""https://docs.google.com/spreadsheets/d/1kGrh75X1cNR1D7_FcY9zMnHP8iPO4M5R"&amp;"CRjy6nZY0TY/edit#gid=1248694442"",""Subgroup 5: Tf ~ Tx!A3:A8"")),"""")"),"")</f>
        <v/>
      </c>
      <c r="N14" s="20" t="str">
        <f>IFERROR(__xludf.DUMMYFUNCTION("IFNA(FILTER(IMPORTRANGE(""https://docs.google.com/spreadsheets/d/1kGrh75X1cNR1D7_FcY9zMnHP8iPO4M5RCRjy6nZY0TY/edit#gid=1248694442"",""Table 3: 1st-line HC!BE5:BE111""), $A14=IMPORTRANGE(""https://docs.google.com/spreadsheets/d/1kGrh75X1cNR1D7_FcY9zMnHP8iP"&amp;"O4M5RCRjy6nZY0TY/edit#gid=1248694442"",""Table 3: 1st-line HC!A5:A111"")),"""")"),"")</f>
        <v/>
      </c>
      <c r="O14" s="20" t="str">
        <f>IFERROR(__xludf.DUMMYFUNCTION("IFNA(FILTER(IMPORTRANGE(""https://docs.google.com/spreadsheets/d/1kGrh75X1cNR1D7_FcY9zMnHP8iPO4M5RCRjy6nZY0TY/edit#gid=1248694442"",""Table 3: 1st-line HC!BF5:BF111""), $A14=IMPORTRANGE(""https://docs.google.com/spreadsheets/d/1kGrh75X1cNR1D7_FcY9zMnHP8iP"&amp;"O4M5RCRjy6nZY0TY/edit#gid=1248694442"",""Table 3: 1st-line HC!A5:A111"")),"""")"),"")</f>
        <v/>
      </c>
      <c r="P14" s="20" t="str">
        <f>IFERROR(__xludf.DUMMYFUNCTION("IFNA(FILTER(IMPORTRANGE(""https://docs.google.com/spreadsheets/d/1kGrh75X1cNR1D7_FcY9zMnHP8iPO4M5RCRjy6nZY0TY/edit#gid=1248694442"",""Table 3: 1st-line HC!BG5:BG111""), $A14=IMPORTRANGE(""https://docs.google.com/spreadsheets/d/1kGrh75X1cNR1D7_FcY9zMnHP8iP"&amp;"O4M5RCRjy6nZY0TY/edit#gid=1248694442"",""Table 3: 1st-line HC!A5:A111"")),"""")"),"")</f>
        <v/>
      </c>
      <c r="Q14" s="21" t="str">
        <f>IFERROR(__xludf.DUMMYFUNCTION("IFNA(FILTER(IMPORTRANGE(""https://docs.google.com/spreadsheets/d/1kGrh75X1cNR1D7_FcY9zMnHP8iPO4M5RCRjy6nZY0TY/edit#gid=1248694442"",""Table 3: 1st-line HC!BH5:BH111""), $A14=IMPORTRANGE(""https://docs.google.com/spreadsheets/d/1kGrh75X1cNR1D7_FcY9zMnHP8iP"&amp;"O4M5RCRjy6nZY0TY/edit#gid=1248694442"",""Table 3: 1st-line HC!A5:A111"")),"""")"),"")</f>
        <v/>
      </c>
      <c r="R14" s="19" t="str">
        <f>IFERROR(__xludf.DUMMYFUNCTION("IFNA(FILTER(IMPORTRANGE(""https://docs.google.com/spreadsheets/d/1kGrh75X1cNR1D7_FcY9zMnHP8iPO4M5RCRjy6nZY0TY/edit#gid=1248694442"",""Table 3: 1st-line HC!AJ5:AJ111""), $A14=IMPORTRANGE(""https://docs.google.com/spreadsheets/d/1kGrh75X1cNR1D7_FcY9zMnHP8iP"&amp;"O4M5RCRjy6nZY0TY/edit#gid=1248694442"",""Table 3: 1st-line HC!A5:A111"")),"""")"),"")</f>
        <v/>
      </c>
      <c r="S14" s="20" t="str">
        <f>IFERROR(__xludf.DUMMYFUNCTION("IFNA(FILTER(IMPORTRANGE(""https://docs.google.com/spreadsheets/d/1kGrh75X1cNR1D7_FcY9zMnHP8iPO4M5RCRjy6nZY0TY/edit#gid=1248694442"",""Subgroup 3: Mi ~ Tx!B3:B17""), $A14=IMPORTRANGE(""https://docs.google.com/spreadsheets/d/1kGrh75X1cNR1D7_FcY9zMnHP8iPO4M5"&amp;"RCRjy6nZY0TY/edit#gid=1248694442"",""Subgroup 3: Mi ~ Tx!A3:A17"")),"""")"),"")</f>
        <v/>
      </c>
      <c r="T14" s="20" t="str">
        <f>IFERROR(__xludf.DUMMYFUNCTION("IFNA(FILTER(IMPORTRANGE(""https://docs.google.com/spreadsheets/d/1kGrh75X1cNR1D7_FcY9zMnHP8iPO4M5RCRjy6nZY0TY/edit#gid=1248694442"",""Subgroup 3: Mi ~ Tx!C3:C17""), $A14=IMPORTRANGE(""https://docs.google.com/spreadsheets/d/1kGrh75X1cNR1D7_FcY9zMnHP8iPO4M5"&amp;"RCRjy6nZY0TY/edit#gid=1248694442"",""Subgroup 3: Mi ~ Tx!A3:A17"")),"""")"),"")</f>
        <v/>
      </c>
      <c r="U14" s="20" t="str">
        <f>IFERROR(__xludf.DUMMYFUNCTION("IFNA(FILTER(IMPORTRANGE(""https://docs.google.com/spreadsheets/d/1kGrh75X1cNR1D7_FcY9zMnHP8iPO4M5RCRjy6nZY0TY/edit#gid=1248694442"",""Subgroup 3: Mi ~ Tx!D3:D17""), $A14=IMPORTRANGE(""https://docs.google.com/spreadsheets/d/1kGrh75X1cNR1D7_FcY9zMnHP8iPO4M5"&amp;"RCRjy6nZY0TY/edit#gid=1248694442"",""Subgroup 3: Mi ~ Tx!A3:A17"")),"""")"),"")</f>
        <v/>
      </c>
      <c r="V14" s="20" t="str">
        <f>IFERROR(__xludf.DUMMYFUNCTION("IFNA(FILTER(IMPORTRANGE(""https://docs.google.com/spreadsheets/d/1kGrh75X1cNR1D7_FcY9zMnHP8iPO4M5RCRjy6nZY0TY/edit#gid=1248694442"",""Subgroup 3: Mi ~ Tx!E3:E17""), $A14=IMPORTRANGE(""https://docs.google.com/spreadsheets/d/1kGrh75X1cNR1D7_FcY9zMnHP8iPO4M5"&amp;"RCRjy6nZY0TY/edit#gid=1248694442"",""Subgroup 3: Mi ~ Tx!A3:A17"")),"""")"),"")</f>
        <v/>
      </c>
      <c r="W14" s="20" t="str">
        <f>IFERROR(__xludf.DUMMYFUNCTION("IFNA(FILTER(IMPORTRANGE(""https://docs.google.com/spreadsheets/d/1kGrh75X1cNR1D7_FcY9zMnHP8iPO4M5RCRjy6nZY0TY/edit#gid=1248694442"",""Subgroup 3: Mi ~ Tx!F3:F17""), $A14=IMPORTRANGE(""https://docs.google.com/spreadsheets/d/1kGrh75X1cNR1D7_FcY9zMnHP8iPO4M5"&amp;"RCRjy6nZY0TY/edit#gid=1248694442"",""Subgroup 3: Mi ~ Tx!A3:A17"")),"""")"),"")</f>
        <v/>
      </c>
      <c r="X14" s="19" t="str">
        <f>IFERROR(__xludf.DUMMYFUNCTION("IFNA(FILTER(IMPORTRANGE(""https://docs.google.com/spreadsheets/d/1kGrh75X1cNR1D7_FcY9zMnHP8iPO4M5RCRjy6nZY0TY/edit#gid=1248694442"",""Table 3: 1st-line HC!AK5:AK111""), $A14=IMPORTRANGE(""https://docs.google.com/spreadsheets/d/1kGrh75X1cNR1D7_FcY9zMnHP8iP"&amp;"O4M5RCRjy6nZY0TY/edit#gid=1248694442"",""Table 3: 1st-line HC!A5:A111"")),"""")"),"")</f>
        <v/>
      </c>
      <c r="Y14" s="20" t="str">
        <f>IFERROR(__xludf.DUMMYFUNCTION("IFNA(FILTER(IMPORTRANGE(""https://docs.google.com/spreadsheets/d/1kGrh75X1cNR1D7_FcY9zMnHP8iPO4M5RCRjy6nZY0TY/edit#gid=1248694442"",""Subgroup 4: Mp ~ Tx!B3:B20""), $A14=IMPORTRANGE(""https://docs.google.com/spreadsheets/d/1kGrh75X1cNR1D7_FcY9zMnHP8iPO4M5"&amp;"RCRjy6nZY0TY/edit#gid=1248694442"",""Subgroup 4: Mp ~ Tx!A3:A20"")),"""")"),"")</f>
        <v/>
      </c>
      <c r="Z14" s="20" t="str">
        <f>IFERROR(__xludf.DUMMYFUNCTION("IFNA(FILTER(IMPORTRANGE(""https://docs.google.com/spreadsheets/d/1kGrh75X1cNR1D7_FcY9zMnHP8iPO4M5RCRjy6nZY0TY/edit#gid=1248694442"",""Subgroup 4: Mp ~ Tx!C3:C20""), $A14=IMPORTRANGE(""https://docs.google.com/spreadsheets/d/1kGrh75X1cNR1D7_FcY9zMnHP8iPO4M5"&amp;"RCRjy6nZY0TY/edit#gid=1248694442"",""Subgroup 4: Mp ~ Tx!A3:A20"")),"""")"),"")</f>
        <v/>
      </c>
      <c r="AA14" s="20" t="str">
        <f>IFERROR(__xludf.DUMMYFUNCTION("IFNA(FILTER(IMPORTRANGE(""https://docs.google.com/spreadsheets/d/1kGrh75X1cNR1D7_FcY9zMnHP8iPO4M5RCRjy6nZY0TY/edit#gid=1248694442"",""Subgroup 4: Mp ~ Tx!D3:D20""), $A14=IMPORTRANGE(""https://docs.google.com/spreadsheets/d/1kGrh75X1cNR1D7_FcY9zMnHP8iPO4M5"&amp;"RCRjy6nZY0TY/edit#gid=1248694442"",""Subgroup 4: Mp ~ Tx!A3:A20"")),"""")"),"")</f>
        <v/>
      </c>
      <c r="AB14" s="20" t="str">
        <f>IFERROR(__xludf.DUMMYFUNCTION("IFNA(FILTER(IMPORTRANGE(""https://docs.google.com/spreadsheets/d/1kGrh75X1cNR1D7_FcY9zMnHP8iPO4M5RCRjy6nZY0TY/edit#gid=1248694442"",""Subgroup 4: Mp ~ Tx!E3:E20""), $A14=IMPORTRANGE(""https://docs.google.com/spreadsheets/d/1kGrh75X1cNR1D7_FcY9zMnHP8iPO4M5"&amp;"RCRjy6nZY0TY/edit#gid=1248694442"",""Subgroup 4: Mp ~ Tx!A3:A20"")),"""")"),"")</f>
        <v/>
      </c>
      <c r="AC14" s="20" t="str">
        <f>IFERROR(__xludf.DUMMYFUNCTION("IFNA(FILTER(IMPORTRANGE(""https://docs.google.com/spreadsheets/d/1kGrh75X1cNR1D7_FcY9zMnHP8iPO4M5RCRjy6nZY0TY/edit#gid=1248694442"",""Subgroup 4: Mp ~ Tx!F3:F20""), $A14=IMPORTRANGE(""https://docs.google.com/spreadsheets/d/1kGrh75X1cNR1D7_FcY9zMnHP8iPO4M5"&amp;"RCRjy6nZY0TY/edit#gid=1248694442"",""Subgroup 4: Mp ~ Tx!A3:A20"")),"""")"),"")</f>
        <v/>
      </c>
      <c r="AD14" s="22" t="str">
        <f>IFERROR(__xludf.DUMMYFUNCTION("IFNA(FILTER(IMPORTRANGE(""https://docs.google.com/spreadsheets/d/1kGrh75X1cNR1D7_FcY9zMnHP8iPO4M5RCRjy6nZY0TY/edit#gid=1248694442"",""Table 3: 1st-line HC!AL5:AL111""), $A14=IMPORTRANGE(""https://docs.google.com/spreadsheets/d/1kGrh75X1cNR1D7_FcY9zMnHP8iP"&amp;"O4M5RCRjy6nZY0TY/edit#gid=1248694442"",""Table 3: 1st-line HC!A5:A111"")),"""")"),"")</f>
        <v/>
      </c>
      <c r="AE14" s="20" t="str">
        <f>IFERROR(__xludf.DUMMYFUNCTION("IFNA(FILTER(IMPORTRANGE(""https://docs.google.com/spreadsheets/d/1kGrh75X1cNR1D7_FcY9zMnHP8iPO4M5RCRjy6nZY0TY/edit#gid=1248694442"",""Table 3: 1st-line HC!BJ5:BJ111""), $A14=IMPORTRANGE(""https://docs.google.com/spreadsheets/d/1kGrh75X1cNR1D7_FcY9zMnHP8iP"&amp;"O4M5RCRjy6nZY0TY/edit#gid=1248694442"",""Table 3: 1st-line HC!A5:A111"")),"""")"),"")</f>
        <v/>
      </c>
      <c r="AF14" s="20" t="str">
        <f>IFERROR(__xludf.DUMMYFUNCTION("IFNA(FILTER(IMPORTRANGE(""https://docs.google.com/spreadsheets/d/1kGrh75X1cNR1D7_FcY9zMnHP8iPO4M5RCRjy6nZY0TY/edit#gid=1248694442"",""Subgroup 2: Cr ~ Tx!B3:B23""), $A14=IMPORTRANGE(""https://docs.google.com/spreadsheets/d/1kGrh75X1cNR1D7_FcY9zMnHP8iPO4M5"&amp;"RCRjy6nZY0TY/edit#gid=1248694442"",""Subgroup 2: Cr ~ Tx!A3:A23"")),"""")"),"")</f>
        <v/>
      </c>
      <c r="AG14" s="20" t="str">
        <f>IFERROR(__xludf.DUMMYFUNCTION("IFNA(FILTER(IMPORTRANGE(""https://docs.google.com/spreadsheets/d/1kGrh75X1cNR1D7_FcY9zMnHP8iPO4M5RCRjy6nZY0TY/edit#gid=1248694442"",""Subgroup 2: Cr ~ Tx!C3:C23""), $A14=IMPORTRANGE(""https://docs.google.com/spreadsheets/d/1kGrh75X1cNR1D7_FcY9zMnHP8iPO4M5"&amp;"RCRjy6nZY0TY/edit#gid=1248694442"",""Subgroup 2: Cr ~ Tx!A3:A23"")),"""")"),"")</f>
        <v/>
      </c>
      <c r="AH14" s="20" t="str">
        <f>IFERROR(__xludf.DUMMYFUNCTION("IFNA(FILTER(IMPORTRANGE(""https://docs.google.com/spreadsheets/d/1kGrh75X1cNR1D7_FcY9zMnHP8iPO4M5RCRjy6nZY0TY/edit#gid=1248694442"",""Subgroup 2: Cr ~ Tx!D3:D23""), $A14=IMPORTRANGE(""https://docs.google.com/spreadsheets/d/1kGrh75X1cNR1D7_FcY9zMnHP8iPO4M5"&amp;"RCRjy6nZY0TY/edit#gid=1248694442"",""Subgroup 2: Cr ~ Tx!A3:A23"")),"""")"),"")</f>
        <v/>
      </c>
      <c r="AI14" s="20" t="str">
        <f>IFERROR(__xludf.DUMMYFUNCTION("IFNA(FILTER(IMPORTRANGE(""https://docs.google.com/spreadsheets/d/1kGrh75X1cNR1D7_FcY9zMnHP8iPO4M5RCRjy6nZY0TY/edit#gid=1248694442"",""Subgroup 2: Cr ~ Tx!E3:E23""), $A14=IMPORTRANGE(""https://docs.google.com/spreadsheets/d/1kGrh75X1cNR1D7_FcY9zMnHP8iPO4M5"&amp;"RCRjy6nZY0TY/edit#gid=1248694442"",""Subgroup 2: Cr ~ Tx!A3:A23"")),"""")"),"")</f>
        <v/>
      </c>
      <c r="AJ14" s="20" t="str">
        <f>IFERROR(__xludf.DUMMYFUNCTION("IFNA(FILTER(IMPORTRANGE(""https://docs.google.com/spreadsheets/d/1kGrh75X1cNR1D7_FcY9zMnHP8iPO4M5RCRjy6nZY0TY/edit#gid=1248694442"",""Subgroup 2: Cr ~ Tx!F3:F23""), $A14=IMPORTRANGE(""https://docs.google.com/spreadsheets/d/1kGrh75X1cNR1D7_FcY9zMnHP8iPO4M5"&amp;"RCRjy6nZY0TY/edit#gid=1248694442"",""Subgroup 2: Cr ~ Tx!A3:A23"")),"""")"),"")</f>
        <v/>
      </c>
      <c r="AK14" s="14" t="str">
        <f>IFERROR(__xludf.DUMMYFUNCTION("IFNA(FILTER(IMPORTRANGE(""https://docs.google.com/spreadsheets/d/1kGrh75X1cNR1D7_FcY9zMnHP8iPO4M5RCRjy6nZY0TY/edit#gid=1248694442"",""Table 4: 2nd-line HC or more!M5:M85""), $A14=IMPORTRANGE(""https://docs.google.com/spreadsheets/d/1kGrh75X1cNR1D7_FcY9zMn"&amp;"HP8iPO4M5RCRjy6nZY0TY/edit#gid=1248694442"",""Table 4: 2nd-line HC or more!A5:A85"")),"""")"),"")</f>
        <v/>
      </c>
      <c r="AL14" s="14" t="str">
        <f>IFERROR(__xludf.DUMMYFUNCTION("IFNA(FILTER(IMPORTRANGE(""https://docs.google.com/spreadsheets/d/1kGrh75X1cNR1D7_FcY9zMnHP8iPO4M5RCRjy6nZY0TY/edit#gid=1248694442"",""Table 4: 2nd-line HC or more!N5:N85""), $A14=IMPORTRANGE(""https://docs.google.com/spreadsheets/d/1kGrh75X1cNR1D7_FcY9zMn"&amp;"HP8iPO4M5RCRjy6nZY0TY/edit#gid=1248694442"",""Table 4: 2nd-line HC or more!A5:A85"")),"""")"),"")</f>
        <v/>
      </c>
      <c r="AM14" s="14" t="str">
        <f>IFERROR(__xludf.DUMMYFUNCTION("IFNA(FILTER(IMPORTRANGE(""https://docs.google.com/spreadsheets/d/1kGrh75X1cNR1D7_FcY9zMnHP8iPO4M5RCRjy6nZY0TY/edit#gid=1248694442"",""Table 4: 2nd-line HC or more!O5:O85""), $A14=IMPORTRANGE(""https://docs.google.com/spreadsheets/d/1kGrh75X1cNR1D7_FcY9zMn"&amp;"HP8iPO4M5RCRjy6nZY0TY/edit#gid=1248694442"",""Table 4: 2nd-line HC or more!A5:A85"")),"""")"),"")</f>
        <v/>
      </c>
      <c r="AN14" s="14" t="str">
        <f>IFERROR(__xludf.DUMMYFUNCTION("IFNA(FILTER(IMPORTRANGE(""https://docs.google.com/spreadsheets/d/1kGrh75X1cNR1D7_FcY9zMnHP8iPO4M5RCRjy6nZY0TY/edit#gid=1248694442"",""Table 3: 1st-line HC!AP5:AP111""), $A14=IMPORTRANGE(""https://docs.google.com/spreadsheets/d/1kGrh75X1cNR1D7_FcY9zMnHP8iP"&amp;"O4M5RCRjy6nZY0TY/edit#gid=1248694442"",""Table 3: 1st-line HC!A5:A111"")),"""")"),"")</f>
        <v/>
      </c>
      <c r="AO14" s="14" t="str">
        <f>IFERROR(__xludf.DUMMYFUNCTION("IFNA(FILTER(IMPORTRANGE(""https://docs.google.com/spreadsheets/d/1kGrh75X1cNR1D7_FcY9zMnHP8iPO4M5RCRjy6nZY0TY/edit#gid=1248694442"",""Table 3: 1st-line HC!AO5:AO111""), $A14=IMPORTRANGE(""https://docs.google.com/spreadsheets/d/1kGrh75X1cNR1D7_FcY9zMnHP8iP"&amp;"O4M5RCRjy6nZY0TY/edit#gid=1248694442"",""Table 3: 1st-line HC!A5:A111"")),"""")"),"")</f>
        <v/>
      </c>
      <c r="AP14" s="14" t="str">
        <f>IFERROR(__xludf.DUMMYFUNCTION("IFNA(FILTER(IMPORTRANGE(""https://docs.google.com/spreadsheets/d/1kGrh75X1cNR1D7_FcY9zMnHP8iPO4M5RCRjy6nZY0TY/edit#gid=1248694442"",""Table 3: 1st-line HC!AQ5:AQ111""), $A14=IMPORTRANGE(""https://docs.google.com/spreadsheets/d/1kGrh75X1cNR1D7_FcY9zMnHP8iP"&amp;"O4M5RCRjy6nZY0TY/edit#gid=1248694442"",""Table 3: 1st-line HC!A5:A111"")),"""")"),"")</f>
        <v/>
      </c>
      <c r="AQ14" s="14">
        <f>IFERROR(__xludf.DUMMYFUNCTION("IFNA(FILTER(IMPORTRANGE(""https://docs.google.com/spreadsheets/d/1kGrh75X1cNR1D7_FcY9zMnHP8iPO4M5RCRjy6nZY0TY/edit#gid=1248694442"",""Table 2: MMC!T5:T114""), $A14=IMPORTRANGE(""https://docs.google.com/spreadsheets/d/1kGrh75X1cNR1D7_FcY9zMnHP8iPO4M5RCRjy6"&amp;"nZY0TY/edit#gid=1248694442"",""Table 2: MMC!A5:A114"")),"""")"),3.0)</f>
        <v>3</v>
      </c>
      <c r="AR14" s="14">
        <f>IFERROR(__xludf.DUMMYFUNCTION("IFNA(FILTER(IMPORTRANGE(""https://docs.google.com/spreadsheets/d/1kGrh75X1cNR1D7_FcY9zMnHP8iPO4M5RCRjy6nZY0TY/edit#gid=1248694442"",""Table 2: MMC!U5:U114""), $A14=IMPORTRANGE(""https://docs.google.com/spreadsheets/d/1kGrh75X1cNR1D7_FcY9zMnHP8iPO4M5RCRjy6"&amp;"nZY0TY/edit#gid=1248694442"",""Table 2: MMC!A5:A114"")),"""")"),5.0)</f>
        <v>5</v>
      </c>
      <c r="AS14" s="14" t="str">
        <f>IFERROR(__xludf.DUMMYFUNCTION("IFNA(FILTER(IMPORTRANGE(""https://docs.google.com/spreadsheets/d/1kGrh75X1cNR1D7_FcY9zMnHP8iPO4M5RCRjy6nZY0TY/edit#gid=1248694442"",""Table 2: MMC!V5:V114""), $A14=IMPORTRANGE(""https://docs.google.com/spreadsheets/d/1kGrh75X1cNR1D7_FcY9zMnHP8iPO4M5RCRjy6"&amp;"nZY0TY/edit#gid=1248694442"",""Table 2: MMC!A5:A114"")),"""")"),"")</f>
        <v/>
      </c>
      <c r="AT14" s="4" t="str">
        <f>IFERROR(__xludf.DUMMYFUNCTION("IFNA(FILTER(IMPORTRANGE(""https://docs.google.com/spreadsheets/d/1kGrh75X1cNR1D7_FcY9zMnHP8iPO4M5RCRjy6nZY0TY/edit#gid=1248694442"",""Table 2: MMC!W5:W114""), $A14=IMPORTRANGE(""https://docs.google.com/spreadsheets/d/1kGrh75X1cNR1D7_FcY9zMnHP8iPO4M5RCRjy6"&amp;"nZY0TY/edit#gid=1248694442"",""Table 2: MMC!A5:A114"")),"""")"),"")</f>
        <v/>
      </c>
    </row>
    <row r="15">
      <c r="A15" s="4" t="str">
        <f>IFERROR(__xludf.DUMMYFUNCTION("""COMPUTED_VALUE"""),"ID 23")</f>
        <v>ID 23</v>
      </c>
      <c r="B15" s="20" t="str">
        <f>IFERROR(__xludf.DUMMYFUNCTION("IFNA(FILTER(IMPORTRANGE(""https://docs.google.com/spreadsheets/d/1kGrh75X1cNR1D7_FcY9zMnHP8iPO4M5RCRjy6nZY0TY/edit#gid=1248694442"",""Table 3: 1st-line HC!BK5:BK111""), $A15=IMPORTRANGE(""https://docs.google.com/spreadsheets/d/1kGrh75X1cNR1D7_FcY9zMnHP8iP"&amp;"O4M5RCRjy6nZY0TY/edit#gid=1248694442"",""Table 3: 1st-line HC!A5:A111"")),"""")"),"")</f>
        <v/>
      </c>
      <c r="C15" s="20" t="str">
        <f>IFERROR(__xludf.DUMMYFUNCTION("IFNA(FILTER(IMPORTRANGE(""https://docs.google.com/spreadsheets/d/1kGrh75X1cNR1D7_FcY9zMnHP8iPO4M5RCRjy6nZY0TY/edit#gid=1248694442"",""Subgroup 1: Fr ~ Tx!B3:B20""), $A15=IMPORTRANGE(""https://docs.google.com/spreadsheets/d/1kGrh75X1cNR1D7_FcY9zMnHP8iPO4M5"&amp;"RCRjy6nZY0TY/edit#gid=1248694442"",""Subgroup 1: Fr ~ Tx!A3:A20"")),"""")"),"")</f>
        <v/>
      </c>
      <c r="D15" s="20" t="str">
        <f>IFERROR(__xludf.DUMMYFUNCTION("IFNA(FILTER(IMPORTRANGE(""https://docs.google.com/spreadsheets/d/1kGrh75X1cNR1D7_FcY9zMnHP8iPO4M5RCRjy6nZY0TY/edit#gid=1248694442"",""Subgroup 1: Fr ~ Tx!C3:C20""), $A15=IMPORTRANGE(""https://docs.google.com/spreadsheets/d/1kGrh75X1cNR1D7_FcY9zMnHP8iPO4M5"&amp;"RCRjy6nZY0TY/edit#gid=1248694442"",""Subgroup 1: Fr ~ Tx!A3:A20"")),"""")"),"")</f>
        <v/>
      </c>
      <c r="E15" s="20" t="str">
        <f>IFERROR(__xludf.DUMMYFUNCTION("IFNA(FILTER(IMPORTRANGE(""https://docs.google.com/spreadsheets/d/1kGrh75X1cNR1D7_FcY9zMnHP8iPO4M5RCRjy6nZY0TY/edit#gid=1248694442"",""Subgroup 1: Fr ~ Tx!D3:D20""), $A15=IMPORTRANGE(""https://docs.google.com/spreadsheets/d/1kGrh75X1cNR1D7_FcY9zMnHP8iPO4M5"&amp;"RCRjy6nZY0TY/edit#gid=1248694442"",""Subgroup 1: Fr ~ Tx!A3:A20"")),"""")"),"")</f>
        <v/>
      </c>
      <c r="F15" s="20" t="str">
        <f>IFERROR(__xludf.DUMMYFUNCTION("IFNA(FILTER(IMPORTRANGE(""https://docs.google.com/spreadsheets/d/1kGrh75X1cNR1D7_FcY9zMnHP8iPO4M5RCRjy6nZY0TY/edit#gid=1248694442"",""Subgroup 1: Fr ~ Tx!E3:E20""), $A15=IMPORTRANGE(""https://docs.google.com/spreadsheets/d/1kGrh75X1cNR1D7_FcY9zMnHP8iPO4M5"&amp;"RCRjy6nZY0TY/edit#gid=1248694442"",""Subgroup 1: Fr ~ Tx!A3:A20"")),"""")"),"")</f>
        <v/>
      </c>
      <c r="G15" s="20" t="str">
        <f>IFERROR(__xludf.DUMMYFUNCTION("IFNA(FILTER(IMPORTRANGE(""https://docs.google.com/spreadsheets/d/1kGrh75X1cNR1D7_FcY9zMnHP8iPO4M5RCRjy6nZY0TY/edit#gid=1248694442"",""Subgroup 1: Fr ~ Tx!F3:F20""), $A15=IMPORTRANGE(""https://docs.google.com/spreadsheets/d/1kGrh75X1cNR1D7_FcY9zMnHP8iPO4M5"&amp;"RCRjy6nZY0TY/edit#gid=1248694442"",""Subgroup 1: Fr ~ Tx!A3:A20"")),"""")"),"")</f>
        <v/>
      </c>
      <c r="H15" s="20" t="str">
        <f>IFERROR(__xludf.DUMMYFUNCTION("IFNA(FILTER(IMPORTRANGE(""https://docs.google.com/spreadsheets/d/1kGrh75X1cNR1D7_FcY9zMnHP8iPO4M5RCRjy6nZY0TY/edit#gid=1248694442"",""Table 3: 1st-line HC!BD5:BD111""), $A15=IMPORTRANGE(""https://docs.google.com/spreadsheets/d/1kGrh75X1cNR1D7_FcY9zMnHP8iP"&amp;"O4M5RCRjy6nZY0TY/edit#gid=1248694442"",""Table 3: 1st-line HC!A5:A111"")),"""")"),"")</f>
        <v/>
      </c>
      <c r="I15" s="20" t="str">
        <f>IFERROR(__xludf.DUMMYFUNCTION("IFNA(FILTER(IMPORTRANGE(""https://docs.google.com/spreadsheets/d/1kGrh75X1cNR1D7_FcY9zMnHP8iPO4M5RCRjy6nZY0TY/edit#gid=1248694442"",""Subgroup 5: Tf ~ Tx!B3:B8""), $A15=IMPORTRANGE(""https://docs.google.com/spreadsheets/d/1kGrh75X1cNR1D7_FcY9zMnHP8iPO4M5R"&amp;"CRjy6nZY0TY/edit#gid=1248694442"",""Subgroup 5: Tf ~ Tx!A3:A8"")),"""")"),"")</f>
        <v/>
      </c>
      <c r="J15" s="20" t="str">
        <f>IFERROR(__xludf.DUMMYFUNCTION("IFNA(FILTER(IMPORTRANGE(""https://docs.google.com/spreadsheets/d/1kGrh75X1cNR1D7_FcY9zMnHP8iPO4M5RCRjy6nZY0TY/edit#gid=1248694442"",""Subgroup 5: Tf ~ Tx!C3:C8""), $A15=IMPORTRANGE(""https://docs.google.com/spreadsheets/d/1kGrh75X1cNR1D7_FcY9zMnHP8iPO4M5R"&amp;"CRjy6nZY0TY/edit#gid=1248694442"",""Subgroup 5: Tf ~ Tx!A3:A8"")),"""")"),"")</f>
        <v/>
      </c>
      <c r="K15" s="20" t="str">
        <f>IFERROR(__xludf.DUMMYFUNCTION("IFNA(FILTER(IMPORTRANGE(""https://docs.google.com/spreadsheets/d/1kGrh75X1cNR1D7_FcY9zMnHP8iPO4M5RCRjy6nZY0TY/edit#gid=1248694442"",""Subgroup 5: Tf ~ Tx!D3:D8""), $A15=IMPORTRANGE(""https://docs.google.com/spreadsheets/d/1kGrh75X1cNR1D7_FcY9zMnHP8iPO4M5R"&amp;"CRjy6nZY0TY/edit#gid=1248694442"",""Subgroup 5: Tf ~ Tx!A3:A8"")),"""")"),"")</f>
        <v/>
      </c>
      <c r="L15" s="20" t="str">
        <f>IFERROR(__xludf.DUMMYFUNCTION("IFNA(FILTER(IMPORTRANGE(""https://docs.google.com/spreadsheets/d/1kGrh75X1cNR1D7_FcY9zMnHP8iPO4M5RCRjy6nZY0TY/edit#gid=1248694442"",""Subgroup 5: Tf ~ Tx!E3:E8""), $A15=IMPORTRANGE(""https://docs.google.com/spreadsheets/d/1kGrh75X1cNR1D7_FcY9zMnHP8iPO4M5R"&amp;"CRjy6nZY0TY/edit#gid=1248694442"",""Subgroup 5: Tf ~ Tx!A3:A8"")),"""")"),"")</f>
        <v/>
      </c>
      <c r="M15" s="20" t="str">
        <f>IFERROR(__xludf.DUMMYFUNCTION("IFNA(FILTER(IMPORTRANGE(""https://docs.google.com/spreadsheets/d/1kGrh75X1cNR1D7_FcY9zMnHP8iPO4M5RCRjy6nZY0TY/edit#gid=1248694442"",""Subgroup 5: Tf ~ Tx!F3:F8""), $A15=IMPORTRANGE(""https://docs.google.com/spreadsheets/d/1kGrh75X1cNR1D7_FcY9zMnHP8iPO4M5R"&amp;"CRjy6nZY0TY/edit#gid=1248694442"",""Subgroup 5: Tf ~ Tx!A3:A8"")),"""")"),"")</f>
        <v/>
      </c>
      <c r="N15" s="20" t="str">
        <f>IFERROR(__xludf.DUMMYFUNCTION("IFNA(FILTER(IMPORTRANGE(""https://docs.google.com/spreadsheets/d/1kGrh75X1cNR1D7_FcY9zMnHP8iPO4M5RCRjy6nZY0TY/edit#gid=1248694442"",""Table 3: 1st-line HC!BE5:BE111""), $A15=IMPORTRANGE(""https://docs.google.com/spreadsheets/d/1kGrh75X1cNR1D7_FcY9zMnHP8iP"&amp;"O4M5RCRjy6nZY0TY/edit#gid=1248694442"",""Table 3: 1st-line HC!A5:A111"")),"""")"),"")</f>
        <v/>
      </c>
      <c r="O15" s="20" t="str">
        <f>IFERROR(__xludf.DUMMYFUNCTION("IFNA(FILTER(IMPORTRANGE(""https://docs.google.com/spreadsheets/d/1kGrh75X1cNR1D7_FcY9zMnHP8iPO4M5RCRjy6nZY0TY/edit#gid=1248694442"",""Table 3: 1st-line HC!BF5:BF111""), $A15=IMPORTRANGE(""https://docs.google.com/spreadsheets/d/1kGrh75X1cNR1D7_FcY9zMnHP8iP"&amp;"O4M5RCRjy6nZY0TY/edit#gid=1248694442"",""Table 3: 1st-line HC!A5:A111"")),"""")"),"")</f>
        <v/>
      </c>
      <c r="P15" s="20" t="str">
        <f>IFERROR(__xludf.DUMMYFUNCTION("IFNA(FILTER(IMPORTRANGE(""https://docs.google.com/spreadsheets/d/1kGrh75X1cNR1D7_FcY9zMnHP8iPO4M5RCRjy6nZY0TY/edit#gid=1248694442"",""Table 3: 1st-line HC!BG5:BG111""), $A15=IMPORTRANGE(""https://docs.google.com/spreadsheets/d/1kGrh75X1cNR1D7_FcY9zMnHP8iP"&amp;"O4M5RCRjy6nZY0TY/edit#gid=1248694442"",""Table 3: 1st-line HC!A5:A111"")),"""")"),"")</f>
        <v/>
      </c>
      <c r="Q15" s="21" t="str">
        <f>IFERROR(__xludf.DUMMYFUNCTION("IFNA(FILTER(IMPORTRANGE(""https://docs.google.com/spreadsheets/d/1kGrh75X1cNR1D7_FcY9zMnHP8iPO4M5RCRjy6nZY0TY/edit#gid=1248694442"",""Table 3: 1st-line HC!BH5:BH111""), $A15=IMPORTRANGE(""https://docs.google.com/spreadsheets/d/1kGrh75X1cNR1D7_FcY9zMnHP8iP"&amp;"O4M5RCRjy6nZY0TY/edit#gid=1248694442"",""Table 3: 1st-line HC!A5:A111"")),"""")"),"")</f>
        <v/>
      </c>
      <c r="R15" s="19" t="str">
        <f>IFERROR(__xludf.DUMMYFUNCTION("IFNA(FILTER(IMPORTRANGE(""https://docs.google.com/spreadsheets/d/1kGrh75X1cNR1D7_FcY9zMnHP8iPO4M5RCRjy6nZY0TY/edit#gid=1248694442"",""Table 3: 1st-line HC!AJ5:AJ111""), $A15=IMPORTRANGE(""https://docs.google.com/spreadsheets/d/1kGrh75X1cNR1D7_FcY9zMnHP8iP"&amp;"O4M5RCRjy6nZY0TY/edit#gid=1248694442"",""Table 3: 1st-line HC!A5:A111"")),"""")"),"")</f>
        <v/>
      </c>
      <c r="S15" s="20" t="str">
        <f>IFERROR(__xludf.DUMMYFUNCTION("IFNA(FILTER(IMPORTRANGE(""https://docs.google.com/spreadsheets/d/1kGrh75X1cNR1D7_FcY9zMnHP8iPO4M5RCRjy6nZY0TY/edit#gid=1248694442"",""Subgroup 3: Mi ~ Tx!B3:B17""), $A15=IMPORTRANGE(""https://docs.google.com/spreadsheets/d/1kGrh75X1cNR1D7_FcY9zMnHP8iPO4M5"&amp;"RCRjy6nZY0TY/edit#gid=1248694442"",""Subgroup 3: Mi ~ Tx!A3:A17"")),"""")"),"")</f>
        <v/>
      </c>
      <c r="T15" s="20" t="str">
        <f>IFERROR(__xludf.DUMMYFUNCTION("IFNA(FILTER(IMPORTRANGE(""https://docs.google.com/spreadsheets/d/1kGrh75X1cNR1D7_FcY9zMnHP8iPO4M5RCRjy6nZY0TY/edit#gid=1248694442"",""Subgroup 3: Mi ~ Tx!C3:C17""), $A15=IMPORTRANGE(""https://docs.google.com/spreadsheets/d/1kGrh75X1cNR1D7_FcY9zMnHP8iPO4M5"&amp;"RCRjy6nZY0TY/edit#gid=1248694442"",""Subgroup 3: Mi ~ Tx!A3:A17"")),"""")"),"")</f>
        <v/>
      </c>
      <c r="U15" s="20" t="str">
        <f>IFERROR(__xludf.DUMMYFUNCTION("IFNA(FILTER(IMPORTRANGE(""https://docs.google.com/spreadsheets/d/1kGrh75X1cNR1D7_FcY9zMnHP8iPO4M5RCRjy6nZY0TY/edit#gid=1248694442"",""Subgroup 3: Mi ~ Tx!D3:D17""), $A15=IMPORTRANGE(""https://docs.google.com/spreadsheets/d/1kGrh75X1cNR1D7_FcY9zMnHP8iPO4M5"&amp;"RCRjy6nZY0TY/edit#gid=1248694442"",""Subgroup 3: Mi ~ Tx!A3:A17"")),"""")"),"")</f>
        <v/>
      </c>
      <c r="V15" s="20" t="str">
        <f>IFERROR(__xludf.DUMMYFUNCTION("IFNA(FILTER(IMPORTRANGE(""https://docs.google.com/spreadsheets/d/1kGrh75X1cNR1D7_FcY9zMnHP8iPO4M5RCRjy6nZY0TY/edit#gid=1248694442"",""Subgroup 3: Mi ~ Tx!E3:E17""), $A15=IMPORTRANGE(""https://docs.google.com/spreadsheets/d/1kGrh75X1cNR1D7_FcY9zMnHP8iPO4M5"&amp;"RCRjy6nZY0TY/edit#gid=1248694442"",""Subgroup 3: Mi ~ Tx!A3:A17"")),"""")"),"")</f>
        <v/>
      </c>
      <c r="W15" s="20" t="str">
        <f>IFERROR(__xludf.DUMMYFUNCTION("IFNA(FILTER(IMPORTRANGE(""https://docs.google.com/spreadsheets/d/1kGrh75X1cNR1D7_FcY9zMnHP8iPO4M5RCRjy6nZY0TY/edit#gid=1248694442"",""Subgroup 3: Mi ~ Tx!F3:F17""), $A15=IMPORTRANGE(""https://docs.google.com/spreadsheets/d/1kGrh75X1cNR1D7_FcY9zMnHP8iPO4M5"&amp;"RCRjy6nZY0TY/edit#gid=1248694442"",""Subgroup 3: Mi ~ Tx!A3:A17"")),"""")"),"")</f>
        <v/>
      </c>
      <c r="X15" s="19" t="str">
        <f>IFERROR(__xludf.DUMMYFUNCTION("IFNA(FILTER(IMPORTRANGE(""https://docs.google.com/spreadsheets/d/1kGrh75X1cNR1D7_FcY9zMnHP8iPO4M5RCRjy6nZY0TY/edit#gid=1248694442"",""Table 3: 1st-line HC!AK5:AK111""), $A15=IMPORTRANGE(""https://docs.google.com/spreadsheets/d/1kGrh75X1cNR1D7_FcY9zMnHP8iP"&amp;"O4M5RCRjy6nZY0TY/edit#gid=1248694442"",""Table 3: 1st-line HC!A5:A111"")),"""")"),"")</f>
        <v/>
      </c>
      <c r="Y15" s="20" t="str">
        <f>IFERROR(__xludf.DUMMYFUNCTION("IFNA(FILTER(IMPORTRANGE(""https://docs.google.com/spreadsheets/d/1kGrh75X1cNR1D7_FcY9zMnHP8iPO4M5RCRjy6nZY0TY/edit#gid=1248694442"",""Subgroup 4: Mp ~ Tx!B3:B20""), $A15=IMPORTRANGE(""https://docs.google.com/spreadsheets/d/1kGrh75X1cNR1D7_FcY9zMnHP8iPO4M5"&amp;"RCRjy6nZY0TY/edit#gid=1248694442"",""Subgroup 4: Mp ~ Tx!A3:A20"")),"""")"),"")</f>
        <v/>
      </c>
      <c r="Z15" s="20" t="str">
        <f>IFERROR(__xludf.DUMMYFUNCTION("IFNA(FILTER(IMPORTRANGE(""https://docs.google.com/spreadsheets/d/1kGrh75X1cNR1D7_FcY9zMnHP8iPO4M5RCRjy6nZY0TY/edit#gid=1248694442"",""Subgroup 4: Mp ~ Tx!C3:C20""), $A15=IMPORTRANGE(""https://docs.google.com/spreadsheets/d/1kGrh75X1cNR1D7_FcY9zMnHP8iPO4M5"&amp;"RCRjy6nZY0TY/edit#gid=1248694442"",""Subgroup 4: Mp ~ Tx!A3:A20"")),"""")"),"")</f>
        <v/>
      </c>
      <c r="AA15" s="20" t="str">
        <f>IFERROR(__xludf.DUMMYFUNCTION("IFNA(FILTER(IMPORTRANGE(""https://docs.google.com/spreadsheets/d/1kGrh75X1cNR1D7_FcY9zMnHP8iPO4M5RCRjy6nZY0TY/edit#gid=1248694442"",""Subgroup 4: Mp ~ Tx!D3:D20""), $A15=IMPORTRANGE(""https://docs.google.com/spreadsheets/d/1kGrh75X1cNR1D7_FcY9zMnHP8iPO4M5"&amp;"RCRjy6nZY0TY/edit#gid=1248694442"",""Subgroup 4: Mp ~ Tx!A3:A20"")),"""")"),"")</f>
        <v/>
      </c>
      <c r="AB15" s="20" t="str">
        <f>IFERROR(__xludf.DUMMYFUNCTION("IFNA(FILTER(IMPORTRANGE(""https://docs.google.com/spreadsheets/d/1kGrh75X1cNR1D7_FcY9zMnHP8iPO4M5RCRjy6nZY0TY/edit#gid=1248694442"",""Subgroup 4: Mp ~ Tx!E3:E20""), $A15=IMPORTRANGE(""https://docs.google.com/spreadsheets/d/1kGrh75X1cNR1D7_FcY9zMnHP8iPO4M5"&amp;"RCRjy6nZY0TY/edit#gid=1248694442"",""Subgroup 4: Mp ~ Tx!A3:A20"")),"""")"),"")</f>
        <v/>
      </c>
      <c r="AC15" s="20" t="str">
        <f>IFERROR(__xludf.DUMMYFUNCTION("IFNA(FILTER(IMPORTRANGE(""https://docs.google.com/spreadsheets/d/1kGrh75X1cNR1D7_FcY9zMnHP8iPO4M5RCRjy6nZY0TY/edit#gid=1248694442"",""Subgroup 4: Mp ~ Tx!F3:F20""), $A15=IMPORTRANGE(""https://docs.google.com/spreadsheets/d/1kGrh75X1cNR1D7_FcY9zMnHP8iPO4M5"&amp;"RCRjy6nZY0TY/edit#gid=1248694442"",""Subgroup 4: Mp ~ Tx!A3:A20"")),"""")"),"")</f>
        <v/>
      </c>
      <c r="AD15" s="22" t="str">
        <f>IFERROR(__xludf.DUMMYFUNCTION("IFNA(FILTER(IMPORTRANGE(""https://docs.google.com/spreadsheets/d/1kGrh75X1cNR1D7_FcY9zMnHP8iPO4M5RCRjy6nZY0TY/edit#gid=1248694442"",""Table 3: 1st-line HC!AL5:AL111""), $A15=IMPORTRANGE(""https://docs.google.com/spreadsheets/d/1kGrh75X1cNR1D7_FcY9zMnHP8iP"&amp;"O4M5RCRjy6nZY0TY/edit#gid=1248694442"",""Table 3: 1st-line HC!A5:A111"")),"""")"),"")</f>
        <v/>
      </c>
      <c r="AE15" s="20" t="str">
        <f>IFERROR(__xludf.DUMMYFUNCTION("IFNA(FILTER(IMPORTRANGE(""https://docs.google.com/spreadsheets/d/1kGrh75X1cNR1D7_FcY9zMnHP8iPO4M5RCRjy6nZY0TY/edit#gid=1248694442"",""Table 3: 1st-line HC!BJ5:BJ111""), $A15=IMPORTRANGE(""https://docs.google.com/spreadsheets/d/1kGrh75X1cNR1D7_FcY9zMnHP8iP"&amp;"O4M5RCRjy6nZY0TY/edit#gid=1248694442"",""Table 3: 1st-line HC!A5:A111"")),"""")"),"")</f>
        <v/>
      </c>
      <c r="AF15" s="20" t="str">
        <f>IFERROR(__xludf.DUMMYFUNCTION("IFNA(FILTER(IMPORTRANGE(""https://docs.google.com/spreadsheets/d/1kGrh75X1cNR1D7_FcY9zMnHP8iPO4M5RCRjy6nZY0TY/edit#gid=1248694442"",""Subgroup 2: Cr ~ Tx!B3:B23""), $A15=IMPORTRANGE(""https://docs.google.com/spreadsheets/d/1kGrh75X1cNR1D7_FcY9zMnHP8iPO4M5"&amp;"RCRjy6nZY0TY/edit#gid=1248694442"",""Subgroup 2: Cr ~ Tx!A3:A23"")),"""")"),"")</f>
        <v/>
      </c>
      <c r="AG15" s="20" t="str">
        <f>IFERROR(__xludf.DUMMYFUNCTION("IFNA(FILTER(IMPORTRANGE(""https://docs.google.com/spreadsheets/d/1kGrh75X1cNR1D7_FcY9zMnHP8iPO4M5RCRjy6nZY0TY/edit#gid=1248694442"",""Subgroup 2: Cr ~ Tx!C3:C23""), $A15=IMPORTRANGE(""https://docs.google.com/spreadsheets/d/1kGrh75X1cNR1D7_FcY9zMnHP8iPO4M5"&amp;"RCRjy6nZY0TY/edit#gid=1248694442"",""Subgroup 2: Cr ~ Tx!A3:A23"")),"""")"),"")</f>
        <v/>
      </c>
      <c r="AH15" s="20" t="str">
        <f>IFERROR(__xludf.DUMMYFUNCTION("IFNA(FILTER(IMPORTRANGE(""https://docs.google.com/spreadsheets/d/1kGrh75X1cNR1D7_FcY9zMnHP8iPO4M5RCRjy6nZY0TY/edit#gid=1248694442"",""Subgroup 2: Cr ~ Tx!D3:D23""), $A15=IMPORTRANGE(""https://docs.google.com/spreadsheets/d/1kGrh75X1cNR1D7_FcY9zMnHP8iPO4M5"&amp;"RCRjy6nZY0TY/edit#gid=1248694442"",""Subgroup 2: Cr ~ Tx!A3:A23"")),"""")"),"")</f>
        <v/>
      </c>
      <c r="AI15" s="20" t="str">
        <f>IFERROR(__xludf.DUMMYFUNCTION("IFNA(FILTER(IMPORTRANGE(""https://docs.google.com/spreadsheets/d/1kGrh75X1cNR1D7_FcY9zMnHP8iPO4M5RCRjy6nZY0TY/edit#gid=1248694442"",""Subgroup 2: Cr ~ Tx!E3:E23""), $A15=IMPORTRANGE(""https://docs.google.com/spreadsheets/d/1kGrh75X1cNR1D7_FcY9zMnHP8iPO4M5"&amp;"RCRjy6nZY0TY/edit#gid=1248694442"",""Subgroup 2: Cr ~ Tx!A3:A23"")),"""")"),"")</f>
        <v/>
      </c>
      <c r="AJ15" s="20" t="str">
        <f>IFERROR(__xludf.DUMMYFUNCTION("IFNA(FILTER(IMPORTRANGE(""https://docs.google.com/spreadsheets/d/1kGrh75X1cNR1D7_FcY9zMnHP8iPO4M5RCRjy6nZY0TY/edit#gid=1248694442"",""Subgroup 2: Cr ~ Tx!F3:F23""), $A15=IMPORTRANGE(""https://docs.google.com/spreadsheets/d/1kGrh75X1cNR1D7_FcY9zMnHP8iPO4M5"&amp;"RCRjy6nZY0TY/edit#gid=1248694442"",""Subgroup 2: Cr ~ Tx!A3:A23"")),"""")"),"")</f>
        <v/>
      </c>
      <c r="AK15" s="14" t="str">
        <f>IFERROR(__xludf.DUMMYFUNCTION("IFNA(FILTER(IMPORTRANGE(""https://docs.google.com/spreadsheets/d/1kGrh75X1cNR1D7_FcY9zMnHP8iPO4M5RCRjy6nZY0TY/edit#gid=1248694442"",""Table 4: 2nd-line HC or more!M5:M85""), $A15=IMPORTRANGE(""https://docs.google.com/spreadsheets/d/1kGrh75X1cNR1D7_FcY9zMn"&amp;"HP8iPO4M5RCRjy6nZY0TY/edit#gid=1248694442"",""Table 4: 2nd-line HC or more!A5:A85"")),"""")"),"")</f>
        <v/>
      </c>
      <c r="AL15" s="14" t="str">
        <f>IFERROR(__xludf.DUMMYFUNCTION("IFNA(FILTER(IMPORTRANGE(""https://docs.google.com/spreadsheets/d/1kGrh75X1cNR1D7_FcY9zMnHP8iPO4M5RCRjy6nZY0TY/edit#gid=1248694442"",""Table 4: 2nd-line HC or more!N5:N85""), $A15=IMPORTRANGE(""https://docs.google.com/spreadsheets/d/1kGrh75X1cNR1D7_FcY9zMn"&amp;"HP8iPO4M5RCRjy6nZY0TY/edit#gid=1248694442"",""Table 4: 2nd-line HC or more!A5:A85"")),"""")"),"")</f>
        <v/>
      </c>
      <c r="AM15" s="14" t="str">
        <f>IFERROR(__xludf.DUMMYFUNCTION("IFNA(FILTER(IMPORTRANGE(""https://docs.google.com/spreadsheets/d/1kGrh75X1cNR1D7_FcY9zMnHP8iPO4M5RCRjy6nZY0TY/edit#gid=1248694442"",""Table 4: 2nd-line HC or more!O5:O85""), $A15=IMPORTRANGE(""https://docs.google.com/spreadsheets/d/1kGrh75X1cNR1D7_FcY9zMn"&amp;"HP8iPO4M5RCRjy6nZY0TY/edit#gid=1248694442"",""Table 4: 2nd-line HC or more!A5:A85"")),"""")"),"")</f>
        <v/>
      </c>
      <c r="AN15" s="14" t="str">
        <f>IFERROR(__xludf.DUMMYFUNCTION("IFNA(FILTER(IMPORTRANGE(""https://docs.google.com/spreadsheets/d/1kGrh75X1cNR1D7_FcY9zMnHP8iPO4M5RCRjy6nZY0TY/edit#gid=1248694442"",""Table 3: 1st-line HC!AP5:AP111""), $A15=IMPORTRANGE(""https://docs.google.com/spreadsheets/d/1kGrh75X1cNR1D7_FcY9zMnHP8iP"&amp;"O4M5RCRjy6nZY0TY/edit#gid=1248694442"",""Table 3: 1st-line HC!A5:A111"")),"""")"),"")</f>
        <v/>
      </c>
      <c r="AO15" s="14" t="str">
        <f>IFERROR(__xludf.DUMMYFUNCTION("IFNA(FILTER(IMPORTRANGE(""https://docs.google.com/spreadsheets/d/1kGrh75X1cNR1D7_FcY9zMnHP8iPO4M5RCRjy6nZY0TY/edit#gid=1248694442"",""Table 3: 1st-line HC!AO5:AO111""), $A15=IMPORTRANGE(""https://docs.google.com/spreadsheets/d/1kGrh75X1cNR1D7_FcY9zMnHP8iP"&amp;"O4M5RCRjy6nZY0TY/edit#gid=1248694442"",""Table 3: 1st-line HC!A5:A111"")),"""")"),"")</f>
        <v/>
      </c>
      <c r="AP15" s="14" t="str">
        <f>IFERROR(__xludf.DUMMYFUNCTION("IFNA(FILTER(IMPORTRANGE(""https://docs.google.com/spreadsheets/d/1kGrh75X1cNR1D7_FcY9zMnHP8iPO4M5RCRjy6nZY0TY/edit#gid=1248694442"",""Table 3: 1st-line HC!AQ5:AQ111""), $A15=IMPORTRANGE(""https://docs.google.com/spreadsheets/d/1kGrh75X1cNR1D7_FcY9zMnHP8iP"&amp;"O4M5RCRjy6nZY0TY/edit#gid=1248694442"",""Table 3: 1st-line HC!A5:A111"")),"""")"),"")</f>
        <v/>
      </c>
      <c r="AQ15" s="14" t="str">
        <f>IFERROR(__xludf.DUMMYFUNCTION("IFNA(FILTER(IMPORTRANGE(""https://docs.google.com/spreadsheets/d/1kGrh75X1cNR1D7_FcY9zMnHP8iPO4M5RCRjy6nZY0TY/edit#gid=1248694442"",""Table 2: MMC!T5:T114""), $A15=IMPORTRANGE(""https://docs.google.com/spreadsheets/d/1kGrh75X1cNR1D7_FcY9zMnHP8iPO4M5RCRjy6"&amp;"nZY0TY/edit#gid=1248694442"",""Table 2: MMC!A5:A114"")),"""")"),"")</f>
        <v/>
      </c>
      <c r="AR15" s="14" t="str">
        <f>IFERROR(__xludf.DUMMYFUNCTION("IFNA(FILTER(IMPORTRANGE(""https://docs.google.com/spreadsheets/d/1kGrh75X1cNR1D7_FcY9zMnHP8iPO4M5RCRjy6nZY0TY/edit#gid=1248694442"",""Table 2: MMC!U5:U114""), $A15=IMPORTRANGE(""https://docs.google.com/spreadsheets/d/1kGrh75X1cNR1D7_FcY9zMnHP8iPO4M5RCRjy6"&amp;"nZY0TY/edit#gid=1248694442"",""Table 2: MMC!A5:A114"")),"""")"),"")</f>
        <v/>
      </c>
      <c r="AS15" s="14" t="str">
        <f>IFERROR(__xludf.DUMMYFUNCTION("IFNA(FILTER(IMPORTRANGE(""https://docs.google.com/spreadsheets/d/1kGrh75X1cNR1D7_FcY9zMnHP8iPO4M5RCRjy6nZY0TY/edit#gid=1248694442"",""Table 2: MMC!V5:V114""), $A15=IMPORTRANGE(""https://docs.google.com/spreadsheets/d/1kGrh75X1cNR1D7_FcY9zMnHP8iPO4M5RCRjy6"&amp;"nZY0TY/edit#gid=1248694442"",""Table 2: MMC!A5:A114"")),"""")"),"")</f>
        <v/>
      </c>
      <c r="AT15" s="4" t="str">
        <f>IFERROR(__xludf.DUMMYFUNCTION("IFNA(FILTER(IMPORTRANGE(""https://docs.google.com/spreadsheets/d/1kGrh75X1cNR1D7_FcY9zMnHP8iPO4M5RCRjy6nZY0TY/edit#gid=1248694442"",""Table 2: MMC!W5:W114""), $A15=IMPORTRANGE(""https://docs.google.com/spreadsheets/d/1kGrh75X1cNR1D7_FcY9zMnHP8iPO4M5RCRjy6"&amp;"nZY0TY/edit#gid=1248694442"",""Table 2: MMC!A5:A114"")),"""")"),"leakage,infection(paper dint specify)=3")</f>
        <v>leakage,infection(paper dint specify)=3</v>
      </c>
    </row>
    <row r="16">
      <c r="A16" s="4" t="str">
        <f>IFERROR(__xludf.DUMMYFUNCTION("""COMPUTED_VALUE"""),"ID 24")</f>
        <v>ID 24</v>
      </c>
      <c r="B16" s="20" t="str">
        <f>IFERROR(__xludf.DUMMYFUNCTION("IFNA(FILTER(IMPORTRANGE(""https://docs.google.com/spreadsheets/d/1kGrh75X1cNR1D7_FcY9zMnHP8iPO4M5RCRjy6nZY0TY/edit#gid=1248694442"",""Table 3: 1st-line HC!BK5:BK111""), $A16=IMPORTRANGE(""https://docs.google.com/spreadsheets/d/1kGrh75X1cNR1D7_FcY9zMnHP8iP"&amp;"O4M5RCRjy6nZY0TY/edit#gid=1248694442"",""Table 3: 1st-line HC!A5:A111"")),"""")"),"")</f>
        <v/>
      </c>
      <c r="C16" s="20" t="str">
        <f>IFERROR(__xludf.DUMMYFUNCTION("IFNA(FILTER(IMPORTRANGE(""https://docs.google.com/spreadsheets/d/1kGrh75X1cNR1D7_FcY9zMnHP8iPO4M5RCRjy6nZY0TY/edit#gid=1248694442"",""Subgroup 1: Fr ~ Tx!B3:B20""), $A16=IMPORTRANGE(""https://docs.google.com/spreadsheets/d/1kGrh75X1cNR1D7_FcY9zMnHP8iPO4M5"&amp;"RCRjy6nZY0TY/edit#gid=1248694442"",""Subgroup 1: Fr ~ Tx!A3:A20"")),"""")"),"")</f>
        <v/>
      </c>
      <c r="D16" s="20" t="str">
        <f>IFERROR(__xludf.DUMMYFUNCTION("IFNA(FILTER(IMPORTRANGE(""https://docs.google.com/spreadsheets/d/1kGrh75X1cNR1D7_FcY9zMnHP8iPO4M5RCRjy6nZY0TY/edit#gid=1248694442"",""Subgroup 1: Fr ~ Tx!C3:C20""), $A16=IMPORTRANGE(""https://docs.google.com/spreadsheets/d/1kGrh75X1cNR1D7_FcY9zMnHP8iPO4M5"&amp;"RCRjy6nZY0TY/edit#gid=1248694442"",""Subgroup 1: Fr ~ Tx!A3:A20"")),"""")"),"")</f>
        <v/>
      </c>
      <c r="E16" s="20" t="str">
        <f>IFERROR(__xludf.DUMMYFUNCTION("IFNA(FILTER(IMPORTRANGE(""https://docs.google.com/spreadsheets/d/1kGrh75X1cNR1D7_FcY9zMnHP8iPO4M5RCRjy6nZY0TY/edit#gid=1248694442"",""Subgroup 1: Fr ~ Tx!D3:D20""), $A16=IMPORTRANGE(""https://docs.google.com/spreadsheets/d/1kGrh75X1cNR1D7_FcY9zMnHP8iPO4M5"&amp;"RCRjy6nZY0TY/edit#gid=1248694442"",""Subgroup 1: Fr ~ Tx!A3:A20"")),"""")"),"")</f>
        <v/>
      </c>
      <c r="F16" s="20" t="str">
        <f>IFERROR(__xludf.DUMMYFUNCTION("IFNA(FILTER(IMPORTRANGE(""https://docs.google.com/spreadsheets/d/1kGrh75X1cNR1D7_FcY9zMnHP8iPO4M5RCRjy6nZY0TY/edit#gid=1248694442"",""Subgroup 1: Fr ~ Tx!E3:E20""), $A16=IMPORTRANGE(""https://docs.google.com/spreadsheets/d/1kGrh75X1cNR1D7_FcY9zMnHP8iPO4M5"&amp;"RCRjy6nZY0TY/edit#gid=1248694442"",""Subgroup 1: Fr ~ Tx!A3:A20"")),"""")"),"")</f>
        <v/>
      </c>
      <c r="G16" s="20" t="str">
        <f>IFERROR(__xludf.DUMMYFUNCTION("IFNA(FILTER(IMPORTRANGE(""https://docs.google.com/spreadsheets/d/1kGrh75X1cNR1D7_FcY9zMnHP8iPO4M5RCRjy6nZY0TY/edit#gid=1248694442"",""Subgroup 1: Fr ~ Tx!F3:F20""), $A16=IMPORTRANGE(""https://docs.google.com/spreadsheets/d/1kGrh75X1cNR1D7_FcY9zMnHP8iPO4M5"&amp;"RCRjy6nZY0TY/edit#gid=1248694442"",""Subgroup 1: Fr ~ Tx!A3:A20"")),"""")"),"")</f>
        <v/>
      </c>
      <c r="H16" s="20" t="str">
        <f>IFERROR(__xludf.DUMMYFUNCTION("IFNA(FILTER(IMPORTRANGE(""https://docs.google.com/spreadsheets/d/1kGrh75X1cNR1D7_FcY9zMnHP8iPO4M5RCRjy6nZY0TY/edit#gid=1248694442"",""Table 3: 1st-line HC!BD5:BD111""), $A16=IMPORTRANGE(""https://docs.google.com/spreadsheets/d/1kGrh75X1cNR1D7_FcY9zMnHP8iP"&amp;"O4M5RCRjy6nZY0TY/edit#gid=1248694442"",""Table 3: 1st-line HC!A5:A111"")),"""")"),"")</f>
        <v/>
      </c>
      <c r="I16" s="20" t="str">
        <f>IFERROR(__xludf.DUMMYFUNCTION("IFNA(FILTER(IMPORTRANGE(""https://docs.google.com/spreadsheets/d/1kGrh75X1cNR1D7_FcY9zMnHP8iPO4M5RCRjy6nZY0TY/edit#gid=1248694442"",""Subgroup 5: Tf ~ Tx!B3:B8""), $A16=IMPORTRANGE(""https://docs.google.com/spreadsheets/d/1kGrh75X1cNR1D7_FcY9zMnHP8iPO4M5R"&amp;"CRjy6nZY0TY/edit#gid=1248694442"",""Subgroup 5: Tf ~ Tx!A3:A8"")),"""")"),"")</f>
        <v/>
      </c>
      <c r="J16" s="20" t="str">
        <f>IFERROR(__xludf.DUMMYFUNCTION("IFNA(FILTER(IMPORTRANGE(""https://docs.google.com/spreadsheets/d/1kGrh75X1cNR1D7_FcY9zMnHP8iPO4M5RCRjy6nZY0TY/edit#gid=1248694442"",""Subgroup 5: Tf ~ Tx!C3:C8""), $A16=IMPORTRANGE(""https://docs.google.com/spreadsheets/d/1kGrh75X1cNR1D7_FcY9zMnHP8iPO4M5R"&amp;"CRjy6nZY0TY/edit#gid=1248694442"",""Subgroup 5: Tf ~ Tx!A3:A8"")),"""")"),"")</f>
        <v/>
      </c>
      <c r="K16" s="20" t="str">
        <f>IFERROR(__xludf.DUMMYFUNCTION("IFNA(FILTER(IMPORTRANGE(""https://docs.google.com/spreadsheets/d/1kGrh75X1cNR1D7_FcY9zMnHP8iPO4M5RCRjy6nZY0TY/edit#gid=1248694442"",""Subgroup 5: Tf ~ Tx!D3:D8""), $A16=IMPORTRANGE(""https://docs.google.com/spreadsheets/d/1kGrh75X1cNR1D7_FcY9zMnHP8iPO4M5R"&amp;"CRjy6nZY0TY/edit#gid=1248694442"",""Subgroup 5: Tf ~ Tx!A3:A8"")),"""")"),"")</f>
        <v/>
      </c>
      <c r="L16" s="20" t="str">
        <f>IFERROR(__xludf.DUMMYFUNCTION("IFNA(FILTER(IMPORTRANGE(""https://docs.google.com/spreadsheets/d/1kGrh75X1cNR1D7_FcY9zMnHP8iPO4M5RCRjy6nZY0TY/edit#gid=1248694442"",""Subgroup 5: Tf ~ Tx!E3:E8""), $A16=IMPORTRANGE(""https://docs.google.com/spreadsheets/d/1kGrh75X1cNR1D7_FcY9zMnHP8iPO4M5R"&amp;"CRjy6nZY0TY/edit#gid=1248694442"",""Subgroup 5: Tf ~ Tx!A3:A8"")),"""")"),"")</f>
        <v/>
      </c>
      <c r="M16" s="20" t="str">
        <f>IFERROR(__xludf.DUMMYFUNCTION("IFNA(FILTER(IMPORTRANGE(""https://docs.google.com/spreadsheets/d/1kGrh75X1cNR1D7_FcY9zMnHP8iPO4M5RCRjy6nZY0TY/edit#gid=1248694442"",""Subgroup 5: Tf ~ Tx!F3:F8""), $A16=IMPORTRANGE(""https://docs.google.com/spreadsheets/d/1kGrh75X1cNR1D7_FcY9zMnHP8iPO4M5R"&amp;"CRjy6nZY0TY/edit#gid=1248694442"",""Subgroup 5: Tf ~ Tx!A3:A8"")),"""")"),"")</f>
        <v/>
      </c>
      <c r="N16" s="20" t="str">
        <f>IFERROR(__xludf.DUMMYFUNCTION("IFNA(FILTER(IMPORTRANGE(""https://docs.google.com/spreadsheets/d/1kGrh75X1cNR1D7_FcY9zMnHP8iPO4M5RCRjy6nZY0TY/edit#gid=1248694442"",""Table 3: 1st-line HC!BE5:BE111""), $A16=IMPORTRANGE(""https://docs.google.com/spreadsheets/d/1kGrh75X1cNR1D7_FcY9zMnHP8iP"&amp;"O4M5RCRjy6nZY0TY/edit#gid=1248694442"",""Table 3: 1st-line HC!A5:A111"")),"""")"),"")</f>
        <v/>
      </c>
      <c r="O16" s="20" t="str">
        <f>IFERROR(__xludf.DUMMYFUNCTION("IFNA(FILTER(IMPORTRANGE(""https://docs.google.com/spreadsheets/d/1kGrh75X1cNR1D7_FcY9zMnHP8iPO4M5RCRjy6nZY0TY/edit#gid=1248694442"",""Table 3: 1st-line HC!BF5:BF111""), $A16=IMPORTRANGE(""https://docs.google.com/spreadsheets/d/1kGrh75X1cNR1D7_FcY9zMnHP8iP"&amp;"O4M5RCRjy6nZY0TY/edit#gid=1248694442"",""Table 3: 1st-line HC!A5:A111"")),"""")"),"")</f>
        <v/>
      </c>
      <c r="P16" s="20" t="str">
        <f>IFERROR(__xludf.DUMMYFUNCTION("IFNA(FILTER(IMPORTRANGE(""https://docs.google.com/spreadsheets/d/1kGrh75X1cNR1D7_FcY9zMnHP8iPO4M5RCRjy6nZY0TY/edit#gid=1248694442"",""Table 3: 1st-line HC!BG5:BG111""), $A16=IMPORTRANGE(""https://docs.google.com/spreadsheets/d/1kGrh75X1cNR1D7_FcY9zMnHP8iP"&amp;"O4M5RCRjy6nZY0TY/edit#gid=1248694442"",""Table 3: 1st-line HC!A5:A111"")),"""")"),"")</f>
        <v/>
      </c>
      <c r="Q16" s="21" t="str">
        <f>IFERROR(__xludf.DUMMYFUNCTION("IFNA(FILTER(IMPORTRANGE(""https://docs.google.com/spreadsheets/d/1kGrh75X1cNR1D7_FcY9zMnHP8iPO4M5RCRjy6nZY0TY/edit#gid=1248694442"",""Table 3: 1st-line HC!BH5:BH111""), $A16=IMPORTRANGE(""https://docs.google.com/spreadsheets/d/1kGrh75X1cNR1D7_FcY9zMnHP8iP"&amp;"O4M5RCRjy6nZY0TY/edit#gid=1248694442"",""Table 3: 1st-line HC!A5:A111"")),"""")"),"")</f>
        <v/>
      </c>
      <c r="R16" s="19" t="str">
        <f>IFERROR(__xludf.DUMMYFUNCTION("IFNA(FILTER(IMPORTRANGE(""https://docs.google.com/spreadsheets/d/1kGrh75X1cNR1D7_FcY9zMnHP8iPO4M5RCRjy6nZY0TY/edit#gid=1248694442"",""Table 3: 1st-line HC!AJ5:AJ111""), $A16=IMPORTRANGE(""https://docs.google.com/spreadsheets/d/1kGrh75X1cNR1D7_FcY9zMnHP8iP"&amp;"O4M5RCRjy6nZY0TY/edit#gid=1248694442"",""Table 3: 1st-line HC!A5:A111"")),"""")"),"")</f>
        <v/>
      </c>
      <c r="S16" s="20" t="str">
        <f>IFERROR(__xludf.DUMMYFUNCTION("IFNA(FILTER(IMPORTRANGE(""https://docs.google.com/spreadsheets/d/1kGrh75X1cNR1D7_FcY9zMnHP8iPO4M5RCRjy6nZY0TY/edit#gid=1248694442"",""Subgroup 3: Mi ~ Tx!B3:B17""), $A16=IMPORTRANGE(""https://docs.google.com/spreadsheets/d/1kGrh75X1cNR1D7_FcY9zMnHP8iPO4M5"&amp;"RCRjy6nZY0TY/edit#gid=1248694442"",""Subgroup 3: Mi ~ Tx!A3:A17"")),"""")"),"")</f>
        <v/>
      </c>
      <c r="T16" s="20" t="str">
        <f>IFERROR(__xludf.DUMMYFUNCTION("IFNA(FILTER(IMPORTRANGE(""https://docs.google.com/spreadsheets/d/1kGrh75X1cNR1D7_FcY9zMnHP8iPO4M5RCRjy6nZY0TY/edit#gid=1248694442"",""Subgroup 3: Mi ~ Tx!C3:C17""), $A16=IMPORTRANGE(""https://docs.google.com/spreadsheets/d/1kGrh75X1cNR1D7_FcY9zMnHP8iPO4M5"&amp;"RCRjy6nZY0TY/edit#gid=1248694442"",""Subgroup 3: Mi ~ Tx!A3:A17"")),"""")"),"")</f>
        <v/>
      </c>
      <c r="U16" s="20" t="str">
        <f>IFERROR(__xludf.DUMMYFUNCTION("IFNA(FILTER(IMPORTRANGE(""https://docs.google.com/spreadsheets/d/1kGrh75X1cNR1D7_FcY9zMnHP8iPO4M5RCRjy6nZY0TY/edit#gid=1248694442"",""Subgroup 3: Mi ~ Tx!D3:D17""), $A16=IMPORTRANGE(""https://docs.google.com/spreadsheets/d/1kGrh75X1cNR1D7_FcY9zMnHP8iPO4M5"&amp;"RCRjy6nZY0TY/edit#gid=1248694442"",""Subgroup 3: Mi ~ Tx!A3:A17"")),"""")"),"")</f>
        <v/>
      </c>
      <c r="V16" s="20" t="str">
        <f>IFERROR(__xludf.DUMMYFUNCTION("IFNA(FILTER(IMPORTRANGE(""https://docs.google.com/spreadsheets/d/1kGrh75X1cNR1D7_FcY9zMnHP8iPO4M5RCRjy6nZY0TY/edit#gid=1248694442"",""Subgroup 3: Mi ~ Tx!E3:E17""), $A16=IMPORTRANGE(""https://docs.google.com/spreadsheets/d/1kGrh75X1cNR1D7_FcY9zMnHP8iPO4M5"&amp;"RCRjy6nZY0TY/edit#gid=1248694442"",""Subgroup 3: Mi ~ Tx!A3:A17"")),"""")"),"")</f>
        <v/>
      </c>
      <c r="W16" s="20" t="str">
        <f>IFERROR(__xludf.DUMMYFUNCTION("IFNA(FILTER(IMPORTRANGE(""https://docs.google.com/spreadsheets/d/1kGrh75X1cNR1D7_FcY9zMnHP8iPO4M5RCRjy6nZY0TY/edit#gid=1248694442"",""Subgroup 3: Mi ~ Tx!F3:F17""), $A16=IMPORTRANGE(""https://docs.google.com/spreadsheets/d/1kGrh75X1cNR1D7_FcY9zMnHP8iPO4M5"&amp;"RCRjy6nZY0TY/edit#gid=1248694442"",""Subgroup 3: Mi ~ Tx!A3:A17"")),"""")"),"")</f>
        <v/>
      </c>
      <c r="X16" s="19" t="str">
        <f>IFERROR(__xludf.DUMMYFUNCTION("IFNA(FILTER(IMPORTRANGE(""https://docs.google.com/spreadsheets/d/1kGrh75X1cNR1D7_FcY9zMnHP8iPO4M5RCRjy6nZY0TY/edit#gid=1248694442"",""Table 3: 1st-line HC!AK5:AK111""), $A16=IMPORTRANGE(""https://docs.google.com/spreadsheets/d/1kGrh75X1cNR1D7_FcY9zMnHP8iP"&amp;"O4M5RCRjy6nZY0TY/edit#gid=1248694442"",""Table 3: 1st-line HC!A5:A111"")),"""")"),"")</f>
        <v/>
      </c>
      <c r="Y16" s="20" t="str">
        <f>IFERROR(__xludf.DUMMYFUNCTION("IFNA(FILTER(IMPORTRANGE(""https://docs.google.com/spreadsheets/d/1kGrh75X1cNR1D7_FcY9zMnHP8iPO4M5RCRjy6nZY0TY/edit#gid=1248694442"",""Subgroup 4: Mp ~ Tx!B3:B20""), $A16=IMPORTRANGE(""https://docs.google.com/spreadsheets/d/1kGrh75X1cNR1D7_FcY9zMnHP8iPO4M5"&amp;"RCRjy6nZY0TY/edit#gid=1248694442"",""Subgroup 4: Mp ~ Tx!A3:A20"")),"""")"),"")</f>
        <v/>
      </c>
      <c r="Z16" s="20" t="str">
        <f>IFERROR(__xludf.DUMMYFUNCTION("IFNA(FILTER(IMPORTRANGE(""https://docs.google.com/spreadsheets/d/1kGrh75X1cNR1D7_FcY9zMnHP8iPO4M5RCRjy6nZY0TY/edit#gid=1248694442"",""Subgroup 4: Mp ~ Tx!C3:C20""), $A16=IMPORTRANGE(""https://docs.google.com/spreadsheets/d/1kGrh75X1cNR1D7_FcY9zMnHP8iPO4M5"&amp;"RCRjy6nZY0TY/edit#gid=1248694442"",""Subgroup 4: Mp ~ Tx!A3:A20"")),"""")"),"")</f>
        <v/>
      </c>
      <c r="AA16" s="20" t="str">
        <f>IFERROR(__xludf.DUMMYFUNCTION("IFNA(FILTER(IMPORTRANGE(""https://docs.google.com/spreadsheets/d/1kGrh75X1cNR1D7_FcY9zMnHP8iPO4M5RCRjy6nZY0TY/edit#gid=1248694442"",""Subgroup 4: Mp ~ Tx!D3:D20""), $A16=IMPORTRANGE(""https://docs.google.com/spreadsheets/d/1kGrh75X1cNR1D7_FcY9zMnHP8iPO4M5"&amp;"RCRjy6nZY0TY/edit#gid=1248694442"",""Subgroup 4: Mp ~ Tx!A3:A20"")),"""")"),"")</f>
        <v/>
      </c>
      <c r="AB16" s="20" t="str">
        <f>IFERROR(__xludf.DUMMYFUNCTION("IFNA(FILTER(IMPORTRANGE(""https://docs.google.com/spreadsheets/d/1kGrh75X1cNR1D7_FcY9zMnHP8iPO4M5RCRjy6nZY0TY/edit#gid=1248694442"",""Subgroup 4: Mp ~ Tx!E3:E20""), $A16=IMPORTRANGE(""https://docs.google.com/spreadsheets/d/1kGrh75X1cNR1D7_FcY9zMnHP8iPO4M5"&amp;"RCRjy6nZY0TY/edit#gid=1248694442"",""Subgroup 4: Mp ~ Tx!A3:A20"")),"""")"),"")</f>
        <v/>
      </c>
      <c r="AC16" s="20" t="str">
        <f>IFERROR(__xludf.DUMMYFUNCTION("IFNA(FILTER(IMPORTRANGE(""https://docs.google.com/spreadsheets/d/1kGrh75X1cNR1D7_FcY9zMnHP8iPO4M5RCRjy6nZY0TY/edit#gid=1248694442"",""Subgroup 4: Mp ~ Tx!F3:F20""), $A16=IMPORTRANGE(""https://docs.google.com/spreadsheets/d/1kGrh75X1cNR1D7_FcY9zMnHP8iPO4M5"&amp;"RCRjy6nZY0TY/edit#gid=1248694442"",""Subgroup 4: Mp ~ Tx!A3:A20"")),"""")"),"")</f>
        <v/>
      </c>
      <c r="AD16" s="22" t="str">
        <f>IFERROR(__xludf.DUMMYFUNCTION("IFNA(FILTER(IMPORTRANGE(""https://docs.google.com/spreadsheets/d/1kGrh75X1cNR1D7_FcY9zMnHP8iPO4M5RCRjy6nZY0TY/edit#gid=1248694442"",""Table 3: 1st-line HC!AL5:AL111""), $A16=IMPORTRANGE(""https://docs.google.com/spreadsheets/d/1kGrh75X1cNR1D7_FcY9zMnHP8iP"&amp;"O4M5RCRjy6nZY0TY/edit#gid=1248694442"",""Table 3: 1st-line HC!A5:A111"")),"""")"),"")</f>
        <v/>
      </c>
      <c r="AE16" s="20" t="str">
        <f>IFERROR(__xludf.DUMMYFUNCTION("IFNA(FILTER(IMPORTRANGE(""https://docs.google.com/spreadsheets/d/1kGrh75X1cNR1D7_FcY9zMnHP8iPO4M5RCRjy6nZY0TY/edit#gid=1248694442"",""Table 3: 1st-line HC!BJ5:BJ111""), $A16=IMPORTRANGE(""https://docs.google.com/spreadsheets/d/1kGrh75X1cNR1D7_FcY9zMnHP8iP"&amp;"O4M5RCRjy6nZY0TY/edit#gid=1248694442"",""Table 3: 1st-line HC!A5:A111"")),"""")"),"")</f>
        <v/>
      </c>
      <c r="AF16" s="20" t="str">
        <f>IFERROR(__xludf.DUMMYFUNCTION("IFNA(FILTER(IMPORTRANGE(""https://docs.google.com/spreadsheets/d/1kGrh75X1cNR1D7_FcY9zMnHP8iPO4M5RCRjy6nZY0TY/edit#gid=1248694442"",""Subgroup 2: Cr ~ Tx!B3:B23""), $A16=IMPORTRANGE(""https://docs.google.com/spreadsheets/d/1kGrh75X1cNR1D7_FcY9zMnHP8iPO4M5"&amp;"RCRjy6nZY0TY/edit#gid=1248694442"",""Subgroup 2: Cr ~ Tx!A3:A23"")),"""")"),"")</f>
        <v/>
      </c>
      <c r="AG16" s="20" t="str">
        <f>IFERROR(__xludf.DUMMYFUNCTION("IFNA(FILTER(IMPORTRANGE(""https://docs.google.com/spreadsheets/d/1kGrh75X1cNR1D7_FcY9zMnHP8iPO4M5RCRjy6nZY0TY/edit#gid=1248694442"",""Subgroup 2: Cr ~ Tx!C3:C23""), $A16=IMPORTRANGE(""https://docs.google.com/spreadsheets/d/1kGrh75X1cNR1D7_FcY9zMnHP8iPO4M5"&amp;"RCRjy6nZY0TY/edit#gid=1248694442"",""Subgroup 2: Cr ~ Tx!A3:A23"")),"""")"),"")</f>
        <v/>
      </c>
      <c r="AH16" s="20" t="str">
        <f>IFERROR(__xludf.DUMMYFUNCTION("IFNA(FILTER(IMPORTRANGE(""https://docs.google.com/spreadsheets/d/1kGrh75X1cNR1D7_FcY9zMnHP8iPO4M5RCRjy6nZY0TY/edit#gid=1248694442"",""Subgroup 2: Cr ~ Tx!D3:D23""), $A16=IMPORTRANGE(""https://docs.google.com/spreadsheets/d/1kGrh75X1cNR1D7_FcY9zMnHP8iPO4M5"&amp;"RCRjy6nZY0TY/edit#gid=1248694442"",""Subgroup 2: Cr ~ Tx!A3:A23"")),"""")"),"")</f>
        <v/>
      </c>
      <c r="AI16" s="20" t="str">
        <f>IFERROR(__xludf.DUMMYFUNCTION("IFNA(FILTER(IMPORTRANGE(""https://docs.google.com/spreadsheets/d/1kGrh75X1cNR1D7_FcY9zMnHP8iPO4M5RCRjy6nZY0TY/edit#gid=1248694442"",""Subgroup 2: Cr ~ Tx!E3:E23""), $A16=IMPORTRANGE(""https://docs.google.com/spreadsheets/d/1kGrh75X1cNR1D7_FcY9zMnHP8iPO4M5"&amp;"RCRjy6nZY0TY/edit#gid=1248694442"",""Subgroup 2: Cr ~ Tx!A3:A23"")),"""")"),"")</f>
        <v/>
      </c>
      <c r="AJ16" s="20" t="str">
        <f>IFERROR(__xludf.DUMMYFUNCTION("IFNA(FILTER(IMPORTRANGE(""https://docs.google.com/spreadsheets/d/1kGrh75X1cNR1D7_FcY9zMnHP8iPO4M5RCRjy6nZY0TY/edit#gid=1248694442"",""Subgroup 2: Cr ~ Tx!F3:F23""), $A16=IMPORTRANGE(""https://docs.google.com/spreadsheets/d/1kGrh75X1cNR1D7_FcY9zMnHP8iPO4M5"&amp;"RCRjy6nZY0TY/edit#gid=1248694442"",""Subgroup 2: Cr ~ Tx!A3:A23"")),"""")"),"")</f>
        <v/>
      </c>
      <c r="AK16" s="14" t="str">
        <f>IFERROR(__xludf.DUMMYFUNCTION("IFNA(FILTER(IMPORTRANGE(""https://docs.google.com/spreadsheets/d/1kGrh75X1cNR1D7_FcY9zMnHP8iPO4M5RCRjy6nZY0TY/edit#gid=1248694442"",""Table 4: 2nd-line HC or more!M5:M85""), $A16=IMPORTRANGE(""https://docs.google.com/spreadsheets/d/1kGrh75X1cNR1D7_FcY9zMn"&amp;"HP8iPO4M5RCRjy6nZY0TY/edit#gid=1248694442"",""Table 4: 2nd-line HC or more!A5:A85"")),"""")"),"")</f>
        <v/>
      </c>
      <c r="AL16" s="14" t="str">
        <f>IFERROR(__xludf.DUMMYFUNCTION("IFNA(FILTER(IMPORTRANGE(""https://docs.google.com/spreadsheets/d/1kGrh75X1cNR1D7_FcY9zMnHP8iPO4M5RCRjy6nZY0TY/edit#gid=1248694442"",""Table 4: 2nd-line HC or more!N5:N85""), $A16=IMPORTRANGE(""https://docs.google.com/spreadsheets/d/1kGrh75X1cNR1D7_FcY9zMn"&amp;"HP8iPO4M5RCRjy6nZY0TY/edit#gid=1248694442"",""Table 4: 2nd-line HC or more!A5:A85"")),"""")"),"")</f>
        <v/>
      </c>
      <c r="AM16" s="14" t="str">
        <f>IFERROR(__xludf.DUMMYFUNCTION("IFNA(FILTER(IMPORTRANGE(""https://docs.google.com/spreadsheets/d/1kGrh75X1cNR1D7_FcY9zMnHP8iPO4M5RCRjy6nZY0TY/edit#gid=1248694442"",""Table 4: 2nd-line HC or more!O5:O85""), $A16=IMPORTRANGE(""https://docs.google.com/spreadsheets/d/1kGrh75X1cNR1D7_FcY9zMn"&amp;"HP8iPO4M5RCRjy6nZY0TY/edit#gid=1248694442"",""Table 4: 2nd-line HC or more!A5:A85"")),"""")"),"")</f>
        <v/>
      </c>
      <c r="AN16" s="14" t="str">
        <f>IFERROR(__xludf.DUMMYFUNCTION("IFNA(FILTER(IMPORTRANGE(""https://docs.google.com/spreadsheets/d/1kGrh75X1cNR1D7_FcY9zMnHP8iPO4M5RCRjy6nZY0TY/edit#gid=1248694442"",""Table 3: 1st-line HC!AP5:AP111""), $A16=IMPORTRANGE(""https://docs.google.com/spreadsheets/d/1kGrh75X1cNR1D7_FcY9zMnHP8iP"&amp;"O4M5RCRjy6nZY0TY/edit#gid=1248694442"",""Table 3: 1st-line HC!A5:A111"")),"""")"),"")</f>
        <v/>
      </c>
      <c r="AO16" s="14" t="str">
        <f>IFERROR(__xludf.DUMMYFUNCTION("IFNA(FILTER(IMPORTRANGE(""https://docs.google.com/spreadsheets/d/1kGrh75X1cNR1D7_FcY9zMnHP8iPO4M5RCRjy6nZY0TY/edit#gid=1248694442"",""Table 3: 1st-line HC!AO5:AO111""), $A16=IMPORTRANGE(""https://docs.google.com/spreadsheets/d/1kGrh75X1cNR1D7_FcY9zMnHP8iP"&amp;"O4M5RCRjy6nZY0TY/edit#gid=1248694442"",""Table 3: 1st-line HC!A5:A111"")),"""")"),"")</f>
        <v/>
      </c>
      <c r="AP16" s="14" t="str">
        <f>IFERROR(__xludf.DUMMYFUNCTION("IFNA(FILTER(IMPORTRANGE(""https://docs.google.com/spreadsheets/d/1kGrh75X1cNR1D7_FcY9zMnHP8iPO4M5RCRjy6nZY0TY/edit#gid=1248694442"",""Table 3: 1st-line HC!AQ5:AQ111""), $A16=IMPORTRANGE(""https://docs.google.com/spreadsheets/d/1kGrh75X1cNR1D7_FcY9zMnHP8iP"&amp;"O4M5RCRjy6nZY0TY/edit#gid=1248694442"",""Table 3: 1st-line HC!A5:A111"")),"""")"),"")</f>
        <v/>
      </c>
      <c r="AQ16" s="14" t="str">
        <f>IFERROR(__xludf.DUMMYFUNCTION("IFNA(FILTER(IMPORTRANGE(""https://docs.google.com/spreadsheets/d/1kGrh75X1cNR1D7_FcY9zMnHP8iPO4M5RCRjy6nZY0TY/edit#gid=1248694442"",""Table 2: MMC!T5:T114""), $A16=IMPORTRANGE(""https://docs.google.com/spreadsheets/d/1kGrh75X1cNR1D7_FcY9zMnHP8iPO4M5RCRjy6"&amp;"nZY0TY/edit#gid=1248694442"",""Table 2: MMC!A5:A114"")),"""")"),"")</f>
        <v/>
      </c>
      <c r="AR16" s="14" t="str">
        <f>IFERROR(__xludf.DUMMYFUNCTION("IFNA(FILTER(IMPORTRANGE(""https://docs.google.com/spreadsheets/d/1kGrh75X1cNR1D7_FcY9zMnHP8iPO4M5RCRjy6nZY0TY/edit#gid=1248694442"",""Table 2: MMC!U5:U114""), $A16=IMPORTRANGE(""https://docs.google.com/spreadsheets/d/1kGrh75X1cNR1D7_FcY9zMnHP8iPO4M5RCRjy6"&amp;"nZY0TY/edit#gid=1248694442"",""Table 2: MMC!A5:A114"")),"""")"),"")</f>
        <v/>
      </c>
      <c r="AS16" s="14" t="str">
        <f>IFERROR(__xludf.DUMMYFUNCTION("IFNA(FILTER(IMPORTRANGE(""https://docs.google.com/spreadsheets/d/1kGrh75X1cNR1D7_FcY9zMnHP8iPO4M5RCRjy6nZY0TY/edit#gid=1248694442"",""Table 2: MMC!V5:V114""), $A16=IMPORTRANGE(""https://docs.google.com/spreadsheets/d/1kGrh75X1cNR1D7_FcY9zMnHP8iPO4M5RCRjy6"&amp;"nZY0TY/edit#gid=1248694442"",""Table 2: MMC!A5:A114"")),"""")"),"")</f>
        <v/>
      </c>
      <c r="AT16" s="4" t="str">
        <f>IFERROR(__xludf.DUMMYFUNCTION("IFNA(FILTER(IMPORTRANGE(""https://docs.google.com/spreadsheets/d/1kGrh75X1cNR1D7_FcY9zMnHP8iPO4M5RCRjy6nZY0TY/edit#gid=1248694442"",""Table 2: MMC!W5:W114""), $A16=IMPORTRANGE(""https://docs.google.com/spreadsheets/d/1kGrh75X1cNR1D7_FcY9zMnHP8iPO4M5RCRjy6"&amp;"nZY0TY/edit#gid=1248694442"",""Table 2: MMC!A5:A114"")),"""")"),"")</f>
        <v/>
      </c>
    </row>
    <row r="17">
      <c r="A17" s="4" t="str">
        <f>IFERROR(__xludf.DUMMYFUNCTION("""COMPUTED_VALUE"""),"ID 27")</f>
        <v>ID 27</v>
      </c>
      <c r="B17" s="20" t="str">
        <f>IFERROR(__xludf.DUMMYFUNCTION("IFNA(FILTER(IMPORTRANGE(""https://docs.google.com/spreadsheets/d/1kGrh75X1cNR1D7_FcY9zMnHP8iPO4M5RCRjy6nZY0TY/edit#gid=1248694442"",""Table 3: 1st-line HC!BK5:BK111""), $A17=IMPORTRANGE(""https://docs.google.com/spreadsheets/d/1kGrh75X1cNR1D7_FcY9zMnHP8iP"&amp;"O4M5RCRjy6nZY0TY/edit#gid=1248694442"",""Table 3: 1st-line HC!A5:A111"")),"""")"),"")</f>
        <v/>
      </c>
      <c r="C17" s="20" t="str">
        <f>IFERROR(__xludf.DUMMYFUNCTION("IFNA(FILTER(IMPORTRANGE(""https://docs.google.com/spreadsheets/d/1kGrh75X1cNR1D7_FcY9zMnHP8iPO4M5RCRjy6nZY0TY/edit#gid=1248694442"",""Subgroup 1: Fr ~ Tx!B3:B20""), $A17=IMPORTRANGE(""https://docs.google.com/spreadsheets/d/1kGrh75X1cNR1D7_FcY9zMnHP8iPO4M5"&amp;"RCRjy6nZY0TY/edit#gid=1248694442"",""Subgroup 1: Fr ~ Tx!A3:A20"")),"""")"),"")</f>
        <v/>
      </c>
      <c r="D17" s="20" t="str">
        <f>IFERROR(__xludf.DUMMYFUNCTION("IFNA(FILTER(IMPORTRANGE(""https://docs.google.com/spreadsheets/d/1kGrh75X1cNR1D7_FcY9zMnHP8iPO4M5RCRjy6nZY0TY/edit#gid=1248694442"",""Subgroup 1: Fr ~ Tx!C3:C20""), $A17=IMPORTRANGE(""https://docs.google.com/spreadsheets/d/1kGrh75X1cNR1D7_FcY9zMnHP8iPO4M5"&amp;"RCRjy6nZY0TY/edit#gid=1248694442"",""Subgroup 1: Fr ~ Tx!A3:A20"")),"""")"),"")</f>
        <v/>
      </c>
      <c r="E17" s="20" t="str">
        <f>IFERROR(__xludf.DUMMYFUNCTION("IFNA(FILTER(IMPORTRANGE(""https://docs.google.com/spreadsheets/d/1kGrh75X1cNR1D7_FcY9zMnHP8iPO4M5RCRjy6nZY0TY/edit#gid=1248694442"",""Subgroup 1: Fr ~ Tx!D3:D20""), $A17=IMPORTRANGE(""https://docs.google.com/spreadsheets/d/1kGrh75X1cNR1D7_FcY9zMnHP8iPO4M5"&amp;"RCRjy6nZY0TY/edit#gid=1248694442"",""Subgroup 1: Fr ~ Tx!A3:A20"")),"""")"),"")</f>
        <v/>
      </c>
      <c r="F17" s="20" t="str">
        <f>IFERROR(__xludf.DUMMYFUNCTION("IFNA(FILTER(IMPORTRANGE(""https://docs.google.com/spreadsheets/d/1kGrh75X1cNR1D7_FcY9zMnHP8iPO4M5RCRjy6nZY0TY/edit#gid=1248694442"",""Subgroup 1: Fr ~ Tx!E3:E20""), $A17=IMPORTRANGE(""https://docs.google.com/spreadsheets/d/1kGrh75X1cNR1D7_FcY9zMnHP8iPO4M5"&amp;"RCRjy6nZY0TY/edit#gid=1248694442"",""Subgroup 1: Fr ~ Tx!A3:A20"")),"""")"),"")</f>
        <v/>
      </c>
      <c r="G17" s="20" t="str">
        <f>IFERROR(__xludf.DUMMYFUNCTION("IFNA(FILTER(IMPORTRANGE(""https://docs.google.com/spreadsheets/d/1kGrh75X1cNR1D7_FcY9zMnHP8iPO4M5RCRjy6nZY0TY/edit#gid=1248694442"",""Subgroup 1: Fr ~ Tx!F3:F20""), $A17=IMPORTRANGE(""https://docs.google.com/spreadsheets/d/1kGrh75X1cNR1D7_FcY9zMnHP8iPO4M5"&amp;"RCRjy6nZY0TY/edit#gid=1248694442"",""Subgroup 1: Fr ~ Tx!A3:A20"")),"""")"),"")</f>
        <v/>
      </c>
      <c r="H17" s="20" t="str">
        <f>IFERROR(__xludf.DUMMYFUNCTION("IFNA(FILTER(IMPORTRANGE(""https://docs.google.com/spreadsheets/d/1kGrh75X1cNR1D7_FcY9zMnHP8iPO4M5RCRjy6nZY0TY/edit#gid=1248694442"",""Table 3: 1st-line HC!BD5:BD111""), $A17=IMPORTRANGE(""https://docs.google.com/spreadsheets/d/1kGrh75X1cNR1D7_FcY9zMnHP8iP"&amp;"O4M5RCRjy6nZY0TY/edit#gid=1248694442"",""Table 3: 1st-line HC!A5:A111"")),"""")"),"")</f>
        <v/>
      </c>
      <c r="I17" s="20" t="str">
        <f>IFERROR(__xludf.DUMMYFUNCTION("IFNA(FILTER(IMPORTRANGE(""https://docs.google.com/spreadsheets/d/1kGrh75X1cNR1D7_FcY9zMnHP8iPO4M5RCRjy6nZY0TY/edit#gid=1248694442"",""Subgroup 5: Tf ~ Tx!B3:B8""), $A17=IMPORTRANGE(""https://docs.google.com/spreadsheets/d/1kGrh75X1cNR1D7_FcY9zMnHP8iPO4M5R"&amp;"CRjy6nZY0TY/edit#gid=1248694442"",""Subgroup 5: Tf ~ Tx!A3:A8"")),"""")"),"")</f>
        <v/>
      </c>
      <c r="J17" s="20" t="str">
        <f>IFERROR(__xludf.DUMMYFUNCTION("IFNA(FILTER(IMPORTRANGE(""https://docs.google.com/spreadsheets/d/1kGrh75X1cNR1D7_FcY9zMnHP8iPO4M5RCRjy6nZY0TY/edit#gid=1248694442"",""Subgroup 5: Tf ~ Tx!C3:C8""), $A17=IMPORTRANGE(""https://docs.google.com/spreadsheets/d/1kGrh75X1cNR1D7_FcY9zMnHP8iPO4M5R"&amp;"CRjy6nZY0TY/edit#gid=1248694442"",""Subgroup 5: Tf ~ Tx!A3:A8"")),"""")"),"")</f>
        <v/>
      </c>
      <c r="K17" s="20" t="str">
        <f>IFERROR(__xludf.DUMMYFUNCTION("IFNA(FILTER(IMPORTRANGE(""https://docs.google.com/spreadsheets/d/1kGrh75X1cNR1D7_FcY9zMnHP8iPO4M5RCRjy6nZY0TY/edit#gid=1248694442"",""Subgroup 5: Tf ~ Tx!D3:D8""), $A17=IMPORTRANGE(""https://docs.google.com/spreadsheets/d/1kGrh75X1cNR1D7_FcY9zMnHP8iPO4M5R"&amp;"CRjy6nZY0TY/edit#gid=1248694442"",""Subgroup 5: Tf ~ Tx!A3:A8"")),"""")"),"")</f>
        <v/>
      </c>
      <c r="L17" s="20" t="str">
        <f>IFERROR(__xludf.DUMMYFUNCTION("IFNA(FILTER(IMPORTRANGE(""https://docs.google.com/spreadsheets/d/1kGrh75X1cNR1D7_FcY9zMnHP8iPO4M5RCRjy6nZY0TY/edit#gid=1248694442"",""Subgroup 5: Tf ~ Tx!E3:E8""), $A17=IMPORTRANGE(""https://docs.google.com/spreadsheets/d/1kGrh75X1cNR1D7_FcY9zMnHP8iPO4M5R"&amp;"CRjy6nZY0TY/edit#gid=1248694442"",""Subgroup 5: Tf ~ Tx!A3:A8"")),"""")"),"")</f>
        <v/>
      </c>
      <c r="M17" s="20" t="str">
        <f>IFERROR(__xludf.DUMMYFUNCTION("IFNA(FILTER(IMPORTRANGE(""https://docs.google.com/spreadsheets/d/1kGrh75X1cNR1D7_FcY9zMnHP8iPO4M5RCRjy6nZY0TY/edit#gid=1248694442"",""Subgroup 5: Tf ~ Tx!F3:F8""), $A17=IMPORTRANGE(""https://docs.google.com/spreadsheets/d/1kGrh75X1cNR1D7_FcY9zMnHP8iPO4M5R"&amp;"CRjy6nZY0TY/edit#gid=1248694442"",""Subgroup 5: Tf ~ Tx!A3:A8"")),"""")"),"")</f>
        <v/>
      </c>
      <c r="N17" s="20" t="str">
        <f>IFERROR(__xludf.DUMMYFUNCTION("IFNA(FILTER(IMPORTRANGE(""https://docs.google.com/spreadsheets/d/1kGrh75X1cNR1D7_FcY9zMnHP8iPO4M5RCRjy6nZY0TY/edit#gid=1248694442"",""Table 3: 1st-line HC!BE5:BE111""), $A17=IMPORTRANGE(""https://docs.google.com/spreadsheets/d/1kGrh75X1cNR1D7_FcY9zMnHP8iP"&amp;"O4M5RCRjy6nZY0TY/edit#gid=1248694442"",""Table 3: 1st-line HC!A5:A111"")),"""")"),"")</f>
        <v/>
      </c>
      <c r="O17" s="20" t="str">
        <f>IFERROR(__xludf.DUMMYFUNCTION("IFNA(FILTER(IMPORTRANGE(""https://docs.google.com/spreadsheets/d/1kGrh75X1cNR1D7_FcY9zMnHP8iPO4M5RCRjy6nZY0TY/edit#gid=1248694442"",""Table 3: 1st-line HC!BF5:BF111""), $A17=IMPORTRANGE(""https://docs.google.com/spreadsheets/d/1kGrh75X1cNR1D7_FcY9zMnHP8iP"&amp;"O4M5RCRjy6nZY0TY/edit#gid=1248694442"",""Table 3: 1st-line HC!A5:A111"")),"""")"),"")</f>
        <v/>
      </c>
      <c r="P17" s="20" t="str">
        <f>IFERROR(__xludf.DUMMYFUNCTION("IFNA(FILTER(IMPORTRANGE(""https://docs.google.com/spreadsheets/d/1kGrh75X1cNR1D7_FcY9zMnHP8iPO4M5RCRjy6nZY0TY/edit#gid=1248694442"",""Table 3: 1st-line HC!BG5:BG111""), $A17=IMPORTRANGE(""https://docs.google.com/spreadsheets/d/1kGrh75X1cNR1D7_FcY9zMnHP8iP"&amp;"O4M5RCRjy6nZY0TY/edit#gid=1248694442"",""Table 3: 1st-line HC!A5:A111"")),"""")"),"")</f>
        <v/>
      </c>
      <c r="Q17" s="21" t="str">
        <f>IFERROR(__xludf.DUMMYFUNCTION("IFNA(FILTER(IMPORTRANGE(""https://docs.google.com/spreadsheets/d/1kGrh75X1cNR1D7_FcY9zMnHP8iPO4M5RCRjy6nZY0TY/edit#gid=1248694442"",""Table 3: 1st-line HC!BH5:BH111""), $A17=IMPORTRANGE(""https://docs.google.com/spreadsheets/d/1kGrh75X1cNR1D7_FcY9zMnHP8iP"&amp;"O4M5RCRjy6nZY0TY/edit#gid=1248694442"",""Table 3: 1st-line HC!A5:A111"")),"""")"),"")</f>
        <v/>
      </c>
      <c r="R17" s="19" t="str">
        <f>IFERROR(__xludf.DUMMYFUNCTION("IFNA(FILTER(IMPORTRANGE(""https://docs.google.com/spreadsheets/d/1kGrh75X1cNR1D7_FcY9zMnHP8iPO4M5RCRjy6nZY0TY/edit#gid=1248694442"",""Table 3: 1st-line HC!AJ5:AJ111""), $A17=IMPORTRANGE(""https://docs.google.com/spreadsheets/d/1kGrh75X1cNR1D7_FcY9zMnHP8iP"&amp;"O4M5RCRjy6nZY0TY/edit#gid=1248694442"",""Table 3: 1st-line HC!A5:A111"")),"""")"),"")</f>
        <v/>
      </c>
      <c r="S17" s="20" t="str">
        <f>IFERROR(__xludf.DUMMYFUNCTION("IFNA(FILTER(IMPORTRANGE(""https://docs.google.com/spreadsheets/d/1kGrh75X1cNR1D7_FcY9zMnHP8iPO4M5RCRjy6nZY0TY/edit#gid=1248694442"",""Subgroup 3: Mi ~ Tx!B3:B17""), $A17=IMPORTRANGE(""https://docs.google.com/spreadsheets/d/1kGrh75X1cNR1D7_FcY9zMnHP8iPO4M5"&amp;"RCRjy6nZY0TY/edit#gid=1248694442"",""Subgroup 3: Mi ~ Tx!A3:A17"")),"""")"),"")</f>
        <v/>
      </c>
      <c r="T17" s="20" t="str">
        <f>IFERROR(__xludf.DUMMYFUNCTION("IFNA(FILTER(IMPORTRANGE(""https://docs.google.com/spreadsheets/d/1kGrh75X1cNR1D7_FcY9zMnHP8iPO4M5RCRjy6nZY0TY/edit#gid=1248694442"",""Subgroup 3: Mi ~ Tx!C3:C17""), $A17=IMPORTRANGE(""https://docs.google.com/spreadsheets/d/1kGrh75X1cNR1D7_FcY9zMnHP8iPO4M5"&amp;"RCRjy6nZY0TY/edit#gid=1248694442"",""Subgroup 3: Mi ~ Tx!A3:A17"")),"""")"),"")</f>
        <v/>
      </c>
      <c r="U17" s="20" t="str">
        <f>IFERROR(__xludf.DUMMYFUNCTION("IFNA(FILTER(IMPORTRANGE(""https://docs.google.com/spreadsheets/d/1kGrh75X1cNR1D7_FcY9zMnHP8iPO4M5RCRjy6nZY0TY/edit#gid=1248694442"",""Subgroup 3: Mi ~ Tx!D3:D17""), $A17=IMPORTRANGE(""https://docs.google.com/spreadsheets/d/1kGrh75X1cNR1D7_FcY9zMnHP8iPO4M5"&amp;"RCRjy6nZY0TY/edit#gid=1248694442"",""Subgroup 3: Mi ~ Tx!A3:A17"")),"""")"),"")</f>
        <v/>
      </c>
      <c r="V17" s="20" t="str">
        <f>IFERROR(__xludf.DUMMYFUNCTION("IFNA(FILTER(IMPORTRANGE(""https://docs.google.com/spreadsheets/d/1kGrh75X1cNR1D7_FcY9zMnHP8iPO4M5RCRjy6nZY0TY/edit#gid=1248694442"",""Subgroup 3: Mi ~ Tx!E3:E17""), $A17=IMPORTRANGE(""https://docs.google.com/spreadsheets/d/1kGrh75X1cNR1D7_FcY9zMnHP8iPO4M5"&amp;"RCRjy6nZY0TY/edit#gid=1248694442"",""Subgroup 3: Mi ~ Tx!A3:A17"")),"""")"),"")</f>
        <v/>
      </c>
      <c r="W17" s="20" t="str">
        <f>IFERROR(__xludf.DUMMYFUNCTION("IFNA(FILTER(IMPORTRANGE(""https://docs.google.com/spreadsheets/d/1kGrh75X1cNR1D7_FcY9zMnHP8iPO4M5RCRjy6nZY0TY/edit#gid=1248694442"",""Subgroup 3: Mi ~ Tx!F3:F17""), $A17=IMPORTRANGE(""https://docs.google.com/spreadsheets/d/1kGrh75X1cNR1D7_FcY9zMnHP8iPO4M5"&amp;"RCRjy6nZY0TY/edit#gid=1248694442"",""Subgroup 3: Mi ~ Tx!A3:A17"")),"""")"),"")</f>
        <v/>
      </c>
      <c r="X17" s="19">
        <f>IFERROR(__xludf.DUMMYFUNCTION("IFNA(FILTER(IMPORTRANGE(""https://docs.google.com/spreadsheets/d/1kGrh75X1cNR1D7_FcY9zMnHP8iPO4M5RCRjy6nZY0TY/edit#gid=1248694442"",""Table 3: 1st-line HC!AK5:AK111""), $A17=IMPORTRANGE(""https://docs.google.com/spreadsheets/d/1kGrh75X1cNR1D7_FcY9zMnHP8iP"&amp;"O4M5RCRjy6nZY0TY/edit#gid=1248694442"",""Table 3: 1st-line HC!A5:A111"")),"""")"),1.0)</f>
        <v>1</v>
      </c>
      <c r="Y17" s="20" t="str">
        <f>IFERROR(__xludf.DUMMYFUNCTION("IFNA(FILTER(IMPORTRANGE(""https://docs.google.com/spreadsheets/d/1kGrh75X1cNR1D7_FcY9zMnHP8iPO4M5RCRjy6nZY0TY/edit#gid=1248694442"",""Subgroup 4: Mp ~ Tx!B3:B20""), $A17=IMPORTRANGE(""https://docs.google.com/spreadsheets/d/1kGrh75X1cNR1D7_FcY9zMnHP8iPO4M5"&amp;"RCRjy6nZY0TY/edit#gid=1248694442"",""Subgroup 4: Mp ~ Tx!A3:A20"")),"""")"),"")</f>
        <v/>
      </c>
      <c r="Z17" s="20" t="str">
        <f>IFERROR(__xludf.DUMMYFUNCTION("IFNA(FILTER(IMPORTRANGE(""https://docs.google.com/spreadsheets/d/1kGrh75X1cNR1D7_FcY9zMnHP8iPO4M5RCRjy6nZY0TY/edit#gid=1248694442"",""Subgroup 4: Mp ~ Tx!C3:C20""), $A17=IMPORTRANGE(""https://docs.google.com/spreadsheets/d/1kGrh75X1cNR1D7_FcY9zMnHP8iPO4M5"&amp;"RCRjy6nZY0TY/edit#gid=1248694442"",""Subgroup 4: Mp ~ Tx!A3:A20"")),"""")"),"")</f>
        <v/>
      </c>
      <c r="AA17" s="20" t="str">
        <f>IFERROR(__xludf.DUMMYFUNCTION("IFNA(FILTER(IMPORTRANGE(""https://docs.google.com/spreadsheets/d/1kGrh75X1cNR1D7_FcY9zMnHP8iPO4M5RCRjy6nZY0TY/edit#gid=1248694442"",""Subgroup 4: Mp ~ Tx!D3:D20""), $A17=IMPORTRANGE(""https://docs.google.com/spreadsheets/d/1kGrh75X1cNR1D7_FcY9zMnHP8iPO4M5"&amp;"RCRjy6nZY0TY/edit#gid=1248694442"",""Subgroup 4: Mp ~ Tx!A3:A20"")),"""")"),"")</f>
        <v/>
      </c>
      <c r="AB17" s="20">
        <f>IFERROR(__xludf.DUMMYFUNCTION("IFNA(FILTER(IMPORTRANGE(""https://docs.google.com/spreadsheets/d/1kGrh75X1cNR1D7_FcY9zMnHP8iPO4M5RCRjy6nZY0TY/edit#gid=1248694442"",""Subgroup 4: Mp ~ Tx!E3:E20""), $A17=IMPORTRANGE(""https://docs.google.com/spreadsheets/d/1kGrh75X1cNR1D7_FcY9zMnHP8iPO4M5"&amp;"RCRjy6nZY0TY/edit#gid=1248694442"",""Subgroup 4: Mp ~ Tx!A3:A20"")),"""")"),0.008695652173913044)</f>
        <v>0.008695652174</v>
      </c>
      <c r="AC17" s="20" t="str">
        <f>IFERROR(__xludf.DUMMYFUNCTION("IFNA(FILTER(IMPORTRANGE(""https://docs.google.com/spreadsheets/d/1kGrh75X1cNR1D7_FcY9zMnHP8iPO4M5RCRjy6nZY0TY/edit#gid=1248694442"",""Subgroup 4: Mp ~ Tx!F3:F20""), $A17=IMPORTRANGE(""https://docs.google.com/spreadsheets/d/1kGrh75X1cNR1D7_FcY9zMnHP8iPO4M5"&amp;"RCRjy6nZY0TY/edit#gid=1248694442"",""Subgroup 4: Mp ~ Tx!A3:A20"")),"""")"),"")</f>
        <v/>
      </c>
      <c r="AD17" s="22" t="str">
        <f>IFERROR(__xludf.DUMMYFUNCTION("IFNA(FILTER(IMPORTRANGE(""https://docs.google.com/spreadsheets/d/1kGrh75X1cNR1D7_FcY9zMnHP8iPO4M5RCRjy6nZY0TY/edit#gid=1248694442"",""Table 3: 1st-line HC!AL5:AL111""), $A17=IMPORTRANGE(""https://docs.google.com/spreadsheets/d/1kGrh75X1cNR1D7_FcY9zMnHP8iP"&amp;"O4M5RCRjy6nZY0TY/edit#gid=1248694442"",""Table 3: 1st-line HC!A5:A111"")),"""")"),"")</f>
        <v/>
      </c>
      <c r="AE17" s="20" t="str">
        <f>IFERROR(__xludf.DUMMYFUNCTION("IFNA(FILTER(IMPORTRANGE(""https://docs.google.com/spreadsheets/d/1kGrh75X1cNR1D7_FcY9zMnHP8iPO4M5RCRjy6nZY0TY/edit#gid=1248694442"",""Table 3: 1st-line HC!BJ5:BJ111""), $A17=IMPORTRANGE(""https://docs.google.com/spreadsheets/d/1kGrh75X1cNR1D7_FcY9zMnHP8iP"&amp;"O4M5RCRjy6nZY0TY/edit#gid=1248694442"",""Table 3: 1st-line HC!A5:A111"")),"""")"),"")</f>
        <v/>
      </c>
      <c r="AF17" s="20" t="str">
        <f>IFERROR(__xludf.DUMMYFUNCTION("IFNA(FILTER(IMPORTRANGE(""https://docs.google.com/spreadsheets/d/1kGrh75X1cNR1D7_FcY9zMnHP8iPO4M5RCRjy6nZY0TY/edit#gid=1248694442"",""Subgroup 2: Cr ~ Tx!B3:B23""), $A17=IMPORTRANGE(""https://docs.google.com/spreadsheets/d/1kGrh75X1cNR1D7_FcY9zMnHP8iPO4M5"&amp;"RCRjy6nZY0TY/edit#gid=1248694442"",""Subgroup 2: Cr ~ Tx!A3:A23"")),"""")"),"")</f>
        <v/>
      </c>
      <c r="AG17" s="20" t="str">
        <f>IFERROR(__xludf.DUMMYFUNCTION("IFNA(FILTER(IMPORTRANGE(""https://docs.google.com/spreadsheets/d/1kGrh75X1cNR1D7_FcY9zMnHP8iPO4M5RCRjy6nZY0TY/edit#gid=1248694442"",""Subgroup 2: Cr ~ Tx!C3:C23""), $A17=IMPORTRANGE(""https://docs.google.com/spreadsheets/d/1kGrh75X1cNR1D7_FcY9zMnHP8iPO4M5"&amp;"RCRjy6nZY0TY/edit#gid=1248694442"",""Subgroup 2: Cr ~ Tx!A3:A23"")),"""")"),"")</f>
        <v/>
      </c>
      <c r="AH17" s="20" t="str">
        <f>IFERROR(__xludf.DUMMYFUNCTION("IFNA(FILTER(IMPORTRANGE(""https://docs.google.com/spreadsheets/d/1kGrh75X1cNR1D7_FcY9zMnHP8iPO4M5RCRjy6nZY0TY/edit#gid=1248694442"",""Subgroup 2: Cr ~ Tx!D3:D23""), $A17=IMPORTRANGE(""https://docs.google.com/spreadsheets/d/1kGrh75X1cNR1D7_FcY9zMnHP8iPO4M5"&amp;"RCRjy6nZY0TY/edit#gid=1248694442"",""Subgroup 2: Cr ~ Tx!A3:A23"")),"""")"),"")</f>
        <v/>
      </c>
      <c r="AI17" s="20" t="str">
        <f>IFERROR(__xludf.DUMMYFUNCTION("IFNA(FILTER(IMPORTRANGE(""https://docs.google.com/spreadsheets/d/1kGrh75X1cNR1D7_FcY9zMnHP8iPO4M5RCRjy6nZY0TY/edit#gid=1248694442"",""Subgroup 2: Cr ~ Tx!E3:E23""), $A17=IMPORTRANGE(""https://docs.google.com/spreadsheets/d/1kGrh75X1cNR1D7_FcY9zMnHP8iPO4M5"&amp;"RCRjy6nZY0TY/edit#gid=1248694442"",""Subgroup 2: Cr ~ Tx!A3:A23"")),"""")"),"")</f>
        <v/>
      </c>
      <c r="AJ17" s="20" t="str">
        <f>IFERROR(__xludf.DUMMYFUNCTION("IFNA(FILTER(IMPORTRANGE(""https://docs.google.com/spreadsheets/d/1kGrh75X1cNR1D7_FcY9zMnHP8iPO4M5RCRjy6nZY0TY/edit#gid=1248694442"",""Subgroup 2: Cr ~ Tx!F3:F23""), $A17=IMPORTRANGE(""https://docs.google.com/spreadsheets/d/1kGrh75X1cNR1D7_FcY9zMnHP8iPO4M5"&amp;"RCRjy6nZY0TY/edit#gid=1248694442"",""Subgroup 2: Cr ~ Tx!A3:A23"")),"""")"),"")</f>
        <v/>
      </c>
      <c r="AK17" s="14" t="str">
        <f>IFERROR(__xludf.DUMMYFUNCTION("IFNA(FILTER(IMPORTRANGE(""https://docs.google.com/spreadsheets/d/1kGrh75X1cNR1D7_FcY9zMnHP8iPO4M5RCRjy6nZY0TY/edit#gid=1248694442"",""Table 4: 2nd-line HC or more!M5:M85""), $A17=IMPORTRANGE(""https://docs.google.com/spreadsheets/d/1kGrh75X1cNR1D7_FcY9zMn"&amp;"HP8iPO4M5RCRjy6nZY0TY/edit#gid=1248694442"",""Table 4: 2nd-line HC or more!A5:A85"")),"""")"),"")</f>
        <v/>
      </c>
      <c r="AL17" s="14" t="str">
        <f>IFERROR(__xludf.DUMMYFUNCTION("IFNA(FILTER(IMPORTRANGE(""https://docs.google.com/spreadsheets/d/1kGrh75X1cNR1D7_FcY9zMnHP8iPO4M5RCRjy6nZY0TY/edit#gid=1248694442"",""Table 4: 2nd-line HC or more!N5:N85""), $A17=IMPORTRANGE(""https://docs.google.com/spreadsheets/d/1kGrh75X1cNR1D7_FcY9zMn"&amp;"HP8iPO4M5RCRjy6nZY0TY/edit#gid=1248694442"",""Table 4: 2nd-line HC or more!A5:A85"")),"""")"),"")</f>
        <v/>
      </c>
      <c r="AM17" s="14" t="str">
        <f>IFERROR(__xludf.DUMMYFUNCTION("IFNA(FILTER(IMPORTRANGE(""https://docs.google.com/spreadsheets/d/1kGrh75X1cNR1D7_FcY9zMnHP8iPO4M5RCRjy6nZY0TY/edit#gid=1248694442"",""Table 4: 2nd-line HC or more!O5:O85""), $A17=IMPORTRANGE(""https://docs.google.com/spreadsheets/d/1kGrh75X1cNR1D7_FcY9zMn"&amp;"HP8iPO4M5RCRjy6nZY0TY/edit#gid=1248694442"",""Table 4: 2nd-line HC or more!A5:A85"")),"""")"),"")</f>
        <v/>
      </c>
      <c r="AN17" s="14" t="str">
        <f>IFERROR(__xludf.DUMMYFUNCTION("IFNA(FILTER(IMPORTRANGE(""https://docs.google.com/spreadsheets/d/1kGrh75X1cNR1D7_FcY9zMnHP8iPO4M5RCRjy6nZY0TY/edit#gid=1248694442"",""Table 3: 1st-line HC!AP5:AP111""), $A17=IMPORTRANGE(""https://docs.google.com/spreadsheets/d/1kGrh75X1cNR1D7_FcY9zMnHP8iP"&amp;"O4M5RCRjy6nZY0TY/edit#gid=1248694442"",""Table 3: 1st-line HC!A5:A111"")),"""")"),"")</f>
        <v/>
      </c>
      <c r="AO17" s="14" t="str">
        <f>IFERROR(__xludf.DUMMYFUNCTION("IFNA(FILTER(IMPORTRANGE(""https://docs.google.com/spreadsheets/d/1kGrh75X1cNR1D7_FcY9zMnHP8iPO4M5RCRjy6nZY0TY/edit#gid=1248694442"",""Table 3: 1st-line HC!AO5:AO111""), $A17=IMPORTRANGE(""https://docs.google.com/spreadsheets/d/1kGrh75X1cNR1D7_FcY9zMnHP8iP"&amp;"O4M5RCRjy6nZY0TY/edit#gid=1248694442"",""Table 3: 1st-line HC!A5:A111"")),"""")"),"")</f>
        <v/>
      </c>
      <c r="AP17" s="14" t="str">
        <f>IFERROR(__xludf.DUMMYFUNCTION("IFNA(FILTER(IMPORTRANGE(""https://docs.google.com/spreadsheets/d/1kGrh75X1cNR1D7_FcY9zMnHP8iPO4M5RCRjy6nZY0TY/edit#gid=1248694442"",""Table 3: 1st-line HC!AQ5:AQ111""), $A17=IMPORTRANGE(""https://docs.google.com/spreadsheets/d/1kGrh75X1cNR1D7_FcY9zMnHP8iP"&amp;"O4M5RCRjy6nZY0TY/edit#gid=1248694442"",""Table 3: 1st-line HC!A5:A111"")),"""")"),"")</f>
        <v/>
      </c>
      <c r="AQ17" s="14" t="str">
        <f>IFERROR(__xludf.DUMMYFUNCTION("IFNA(FILTER(IMPORTRANGE(""https://docs.google.com/spreadsheets/d/1kGrh75X1cNR1D7_FcY9zMnHP8iPO4M5RCRjy6nZY0TY/edit#gid=1248694442"",""Table 2: MMC!T5:T114""), $A17=IMPORTRANGE(""https://docs.google.com/spreadsheets/d/1kGrh75X1cNR1D7_FcY9zMnHP8iPO4M5RCRjy6"&amp;"nZY0TY/edit#gid=1248694442"",""Table 2: MMC!A5:A114"")),"""")"),"")</f>
        <v/>
      </c>
      <c r="AR17" s="14" t="str">
        <f>IFERROR(__xludf.DUMMYFUNCTION("IFNA(FILTER(IMPORTRANGE(""https://docs.google.com/spreadsheets/d/1kGrh75X1cNR1D7_FcY9zMnHP8iPO4M5RCRjy6nZY0TY/edit#gid=1248694442"",""Table 2: MMC!U5:U114""), $A17=IMPORTRANGE(""https://docs.google.com/spreadsheets/d/1kGrh75X1cNR1D7_FcY9zMnHP8iPO4M5RCRjy6"&amp;"nZY0TY/edit#gid=1248694442"",""Table 2: MMC!A5:A114"")),"""")"),"")</f>
        <v/>
      </c>
      <c r="AS17" s="14" t="str">
        <f>IFERROR(__xludf.DUMMYFUNCTION("IFNA(FILTER(IMPORTRANGE(""https://docs.google.com/spreadsheets/d/1kGrh75X1cNR1D7_FcY9zMnHP8iPO4M5RCRjy6nZY0TY/edit#gid=1248694442"",""Table 2: MMC!V5:V114""), $A17=IMPORTRANGE(""https://docs.google.com/spreadsheets/d/1kGrh75X1cNR1D7_FcY9zMnHP8iPO4M5RCRjy6"&amp;"nZY0TY/edit#gid=1248694442"",""Table 2: MMC!A5:A114"")),"""")"),"")</f>
        <v/>
      </c>
      <c r="AT17" s="4" t="str">
        <f>IFERROR(__xludf.DUMMYFUNCTION("IFNA(FILTER(IMPORTRANGE(""https://docs.google.com/spreadsheets/d/1kGrh75X1cNR1D7_FcY9zMnHP8iPO4M5RCRjy6nZY0TY/edit#gid=1248694442"",""Table 2: MMC!W5:W114""), $A17=IMPORTRANGE(""https://docs.google.com/spreadsheets/d/1kGrh75X1cNR1D7_FcY9zMnHP8iPO4M5RCRjy6"&amp;"nZY0TY/edit#gid=1248694442"",""Table 2: MMC!A5:A114"")),"""")"),"")</f>
        <v/>
      </c>
    </row>
    <row r="18">
      <c r="A18" s="4" t="str">
        <f>IFERROR(__xludf.DUMMYFUNCTION("""COMPUTED_VALUE"""),"ID 28")</f>
        <v>ID 28</v>
      </c>
      <c r="B18" s="20" t="str">
        <f>IFERROR(__xludf.DUMMYFUNCTION("IFNA(FILTER(IMPORTRANGE(""https://docs.google.com/spreadsheets/d/1kGrh75X1cNR1D7_FcY9zMnHP8iPO4M5RCRjy6nZY0TY/edit#gid=1248694442"",""Table 3: 1st-line HC!BK5:BK111""), $A18=IMPORTRANGE(""https://docs.google.com/spreadsheets/d/1kGrh75X1cNR1D7_FcY9zMnHP8iP"&amp;"O4M5RCRjy6nZY0TY/edit#gid=1248694442"",""Table 3: 1st-line HC!A5:A111"")),"""")"),"")</f>
        <v/>
      </c>
      <c r="C18" s="20" t="str">
        <f>IFERROR(__xludf.DUMMYFUNCTION("IFNA(FILTER(IMPORTRANGE(""https://docs.google.com/spreadsheets/d/1kGrh75X1cNR1D7_FcY9zMnHP8iPO4M5RCRjy6nZY0TY/edit#gid=1248694442"",""Subgroup 1: Fr ~ Tx!B3:B20""), $A18=IMPORTRANGE(""https://docs.google.com/spreadsheets/d/1kGrh75X1cNR1D7_FcY9zMnHP8iPO4M5"&amp;"RCRjy6nZY0TY/edit#gid=1248694442"",""Subgroup 1: Fr ~ Tx!A3:A20"")),"""")"),"")</f>
        <v/>
      </c>
      <c r="D18" s="20" t="str">
        <f>IFERROR(__xludf.DUMMYFUNCTION("IFNA(FILTER(IMPORTRANGE(""https://docs.google.com/spreadsheets/d/1kGrh75X1cNR1D7_FcY9zMnHP8iPO4M5RCRjy6nZY0TY/edit#gid=1248694442"",""Subgroup 1: Fr ~ Tx!C3:C20""), $A18=IMPORTRANGE(""https://docs.google.com/spreadsheets/d/1kGrh75X1cNR1D7_FcY9zMnHP8iPO4M5"&amp;"RCRjy6nZY0TY/edit#gid=1248694442"",""Subgroup 1: Fr ~ Tx!A3:A20"")),"""")"),"")</f>
        <v/>
      </c>
      <c r="E18" s="20" t="str">
        <f>IFERROR(__xludf.DUMMYFUNCTION("IFNA(FILTER(IMPORTRANGE(""https://docs.google.com/spreadsheets/d/1kGrh75X1cNR1D7_FcY9zMnHP8iPO4M5RCRjy6nZY0TY/edit#gid=1248694442"",""Subgroup 1: Fr ~ Tx!D3:D20""), $A18=IMPORTRANGE(""https://docs.google.com/spreadsheets/d/1kGrh75X1cNR1D7_FcY9zMnHP8iPO4M5"&amp;"RCRjy6nZY0TY/edit#gid=1248694442"",""Subgroup 1: Fr ~ Tx!A3:A20"")),"""")"),"")</f>
        <v/>
      </c>
      <c r="F18" s="20" t="str">
        <f>IFERROR(__xludf.DUMMYFUNCTION("IFNA(FILTER(IMPORTRANGE(""https://docs.google.com/spreadsheets/d/1kGrh75X1cNR1D7_FcY9zMnHP8iPO4M5RCRjy6nZY0TY/edit#gid=1248694442"",""Subgroup 1: Fr ~ Tx!E3:E20""), $A18=IMPORTRANGE(""https://docs.google.com/spreadsheets/d/1kGrh75X1cNR1D7_FcY9zMnHP8iPO4M5"&amp;"RCRjy6nZY0TY/edit#gid=1248694442"",""Subgroup 1: Fr ~ Tx!A3:A20"")),"""")"),"")</f>
        <v/>
      </c>
      <c r="G18" s="20" t="str">
        <f>IFERROR(__xludf.DUMMYFUNCTION("IFNA(FILTER(IMPORTRANGE(""https://docs.google.com/spreadsheets/d/1kGrh75X1cNR1D7_FcY9zMnHP8iPO4M5RCRjy6nZY0TY/edit#gid=1248694442"",""Subgroup 1: Fr ~ Tx!F3:F20""), $A18=IMPORTRANGE(""https://docs.google.com/spreadsheets/d/1kGrh75X1cNR1D7_FcY9zMnHP8iPO4M5"&amp;"RCRjy6nZY0TY/edit#gid=1248694442"",""Subgroup 1: Fr ~ Tx!A3:A20"")),"""")"),"")</f>
        <v/>
      </c>
      <c r="H18" s="20" t="str">
        <f>IFERROR(__xludf.DUMMYFUNCTION("IFNA(FILTER(IMPORTRANGE(""https://docs.google.com/spreadsheets/d/1kGrh75X1cNR1D7_FcY9zMnHP8iPO4M5RCRjy6nZY0TY/edit#gid=1248694442"",""Table 3: 1st-line HC!BD5:BD111""), $A18=IMPORTRANGE(""https://docs.google.com/spreadsheets/d/1kGrh75X1cNR1D7_FcY9zMnHP8iP"&amp;"O4M5RCRjy6nZY0TY/edit#gid=1248694442"",""Table 3: 1st-line HC!A5:A111"")),"""")"),"")</f>
        <v/>
      </c>
      <c r="I18" s="20" t="str">
        <f>IFERROR(__xludf.DUMMYFUNCTION("IFNA(FILTER(IMPORTRANGE(""https://docs.google.com/spreadsheets/d/1kGrh75X1cNR1D7_FcY9zMnHP8iPO4M5RCRjy6nZY0TY/edit#gid=1248694442"",""Subgroup 5: Tf ~ Tx!B3:B8""), $A18=IMPORTRANGE(""https://docs.google.com/spreadsheets/d/1kGrh75X1cNR1D7_FcY9zMnHP8iPO4M5R"&amp;"CRjy6nZY0TY/edit#gid=1248694442"",""Subgroup 5: Tf ~ Tx!A3:A8"")),"""")"),"")</f>
        <v/>
      </c>
      <c r="J18" s="20" t="str">
        <f>IFERROR(__xludf.DUMMYFUNCTION("IFNA(FILTER(IMPORTRANGE(""https://docs.google.com/spreadsheets/d/1kGrh75X1cNR1D7_FcY9zMnHP8iPO4M5RCRjy6nZY0TY/edit#gid=1248694442"",""Subgroup 5: Tf ~ Tx!C3:C8""), $A18=IMPORTRANGE(""https://docs.google.com/spreadsheets/d/1kGrh75X1cNR1D7_FcY9zMnHP8iPO4M5R"&amp;"CRjy6nZY0TY/edit#gid=1248694442"",""Subgroup 5: Tf ~ Tx!A3:A8"")),"""")"),"")</f>
        <v/>
      </c>
      <c r="K18" s="20" t="str">
        <f>IFERROR(__xludf.DUMMYFUNCTION("IFNA(FILTER(IMPORTRANGE(""https://docs.google.com/spreadsheets/d/1kGrh75X1cNR1D7_FcY9zMnHP8iPO4M5RCRjy6nZY0TY/edit#gid=1248694442"",""Subgroup 5: Tf ~ Tx!D3:D8""), $A18=IMPORTRANGE(""https://docs.google.com/spreadsheets/d/1kGrh75X1cNR1D7_FcY9zMnHP8iPO4M5R"&amp;"CRjy6nZY0TY/edit#gid=1248694442"",""Subgroup 5: Tf ~ Tx!A3:A8"")),"""")"),"")</f>
        <v/>
      </c>
      <c r="L18" s="20" t="str">
        <f>IFERROR(__xludf.DUMMYFUNCTION("IFNA(FILTER(IMPORTRANGE(""https://docs.google.com/spreadsheets/d/1kGrh75X1cNR1D7_FcY9zMnHP8iPO4M5RCRjy6nZY0TY/edit#gid=1248694442"",""Subgroup 5: Tf ~ Tx!E3:E8""), $A18=IMPORTRANGE(""https://docs.google.com/spreadsheets/d/1kGrh75X1cNR1D7_FcY9zMnHP8iPO4M5R"&amp;"CRjy6nZY0TY/edit#gid=1248694442"",""Subgroup 5: Tf ~ Tx!A3:A8"")),"""")"),"")</f>
        <v/>
      </c>
      <c r="M18" s="20" t="str">
        <f>IFERROR(__xludf.DUMMYFUNCTION("IFNA(FILTER(IMPORTRANGE(""https://docs.google.com/spreadsheets/d/1kGrh75X1cNR1D7_FcY9zMnHP8iPO4M5RCRjy6nZY0TY/edit#gid=1248694442"",""Subgroup 5: Tf ~ Tx!F3:F8""), $A18=IMPORTRANGE(""https://docs.google.com/spreadsheets/d/1kGrh75X1cNR1D7_FcY9zMnHP8iPO4M5R"&amp;"CRjy6nZY0TY/edit#gid=1248694442"",""Subgroup 5: Tf ~ Tx!A3:A8"")),"""")"),"")</f>
        <v/>
      </c>
      <c r="N18" s="20" t="str">
        <f>IFERROR(__xludf.DUMMYFUNCTION("IFNA(FILTER(IMPORTRANGE(""https://docs.google.com/spreadsheets/d/1kGrh75X1cNR1D7_FcY9zMnHP8iPO4M5RCRjy6nZY0TY/edit#gid=1248694442"",""Table 3: 1st-line HC!BE5:BE111""), $A18=IMPORTRANGE(""https://docs.google.com/spreadsheets/d/1kGrh75X1cNR1D7_FcY9zMnHP8iP"&amp;"O4M5RCRjy6nZY0TY/edit#gid=1248694442"",""Table 3: 1st-line HC!A5:A111"")),"""")"),"")</f>
        <v/>
      </c>
      <c r="O18" s="20" t="str">
        <f>IFERROR(__xludf.DUMMYFUNCTION("IFNA(FILTER(IMPORTRANGE(""https://docs.google.com/spreadsheets/d/1kGrh75X1cNR1D7_FcY9zMnHP8iPO4M5RCRjy6nZY0TY/edit#gid=1248694442"",""Table 3: 1st-line HC!BF5:BF111""), $A18=IMPORTRANGE(""https://docs.google.com/spreadsheets/d/1kGrh75X1cNR1D7_FcY9zMnHP8iP"&amp;"O4M5RCRjy6nZY0TY/edit#gid=1248694442"",""Table 3: 1st-line HC!A5:A111"")),"""")"),"")</f>
        <v/>
      </c>
      <c r="P18" s="20" t="str">
        <f>IFERROR(__xludf.DUMMYFUNCTION("IFNA(FILTER(IMPORTRANGE(""https://docs.google.com/spreadsheets/d/1kGrh75X1cNR1D7_FcY9zMnHP8iPO4M5RCRjy6nZY0TY/edit#gid=1248694442"",""Table 3: 1st-line HC!BG5:BG111""), $A18=IMPORTRANGE(""https://docs.google.com/spreadsheets/d/1kGrh75X1cNR1D7_FcY9zMnHP8iP"&amp;"O4M5RCRjy6nZY0TY/edit#gid=1248694442"",""Table 3: 1st-line HC!A5:A111"")),"""")"),"")</f>
        <v/>
      </c>
      <c r="Q18" s="21" t="str">
        <f>IFERROR(__xludf.DUMMYFUNCTION("IFNA(FILTER(IMPORTRANGE(""https://docs.google.com/spreadsheets/d/1kGrh75X1cNR1D7_FcY9zMnHP8iPO4M5RCRjy6nZY0TY/edit#gid=1248694442"",""Table 3: 1st-line HC!BH5:BH111""), $A18=IMPORTRANGE(""https://docs.google.com/spreadsheets/d/1kGrh75X1cNR1D7_FcY9zMnHP8iP"&amp;"O4M5RCRjy6nZY0TY/edit#gid=1248694442"",""Table 3: 1st-line HC!A5:A111"")),"""")"),"")</f>
        <v/>
      </c>
      <c r="R18" s="19" t="str">
        <f>IFERROR(__xludf.DUMMYFUNCTION("IFNA(FILTER(IMPORTRANGE(""https://docs.google.com/spreadsheets/d/1kGrh75X1cNR1D7_FcY9zMnHP8iPO4M5RCRjy6nZY0TY/edit#gid=1248694442"",""Table 3: 1st-line HC!AJ5:AJ111""), $A18=IMPORTRANGE(""https://docs.google.com/spreadsheets/d/1kGrh75X1cNR1D7_FcY9zMnHP8iP"&amp;"O4M5RCRjy6nZY0TY/edit#gid=1248694442"",""Table 3: 1st-line HC!A5:A111"")),"""")"),"")</f>
        <v/>
      </c>
      <c r="S18" s="20" t="str">
        <f>IFERROR(__xludf.DUMMYFUNCTION("IFNA(FILTER(IMPORTRANGE(""https://docs.google.com/spreadsheets/d/1kGrh75X1cNR1D7_FcY9zMnHP8iPO4M5RCRjy6nZY0TY/edit#gid=1248694442"",""Subgroup 3: Mi ~ Tx!B3:B17""), $A18=IMPORTRANGE(""https://docs.google.com/spreadsheets/d/1kGrh75X1cNR1D7_FcY9zMnHP8iPO4M5"&amp;"RCRjy6nZY0TY/edit#gid=1248694442"",""Subgroup 3: Mi ~ Tx!A3:A17"")),"""")"),"")</f>
        <v/>
      </c>
      <c r="T18" s="20" t="str">
        <f>IFERROR(__xludf.DUMMYFUNCTION("IFNA(FILTER(IMPORTRANGE(""https://docs.google.com/spreadsheets/d/1kGrh75X1cNR1D7_FcY9zMnHP8iPO4M5RCRjy6nZY0TY/edit#gid=1248694442"",""Subgroup 3: Mi ~ Tx!C3:C17""), $A18=IMPORTRANGE(""https://docs.google.com/spreadsheets/d/1kGrh75X1cNR1D7_FcY9zMnHP8iPO4M5"&amp;"RCRjy6nZY0TY/edit#gid=1248694442"",""Subgroup 3: Mi ~ Tx!A3:A17"")),"""")"),"")</f>
        <v/>
      </c>
      <c r="U18" s="20" t="str">
        <f>IFERROR(__xludf.DUMMYFUNCTION("IFNA(FILTER(IMPORTRANGE(""https://docs.google.com/spreadsheets/d/1kGrh75X1cNR1D7_FcY9zMnHP8iPO4M5RCRjy6nZY0TY/edit#gid=1248694442"",""Subgroup 3: Mi ~ Tx!D3:D17""), $A18=IMPORTRANGE(""https://docs.google.com/spreadsheets/d/1kGrh75X1cNR1D7_FcY9zMnHP8iPO4M5"&amp;"RCRjy6nZY0TY/edit#gid=1248694442"",""Subgroup 3: Mi ~ Tx!A3:A17"")),"""")"),"")</f>
        <v/>
      </c>
      <c r="V18" s="20" t="str">
        <f>IFERROR(__xludf.DUMMYFUNCTION("IFNA(FILTER(IMPORTRANGE(""https://docs.google.com/spreadsheets/d/1kGrh75X1cNR1D7_FcY9zMnHP8iPO4M5RCRjy6nZY0TY/edit#gid=1248694442"",""Subgroup 3: Mi ~ Tx!E3:E17""), $A18=IMPORTRANGE(""https://docs.google.com/spreadsheets/d/1kGrh75X1cNR1D7_FcY9zMnHP8iPO4M5"&amp;"RCRjy6nZY0TY/edit#gid=1248694442"",""Subgroup 3: Mi ~ Tx!A3:A17"")),"""")"),"")</f>
        <v/>
      </c>
      <c r="W18" s="20" t="str">
        <f>IFERROR(__xludf.DUMMYFUNCTION("IFNA(FILTER(IMPORTRANGE(""https://docs.google.com/spreadsheets/d/1kGrh75X1cNR1D7_FcY9zMnHP8iPO4M5RCRjy6nZY0TY/edit#gid=1248694442"",""Subgroup 3: Mi ~ Tx!F3:F17""), $A18=IMPORTRANGE(""https://docs.google.com/spreadsheets/d/1kGrh75X1cNR1D7_FcY9zMnHP8iPO4M5"&amp;"RCRjy6nZY0TY/edit#gid=1248694442"",""Subgroup 3: Mi ~ Tx!A3:A17"")),"""")"),"")</f>
        <v/>
      </c>
      <c r="X18" s="19" t="str">
        <f>IFERROR(__xludf.DUMMYFUNCTION("IFNA(FILTER(IMPORTRANGE(""https://docs.google.com/spreadsheets/d/1kGrh75X1cNR1D7_FcY9zMnHP8iPO4M5RCRjy6nZY0TY/edit#gid=1248694442"",""Table 3: 1st-line HC!AK5:AK111""), $A18=IMPORTRANGE(""https://docs.google.com/spreadsheets/d/1kGrh75X1cNR1D7_FcY9zMnHP8iP"&amp;"O4M5RCRjy6nZY0TY/edit#gid=1248694442"",""Table 3: 1st-line HC!A5:A111"")),"""")"),"")</f>
        <v/>
      </c>
      <c r="Y18" s="20" t="str">
        <f>IFERROR(__xludf.DUMMYFUNCTION("IFNA(FILTER(IMPORTRANGE(""https://docs.google.com/spreadsheets/d/1kGrh75X1cNR1D7_FcY9zMnHP8iPO4M5RCRjy6nZY0TY/edit#gid=1248694442"",""Subgroup 4: Mp ~ Tx!B3:B20""), $A18=IMPORTRANGE(""https://docs.google.com/spreadsheets/d/1kGrh75X1cNR1D7_FcY9zMnHP8iPO4M5"&amp;"RCRjy6nZY0TY/edit#gid=1248694442"",""Subgroup 4: Mp ~ Tx!A3:A20"")),"""")"),"")</f>
        <v/>
      </c>
      <c r="Z18" s="20" t="str">
        <f>IFERROR(__xludf.DUMMYFUNCTION("IFNA(FILTER(IMPORTRANGE(""https://docs.google.com/spreadsheets/d/1kGrh75X1cNR1D7_FcY9zMnHP8iPO4M5RCRjy6nZY0TY/edit#gid=1248694442"",""Subgroup 4: Mp ~ Tx!C3:C20""), $A18=IMPORTRANGE(""https://docs.google.com/spreadsheets/d/1kGrh75X1cNR1D7_FcY9zMnHP8iPO4M5"&amp;"RCRjy6nZY0TY/edit#gid=1248694442"",""Subgroup 4: Mp ~ Tx!A3:A20"")),"""")"),"")</f>
        <v/>
      </c>
      <c r="AA18" s="20" t="str">
        <f>IFERROR(__xludf.DUMMYFUNCTION("IFNA(FILTER(IMPORTRANGE(""https://docs.google.com/spreadsheets/d/1kGrh75X1cNR1D7_FcY9zMnHP8iPO4M5RCRjy6nZY0TY/edit#gid=1248694442"",""Subgroup 4: Mp ~ Tx!D3:D20""), $A18=IMPORTRANGE(""https://docs.google.com/spreadsheets/d/1kGrh75X1cNR1D7_FcY9zMnHP8iPO4M5"&amp;"RCRjy6nZY0TY/edit#gid=1248694442"",""Subgroup 4: Mp ~ Tx!A3:A20"")),"""")"),"")</f>
        <v/>
      </c>
      <c r="AB18" s="20" t="str">
        <f>IFERROR(__xludf.DUMMYFUNCTION("IFNA(FILTER(IMPORTRANGE(""https://docs.google.com/spreadsheets/d/1kGrh75X1cNR1D7_FcY9zMnHP8iPO4M5RCRjy6nZY0TY/edit#gid=1248694442"",""Subgroup 4: Mp ~ Tx!E3:E20""), $A18=IMPORTRANGE(""https://docs.google.com/spreadsheets/d/1kGrh75X1cNR1D7_FcY9zMnHP8iPO4M5"&amp;"RCRjy6nZY0TY/edit#gid=1248694442"",""Subgroup 4: Mp ~ Tx!A3:A20"")),"""")"),"")</f>
        <v/>
      </c>
      <c r="AC18" s="20" t="str">
        <f>IFERROR(__xludf.DUMMYFUNCTION("IFNA(FILTER(IMPORTRANGE(""https://docs.google.com/spreadsheets/d/1kGrh75X1cNR1D7_FcY9zMnHP8iPO4M5RCRjy6nZY0TY/edit#gid=1248694442"",""Subgroup 4: Mp ~ Tx!F3:F20""), $A18=IMPORTRANGE(""https://docs.google.com/spreadsheets/d/1kGrh75X1cNR1D7_FcY9zMnHP8iPO4M5"&amp;"RCRjy6nZY0TY/edit#gid=1248694442"",""Subgroup 4: Mp ~ Tx!A3:A20"")),"""")"),"")</f>
        <v/>
      </c>
      <c r="AD18" s="22" t="str">
        <f>IFERROR(__xludf.DUMMYFUNCTION("IFNA(FILTER(IMPORTRANGE(""https://docs.google.com/spreadsheets/d/1kGrh75X1cNR1D7_FcY9zMnHP8iPO4M5RCRjy6nZY0TY/edit#gid=1248694442"",""Table 3: 1st-line HC!AL5:AL111""), $A18=IMPORTRANGE(""https://docs.google.com/spreadsheets/d/1kGrh75X1cNR1D7_FcY9zMnHP8iP"&amp;"O4M5RCRjy6nZY0TY/edit#gid=1248694442"",""Table 3: 1st-line HC!A5:A111"")),"""")"),"")</f>
        <v/>
      </c>
      <c r="AE18" s="20" t="str">
        <f>IFERROR(__xludf.DUMMYFUNCTION("IFNA(FILTER(IMPORTRANGE(""https://docs.google.com/spreadsheets/d/1kGrh75X1cNR1D7_FcY9zMnHP8iPO4M5RCRjy6nZY0TY/edit#gid=1248694442"",""Table 3: 1st-line HC!BJ5:BJ111""), $A18=IMPORTRANGE(""https://docs.google.com/spreadsheets/d/1kGrh75X1cNR1D7_FcY9zMnHP8iP"&amp;"O4M5RCRjy6nZY0TY/edit#gid=1248694442"",""Table 3: 1st-line HC!A5:A111"")),"""")"),"")</f>
        <v/>
      </c>
      <c r="AF18" s="20" t="str">
        <f>IFERROR(__xludf.DUMMYFUNCTION("IFNA(FILTER(IMPORTRANGE(""https://docs.google.com/spreadsheets/d/1kGrh75X1cNR1D7_FcY9zMnHP8iPO4M5RCRjy6nZY0TY/edit#gid=1248694442"",""Subgroup 2: Cr ~ Tx!B3:B23""), $A18=IMPORTRANGE(""https://docs.google.com/spreadsheets/d/1kGrh75X1cNR1D7_FcY9zMnHP8iPO4M5"&amp;"RCRjy6nZY0TY/edit#gid=1248694442"",""Subgroup 2: Cr ~ Tx!A3:A23"")),"""")"),"")</f>
        <v/>
      </c>
      <c r="AG18" s="20" t="str">
        <f>IFERROR(__xludf.DUMMYFUNCTION("IFNA(FILTER(IMPORTRANGE(""https://docs.google.com/spreadsheets/d/1kGrh75X1cNR1D7_FcY9zMnHP8iPO4M5RCRjy6nZY0TY/edit#gid=1248694442"",""Subgroup 2: Cr ~ Tx!C3:C23""), $A18=IMPORTRANGE(""https://docs.google.com/spreadsheets/d/1kGrh75X1cNR1D7_FcY9zMnHP8iPO4M5"&amp;"RCRjy6nZY0TY/edit#gid=1248694442"",""Subgroup 2: Cr ~ Tx!A3:A23"")),"""")"),"")</f>
        <v/>
      </c>
      <c r="AH18" s="20" t="str">
        <f>IFERROR(__xludf.DUMMYFUNCTION("IFNA(FILTER(IMPORTRANGE(""https://docs.google.com/spreadsheets/d/1kGrh75X1cNR1D7_FcY9zMnHP8iPO4M5RCRjy6nZY0TY/edit#gid=1248694442"",""Subgroup 2: Cr ~ Tx!D3:D23""), $A18=IMPORTRANGE(""https://docs.google.com/spreadsheets/d/1kGrh75X1cNR1D7_FcY9zMnHP8iPO4M5"&amp;"RCRjy6nZY0TY/edit#gid=1248694442"",""Subgroup 2: Cr ~ Tx!A3:A23"")),"""")"),"")</f>
        <v/>
      </c>
      <c r="AI18" s="20" t="str">
        <f>IFERROR(__xludf.DUMMYFUNCTION("IFNA(FILTER(IMPORTRANGE(""https://docs.google.com/spreadsheets/d/1kGrh75X1cNR1D7_FcY9zMnHP8iPO4M5RCRjy6nZY0TY/edit#gid=1248694442"",""Subgroup 2: Cr ~ Tx!E3:E23""), $A18=IMPORTRANGE(""https://docs.google.com/spreadsheets/d/1kGrh75X1cNR1D7_FcY9zMnHP8iPO4M5"&amp;"RCRjy6nZY0TY/edit#gid=1248694442"",""Subgroup 2: Cr ~ Tx!A3:A23"")),"""")"),"")</f>
        <v/>
      </c>
      <c r="AJ18" s="20" t="str">
        <f>IFERROR(__xludf.DUMMYFUNCTION("IFNA(FILTER(IMPORTRANGE(""https://docs.google.com/spreadsheets/d/1kGrh75X1cNR1D7_FcY9zMnHP8iPO4M5RCRjy6nZY0TY/edit#gid=1248694442"",""Subgroup 2: Cr ~ Tx!F3:F23""), $A18=IMPORTRANGE(""https://docs.google.com/spreadsheets/d/1kGrh75X1cNR1D7_FcY9zMnHP8iPO4M5"&amp;"RCRjy6nZY0TY/edit#gid=1248694442"",""Subgroup 2: Cr ~ Tx!A3:A23"")),"""")"),"")</f>
        <v/>
      </c>
      <c r="AK18" s="14" t="str">
        <f>IFERROR(__xludf.DUMMYFUNCTION("IFNA(FILTER(IMPORTRANGE(""https://docs.google.com/spreadsheets/d/1kGrh75X1cNR1D7_FcY9zMnHP8iPO4M5RCRjy6nZY0TY/edit#gid=1248694442"",""Table 4: 2nd-line HC or more!M5:M85""), $A18=IMPORTRANGE(""https://docs.google.com/spreadsheets/d/1kGrh75X1cNR1D7_FcY9zMn"&amp;"HP8iPO4M5RCRjy6nZY0TY/edit#gid=1248694442"",""Table 4: 2nd-line HC or more!A5:A85"")),"""")"),"")</f>
        <v/>
      </c>
      <c r="AL18" s="14" t="str">
        <f>IFERROR(__xludf.DUMMYFUNCTION("IFNA(FILTER(IMPORTRANGE(""https://docs.google.com/spreadsheets/d/1kGrh75X1cNR1D7_FcY9zMnHP8iPO4M5RCRjy6nZY0TY/edit#gid=1248694442"",""Table 4: 2nd-line HC or more!N5:N85""), $A18=IMPORTRANGE(""https://docs.google.com/spreadsheets/d/1kGrh75X1cNR1D7_FcY9zMn"&amp;"HP8iPO4M5RCRjy6nZY0TY/edit#gid=1248694442"",""Table 4: 2nd-line HC or more!A5:A85"")),"""")"),"")</f>
        <v/>
      </c>
      <c r="AM18" s="14" t="str">
        <f>IFERROR(__xludf.DUMMYFUNCTION("IFNA(FILTER(IMPORTRANGE(""https://docs.google.com/spreadsheets/d/1kGrh75X1cNR1D7_FcY9zMnHP8iPO4M5RCRjy6nZY0TY/edit#gid=1248694442"",""Table 4: 2nd-line HC or more!O5:O85""), $A18=IMPORTRANGE(""https://docs.google.com/spreadsheets/d/1kGrh75X1cNR1D7_FcY9zMn"&amp;"HP8iPO4M5RCRjy6nZY0TY/edit#gid=1248694442"",""Table 4: 2nd-line HC or more!A5:A85"")),"""")"),"")</f>
        <v/>
      </c>
      <c r="AN18" s="14" t="str">
        <f>IFERROR(__xludf.DUMMYFUNCTION("IFNA(FILTER(IMPORTRANGE(""https://docs.google.com/spreadsheets/d/1kGrh75X1cNR1D7_FcY9zMnHP8iPO4M5RCRjy6nZY0TY/edit#gid=1248694442"",""Table 3: 1st-line HC!AP5:AP111""), $A18=IMPORTRANGE(""https://docs.google.com/spreadsheets/d/1kGrh75X1cNR1D7_FcY9zMnHP8iP"&amp;"O4M5RCRjy6nZY0TY/edit#gid=1248694442"",""Table 3: 1st-line HC!A5:A111"")),"""")"),"")</f>
        <v/>
      </c>
      <c r="AO18" s="14" t="str">
        <f>IFERROR(__xludf.DUMMYFUNCTION("IFNA(FILTER(IMPORTRANGE(""https://docs.google.com/spreadsheets/d/1kGrh75X1cNR1D7_FcY9zMnHP8iPO4M5RCRjy6nZY0TY/edit#gid=1248694442"",""Table 3: 1st-line HC!AO5:AO111""), $A18=IMPORTRANGE(""https://docs.google.com/spreadsheets/d/1kGrh75X1cNR1D7_FcY9zMnHP8iP"&amp;"O4M5RCRjy6nZY0TY/edit#gid=1248694442"",""Table 3: 1st-line HC!A5:A111"")),"""")"),"")</f>
        <v/>
      </c>
      <c r="AP18" s="14" t="str">
        <f>IFERROR(__xludf.DUMMYFUNCTION("IFNA(FILTER(IMPORTRANGE(""https://docs.google.com/spreadsheets/d/1kGrh75X1cNR1D7_FcY9zMnHP8iPO4M5RCRjy6nZY0TY/edit#gid=1248694442"",""Table 3: 1st-line HC!AQ5:AQ111""), $A18=IMPORTRANGE(""https://docs.google.com/spreadsheets/d/1kGrh75X1cNR1D7_FcY9zMnHP8iP"&amp;"O4M5RCRjy6nZY0TY/edit#gid=1248694442"",""Table 3: 1st-line HC!A5:A111"")),"""")"),"")</f>
        <v/>
      </c>
      <c r="AQ18" s="14" t="str">
        <f>IFERROR(__xludf.DUMMYFUNCTION("IFNA(FILTER(IMPORTRANGE(""https://docs.google.com/spreadsheets/d/1kGrh75X1cNR1D7_FcY9zMnHP8iPO4M5RCRjy6nZY0TY/edit#gid=1248694442"",""Table 2: MMC!T5:T114""), $A18=IMPORTRANGE(""https://docs.google.com/spreadsheets/d/1kGrh75X1cNR1D7_FcY9zMnHP8iPO4M5RCRjy6"&amp;"nZY0TY/edit#gid=1248694442"",""Table 2: MMC!A5:A114"")),"""")"),"")</f>
        <v/>
      </c>
      <c r="AR18" s="14" t="str">
        <f>IFERROR(__xludf.DUMMYFUNCTION("IFNA(FILTER(IMPORTRANGE(""https://docs.google.com/spreadsheets/d/1kGrh75X1cNR1D7_FcY9zMnHP8iPO4M5RCRjy6nZY0TY/edit#gid=1248694442"",""Table 2: MMC!U5:U114""), $A18=IMPORTRANGE(""https://docs.google.com/spreadsheets/d/1kGrh75X1cNR1D7_FcY9zMnHP8iPO4M5RCRjy6"&amp;"nZY0TY/edit#gid=1248694442"",""Table 2: MMC!A5:A114"")),"""")"),"")</f>
        <v/>
      </c>
      <c r="AS18" s="14" t="str">
        <f>IFERROR(__xludf.DUMMYFUNCTION("IFNA(FILTER(IMPORTRANGE(""https://docs.google.com/spreadsheets/d/1kGrh75X1cNR1D7_FcY9zMnHP8iPO4M5RCRjy6nZY0TY/edit#gid=1248694442"",""Table 2: MMC!V5:V114""), $A18=IMPORTRANGE(""https://docs.google.com/spreadsheets/d/1kGrh75X1cNR1D7_FcY9zMnHP8iPO4M5RCRjy6"&amp;"nZY0TY/edit#gid=1248694442"",""Table 2: MMC!A5:A114"")),"""")"),"")</f>
        <v/>
      </c>
      <c r="AT18" s="4" t="str">
        <f>IFERROR(__xludf.DUMMYFUNCTION("IFNA(FILTER(IMPORTRANGE(""https://docs.google.com/spreadsheets/d/1kGrh75X1cNR1D7_FcY9zMnHP8iPO4M5RCRjy6nZY0TY/edit#gid=1248694442"",""Table 2: MMC!W5:W114""), $A18=IMPORTRANGE(""https://docs.google.com/spreadsheets/d/1kGrh75X1cNR1D7_FcY9zMnHP8iPO4M5RCRjy6"&amp;"nZY0TY/edit#gid=1248694442"",""Table 2: MMC!A5:A114"")),"""")"),"")</f>
        <v/>
      </c>
    </row>
    <row r="19">
      <c r="A19" s="4" t="str">
        <f>IFERROR(__xludf.DUMMYFUNCTION("""COMPUTED_VALUE"""),"ID 31")</f>
        <v>ID 31</v>
      </c>
      <c r="B19" s="20" t="str">
        <f>IFERROR(__xludf.DUMMYFUNCTION("IFNA(FILTER(IMPORTRANGE(""https://docs.google.com/spreadsheets/d/1kGrh75X1cNR1D7_FcY9zMnHP8iPO4M5RCRjy6nZY0TY/edit#gid=1248694442"",""Table 3: 1st-line HC!BK5:BK111""), $A19=IMPORTRANGE(""https://docs.google.com/spreadsheets/d/1kGrh75X1cNR1D7_FcY9zMnHP8iP"&amp;"O4M5RCRjy6nZY0TY/edit#gid=1248694442"",""Table 3: 1st-line HC!A5:A111"")),"""")"),"")</f>
        <v/>
      </c>
      <c r="C19" s="20" t="str">
        <f>IFERROR(__xludf.DUMMYFUNCTION("IFNA(FILTER(IMPORTRANGE(""https://docs.google.com/spreadsheets/d/1kGrh75X1cNR1D7_FcY9zMnHP8iPO4M5RCRjy6nZY0TY/edit#gid=1248694442"",""Subgroup 1: Fr ~ Tx!B3:B20""), $A19=IMPORTRANGE(""https://docs.google.com/spreadsheets/d/1kGrh75X1cNR1D7_FcY9zMnHP8iPO4M5"&amp;"RCRjy6nZY0TY/edit#gid=1248694442"",""Subgroup 1: Fr ~ Tx!A3:A20"")),"""")"),"")</f>
        <v/>
      </c>
      <c r="D19" s="20" t="str">
        <f>IFERROR(__xludf.DUMMYFUNCTION("IFNA(FILTER(IMPORTRANGE(""https://docs.google.com/spreadsheets/d/1kGrh75X1cNR1D7_FcY9zMnHP8iPO4M5RCRjy6nZY0TY/edit#gid=1248694442"",""Subgroup 1: Fr ~ Tx!C3:C20""), $A19=IMPORTRANGE(""https://docs.google.com/spreadsheets/d/1kGrh75X1cNR1D7_FcY9zMnHP8iPO4M5"&amp;"RCRjy6nZY0TY/edit#gid=1248694442"",""Subgroup 1: Fr ~ Tx!A3:A20"")),"""")"),"")</f>
        <v/>
      </c>
      <c r="E19" s="20" t="str">
        <f>IFERROR(__xludf.DUMMYFUNCTION("IFNA(FILTER(IMPORTRANGE(""https://docs.google.com/spreadsheets/d/1kGrh75X1cNR1D7_FcY9zMnHP8iPO4M5RCRjy6nZY0TY/edit#gid=1248694442"",""Subgroup 1: Fr ~ Tx!D3:D20""), $A19=IMPORTRANGE(""https://docs.google.com/spreadsheets/d/1kGrh75X1cNR1D7_FcY9zMnHP8iPO4M5"&amp;"RCRjy6nZY0TY/edit#gid=1248694442"",""Subgroup 1: Fr ~ Tx!A3:A20"")),"""")"),"")</f>
        <v/>
      </c>
      <c r="F19" s="20" t="str">
        <f>IFERROR(__xludf.DUMMYFUNCTION("IFNA(FILTER(IMPORTRANGE(""https://docs.google.com/spreadsheets/d/1kGrh75X1cNR1D7_FcY9zMnHP8iPO4M5RCRjy6nZY0TY/edit#gid=1248694442"",""Subgroup 1: Fr ~ Tx!E3:E20""), $A19=IMPORTRANGE(""https://docs.google.com/spreadsheets/d/1kGrh75X1cNR1D7_FcY9zMnHP8iPO4M5"&amp;"RCRjy6nZY0TY/edit#gid=1248694442"",""Subgroup 1: Fr ~ Tx!A3:A20"")),"""")"),"")</f>
        <v/>
      </c>
      <c r="G19" s="20" t="str">
        <f>IFERROR(__xludf.DUMMYFUNCTION("IFNA(FILTER(IMPORTRANGE(""https://docs.google.com/spreadsheets/d/1kGrh75X1cNR1D7_FcY9zMnHP8iPO4M5RCRjy6nZY0TY/edit#gid=1248694442"",""Subgroup 1: Fr ~ Tx!F3:F20""), $A19=IMPORTRANGE(""https://docs.google.com/spreadsheets/d/1kGrh75X1cNR1D7_FcY9zMnHP8iPO4M5"&amp;"RCRjy6nZY0TY/edit#gid=1248694442"",""Subgroup 1: Fr ~ Tx!A3:A20"")),"""")"),"")</f>
        <v/>
      </c>
      <c r="H19" s="20" t="str">
        <f>IFERROR(__xludf.DUMMYFUNCTION("IFNA(FILTER(IMPORTRANGE(""https://docs.google.com/spreadsheets/d/1kGrh75X1cNR1D7_FcY9zMnHP8iPO4M5RCRjy6nZY0TY/edit#gid=1248694442"",""Table 3: 1st-line HC!BD5:BD111""), $A19=IMPORTRANGE(""https://docs.google.com/spreadsheets/d/1kGrh75X1cNR1D7_FcY9zMnHP8iP"&amp;"O4M5RCRjy6nZY0TY/edit#gid=1248694442"",""Table 3: 1st-line HC!A5:A111"")),"""")"),"")</f>
        <v/>
      </c>
      <c r="I19" s="20" t="str">
        <f>IFERROR(__xludf.DUMMYFUNCTION("IFNA(FILTER(IMPORTRANGE(""https://docs.google.com/spreadsheets/d/1kGrh75X1cNR1D7_FcY9zMnHP8iPO4M5RCRjy6nZY0TY/edit#gid=1248694442"",""Subgroup 5: Tf ~ Tx!B3:B8""), $A19=IMPORTRANGE(""https://docs.google.com/spreadsheets/d/1kGrh75X1cNR1D7_FcY9zMnHP8iPO4M5R"&amp;"CRjy6nZY0TY/edit#gid=1248694442"",""Subgroup 5: Tf ~ Tx!A3:A8"")),"""")"),"")</f>
        <v/>
      </c>
      <c r="J19" s="20" t="str">
        <f>IFERROR(__xludf.DUMMYFUNCTION("IFNA(FILTER(IMPORTRANGE(""https://docs.google.com/spreadsheets/d/1kGrh75X1cNR1D7_FcY9zMnHP8iPO4M5RCRjy6nZY0TY/edit#gid=1248694442"",""Subgroup 5: Tf ~ Tx!C3:C8""), $A19=IMPORTRANGE(""https://docs.google.com/spreadsheets/d/1kGrh75X1cNR1D7_FcY9zMnHP8iPO4M5R"&amp;"CRjy6nZY0TY/edit#gid=1248694442"",""Subgroup 5: Tf ~ Tx!A3:A8"")),"""")"),"")</f>
        <v/>
      </c>
      <c r="K19" s="20" t="str">
        <f>IFERROR(__xludf.DUMMYFUNCTION("IFNA(FILTER(IMPORTRANGE(""https://docs.google.com/spreadsheets/d/1kGrh75X1cNR1D7_FcY9zMnHP8iPO4M5RCRjy6nZY0TY/edit#gid=1248694442"",""Subgroup 5: Tf ~ Tx!D3:D8""), $A19=IMPORTRANGE(""https://docs.google.com/spreadsheets/d/1kGrh75X1cNR1D7_FcY9zMnHP8iPO4M5R"&amp;"CRjy6nZY0TY/edit#gid=1248694442"",""Subgroup 5: Tf ~ Tx!A3:A8"")),"""")"),"")</f>
        <v/>
      </c>
      <c r="L19" s="20" t="str">
        <f>IFERROR(__xludf.DUMMYFUNCTION("IFNA(FILTER(IMPORTRANGE(""https://docs.google.com/spreadsheets/d/1kGrh75X1cNR1D7_FcY9zMnHP8iPO4M5RCRjy6nZY0TY/edit#gid=1248694442"",""Subgroup 5: Tf ~ Tx!E3:E8""), $A19=IMPORTRANGE(""https://docs.google.com/spreadsheets/d/1kGrh75X1cNR1D7_FcY9zMnHP8iPO4M5R"&amp;"CRjy6nZY0TY/edit#gid=1248694442"",""Subgroup 5: Tf ~ Tx!A3:A8"")),"""")"),"")</f>
        <v/>
      </c>
      <c r="M19" s="20" t="str">
        <f>IFERROR(__xludf.DUMMYFUNCTION("IFNA(FILTER(IMPORTRANGE(""https://docs.google.com/spreadsheets/d/1kGrh75X1cNR1D7_FcY9zMnHP8iPO4M5RCRjy6nZY0TY/edit#gid=1248694442"",""Subgroup 5: Tf ~ Tx!F3:F8""), $A19=IMPORTRANGE(""https://docs.google.com/spreadsheets/d/1kGrh75X1cNR1D7_FcY9zMnHP8iPO4M5R"&amp;"CRjy6nZY0TY/edit#gid=1248694442"",""Subgroup 5: Tf ~ Tx!A3:A8"")),"""")"),"")</f>
        <v/>
      </c>
      <c r="N19" s="20" t="str">
        <f>IFERROR(__xludf.DUMMYFUNCTION("IFNA(FILTER(IMPORTRANGE(""https://docs.google.com/spreadsheets/d/1kGrh75X1cNR1D7_FcY9zMnHP8iPO4M5RCRjy6nZY0TY/edit#gid=1248694442"",""Table 3: 1st-line HC!BE5:BE111""), $A19=IMPORTRANGE(""https://docs.google.com/spreadsheets/d/1kGrh75X1cNR1D7_FcY9zMnHP8iP"&amp;"O4M5RCRjy6nZY0TY/edit#gid=1248694442"",""Table 3: 1st-line HC!A5:A111"")),"""")"),"")</f>
        <v/>
      </c>
      <c r="O19" s="20" t="str">
        <f>IFERROR(__xludf.DUMMYFUNCTION("IFNA(FILTER(IMPORTRANGE(""https://docs.google.com/spreadsheets/d/1kGrh75X1cNR1D7_FcY9zMnHP8iPO4M5RCRjy6nZY0TY/edit#gid=1248694442"",""Table 3: 1st-line HC!BF5:BF111""), $A19=IMPORTRANGE(""https://docs.google.com/spreadsheets/d/1kGrh75X1cNR1D7_FcY9zMnHP8iP"&amp;"O4M5RCRjy6nZY0TY/edit#gid=1248694442"",""Table 3: 1st-line HC!A5:A111"")),"""")"),"")</f>
        <v/>
      </c>
      <c r="P19" s="20" t="str">
        <f>IFERROR(__xludf.DUMMYFUNCTION("IFNA(FILTER(IMPORTRANGE(""https://docs.google.com/spreadsheets/d/1kGrh75X1cNR1D7_FcY9zMnHP8iPO4M5RCRjy6nZY0TY/edit#gid=1248694442"",""Table 3: 1st-line HC!BG5:BG111""), $A19=IMPORTRANGE(""https://docs.google.com/spreadsheets/d/1kGrh75X1cNR1D7_FcY9zMnHP8iP"&amp;"O4M5RCRjy6nZY0TY/edit#gid=1248694442"",""Table 3: 1st-line HC!A5:A111"")),"""")"),"")</f>
        <v/>
      </c>
      <c r="Q19" s="21" t="str">
        <f>IFERROR(__xludf.DUMMYFUNCTION("IFNA(FILTER(IMPORTRANGE(""https://docs.google.com/spreadsheets/d/1kGrh75X1cNR1D7_FcY9zMnHP8iPO4M5RCRjy6nZY0TY/edit#gid=1248694442"",""Table 3: 1st-line HC!BH5:BH111""), $A19=IMPORTRANGE(""https://docs.google.com/spreadsheets/d/1kGrh75X1cNR1D7_FcY9zMnHP8iP"&amp;"O4M5RCRjy6nZY0TY/edit#gid=1248694442"",""Table 3: 1st-line HC!A5:A111"")),"""")"),"")</f>
        <v/>
      </c>
      <c r="R19" s="19" t="str">
        <f>IFERROR(__xludf.DUMMYFUNCTION("IFNA(FILTER(IMPORTRANGE(""https://docs.google.com/spreadsheets/d/1kGrh75X1cNR1D7_FcY9zMnHP8iPO4M5RCRjy6nZY0TY/edit#gid=1248694442"",""Table 3: 1st-line HC!AJ5:AJ111""), $A19=IMPORTRANGE(""https://docs.google.com/spreadsheets/d/1kGrh75X1cNR1D7_FcY9zMnHP8iP"&amp;"O4M5RCRjy6nZY0TY/edit#gid=1248694442"",""Table 3: 1st-line HC!A5:A111"")),"""")"),"")</f>
        <v/>
      </c>
      <c r="S19" s="20" t="str">
        <f>IFERROR(__xludf.DUMMYFUNCTION("IFNA(FILTER(IMPORTRANGE(""https://docs.google.com/spreadsheets/d/1kGrh75X1cNR1D7_FcY9zMnHP8iPO4M5RCRjy6nZY0TY/edit#gid=1248694442"",""Subgroup 3: Mi ~ Tx!B3:B17""), $A19=IMPORTRANGE(""https://docs.google.com/spreadsheets/d/1kGrh75X1cNR1D7_FcY9zMnHP8iPO4M5"&amp;"RCRjy6nZY0TY/edit#gid=1248694442"",""Subgroup 3: Mi ~ Tx!A3:A17"")),"""")"),"")</f>
        <v/>
      </c>
      <c r="T19" s="20" t="str">
        <f>IFERROR(__xludf.DUMMYFUNCTION("IFNA(FILTER(IMPORTRANGE(""https://docs.google.com/spreadsheets/d/1kGrh75X1cNR1D7_FcY9zMnHP8iPO4M5RCRjy6nZY0TY/edit#gid=1248694442"",""Subgroup 3: Mi ~ Tx!C3:C17""), $A19=IMPORTRANGE(""https://docs.google.com/spreadsheets/d/1kGrh75X1cNR1D7_FcY9zMnHP8iPO4M5"&amp;"RCRjy6nZY0TY/edit#gid=1248694442"",""Subgroup 3: Mi ~ Tx!A3:A17"")),"""")"),"")</f>
        <v/>
      </c>
      <c r="U19" s="20" t="str">
        <f>IFERROR(__xludf.DUMMYFUNCTION("IFNA(FILTER(IMPORTRANGE(""https://docs.google.com/spreadsheets/d/1kGrh75X1cNR1D7_FcY9zMnHP8iPO4M5RCRjy6nZY0TY/edit#gid=1248694442"",""Subgroup 3: Mi ~ Tx!D3:D17""), $A19=IMPORTRANGE(""https://docs.google.com/spreadsheets/d/1kGrh75X1cNR1D7_FcY9zMnHP8iPO4M5"&amp;"RCRjy6nZY0TY/edit#gid=1248694442"",""Subgroup 3: Mi ~ Tx!A3:A17"")),"""")"),"")</f>
        <v/>
      </c>
      <c r="V19" s="20" t="str">
        <f>IFERROR(__xludf.DUMMYFUNCTION("IFNA(FILTER(IMPORTRANGE(""https://docs.google.com/spreadsheets/d/1kGrh75X1cNR1D7_FcY9zMnHP8iPO4M5RCRjy6nZY0TY/edit#gid=1248694442"",""Subgroup 3: Mi ~ Tx!E3:E17""), $A19=IMPORTRANGE(""https://docs.google.com/spreadsheets/d/1kGrh75X1cNR1D7_FcY9zMnHP8iPO4M5"&amp;"RCRjy6nZY0TY/edit#gid=1248694442"",""Subgroup 3: Mi ~ Tx!A3:A17"")),"""")"),"")</f>
        <v/>
      </c>
      <c r="W19" s="20" t="str">
        <f>IFERROR(__xludf.DUMMYFUNCTION("IFNA(FILTER(IMPORTRANGE(""https://docs.google.com/spreadsheets/d/1kGrh75X1cNR1D7_FcY9zMnHP8iPO4M5RCRjy6nZY0TY/edit#gid=1248694442"",""Subgroup 3: Mi ~ Tx!F3:F17""), $A19=IMPORTRANGE(""https://docs.google.com/spreadsheets/d/1kGrh75X1cNR1D7_FcY9zMnHP8iPO4M5"&amp;"RCRjy6nZY0TY/edit#gid=1248694442"",""Subgroup 3: Mi ~ Tx!A3:A17"")),"""")"),"")</f>
        <v/>
      </c>
      <c r="X19" s="19" t="str">
        <f>IFERROR(__xludf.DUMMYFUNCTION("IFNA(FILTER(IMPORTRANGE(""https://docs.google.com/spreadsheets/d/1kGrh75X1cNR1D7_FcY9zMnHP8iPO4M5RCRjy6nZY0TY/edit#gid=1248694442"",""Table 3: 1st-line HC!AK5:AK111""), $A19=IMPORTRANGE(""https://docs.google.com/spreadsheets/d/1kGrh75X1cNR1D7_FcY9zMnHP8iP"&amp;"O4M5RCRjy6nZY0TY/edit#gid=1248694442"",""Table 3: 1st-line HC!A5:A111"")),"""")"),"")</f>
        <v/>
      </c>
      <c r="Y19" s="20" t="str">
        <f>IFERROR(__xludf.DUMMYFUNCTION("IFNA(FILTER(IMPORTRANGE(""https://docs.google.com/spreadsheets/d/1kGrh75X1cNR1D7_FcY9zMnHP8iPO4M5RCRjy6nZY0TY/edit#gid=1248694442"",""Subgroup 4: Mp ~ Tx!B3:B20""), $A19=IMPORTRANGE(""https://docs.google.com/spreadsheets/d/1kGrh75X1cNR1D7_FcY9zMnHP8iPO4M5"&amp;"RCRjy6nZY0TY/edit#gid=1248694442"",""Subgroup 4: Mp ~ Tx!A3:A20"")),"""")"),"")</f>
        <v/>
      </c>
      <c r="Z19" s="20" t="str">
        <f>IFERROR(__xludf.DUMMYFUNCTION("IFNA(FILTER(IMPORTRANGE(""https://docs.google.com/spreadsheets/d/1kGrh75X1cNR1D7_FcY9zMnHP8iPO4M5RCRjy6nZY0TY/edit#gid=1248694442"",""Subgroup 4: Mp ~ Tx!C3:C20""), $A19=IMPORTRANGE(""https://docs.google.com/spreadsheets/d/1kGrh75X1cNR1D7_FcY9zMnHP8iPO4M5"&amp;"RCRjy6nZY0TY/edit#gid=1248694442"",""Subgroup 4: Mp ~ Tx!A3:A20"")),"""")"),"")</f>
        <v/>
      </c>
      <c r="AA19" s="20" t="str">
        <f>IFERROR(__xludf.DUMMYFUNCTION("IFNA(FILTER(IMPORTRANGE(""https://docs.google.com/spreadsheets/d/1kGrh75X1cNR1D7_FcY9zMnHP8iPO4M5RCRjy6nZY0TY/edit#gid=1248694442"",""Subgroup 4: Mp ~ Tx!D3:D20""), $A19=IMPORTRANGE(""https://docs.google.com/spreadsheets/d/1kGrh75X1cNR1D7_FcY9zMnHP8iPO4M5"&amp;"RCRjy6nZY0TY/edit#gid=1248694442"",""Subgroup 4: Mp ~ Tx!A3:A20"")),"""")"),"")</f>
        <v/>
      </c>
      <c r="AB19" s="20" t="str">
        <f>IFERROR(__xludf.DUMMYFUNCTION("IFNA(FILTER(IMPORTRANGE(""https://docs.google.com/spreadsheets/d/1kGrh75X1cNR1D7_FcY9zMnHP8iPO4M5RCRjy6nZY0TY/edit#gid=1248694442"",""Subgroup 4: Mp ~ Tx!E3:E20""), $A19=IMPORTRANGE(""https://docs.google.com/spreadsheets/d/1kGrh75X1cNR1D7_FcY9zMnHP8iPO4M5"&amp;"RCRjy6nZY0TY/edit#gid=1248694442"",""Subgroup 4: Mp ~ Tx!A3:A20"")),"""")"),"")</f>
        <v/>
      </c>
      <c r="AC19" s="20" t="str">
        <f>IFERROR(__xludf.DUMMYFUNCTION("IFNA(FILTER(IMPORTRANGE(""https://docs.google.com/spreadsheets/d/1kGrh75X1cNR1D7_FcY9zMnHP8iPO4M5RCRjy6nZY0TY/edit#gid=1248694442"",""Subgroup 4: Mp ~ Tx!F3:F20""), $A19=IMPORTRANGE(""https://docs.google.com/spreadsheets/d/1kGrh75X1cNR1D7_FcY9zMnHP8iPO4M5"&amp;"RCRjy6nZY0TY/edit#gid=1248694442"",""Subgroup 4: Mp ~ Tx!A3:A20"")),"""")"),"")</f>
        <v/>
      </c>
      <c r="AD19" s="22" t="str">
        <f>IFERROR(__xludf.DUMMYFUNCTION("IFNA(FILTER(IMPORTRANGE(""https://docs.google.com/spreadsheets/d/1kGrh75X1cNR1D7_FcY9zMnHP8iPO4M5RCRjy6nZY0TY/edit#gid=1248694442"",""Table 3: 1st-line HC!AL5:AL111""), $A19=IMPORTRANGE(""https://docs.google.com/spreadsheets/d/1kGrh75X1cNR1D7_FcY9zMnHP8iP"&amp;"O4M5RCRjy6nZY0TY/edit#gid=1248694442"",""Table 3: 1st-line HC!A5:A111"")),"""")"),"")</f>
        <v/>
      </c>
      <c r="AE19" s="20" t="str">
        <f>IFERROR(__xludf.DUMMYFUNCTION("IFNA(FILTER(IMPORTRANGE(""https://docs.google.com/spreadsheets/d/1kGrh75X1cNR1D7_FcY9zMnHP8iPO4M5RCRjy6nZY0TY/edit#gid=1248694442"",""Table 3: 1st-line HC!BJ5:BJ111""), $A19=IMPORTRANGE(""https://docs.google.com/spreadsheets/d/1kGrh75X1cNR1D7_FcY9zMnHP8iP"&amp;"O4M5RCRjy6nZY0TY/edit#gid=1248694442"",""Table 3: 1st-line HC!A5:A111"")),"""")"),"")</f>
        <v/>
      </c>
      <c r="AF19" s="20" t="str">
        <f>IFERROR(__xludf.DUMMYFUNCTION("IFNA(FILTER(IMPORTRANGE(""https://docs.google.com/spreadsheets/d/1kGrh75X1cNR1D7_FcY9zMnHP8iPO4M5RCRjy6nZY0TY/edit#gid=1248694442"",""Subgroup 2: Cr ~ Tx!B3:B23""), $A19=IMPORTRANGE(""https://docs.google.com/spreadsheets/d/1kGrh75X1cNR1D7_FcY9zMnHP8iPO4M5"&amp;"RCRjy6nZY0TY/edit#gid=1248694442"",""Subgroup 2: Cr ~ Tx!A3:A23"")),"""")"),"")</f>
        <v/>
      </c>
      <c r="AG19" s="20" t="str">
        <f>IFERROR(__xludf.DUMMYFUNCTION("IFNA(FILTER(IMPORTRANGE(""https://docs.google.com/spreadsheets/d/1kGrh75X1cNR1D7_FcY9zMnHP8iPO4M5RCRjy6nZY0TY/edit#gid=1248694442"",""Subgroup 2: Cr ~ Tx!C3:C23""), $A19=IMPORTRANGE(""https://docs.google.com/spreadsheets/d/1kGrh75X1cNR1D7_FcY9zMnHP8iPO4M5"&amp;"RCRjy6nZY0TY/edit#gid=1248694442"",""Subgroup 2: Cr ~ Tx!A3:A23"")),"""")"),"")</f>
        <v/>
      </c>
      <c r="AH19" s="20" t="str">
        <f>IFERROR(__xludf.DUMMYFUNCTION("IFNA(FILTER(IMPORTRANGE(""https://docs.google.com/spreadsheets/d/1kGrh75X1cNR1D7_FcY9zMnHP8iPO4M5RCRjy6nZY0TY/edit#gid=1248694442"",""Subgroup 2: Cr ~ Tx!D3:D23""), $A19=IMPORTRANGE(""https://docs.google.com/spreadsheets/d/1kGrh75X1cNR1D7_FcY9zMnHP8iPO4M5"&amp;"RCRjy6nZY0TY/edit#gid=1248694442"",""Subgroup 2: Cr ~ Tx!A3:A23"")),"""")"),"")</f>
        <v/>
      </c>
      <c r="AI19" s="20" t="str">
        <f>IFERROR(__xludf.DUMMYFUNCTION("IFNA(FILTER(IMPORTRANGE(""https://docs.google.com/spreadsheets/d/1kGrh75X1cNR1D7_FcY9zMnHP8iPO4M5RCRjy6nZY0TY/edit#gid=1248694442"",""Subgroup 2: Cr ~ Tx!E3:E23""), $A19=IMPORTRANGE(""https://docs.google.com/spreadsheets/d/1kGrh75X1cNR1D7_FcY9zMnHP8iPO4M5"&amp;"RCRjy6nZY0TY/edit#gid=1248694442"",""Subgroup 2: Cr ~ Tx!A3:A23"")),"""")"),"")</f>
        <v/>
      </c>
      <c r="AJ19" s="20" t="str">
        <f>IFERROR(__xludf.DUMMYFUNCTION("IFNA(FILTER(IMPORTRANGE(""https://docs.google.com/spreadsheets/d/1kGrh75X1cNR1D7_FcY9zMnHP8iPO4M5RCRjy6nZY0TY/edit#gid=1248694442"",""Subgroup 2: Cr ~ Tx!F3:F23""), $A19=IMPORTRANGE(""https://docs.google.com/spreadsheets/d/1kGrh75X1cNR1D7_FcY9zMnHP8iPO4M5"&amp;"RCRjy6nZY0TY/edit#gid=1248694442"",""Subgroup 2: Cr ~ Tx!A3:A23"")),"""")"),"")</f>
        <v/>
      </c>
      <c r="AK19" s="14" t="str">
        <f>IFERROR(__xludf.DUMMYFUNCTION("IFNA(FILTER(IMPORTRANGE(""https://docs.google.com/spreadsheets/d/1kGrh75X1cNR1D7_FcY9zMnHP8iPO4M5RCRjy6nZY0TY/edit#gid=1248694442"",""Table 4: 2nd-line HC or more!M5:M85""), $A19=IMPORTRANGE(""https://docs.google.com/spreadsheets/d/1kGrh75X1cNR1D7_FcY9zMn"&amp;"HP8iPO4M5RCRjy6nZY0TY/edit#gid=1248694442"",""Table 4: 2nd-line HC or more!A5:A85"")),"""")"),"")</f>
        <v/>
      </c>
      <c r="AL19" s="14" t="str">
        <f>IFERROR(__xludf.DUMMYFUNCTION("IFNA(FILTER(IMPORTRANGE(""https://docs.google.com/spreadsheets/d/1kGrh75X1cNR1D7_FcY9zMnHP8iPO4M5RCRjy6nZY0TY/edit#gid=1248694442"",""Table 4: 2nd-line HC or more!N5:N85""), $A19=IMPORTRANGE(""https://docs.google.com/spreadsheets/d/1kGrh75X1cNR1D7_FcY9zMn"&amp;"HP8iPO4M5RCRjy6nZY0TY/edit#gid=1248694442"",""Table 4: 2nd-line HC or more!A5:A85"")),"""")"),"")</f>
        <v/>
      </c>
      <c r="AM19" s="14" t="str">
        <f>IFERROR(__xludf.DUMMYFUNCTION("IFNA(FILTER(IMPORTRANGE(""https://docs.google.com/spreadsheets/d/1kGrh75X1cNR1D7_FcY9zMnHP8iPO4M5RCRjy6nZY0TY/edit#gid=1248694442"",""Table 4: 2nd-line HC or more!O5:O85""), $A19=IMPORTRANGE(""https://docs.google.com/spreadsheets/d/1kGrh75X1cNR1D7_FcY9zMn"&amp;"HP8iPO4M5RCRjy6nZY0TY/edit#gid=1248694442"",""Table 4: 2nd-line HC or more!A5:A85"")),"""")"),"")</f>
        <v/>
      </c>
      <c r="AN19" s="14" t="str">
        <f>IFERROR(__xludf.DUMMYFUNCTION("IFNA(FILTER(IMPORTRANGE(""https://docs.google.com/spreadsheets/d/1kGrh75X1cNR1D7_FcY9zMnHP8iPO4M5RCRjy6nZY0TY/edit#gid=1248694442"",""Table 3: 1st-line HC!AP5:AP111""), $A19=IMPORTRANGE(""https://docs.google.com/spreadsheets/d/1kGrh75X1cNR1D7_FcY9zMnHP8iP"&amp;"O4M5RCRjy6nZY0TY/edit#gid=1248694442"",""Table 3: 1st-line HC!A5:A111"")),"""")"),"")</f>
        <v/>
      </c>
      <c r="AO19" s="14" t="str">
        <f>IFERROR(__xludf.DUMMYFUNCTION("IFNA(FILTER(IMPORTRANGE(""https://docs.google.com/spreadsheets/d/1kGrh75X1cNR1D7_FcY9zMnHP8iPO4M5RCRjy6nZY0TY/edit#gid=1248694442"",""Table 3: 1st-line HC!AO5:AO111""), $A19=IMPORTRANGE(""https://docs.google.com/spreadsheets/d/1kGrh75X1cNR1D7_FcY9zMnHP8iP"&amp;"O4M5RCRjy6nZY0TY/edit#gid=1248694442"",""Table 3: 1st-line HC!A5:A111"")),"""")"),"")</f>
        <v/>
      </c>
      <c r="AP19" s="14" t="str">
        <f>IFERROR(__xludf.DUMMYFUNCTION("IFNA(FILTER(IMPORTRANGE(""https://docs.google.com/spreadsheets/d/1kGrh75X1cNR1D7_FcY9zMnHP8iPO4M5RCRjy6nZY0TY/edit#gid=1248694442"",""Table 3: 1st-line HC!AQ5:AQ111""), $A19=IMPORTRANGE(""https://docs.google.com/spreadsheets/d/1kGrh75X1cNR1D7_FcY9zMnHP8iP"&amp;"O4M5RCRjy6nZY0TY/edit#gid=1248694442"",""Table 3: 1st-line HC!A5:A111"")),"""")"),"")</f>
        <v/>
      </c>
      <c r="AQ19" s="14" t="str">
        <f>IFERROR(__xludf.DUMMYFUNCTION("IFNA(FILTER(IMPORTRANGE(""https://docs.google.com/spreadsheets/d/1kGrh75X1cNR1D7_FcY9zMnHP8iPO4M5RCRjy6nZY0TY/edit#gid=1248694442"",""Table 2: MMC!T5:T114""), $A19=IMPORTRANGE(""https://docs.google.com/spreadsheets/d/1kGrh75X1cNR1D7_FcY9zMnHP8iPO4M5RCRjy6"&amp;"nZY0TY/edit#gid=1248694442"",""Table 2: MMC!A5:A114"")),"""")"),"")</f>
        <v/>
      </c>
      <c r="AR19" s="14" t="str">
        <f>IFERROR(__xludf.DUMMYFUNCTION("IFNA(FILTER(IMPORTRANGE(""https://docs.google.com/spreadsheets/d/1kGrh75X1cNR1D7_FcY9zMnHP8iPO4M5RCRjy6nZY0TY/edit#gid=1248694442"",""Table 2: MMC!U5:U114""), $A19=IMPORTRANGE(""https://docs.google.com/spreadsheets/d/1kGrh75X1cNR1D7_FcY9zMnHP8iPO4M5RCRjy6"&amp;"nZY0TY/edit#gid=1248694442"",""Table 2: MMC!A5:A114"")),"""")"),"")</f>
        <v/>
      </c>
      <c r="AS19" s="14" t="str">
        <f>IFERROR(__xludf.DUMMYFUNCTION("IFNA(FILTER(IMPORTRANGE(""https://docs.google.com/spreadsheets/d/1kGrh75X1cNR1D7_FcY9zMnHP8iPO4M5RCRjy6nZY0TY/edit#gid=1248694442"",""Table 2: MMC!V5:V114""), $A19=IMPORTRANGE(""https://docs.google.com/spreadsheets/d/1kGrh75X1cNR1D7_FcY9zMnHP8iPO4M5RCRjy6"&amp;"nZY0TY/edit#gid=1248694442"",""Table 2: MMC!A5:A114"")),"""")"),"")</f>
        <v/>
      </c>
      <c r="AT19" s="4" t="str">
        <f>IFERROR(__xludf.DUMMYFUNCTION("IFNA(FILTER(IMPORTRANGE(""https://docs.google.com/spreadsheets/d/1kGrh75X1cNR1D7_FcY9zMnHP8iPO4M5RCRjy6nZY0TY/edit#gid=1248694442"",""Table 2: MMC!W5:W114""), $A19=IMPORTRANGE(""https://docs.google.com/spreadsheets/d/1kGrh75X1cNR1D7_FcY9zMnHP8iPO4M5RCRjy6"&amp;"nZY0TY/edit#gid=1248694442"",""Table 2: MMC!A5:A114"")),"""")"),"CSF leak = 5")</f>
        <v>CSF leak = 5</v>
      </c>
    </row>
    <row r="20">
      <c r="A20" s="4" t="str">
        <f>IFERROR(__xludf.DUMMYFUNCTION("""COMPUTED_VALUE"""),"ID 32")</f>
        <v>ID 32</v>
      </c>
      <c r="B20" s="20" t="str">
        <f>IFERROR(__xludf.DUMMYFUNCTION("IFNA(FILTER(IMPORTRANGE(""https://docs.google.com/spreadsheets/d/1kGrh75X1cNR1D7_FcY9zMnHP8iPO4M5RCRjy6nZY0TY/edit#gid=1248694442"",""Table 3: 1st-line HC!BK5:BK111""), $A20=IMPORTRANGE(""https://docs.google.com/spreadsheets/d/1kGrh75X1cNR1D7_FcY9zMnHP8iP"&amp;"O4M5RCRjy6nZY0TY/edit#gid=1248694442"",""Table 3: 1st-line HC!A5:A111"")),"""")"),"")</f>
        <v/>
      </c>
      <c r="C20" s="20" t="str">
        <f>IFERROR(__xludf.DUMMYFUNCTION("IFNA(FILTER(IMPORTRANGE(""https://docs.google.com/spreadsheets/d/1kGrh75X1cNR1D7_FcY9zMnHP8iPO4M5RCRjy6nZY0TY/edit#gid=1248694442"",""Subgroup 1: Fr ~ Tx!B3:B20""), $A20=IMPORTRANGE(""https://docs.google.com/spreadsheets/d/1kGrh75X1cNR1D7_FcY9zMnHP8iPO4M5"&amp;"RCRjy6nZY0TY/edit#gid=1248694442"",""Subgroup 1: Fr ~ Tx!A3:A20"")),"""")"),"")</f>
        <v/>
      </c>
      <c r="D20" s="20" t="str">
        <f>IFERROR(__xludf.DUMMYFUNCTION("IFNA(FILTER(IMPORTRANGE(""https://docs.google.com/spreadsheets/d/1kGrh75X1cNR1D7_FcY9zMnHP8iPO4M5RCRjy6nZY0TY/edit#gid=1248694442"",""Subgroup 1: Fr ~ Tx!C3:C20""), $A20=IMPORTRANGE(""https://docs.google.com/spreadsheets/d/1kGrh75X1cNR1D7_FcY9zMnHP8iPO4M5"&amp;"RCRjy6nZY0TY/edit#gid=1248694442"",""Subgroup 1: Fr ~ Tx!A3:A20"")),"""")"),"")</f>
        <v/>
      </c>
      <c r="E20" s="20" t="str">
        <f>IFERROR(__xludf.DUMMYFUNCTION("IFNA(FILTER(IMPORTRANGE(""https://docs.google.com/spreadsheets/d/1kGrh75X1cNR1D7_FcY9zMnHP8iPO4M5RCRjy6nZY0TY/edit#gid=1248694442"",""Subgroup 1: Fr ~ Tx!D3:D20""), $A20=IMPORTRANGE(""https://docs.google.com/spreadsheets/d/1kGrh75X1cNR1D7_FcY9zMnHP8iPO4M5"&amp;"RCRjy6nZY0TY/edit#gid=1248694442"",""Subgroup 1: Fr ~ Tx!A3:A20"")),"""")"),"")</f>
        <v/>
      </c>
      <c r="F20" s="20" t="str">
        <f>IFERROR(__xludf.DUMMYFUNCTION("IFNA(FILTER(IMPORTRANGE(""https://docs.google.com/spreadsheets/d/1kGrh75X1cNR1D7_FcY9zMnHP8iPO4M5RCRjy6nZY0TY/edit#gid=1248694442"",""Subgroup 1: Fr ~ Tx!E3:E20""), $A20=IMPORTRANGE(""https://docs.google.com/spreadsheets/d/1kGrh75X1cNR1D7_FcY9zMnHP8iPO4M5"&amp;"RCRjy6nZY0TY/edit#gid=1248694442"",""Subgroup 1: Fr ~ Tx!A3:A20"")),"""")"),"")</f>
        <v/>
      </c>
      <c r="G20" s="20" t="str">
        <f>IFERROR(__xludf.DUMMYFUNCTION("IFNA(FILTER(IMPORTRANGE(""https://docs.google.com/spreadsheets/d/1kGrh75X1cNR1D7_FcY9zMnHP8iPO4M5RCRjy6nZY0TY/edit#gid=1248694442"",""Subgroup 1: Fr ~ Tx!F3:F20""), $A20=IMPORTRANGE(""https://docs.google.com/spreadsheets/d/1kGrh75X1cNR1D7_FcY9zMnHP8iPO4M5"&amp;"RCRjy6nZY0TY/edit#gid=1248694442"",""Subgroup 1: Fr ~ Tx!A3:A20"")),"""")"),"")</f>
        <v/>
      </c>
      <c r="H20" s="20" t="str">
        <f>IFERROR(__xludf.DUMMYFUNCTION("IFNA(FILTER(IMPORTRANGE(""https://docs.google.com/spreadsheets/d/1kGrh75X1cNR1D7_FcY9zMnHP8iPO4M5RCRjy6nZY0TY/edit#gid=1248694442"",""Table 3: 1st-line HC!BD5:BD111""), $A20=IMPORTRANGE(""https://docs.google.com/spreadsheets/d/1kGrh75X1cNR1D7_FcY9zMnHP8iP"&amp;"O4M5RCRjy6nZY0TY/edit#gid=1248694442"",""Table 3: 1st-line HC!A5:A111"")),"""")"),"")</f>
        <v/>
      </c>
      <c r="I20" s="20" t="str">
        <f>IFERROR(__xludf.DUMMYFUNCTION("IFNA(FILTER(IMPORTRANGE(""https://docs.google.com/spreadsheets/d/1kGrh75X1cNR1D7_FcY9zMnHP8iPO4M5RCRjy6nZY0TY/edit#gid=1248694442"",""Subgroup 5: Tf ~ Tx!B3:B8""), $A20=IMPORTRANGE(""https://docs.google.com/spreadsheets/d/1kGrh75X1cNR1D7_FcY9zMnHP8iPO4M5R"&amp;"CRjy6nZY0TY/edit#gid=1248694442"",""Subgroup 5: Tf ~ Tx!A3:A8"")),"""")"),"")</f>
        <v/>
      </c>
      <c r="J20" s="20" t="str">
        <f>IFERROR(__xludf.DUMMYFUNCTION("IFNA(FILTER(IMPORTRANGE(""https://docs.google.com/spreadsheets/d/1kGrh75X1cNR1D7_FcY9zMnHP8iPO4M5RCRjy6nZY0TY/edit#gid=1248694442"",""Subgroup 5: Tf ~ Tx!C3:C8""), $A20=IMPORTRANGE(""https://docs.google.com/spreadsheets/d/1kGrh75X1cNR1D7_FcY9zMnHP8iPO4M5R"&amp;"CRjy6nZY0TY/edit#gid=1248694442"",""Subgroup 5: Tf ~ Tx!A3:A8"")),"""")"),"")</f>
        <v/>
      </c>
      <c r="K20" s="20" t="str">
        <f>IFERROR(__xludf.DUMMYFUNCTION("IFNA(FILTER(IMPORTRANGE(""https://docs.google.com/spreadsheets/d/1kGrh75X1cNR1D7_FcY9zMnHP8iPO4M5RCRjy6nZY0TY/edit#gid=1248694442"",""Subgroup 5: Tf ~ Tx!D3:D8""), $A20=IMPORTRANGE(""https://docs.google.com/spreadsheets/d/1kGrh75X1cNR1D7_FcY9zMnHP8iPO4M5R"&amp;"CRjy6nZY0TY/edit#gid=1248694442"",""Subgroup 5: Tf ~ Tx!A3:A8"")),"""")"),"")</f>
        <v/>
      </c>
      <c r="L20" s="20" t="str">
        <f>IFERROR(__xludf.DUMMYFUNCTION("IFNA(FILTER(IMPORTRANGE(""https://docs.google.com/spreadsheets/d/1kGrh75X1cNR1D7_FcY9zMnHP8iPO4M5RCRjy6nZY0TY/edit#gid=1248694442"",""Subgroup 5: Tf ~ Tx!E3:E8""), $A20=IMPORTRANGE(""https://docs.google.com/spreadsheets/d/1kGrh75X1cNR1D7_FcY9zMnHP8iPO4M5R"&amp;"CRjy6nZY0TY/edit#gid=1248694442"",""Subgroup 5: Tf ~ Tx!A3:A8"")),"""")"),"")</f>
        <v/>
      </c>
      <c r="M20" s="20" t="str">
        <f>IFERROR(__xludf.DUMMYFUNCTION("IFNA(FILTER(IMPORTRANGE(""https://docs.google.com/spreadsheets/d/1kGrh75X1cNR1D7_FcY9zMnHP8iPO4M5RCRjy6nZY0TY/edit#gid=1248694442"",""Subgroup 5: Tf ~ Tx!F3:F8""), $A20=IMPORTRANGE(""https://docs.google.com/spreadsheets/d/1kGrh75X1cNR1D7_FcY9zMnHP8iPO4M5R"&amp;"CRjy6nZY0TY/edit#gid=1248694442"",""Subgroup 5: Tf ~ Tx!A3:A8"")),"""")"),"")</f>
        <v/>
      </c>
      <c r="N20" s="20" t="str">
        <f>IFERROR(__xludf.DUMMYFUNCTION("IFNA(FILTER(IMPORTRANGE(""https://docs.google.com/spreadsheets/d/1kGrh75X1cNR1D7_FcY9zMnHP8iPO4M5RCRjy6nZY0TY/edit#gid=1248694442"",""Table 3: 1st-line HC!BE5:BE111""), $A20=IMPORTRANGE(""https://docs.google.com/spreadsheets/d/1kGrh75X1cNR1D7_FcY9zMnHP8iP"&amp;"O4M5RCRjy6nZY0TY/edit#gid=1248694442"",""Table 3: 1st-line HC!A5:A111"")),"""")"),"")</f>
        <v/>
      </c>
      <c r="O20" s="20" t="str">
        <f>IFERROR(__xludf.DUMMYFUNCTION("IFNA(FILTER(IMPORTRANGE(""https://docs.google.com/spreadsheets/d/1kGrh75X1cNR1D7_FcY9zMnHP8iPO4M5RCRjy6nZY0TY/edit#gid=1248694442"",""Table 3: 1st-line HC!BF5:BF111""), $A20=IMPORTRANGE(""https://docs.google.com/spreadsheets/d/1kGrh75X1cNR1D7_FcY9zMnHP8iP"&amp;"O4M5RCRjy6nZY0TY/edit#gid=1248694442"",""Table 3: 1st-line HC!A5:A111"")),"""")"),"")</f>
        <v/>
      </c>
      <c r="P20" s="20" t="str">
        <f>IFERROR(__xludf.DUMMYFUNCTION("IFNA(FILTER(IMPORTRANGE(""https://docs.google.com/spreadsheets/d/1kGrh75X1cNR1D7_FcY9zMnHP8iPO4M5RCRjy6nZY0TY/edit#gid=1248694442"",""Table 3: 1st-line HC!BG5:BG111""), $A20=IMPORTRANGE(""https://docs.google.com/spreadsheets/d/1kGrh75X1cNR1D7_FcY9zMnHP8iP"&amp;"O4M5RCRjy6nZY0TY/edit#gid=1248694442"",""Table 3: 1st-line HC!A5:A111"")),"""")"),"")</f>
        <v/>
      </c>
      <c r="Q20" s="21" t="str">
        <f>IFERROR(__xludf.DUMMYFUNCTION("IFNA(FILTER(IMPORTRANGE(""https://docs.google.com/spreadsheets/d/1kGrh75X1cNR1D7_FcY9zMnHP8iPO4M5RCRjy6nZY0TY/edit#gid=1248694442"",""Table 3: 1st-line HC!BH5:BH111""), $A20=IMPORTRANGE(""https://docs.google.com/spreadsheets/d/1kGrh75X1cNR1D7_FcY9zMnHP8iP"&amp;"O4M5RCRjy6nZY0TY/edit#gid=1248694442"",""Table 3: 1st-line HC!A5:A111"")),"""")"),"")</f>
        <v/>
      </c>
      <c r="R20" s="19" t="str">
        <f>IFERROR(__xludf.DUMMYFUNCTION("IFNA(FILTER(IMPORTRANGE(""https://docs.google.com/spreadsheets/d/1kGrh75X1cNR1D7_FcY9zMnHP8iPO4M5RCRjy6nZY0TY/edit#gid=1248694442"",""Table 3: 1st-line HC!AJ5:AJ111""), $A20=IMPORTRANGE(""https://docs.google.com/spreadsheets/d/1kGrh75X1cNR1D7_FcY9zMnHP8iP"&amp;"O4M5RCRjy6nZY0TY/edit#gid=1248694442"",""Table 3: 1st-line HC!A5:A111"")),"""")"),"")</f>
        <v/>
      </c>
      <c r="S20" s="20" t="str">
        <f>IFERROR(__xludf.DUMMYFUNCTION("IFNA(FILTER(IMPORTRANGE(""https://docs.google.com/spreadsheets/d/1kGrh75X1cNR1D7_FcY9zMnHP8iPO4M5RCRjy6nZY0TY/edit#gid=1248694442"",""Subgroup 3: Mi ~ Tx!B3:B17""), $A20=IMPORTRANGE(""https://docs.google.com/spreadsheets/d/1kGrh75X1cNR1D7_FcY9zMnHP8iPO4M5"&amp;"RCRjy6nZY0TY/edit#gid=1248694442"",""Subgroup 3: Mi ~ Tx!A3:A17"")),"""")"),"")</f>
        <v/>
      </c>
      <c r="T20" s="20" t="str">
        <f>IFERROR(__xludf.DUMMYFUNCTION("IFNA(FILTER(IMPORTRANGE(""https://docs.google.com/spreadsheets/d/1kGrh75X1cNR1D7_FcY9zMnHP8iPO4M5RCRjy6nZY0TY/edit#gid=1248694442"",""Subgroup 3: Mi ~ Tx!C3:C17""), $A20=IMPORTRANGE(""https://docs.google.com/spreadsheets/d/1kGrh75X1cNR1D7_FcY9zMnHP8iPO4M5"&amp;"RCRjy6nZY0TY/edit#gid=1248694442"",""Subgroup 3: Mi ~ Tx!A3:A17"")),"""")"),"")</f>
        <v/>
      </c>
      <c r="U20" s="20" t="str">
        <f>IFERROR(__xludf.DUMMYFUNCTION("IFNA(FILTER(IMPORTRANGE(""https://docs.google.com/spreadsheets/d/1kGrh75X1cNR1D7_FcY9zMnHP8iPO4M5RCRjy6nZY0TY/edit#gid=1248694442"",""Subgroup 3: Mi ~ Tx!D3:D17""), $A20=IMPORTRANGE(""https://docs.google.com/spreadsheets/d/1kGrh75X1cNR1D7_FcY9zMnHP8iPO4M5"&amp;"RCRjy6nZY0TY/edit#gid=1248694442"",""Subgroup 3: Mi ~ Tx!A3:A17"")),"""")"),"")</f>
        <v/>
      </c>
      <c r="V20" s="20" t="str">
        <f>IFERROR(__xludf.DUMMYFUNCTION("IFNA(FILTER(IMPORTRANGE(""https://docs.google.com/spreadsheets/d/1kGrh75X1cNR1D7_FcY9zMnHP8iPO4M5RCRjy6nZY0TY/edit#gid=1248694442"",""Subgroup 3: Mi ~ Tx!E3:E17""), $A20=IMPORTRANGE(""https://docs.google.com/spreadsheets/d/1kGrh75X1cNR1D7_FcY9zMnHP8iPO4M5"&amp;"RCRjy6nZY0TY/edit#gid=1248694442"",""Subgroup 3: Mi ~ Tx!A3:A17"")),"""")"),"")</f>
        <v/>
      </c>
      <c r="W20" s="20" t="str">
        <f>IFERROR(__xludf.DUMMYFUNCTION("IFNA(FILTER(IMPORTRANGE(""https://docs.google.com/spreadsheets/d/1kGrh75X1cNR1D7_FcY9zMnHP8iPO4M5RCRjy6nZY0TY/edit#gid=1248694442"",""Subgroup 3: Mi ~ Tx!F3:F17""), $A20=IMPORTRANGE(""https://docs.google.com/spreadsheets/d/1kGrh75X1cNR1D7_FcY9zMnHP8iPO4M5"&amp;"RCRjy6nZY0TY/edit#gid=1248694442"",""Subgroup 3: Mi ~ Tx!A3:A17"")),"""")"),"")</f>
        <v/>
      </c>
      <c r="X20" s="19" t="str">
        <f>IFERROR(__xludf.DUMMYFUNCTION("IFNA(FILTER(IMPORTRANGE(""https://docs.google.com/spreadsheets/d/1kGrh75X1cNR1D7_FcY9zMnHP8iPO4M5RCRjy6nZY0TY/edit#gid=1248694442"",""Table 3: 1st-line HC!AK5:AK111""), $A20=IMPORTRANGE(""https://docs.google.com/spreadsheets/d/1kGrh75X1cNR1D7_FcY9zMnHP8iP"&amp;"O4M5RCRjy6nZY0TY/edit#gid=1248694442"",""Table 3: 1st-line HC!A5:A111"")),"""")"),"")</f>
        <v/>
      </c>
      <c r="Y20" s="20" t="str">
        <f>IFERROR(__xludf.DUMMYFUNCTION("IFNA(FILTER(IMPORTRANGE(""https://docs.google.com/spreadsheets/d/1kGrh75X1cNR1D7_FcY9zMnHP8iPO4M5RCRjy6nZY0TY/edit#gid=1248694442"",""Subgroup 4: Mp ~ Tx!B3:B20""), $A20=IMPORTRANGE(""https://docs.google.com/spreadsheets/d/1kGrh75X1cNR1D7_FcY9zMnHP8iPO4M5"&amp;"RCRjy6nZY0TY/edit#gid=1248694442"",""Subgroup 4: Mp ~ Tx!A3:A20"")),"""")"),"")</f>
        <v/>
      </c>
      <c r="Z20" s="20" t="str">
        <f>IFERROR(__xludf.DUMMYFUNCTION("IFNA(FILTER(IMPORTRANGE(""https://docs.google.com/spreadsheets/d/1kGrh75X1cNR1D7_FcY9zMnHP8iPO4M5RCRjy6nZY0TY/edit#gid=1248694442"",""Subgroup 4: Mp ~ Tx!C3:C20""), $A20=IMPORTRANGE(""https://docs.google.com/spreadsheets/d/1kGrh75X1cNR1D7_FcY9zMnHP8iPO4M5"&amp;"RCRjy6nZY0TY/edit#gid=1248694442"",""Subgroup 4: Mp ~ Tx!A3:A20"")),"""")"),"")</f>
        <v/>
      </c>
      <c r="AA20" s="20" t="str">
        <f>IFERROR(__xludf.DUMMYFUNCTION("IFNA(FILTER(IMPORTRANGE(""https://docs.google.com/spreadsheets/d/1kGrh75X1cNR1D7_FcY9zMnHP8iPO4M5RCRjy6nZY0TY/edit#gid=1248694442"",""Subgroup 4: Mp ~ Tx!D3:D20""), $A20=IMPORTRANGE(""https://docs.google.com/spreadsheets/d/1kGrh75X1cNR1D7_FcY9zMnHP8iPO4M5"&amp;"RCRjy6nZY0TY/edit#gid=1248694442"",""Subgroup 4: Mp ~ Tx!A3:A20"")),"""")"),"")</f>
        <v/>
      </c>
      <c r="AB20" s="20" t="str">
        <f>IFERROR(__xludf.DUMMYFUNCTION("IFNA(FILTER(IMPORTRANGE(""https://docs.google.com/spreadsheets/d/1kGrh75X1cNR1D7_FcY9zMnHP8iPO4M5RCRjy6nZY0TY/edit#gid=1248694442"",""Subgroup 4: Mp ~ Tx!E3:E20""), $A20=IMPORTRANGE(""https://docs.google.com/spreadsheets/d/1kGrh75X1cNR1D7_FcY9zMnHP8iPO4M5"&amp;"RCRjy6nZY0TY/edit#gid=1248694442"",""Subgroup 4: Mp ~ Tx!A3:A20"")),"""")"),"")</f>
        <v/>
      </c>
      <c r="AC20" s="20" t="str">
        <f>IFERROR(__xludf.DUMMYFUNCTION("IFNA(FILTER(IMPORTRANGE(""https://docs.google.com/spreadsheets/d/1kGrh75X1cNR1D7_FcY9zMnHP8iPO4M5RCRjy6nZY0TY/edit#gid=1248694442"",""Subgroup 4: Mp ~ Tx!F3:F20""), $A20=IMPORTRANGE(""https://docs.google.com/spreadsheets/d/1kGrh75X1cNR1D7_FcY9zMnHP8iPO4M5"&amp;"RCRjy6nZY0TY/edit#gid=1248694442"",""Subgroup 4: Mp ~ Tx!A3:A20"")),"""")"),"")</f>
        <v/>
      </c>
      <c r="AD20" s="22" t="str">
        <f>IFERROR(__xludf.DUMMYFUNCTION("IFNA(FILTER(IMPORTRANGE(""https://docs.google.com/spreadsheets/d/1kGrh75X1cNR1D7_FcY9zMnHP8iPO4M5RCRjy6nZY0TY/edit#gid=1248694442"",""Table 3: 1st-line HC!AL5:AL111""), $A20=IMPORTRANGE(""https://docs.google.com/spreadsheets/d/1kGrh75X1cNR1D7_FcY9zMnHP8iP"&amp;"O4M5RCRjy6nZY0TY/edit#gid=1248694442"",""Table 3: 1st-line HC!A5:A111"")),"""")"),"")</f>
        <v/>
      </c>
      <c r="AE20" s="20" t="str">
        <f>IFERROR(__xludf.DUMMYFUNCTION("IFNA(FILTER(IMPORTRANGE(""https://docs.google.com/spreadsheets/d/1kGrh75X1cNR1D7_FcY9zMnHP8iPO4M5RCRjy6nZY0TY/edit#gid=1248694442"",""Table 3: 1st-line HC!BJ5:BJ111""), $A20=IMPORTRANGE(""https://docs.google.com/spreadsheets/d/1kGrh75X1cNR1D7_FcY9zMnHP8iP"&amp;"O4M5RCRjy6nZY0TY/edit#gid=1248694442"",""Table 3: 1st-line HC!A5:A111"")),"""")"),"")</f>
        <v/>
      </c>
      <c r="AF20" s="20" t="str">
        <f>IFERROR(__xludf.DUMMYFUNCTION("IFNA(FILTER(IMPORTRANGE(""https://docs.google.com/spreadsheets/d/1kGrh75X1cNR1D7_FcY9zMnHP8iPO4M5RCRjy6nZY0TY/edit#gid=1248694442"",""Subgroup 2: Cr ~ Tx!B3:B23""), $A20=IMPORTRANGE(""https://docs.google.com/spreadsheets/d/1kGrh75X1cNR1D7_FcY9zMnHP8iPO4M5"&amp;"RCRjy6nZY0TY/edit#gid=1248694442"",""Subgroup 2: Cr ~ Tx!A3:A23"")),"""")"),"")</f>
        <v/>
      </c>
      <c r="AG20" s="20" t="str">
        <f>IFERROR(__xludf.DUMMYFUNCTION("IFNA(FILTER(IMPORTRANGE(""https://docs.google.com/spreadsheets/d/1kGrh75X1cNR1D7_FcY9zMnHP8iPO4M5RCRjy6nZY0TY/edit#gid=1248694442"",""Subgroup 2: Cr ~ Tx!C3:C23""), $A20=IMPORTRANGE(""https://docs.google.com/spreadsheets/d/1kGrh75X1cNR1D7_FcY9zMnHP8iPO4M5"&amp;"RCRjy6nZY0TY/edit#gid=1248694442"",""Subgroup 2: Cr ~ Tx!A3:A23"")),"""")"),"")</f>
        <v/>
      </c>
      <c r="AH20" s="20" t="str">
        <f>IFERROR(__xludf.DUMMYFUNCTION("IFNA(FILTER(IMPORTRANGE(""https://docs.google.com/spreadsheets/d/1kGrh75X1cNR1D7_FcY9zMnHP8iPO4M5RCRjy6nZY0TY/edit#gid=1248694442"",""Subgroup 2: Cr ~ Tx!D3:D23""), $A20=IMPORTRANGE(""https://docs.google.com/spreadsheets/d/1kGrh75X1cNR1D7_FcY9zMnHP8iPO4M5"&amp;"RCRjy6nZY0TY/edit#gid=1248694442"",""Subgroup 2: Cr ~ Tx!A3:A23"")),"""")"),"")</f>
        <v/>
      </c>
      <c r="AI20" s="20" t="str">
        <f>IFERROR(__xludf.DUMMYFUNCTION("IFNA(FILTER(IMPORTRANGE(""https://docs.google.com/spreadsheets/d/1kGrh75X1cNR1D7_FcY9zMnHP8iPO4M5RCRjy6nZY0TY/edit#gid=1248694442"",""Subgroup 2: Cr ~ Tx!E3:E23""), $A20=IMPORTRANGE(""https://docs.google.com/spreadsheets/d/1kGrh75X1cNR1D7_FcY9zMnHP8iPO4M5"&amp;"RCRjy6nZY0TY/edit#gid=1248694442"",""Subgroup 2: Cr ~ Tx!A3:A23"")),"""")"),"")</f>
        <v/>
      </c>
      <c r="AJ20" s="20" t="str">
        <f>IFERROR(__xludf.DUMMYFUNCTION("IFNA(FILTER(IMPORTRANGE(""https://docs.google.com/spreadsheets/d/1kGrh75X1cNR1D7_FcY9zMnHP8iPO4M5RCRjy6nZY0TY/edit#gid=1248694442"",""Subgroup 2: Cr ~ Tx!F3:F23""), $A20=IMPORTRANGE(""https://docs.google.com/spreadsheets/d/1kGrh75X1cNR1D7_FcY9zMnHP8iPO4M5"&amp;"RCRjy6nZY0TY/edit#gid=1248694442"",""Subgroup 2: Cr ~ Tx!A3:A23"")),"""")"),"")</f>
        <v/>
      </c>
      <c r="AK20" s="14" t="str">
        <f>IFERROR(__xludf.DUMMYFUNCTION("IFNA(FILTER(IMPORTRANGE(""https://docs.google.com/spreadsheets/d/1kGrh75X1cNR1D7_FcY9zMnHP8iPO4M5RCRjy6nZY0TY/edit#gid=1248694442"",""Table 4: 2nd-line HC or more!M5:M85""), $A20=IMPORTRANGE(""https://docs.google.com/spreadsheets/d/1kGrh75X1cNR1D7_FcY9zMn"&amp;"HP8iPO4M5RCRjy6nZY0TY/edit#gid=1248694442"",""Table 4: 2nd-line HC or more!A5:A85"")),"""")"),"")</f>
        <v/>
      </c>
      <c r="AL20" s="14" t="str">
        <f>IFERROR(__xludf.DUMMYFUNCTION("IFNA(FILTER(IMPORTRANGE(""https://docs.google.com/spreadsheets/d/1kGrh75X1cNR1D7_FcY9zMnHP8iPO4M5RCRjy6nZY0TY/edit#gid=1248694442"",""Table 4: 2nd-line HC or more!N5:N85""), $A20=IMPORTRANGE(""https://docs.google.com/spreadsheets/d/1kGrh75X1cNR1D7_FcY9zMn"&amp;"HP8iPO4M5RCRjy6nZY0TY/edit#gid=1248694442"",""Table 4: 2nd-line HC or more!A5:A85"")),"""")"),"")</f>
        <v/>
      </c>
      <c r="AM20" s="14" t="str">
        <f>IFERROR(__xludf.DUMMYFUNCTION("IFNA(FILTER(IMPORTRANGE(""https://docs.google.com/spreadsheets/d/1kGrh75X1cNR1D7_FcY9zMnHP8iPO4M5RCRjy6nZY0TY/edit#gid=1248694442"",""Table 4: 2nd-line HC or more!O5:O85""), $A20=IMPORTRANGE(""https://docs.google.com/spreadsheets/d/1kGrh75X1cNR1D7_FcY9zMn"&amp;"HP8iPO4M5RCRjy6nZY0TY/edit#gid=1248694442"",""Table 4: 2nd-line HC or more!A5:A85"")),"""")"),"")</f>
        <v/>
      </c>
      <c r="AN20" s="14" t="str">
        <f>IFERROR(__xludf.DUMMYFUNCTION("IFNA(FILTER(IMPORTRANGE(""https://docs.google.com/spreadsheets/d/1kGrh75X1cNR1D7_FcY9zMnHP8iPO4M5RCRjy6nZY0TY/edit#gid=1248694442"",""Table 3: 1st-line HC!AP5:AP111""), $A20=IMPORTRANGE(""https://docs.google.com/spreadsheets/d/1kGrh75X1cNR1D7_FcY9zMnHP8iP"&amp;"O4M5RCRjy6nZY0TY/edit#gid=1248694442"",""Table 3: 1st-line HC!A5:A111"")),"""")"),"")</f>
        <v/>
      </c>
      <c r="AO20" s="14" t="str">
        <f>IFERROR(__xludf.DUMMYFUNCTION("IFNA(FILTER(IMPORTRANGE(""https://docs.google.com/spreadsheets/d/1kGrh75X1cNR1D7_FcY9zMnHP8iPO4M5RCRjy6nZY0TY/edit#gid=1248694442"",""Table 3: 1st-line HC!AO5:AO111""), $A20=IMPORTRANGE(""https://docs.google.com/spreadsheets/d/1kGrh75X1cNR1D7_FcY9zMnHP8iP"&amp;"O4M5RCRjy6nZY0TY/edit#gid=1248694442"",""Table 3: 1st-line HC!A5:A111"")),"""")"),"")</f>
        <v/>
      </c>
      <c r="AP20" s="14" t="str">
        <f>IFERROR(__xludf.DUMMYFUNCTION("IFNA(FILTER(IMPORTRANGE(""https://docs.google.com/spreadsheets/d/1kGrh75X1cNR1D7_FcY9zMnHP8iPO4M5RCRjy6nZY0TY/edit#gid=1248694442"",""Table 3: 1st-line HC!AQ5:AQ111""), $A20=IMPORTRANGE(""https://docs.google.com/spreadsheets/d/1kGrh75X1cNR1D7_FcY9zMnHP8iP"&amp;"O4M5RCRjy6nZY0TY/edit#gid=1248694442"",""Table 3: 1st-line HC!A5:A111"")),"""")"),"")</f>
        <v/>
      </c>
      <c r="AQ20" s="14" t="str">
        <f>IFERROR(__xludf.DUMMYFUNCTION("IFNA(FILTER(IMPORTRANGE(""https://docs.google.com/spreadsheets/d/1kGrh75X1cNR1D7_FcY9zMnHP8iPO4M5RCRjy6nZY0TY/edit#gid=1248694442"",""Table 2: MMC!T5:T114""), $A20=IMPORTRANGE(""https://docs.google.com/spreadsheets/d/1kGrh75X1cNR1D7_FcY9zMnHP8iPO4M5RCRjy6"&amp;"nZY0TY/edit#gid=1248694442"",""Table 2: MMC!A5:A114"")),"""")"),"")</f>
        <v/>
      </c>
      <c r="AR20" s="14" t="str">
        <f>IFERROR(__xludf.DUMMYFUNCTION("IFNA(FILTER(IMPORTRANGE(""https://docs.google.com/spreadsheets/d/1kGrh75X1cNR1D7_FcY9zMnHP8iPO4M5RCRjy6nZY0TY/edit#gid=1248694442"",""Table 2: MMC!U5:U114""), $A20=IMPORTRANGE(""https://docs.google.com/spreadsheets/d/1kGrh75X1cNR1D7_FcY9zMnHP8iPO4M5RCRjy6"&amp;"nZY0TY/edit#gid=1248694442"",""Table 2: MMC!A5:A114"")),"""")"),"")</f>
        <v/>
      </c>
      <c r="AS20" s="14" t="str">
        <f>IFERROR(__xludf.DUMMYFUNCTION("IFNA(FILTER(IMPORTRANGE(""https://docs.google.com/spreadsheets/d/1kGrh75X1cNR1D7_FcY9zMnHP8iPO4M5RCRjy6nZY0TY/edit#gid=1248694442"",""Table 2: MMC!V5:V114""), $A20=IMPORTRANGE(""https://docs.google.com/spreadsheets/d/1kGrh75X1cNR1D7_FcY9zMnHP8iPO4M5RCRjy6"&amp;"nZY0TY/edit#gid=1248694442"",""Table 2: MMC!A5:A114"")),"""")"),"")</f>
        <v/>
      </c>
      <c r="AT20" s="4" t="str">
        <f>IFERROR(__xludf.DUMMYFUNCTION("IFNA(FILTER(IMPORTRANGE(""https://docs.google.com/spreadsheets/d/1kGrh75X1cNR1D7_FcY9zMnHP8iPO4M5RCRjy6nZY0TY/edit#gid=1248694442"",""Table 2: MMC!W5:W114""), $A20=IMPORTRANGE(""https://docs.google.com/spreadsheets/d/1kGrh75X1cNR1D7_FcY9zMnHP8iPO4M5RCRjy6"&amp;"nZY0TY/edit#gid=1248694442"",""Table 2: MMC!A5:A114"")),"""")"),"")</f>
        <v/>
      </c>
    </row>
    <row r="21">
      <c r="A21" s="4" t="str">
        <f>IFERROR(__xludf.DUMMYFUNCTION("""COMPUTED_VALUE"""),"ID 35")</f>
        <v>ID 35</v>
      </c>
      <c r="B21" s="20">
        <f>IFERROR(__xludf.DUMMYFUNCTION("IFNA(FILTER(IMPORTRANGE(""https://docs.google.com/spreadsheets/d/1kGrh75X1cNR1D7_FcY9zMnHP8iPO4M5RCRjy6nZY0TY/edit#gid=1248694442"",""Table 3: 1st-line HC!BK5:BK111""), $A21=IMPORTRANGE(""https://docs.google.com/spreadsheets/d/1kGrh75X1cNR1D7_FcY9zMnHP8iP"&amp;"O4M5RCRjy6nZY0TY/edit#gid=1248694442"",""Table 3: 1st-line HC!A5:A111"")),"""")"),0.16)</f>
        <v>0.16</v>
      </c>
      <c r="C21" s="20" t="str">
        <f>IFERROR(__xludf.DUMMYFUNCTION("IFNA(FILTER(IMPORTRANGE(""https://docs.google.com/spreadsheets/d/1kGrh75X1cNR1D7_FcY9zMnHP8iPO4M5RCRjy6nZY0TY/edit#gid=1248694442"",""Subgroup 1: Fr ~ Tx!B3:B20""), $A21=IMPORTRANGE(""https://docs.google.com/spreadsheets/d/1kGrh75X1cNR1D7_FcY9zMnHP8iPO4M5"&amp;"RCRjy6nZY0TY/edit#gid=1248694442"",""Subgroup 1: Fr ~ Tx!A3:A20"")),"""")"),"")</f>
        <v/>
      </c>
      <c r="D21" s="20">
        <f>IFERROR(__xludf.DUMMYFUNCTION("IFNA(FILTER(IMPORTRANGE(""https://docs.google.com/spreadsheets/d/1kGrh75X1cNR1D7_FcY9zMnHP8iPO4M5RCRjy6nZY0TY/edit#gid=1248694442"",""Subgroup 1: Fr ~ Tx!C3:C20""), $A21=IMPORTRANGE(""https://docs.google.com/spreadsheets/d/1kGrh75X1cNR1D7_FcY9zMnHP8iPO4M5"&amp;"RCRjy6nZY0TY/edit#gid=1248694442"",""Subgroup 1: Fr ~ Tx!A3:A20"")),"""")"),0.159722222222222)</f>
        <v>0.1597222222</v>
      </c>
      <c r="E21" s="20" t="str">
        <f>IFERROR(__xludf.DUMMYFUNCTION("IFNA(FILTER(IMPORTRANGE(""https://docs.google.com/spreadsheets/d/1kGrh75X1cNR1D7_FcY9zMnHP8iPO4M5RCRjy6nZY0TY/edit#gid=1248694442"",""Subgroup 1: Fr ~ Tx!D3:D20""), $A21=IMPORTRANGE(""https://docs.google.com/spreadsheets/d/1kGrh75X1cNR1D7_FcY9zMnHP8iPO4M5"&amp;"RCRjy6nZY0TY/edit#gid=1248694442"",""Subgroup 1: Fr ~ Tx!A3:A20"")),"""")"),"")</f>
        <v/>
      </c>
      <c r="F21" s="20" t="str">
        <f>IFERROR(__xludf.DUMMYFUNCTION("IFNA(FILTER(IMPORTRANGE(""https://docs.google.com/spreadsheets/d/1kGrh75X1cNR1D7_FcY9zMnHP8iPO4M5RCRjy6nZY0TY/edit#gid=1248694442"",""Subgroup 1: Fr ~ Tx!E3:E20""), $A21=IMPORTRANGE(""https://docs.google.com/spreadsheets/d/1kGrh75X1cNR1D7_FcY9zMnHP8iPO4M5"&amp;"RCRjy6nZY0TY/edit#gid=1248694442"",""Subgroup 1: Fr ~ Tx!A3:A20"")),"""")"),"")</f>
        <v/>
      </c>
      <c r="G21" s="20" t="str">
        <f>IFERROR(__xludf.DUMMYFUNCTION("IFNA(FILTER(IMPORTRANGE(""https://docs.google.com/spreadsheets/d/1kGrh75X1cNR1D7_FcY9zMnHP8iPO4M5RCRjy6nZY0TY/edit#gid=1248694442"",""Subgroup 1: Fr ~ Tx!F3:F20""), $A21=IMPORTRANGE(""https://docs.google.com/spreadsheets/d/1kGrh75X1cNR1D7_FcY9zMnHP8iPO4M5"&amp;"RCRjy6nZY0TY/edit#gid=1248694442"",""Subgroup 1: Fr ~ Tx!A3:A20"")),"""")"),"")</f>
        <v/>
      </c>
      <c r="H21" s="20" t="str">
        <f>IFERROR(__xludf.DUMMYFUNCTION("IFNA(FILTER(IMPORTRANGE(""https://docs.google.com/spreadsheets/d/1kGrh75X1cNR1D7_FcY9zMnHP8iPO4M5RCRjy6nZY0TY/edit#gid=1248694442"",""Table 3: 1st-line HC!BD5:BD111""), $A21=IMPORTRANGE(""https://docs.google.com/spreadsheets/d/1kGrh75X1cNR1D7_FcY9zMnHP8iP"&amp;"O4M5RCRjy6nZY0TY/edit#gid=1248694442"",""Table 3: 1st-line HC!A5:A111"")),"""")"),"")</f>
        <v/>
      </c>
      <c r="I21" s="20" t="str">
        <f>IFERROR(__xludf.DUMMYFUNCTION("IFNA(FILTER(IMPORTRANGE(""https://docs.google.com/spreadsheets/d/1kGrh75X1cNR1D7_FcY9zMnHP8iPO4M5RCRjy6nZY0TY/edit#gid=1248694442"",""Subgroup 5: Tf ~ Tx!B3:B8""), $A21=IMPORTRANGE(""https://docs.google.com/spreadsheets/d/1kGrh75X1cNR1D7_FcY9zMnHP8iPO4M5R"&amp;"CRjy6nZY0TY/edit#gid=1248694442"",""Subgroup 5: Tf ~ Tx!A3:A8"")),"""")"),"")</f>
        <v/>
      </c>
      <c r="J21" s="20" t="str">
        <f>IFERROR(__xludf.DUMMYFUNCTION("IFNA(FILTER(IMPORTRANGE(""https://docs.google.com/spreadsheets/d/1kGrh75X1cNR1D7_FcY9zMnHP8iPO4M5RCRjy6nZY0TY/edit#gid=1248694442"",""Subgroup 5: Tf ~ Tx!C3:C8""), $A21=IMPORTRANGE(""https://docs.google.com/spreadsheets/d/1kGrh75X1cNR1D7_FcY9zMnHP8iPO4M5R"&amp;"CRjy6nZY0TY/edit#gid=1248694442"",""Subgroup 5: Tf ~ Tx!A3:A8"")),"""")"),"")</f>
        <v/>
      </c>
      <c r="K21" s="20" t="str">
        <f>IFERROR(__xludf.DUMMYFUNCTION("IFNA(FILTER(IMPORTRANGE(""https://docs.google.com/spreadsheets/d/1kGrh75X1cNR1D7_FcY9zMnHP8iPO4M5RCRjy6nZY0TY/edit#gid=1248694442"",""Subgroup 5: Tf ~ Tx!D3:D8""), $A21=IMPORTRANGE(""https://docs.google.com/spreadsheets/d/1kGrh75X1cNR1D7_FcY9zMnHP8iPO4M5R"&amp;"CRjy6nZY0TY/edit#gid=1248694442"",""Subgroup 5: Tf ~ Tx!A3:A8"")),"""")"),"")</f>
        <v/>
      </c>
      <c r="L21" s="20" t="str">
        <f>IFERROR(__xludf.DUMMYFUNCTION("IFNA(FILTER(IMPORTRANGE(""https://docs.google.com/spreadsheets/d/1kGrh75X1cNR1D7_FcY9zMnHP8iPO4M5RCRjy6nZY0TY/edit#gid=1248694442"",""Subgroup 5: Tf ~ Tx!E3:E8""), $A21=IMPORTRANGE(""https://docs.google.com/spreadsheets/d/1kGrh75X1cNR1D7_FcY9zMnHP8iPO4M5R"&amp;"CRjy6nZY0TY/edit#gid=1248694442"",""Subgroup 5: Tf ~ Tx!A3:A8"")),"""")"),"")</f>
        <v/>
      </c>
      <c r="M21" s="20" t="str">
        <f>IFERROR(__xludf.DUMMYFUNCTION("IFNA(FILTER(IMPORTRANGE(""https://docs.google.com/spreadsheets/d/1kGrh75X1cNR1D7_FcY9zMnHP8iPO4M5RCRjy6nZY0TY/edit#gid=1248694442"",""Subgroup 5: Tf ~ Tx!F3:F8""), $A21=IMPORTRANGE(""https://docs.google.com/spreadsheets/d/1kGrh75X1cNR1D7_FcY9zMnHP8iPO4M5R"&amp;"CRjy6nZY0TY/edit#gid=1248694442"",""Subgroup 5: Tf ~ Tx!A3:A8"")),"""")"),"")</f>
        <v/>
      </c>
      <c r="N21" s="20" t="str">
        <f>IFERROR(__xludf.DUMMYFUNCTION("IFNA(FILTER(IMPORTRANGE(""https://docs.google.com/spreadsheets/d/1kGrh75X1cNR1D7_FcY9zMnHP8iPO4M5RCRjy6nZY0TY/edit#gid=1248694442"",""Table 3: 1st-line HC!BE5:BE111""), $A21=IMPORTRANGE(""https://docs.google.com/spreadsheets/d/1kGrh75X1cNR1D7_FcY9zMnHP8iP"&amp;"O4M5RCRjy6nZY0TY/edit#gid=1248694442"",""Table 3: 1st-line HC!A5:A111"")),"""")"),"")</f>
        <v/>
      </c>
      <c r="O21" s="20" t="str">
        <f>IFERROR(__xludf.DUMMYFUNCTION("IFNA(FILTER(IMPORTRANGE(""https://docs.google.com/spreadsheets/d/1kGrh75X1cNR1D7_FcY9zMnHP8iPO4M5RCRjy6nZY0TY/edit#gid=1248694442"",""Table 3: 1st-line HC!BF5:BF111""), $A21=IMPORTRANGE(""https://docs.google.com/spreadsheets/d/1kGrh75X1cNR1D7_FcY9zMnHP8iP"&amp;"O4M5RCRjy6nZY0TY/edit#gid=1248694442"",""Table 3: 1st-line HC!A5:A111"")),"""")"),"")</f>
        <v/>
      </c>
      <c r="P21" s="20" t="str">
        <f>IFERROR(__xludf.DUMMYFUNCTION("IFNA(FILTER(IMPORTRANGE(""https://docs.google.com/spreadsheets/d/1kGrh75X1cNR1D7_FcY9zMnHP8iPO4M5RCRjy6nZY0TY/edit#gid=1248694442"",""Table 3: 1st-line HC!BG5:BG111""), $A21=IMPORTRANGE(""https://docs.google.com/spreadsheets/d/1kGrh75X1cNR1D7_FcY9zMnHP8iP"&amp;"O4M5RCRjy6nZY0TY/edit#gid=1248694442"",""Table 3: 1st-line HC!A5:A111"")),"""")"),"")</f>
        <v/>
      </c>
      <c r="Q21" s="21" t="str">
        <f>IFERROR(__xludf.DUMMYFUNCTION("IFNA(FILTER(IMPORTRANGE(""https://docs.google.com/spreadsheets/d/1kGrh75X1cNR1D7_FcY9zMnHP8iPO4M5RCRjy6nZY0TY/edit#gid=1248694442"",""Table 3: 1st-line HC!BH5:BH111""), $A21=IMPORTRANGE(""https://docs.google.com/spreadsheets/d/1kGrh75X1cNR1D7_FcY9zMnHP8iP"&amp;"O4M5RCRjy6nZY0TY/edit#gid=1248694442"",""Table 3: 1st-line HC!A5:A111"")),"""")"),"")</f>
        <v/>
      </c>
      <c r="R21" s="19" t="str">
        <f>IFERROR(__xludf.DUMMYFUNCTION("IFNA(FILTER(IMPORTRANGE(""https://docs.google.com/spreadsheets/d/1kGrh75X1cNR1D7_FcY9zMnHP8iPO4M5RCRjy6nZY0TY/edit#gid=1248694442"",""Table 3: 1st-line HC!AJ5:AJ111""), $A21=IMPORTRANGE(""https://docs.google.com/spreadsheets/d/1kGrh75X1cNR1D7_FcY9zMnHP8iP"&amp;"O4M5RCRjy6nZY0TY/edit#gid=1248694442"",""Table 3: 1st-line HC!A5:A111"")),"""")"),"")</f>
        <v/>
      </c>
      <c r="S21" s="20" t="str">
        <f>IFERROR(__xludf.DUMMYFUNCTION("IFNA(FILTER(IMPORTRANGE(""https://docs.google.com/spreadsheets/d/1kGrh75X1cNR1D7_FcY9zMnHP8iPO4M5RCRjy6nZY0TY/edit#gid=1248694442"",""Subgroup 3: Mi ~ Tx!B3:B17""), $A21=IMPORTRANGE(""https://docs.google.com/spreadsheets/d/1kGrh75X1cNR1D7_FcY9zMnHP8iPO4M5"&amp;"RCRjy6nZY0TY/edit#gid=1248694442"",""Subgroup 3: Mi ~ Tx!A3:A17"")),"""")"),"")</f>
        <v/>
      </c>
      <c r="T21" s="20" t="str">
        <f>IFERROR(__xludf.DUMMYFUNCTION("IFNA(FILTER(IMPORTRANGE(""https://docs.google.com/spreadsheets/d/1kGrh75X1cNR1D7_FcY9zMnHP8iPO4M5RCRjy6nZY0TY/edit#gid=1248694442"",""Subgroup 3: Mi ~ Tx!C3:C17""), $A21=IMPORTRANGE(""https://docs.google.com/spreadsheets/d/1kGrh75X1cNR1D7_FcY9zMnHP8iPO4M5"&amp;"RCRjy6nZY0TY/edit#gid=1248694442"",""Subgroup 3: Mi ~ Tx!A3:A17"")),"""")"),"")</f>
        <v/>
      </c>
      <c r="U21" s="20" t="str">
        <f>IFERROR(__xludf.DUMMYFUNCTION("IFNA(FILTER(IMPORTRANGE(""https://docs.google.com/spreadsheets/d/1kGrh75X1cNR1D7_FcY9zMnHP8iPO4M5RCRjy6nZY0TY/edit#gid=1248694442"",""Subgroup 3: Mi ~ Tx!D3:D17""), $A21=IMPORTRANGE(""https://docs.google.com/spreadsheets/d/1kGrh75X1cNR1D7_FcY9zMnHP8iPO4M5"&amp;"RCRjy6nZY0TY/edit#gid=1248694442"",""Subgroup 3: Mi ~ Tx!A3:A17"")),"""")"),"")</f>
        <v/>
      </c>
      <c r="V21" s="20" t="str">
        <f>IFERROR(__xludf.DUMMYFUNCTION("IFNA(FILTER(IMPORTRANGE(""https://docs.google.com/spreadsheets/d/1kGrh75X1cNR1D7_FcY9zMnHP8iPO4M5RCRjy6nZY0TY/edit#gid=1248694442"",""Subgroup 3: Mi ~ Tx!E3:E17""), $A21=IMPORTRANGE(""https://docs.google.com/spreadsheets/d/1kGrh75X1cNR1D7_FcY9zMnHP8iPO4M5"&amp;"RCRjy6nZY0TY/edit#gid=1248694442"",""Subgroup 3: Mi ~ Tx!A3:A17"")),"""")"),"")</f>
        <v/>
      </c>
      <c r="W21" s="20" t="str">
        <f>IFERROR(__xludf.DUMMYFUNCTION("IFNA(FILTER(IMPORTRANGE(""https://docs.google.com/spreadsheets/d/1kGrh75X1cNR1D7_FcY9zMnHP8iPO4M5RCRjy6nZY0TY/edit#gid=1248694442"",""Subgroup 3: Mi ~ Tx!F3:F17""), $A21=IMPORTRANGE(""https://docs.google.com/spreadsheets/d/1kGrh75X1cNR1D7_FcY9zMnHP8iPO4M5"&amp;"RCRjy6nZY0TY/edit#gid=1248694442"",""Subgroup 3: Mi ~ Tx!A3:A17"")),"""")"),"")</f>
        <v/>
      </c>
      <c r="X21" s="19" t="str">
        <f>IFERROR(__xludf.DUMMYFUNCTION("IFNA(FILTER(IMPORTRANGE(""https://docs.google.com/spreadsheets/d/1kGrh75X1cNR1D7_FcY9zMnHP8iPO4M5RCRjy6nZY0TY/edit#gid=1248694442"",""Table 3: 1st-line HC!AK5:AK111""), $A21=IMPORTRANGE(""https://docs.google.com/spreadsheets/d/1kGrh75X1cNR1D7_FcY9zMnHP8iP"&amp;"O4M5RCRjy6nZY0TY/edit#gid=1248694442"",""Table 3: 1st-line HC!A5:A111"")),"""")"),"")</f>
        <v/>
      </c>
      <c r="Y21" s="20" t="str">
        <f>IFERROR(__xludf.DUMMYFUNCTION("IFNA(FILTER(IMPORTRANGE(""https://docs.google.com/spreadsheets/d/1kGrh75X1cNR1D7_FcY9zMnHP8iPO4M5RCRjy6nZY0TY/edit#gid=1248694442"",""Subgroup 4: Mp ~ Tx!B3:B20""), $A21=IMPORTRANGE(""https://docs.google.com/spreadsheets/d/1kGrh75X1cNR1D7_FcY9zMnHP8iPO4M5"&amp;"RCRjy6nZY0TY/edit#gid=1248694442"",""Subgroup 4: Mp ~ Tx!A3:A20"")),"""")"),"")</f>
        <v/>
      </c>
      <c r="Z21" s="20" t="str">
        <f>IFERROR(__xludf.DUMMYFUNCTION("IFNA(FILTER(IMPORTRANGE(""https://docs.google.com/spreadsheets/d/1kGrh75X1cNR1D7_FcY9zMnHP8iPO4M5RCRjy6nZY0TY/edit#gid=1248694442"",""Subgroup 4: Mp ~ Tx!C3:C20""), $A21=IMPORTRANGE(""https://docs.google.com/spreadsheets/d/1kGrh75X1cNR1D7_FcY9zMnHP8iPO4M5"&amp;"RCRjy6nZY0TY/edit#gid=1248694442"",""Subgroup 4: Mp ~ Tx!A3:A20"")),"""")"),"")</f>
        <v/>
      </c>
      <c r="AA21" s="20" t="str">
        <f>IFERROR(__xludf.DUMMYFUNCTION("IFNA(FILTER(IMPORTRANGE(""https://docs.google.com/spreadsheets/d/1kGrh75X1cNR1D7_FcY9zMnHP8iPO4M5RCRjy6nZY0TY/edit#gid=1248694442"",""Subgroup 4: Mp ~ Tx!D3:D20""), $A21=IMPORTRANGE(""https://docs.google.com/spreadsheets/d/1kGrh75X1cNR1D7_FcY9zMnHP8iPO4M5"&amp;"RCRjy6nZY0TY/edit#gid=1248694442"",""Subgroup 4: Mp ~ Tx!A3:A20"")),"""")"),"")</f>
        <v/>
      </c>
      <c r="AB21" s="20" t="str">
        <f>IFERROR(__xludf.DUMMYFUNCTION("IFNA(FILTER(IMPORTRANGE(""https://docs.google.com/spreadsheets/d/1kGrh75X1cNR1D7_FcY9zMnHP8iPO4M5RCRjy6nZY0TY/edit#gid=1248694442"",""Subgroup 4: Mp ~ Tx!E3:E20""), $A21=IMPORTRANGE(""https://docs.google.com/spreadsheets/d/1kGrh75X1cNR1D7_FcY9zMnHP8iPO4M5"&amp;"RCRjy6nZY0TY/edit#gid=1248694442"",""Subgroup 4: Mp ~ Tx!A3:A20"")),"""")"),"")</f>
        <v/>
      </c>
      <c r="AC21" s="20" t="str">
        <f>IFERROR(__xludf.DUMMYFUNCTION("IFNA(FILTER(IMPORTRANGE(""https://docs.google.com/spreadsheets/d/1kGrh75X1cNR1D7_FcY9zMnHP8iPO4M5RCRjy6nZY0TY/edit#gid=1248694442"",""Subgroup 4: Mp ~ Tx!F3:F20""), $A21=IMPORTRANGE(""https://docs.google.com/spreadsheets/d/1kGrh75X1cNR1D7_FcY9zMnHP8iPO4M5"&amp;"RCRjy6nZY0TY/edit#gid=1248694442"",""Subgroup 4: Mp ~ Tx!A3:A20"")),"""")"),"")</f>
        <v/>
      </c>
      <c r="AD21" s="22" t="str">
        <f>IFERROR(__xludf.DUMMYFUNCTION("IFNA(FILTER(IMPORTRANGE(""https://docs.google.com/spreadsheets/d/1kGrh75X1cNR1D7_FcY9zMnHP8iPO4M5RCRjy6nZY0TY/edit#gid=1248694442"",""Table 3: 1st-line HC!AL5:AL111""), $A21=IMPORTRANGE(""https://docs.google.com/spreadsheets/d/1kGrh75X1cNR1D7_FcY9zMnHP8iP"&amp;"O4M5RCRjy6nZY0TY/edit#gid=1248694442"",""Table 3: 1st-line HC!A5:A111"")),"""")"),"From the text all 9 deaths were attributed to MMC repair")</f>
        <v>From the text all 9 deaths were attributed to MMC repair</v>
      </c>
      <c r="AE21" s="20">
        <f>IFERROR(__xludf.DUMMYFUNCTION("IFNA(FILTER(IMPORTRANGE(""https://docs.google.com/spreadsheets/d/1kGrh75X1cNR1D7_FcY9zMnHP8iPO4M5RCRjy6nZY0TY/edit#gid=1248694442"",""Table 3: 1st-line HC!BJ5:BJ111""), $A21=IMPORTRANGE(""https://docs.google.com/spreadsheets/d/1kGrh75X1cNR1D7_FcY9zMnHP8iP"&amp;"O4M5RCRjy6nZY0TY/edit#gid=1248694442"",""Table 3: 1st-line HC!A5:A111"")),"""")"),0.16)</f>
        <v>0.16</v>
      </c>
      <c r="AF21" s="20" t="str">
        <f>IFERROR(__xludf.DUMMYFUNCTION("IFNA(FILTER(IMPORTRANGE(""https://docs.google.com/spreadsheets/d/1kGrh75X1cNR1D7_FcY9zMnHP8iPO4M5RCRjy6nZY0TY/edit#gid=1248694442"",""Subgroup 2: Cr ~ Tx!B3:B23""), $A21=IMPORTRANGE(""https://docs.google.com/spreadsheets/d/1kGrh75X1cNR1D7_FcY9zMnHP8iPO4M5"&amp;"RCRjy6nZY0TY/edit#gid=1248694442"",""Subgroup 2: Cr ~ Tx!A3:A23"")),"""")"),"")</f>
        <v/>
      </c>
      <c r="AG21" s="20">
        <f>IFERROR(__xludf.DUMMYFUNCTION("IFNA(FILTER(IMPORTRANGE(""https://docs.google.com/spreadsheets/d/1kGrh75X1cNR1D7_FcY9zMnHP8iPO4M5RCRjy6nZY0TY/edit#gid=1248694442"",""Subgroup 2: Cr ~ Tx!C3:C23""), $A21=IMPORTRANGE(""https://docs.google.com/spreadsheets/d/1kGrh75X1cNR1D7_FcY9zMnHP8iPO4M5"&amp;"RCRjy6nZY0TY/edit#gid=1248694442"",""Subgroup 2: Cr ~ Tx!A3:A23"")),"""")"),0.159722222222222)</f>
        <v>0.1597222222</v>
      </c>
      <c r="AH21" s="20" t="str">
        <f>IFERROR(__xludf.DUMMYFUNCTION("IFNA(FILTER(IMPORTRANGE(""https://docs.google.com/spreadsheets/d/1kGrh75X1cNR1D7_FcY9zMnHP8iPO4M5RCRjy6nZY0TY/edit#gid=1248694442"",""Subgroup 2: Cr ~ Tx!D3:D23""), $A21=IMPORTRANGE(""https://docs.google.com/spreadsheets/d/1kGrh75X1cNR1D7_FcY9zMnHP8iPO4M5"&amp;"RCRjy6nZY0TY/edit#gid=1248694442"",""Subgroup 2: Cr ~ Tx!A3:A23"")),"""")"),"")</f>
        <v/>
      </c>
      <c r="AI21" s="20" t="str">
        <f>IFERROR(__xludf.DUMMYFUNCTION("IFNA(FILTER(IMPORTRANGE(""https://docs.google.com/spreadsheets/d/1kGrh75X1cNR1D7_FcY9zMnHP8iPO4M5RCRjy6nZY0TY/edit#gid=1248694442"",""Subgroup 2: Cr ~ Tx!E3:E23""), $A21=IMPORTRANGE(""https://docs.google.com/spreadsheets/d/1kGrh75X1cNR1D7_FcY9zMnHP8iPO4M5"&amp;"RCRjy6nZY0TY/edit#gid=1248694442"",""Subgroup 2: Cr ~ Tx!A3:A23"")),"""")"),"")</f>
        <v/>
      </c>
      <c r="AJ21" s="20" t="str">
        <f>IFERROR(__xludf.DUMMYFUNCTION("IFNA(FILTER(IMPORTRANGE(""https://docs.google.com/spreadsheets/d/1kGrh75X1cNR1D7_FcY9zMnHP8iPO4M5RCRjy6nZY0TY/edit#gid=1248694442"",""Subgroup 2: Cr ~ Tx!F3:F23""), $A21=IMPORTRANGE(""https://docs.google.com/spreadsheets/d/1kGrh75X1cNR1D7_FcY9zMnHP8iPO4M5"&amp;"RCRjy6nZY0TY/edit#gid=1248694442"",""Subgroup 2: Cr ~ Tx!A3:A23"")),"""")"),"")</f>
        <v/>
      </c>
      <c r="AK21" s="14" t="str">
        <f>IFERROR(__xludf.DUMMYFUNCTION("IFNA(FILTER(IMPORTRANGE(""https://docs.google.com/spreadsheets/d/1kGrh75X1cNR1D7_FcY9zMnHP8iPO4M5RCRjy6nZY0TY/edit#gid=1248694442"",""Table 4: 2nd-line HC or more!M5:M85""), $A21=IMPORTRANGE(""https://docs.google.com/spreadsheets/d/1kGrh75X1cNR1D7_FcY9zMn"&amp;"HP8iPO4M5RCRjy6nZY0TY/edit#gid=1248694442"",""Table 4: 2nd-line HC or more!A5:A85"")),"""")"),"")</f>
        <v/>
      </c>
      <c r="AL21" s="14" t="str">
        <f>IFERROR(__xludf.DUMMYFUNCTION("IFNA(FILTER(IMPORTRANGE(""https://docs.google.com/spreadsheets/d/1kGrh75X1cNR1D7_FcY9zMnHP8iPO4M5RCRjy6nZY0TY/edit#gid=1248694442"",""Table 4: 2nd-line HC or more!N5:N85""), $A21=IMPORTRANGE(""https://docs.google.com/spreadsheets/d/1kGrh75X1cNR1D7_FcY9zMn"&amp;"HP8iPO4M5RCRjy6nZY0TY/edit#gid=1248694442"",""Table 4: 2nd-line HC or more!A5:A85"")),"""")"),"")</f>
        <v/>
      </c>
      <c r="AM21" s="14" t="str">
        <f>IFERROR(__xludf.DUMMYFUNCTION("IFNA(FILTER(IMPORTRANGE(""https://docs.google.com/spreadsheets/d/1kGrh75X1cNR1D7_FcY9zMnHP8iPO4M5RCRjy6nZY0TY/edit#gid=1248694442"",""Table 4: 2nd-line HC or more!O5:O85""), $A21=IMPORTRANGE(""https://docs.google.com/spreadsheets/d/1kGrh75X1cNR1D7_FcY9zMn"&amp;"HP8iPO4M5RCRjy6nZY0TY/edit#gid=1248694442"",""Table 4: 2nd-line HC or more!A5:A85"")),"""")"),"")</f>
        <v/>
      </c>
      <c r="AN21" s="14" t="str">
        <f>IFERROR(__xludf.DUMMYFUNCTION("IFNA(FILTER(IMPORTRANGE(""https://docs.google.com/spreadsheets/d/1kGrh75X1cNR1D7_FcY9zMnHP8iPO4M5RCRjy6nZY0TY/edit#gid=1248694442"",""Table 3: 1st-line HC!AP5:AP111""), $A21=IMPORTRANGE(""https://docs.google.com/spreadsheets/d/1kGrh75X1cNR1D7_FcY9zMnHP8iP"&amp;"O4M5RCRjy6nZY0TY/edit#gid=1248694442"",""Table 3: 1st-line HC!A5:A111"")),"""")"),"")</f>
        <v/>
      </c>
      <c r="AO21" s="14" t="str">
        <f>IFERROR(__xludf.DUMMYFUNCTION("IFNA(FILTER(IMPORTRANGE(""https://docs.google.com/spreadsheets/d/1kGrh75X1cNR1D7_FcY9zMnHP8iPO4M5RCRjy6nZY0TY/edit#gid=1248694442"",""Table 3: 1st-line HC!AO5:AO111""), $A21=IMPORTRANGE(""https://docs.google.com/spreadsheets/d/1kGrh75X1cNR1D7_FcY9zMnHP8iP"&amp;"O4M5RCRjy6nZY0TY/edit#gid=1248694442"",""Table 3: 1st-line HC!A5:A111"")),"""")"),"")</f>
        <v/>
      </c>
      <c r="AP21" s="14">
        <f>IFERROR(__xludf.DUMMYFUNCTION("IFNA(FILTER(IMPORTRANGE(""https://docs.google.com/spreadsheets/d/1kGrh75X1cNR1D7_FcY9zMnHP8iPO4M5RCRjy6nZY0TY/edit#gid=1248694442"",""Table 3: 1st-line HC!AQ5:AQ111""), $A21=IMPORTRANGE(""https://docs.google.com/spreadsheets/d/1kGrh75X1cNR1D7_FcY9zMnHP8iP"&amp;"O4M5RCRjy6nZY0TY/edit#gid=1248694442"",""Table 3: 1st-line HC!A5:A111"")),"""")"),23.0)</f>
        <v>23</v>
      </c>
      <c r="AQ21" s="14">
        <f>IFERROR(__xludf.DUMMYFUNCTION("IFNA(FILTER(IMPORTRANGE(""https://docs.google.com/spreadsheets/d/1kGrh75X1cNR1D7_FcY9zMnHP8iPO4M5RCRjy6nZY0TY/edit#gid=1248694442"",""Table 2: MMC!T5:T114""), $A21=IMPORTRANGE(""https://docs.google.com/spreadsheets/d/1kGrh75X1cNR1D7_FcY9zMnHP8iPO4M5RCRjy6"&amp;"nZY0TY/edit#gid=1248694442"",""Table 2: MMC!A5:A114"")),"""")"),17.0)</f>
        <v>17</v>
      </c>
      <c r="AR21" s="14" t="str">
        <f>IFERROR(__xludf.DUMMYFUNCTION("IFNA(FILTER(IMPORTRANGE(""https://docs.google.com/spreadsheets/d/1kGrh75X1cNR1D7_FcY9zMnHP8iPO4M5RCRjy6nZY0TY/edit#gid=1248694442"",""Table 2: MMC!U5:U114""), $A21=IMPORTRANGE(""https://docs.google.com/spreadsheets/d/1kGrh75X1cNR1D7_FcY9zMnHP8iPO4M5RCRjy6"&amp;"nZY0TY/edit#gid=1248694442"",""Table 2: MMC!A5:A114"")),"""")"),"")</f>
        <v/>
      </c>
      <c r="AS21" s="14" t="str">
        <f>IFERROR(__xludf.DUMMYFUNCTION("IFNA(FILTER(IMPORTRANGE(""https://docs.google.com/spreadsheets/d/1kGrh75X1cNR1D7_FcY9zMnHP8iPO4M5RCRjy6nZY0TY/edit#gid=1248694442"",""Table 2: MMC!V5:V114""), $A21=IMPORTRANGE(""https://docs.google.com/spreadsheets/d/1kGrh75X1cNR1D7_FcY9zMnHP8iPO4M5RCRjy6"&amp;"nZY0TY/edit#gid=1248694442"",""Table 2: MMC!A5:A114"")),"""")"),"")</f>
        <v/>
      </c>
      <c r="AT21" s="4" t="str">
        <f>IFERROR(__xludf.DUMMYFUNCTION("IFNA(FILTER(IMPORTRANGE(""https://docs.google.com/spreadsheets/d/1kGrh75X1cNR1D7_FcY9zMnHP8iPO4M5RCRjy6nZY0TY/edit#gid=1248694442"",""Table 2: MMC!W5:W114""), $A21=IMPORTRANGE(""https://docs.google.com/spreadsheets/d/1kGrh75X1cNR1D7_FcY9zMnHP8iPO4M5RCRjy6"&amp;"nZY0TY/edit#gid=1248694442"",""Table 2: MMC!A5:A114"")),"""")"),"CSF fistula of MMC (csf leakage) = 6")</f>
        <v>CSF fistula of MMC (csf leakage) = 6</v>
      </c>
    </row>
    <row r="22">
      <c r="A22" s="4" t="str">
        <f>IFERROR(__xludf.DUMMYFUNCTION("""COMPUTED_VALUE"""),"ID 36")</f>
        <v>ID 36</v>
      </c>
      <c r="B22" s="20">
        <f>IFERROR(__xludf.DUMMYFUNCTION("IFNA(FILTER(IMPORTRANGE(""https://docs.google.com/spreadsheets/d/1kGrh75X1cNR1D7_FcY9zMnHP8iPO4M5RCRjy6nZY0TY/edit#gid=1248694442"",""Table 3: 1st-line HC!BK5:BK111""), $A22=IMPORTRANGE(""https://docs.google.com/spreadsheets/d/1kGrh75X1cNR1D7_FcY9zMnHP8iP"&amp;"O4M5RCRjy6nZY0TY/edit#gid=1248694442"",""Table 3: 1st-line HC!A5:A111"")),"""")"),0.12)</f>
        <v>0.12</v>
      </c>
      <c r="C22" s="20" t="str">
        <f>IFERROR(__xludf.DUMMYFUNCTION("IFNA(FILTER(IMPORTRANGE(""https://docs.google.com/spreadsheets/d/1kGrh75X1cNR1D7_FcY9zMnHP8iPO4M5RCRjy6nZY0TY/edit#gid=1248694442"",""Subgroup 1: Fr ~ Tx!B3:B20""), $A22=IMPORTRANGE(""https://docs.google.com/spreadsheets/d/1kGrh75X1cNR1D7_FcY9zMnHP8iPO4M5"&amp;"RCRjy6nZY0TY/edit#gid=1248694442"",""Subgroup 1: Fr ~ Tx!A3:A20"")),"""")"),"")</f>
        <v/>
      </c>
      <c r="D22" s="20">
        <f>IFERROR(__xludf.DUMMYFUNCTION("IFNA(FILTER(IMPORTRANGE(""https://docs.google.com/spreadsheets/d/1kGrh75X1cNR1D7_FcY9zMnHP8iPO4M5RCRjy6nZY0TY/edit#gid=1248694442"",""Subgroup 1: Fr ~ Tx!C3:C20""), $A22=IMPORTRANGE(""https://docs.google.com/spreadsheets/d/1kGrh75X1cNR1D7_FcY9zMnHP8iPO4M5"&amp;"RCRjy6nZY0TY/edit#gid=1248694442"",""Subgroup 1: Fr ~ Tx!A3:A20"")),"""")"),0.117647058823529)</f>
        <v>0.1176470588</v>
      </c>
      <c r="E22" s="20" t="str">
        <f>IFERROR(__xludf.DUMMYFUNCTION("IFNA(FILTER(IMPORTRANGE(""https://docs.google.com/spreadsheets/d/1kGrh75X1cNR1D7_FcY9zMnHP8iPO4M5RCRjy6nZY0TY/edit#gid=1248694442"",""Subgroup 1: Fr ~ Tx!D3:D20""), $A22=IMPORTRANGE(""https://docs.google.com/spreadsheets/d/1kGrh75X1cNR1D7_FcY9zMnHP8iPO4M5"&amp;"RCRjy6nZY0TY/edit#gid=1248694442"",""Subgroup 1: Fr ~ Tx!A3:A20"")),"""")"),"")</f>
        <v/>
      </c>
      <c r="F22" s="20" t="str">
        <f>IFERROR(__xludf.DUMMYFUNCTION("IFNA(FILTER(IMPORTRANGE(""https://docs.google.com/spreadsheets/d/1kGrh75X1cNR1D7_FcY9zMnHP8iPO4M5RCRjy6nZY0TY/edit#gid=1248694442"",""Subgroup 1: Fr ~ Tx!E3:E20""), $A22=IMPORTRANGE(""https://docs.google.com/spreadsheets/d/1kGrh75X1cNR1D7_FcY9zMnHP8iPO4M5"&amp;"RCRjy6nZY0TY/edit#gid=1248694442"",""Subgroup 1: Fr ~ Tx!A3:A20"")),"""")"),"")</f>
        <v/>
      </c>
      <c r="G22" s="20" t="str">
        <f>IFERROR(__xludf.DUMMYFUNCTION("IFNA(FILTER(IMPORTRANGE(""https://docs.google.com/spreadsheets/d/1kGrh75X1cNR1D7_FcY9zMnHP8iPO4M5RCRjy6nZY0TY/edit#gid=1248694442"",""Subgroup 1: Fr ~ Tx!F3:F20""), $A22=IMPORTRANGE(""https://docs.google.com/spreadsheets/d/1kGrh75X1cNR1D7_FcY9zMnHP8iPO4M5"&amp;"RCRjy6nZY0TY/edit#gid=1248694442"",""Subgroup 1: Fr ~ Tx!A3:A20"")),"""")"),"")</f>
        <v/>
      </c>
      <c r="H22" s="20" t="str">
        <f>IFERROR(__xludf.DUMMYFUNCTION("IFNA(FILTER(IMPORTRANGE(""https://docs.google.com/spreadsheets/d/1kGrh75X1cNR1D7_FcY9zMnHP8iPO4M5RCRjy6nZY0TY/edit#gid=1248694442"",""Table 3: 1st-line HC!BD5:BD111""), $A22=IMPORTRANGE(""https://docs.google.com/spreadsheets/d/1kGrh75X1cNR1D7_FcY9zMnHP8iP"&amp;"O4M5RCRjy6nZY0TY/edit#gid=1248694442"",""Table 3: 1st-line HC!A5:A111"")),"""")"),"")</f>
        <v/>
      </c>
      <c r="I22" s="20" t="str">
        <f>IFERROR(__xludf.DUMMYFUNCTION("IFNA(FILTER(IMPORTRANGE(""https://docs.google.com/spreadsheets/d/1kGrh75X1cNR1D7_FcY9zMnHP8iPO4M5RCRjy6nZY0TY/edit#gid=1248694442"",""Subgroup 5: Tf ~ Tx!B3:B8""), $A22=IMPORTRANGE(""https://docs.google.com/spreadsheets/d/1kGrh75X1cNR1D7_FcY9zMnHP8iPO4M5R"&amp;"CRjy6nZY0TY/edit#gid=1248694442"",""Subgroup 5: Tf ~ Tx!A3:A8"")),"""")"),"")</f>
        <v/>
      </c>
      <c r="J22" s="20" t="str">
        <f>IFERROR(__xludf.DUMMYFUNCTION("IFNA(FILTER(IMPORTRANGE(""https://docs.google.com/spreadsheets/d/1kGrh75X1cNR1D7_FcY9zMnHP8iPO4M5RCRjy6nZY0TY/edit#gid=1248694442"",""Subgroup 5: Tf ~ Tx!C3:C8""), $A22=IMPORTRANGE(""https://docs.google.com/spreadsheets/d/1kGrh75X1cNR1D7_FcY9zMnHP8iPO4M5R"&amp;"CRjy6nZY0TY/edit#gid=1248694442"",""Subgroup 5: Tf ~ Tx!A3:A8"")),"""")"),"")</f>
        <v/>
      </c>
      <c r="K22" s="20" t="str">
        <f>IFERROR(__xludf.DUMMYFUNCTION("IFNA(FILTER(IMPORTRANGE(""https://docs.google.com/spreadsheets/d/1kGrh75X1cNR1D7_FcY9zMnHP8iPO4M5RCRjy6nZY0TY/edit#gid=1248694442"",""Subgroup 5: Tf ~ Tx!D3:D8""), $A22=IMPORTRANGE(""https://docs.google.com/spreadsheets/d/1kGrh75X1cNR1D7_FcY9zMnHP8iPO4M5R"&amp;"CRjy6nZY0TY/edit#gid=1248694442"",""Subgroup 5: Tf ~ Tx!A3:A8"")),"""")"),"")</f>
        <v/>
      </c>
      <c r="L22" s="20" t="str">
        <f>IFERROR(__xludf.DUMMYFUNCTION("IFNA(FILTER(IMPORTRANGE(""https://docs.google.com/spreadsheets/d/1kGrh75X1cNR1D7_FcY9zMnHP8iPO4M5RCRjy6nZY0TY/edit#gid=1248694442"",""Subgroup 5: Tf ~ Tx!E3:E8""), $A22=IMPORTRANGE(""https://docs.google.com/spreadsheets/d/1kGrh75X1cNR1D7_FcY9zMnHP8iPO4M5R"&amp;"CRjy6nZY0TY/edit#gid=1248694442"",""Subgroup 5: Tf ~ Tx!A3:A8"")),"""")"),"")</f>
        <v/>
      </c>
      <c r="M22" s="20" t="str">
        <f>IFERROR(__xludf.DUMMYFUNCTION("IFNA(FILTER(IMPORTRANGE(""https://docs.google.com/spreadsheets/d/1kGrh75X1cNR1D7_FcY9zMnHP8iPO4M5RCRjy6nZY0TY/edit#gid=1248694442"",""Subgroup 5: Tf ~ Tx!F3:F8""), $A22=IMPORTRANGE(""https://docs.google.com/spreadsheets/d/1kGrh75X1cNR1D7_FcY9zMnHP8iPO4M5R"&amp;"CRjy6nZY0TY/edit#gid=1248694442"",""Subgroup 5: Tf ~ Tx!A3:A8"")),"""")"),"")</f>
        <v/>
      </c>
      <c r="N22" s="20" t="str">
        <f>IFERROR(__xludf.DUMMYFUNCTION("IFNA(FILTER(IMPORTRANGE(""https://docs.google.com/spreadsheets/d/1kGrh75X1cNR1D7_FcY9zMnHP8iPO4M5RCRjy6nZY0TY/edit#gid=1248694442"",""Table 3: 1st-line HC!BE5:BE111""), $A22=IMPORTRANGE(""https://docs.google.com/spreadsheets/d/1kGrh75X1cNR1D7_FcY9zMnHP8iP"&amp;"O4M5RCRjy6nZY0TY/edit#gid=1248694442"",""Table 3: 1st-line HC!A5:A111"")),"""")"),"")</f>
        <v/>
      </c>
      <c r="O22" s="20" t="str">
        <f>IFERROR(__xludf.DUMMYFUNCTION("IFNA(FILTER(IMPORTRANGE(""https://docs.google.com/spreadsheets/d/1kGrh75X1cNR1D7_FcY9zMnHP8iPO4M5RCRjy6nZY0TY/edit#gid=1248694442"",""Table 3: 1st-line HC!BF5:BF111""), $A22=IMPORTRANGE(""https://docs.google.com/spreadsheets/d/1kGrh75X1cNR1D7_FcY9zMnHP8iP"&amp;"O4M5RCRjy6nZY0TY/edit#gid=1248694442"",""Table 3: 1st-line HC!A5:A111"")),"""")"),"")</f>
        <v/>
      </c>
      <c r="P22" s="20" t="str">
        <f>IFERROR(__xludf.DUMMYFUNCTION("IFNA(FILTER(IMPORTRANGE(""https://docs.google.com/spreadsheets/d/1kGrh75X1cNR1D7_FcY9zMnHP8iPO4M5RCRjy6nZY0TY/edit#gid=1248694442"",""Table 3: 1st-line HC!BG5:BG111""), $A22=IMPORTRANGE(""https://docs.google.com/spreadsheets/d/1kGrh75X1cNR1D7_FcY9zMnHP8iP"&amp;"O4M5RCRjy6nZY0TY/edit#gid=1248694442"",""Table 3: 1st-line HC!A5:A111"")),"""")"),"")</f>
        <v/>
      </c>
      <c r="Q22" s="21" t="str">
        <f>IFERROR(__xludf.DUMMYFUNCTION("IFNA(FILTER(IMPORTRANGE(""https://docs.google.com/spreadsheets/d/1kGrh75X1cNR1D7_FcY9zMnHP8iPO4M5RCRjy6nZY0TY/edit#gid=1248694442"",""Table 3: 1st-line HC!BH5:BH111""), $A22=IMPORTRANGE(""https://docs.google.com/spreadsheets/d/1kGrh75X1cNR1D7_FcY9zMnHP8iP"&amp;"O4M5RCRjy6nZY0TY/edit#gid=1248694442"",""Table 3: 1st-line HC!A5:A111"")),"""")"),"shunt malfunction=8")</f>
        <v>shunt malfunction=8</v>
      </c>
      <c r="R22" s="19" t="str">
        <f>IFERROR(__xludf.DUMMYFUNCTION("IFNA(FILTER(IMPORTRANGE(""https://docs.google.com/spreadsheets/d/1kGrh75X1cNR1D7_FcY9zMnHP8iPO4M5RCRjy6nZY0TY/edit#gid=1248694442"",""Table 3: 1st-line HC!AJ5:AJ111""), $A22=IMPORTRANGE(""https://docs.google.com/spreadsheets/d/1kGrh75X1cNR1D7_FcY9zMnHP8iP"&amp;"O4M5RCRjy6nZY0TY/edit#gid=1248694442"",""Table 3: 1st-line HC!A5:A111"")),"""")"),"")</f>
        <v/>
      </c>
      <c r="S22" s="20" t="str">
        <f>IFERROR(__xludf.DUMMYFUNCTION("IFNA(FILTER(IMPORTRANGE(""https://docs.google.com/spreadsheets/d/1kGrh75X1cNR1D7_FcY9zMnHP8iPO4M5RCRjy6nZY0TY/edit#gid=1248694442"",""Subgroup 3: Mi ~ Tx!B3:B17""), $A22=IMPORTRANGE(""https://docs.google.com/spreadsheets/d/1kGrh75X1cNR1D7_FcY9zMnHP8iPO4M5"&amp;"RCRjy6nZY0TY/edit#gid=1248694442"",""Subgroup 3: Mi ~ Tx!A3:A17"")),"""")"),"")</f>
        <v/>
      </c>
      <c r="T22" s="20" t="str">
        <f>IFERROR(__xludf.DUMMYFUNCTION("IFNA(FILTER(IMPORTRANGE(""https://docs.google.com/spreadsheets/d/1kGrh75X1cNR1D7_FcY9zMnHP8iPO4M5RCRjy6nZY0TY/edit#gid=1248694442"",""Subgroup 3: Mi ~ Tx!C3:C17""), $A22=IMPORTRANGE(""https://docs.google.com/spreadsheets/d/1kGrh75X1cNR1D7_FcY9zMnHP8iPO4M5"&amp;"RCRjy6nZY0TY/edit#gid=1248694442"",""Subgroup 3: Mi ~ Tx!A3:A17"")),"""")"),"")</f>
        <v/>
      </c>
      <c r="U22" s="20" t="str">
        <f>IFERROR(__xludf.DUMMYFUNCTION("IFNA(FILTER(IMPORTRANGE(""https://docs.google.com/spreadsheets/d/1kGrh75X1cNR1D7_FcY9zMnHP8iPO4M5RCRjy6nZY0TY/edit#gid=1248694442"",""Subgroup 3: Mi ~ Tx!D3:D17""), $A22=IMPORTRANGE(""https://docs.google.com/spreadsheets/d/1kGrh75X1cNR1D7_FcY9zMnHP8iPO4M5"&amp;"RCRjy6nZY0TY/edit#gid=1248694442"",""Subgroup 3: Mi ~ Tx!A3:A17"")),"""")"),"")</f>
        <v/>
      </c>
      <c r="V22" s="20" t="str">
        <f>IFERROR(__xludf.DUMMYFUNCTION("IFNA(FILTER(IMPORTRANGE(""https://docs.google.com/spreadsheets/d/1kGrh75X1cNR1D7_FcY9zMnHP8iPO4M5RCRjy6nZY0TY/edit#gid=1248694442"",""Subgroup 3: Mi ~ Tx!E3:E17""), $A22=IMPORTRANGE(""https://docs.google.com/spreadsheets/d/1kGrh75X1cNR1D7_FcY9zMnHP8iPO4M5"&amp;"RCRjy6nZY0TY/edit#gid=1248694442"",""Subgroup 3: Mi ~ Tx!A3:A17"")),"""")"),"")</f>
        <v/>
      </c>
      <c r="W22" s="20" t="str">
        <f>IFERROR(__xludf.DUMMYFUNCTION("IFNA(FILTER(IMPORTRANGE(""https://docs.google.com/spreadsheets/d/1kGrh75X1cNR1D7_FcY9zMnHP8iPO4M5RCRjy6nZY0TY/edit#gid=1248694442"",""Subgroup 3: Mi ~ Tx!F3:F17""), $A22=IMPORTRANGE(""https://docs.google.com/spreadsheets/d/1kGrh75X1cNR1D7_FcY9zMnHP8iPO4M5"&amp;"RCRjy6nZY0TY/edit#gid=1248694442"",""Subgroup 3: Mi ~ Tx!A3:A17"")),"""")"),"")</f>
        <v/>
      </c>
      <c r="X22" s="19" t="str">
        <f>IFERROR(__xludf.DUMMYFUNCTION("IFNA(FILTER(IMPORTRANGE(""https://docs.google.com/spreadsheets/d/1kGrh75X1cNR1D7_FcY9zMnHP8iPO4M5RCRjy6nZY0TY/edit#gid=1248694442"",""Table 3: 1st-line HC!AK5:AK111""), $A22=IMPORTRANGE(""https://docs.google.com/spreadsheets/d/1kGrh75X1cNR1D7_FcY9zMnHP8iP"&amp;"O4M5RCRjy6nZY0TY/edit#gid=1248694442"",""Table 3: 1st-line HC!A5:A111"")),"""")"),"")</f>
        <v/>
      </c>
      <c r="Y22" s="20" t="str">
        <f>IFERROR(__xludf.DUMMYFUNCTION("IFNA(FILTER(IMPORTRANGE(""https://docs.google.com/spreadsheets/d/1kGrh75X1cNR1D7_FcY9zMnHP8iPO4M5RCRjy6nZY0TY/edit#gid=1248694442"",""Subgroup 4: Mp ~ Tx!B3:B20""), $A22=IMPORTRANGE(""https://docs.google.com/spreadsheets/d/1kGrh75X1cNR1D7_FcY9zMnHP8iPO4M5"&amp;"RCRjy6nZY0TY/edit#gid=1248694442"",""Subgroup 4: Mp ~ Tx!A3:A20"")),"""")"),"")</f>
        <v/>
      </c>
      <c r="Z22" s="20" t="str">
        <f>IFERROR(__xludf.DUMMYFUNCTION("IFNA(FILTER(IMPORTRANGE(""https://docs.google.com/spreadsheets/d/1kGrh75X1cNR1D7_FcY9zMnHP8iPO4M5RCRjy6nZY0TY/edit#gid=1248694442"",""Subgroup 4: Mp ~ Tx!C3:C20""), $A22=IMPORTRANGE(""https://docs.google.com/spreadsheets/d/1kGrh75X1cNR1D7_FcY9zMnHP8iPO4M5"&amp;"RCRjy6nZY0TY/edit#gid=1248694442"",""Subgroup 4: Mp ~ Tx!A3:A20"")),"""")"),"")</f>
        <v/>
      </c>
      <c r="AA22" s="20" t="str">
        <f>IFERROR(__xludf.DUMMYFUNCTION("IFNA(FILTER(IMPORTRANGE(""https://docs.google.com/spreadsheets/d/1kGrh75X1cNR1D7_FcY9zMnHP8iPO4M5RCRjy6nZY0TY/edit#gid=1248694442"",""Subgroup 4: Mp ~ Tx!D3:D20""), $A22=IMPORTRANGE(""https://docs.google.com/spreadsheets/d/1kGrh75X1cNR1D7_FcY9zMnHP8iPO4M5"&amp;"RCRjy6nZY0TY/edit#gid=1248694442"",""Subgroup 4: Mp ~ Tx!A3:A20"")),"""")"),"")</f>
        <v/>
      </c>
      <c r="AB22" s="20" t="str">
        <f>IFERROR(__xludf.DUMMYFUNCTION("IFNA(FILTER(IMPORTRANGE(""https://docs.google.com/spreadsheets/d/1kGrh75X1cNR1D7_FcY9zMnHP8iPO4M5RCRjy6nZY0TY/edit#gid=1248694442"",""Subgroup 4: Mp ~ Tx!E3:E20""), $A22=IMPORTRANGE(""https://docs.google.com/spreadsheets/d/1kGrh75X1cNR1D7_FcY9zMnHP8iPO4M5"&amp;"RCRjy6nZY0TY/edit#gid=1248694442"",""Subgroup 4: Mp ~ Tx!A3:A20"")),"""")"),"")</f>
        <v/>
      </c>
      <c r="AC22" s="20" t="str">
        <f>IFERROR(__xludf.DUMMYFUNCTION("IFNA(FILTER(IMPORTRANGE(""https://docs.google.com/spreadsheets/d/1kGrh75X1cNR1D7_FcY9zMnHP8iPO4M5RCRjy6nZY0TY/edit#gid=1248694442"",""Subgroup 4: Mp ~ Tx!F3:F20""), $A22=IMPORTRANGE(""https://docs.google.com/spreadsheets/d/1kGrh75X1cNR1D7_FcY9zMnHP8iPO4M5"&amp;"RCRjy6nZY0TY/edit#gid=1248694442"",""Subgroup 4: Mp ~ Tx!A3:A20"")),"""")"),"")</f>
        <v/>
      </c>
      <c r="AD22" s="22" t="str">
        <f>IFERROR(__xludf.DUMMYFUNCTION("IFNA(FILTER(IMPORTRANGE(""https://docs.google.com/spreadsheets/d/1kGrh75X1cNR1D7_FcY9zMnHP8iPO4M5RCRjy6nZY0TY/edit#gid=1248694442"",""Table 3: 1st-line HC!AL5:AL111""), $A22=IMPORTRANGE(""https://docs.google.com/spreadsheets/d/1kGrh75X1cNR1D7_FcY9zMnHP8iP"&amp;"O4M5RCRjy6nZY0TY/edit#gid=1248694442"",""Table 3: 1st-line HC!A5:A111"")),"""")"),"")</f>
        <v/>
      </c>
      <c r="AE22" s="20">
        <f>IFERROR(__xludf.DUMMYFUNCTION("IFNA(FILTER(IMPORTRANGE(""https://docs.google.com/spreadsheets/d/1kGrh75X1cNR1D7_FcY9zMnHP8iPO4M5RCRjy6nZY0TY/edit#gid=1248694442"",""Table 3: 1st-line HC!BJ5:BJ111""), $A22=IMPORTRANGE(""https://docs.google.com/spreadsheets/d/1kGrh75X1cNR1D7_FcY9zMnHP8iP"&amp;"O4M5RCRjy6nZY0TY/edit#gid=1248694442"",""Table 3: 1st-line HC!A5:A111"")),"""")"),0.28)</f>
        <v>0.28</v>
      </c>
      <c r="AF22" s="20" t="str">
        <f>IFERROR(__xludf.DUMMYFUNCTION("IFNA(FILTER(IMPORTRANGE(""https://docs.google.com/spreadsheets/d/1kGrh75X1cNR1D7_FcY9zMnHP8iPO4M5RCRjy6nZY0TY/edit#gid=1248694442"",""Subgroup 2: Cr ~ Tx!B3:B23""), $A22=IMPORTRANGE(""https://docs.google.com/spreadsheets/d/1kGrh75X1cNR1D7_FcY9zMnHP8iPO4M5"&amp;"RCRjy6nZY0TY/edit#gid=1248694442"",""Subgroup 2: Cr ~ Tx!A3:A23"")),"""")"),"")</f>
        <v/>
      </c>
      <c r="AG22" s="20">
        <f>IFERROR(__xludf.DUMMYFUNCTION("IFNA(FILTER(IMPORTRANGE(""https://docs.google.com/spreadsheets/d/1kGrh75X1cNR1D7_FcY9zMnHP8iPO4M5RCRjy6nZY0TY/edit#gid=1248694442"",""Subgroup 2: Cr ~ Tx!C3:C23""), $A22=IMPORTRANGE(""https://docs.google.com/spreadsheets/d/1kGrh75X1cNR1D7_FcY9zMnHP8iPO4M5"&amp;"RCRjy6nZY0TY/edit#gid=1248694442"",""Subgroup 2: Cr ~ Tx!A3:A23"")),"""")"),0.0441176470588235)</f>
        <v>0.04411764706</v>
      </c>
      <c r="AH22" s="20" t="str">
        <f>IFERROR(__xludf.DUMMYFUNCTION("IFNA(FILTER(IMPORTRANGE(""https://docs.google.com/spreadsheets/d/1kGrh75X1cNR1D7_FcY9zMnHP8iPO4M5RCRjy6nZY0TY/edit#gid=1248694442"",""Subgroup 2: Cr ~ Tx!D3:D23""), $A22=IMPORTRANGE(""https://docs.google.com/spreadsheets/d/1kGrh75X1cNR1D7_FcY9zMnHP8iPO4M5"&amp;"RCRjy6nZY0TY/edit#gid=1248694442"",""Subgroup 2: Cr ~ Tx!A3:A23"")),"""")"),"")</f>
        <v/>
      </c>
      <c r="AI22" s="20" t="str">
        <f>IFERROR(__xludf.DUMMYFUNCTION("IFNA(FILTER(IMPORTRANGE(""https://docs.google.com/spreadsheets/d/1kGrh75X1cNR1D7_FcY9zMnHP8iPO4M5RCRjy6nZY0TY/edit#gid=1248694442"",""Subgroup 2: Cr ~ Tx!E3:E23""), $A22=IMPORTRANGE(""https://docs.google.com/spreadsheets/d/1kGrh75X1cNR1D7_FcY9zMnHP8iPO4M5"&amp;"RCRjy6nZY0TY/edit#gid=1248694442"",""Subgroup 2: Cr ~ Tx!A3:A23"")),"""")"),"")</f>
        <v/>
      </c>
      <c r="AJ22" s="20" t="str">
        <f>IFERROR(__xludf.DUMMYFUNCTION("IFNA(FILTER(IMPORTRANGE(""https://docs.google.com/spreadsheets/d/1kGrh75X1cNR1D7_FcY9zMnHP8iPO4M5RCRjy6nZY0TY/edit#gid=1248694442"",""Subgroup 2: Cr ~ Tx!F3:F23""), $A22=IMPORTRANGE(""https://docs.google.com/spreadsheets/d/1kGrh75X1cNR1D7_FcY9zMnHP8iPO4M5"&amp;"RCRjy6nZY0TY/edit#gid=1248694442"",""Subgroup 2: Cr ~ Tx!A3:A23"")),"""")"),"")</f>
        <v/>
      </c>
      <c r="AK22" s="14" t="str">
        <f>IFERROR(__xludf.DUMMYFUNCTION("IFNA(FILTER(IMPORTRANGE(""https://docs.google.com/spreadsheets/d/1kGrh75X1cNR1D7_FcY9zMnHP8iPO4M5RCRjy6nZY0TY/edit#gid=1248694442"",""Table 4: 2nd-line HC or more!M5:M85""), $A22=IMPORTRANGE(""https://docs.google.com/spreadsheets/d/1kGrh75X1cNR1D7_FcY9zMn"&amp;"HP8iPO4M5RCRjy6nZY0TY/edit#gid=1248694442"",""Table 4: 2nd-line HC or more!A5:A85"")),"""")"),"")</f>
        <v/>
      </c>
      <c r="AL22" s="14" t="str">
        <f>IFERROR(__xludf.DUMMYFUNCTION("IFNA(FILTER(IMPORTRANGE(""https://docs.google.com/spreadsheets/d/1kGrh75X1cNR1D7_FcY9zMnHP8iPO4M5RCRjy6nZY0TY/edit#gid=1248694442"",""Table 4: 2nd-line HC or more!N5:N85""), $A22=IMPORTRANGE(""https://docs.google.com/spreadsheets/d/1kGrh75X1cNR1D7_FcY9zMn"&amp;"HP8iPO4M5RCRjy6nZY0TY/edit#gid=1248694442"",""Table 4: 2nd-line HC or more!A5:A85"")),"""")"),"")</f>
        <v/>
      </c>
      <c r="AM22" s="14" t="str">
        <f>IFERROR(__xludf.DUMMYFUNCTION("IFNA(FILTER(IMPORTRANGE(""https://docs.google.com/spreadsheets/d/1kGrh75X1cNR1D7_FcY9zMnHP8iPO4M5RCRjy6nZY0TY/edit#gid=1248694442"",""Table 4: 2nd-line HC or more!O5:O85""), $A22=IMPORTRANGE(""https://docs.google.com/spreadsheets/d/1kGrh75X1cNR1D7_FcY9zMn"&amp;"HP8iPO4M5RCRjy6nZY0TY/edit#gid=1248694442"",""Table 4: 2nd-line HC or more!A5:A85"")),"""")"),"")</f>
        <v/>
      </c>
      <c r="AN22" s="14" t="str">
        <f>IFERROR(__xludf.DUMMYFUNCTION("IFNA(FILTER(IMPORTRANGE(""https://docs.google.com/spreadsheets/d/1kGrh75X1cNR1D7_FcY9zMnHP8iPO4M5RCRjy6nZY0TY/edit#gid=1248694442"",""Table 3: 1st-line HC!AP5:AP111""), $A22=IMPORTRANGE(""https://docs.google.com/spreadsheets/d/1kGrh75X1cNR1D7_FcY9zMnHP8iP"&amp;"O4M5RCRjy6nZY0TY/edit#gid=1248694442"",""Table 3: 1st-line HC!A5:A111"")),"""")"),"")</f>
        <v/>
      </c>
      <c r="AO22" s="14" t="str">
        <f>IFERROR(__xludf.DUMMYFUNCTION("IFNA(FILTER(IMPORTRANGE(""https://docs.google.com/spreadsheets/d/1kGrh75X1cNR1D7_FcY9zMnHP8iPO4M5RCRjy6nZY0TY/edit#gid=1248694442"",""Table 3: 1st-line HC!AO5:AO111""), $A22=IMPORTRANGE(""https://docs.google.com/spreadsheets/d/1kGrh75X1cNR1D7_FcY9zMnHP8iP"&amp;"O4M5RCRjy6nZY0TY/edit#gid=1248694442"",""Table 3: 1st-line HC!A5:A111"")),"""")"),"")</f>
        <v/>
      </c>
      <c r="AP22" s="14" t="str">
        <f>IFERROR(__xludf.DUMMYFUNCTION("IFNA(FILTER(IMPORTRANGE(""https://docs.google.com/spreadsheets/d/1kGrh75X1cNR1D7_FcY9zMnHP8iPO4M5RCRjy6nZY0TY/edit#gid=1248694442"",""Table 3: 1st-line HC!AQ5:AQ111""), $A22=IMPORTRANGE(""https://docs.google.com/spreadsheets/d/1kGrh75X1cNR1D7_FcY9zMnHP8iP"&amp;"O4M5RCRjy6nZY0TY/edit#gid=1248694442"",""Table 3: 1st-line HC!A5:A111"")),"""")"),"")</f>
        <v/>
      </c>
      <c r="AQ22" s="14" t="str">
        <f>IFERROR(__xludf.DUMMYFUNCTION("IFNA(FILTER(IMPORTRANGE(""https://docs.google.com/spreadsheets/d/1kGrh75X1cNR1D7_FcY9zMnHP8iPO4M5RCRjy6nZY0TY/edit#gid=1248694442"",""Table 2: MMC!T5:T114""), $A22=IMPORTRANGE(""https://docs.google.com/spreadsheets/d/1kGrh75X1cNR1D7_FcY9zMnHP8iPO4M5RCRjy6"&amp;"nZY0TY/edit#gid=1248694442"",""Table 2: MMC!A5:A114"")),"""")"),"")</f>
        <v/>
      </c>
      <c r="AR22" s="14" t="str">
        <f>IFERROR(__xludf.DUMMYFUNCTION("IFNA(FILTER(IMPORTRANGE(""https://docs.google.com/spreadsheets/d/1kGrh75X1cNR1D7_FcY9zMnHP8iPO4M5RCRjy6nZY0TY/edit#gid=1248694442"",""Table 2: MMC!U5:U114""), $A22=IMPORTRANGE(""https://docs.google.com/spreadsheets/d/1kGrh75X1cNR1D7_FcY9zMnHP8iPO4M5RCRjy6"&amp;"nZY0TY/edit#gid=1248694442"",""Table 2: MMC!A5:A114"")),"""")"),"")</f>
        <v/>
      </c>
      <c r="AS22" s="14">
        <f>IFERROR(__xludf.DUMMYFUNCTION("IFNA(FILTER(IMPORTRANGE(""https://docs.google.com/spreadsheets/d/1kGrh75X1cNR1D7_FcY9zMnHP8iPO4M5RCRjy6nZY0TY/edit#gid=1248694442"",""Table 2: MMC!V5:V114""), $A22=IMPORTRANGE(""https://docs.google.com/spreadsheets/d/1kGrh75X1cNR1D7_FcY9zMnHP8iPO4M5RCRjy6"&amp;"nZY0TY/edit#gid=1248694442"",""Table 2: MMC!A5:A114"")),"""")"),3.0)</f>
        <v>3</v>
      </c>
      <c r="AT22" s="4" t="str">
        <f>IFERROR(__xludf.DUMMYFUNCTION("IFNA(FILTER(IMPORTRANGE(""https://docs.google.com/spreadsheets/d/1kGrh75X1cNR1D7_FcY9zMnHP8iPO4M5RCRjy6nZY0TY/edit#gid=1248694442"",""Table 2: MMC!W5:W114""), $A22=IMPORTRANGE(""https://docs.google.com/spreadsheets/d/1kGrh75X1cNR1D7_FcY9zMnHP8iPO4M5RCRjy6"&amp;"nZY0TY/edit#gid=1248694442"",""Table 2: MMC!A5:A114"")),"""")"),"wound csf leak = 8; death=1")</f>
        <v>wound csf leak = 8; death=1</v>
      </c>
    </row>
    <row r="23">
      <c r="A23" s="4" t="str">
        <f>IFERROR(__xludf.DUMMYFUNCTION("""COMPUTED_VALUE"""),"ID 37")</f>
        <v>ID 37</v>
      </c>
      <c r="B23" s="20" t="str">
        <f>IFERROR(__xludf.DUMMYFUNCTION("IFNA(FILTER(IMPORTRANGE(""https://docs.google.com/spreadsheets/d/1kGrh75X1cNR1D7_FcY9zMnHP8iPO4M5RCRjy6nZY0TY/edit#gid=1248694442"",""Table 3: 1st-line HC!BK5:BK111""), $A23=IMPORTRANGE(""https://docs.google.com/spreadsheets/d/1kGrh75X1cNR1D7_FcY9zMnHP8iP"&amp;"O4M5RCRjy6nZY0TY/edit#gid=1248694442"",""Table 3: 1st-line HC!A5:A111"")),"""")"),"")</f>
        <v/>
      </c>
      <c r="C23" s="20" t="str">
        <f>IFERROR(__xludf.DUMMYFUNCTION("IFNA(FILTER(IMPORTRANGE(""https://docs.google.com/spreadsheets/d/1kGrh75X1cNR1D7_FcY9zMnHP8iPO4M5RCRjy6nZY0TY/edit#gid=1248694442"",""Subgroup 1: Fr ~ Tx!B3:B20""), $A23=IMPORTRANGE(""https://docs.google.com/spreadsheets/d/1kGrh75X1cNR1D7_FcY9zMnHP8iPO4M5"&amp;"RCRjy6nZY0TY/edit#gid=1248694442"",""Subgroup 1: Fr ~ Tx!A3:A20"")),"""")"),"")</f>
        <v/>
      </c>
      <c r="D23" s="20" t="str">
        <f>IFERROR(__xludf.DUMMYFUNCTION("IFNA(FILTER(IMPORTRANGE(""https://docs.google.com/spreadsheets/d/1kGrh75X1cNR1D7_FcY9zMnHP8iPO4M5RCRjy6nZY0TY/edit#gid=1248694442"",""Subgroup 1: Fr ~ Tx!C3:C20""), $A23=IMPORTRANGE(""https://docs.google.com/spreadsheets/d/1kGrh75X1cNR1D7_FcY9zMnHP8iPO4M5"&amp;"RCRjy6nZY0TY/edit#gid=1248694442"",""Subgroup 1: Fr ~ Tx!A3:A20"")),"""")"),"")</f>
        <v/>
      </c>
      <c r="E23" s="20" t="str">
        <f>IFERROR(__xludf.DUMMYFUNCTION("IFNA(FILTER(IMPORTRANGE(""https://docs.google.com/spreadsheets/d/1kGrh75X1cNR1D7_FcY9zMnHP8iPO4M5RCRjy6nZY0TY/edit#gid=1248694442"",""Subgroup 1: Fr ~ Tx!D3:D20""), $A23=IMPORTRANGE(""https://docs.google.com/spreadsheets/d/1kGrh75X1cNR1D7_FcY9zMnHP8iPO4M5"&amp;"RCRjy6nZY0TY/edit#gid=1248694442"",""Subgroup 1: Fr ~ Tx!A3:A20"")),"""")"),"")</f>
        <v/>
      </c>
      <c r="F23" s="20" t="str">
        <f>IFERROR(__xludf.DUMMYFUNCTION("IFNA(FILTER(IMPORTRANGE(""https://docs.google.com/spreadsheets/d/1kGrh75X1cNR1D7_FcY9zMnHP8iPO4M5RCRjy6nZY0TY/edit#gid=1248694442"",""Subgroup 1: Fr ~ Tx!E3:E20""), $A23=IMPORTRANGE(""https://docs.google.com/spreadsheets/d/1kGrh75X1cNR1D7_FcY9zMnHP8iPO4M5"&amp;"RCRjy6nZY0TY/edit#gid=1248694442"",""Subgroup 1: Fr ~ Tx!A3:A20"")),"""")"),"")</f>
        <v/>
      </c>
      <c r="G23" s="20" t="str">
        <f>IFERROR(__xludf.DUMMYFUNCTION("IFNA(FILTER(IMPORTRANGE(""https://docs.google.com/spreadsheets/d/1kGrh75X1cNR1D7_FcY9zMnHP8iPO4M5RCRjy6nZY0TY/edit#gid=1248694442"",""Subgroup 1: Fr ~ Tx!F3:F20""), $A23=IMPORTRANGE(""https://docs.google.com/spreadsheets/d/1kGrh75X1cNR1D7_FcY9zMnHP8iPO4M5"&amp;"RCRjy6nZY0TY/edit#gid=1248694442"",""Subgroup 1: Fr ~ Tx!A3:A20"")),"""")"),"")</f>
        <v/>
      </c>
      <c r="H23" s="20" t="str">
        <f>IFERROR(__xludf.DUMMYFUNCTION("IFNA(FILTER(IMPORTRANGE(""https://docs.google.com/spreadsheets/d/1kGrh75X1cNR1D7_FcY9zMnHP8iPO4M5RCRjy6nZY0TY/edit#gid=1248694442"",""Table 3: 1st-line HC!BD5:BD111""), $A23=IMPORTRANGE(""https://docs.google.com/spreadsheets/d/1kGrh75X1cNR1D7_FcY9zMnHP8iP"&amp;"O4M5RCRjy6nZY0TY/edit#gid=1248694442"",""Table 3: 1st-line HC!A5:A111"")),"""")"),"")</f>
        <v/>
      </c>
      <c r="I23" s="20" t="str">
        <f>IFERROR(__xludf.DUMMYFUNCTION("IFNA(FILTER(IMPORTRANGE(""https://docs.google.com/spreadsheets/d/1kGrh75X1cNR1D7_FcY9zMnHP8iPO4M5RCRjy6nZY0TY/edit#gid=1248694442"",""Subgroup 5: Tf ~ Tx!B3:B8""), $A23=IMPORTRANGE(""https://docs.google.com/spreadsheets/d/1kGrh75X1cNR1D7_FcY9zMnHP8iPO4M5R"&amp;"CRjy6nZY0TY/edit#gid=1248694442"",""Subgroup 5: Tf ~ Tx!A3:A8"")),"""")"),"")</f>
        <v/>
      </c>
      <c r="J23" s="20" t="str">
        <f>IFERROR(__xludf.DUMMYFUNCTION("IFNA(FILTER(IMPORTRANGE(""https://docs.google.com/spreadsheets/d/1kGrh75X1cNR1D7_FcY9zMnHP8iPO4M5RCRjy6nZY0TY/edit#gid=1248694442"",""Subgroup 5: Tf ~ Tx!C3:C8""), $A23=IMPORTRANGE(""https://docs.google.com/spreadsheets/d/1kGrh75X1cNR1D7_FcY9zMnHP8iPO4M5R"&amp;"CRjy6nZY0TY/edit#gid=1248694442"",""Subgroup 5: Tf ~ Tx!A3:A8"")),"""")"),"")</f>
        <v/>
      </c>
      <c r="K23" s="20" t="str">
        <f>IFERROR(__xludf.DUMMYFUNCTION("IFNA(FILTER(IMPORTRANGE(""https://docs.google.com/spreadsheets/d/1kGrh75X1cNR1D7_FcY9zMnHP8iPO4M5RCRjy6nZY0TY/edit#gid=1248694442"",""Subgroup 5: Tf ~ Tx!D3:D8""), $A23=IMPORTRANGE(""https://docs.google.com/spreadsheets/d/1kGrh75X1cNR1D7_FcY9zMnHP8iPO4M5R"&amp;"CRjy6nZY0TY/edit#gid=1248694442"",""Subgroup 5: Tf ~ Tx!A3:A8"")),"""")"),"")</f>
        <v/>
      </c>
      <c r="L23" s="20" t="str">
        <f>IFERROR(__xludf.DUMMYFUNCTION("IFNA(FILTER(IMPORTRANGE(""https://docs.google.com/spreadsheets/d/1kGrh75X1cNR1D7_FcY9zMnHP8iPO4M5RCRjy6nZY0TY/edit#gid=1248694442"",""Subgroup 5: Tf ~ Tx!E3:E8""), $A23=IMPORTRANGE(""https://docs.google.com/spreadsheets/d/1kGrh75X1cNR1D7_FcY9zMnHP8iPO4M5R"&amp;"CRjy6nZY0TY/edit#gid=1248694442"",""Subgroup 5: Tf ~ Tx!A3:A8"")),"""")"),"")</f>
        <v/>
      </c>
      <c r="M23" s="20" t="str">
        <f>IFERROR(__xludf.DUMMYFUNCTION("IFNA(FILTER(IMPORTRANGE(""https://docs.google.com/spreadsheets/d/1kGrh75X1cNR1D7_FcY9zMnHP8iPO4M5RCRjy6nZY0TY/edit#gid=1248694442"",""Subgroup 5: Tf ~ Tx!F3:F8""), $A23=IMPORTRANGE(""https://docs.google.com/spreadsheets/d/1kGrh75X1cNR1D7_FcY9zMnHP8iPO4M5R"&amp;"CRjy6nZY0TY/edit#gid=1248694442"",""Subgroup 5: Tf ~ Tx!A3:A8"")),"""")"),"")</f>
        <v/>
      </c>
      <c r="N23" s="20" t="str">
        <f>IFERROR(__xludf.DUMMYFUNCTION("IFNA(FILTER(IMPORTRANGE(""https://docs.google.com/spreadsheets/d/1kGrh75X1cNR1D7_FcY9zMnHP8iPO4M5RCRjy6nZY0TY/edit#gid=1248694442"",""Table 3: 1st-line HC!BE5:BE111""), $A23=IMPORTRANGE(""https://docs.google.com/spreadsheets/d/1kGrh75X1cNR1D7_FcY9zMnHP8iP"&amp;"O4M5RCRjy6nZY0TY/edit#gid=1248694442"",""Table 3: 1st-line HC!A5:A111"")),"""")"),"")</f>
        <v/>
      </c>
      <c r="O23" s="20" t="str">
        <f>IFERROR(__xludf.DUMMYFUNCTION("IFNA(FILTER(IMPORTRANGE(""https://docs.google.com/spreadsheets/d/1kGrh75X1cNR1D7_FcY9zMnHP8iPO4M5RCRjy6nZY0TY/edit#gid=1248694442"",""Table 3: 1st-line HC!BF5:BF111""), $A23=IMPORTRANGE(""https://docs.google.com/spreadsheets/d/1kGrh75X1cNR1D7_FcY9zMnHP8iP"&amp;"O4M5RCRjy6nZY0TY/edit#gid=1248694442"",""Table 3: 1st-line HC!A5:A111"")),"""")"),"")</f>
        <v/>
      </c>
      <c r="P23" s="20" t="str">
        <f>IFERROR(__xludf.DUMMYFUNCTION("IFNA(FILTER(IMPORTRANGE(""https://docs.google.com/spreadsheets/d/1kGrh75X1cNR1D7_FcY9zMnHP8iPO4M5RCRjy6nZY0TY/edit#gid=1248694442"",""Table 3: 1st-line HC!BG5:BG111""), $A23=IMPORTRANGE(""https://docs.google.com/spreadsheets/d/1kGrh75X1cNR1D7_FcY9zMnHP8iP"&amp;"O4M5RCRjy6nZY0TY/edit#gid=1248694442"",""Table 3: 1st-line HC!A5:A111"")),"""")"),"")</f>
        <v/>
      </c>
      <c r="Q23" s="21" t="str">
        <f>IFERROR(__xludf.DUMMYFUNCTION("IFNA(FILTER(IMPORTRANGE(""https://docs.google.com/spreadsheets/d/1kGrh75X1cNR1D7_FcY9zMnHP8iPO4M5RCRjy6nZY0TY/edit#gid=1248694442"",""Table 3: 1st-line HC!BH5:BH111""), $A23=IMPORTRANGE(""https://docs.google.com/spreadsheets/d/1kGrh75X1cNR1D7_FcY9zMnHP8iP"&amp;"O4M5RCRjy6nZY0TY/edit#gid=1248694442"",""Table 3: 1st-line HC!A5:A111"")),"""")"),"")</f>
        <v/>
      </c>
      <c r="R23" s="19">
        <f>IFERROR(__xludf.DUMMYFUNCTION("IFNA(FILTER(IMPORTRANGE(""https://docs.google.com/spreadsheets/d/1kGrh75X1cNR1D7_FcY9zMnHP8iPO4M5RCRjy6nZY0TY/edit#gid=1248694442"",""Table 3: 1st-line HC!AJ5:AJ111""), $A23=IMPORTRANGE(""https://docs.google.com/spreadsheets/d/1kGrh75X1cNR1D7_FcY9zMnHP8iP"&amp;"O4M5RCRjy6nZY0TY/edit#gid=1248694442"",""Table 3: 1st-line HC!A5:A111"")),"""")"),0.0)</f>
        <v>0</v>
      </c>
      <c r="S23" s="20" t="str">
        <f>IFERROR(__xludf.DUMMYFUNCTION("IFNA(FILTER(IMPORTRANGE(""https://docs.google.com/spreadsheets/d/1kGrh75X1cNR1D7_FcY9zMnHP8iPO4M5RCRjy6nZY0TY/edit#gid=1248694442"",""Subgroup 3: Mi ~ Tx!B3:B17""), $A23=IMPORTRANGE(""https://docs.google.com/spreadsheets/d/1kGrh75X1cNR1D7_FcY9zMnHP8iPO4M5"&amp;"RCRjy6nZY0TY/edit#gid=1248694442"",""Subgroup 3: Mi ~ Tx!A3:A17"")),"""")"),"")</f>
        <v/>
      </c>
      <c r="T23" s="20" t="str">
        <f>IFERROR(__xludf.DUMMYFUNCTION("IFNA(FILTER(IMPORTRANGE(""https://docs.google.com/spreadsheets/d/1kGrh75X1cNR1D7_FcY9zMnHP8iPO4M5RCRjy6nZY0TY/edit#gid=1248694442"",""Subgroup 3: Mi ~ Tx!C3:C17""), $A23=IMPORTRANGE(""https://docs.google.com/spreadsheets/d/1kGrh75X1cNR1D7_FcY9zMnHP8iPO4M5"&amp;"RCRjy6nZY0TY/edit#gid=1248694442"",""Subgroup 3: Mi ~ Tx!A3:A17"")),"""")"),"NA")</f>
        <v>NA</v>
      </c>
      <c r="U23" s="20" t="str">
        <f>IFERROR(__xludf.DUMMYFUNCTION("IFNA(FILTER(IMPORTRANGE(""https://docs.google.com/spreadsheets/d/1kGrh75X1cNR1D7_FcY9zMnHP8iPO4M5RCRjy6nZY0TY/edit#gid=1248694442"",""Subgroup 3: Mi ~ Tx!D3:D17""), $A23=IMPORTRANGE(""https://docs.google.com/spreadsheets/d/1kGrh75X1cNR1D7_FcY9zMnHP8iPO4M5"&amp;"RCRjy6nZY0TY/edit#gid=1248694442"",""Subgroup 3: Mi ~ Tx!A3:A17"")),"""")"),"")</f>
        <v/>
      </c>
      <c r="V23" s="20" t="str">
        <f>IFERROR(__xludf.DUMMYFUNCTION("IFNA(FILTER(IMPORTRANGE(""https://docs.google.com/spreadsheets/d/1kGrh75X1cNR1D7_FcY9zMnHP8iPO4M5RCRjy6nZY0TY/edit#gid=1248694442"",""Subgroup 3: Mi ~ Tx!E3:E17""), $A23=IMPORTRANGE(""https://docs.google.com/spreadsheets/d/1kGrh75X1cNR1D7_FcY9zMnHP8iPO4M5"&amp;"RCRjy6nZY0TY/edit#gid=1248694442"",""Subgroup 3: Mi ~ Tx!A3:A17"")),"""")"),"")</f>
        <v/>
      </c>
      <c r="W23" s="20" t="str">
        <f>IFERROR(__xludf.DUMMYFUNCTION("IFNA(FILTER(IMPORTRANGE(""https://docs.google.com/spreadsheets/d/1kGrh75X1cNR1D7_FcY9zMnHP8iPO4M5RCRjy6nZY0TY/edit#gid=1248694442"",""Subgroup 3: Mi ~ Tx!F3:F17""), $A23=IMPORTRANGE(""https://docs.google.com/spreadsheets/d/1kGrh75X1cNR1D7_FcY9zMnHP8iPO4M5"&amp;"RCRjy6nZY0TY/edit#gid=1248694442"",""Subgroup 3: Mi ~ Tx!A3:A17"")),"""")"),"")</f>
        <v/>
      </c>
      <c r="X23" s="19">
        <f>IFERROR(__xludf.DUMMYFUNCTION("IFNA(FILTER(IMPORTRANGE(""https://docs.google.com/spreadsheets/d/1kGrh75X1cNR1D7_FcY9zMnHP8iPO4M5RCRjy6nZY0TY/edit#gid=1248694442"",""Table 3: 1st-line HC!AK5:AK111""), $A23=IMPORTRANGE(""https://docs.google.com/spreadsheets/d/1kGrh75X1cNR1D7_FcY9zMnHP8iP"&amp;"O4M5RCRjy6nZY0TY/edit#gid=1248694442"",""Table 3: 1st-line HC!A5:A111"")),"""")"),0.0)</f>
        <v>0</v>
      </c>
      <c r="Y23" s="20" t="str">
        <f>IFERROR(__xludf.DUMMYFUNCTION("IFNA(FILTER(IMPORTRANGE(""https://docs.google.com/spreadsheets/d/1kGrh75X1cNR1D7_FcY9zMnHP8iPO4M5RCRjy6nZY0TY/edit#gid=1248694442"",""Subgroup 4: Mp ~ Tx!B3:B20""), $A23=IMPORTRANGE(""https://docs.google.com/spreadsheets/d/1kGrh75X1cNR1D7_FcY9zMnHP8iPO4M5"&amp;"RCRjy6nZY0TY/edit#gid=1248694442"",""Subgroup 4: Mp ~ Tx!A3:A20"")),"""")"),"")</f>
        <v/>
      </c>
      <c r="Z23" s="20" t="str">
        <f>IFERROR(__xludf.DUMMYFUNCTION("IFNA(FILTER(IMPORTRANGE(""https://docs.google.com/spreadsheets/d/1kGrh75X1cNR1D7_FcY9zMnHP8iPO4M5RCRjy6nZY0TY/edit#gid=1248694442"",""Subgroup 4: Mp ~ Tx!C3:C20""), $A23=IMPORTRANGE(""https://docs.google.com/spreadsheets/d/1kGrh75X1cNR1D7_FcY9zMnHP8iPO4M5"&amp;"RCRjy6nZY0TY/edit#gid=1248694442"",""Subgroup 4: Mp ~ Tx!A3:A20"")),"""")"),"NA")</f>
        <v>NA</v>
      </c>
      <c r="AA23" s="20" t="str">
        <f>IFERROR(__xludf.DUMMYFUNCTION("IFNA(FILTER(IMPORTRANGE(""https://docs.google.com/spreadsheets/d/1kGrh75X1cNR1D7_FcY9zMnHP8iPO4M5RCRjy6nZY0TY/edit#gid=1248694442"",""Subgroup 4: Mp ~ Tx!D3:D20""), $A23=IMPORTRANGE(""https://docs.google.com/spreadsheets/d/1kGrh75X1cNR1D7_FcY9zMnHP8iPO4M5"&amp;"RCRjy6nZY0TY/edit#gid=1248694442"",""Subgroup 4: Mp ~ Tx!A3:A20"")),"""")"),"")</f>
        <v/>
      </c>
      <c r="AB23" s="20" t="str">
        <f>IFERROR(__xludf.DUMMYFUNCTION("IFNA(FILTER(IMPORTRANGE(""https://docs.google.com/spreadsheets/d/1kGrh75X1cNR1D7_FcY9zMnHP8iPO4M5RCRjy6nZY0TY/edit#gid=1248694442"",""Subgroup 4: Mp ~ Tx!E3:E20""), $A23=IMPORTRANGE(""https://docs.google.com/spreadsheets/d/1kGrh75X1cNR1D7_FcY9zMnHP8iPO4M5"&amp;"RCRjy6nZY0TY/edit#gid=1248694442"",""Subgroup 4: Mp ~ Tx!A3:A20"")),"""")"),"")</f>
        <v/>
      </c>
      <c r="AC23" s="20" t="str">
        <f>IFERROR(__xludf.DUMMYFUNCTION("IFNA(FILTER(IMPORTRANGE(""https://docs.google.com/spreadsheets/d/1kGrh75X1cNR1D7_FcY9zMnHP8iPO4M5RCRjy6nZY0TY/edit#gid=1248694442"",""Subgroup 4: Mp ~ Tx!F3:F20""), $A23=IMPORTRANGE(""https://docs.google.com/spreadsheets/d/1kGrh75X1cNR1D7_FcY9zMnHP8iPO4M5"&amp;"RCRjy6nZY0TY/edit#gid=1248694442"",""Subgroup 4: Mp ~ Tx!A3:A20"")),"""")"),"")</f>
        <v/>
      </c>
      <c r="AD23" s="22" t="str">
        <f>IFERROR(__xludf.DUMMYFUNCTION("IFNA(FILTER(IMPORTRANGE(""https://docs.google.com/spreadsheets/d/1kGrh75X1cNR1D7_FcY9zMnHP8iPO4M5RCRjy6nZY0TY/edit#gid=1248694442"",""Table 3: 1st-line HC!AL5:AL111""), $A23=IMPORTRANGE(""https://docs.google.com/spreadsheets/d/1kGrh75X1cNR1D7_FcY9zMnHP8iP"&amp;"O4M5RCRjy6nZY0TY/edit#gid=1248694442"",""Table 3: 1st-line HC!A5:A111"")),"""")"),"")</f>
        <v/>
      </c>
      <c r="AE23" s="20">
        <f>IFERROR(__xludf.DUMMYFUNCTION("IFNA(FILTER(IMPORTRANGE(""https://docs.google.com/spreadsheets/d/1kGrh75X1cNR1D7_FcY9zMnHP8iPO4M5RCRjy6nZY0TY/edit#gid=1248694442"",""Table 3: 1st-line HC!BJ5:BJ111""), $A23=IMPORTRANGE(""https://docs.google.com/spreadsheets/d/1kGrh75X1cNR1D7_FcY9zMnHP8iP"&amp;"O4M5RCRjy6nZY0TY/edit#gid=1248694442"",""Table 3: 1st-line HC!A5:A111"")),"""")"),0.13)</f>
        <v>0.13</v>
      </c>
      <c r="AF23" s="20" t="str">
        <f>IFERROR(__xludf.DUMMYFUNCTION("IFNA(FILTER(IMPORTRANGE(""https://docs.google.com/spreadsheets/d/1kGrh75X1cNR1D7_FcY9zMnHP8iPO4M5RCRjy6nZY0TY/edit#gid=1248694442"",""Subgroup 2: Cr ~ Tx!B3:B23""), $A23=IMPORTRANGE(""https://docs.google.com/spreadsheets/d/1kGrh75X1cNR1D7_FcY9zMnHP8iPO4M5"&amp;"RCRjy6nZY0TY/edit#gid=1248694442"",""Subgroup 2: Cr ~ Tx!A3:A23"")),"""")"),"")</f>
        <v/>
      </c>
      <c r="AG23" s="20">
        <f>IFERROR(__xludf.DUMMYFUNCTION("IFNA(FILTER(IMPORTRANGE(""https://docs.google.com/spreadsheets/d/1kGrh75X1cNR1D7_FcY9zMnHP8iPO4M5RCRjy6nZY0TY/edit#gid=1248694442"",""Subgroup 2: Cr ~ Tx!C3:C23""), $A23=IMPORTRANGE(""https://docs.google.com/spreadsheets/d/1kGrh75X1cNR1D7_FcY9zMnHP8iPO4M5"&amp;"RCRjy6nZY0TY/edit#gid=1248694442"",""Subgroup 2: Cr ~ Tx!A3:A23"")),"""")"),0.133333333333333)</f>
        <v>0.1333333333</v>
      </c>
      <c r="AH23" s="20" t="str">
        <f>IFERROR(__xludf.DUMMYFUNCTION("IFNA(FILTER(IMPORTRANGE(""https://docs.google.com/spreadsheets/d/1kGrh75X1cNR1D7_FcY9zMnHP8iPO4M5RCRjy6nZY0TY/edit#gid=1248694442"",""Subgroup 2: Cr ~ Tx!D3:D23""), $A23=IMPORTRANGE(""https://docs.google.com/spreadsheets/d/1kGrh75X1cNR1D7_FcY9zMnHP8iPO4M5"&amp;"RCRjy6nZY0TY/edit#gid=1248694442"",""Subgroup 2: Cr ~ Tx!A3:A23"")),"""")"),"")</f>
        <v/>
      </c>
      <c r="AI23" s="20" t="str">
        <f>IFERROR(__xludf.DUMMYFUNCTION("IFNA(FILTER(IMPORTRANGE(""https://docs.google.com/spreadsheets/d/1kGrh75X1cNR1D7_FcY9zMnHP8iPO4M5RCRjy6nZY0TY/edit#gid=1248694442"",""Subgroup 2: Cr ~ Tx!E3:E23""), $A23=IMPORTRANGE(""https://docs.google.com/spreadsheets/d/1kGrh75X1cNR1D7_FcY9zMnHP8iPO4M5"&amp;"RCRjy6nZY0TY/edit#gid=1248694442"",""Subgroup 2: Cr ~ Tx!A3:A23"")),"""")"),"")</f>
        <v/>
      </c>
      <c r="AJ23" s="20" t="str">
        <f>IFERROR(__xludf.DUMMYFUNCTION("IFNA(FILTER(IMPORTRANGE(""https://docs.google.com/spreadsheets/d/1kGrh75X1cNR1D7_FcY9zMnHP8iPO4M5RCRjy6nZY0TY/edit#gid=1248694442"",""Subgroup 2: Cr ~ Tx!F3:F23""), $A23=IMPORTRANGE(""https://docs.google.com/spreadsheets/d/1kGrh75X1cNR1D7_FcY9zMnHP8iPO4M5"&amp;"RCRjy6nZY0TY/edit#gid=1248694442"",""Subgroup 2: Cr ~ Tx!A3:A23"")),"""")"),"")</f>
        <v/>
      </c>
      <c r="AK23" s="14" t="str">
        <f>IFERROR(__xludf.DUMMYFUNCTION("IFNA(FILTER(IMPORTRANGE(""https://docs.google.com/spreadsheets/d/1kGrh75X1cNR1D7_FcY9zMnHP8iPO4M5RCRjy6nZY0TY/edit#gid=1248694442"",""Table 4: 2nd-line HC or more!M5:M85""), $A23=IMPORTRANGE(""https://docs.google.com/spreadsheets/d/1kGrh75X1cNR1D7_FcY9zMn"&amp;"HP8iPO4M5RCRjy6nZY0TY/edit#gid=1248694442"",""Table 4: 2nd-line HC or more!A5:A85"")),"""")"),"")</f>
        <v/>
      </c>
      <c r="AL23" s="14" t="str">
        <f>IFERROR(__xludf.DUMMYFUNCTION("IFNA(FILTER(IMPORTRANGE(""https://docs.google.com/spreadsheets/d/1kGrh75X1cNR1D7_FcY9zMnHP8iPO4M5RCRjy6nZY0TY/edit#gid=1248694442"",""Table 4: 2nd-line HC or more!N5:N85""), $A23=IMPORTRANGE(""https://docs.google.com/spreadsheets/d/1kGrh75X1cNR1D7_FcY9zMn"&amp;"HP8iPO4M5RCRjy6nZY0TY/edit#gid=1248694442"",""Table 4: 2nd-line HC or more!A5:A85"")),"""")"),"")</f>
        <v/>
      </c>
      <c r="AM23" s="14" t="str">
        <f>IFERROR(__xludf.DUMMYFUNCTION("IFNA(FILTER(IMPORTRANGE(""https://docs.google.com/spreadsheets/d/1kGrh75X1cNR1D7_FcY9zMnHP8iPO4M5RCRjy6nZY0TY/edit#gid=1248694442"",""Table 4: 2nd-line HC or more!O5:O85""), $A23=IMPORTRANGE(""https://docs.google.com/spreadsheets/d/1kGrh75X1cNR1D7_FcY9zMn"&amp;"HP8iPO4M5RCRjy6nZY0TY/edit#gid=1248694442"",""Table 4: 2nd-line HC or more!A5:A85"")),"""")"),"")</f>
        <v/>
      </c>
      <c r="AN23" s="14" t="str">
        <f>IFERROR(__xludf.DUMMYFUNCTION("IFNA(FILTER(IMPORTRANGE(""https://docs.google.com/spreadsheets/d/1kGrh75X1cNR1D7_FcY9zMnHP8iPO4M5RCRjy6nZY0TY/edit#gid=1248694442"",""Table 3: 1st-line HC!AP5:AP111""), $A23=IMPORTRANGE(""https://docs.google.com/spreadsheets/d/1kGrh75X1cNR1D7_FcY9zMnHP8iP"&amp;"O4M5RCRjy6nZY0TY/edit#gid=1248694442"",""Table 3: 1st-line HC!A5:A111"")),"""")"),"")</f>
        <v/>
      </c>
      <c r="AO23" s="14" t="str">
        <f>IFERROR(__xludf.DUMMYFUNCTION("IFNA(FILTER(IMPORTRANGE(""https://docs.google.com/spreadsheets/d/1kGrh75X1cNR1D7_FcY9zMnHP8iPO4M5RCRjy6nZY0TY/edit#gid=1248694442"",""Table 3: 1st-line HC!AO5:AO111""), $A23=IMPORTRANGE(""https://docs.google.com/spreadsheets/d/1kGrh75X1cNR1D7_FcY9zMnHP8iP"&amp;"O4M5RCRjy6nZY0TY/edit#gid=1248694442"",""Table 3: 1st-line HC!A5:A111"")),"""")"),"")</f>
        <v/>
      </c>
      <c r="AP23" s="14">
        <f>IFERROR(__xludf.DUMMYFUNCTION("IFNA(FILTER(IMPORTRANGE(""https://docs.google.com/spreadsheets/d/1kGrh75X1cNR1D7_FcY9zMnHP8iPO4M5RCRjy6nZY0TY/edit#gid=1248694442"",""Table 3: 1st-line HC!AQ5:AQ111""), $A23=IMPORTRANGE(""https://docs.google.com/spreadsheets/d/1kGrh75X1cNR1D7_FcY9zMnHP8iP"&amp;"O4M5RCRjy6nZY0TY/edit#gid=1248694442"",""Table 3: 1st-line HC!A5:A111"")),"""")"),10.0)</f>
        <v>10</v>
      </c>
      <c r="AQ23" s="14" t="str">
        <f>IFERROR(__xludf.DUMMYFUNCTION("IFNA(FILTER(IMPORTRANGE(""https://docs.google.com/spreadsheets/d/1kGrh75X1cNR1D7_FcY9zMnHP8iPO4M5RCRjy6nZY0TY/edit#gid=1248694442"",""Table 2: MMC!T5:T114""), $A23=IMPORTRANGE(""https://docs.google.com/spreadsheets/d/1kGrh75X1cNR1D7_FcY9zMnHP8iPO4M5RCRjy6"&amp;"nZY0TY/edit#gid=1248694442"",""Table 2: MMC!A5:A114"")),"""")"),"")</f>
        <v/>
      </c>
      <c r="AR23" s="14" t="str">
        <f>IFERROR(__xludf.DUMMYFUNCTION("IFNA(FILTER(IMPORTRANGE(""https://docs.google.com/spreadsheets/d/1kGrh75X1cNR1D7_FcY9zMnHP8iPO4M5RCRjy6nZY0TY/edit#gid=1248694442"",""Table 2: MMC!U5:U114""), $A23=IMPORTRANGE(""https://docs.google.com/spreadsheets/d/1kGrh75X1cNR1D7_FcY9zMnHP8iPO4M5RCRjy6"&amp;"nZY0TY/edit#gid=1248694442"",""Table 2: MMC!A5:A114"")),"""")"),"")</f>
        <v/>
      </c>
      <c r="AS23" s="14" t="str">
        <f>IFERROR(__xludf.DUMMYFUNCTION("IFNA(FILTER(IMPORTRANGE(""https://docs.google.com/spreadsheets/d/1kGrh75X1cNR1D7_FcY9zMnHP8iPO4M5RCRjy6nZY0TY/edit#gid=1248694442"",""Table 2: MMC!V5:V114""), $A23=IMPORTRANGE(""https://docs.google.com/spreadsheets/d/1kGrh75X1cNR1D7_FcY9zMnHP8iPO4M5RCRjy6"&amp;"nZY0TY/edit#gid=1248694442"",""Table 2: MMC!A5:A114"")),"""")"),"")</f>
        <v/>
      </c>
      <c r="AT23" s="4" t="str">
        <f>IFERROR(__xludf.DUMMYFUNCTION("IFNA(FILTER(IMPORTRANGE(""https://docs.google.com/spreadsheets/d/1kGrh75X1cNR1D7_FcY9zMnHP8iPO4M5RCRjy6nZY0TY/edit#gid=1248694442"",""Table 2: MMC!W5:W114""), $A23=IMPORTRANGE(""https://docs.google.com/spreadsheets/d/1kGrh75X1cNR1D7_FcY9zMnHP8iPO4M5RCRjy6"&amp;"nZY0TY/edit#gid=1248694442"",""Table 2: MMC!A5:A114"")),"""")"),"")</f>
        <v/>
      </c>
    </row>
    <row r="24">
      <c r="A24" s="4" t="str">
        <f>IFERROR(__xludf.DUMMYFUNCTION("""COMPUTED_VALUE"""),"ID 38")</f>
        <v>ID 38</v>
      </c>
      <c r="B24" s="20">
        <f>IFERROR(__xludf.DUMMYFUNCTION("IFNA(FILTER(IMPORTRANGE(""https://docs.google.com/spreadsheets/d/1kGrh75X1cNR1D7_FcY9zMnHP8iPO4M5RCRjy6nZY0TY/edit#gid=1248694442"",""Table 3: 1st-line HC!BK5:BK111""), $A24=IMPORTRANGE(""https://docs.google.com/spreadsheets/d/1kGrh75X1cNR1D7_FcY9zMnHP8iP"&amp;"O4M5RCRjy6nZY0TY/edit#gid=1248694442"",""Table 3: 1st-line HC!A5:A111"")),"""")"),0.29)</f>
        <v>0.29</v>
      </c>
      <c r="C24" s="20" t="str">
        <f>IFERROR(__xludf.DUMMYFUNCTION("IFNA(FILTER(IMPORTRANGE(""https://docs.google.com/spreadsheets/d/1kGrh75X1cNR1D7_FcY9zMnHP8iPO4M5RCRjy6nZY0TY/edit#gid=1248694442"",""Subgroup 1: Fr ~ Tx!B3:B20""), $A24=IMPORTRANGE(""https://docs.google.com/spreadsheets/d/1kGrh75X1cNR1D7_FcY9zMnHP8iPO4M5"&amp;"RCRjy6nZY0TY/edit#gid=1248694442"",""Subgroup 1: Fr ~ Tx!A3:A20"")),"""")"),"")</f>
        <v/>
      </c>
      <c r="D24" s="20" t="str">
        <f>IFERROR(__xludf.DUMMYFUNCTION("IFNA(FILTER(IMPORTRANGE(""https://docs.google.com/spreadsheets/d/1kGrh75X1cNR1D7_FcY9zMnHP8iPO4M5RCRjy6nZY0TY/edit#gid=1248694442"",""Subgroup 1: Fr ~ Tx!C3:C20""), $A24=IMPORTRANGE(""https://docs.google.com/spreadsheets/d/1kGrh75X1cNR1D7_FcY9zMnHP8iPO4M5"&amp;"RCRjy6nZY0TY/edit#gid=1248694442"",""Subgroup 1: Fr ~ Tx!A3:A20"")),"""")"),"")</f>
        <v/>
      </c>
      <c r="E24" s="20" t="str">
        <f>IFERROR(__xludf.DUMMYFUNCTION("IFNA(FILTER(IMPORTRANGE(""https://docs.google.com/spreadsheets/d/1kGrh75X1cNR1D7_FcY9zMnHP8iPO4M5RCRjy6nZY0TY/edit#gid=1248694442"",""Subgroup 1: Fr ~ Tx!D3:D20""), $A24=IMPORTRANGE(""https://docs.google.com/spreadsheets/d/1kGrh75X1cNR1D7_FcY9zMnHP8iPO4M5"&amp;"RCRjy6nZY0TY/edit#gid=1248694442"",""Subgroup 1: Fr ~ Tx!A3:A20"")),"""")"),"")</f>
        <v/>
      </c>
      <c r="F24" s="20" t="str">
        <f>IFERROR(__xludf.DUMMYFUNCTION("IFNA(FILTER(IMPORTRANGE(""https://docs.google.com/spreadsheets/d/1kGrh75X1cNR1D7_FcY9zMnHP8iPO4M5RCRjy6nZY0TY/edit#gid=1248694442"",""Subgroup 1: Fr ~ Tx!E3:E20""), $A24=IMPORTRANGE(""https://docs.google.com/spreadsheets/d/1kGrh75X1cNR1D7_FcY9zMnHP8iPO4M5"&amp;"RCRjy6nZY0TY/edit#gid=1248694442"",""Subgroup 1: Fr ~ Tx!A3:A20"")),"""")"),"")</f>
        <v/>
      </c>
      <c r="G24" s="20" t="str">
        <f>IFERROR(__xludf.DUMMYFUNCTION("IFNA(FILTER(IMPORTRANGE(""https://docs.google.com/spreadsheets/d/1kGrh75X1cNR1D7_FcY9zMnHP8iPO4M5RCRjy6nZY0TY/edit#gid=1248694442"",""Subgroup 1: Fr ~ Tx!F3:F20""), $A24=IMPORTRANGE(""https://docs.google.com/spreadsheets/d/1kGrh75X1cNR1D7_FcY9zMnHP8iPO4M5"&amp;"RCRjy6nZY0TY/edit#gid=1248694442"",""Subgroup 1: Fr ~ Tx!A3:A20"")),"""")"),"")</f>
        <v/>
      </c>
      <c r="H24" s="20" t="str">
        <f>IFERROR(__xludf.DUMMYFUNCTION("IFNA(FILTER(IMPORTRANGE(""https://docs.google.com/spreadsheets/d/1kGrh75X1cNR1D7_FcY9zMnHP8iPO4M5RCRjy6nZY0TY/edit#gid=1248694442"",""Table 3: 1st-line HC!BD5:BD111""), $A24=IMPORTRANGE(""https://docs.google.com/spreadsheets/d/1kGrh75X1cNR1D7_FcY9zMnHP8iP"&amp;"O4M5RCRjy6nZY0TY/edit#gid=1248694442"",""Table 3: 1st-line HC!A5:A111"")),"""")"),"")</f>
        <v/>
      </c>
      <c r="I24" s="20" t="str">
        <f>IFERROR(__xludf.DUMMYFUNCTION("IFNA(FILTER(IMPORTRANGE(""https://docs.google.com/spreadsheets/d/1kGrh75X1cNR1D7_FcY9zMnHP8iPO4M5RCRjy6nZY0TY/edit#gid=1248694442"",""Subgroup 5: Tf ~ Tx!B3:B8""), $A24=IMPORTRANGE(""https://docs.google.com/spreadsheets/d/1kGrh75X1cNR1D7_FcY9zMnHP8iPO4M5R"&amp;"CRjy6nZY0TY/edit#gid=1248694442"",""Subgroup 5: Tf ~ Tx!A3:A8"")),"""")"),"")</f>
        <v/>
      </c>
      <c r="J24" s="20" t="str">
        <f>IFERROR(__xludf.DUMMYFUNCTION("IFNA(FILTER(IMPORTRANGE(""https://docs.google.com/spreadsheets/d/1kGrh75X1cNR1D7_FcY9zMnHP8iPO4M5RCRjy6nZY0TY/edit#gid=1248694442"",""Subgroup 5: Tf ~ Tx!C3:C8""), $A24=IMPORTRANGE(""https://docs.google.com/spreadsheets/d/1kGrh75X1cNR1D7_FcY9zMnHP8iPO4M5R"&amp;"CRjy6nZY0TY/edit#gid=1248694442"",""Subgroup 5: Tf ~ Tx!A3:A8"")),"""")"),"")</f>
        <v/>
      </c>
      <c r="K24" s="20" t="str">
        <f>IFERROR(__xludf.DUMMYFUNCTION("IFNA(FILTER(IMPORTRANGE(""https://docs.google.com/spreadsheets/d/1kGrh75X1cNR1D7_FcY9zMnHP8iPO4M5RCRjy6nZY0TY/edit#gid=1248694442"",""Subgroup 5: Tf ~ Tx!D3:D8""), $A24=IMPORTRANGE(""https://docs.google.com/spreadsheets/d/1kGrh75X1cNR1D7_FcY9zMnHP8iPO4M5R"&amp;"CRjy6nZY0TY/edit#gid=1248694442"",""Subgroup 5: Tf ~ Tx!A3:A8"")),"""")"),"")</f>
        <v/>
      </c>
      <c r="L24" s="20" t="str">
        <f>IFERROR(__xludf.DUMMYFUNCTION("IFNA(FILTER(IMPORTRANGE(""https://docs.google.com/spreadsheets/d/1kGrh75X1cNR1D7_FcY9zMnHP8iPO4M5RCRjy6nZY0TY/edit#gid=1248694442"",""Subgroup 5: Tf ~ Tx!E3:E8""), $A24=IMPORTRANGE(""https://docs.google.com/spreadsheets/d/1kGrh75X1cNR1D7_FcY9zMnHP8iPO4M5R"&amp;"CRjy6nZY0TY/edit#gid=1248694442"",""Subgroup 5: Tf ~ Tx!A3:A8"")),"""")"),"")</f>
        <v/>
      </c>
      <c r="M24" s="20" t="str">
        <f>IFERROR(__xludf.DUMMYFUNCTION("IFNA(FILTER(IMPORTRANGE(""https://docs.google.com/spreadsheets/d/1kGrh75X1cNR1D7_FcY9zMnHP8iPO4M5RCRjy6nZY0TY/edit#gid=1248694442"",""Subgroup 5: Tf ~ Tx!F3:F8""), $A24=IMPORTRANGE(""https://docs.google.com/spreadsheets/d/1kGrh75X1cNR1D7_FcY9zMnHP8iPO4M5R"&amp;"CRjy6nZY0TY/edit#gid=1248694442"",""Subgroup 5: Tf ~ Tx!A3:A8"")),"""")"),"")</f>
        <v/>
      </c>
      <c r="N24" s="20" t="str">
        <f>IFERROR(__xludf.DUMMYFUNCTION("IFNA(FILTER(IMPORTRANGE(""https://docs.google.com/spreadsheets/d/1kGrh75X1cNR1D7_FcY9zMnHP8iPO4M5RCRjy6nZY0TY/edit#gid=1248694442"",""Table 3: 1st-line HC!BE5:BE111""), $A24=IMPORTRANGE(""https://docs.google.com/spreadsheets/d/1kGrh75X1cNR1D7_FcY9zMnHP8iP"&amp;"O4M5RCRjy6nZY0TY/edit#gid=1248694442"",""Table 3: 1st-line HC!A5:A111"")),"""")"),"")</f>
        <v/>
      </c>
      <c r="O24" s="20" t="str">
        <f>IFERROR(__xludf.DUMMYFUNCTION("IFNA(FILTER(IMPORTRANGE(""https://docs.google.com/spreadsheets/d/1kGrh75X1cNR1D7_FcY9zMnHP8iPO4M5RCRjy6nZY0TY/edit#gid=1248694442"",""Table 3: 1st-line HC!BF5:BF111""), $A24=IMPORTRANGE(""https://docs.google.com/spreadsheets/d/1kGrh75X1cNR1D7_FcY9zMnHP8iP"&amp;"O4M5RCRjy6nZY0TY/edit#gid=1248694442"",""Table 3: 1st-line HC!A5:A111"")),"""")"),"")</f>
        <v/>
      </c>
      <c r="P24" s="20" t="str">
        <f>IFERROR(__xludf.DUMMYFUNCTION("IFNA(FILTER(IMPORTRANGE(""https://docs.google.com/spreadsheets/d/1kGrh75X1cNR1D7_FcY9zMnHP8iPO4M5RCRjy6nZY0TY/edit#gid=1248694442"",""Table 3: 1st-line HC!BG5:BG111""), $A24=IMPORTRANGE(""https://docs.google.com/spreadsheets/d/1kGrh75X1cNR1D7_FcY9zMnHP8iP"&amp;"O4M5RCRjy6nZY0TY/edit#gid=1248694442"",""Table 3: 1st-line HC!A5:A111"")),"""")"),"3-36")</f>
        <v>3-36</v>
      </c>
      <c r="Q24" s="21" t="str">
        <f>IFERROR(__xludf.DUMMYFUNCTION("IFNA(FILTER(IMPORTRANGE(""https://docs.google.com/spreadsheets/d/1kGrh75X1cNR1D7_FcY9zMnHP8iPO4M5RCRjy6nZY0TY/edit#gid=1248694442"",""Table 3: 1st-line HC!BH5:BH111""), $A24=IMPORTRANGE(""https://docs.google.com/spreadsheets/d/1kGrh75X1cNR1D7_FcY9zMnHP8iP"&amp;"O4M5RCRjy6nZY0TY/edit#gid=1248694442"",""Table 3: 1st-line HC!A5:A111"")),"""")"),"")</f>
        <v/>
      </c>
      <c r="R24" s="19" t="str">
        <f>IFERROR(__xludf.DUMMYFUNCTION("IFNA(FILTER(IMPORTRANGE(""https://docs.google.com/spreadsheets/d/1kGrh75X1cNR1D7_FcY9zMnHP8iPO4M5RCRjy6nZY0TY/edit#gid=1248694442"",""Table 3: 1st-line HC!AJ5:AJ111""), $A24=IMPORTRANGE(""https://docs.google.com/spreadsheets/d/1kGrh75X1cNR1D7_FcY9zMnHP8iP"&amp;"O4M5RCRjy6nZY0TY/edit#gid=1248694442"",""Table 3: 1st-line HC!A5:A111"")),"""")"),"")</f>
        <v/>
      </c>
      <c r="S24" s="20" t="str">
        <f>IFERROR(__xludf.DUMMYFUNCTION("IFNA(FILTER(IMPORTRANGE(""https://docs.google.com/spreadsheets/d/1kGrh75X1cNR1D7_FcY9zMnHP8iPO4M5RCRjy6nZY0TY/edit#gid=1248694442"",""Subgroup 3: Mi ~ Tx!B3:B17""), $A24=IMPORTRANGE(""https://docs.google.com/spreadsheets/d/1kGrh75X1cNR1D7_FcY9zMnHP8iPO4M5"&amp;"RCRjy6nZY0TY/edit#gid=1248694442"",""Subgroup 3: Mi ~ Tx!A3:A17"")),"""")"),"")</f>
        <v/>
      </c>
      <c r="T24" s="20" t="str">
        <f>IFERROR(__xludf.DUMMYFUNCTION("IFNA(FILTER(IMPORTRANGE(""https://docs.google.com/spreadsheets/d/1kGrh75X1cNR1D7_FcY9zMnHP8iPO4M5RCRjy6nZY0TY/edit#gid=1248694442"",""Subgroup 3: Mi ~ Tx!C3:C17""), $A24=IMPORTRANGE(""https://docs.google.com/spreadsheets/d/1kGrh75X1cNR1D7_FcY9zMnHP8iPO4M5"&amp;"RCRjy6nZY0TY/edit#gid=1248694442"",""Subgroup 3: Mi ~ Tx!A3:A17"")),"""")"),"")</f>
        <v/>
      </c>
      <c r="U24" s="20" t="str">
        <f>IFERROR(__xludf.DUMMYFUNCTION("IFNA(FILTER(IMPORTRANGE(""https://docs.google.com/spreadsheets/d/1kGrh75X1cNR1D7_FcY9zMnHP8iPO4M5RCRjy6nZY0TY/edit#gid=1248694442"",""Subgroup 3: Mi ~ Tx!D3:D17""), $A24=IMPORTRANGE(""https://docs.google.com/spreadsheets/d/1kGrh75X1cNR1D7_FcY9zMnHP8iPO4M5"&amp;"RCRjy6nZY0TY/edit#gid=1248694442"",""Subgroup 3: Mi ~ Tx!A3:A17"")),"""")"),"")</f>
        <v/>
      </c>
      <c r="V24" s="20" t="str">
        <f>IFERROR(__xludf.DUMMYFUNCTION("IFNA(FILTER(IMPORTRANGE(""https://docs.google.com/spreadsheets/d/1kGrh75X1cNR1D7_FcY9zMnHP8iPO4M5RCRjy6nZY0TY/edit#gid=1248694442"",""Subgroup 3: Mi ~ Tx!E3:E17""), $A24=IMPORTRANGE(""https://docs.google.com/spreadsheets/d/1kGrh75X1cNR1D7_FcY9zMnHP8iPO4M5"&amp;"RCRjy6nZY0TY/edit#gid=1248694442"",""Subgroup 3: Mi ~ Tx!A3:A17"")),"""")"),"")</f>
        <v/>
      </c>
      <c r="W24" s="20" t="str">
        <f>IFERROR(__xludf.DUMMYFUNCTION("IFNA(FILTER(IMPORTRANGE(""https://docs.google.com/spreadsheets/d/1kGrh75X1cNR1D7_FcY9zMnHP8iPO4M5RCRjy6nZY0TY/edit#gid=1248694442"",""Subgroup 3: Mi ~ Tx!F3:F17""), $A24=IMPORTRANGE(""https://docs.google.com/spreadsheets/d/1kGrh75X1cNR1D7_FcY9zMnHP8iPO4M5"&amp;"RCRjy6nZY0TY/edit#gid=1248694442"",""Subgroup 3: Mi ~ Tx!A3:A17"")),"""")"),"")</f>
        <v/>
      </c>
      <c r="X24" s="19" t="str">
        <f>IFERROR(__xludf.DUMMYFUNCTION("IFNA(FILTER(IMPORTRANGE(""https://docs.google.com/spreadsheets/d/1kGrh75X1cNR1D7_FcY9zMnHP8iPO4M5RCRjy6nZY0TY/edit#gid=1248694442"",""Table 3: 1st-line HC!AK5:AK111""), $A24=IMPORTRANGE(""https://docs.google.com/spreadsheets/d/1kGrh75X1cNR1D7_FcY9zMnHP8iP"&amp;"O4M5RCRjy6nZY0TY/edit#gid=1248694442"",""Table 3: 1st-line HC!A5:A111"")),"""")"),"")</f>
        <v/>
      </c>
      <c r="Y24" s="20" t="str">
        <f>IFERROR(__xludf.DUMMYFUNCTION("IFNA(FILTER(IMPORTRANGE(""https://docs.google.com/spreadsheets/d/1kGrh75X1cNR1D7_FcY9zMnHP8iPO4M5RCRjy6nZY0TY/edit#gid=1248694442"",""Subgroup 4: Mp ~ Tx!B3:B20""), $A24=IMPORTRANGE(""https://docs.google.com/spreadsheets/d/1kGrh75X1cNR1D7_FcY9zMnHP8iPO4M5"&amp;"RCRjy6nZY0TY/edit#gid=1248694442"",""Subgroup 4: Mp ~ Tx!A3:A20"")),"""")"),"")</f>
        <v/>
      </c>
      <c r="Z24" s="20" t="str">
        <f>IFERROR(__xludf.DUMMYFUNCTION("IFNA(FILTER(IMPORTRANGE(""https://docs.google.com/spreadsheets/d/1kGrh75X1cNR1D7_FcY9zMnHP8iPO4M5RCRjy6nZY0TY/edit#gid=1248694442"",""Subgroup 4: Mp ~ Tx!C3:C20""), $A24=IMPORTRANGE(""https://docs.google.com/spreadsheets/d/1kGrh75X1cNR1D7_FcY9zMnHP8iPO4M5"&amp;"RCRjy6nZY0TY/edit#gid=1248694442"",""Subgroup 4: Mp ~ Tx!A3:A20"")),"""")"),"")</f>
        <v/>
      </c>
      <c r="AA24" s="20" t="str">
        <f>IFERROR(__xludf.DUMMYFUNCTION("IFNA(FILTER(IMPORTRANGE(""https://docs.google.com/spreadsheets/d/1kGrh75X1cNR1D7_FcY9zMnHP8iPO4M5RCRjy6nZY0TY/edit#gid=1248694442"",""Subgroup 4: Mp ~ Tx!D3:D20""), $A24=IMPORTRANGE(""https://docs.google.com/spreadsheets/d/1kGrh75X1cNR1D7_FcY9zMnHP8iPO4M5"&amp;"RCRjy6nZY0TY/edit#gid=1248694442"",""Subgroup 4: Mp ~ Tx!A3:A20"")),"""")"),"")</f>
        <v/>
      </c>
      <c r="AB24" s="20" t="str">
        <f>IFERROR(__xludf.DUMMYFUNCTION("IFNA(FILTER(IMPORTRANGE(""https://docs.google.com/spreadsheets/d/1kGrh75X1cNR1D7_FcY9zMnHP8iPO4M5RCRjy6nZY0TY/edit#gid=1248694442"",""Subgroup 4: Mp ~ Tx!E3:E20""), $A24=IMPORTRANGE(""https://docs.google.com/spreadsheets/d/1kGrh75X1cNR1D7_FcY9zMnHP8iPO4M5"&amp;"RCRjy6nZY0TY/edit#gid=1248694442"",""Subgroup 4: Mp ~ Tx!A3:A20"")),"""")"),"")</f>
        <v/>
      </c>
      <c r="AC24" s="20" t="str">
        <f>IFERROR(__xludf.DUMMYFUNCTION("IFNA(FILTER(IMPORTRANGE(""https://docs.google.com/spreadsheets/d/1kGrh75X1cNR1D7_FcY9zMnHP8iPO4M5RCRjy6nZY0TY/edit#gid=1248694442"",""Subgroup 4: Mp ~ Tx!F3:F20""), $A24=IMPORTRANGE(""https://docs.google.com/spreadsheets/d/1kGrh75X1cNR1D7_FcY9zMnHP8iPO4M5"&amp;"RCRjy6nZY0TY/edit#gid=1248694442"",""Subgroup 4: Mp ~ Tx!A3:A20"")),"""")"),"")</f>
        <v/>
      </c>
      <c r="AD24" s="22" t="str">
        <f>IFERROR(__xludf.DUMMYFUNCTION("IFNA(FILTER(IMPORTRANGE(""https://docs.google.com/spreadsheets/d/1kGrh75X1cNR1D7_FcY9zMnHP8iPO4M5RCRjy6nZY0TY/edit#gid=1248694442"",""Table 3: 1st-line HC!AL5:AL111""), $A24=IMPORTRANGE(""https://docs.google.com/spreadsheets/d/1kGrh75X1cNR1D7_FcY9zMnHP8iP"&amp;"O4M5RCRjy6nZY0TY/edit#gid=1248694442"",""Table 3: 1st-line HC!A5:A111"")),"""")"),"")</f>
        <v/>
      </c>
      <c r="AE24" s="20">
        <f>IFERROR(__xludf.DUMMYFUNCTION("IFNA(FILTER(IMPORTRANGE(""https://docs.google.com/spreadsheets/d/1kGrh75X1cNR1D7_FcY9zMnHP8iPO4M5RCRjy6nZY0TY/edit#gid=1248694442"",""Table 3: 1st-line HC!BJ5:BJ111""), $A24=IMPORTRANGE(""https://docs.google.com/spreadsheets/d/1kGrh75X1cNR1D7_FcY9zMnHP8iP"&amp;"O4M5RCRjy6nZY0TY/edit#gid=1248694442"",""Table 3: 1st-line HC!A5:A111"")),"""")"),0.13)</f>
        <v>0.13</v>
      </c>
      <c r="AF24" s="20" t="str">
        <f>IFERROR(__xludf.DUMMYFUNCTION("IFNA(FILTER(IMPORTRANGE(""https://docs.google.com/spreadsheets/d/1kGrh75X1cNR1D7_FcY9zMnHP8iPO4M5RCRjy6nZY0TY/edit#gid=1248694442"",""Subgroup 2: Cr ~ Tx!B3:B23""), $A24=IMPORTRANGE(""https://docs.google.com/spreadsheets/d/1kGrh75X1cNR1D7_FcY9zMnHP8iPO4M5"&amp;"RCRjy6nZY0TY/edit#gid=1248694442"",""Subgroup 2: Cr ~ Tx!A3:A23"")),"""")"),"")</f>
        <v/>
      </c>
      <c r="AG24" s="20">
        <f>IFERROR(__xludf.DUMMYFUNCTION("IFNA(FILTER(IMPORTRANGE(""https://docs.google.com/spreadsheets/d/1kGrh75X1cNR1D7_FcY9zMnHP8iPO4M5RCRjy6nZY0TY/edit#gid=1248694442"",""Subgroup 2: Cr ~ Tx!C3:C23""), $A24=IMPORTRANGE(""https://docs.google.com/spreadsheets/d/1kGrh75X1cNR1D7_FcY9zMnHP8iPO4M5"&amp;"RCRjy6nZY0TY/edit#gid=1248694442"",""Subgroup 2: Cr ~ Tx!A3:A23"")),"""")"),0.130434782608695)</f>
        <v>0.1304347826</v>
      </c>
      <c r="AH24" s="20" t="str">
        <f>IFERROR(__xludf.DUMMYFUNCTION("IFNA(FILTER(IMPORTRANGE(""https://docs.google.com/spreadsheets/d/1kGrh75X1cNR1D7_FcY9zMnHP8iPO4M5RCRjy6nZY0TY/edit#gid=1248694442"",""Subgroup 2: Cr ~ Tx!D3:D23""), $A24=IMPORTRANGE(""https://docs.google.com/spreadsheets/d/1kGrh75X1cNR1D7_FcY9zMnHP8iPO4M5"&amp;"RCRjy6nZY0TY/edit#gid=1248694442"",""Subgroup 2: Cr ~ Tx!A3:A23"")),"""")"),"")</f>
        <v/>
      </c>
      <c r="AI24" s="20" t="str">
        <f>IFERROR(__xludf.DUMMYFUNCTION("IFNA(FILTER(IMPORTRANGE(""https://docs.google.com/spreadsheets/d/1kGrh75X1cNR1D7_FcY9zMnHP8iPO4M5RCRjy6nZY0TY/edit#gid=1248694442"",""Subgroup 2: Cr ~ Tx!E3:E23""), $A24=IMPORTRANGE(""https://docs.google.com/spreadsheets/d/1kGrh75X1cNR1D7_FcY9zMnHP8iPO4M5"&amp;"RCRjy6nZY0TY/edit#gid=1248694442"",""Subgroup 2: Cr ~ Tx!A3:A23"")),"""")"),"")</f>
        <v/>
      </c>
      <c r="AJ24" s="20" t="str">
        <f>IFERROR(__xludf.DUMMYFUNCTION("IFNA(FILTER(IMPORTRANGE(""https://docs.google.com/spreadsheets/d/1kGrh75X1cNR1D7_FcY9zMnHP8iPO4M5RCRjy6nZY0TY/edit#gid=1248694442"",""Subgroup 2: Cr ~ Tx!F3:F23""), $A24=IMPORTRANGE(""https://docs.google.com/spreadsheets/d/1kGrh75X1cNR1D7_FcY9zMnHP8iPO4M5"&amp;"RCRjy6nZY0TY/edit#gid=1248694442"",""Subgroup 2: Cr ~ Tx!A3:A23"")),"""")"),"")</f>
        <v/>
      </c>
      <c r="AK24" s="14" t="str">
        <f>IFERROR(__xludf.DUMMYFUNCTION("IFNA(FILTER(IMPORTRANGE(""https://docs.google.com/spreadsheets/d/1kGrh75X1cNR1D7_FcY9zMnHP8iPO4M5RCRjy6nZY0TY/edit#gid=1248694442"",""Table 4: 2nd-line HC or more!M5:M85""), $A24=IMPORTRANGE(""https://docs.google.com/spreadsheets/d/1kGrh75X1cNR1D7_FcY9zMn"&amp;"HP8iPO4M5RCRjy6nZY0TY/edit#gid=1248694442"",""Table 4: 2nd-line HC or more!A5:A85"")),"""")"),"")</f>
        <v/>
      </c>
      <c r="AL24" s="14" t="str">
        <f>IFERROR(__xludf.DUMMYFUNCTION("IFNA(FILTER(IMPORTRANGE(""https://docs.google.com/spreadsheets/d/1kGrh75X1cNR1D7_FcY9zMnHP8iPO4M5RCRjy6nZY0TY/edit#gid=1248694442"",""Table 4: 2nd-line HC or more!N5:N85""), $A24=IMPORTRANGE(""https://docs.google.com/spreadsheets/d/1kGrh75X1cNR1D7_FcY9zMn"&amp;"HP8iPO4M5RCRjy6nZY0TY/edit#gid=1248694442"",""Table 4: 2nd-line HC or more!A5:A85"")),"""")"),"")</f>
        <v/>
      </c>
      <c r="AM24" s="14" t="str">
        <f>IFERROR(__xludf.DUMMYFUNCTION("IFNA(FILTER(IMPORTRANGE(""https://docs.google.com/spreadsheets/d/1kGrh75X1cNR1D7_FcY9zMnHP8iPO4M5RCRjy6nZY0TY/edit#gid=1248694442"",""Table 4: 2nd-line HC or more!O5:O85""), $A24=IMPORTRANGE(""https://docs.google.com/spreadsheets/d/1kGrh75X1cNR1D7_FcY9zMn"&amp;"HP8iPO4M5RCRjy6nZY0TY/edit#gid=1248694442"",""Table 4: 2nd-line HC or more!A5:A85"")),"""")"),"")</f>
        <v/>
      </c>
      <c r="AN24" s="14" t="str">
        <f>IFERROR(__xludf.DUMMYFUNCTION("IFNA(FILTER(IMPORTRANGE(""https://docs.google.com/spreadsheets/d/1kGrh75X1cNR1D7_FcY9zMnHP8iPO4M5RCRjy6nZY0TY/edit#gid=1248694442"",""Table 3: 1st-line HC!AP5:AP111""), $A24=IMPORTRANGE(""https://docs.google.com/spreadsheets/d/1kGrh75X1cNR1D7_FcY9zMnHP8iP"&amp;"O4M5RCRjy6nZY0TY/edit#gid=1248694442"",""Table 3: 1st-line HC!A5:A111"")),"""")"),"")</f>
        <v/>
      </c>
      <c r="AO24" s="14" t="str">
        <f>IFERROR(__xludf.DUMMYFUNCTION("IFNA(FILTER(IMPORTRANGE(""https://docs.google.com/spreadsheets/d/1kGrh75X1cNR1D7_FcY9zMnHP8iPO4M5RCRjy6nZY0TY/edit#gid=1248694442"",""Table 3: 1st-line HC!AO5:AO111""), $A24=IMPORTRANGE(""https://docs.google.com/spreadsheets/d/1kGrh75X1cNR1D7_FcY9zMnHP8iP"&amp;"O4M5RCRjy6nZY0TY/edit#gid=1248694442"",""Table 3: 1st-line HC!A5:A111"")),"""")"),"")</f>
        <v/>
      </c>
      <c r="AP24" s="14">
        <f>IFERROR(__xludf.DUMMYFUNCTION("IFNA(FILTER(IMPORTRANGE(""https://docs.google.com/spreadsheets/d/1kGrh75X1cNR1D7_FcY9zMnHP8iPO4M5RCRjy6nZY0TY/edit#gid=1248694442"",""Table 3: 1st-line HC!AQ5:AQ111""), $A24=IMPORTRANGE(""https://docs.google.com/spreadsheets/d/1kGrh75X1cNR1D7_FcY9zMnHP8iP"&amp;"O4M5RCRjy6nZY0TY/edit#gid=1248694442"",""Table 3: 1st-line HC!A5:A111"")),"""")"),9.0)</f>
        <v>9</v>
      </c>
      <c r="AQ24" s="14" t="str">
        <f>IFERROR(__xludf.DUMMYFUNCTION("IFNA(FILTER(IMPORTRANGE(""https://docs.google.com/spreadsheets/d/1kGrh75X1cNR1D7_FcY9zMnHP8iPO4M5RCRjy6nZY0TY/edit#gid=1248694442"",""Table 2: MMC!T5:T114""), $A24=IMPORTRANGE(""https://docs.google.com/spreadsheets/d/1kGrh75X1cNR1D7_FcY9zMnHP8iPO4M5RCRjy6"&amp;"nZY0TY/edit#gid=1248694442"",""Table 2: MMC!A5:A114"")),"""")"),"")</f>
        <v/>
      </c>
      <c r="AR24" s="14" t="str">
        <f>IFERROR(__xludf.DUMMYFUNCTION("IFNA(FILTER(IMPORTRANGE(""https://docs.google.com/spreadsheets/d/1kGrh75X1cNR1D7_FcY9zMnHP8iPO4M5RCRjy6nZY0TY/edit#gid=1248694442"",""Table 2: MMC!U5:U114""), $A24=IMPORTRANGE(""https://docs.google.com/spreadsheets/d/1kGrh75X1cNR1D7_FcY9zMnHP8iPO4M5RCRjy6"&amp;"nZY0TY/edit#gid=1248694442"",""Table 2: MMC!A5:A114"")),"""")"),"")</f>
        <v/>
      </c>
      <c r="AS24" s="14" t="str">
        <f>IFERROR(__xludf.DUMMYFUNCTION("IFNA(FILTER(IMPORTRANGE(""https://docs.google.com/spreadsheets/d/1kGrh75X1cNR1D7_FcY9zMnHP8iPO4M5RCRjy6nZY0TY/edit#gid=1248694442"",""Table 2: MMC!V5:V114""), $A24=IMPORTRANGE(""https://docs.google.com/spreadsheets/d/1kGrh75X1cNR1D7_FcY9zMnHP8iPO4M5RCRjy6"&amp;"nZY0TY/edit#gid=1248694442"",""Table 2: MMC!A5:A114"")),"""")"),"")</f>
        <v/>
      </c>
      <c r="AT24" s="4" t="str">
        <f>IFERROR(__xludf.DUMMYFUNCTION("IFNA(FILTER(IMPORTRANGE(""https://docs.google.com/spreadsheets/d/1kGrh75X1cNR1D7_FcY9zMnHP8iPO4M5RCRjy6nZY0TY/edit#gid=1248694442"",""Table 2: MMC!W5:W114""), $A24=IMPORTRANGE(""https://docs.google.com/spreadsheets/d/1kGrh75X1cNR1D7_FcY9zMnHP8iPO4M5RCRjy6"&amp;"nZY0TY/edit#gid=1248694442"",""Table 2: MMC!A5:A114"")),"""")"),"")</f>
        <v/>
      </c>
    </row>
    <row r="25">
      <c r="A25" s="4" t="str">
        <f>IFERROR(__xludf.DUMMYFUNCTION("""COMPUTED_VALUE"""),"ID 39")</f>
        <v>ID 39</v>
      </c>
      <c r="B25" s="20">
        <f>IFERROR(__xludf.DUMMYFUNCTION("IFNA(FILTER(IMPORTRANGE(""https://docs.google.com/spreadsheets/d/1kGrh75X1cNR1D7_FcY9zMnHP8iPO4M5RCRjy6nZY0TY/edit#gid=1248694442"",""Table 3: 1st-line HC!BK5:BK111""), $A25=IMPORTRANGE(""https://docs.google.com/spreadsheets/d/1kGrh75X1cNR1D7_FcY9zMnHP8iP"&amp;"O4M5RCRjy6nZY0TY/edit#gid=1248694442"",""Table 3: 1st-line HC!A5:A111"")),"""")"),0.68)</f>
        <v>0.68</v>
      </c>
      <c r="C25" s="20">
        <f>IFERROR(__xludf.DUMMYFUNCTION("IFNA(FILTER(IMPORTRANGE(""https://docs.google.com/spreadsheets/d/1kGrh75X1cNR1D7_FcY9zMnHP8iPO4M5RCRjy6nZY0TY/edit#gid=1248694442"",""Subgroup 1: Fr ~ Tx!B3:B20""), $A25=IMPORTRANGE(""https://docs.google.com/spreadsheets/d/1kGrh75X1cNR1D7_FcY9zMnHP8iPO4M5"&amp;"RCRjy6nZY0TY/edit#gid=1248694442"",""Subgroup 1: Fr ~ Tx!A3:A20"")),"""")"),0.0)</f>
        <v>0</v>
      </c>
      <c r="D25" s="20">
        <f>IFERROR(__xludf.DUMMYFUNCTION("IFNA(FILTER(IMPORTRANGE(""https://docs.google.com/spreadsheets/d/1kGrh75X1cNR1D7_FcY9zMnHP8iPO4M5RCRjy6nZY0TY/edit#gid=1248694442"",""Subgroup 1: Fr ~ Tx!C3:C20""), $A25=IMPORTRANGE(""https://docs.google.com/spreadsheets/d/1kGrh75X1cNR1D7_FcY9zMnHP8iPO4M5"&amp;"RCRjy6nZY0TY/edit#gid=1248694442"",""Subgroup 1: Fr ~ Tx!A3:A20"")),"""")"),0.729729729729729)</f>
        <v>0.7297297297</v>
      </c>
      <c r="E25" s="20">
        <f>IFERROR(__xludf.DUMMYFUNCTION("IFNA(FILTER(IMPORTRANGE(""https://docs.google.com/spreadsheets/d/1kGrh75X1cNR1D7_FcY9zMnHP8iPO4M5RCRjy6nZY0TY/edit#gid=1248694442"",""Subgroup 1: Fr ~ Tx!D3:D20""), $A25=IMPORTRANGE(""https://docs.google.com/spreadsheets/d/1kGrh75X1cNR1D7_FcY9zMnHP8iPO4M5"&amp;"RCRjy6nZY0TY/edit#gid=1248694442"",""Subgroup 1: Fr ~ Tx!A3:A20"")),"""")"),0.5)</f>
        <v>0.5</v>
      </c>
      <c r="F25" s="20" t="str">
        <f>IFERROR(__xludf.DUMMYFUNCTION("IFNA(FILTER(IMPORTRANGE(""https://docs.google.com/spreadsheets/d/1kGrh75X1cNR1D7_FcY9zMnHP8iPO4M5RCRjy6nZY0TY/edit#gid=1248694442"",""Subgroup 1: Fr ~ Tx!E3:E20""), $A25=IMPORTRANGE(""https://docs.google.com/spreadsheets/d/1kGrh75X1cNR1D7_FcY9zMnHP8iPO4M5"&amp;"RCRjy6nZY0TY/edit#gid=1248694442"",""Subgroup 1: Fr ~ Tx!A3:A20"")),"""")"),"")</f>
        <v/>
      </c>
      <c r="G25" s="20" t="str">
        <f>IFERROR(__xludf.DUMMYFUNCTION("IFNA(FILTER(IMPORTRANGE(""https://docs.google.com/spreadsheets/d/1kGrh75X1cNR1D7_FcY9zMnHP8iPO4M5RCRjy6nZY0TY/edit#gid=1248694442"",""Subgroup 1: Fr ~ Tx!F3:F20""), $A25=IMPORTRANGE(""https://docs.google.com/spreadsheets/d/1kGrh75X1cNR1D7_FcY9zMnHP8iPO4M5"&amp;"RCRjy6nZY0TY/edit#gid=1248694442"",""Subgroup 1: Fr ~ Tx!A3:A20"")),"""")"),"")</f>
        <v/>
      </c>
      <c r="H25" s="20" t="str">
        <f>IFERROR(__xludf.DUMMYFUNCTION("IFNA(FILTER(IMPORTRANGE(""https://docs.google.com/spreadsheets/d/1kGrh75X1cNR1D7_FcY9zMnHP8iPO4M5RCRjy6nZY0TY/edit#gid=1248694442"",""Table 3: 1st-line HC!BD5:BD111""), $A25=IMPORTRANGE(""https://docs.google.com/spreadsheets/d/1kGrh75X1cNR1D7_FcY9zMnHP8iP"&amp;"O4M5RCRjy6nZY0TY/edit#gid=1248694442"",""Table 3: 1st-line HC!A5:A111"")),"""")"),"")</f>
        <v/>
      </c>
      <c r="I25" s="20" t="str">
        <f>IFERROR(__xludf.DUMMYFUNCTION("IFNA(FILTER(IMPORTRANGE(""https://docs.google.com/spreadsheets/d/1kGrh75X1cNR1D7_FcY9zMnHP8iPO4M5RCRjy6nZY0TY/edit#gid=1248694442"",""Subgroup 5: Tf ~ Tx!B3:B8""), $A25=IMPORTRANGE(""https://docs.google.com/spreadsheets/d/1kGrh75X1cNR1D7_FcY9zMnHP8iPO4M5R"&amp;"CRjy6nZY0TY/edit#gid=1248694442"",""Subgroup 5: Tf ~ Tx!A3:A8"")),"""")"),"")</f>
        <v/>
      </c>
      <c r="J25" s="20" t="str">
        <f>IFERROR(__xludf.DUMMYFUNCTION("IFNA(FILTER(IMPORTRANGE(""https://docs.google.com/spreadsheets/d/1kGrh75X1cNR1D7_FcY9zMnHP8iPO4M5RCRjy6nZY0TY/edit#gid=1248694442"",""Subgroup 5: Tf ~ Tx!C3:C8""), $A25=IMPORTRANGE(""https://docs.google.com/spreadsheets/d/1kGrh75X1cNR1D7_FcY9zMnHP8iPO4M5R"&amp;"CRjy6nZY0TY/edit#gid=1248694442"",""Subgroup 5: Tf ~ Tx!A3:A8"")),"""")"),"")</f>
        <v/>
      </c>
      <c r="K25" s="20" t="str">
        <f>IFERROR(__xludf.DUMMYFUNCTION("IFNA(FILTER(IMPORTRANGE(""https://docs.google.com/spreadsheets/d/1kGrh75X1cNR1D7_FcY9zMnHP8iPO4M5RCRjy6nZY0TY/edit#gid=1248694442"",""Subgroup 5: Tf ~ Tx!D3:D8""), $A25=IMPORTRANGE(""https://docs.google.com/spreadsheets/d/1kGrh75X1cNR1D7_FcY9zMnHP8iPO4M5R"&amp;"CRjy6nZY0TY/edit#gid=1248694442"",""Subgroup 5: Tf ~ Tx!A3:A8"")),"""")"),"")</f>
        <v/>
      </c>
      <c r="L25" s="20" t="str">
        <f>IFERROR(__xludf.DUMMYFUNCTION("IFNA(FILTER(IMPORTRANGE(""https://docs.google.com/spreadsheets/d/1kGrh75X1cNR1D7_FcY9zMnHP8iPO4M5RCRjy6nZY0TY/edit#gid=1248694442"",""Subgroup 5: Tf ~ Tx!E3:E8""), $A25=IMPORTRANGE(""https://docs.google.com/spreadsheets/d/1kGrh75X1cNR1D7_FcY9zMnHP8iPO4M5R"&amp;"CRjy6nZY0TY/edit#gid=1248694442"",""Subgroup 5: Tf ~ Tx!A3:A8"")),"""")"),"")</f>
        <v/>
      </c>
      <c r="M25" s="20" t="str">
        <f>IFERROR(__xludf.DUMMYFUNCTION("IFNA(FILTER(IMPORTRANGE(""https://docs.google.com/spreadsheets/d/1kGrh75X1cNR1D7_FcY9zMnHP8iPO4M5RCRjy6nZY0TY/edit#gid=1248694442"",""Subgroup 5: Tf ~ Tx!F3:F8""), $A25=IMPORTRANGE(""https://docs.google.com/spreadsheets/d/1kGrh75X1cNR1D7_FcY9zMnHP8iPO4M5R"&amp;"CRjy6nZY0TY/edit#gid=1248694442"",""Subgroup 5: Tf ~ Tx!A3:A8"")),"""")"),"")</f>
        <v/>
      </c>
      <c r="N25" s="20" t="str">
        <f>IFERROR(__xludf.DUMMYFUNCTION("IFNA(FILTER(IMPORTRANGE(""https://docs.google.com/spreadsheets/d/1kGrh75X1cNR1D7_FcY9zMnHP8iPO4M5RCRjy6nZY0TY/edit#gid=1248694442"",""Table 3: 1st-line HC!BE5:BE111""), $A25=IMPORTRANGE(""https://docs.google.com/spreadsheets/d/1kGrh75X1cNR1D7_FcY9zMnHP8iP"&amp;"O4M5RCRjy6nZY0TY/edit#gid=1248694442"",""Table 3: 1st-line HC!A5:A111"")),"""")"),"")</f>
        <v/>
      </c>
      <c r="O25" s="20" t="str">
        <f>IFERROR(__xludf.DUMMYFUNCTION("IFNA(FILTER(IMPORTRANGE(""https://docs.google.com/spreadsheets/d/1kGrh75X1cNR1D7_FcY9zMnHP8iPO4M5RCRjy6nZY0TY/edit#gid=1248694442"",""Table 3: 1st-line HC!BF5:BF111""), $A25=IMPORTRANGE(""https://docs.google.com/spreadsheets/d/1kGrh75X1cNR1D7_FcY9zMnHP8iP"&amp;"O4M5RCRjy6nZY0TY/edit#gid=1248694442"",""Table 3: 1st-line HC!A5:A111"")),"""")"),"")</f>
        <v/>
      </c>
      <c r="P25" s="20" t="str">
        <f>IFERROR(__xludf.DUMMYFUNCTION("IFNA(FILTER(IMPORTRANGE(""https://docs.google.com/spreadsheets/d/1kGrh75X1cNR1D7_FcY9zMnHP8iPO4M5RCRjy6nZY0TY/edit#gid=1248694442"",""Table 3: 1st-line HC!BG5:BG111""), $A25=IMPORTRANGE(""https://docs.google.com/spreadsheets/d/1kGrh75X1cNR1D7_FcY9zMnHP8iP"&amp;"O4M5RCRjy6nZY0TY/edit#gid=1248694442"",""Table 3: 1st-line HC!A5:A111"")),"""")"),"")</f>
        <v/>
      </c>
      <c r="Q25" s="21" t="str">
        <f>IFERROR(__xludf.DUMMYFUNCTION("IFNA(FILTER(IMPORTRANGE(""https://docs.google.com/spreadsheets/d/1kGrh75X1cNR1D7_FcY9zMnHP8iPO4M5RCRjy6nZY0TY/edit#gid=1248694442"",""Table 3: 1st-line HC!BH5:BH111""), $A25=IMPORTRANGE(""https://docs.google.com/spreadsheets/d/1kGrh75X1cNR1D7_FcY9zMnHP8iP"&amp;"O4M5RCRjy6nZY0TY/edit#gid=1248694442"",""Table 3: 1st-line HC!A5:A111"")),"""")"),"")</f>
        <v/>
      </c>
      <c r="R25" s="19" t="str">
        <f>IFERROR(__xludf.DUMMYFUNCTION("IFNA(FILTER(IMPORTRANGE(""https://docs.google.com/spreadsheets/d/1kGrh75X1cNR1D7_FcY9zMnHP8iPO4M5RCRjy6nZY0TY/edit#gid=1248694442"",""Table 3: 1st-line HC!AJ5:AJ111""), $A25=IMPORTRANGE(""https://docs.google.com/spreadsheets/d/1kGrh75X1cNR1D7_FcY9zMnHP8iP"&amp;"O4M5RCRjy6nZY0TY/edit#gid=1248694442"",""Table 3: 1st-line HC!A5:A111"")),"""")"),"")</f>
        <v/>
      </c>
      <c r="S25" s="20" t="str">
        <f>IFERROR(__xludf.DUMMYFUNCTION("IFNA(FILTER(IMPORTRANGE(""https://docs.google.com/spreadsheets/d/1kGrh75X1cNR1D7_FcY9zMnHP8iPO4M5RCRjy6nZY0TY/edit#gid=1248694442"",""Subgroup 3: Mi ~ Tx!B3:B17""), $A25=IMPORTRANGE(""https://docs.google.com/spreadsheets/d/1kGrh75X1cNR1D7_FcY9zMnHP8iPO4M5"&amp;"RCRjy6nZY0TY/edit#gid=1248694442"",""Subgroup 3: Mi ~ Tx!A3:A17"")),"""")"),"")</f>
        <v/>
      </c>
      <c r="T25" s="20" t="str">
        <f>IFERROR(__xludf.DUMMYFUNCTION("IFNA(FILTER(IMPORTRANGE(""https://docs.google.com/spreadsheets/d/1kGrh75X1cNR1D7_FcY9zMnHP8iPO4M5RCRjy6nZY0TY/edit#gid=1248694442"",""Subgroup 3: Mi ~ Tx!C3:C17""), $A25=IMPORTRANGE(""https://docs.google.com/spreadsheets/d/1kGrh75X1cNR1D7_FcY9zMnHP8iPO4M5"&amp;"RCRjy6nZY0TY/edit#gid=1248694442"",""Subgroup 3: Mi ~ Tx!A3:A17"")),"""")"),"")</f>
        <v/>
      </c>
      <c r="U25" s="20" t="str">
        <f>IFERROR(__xludf.DUMMYFUNCTION("IFNA(FILTER(IMPORTRANGE(""https://docs.google.com/spreadsheets/d/1kGrh75X1cNR1D7_FcY9zMnHP8iPO4M5RCRjy6nZY0TY/edit#gid=1248694442"",""Subgroup 3: Mi ~ Tx!D3:D17""), $A25=IMPORTRANGE(""https://docs.google.com/spreadsheets/d/1kGrh75X1cNR1D7_FcY9zMnHP8iPO4M5"&amp;"RCRjy6nZY0TY/edit#gid=1248694442"",""Subgroup 3: Mi ~ Tx!A3:A17"")),"""")"),"")</f>
        <v/>
      </c>
      <c r="V25" s="20" t="str">
        <f>IFERROR(__xludf.DUMMYFUNCTION("IFNA(FILTER(IMPORTRANGE(""https://docs.google.com/spreadsheets/d/1kGrh75X1cNR1D7_FcY9zMnHP8iPO4M5RCRjy6nZY0TY/edit#gid=1248694442"",""Subgroup 3: Mi ~ Tx!E3:E17""), $A25=IMPORTRANGE(""https://docs.google.com/spreadsheets/d/1kGrh75X1cNR1D7_FcY9zMnHP8iPO4M5"&amp;"RCRjy6nZY0TY/edit#gid=1248694442"",""Subgroup 3: Mi ~ Tx!A3:A17"")),"""")"),"")</f>
        <v/>
      </c>
      <c r="W25" s="20" t="str">
        <f>IFERROR(__xludf.DUMMYFUNCTION("IFNA(FILTER(IMPORTRANGE(""https://docs.google.com/spreadsheets/d/1kGrh75X1cNR1D7_FcY9zMnHP8iPO4M5RCRjy6nZY0TY/edit#gid=1248694442"",""Subgroup 3: Mi ~ Tx!F3:F17""), $A25=IMPORTRANGE(""https://docs.google.com/spreadsheets/d/1kGrh75X1cNR1D7_FcY9zMnHP8iPO4M5"&amp;"RCRjy6nZY0TY/edit#gid=1248694442"",""Subgroup 3: Mi ~ Tx!A3:A17"")),"""")"),"")</f>
        <v/>
      </c>
      <c r="X25" s="19" t="str">
        <f>IFERROR(__xludf.DUMMYFUNCTION("IFNA(FILTER(IMPORTRANGE(""https://docs.google.com/spreadsheets/d/1kGrh75X1cNR1D7_FcY9zMnHP8iPO4M5RCRjy6nZY0TY/edit#gid=1248694442"",""Table 3: 1st-line HC!AK5:AK111""), $A25=IMPORTRANGE(""https://docs.google.com/spreadsheets/d/1kGrh75X1cNR1D7_FcY9zMnHP8iP"&amp;"O4M5RCRjy6nZY0TY/edit#gid=1248694442"",""Table 3: 1st-line HC!A5:A111"")),"""")"),"")</f>
        <v/>
      </c>
      <c r="Y25" s="20" t="str">
        <f>IFERROR(__xludf.DUMMYFUNCTION("IFNA(FILTER(IMPORTRANGE(""https://docs.google.com/spreadsheets/d/1kGrh75X1cNR1D7_FcY9zMnHP8iPO4M5RCRjy6nZY0TY/edit#gid=1248694442"",""Subgroup 4: Mp ~ Tx!B3:B20""), $A25=IMPORTRANGE(""https://docs.google.com/spreadsheets/d/1kGrh75X1cNR1D7_FcY9zMnHP8iPO4M5"&amp;"RCRjy6nZY0TY/edit#gid=1248694442"",""Subgroup 4: Mp ~ Tx!A3:A20"")),"""")"),"")</f>
        <v/>
      </c>
      <c r="Z25" s="20" t="str">
        <f>IFERROR(__xludf.DUMMYFUNCTION("IFNA(FILTER(IMPORTRANGE(""https://docs.google.com/spreadsheets/d/1kGrh75X1cNR1D7_FcY9zMnHP8iPO4M5RCRjy6nZY0TY/edit#gid=1248694442"",""Subgroup 4: Mp ~ Tx!C3:C20""), $A25=IMPORTRANGE(""https://docs.google.com/spreadsheets/d/1kGrh75X1cNR1D7_FcY9zMnHP8iPO4M5"&amp;"RCRjy6nZY0TY/edit#gid=1248694442"",""Subgroup 4: Mp ~ Tx!A3:A20"")),"""")"),"")</f>
        <v/>
      </c>
      <c r="AA25" s="20" t="str">
        <f>IFERROR(__xludf.DUMMYFUNCTION("IFNA(FILTER(IMPORTRANGE(""https://docs.google.com/spreadsheets/d/1kGrh75X1cNR1D7_FcY9zMnHP8iPO4M5RCRjy6nZY0TY/edit#gid=1248694442"",""Subgroup 4: Mp ~ Tx!D3:D20""), $A25=IMPORTRANGE(""https://docs.google.com/spreadsheets/d/1kGrh75X1cNR1D7_FcY9zMnHP8iPO4M5"&amp;"RCRjy6nZY0TY/edit#gid=1248694442"",""Subgroup 4: Mp ~ Tx!A3:A20"")),"""")"),"")</f>
        <v/>
      </c>
      <c r="AB25" s="20" t="str">
        <f>IFERROR(__xludf.DUMMYFUNCTION("IFNA(FILTER(IMPORTRANGE(""https://docs.google.com/spreadsheets/d/1kGrh75X1cNR1D7_FcY9zMnHP8iPO4M5RCRjy6nZY0TY/edit#gid=1248694442"",""Subgroup 4: Mp ~ Tx!E3:E20""), $A25=IMPORTRANGE(""https://docs.google.com/spreadsheets/d/1kGrh75X1cNR1D7_FcY9zMnHP8iPO4M5"&amp;"RCRjy6nZY0TY/edit#gid=1248694442"",""Subgroup 4: Mp ~ Tx!A3:A20"")),"""")"),"")</f>
        <v/>
      </c>
      <c r="AC25" s="20" t="str">
        <f>IFERROR(__xludf.DUMMYFUNCTION("IFNA(FILTER(IMPORTRANGE(""https://docs.google.com/spreadsheets/d/1kGrh75X1cNR1D7_FcY9zMnHP8iPO4M5RCRjy6nZY0TY/edit#gid=1248694442"",""Subgroup 4: Mp ~ Tx!F3:F20""), $A25=IMPORTRANGE(""https://docs.google.com/spreadsheets/d/1kGrh75X1cNR1D7_FcY9zMnHP8iPO4M5"&amp;"RCRjy6nZY0TY/edit#gid=1248694442"",""Subgroup 4: Mp ~ Tx!A3:A20"")),"""")"),"")</f>
        <v/>
      </c>
      <c r="AD25" s="22" t="str">
        <f>IFERROR(__xludf.DUMMYFUNCTION("IFNA(FILTER(IMPORTRANGE(""https://docs.google.com/spreadsheets/d/1kGrh75X1cNR1D7_FcY9zMnHP8iPO4M5RCRjy6nZY0TY/edit#gid=1248694442"",""Table 3: 1st-line HC!AL5:AL111""), $A25=IMPORTRANGE(""https://docs.google.com/spreadsheets/d/1kGrh75X1cNR1D7_FcY9zMnHP8iP"&amp;"O4M5RCRjy6nZY0TY/edit#gid=1248694442"",""Table 3: 1st-line HC!A5:A111"")),"""")"),"")</f>
        <v/>
      </c>
      <c r="AE25" s="20">
        <f>IFERROR(__xludf.DUMMYFUNCTION("IFNA(FILTER(IMPORTRANGE(""https://docs.google.com/spreadsheets/d/1kGrh75X1cNR1D7_FcY9zMnHP8iPO4M5RCRjy6nZY0TY/edit#gid=1248694442"",""Table 3: 1st-line HC!BJ5:BJ111""), $A25=IMPORTRANGE(""https://docs.google.com/spreadsheets/d/1kGrh75X1cNR1D7_FcY9zMnHP8iP"&amp;"O4M5RCRjy6nZY0TY/edit#gid=1248694442"",""Table 3: 1st-line HC!A5:A111"")),"""")"),0.72)</f>
        <v>0.72</v>
      </c>
      <c r="AF25" s="20">
        <f>IFERROR(__xludf.DUMMYFUNCTION("IFNA(FILTER(IMPORTRANGE(""https://docs.google.com/spreadsheets/d/1kGrh75X1cNR1D7_FcY9zMnHP8iPO4M5RCRjy6nZY0TY/edit#gid=1248694442"",""Subgroup 2: Cr ~ Tx!B3:B23""), $A25=IMPORTRANGE(""https://docs.google.com/spreadsheets/d/1kGrh75X1cNR1D7_FcY9zMnHP8iPO4M5"&amp;"RCRjy6nZY0TY/edit#gid=1248694442"",""Subgroup 2: Cr ~ Tx!A3:A23"")),"""")"),0.0)</f>
        <v>0</v>
      </c>
      <c r="AG25" s="20" t="str">
        <f>IFERROR(__xludf.DUMMYFUNCTION("IFNA(FILTER(IMPORTRANGE(""https://docs.google.com/spreadsheets/d/1kGrh75X1cNR1D7_FcY9zMnHP8iPO4M5RCRjy6nZY0TY/edit#gid=1248694442"",""Subgroup 2: Cr ~ Tx!C3:C23""), $A25=IMPORTRANGE(""https://docs.google.com/spreadsheets/d/1kGrh75X1cNR1D7_FcY9zMnHP8iPO4M5"&amp;"RCRjy6nZY0TY/edit#gid=1248694442"",""Subgroup 2: Cr ~ Tx!A3:A23"")),"""")"),"")</f>
        <v/>
      </c>
      <c r="AH25" s="20" t="str">
        <f>IFERROR(__xludf.DUMMYFUNCTION("IFNA(FILTER(IMPORTRANGE(""https://docs.google.com/spreadsheets/d/1kGrh75X1cNR1D7_FcY9zMnHP8iPO4M5RCRjy6nZY0TY/edit#gid=1248694442"",""Subgroup 2: Cr ~ Tx!D3:D23""), $A25=IMPORTRANGE(""https://docs.google.com/spreadsheets/d/1kGrh75X1cNR1D7_FcY9zMnHP8iPO4M5"&amp;"RCRjy6nZY0TY/edit#gid=1248694442"",""Subgroup 2: Cr ~ Tx!A3:A23"")),"""")"),"")</f>
        <v/>
      </c>
      <c r="AI25" s="20" t="str">
        <f>IFERROR(__xludf.DUMMYFUNCTION("IFNA(FILTER(IMPORTRANGE(""https://docs.google.com/spreadsheets/d/1kGrh75X1cNR1D7_FcY9zMnHP8iPO4M5RCRjy6nZY0TY/edit#gid=1248694442"",""Subgroup 2: Cr ~ Tx!E3:E23""), $A25=IMPORTRANGE(""https://docs.google.com/spreadsheets/d/1kGrh75X1cNR1D7_FcY9zMnHP8iPO4M5"&amp;"RCRjy6nZY0TY/edit#gid=1248694442"",""Subgroup 2: Cr ~ Tx!A3:A23"")),"""")"),"")</f>
        <v/>
      </c>
      <c r="AJ25" s="20" t="str">
        <f>IFERROR(__xludf.DUMMYFUNCTION("IFNA(FILTER(IMPORTRANGE(""https://docs.google.com/spreadsheets/d/1kGrh75X1cNR1D7_FcY9zMnHP8iPO4M5RCRjy6nZY0TY/edit#gid=1248694442"",""Subgroup 2: Cr ~ Tx!F3:F23""), $A25=IMPORTRANGE(""https://docs.google.com/spreadsheets/d/1kGrh75X1cNR1D7_FcY9zMnHP8iPO4M5"&amp;"RCRjy6nZY0TY/edit#gid=1248694442"",""Subgroup 2: Cr ~ Tx!A3:A23"")),"""")"),"")</f>
        <v/>
      </c>
      <c r="AK25" s="14" t="str">
        <f>IFERROR(__xludf.DUMMYFUNCTION("IFNA(FILTER(IMPORTRANGE(""https://docs.google.com/spreadsheets/d/1kGrh75X1cNR1D7_FcY9zMnHP8iPO4M5RCRjy6nZY0TY/edit#gid=1248694442"",""Table 4: 2nd-line HC or more!M5:M85""), $A25=IMPORTRANGE(""https://docs.google.com/spreadsheets/d/1kGrh75X1cNR1D7_FcY9zMn"&amp;"HP8iPO4M5RCRjy6nZY0TY/edit#gid=1248694442"",""Table 4: 2nd-line HC or more!A5:A85"")),"""")"),"")</f>
        <v/>
      </c>
      <c r="AL25" s="14" t="str">
        <f>IFERROR(__xludf.DUMMYFUNCTION("IFNA(FILTER(IMPORTRANGE(""https://docs.google.com/spreadsheets/d/1kGrh75X1cNR1D7_FcY9zMnHP8iPO4M5RCRjy6nZY0TY/edit#gid=1248694442"",""Table 4: 2nd-line HC or more!N5:N85""), $A25=IMPORTRANGE(""https://docs.google.com/spreadsheets/d/1kGrh75X1cNR1D7_FcY9zMn"&amp;"HP8iPO4M5RCRjy6nZY0TY/edit#gid=1248694442"",""Table 4: 2nd-line HC or more!A5:A85"")),"""")"),"")</f>
        <v/>
      </c>
      <c r="AM25" s="14" t="str">
        <f>IFERROR(__xludf.DUMMYFUNCTION("IFNA(FILTER(IMPORTRANGE(""https://docs.google.com/spreadsheets/d/1kGrh75X1cNR1D7_FcY9zMnHP8iPO4M5RCRjy6nZY0TY/edit#gid=1248694442"",""Table 4: 2nd-line HC or more!O5:O85""), $A25=IMPORTRANGE(""https://docs.google.com/spreadsheets/d/1kGrh75X1cNR1D7_FcY9zMn"&amp;"HP8iPO4M5RCRjy6nZY0TY/edit#gid=1248694442"",""Table 4: 2nd-line HC or more!A5:A85"")),"""")"),"")</f>
        <v/>
      </c>
      <c r="AN25" s="14" t="str">
        <f>IFERROR(__xludf.DUMMYFUNCTION("IFNA(FILTER(IMPORTRANGE(""https://docs.google.com/spreadsheets/d/1kGrh75X1cNR1D7_FcY9zMnHP8iPO4M5RCRjy6nZY0TY/edit#gid=1248694442"",""Table 3: 1st-line HC!AP5:AP111""), $A25=IMPORTRANGE(""https://docs.google.com/spreadsheets/d/1kGrh75X1cNR1D7_FcY9zMnHP8iP"&amp;"O4M5RCRjy6nZY0TY/edit#gid=1248694442"",""Table 3: 1st-line HC!A5:A111"")),"""")"),"")</f>
        <v/>
      </c>
      <c r="AO25" s="14" t="str">
        <f>IFERROR(__xludf.DUMMYFUNCTION("IFNA(FILTER(IMPORTRANGE(""https://docs.google.com/spreadsheets/d/1kGrh75X1cNR1D7_FcY9zMnHP8iPO4M5RCRjy6nZY0TY/edit#gid=1248694442"",""Table 3: 1st-line HC!AO5:AO111""), $A25=IMPORTRANGE(""https://docs.google.com/spreadsheets/d/1kGrh75X1cNR1D7_FcY9zMnHP8iP"&amp;"O4M5RCRjy6nZY0TY/edit#gid=1248694442"",""Table 3: 1st-line HC!A5:A111"")),"""")"),"")</f>
        <v/>
      </c>
      <c r="AP25" s="14">
        <f>IFERROR(__xludf.DUMMYFUNCTION("IFNA(FILTER(IMPORTRANGE(""https://docs.google.com/spreadsheets/d/1kGrh75X1cNR1D7_FcY9zMnHP8iPO4M5RCRjy6nZY0TY/edit#gid=1248694442"",""Table 3: 1st-line HC!AQ5:AQ111""), $A25=IMPORTRANGE(""https://docs.google.com/spreadsheets/d/1kGrh75X1cNR1D7_FcY9zMnHP8iP"&amp;"O4M5RCRjy6nZY0TY/edit#gid=1248694442"",""Table 3: 1st-line HC!A5:A111"")),"""")"),14.0)</f>
        <v>14</v>
      </c>
      <c r="AQ25" s="14" t="str">
        <f>IFERROR(__xludf.DUMMYFUNCTION("IFNA(FILTER(IMPORTRANGE(""https://docs.google.com/spreadsheets/d/1kGrh75X1cNR1D7_FcY9zMnHP8iPO4M5RCRjy6nZY0TY/edit#gid=1248694442"",""Table 2: MMC!T5:T114""), $A25=IMPORTRANGE(""https://docs.google.com/spreadsheets/d/1kGrh75X1cNR1D7_FcY9zMnHP8iPO4M5RCRjy6"&amp;"nZY0TY/edit#gid=1248694442"",""Table 2: MMC!A5:A114"")),"""")"),"")</f>
        <v/>
      </c>
      <c r="AR25" s="14" t="str">
        <f>IFERROR(__xludf.DUMMYFUNCTION("IFNA(FILTER(IMPORTRANGE(""https://docs.google.com/spreadsheets/d/1kGrh75X1cNR1D7_FcY9zMnHP8iPO4M5RCRjy6nZY0TY/edit#gid=1248694442"",""Table 2: MMC!U5:U114""), $A25=IMPORTRANGE(""https://docs.google.com/spreadsheets/d/1kGrh75X1cNR1D7_FcY9zMnHP8iPO4M5RCRjy6"&amp;"nZY0TY/edit#gid=1248694442"",""Table 2: MMC!A5:A114"")),"""")"),"")</f>
        <v/>
      </c>
      <c r="AS25" s="14" t="str">
        <f>IFERROR(__xludf.DUMMYFUNCTION("IFNA(FILTER(IMPORTRANGE(""https://docs.google.com/spreadsheets/d/1kGrh75X1cNR1D7_FcY9zMnHP8iPO4M5RCRjy6nZY0TY/edit#gid=1248694442"",""Table 2: MMC!V5:V114""), $A25=IMPORTRANGE(""https://docs.google.com/spreadsheets/d/1kGrh75X1cNR1D7_FcY9zMnHP8iPO4M5RCRjy6"&amp;"nZY0TY/edit#gid=1248694442"",""Table 2: MMC!A5:A114"")),"""")"),"")</f>
        <v/>
      </c>
      <c r="AT25" s="4" t="str">
        <f>IFERROR(__xludf.DUMMYFUNCTION("IFNA(FILTER(IMPORTRANGE(""https://docs.google.com/spreadsheets/d/1kGrh75X1cNR1D7_FcY9zMnHP8iPO4M5RCRjy6nZY0TY/edit#gid=1248694442"",""Table 2: MMC!W5:W114""), $A25=IMPORTRANGE(""https://docs.google.com/spreadsheets/d/1kGrh75X1cNR1D7_FcY9zMnHP8iPO4M5RCRjy6"&amp;"nZY0TY/edit#gid=1248694442"",""Table 2: MMC!A5:A114"")),"""")"),"")</f>
        <v/>
      </c>
    </row>
    <row r="26">
      <c r="A26" s="4" t="str">
        <f>IFERROR(__xludf.DUMMYFUNCTION("""COMPUTED_VALUE"""),"ID 43")</f>
        <v>ID 43</v>
      </c>
      <c r="B26" s="20" t="str">
        <f>IFERROR(__xludf.DUMMYFUNCTION("IFNA(FILTER(IMPORTRANGE(""https://docs.google.com/spreadsheets/d/1kGrh75X1cNR1D7_FcY9zMnHP8iPO4M5RCRjy6nZY0TY/edit#gid=1248694442"",""Table 3: 1st-line HC!BK5:BK111""), $A26=IMPORTRANGE(""https://docs.google.com/spreadsheets/d/1kGrh75X1cNR1D7_FcY9zMnHP8iP"&amp;"O4M5RCRjy6nZY0TY/edit#gid=1248694442"",""Table 3: 1st-line HC!A5:A111"")),"""")"),"")</f>
        <v/>
      </c>
      <c r="C26" s="20" t="str">
        <f>IFERROR(__xludf.DUMMYFUNCTION("IFNA(FILTER(IMPORTRANGE(""https://docs.google.com/spreadsheets/d/1kGrh75X1cNR1D7_FcY9zMnHP8iPO4M5RCRjy6nZY0TY/edit#gid=1248694442"",""Subgroup 1: Fr ~ Tx!B3:B20""), $A26=IMPORTRANGE(""https://docs.google.com/spreadsheets/d/1kGrh75X1cNR1D7_FcY9zMnHP8iPO4M5"&amp;"RCRjy6nZY0TY/edit#gid=1248694442"",""Subgroup 1: Fr ~ Tx!A3:A20"")),"""")"),"")</f>
        <v/>
      </c>
      <c r="D26" s="20" t="str">
        <f>IFERROR(__xludf.DUMMYFUNCTION("IFNA(FILTER(IMPORTRANGE(""https://docs.google.com/spreadsheets/d/1kGrh75X1cNR1D7_FcY9zMnHP8iPO4M5RCRjy6nZY0TY/edit#gid=1248694442"",""Subgroup 1: Fr ~ Tx!C3:C20""), $A26=IMPORTRANGE(""https://docs.google.com/spreadsheets/d/1kGrh75X1cNR1D7_FcY9zMnHP8iPO4M5"&amp;"RCRjy6nZY0TY/edit#gid=1248694442"",""Subgroup 1: Fr ~ Tx!A3:A20"")),"""")"),"")</f>
        <v/>
      </c>
      <c r="E26" s="20" t="str">
        <f>IFERROR(__xludf.DUMMYFUNCTION("IFNA(FILTER(IMPORTRANGE(""https://docs.google.com/spreadsheets/d/1kGrh75X1cNR1D7_FcY9zMnHP8iPO4M5RCRjy6nZY0TY/edit#gid=1248694442"",""Subgroup 1: Fr ~ Tx!D3:D20""), $A26=IMPORTRANGE(""https://docs.google.com/spreadsheets/d/1kGrh75X1cNR1D7_FcY9zMnHP8iPO4M5"&amp;"RCRjy6nZY0TY/edit#gid=1248694442"",""Subgroup 1: Fr ~ Tx!A3:A20"")),"""")"),"")</f>
        <v/>
      </c>
      <c r="F26" s="20" t="str">
        <f>IFERROR(__xludf.DUMMYFUNCTION("IFNA(FILTER(IMPORTRANGE(""https://docs.google.com/spreadsheets/d/1kGrh75X1cNR1D7_FcY9zMnHP8iPO4M5RCRjy6nZY0TY/edit#gid=1248694442"",""Subgroup 1: Fr ~ Tx!E3:E20""), $A26=IMPORTRANGE(""https://docs.google.com/spreadsheets/d/1kGrh75X1cNR1D7_FcY9zMnHP8iPO4M5"&amp;"RCRjy6nZY0TY/edit#gid=1248694442"",""Subgroup 1: Fr ~ Tx!A3:A20"")),"""")"),"")</f>
        <v/>
      </c>
      <c r="G26" s="20" t="str">
        <f>IFERROR(__xludf.DUMMYFUNCTION("IFNA(FILTER(IMPORTRANGE(""https://docs.google.com/spreadsheets/d/1kGrh75X1cNR1D7_FcY9zMnHP8iPO4M5RCRjy6nZY0TY/edit#gid=1248694442"",""Subgroup 1: Fr ~ Tx!F3:F20""), $A26=IMPORTRANGE(""https://docs.google.com/spreadsheets/d/1kGrh75X1cNR1D7_FcY9zMnHP8iPO4M5"&amp;"RCRjy6nZY0TY/edit#gid=1248694442"",""Subgroup 1: Fr ~ Tx!A3:A20"")),"""")"),"")</f>
        <v/>
      </c>
      <c r="H26" s="20" t="str">
        <f>IFERROR(__xludf.DUMMYFUNCTION("IFNA(FILTER(IMPORTRANGE(""https://docs.google.com/spreadsheets/d/1kGrh75X1cNR1D7_FcY9zMnHP8iPO4M5RCRjy6nZY0TY/edit#gid=1248694442"",""Table 3: 1st-line HC!BD5:BD111""), $A26=IMPORTRANGE(""https://docs.google.com/spreadsheets/d/1kGrh75X1cNR1D7_FcY9zMnHP8iP"&amp;"O4M5RCRjy6nZY0TY/edit#gid=1248694442"",""Table 3: 1st-line HC!A5:A111"")),"""")"),"")</f>
        <v/>
      </c>
      <c r="I26" s="20" t="str">
        <f>IFERROR(__xludf.DUMMYFUNCTION("IFNA(FILTER(IMPORTRANGE(""https://docs.google.com/spreadsheets/d/1kGrh75X1cNR1D7_FcY9zMnHP8iPO4M5RCRjy6nZY0TY/edit#gid=1248694442"",""Subgroup 5: Tf ~ Tx!B3:B8""), $A26=IMPORTRANGE(""https://docs.google.com/spreadsheets/d/1kGrh75X1cNR1D7_FcY9zMnHP8iPO4M5R"&amp;"CRjy6nZY0TY/edit#gid=1248694442"",""Subgroup 5: Tf ~ Tx!A3:A8"")),"""")"),"")</f>
        <v/>
      </c>
      <c r="J26" s="20" t="str">
        <f>IFERROR(__xludf.DUMMYFUNCTION("IFNA(FILTER(IMPORTRANGE(""https://docs.google.com/spreadsheets/d/1kGrh75X1cNR1D7_FcY9zMnHP8iPO4M5RCRjy6nZY0TY/edit#gid=1248694442"",""Subgroup 5: Tf ~ Tx!C3:C8""), $A26=IMPORTRANGE(""https://docs.google.com/spreadsheets/d/1kGrh75X1cNR1D7_FcY9zMnHP8iPO4M5R"&amp;"CRjy6nZY0TY/edit#gid=1248694442"",""Subgroup 5: Tf ~ Tx!A3:A8"")),"""")"),"")</f>
        <v/>
      </c>
      <c r="K26" s="20" t="str">
        <f>IFERROR(__xludf.DUMMYFUNCTION("IFNA(FILTER(IMPORTRANGE(""https://docs.google.com/spreadsheets/d/1kGrh75X1cNR1D7_FcY9zMnHP8iPO4M5RCRjy6nZY0TY/edit#gid=1248694442"",""Subgroup 5: Tf ~ Tx!D3:D8""), $A26=IMPORTRANGE(""https://docs.google.com/spreadsheets/d/1kGrh75X1cNR1D7_FcY9zMnHP8iPO4M5R"&amp;"CRjy6nZY0TY/edit#gid=1248694442"",""Subgroup 5: Tf ~ Tx!A3:A8"")),"""")"),"")</f>
        <v/>
      </c>
      <c r="L26" s="20" t="str">
        <f>IFERROR(__xludf.DUMMYFUNCTION("IFNA(FILTER(IMPORTRANGE(""https://docs.google.com/spreadsheets/d/1kGrh75X1cNR1D7_FcY9zMnHP8iPO4M5RCRjy6nZY0TY/edit#gid=1248694442"",""Subgroup 5: Tf ~ Tx!E3:E8""), $A26=IMPORTRANGE(""https://docs.google.com/spreadsheets/d/1kGrh75X1cNR1D7_FcY9zMnHP8iPO4M5R"&amp;"CRjy6nZY0TY/edit#gid=1248694442"",""Subgroup 5: Tf ~ Tx!A3:A8"")),"""")"),"")</f>
        <v/>
      </c>
      <c r="M26" s="20" t="str">
        <f>IFERROR(__xludf.DUMMYFUNCTION("IFNA(FILTER(IMPORTRANGE(""https://docs.google.com/spreadsheets/d/1kGrh75X1cNR1D7_FcY9zMnHP8iPO4M5RCRjy6nZY0TY/edit#gid=1248694442"",""Subgroup 5: Tf ~ Tx!F3:F8""), $A26=IMPORTRANGE(""https://docs.google.com/spreadsheets/d/1kGrh75X1cNR1D7_FcY9zMnHP8iPO4M5R"&amp;"CRjy6nZY0TY/edit#gid=1248694442"",""Subgroup 5: Tf ~ Tx!A3:A8"")),"""")"),"")</f>
        <v/>
      </c>
      <c r="N26" s="20" t="str">
        <f>IFERROR(__xludf.DUMMYFUNCTION("IFNA(FILTER(IMPORTRANGE(""https://docs.google.com/spreadsheets/d/1kGrh75X1cNR1D7_FcY9zMnHP8iPO4M5RCRjy6nZY0TY/edit#gid=1248694442"",""Table 3: 1st-line HC!BE5:BE111""), $A26=IMPORTRANGE(""https://docs.google.com/spreadsheets/d/1kGrh75X1cNR1D7_FcY9zMnHP8iP"&amp;"O4M5RCRjy6nZY0TY/edit#gid=1248694442"",""Table 3: 1st-line HC!A5:A111"")),"""")"),"")</f>
        <v/>
      </c>
      <c r="O26" s="20" t="str">
        <f>IFERROR(__xludf.DUMMYFUNCTION("IFNA(FILTER(IMPORTRANGE(""https://docs.google.com/spreadsheets/d/1kGrh75X1cNR1D7_FcY9zMnHP8iPO4M5RCRjy6nZY0TY/edit#gid=1248694442"",""Table 3: 1st-line HC!BF5:BF111""), $A26=IMPORTRANGE(""https://docs.google.com/spreadsheets/d/1kGrh75X1cNR1D7_FcY9zMnHP8iP"&amp;"O4M5RCRjy6nZY0TY/edit#gid=1248694442"",""Table 3: 1st-line HC!A5:A111"")),"""")"),"")</f>
        <v/>
      </c>
      <c r="P26" s="20" t="str">
        <f>IFERROR(__xludf.DUMMYFUNCTION("IFNA(FILTER(IMPORTRANGE(""https://docs.google.com/spreadsheets/d/1kGrh75X1cNR1D7_FcY9zMnHP8iPO4M5RCRjy6nZY0TY/edit#gid=1248694442"",""Table 3: 1st-line HC!BG5:BG111""), $A26=IMPORTRANGE(""https://docs.google.com/spreadsheets/d/1kGrh75X1cNR1D7_FcY9zMnHP8iP"&amp;"O4M5RCRjy6nZY0TY/edit#gid=1248694442"",""Table 3: 1st-line HC!A5:A111"")),"""")"),"")</f>
        <v/>
      </c>
      <c r="Q26" s="21" t="str">
        <f>IFERROR(__xludf.DUMMYFUNCTION("IFNA(FILTER(IMPORTRANGE(""https://docs.google.com/spreadsheets/d/1kGrh75X1cNR1D7_FcY9zMnHP8iPO4M5RCRjy6nZY0TY/edit#gid=1248694442"",""Table 3: 1st-line HC!BH5:BH111""), $A26=IMPORTRANGE(""https://docs.google.com/spreadsheets/d/1kGrh75X1cNR1D7_FcY9zMnHP8iP"&amp;"O4M5RCRjy6nZY0TY/edit#gid=1248694442"",""Table 3: 1st-line HC!A5:A111"")),"""")"),"")</f>
        <v/>
      </c>
      <c r="R26" s="19" t="str">
        <f>IFERROR(__xludf.DUMMYFUNCTION("IFNA(FILTER(IMPORTRANGE(""https://docs.google.com/spreadsheets/d/1kGrh75X1cNR1D7_FcY9zMnHP8iPO4M5RCRjy6nZY0TY/edit#gid=1248694442"",""Table 3: 1st-line HC!AJ5:AJ111""), $A26=IMPORTRANGE(""https://docs.google.com/spreadsheets/d/1kGrh75X1cNR1D7_FcY9zMnHP8iP"&amp;"O4M5RCRjy6nZY0TY/edit#gid=1248694442"",""Table 3: 1st-line HC!A5:A111"")),"""")"),"")</f>
        <v/>
      </c>
      <c r="S26" s="20" t="str">
        <f>IFERROR(__xludf.DUMMYFUNCTION("IFNA(FILTER(IMPORTRANGE(""https://docs.google.com/spreadsheets/d/1kGrh75X1cNR1D7_FcY9zMnHP8iPO4M5RCRjy6nZY0TY/edit#gid=1248694442"",""Subgroup 3: Mi ~ Tx!B3:B17""), $A26=IMPORTRANGE(""https://docs.google.com/spreadsheets/d/1kGrh75X1cNR1D7_FcY9zMnHP8iPO4M5"&amp;"RCRjy6nZY0TY/edit#gid=1248694442"",""Subgroup 3: Mi ~ Tx!A3:A17"")),"""")"),"")</f>
        <v/>
      </c>
      <c r="T26" s="20" t="str">
        <f>IFERROR(__xludf.DUMMYFUNCTION("IFNA(FILTER(IMPORTRANGE(""https://docs.google.com/spreadsheets/d/1kGrh75X1cNR1D7_FcY9zMnHP8iPO4M5RCRjy6nZY0TY/edit#gid=1248694442"",""Subgroup 3: Mi ~ Tx!C3:C17""), $A26=IMPORTRANGE(""https://docs.google.com/spreadsheets/d/1kGrh75X1cNR1D7_FcY9zMnHP8iPO4M5"&amp;"RCRjy6nZY0TY/edit#gid=1248694442"",""Subgroup 3: Mi ~ Tx!A3:A17"")),"""")"),"")</f>
        <v/>
      </c>
      <c r="U26" s="20" t="str">
        <f>IFERROR(__xludf.DUMMYFUNCTION("IFNA(FILTER(IMPORTRANGE(""https://docs.google.com/spreadsheets/d/1kGrh75X1cNR1D7_FcY9zMnHP8iPO4M5RCRjy6nZY0TY/edit#gid=1248694442"",""Subgroup 3: Mi ~ Tx!D3:D17""), $A26=IMPORTRANGE(""https://docs.google.com/spreadsheets/d/1kGrh75X1cNR1D7_FcY9zMnHP8iPO4M5"&amp;"RCRjy6nZY0TY/edit#gid=1248694442"",""Subgroup 3: Mi ~ Tx!A3:A17"")),"""")"),"")</f>
        <v/>
      </c>
      <c r="V26" s="20" t="str">
        <f>IFERROR(__xludf.DUMMYFUNCTION("IFNA(FILTER(IMPORTRANGE(""https://docs.google.com/spreadsheets/d/1kGrh75X1cNR1D7_FcY9zMnHP8iPO4M5RCRjy6nZY0TY/edit#gid=1248694442"",""Subgroup 3: Mi ~ Tx!E3:E17""), $A26=IMPORTRANGE(""https://docs.google.com/spreadsheets/d/1kGrh75X1cNR1D7_FcY9zMnHP8iPO4M5"&amp;"RCRjy6nZY0TY/edit#gid=1248694442"",""Subgroup 3: Mi ~ Tx!A3:A17"")),"""")"),"")</f>
        <v/>
      </c>
      <c r="W26" s="20" t="str">
        <f>IFERROR(__xludf.DUMMYFUNCTION("IFNA(FILTER(IMPORTRANGE(""https://docs.google.com/spreadsheets/d/1kGrh75X1cNR1D7_FcY9zMnHP8iPO4M5RCRjy6nZY0TY/edit#gid=1248694442"",""Subgroup 3: Mi ~ Tx!F3:F17""), $A26=IMPORTRANGE(""https://docs.google.com/spreadsheets/d/1kGrh75X1cNR1D7_FcY9zMnHP8iPO4M5"&amp;"RCRjy6nZY0TY/edit#gid=1248694442"",""Subgroup 3: Mi ~ Tx!A3:A17"")),"""")"),"")</f>
        <v/>
      </c>
      <c r="X26" s="19" t="str">
        <f>IFERROR(__xludf.DUMMYFUNCTION("IFNA(FILTER(IMPORTRANGE(""https://docs.google.com/spreadsheets/d/1kGrh75X1cNR1D7_FcY9zMnHP8iPO4M5RCRjy6nZY0TY/edit#gid=1248694442"",""Table 3: 1st-line HC!AK5:AK111""), $A26=IMPORTRANGE(""https://docs.google.com/spreadsheets/d/1kGrh75X1cNR1D7_FcY9zMnHP8iP"&amp;"O4M5RCRjy6nZY0TY/edit#gid=1248694442"",""Table 3: 1st-line HC!A5:A111"")),"""")"),"")</f>
        <v/>
      </c>
      <c r="Y26" s="20" t="str">
        <f>IFERROR(__xludf.DUMMYFUNCTION("IFNA(FILTER(IMPORTRANGE(""https://docs.google.com/spreadsheets/d/1kGrh75X1cNR1D7_FcY9zMnHP8iPO4M5RCRjy6nZY0TY/edit#gid=1248694442"",""Subgroup 4: Mp ~ Tx!B3:B20""), $A26=IMPORTRANGE(""https://docs.google.com/spreadsheets/d/1kGrh75X1cNR1D7_FcY9zMnHP8iPO4M5"&amp;"RCRjy6nZY0TY/edit#gid=1248694442"",""Subgroup 4: Mp ~ Tx!A3:A20"")),"""")"),"")</f>
        <v/>
      </c>
      <c r="Z26" s="20" t="str">
        <f>IFERROR(__xludf.DUMMYFUNCTION("IFNA(FILTER(IMPORTRANGE(""https://docs.google.com/spreadsheets/d/1kGrh75X1cNR1D7_FcY9zMnHP8iPO4M5RCRjy6nZY0TY/edit#gid=1248694442"",""Subgroup 4: Mp ~ Tx!C3:C20""), $A26=IMPORTRANGE(""https://docs.google.com/spreadsheets/d/1kGrh75X1cNR1D7_FcY9zMnHP8iPO4M5"&amp;"RCRjy6nZY0TY/edit#gid=1248694442"",""Subgroup 4: Mp ~ Tx!A3:A20"")),"""")"),"")</f>
        <v/>
      </c>
      <c r="AA26" s="20" t="str">
        <f>IFERROR(__xludf.DUMMYFUNCTION("IFNA(FILTER(IMPORTRANGE(""https://docs.google.com/spreadsheets/d/1kGrh75X1cNR1D7_FcY9zMnHP8iPO4M5RCRjy6nZY0TY/edit#gid=1248694442"",""Subgroup 4: Mp ~ Tx!D3:D20""), $A26=IMPORTRANGE(""https://docs.google.com/spreadsheets/d/1kGrh75X1cNR1D7_FcY9zMnHP8iPO4M5"&amp;"RCRjy6nZY0TY/edit#gid=1248694442"",""Subgroup 4: Mp ~ Tx!A3:A20"")),"""")"),"")</f>
        <v/>
      </c>
      <c r="AB26" s="20" t="str">
        <f>IFERROR(__xludf.DUMMYFUNCTION("IFNA(FILTER(IMPORTRANGE(""https://docs.google.com/spreadsheets/d/1kGrh75X1cNR1D7_FcY9zMnHP8iPO4M5RCRjy6nZY0TY/edit#gid=1248694442"",""Subgroup 4: Mp ~ Tx!E3:E20""), $A26=IMPORTRANGE(""https://docs.google.com/spreadsheets/d/1kGrh75X1cNR1D7_FcY9zMnHP8iPO4M5"&amp;"RCRjy6nZY0TY/edit#gid=1248694442"",""Subgroup 4: Mp ~ Tx!A3:A20"")),"""")"),"")</f>
        <v/>
      </c>
      <c r="AC26" s="20" t="str">
        <f>IFERROR(__xludf.DUMMYFUNCTION("IFNA(FILTER(IMPORTRANGE(""https://docs.google.com/spreadsheets/d/1kGrh75X1cNR1D7_FcY9zMnHP8iPO4M5RCRjy6nZY0TY/edit#gid=1248694442"",""Subgroup 4: Mp ~ Tx!F3:F20""), $A26=IMPORTRANGE(""https://docs.google.com/spreadsheets/d/1kGrh75X1cNR1D7_FcY9zMnHP8iPO4M5"&amp;"RCRjy6nZY0TY/edit#gid=1248694442"",""Subgroup 4: Mp ~ Tx!A3:A20"")),"""")"),"")</f>
        <v/>
      </c>
      <c r="AD26" s="22" t="str">
        <f>IFERROR(__xludf.DUMMYFUNCTION("IFNA(FILTER(IMPORTRANGE(""https://docs.google.com/spreadsheets/d/1kGrh75X1cNR1D7_FcY9zMnHP8iPO4M5RCRjy6nZY0TY/edit#gid=1248694442"",""Table 3: 1st-line HC!AL5:AL111""), $A26=IMPORTRANGE(""https://docs.google.com/spreadsheets/d/1kGrh75X1cNR1D7_FcY9zMnHP8iP"&amp;"O4M5RCRjy6nZY0TY/edit#gid=1248694442"",""Table 3: 1st-line HC!A5:A111"")),"""")"),"")</f>
        <v/>
      </c>
      <c r="AE26" s="20" t="str">
        <f>IFERROR(__xludf.DUMMYFUNCTION("IFNA(FILTER(IMPORTRANGE(""https://docs.google.com/spreadsheets/d/1kGrh75X1cNR1D7_FcY9zMnHP8iPO4M5RCRjy6nZY0TY/edit#gid=1248694442"",""Table 3: 1st-line HC!BJ5:BJ111""), $A26=IMPORTRANGE(""https://docs.google.com/spreadsheets/d/1kGrh75X1cNR1D7_FcY9zMnHP8iP"&amp;"O4M5RCRjy6nZY0TY/edit#gid=1248694442"",""Table 3: 1st-line HC!A5:A111"")),"""")"),"")</f>
        <v/>
      </c>
      <c r="AF26" s="20" t="str">
        <f>IFERROR(__xludf.DUMMYFUNCTION("IFNA(FILTER(IMPORTRANGE(""https://docs.google.com/spreadsheets/d/1kGrh75X1cNR1D7_FcY9zMnHP8iPO4M5RCRjy6nZY0TY/edit#gid=1248694442"",""Subgroup 2: Cr ~ Tx!B3:B23""), $A26=IMPORTRANGE(""https://docs.google.com/spreadsheets/d/1kGrh75X1cNR1D7_FcY9zMnHP8iPO4M5"&amp;"RCRjy6nZY0TY/edit#gid=1248694442"",""Subgroup 2: Cr ~ Tx!A3:A23"")),"""")"),"")</f>
        <v/>
      </c>
      <c r="AG26" s="20" t="str">
        <f>IFERROR(__xludf.DUMMYFUNCTION("IFNA(FILTER(IMPORTRANGE(""https://docs.google.com/spreadsheets/d/1kGrh75X1cNR1D7_FcY9zMnHP8iPO4M5RCRjy6nZY0TY/edit#gid=1248694442"",""Subgroup 2: Cr ~ Tx!C3:C23""), $A26=IMPORTRANGE(""https://docs.google.com/spreadsheets/d/1kGrh75X1cNR1D7_FcY9zMnHP8iPO4M5"&amp;"RCRjy6nZY0TY/edit#gid=1248694442"",""Subgroup 2: Cr ~ Tx!A3:A23"")),"""")"),"")</f>
        <v/>
      </c>
      <c r="AH26" s="20" t="str">
        <f>IFERROR(__xludf.DUMMYFUNCTION("IFNA(FILTER(IMPORTRANGE(""https://docs.google.com/spreadsheets/d/1kGrh75X1cNR1D7_FcY9zMnHP8iPO4M5RCRjy6nZY0TY/edit#gid=1248694442"",""Subgroup 2: Cr ~ Tx!D3:D23""), $A26=IMPORTRANGE(""https://docs.google.com/spreadsheets/d/1kGrh75X1cNR1D7_FcY9zMnHP8iPO4M5"&amp;"RCRjy6nZY0TY/edit#gid=1248694442"",""Subgroup 2: Cr ~ Tx!A3:A23"")),"""")"),"")</f>
        <v/>
      </c>
      <c r="AI26" s="20" t="str">
        <f>IFERROR(__xludf.DUMMYFUNCTION("IFNA(FILTER(IMPORTRANGE(""https://docs.google.com/spreadsheets/d/1kGrh75X1cNR1D7_FcY9zMnHP8iPO4M5RCRjy6nZY0TY/edit#gid=1248694442"",""Subgroup 2: Cr ~ Tx!E3:E23""), $A26=IMPORTRANGE(""https://docs.google.com/spreadsheets/d/1kGrh75X1cNR1D7_FcY9zMnHP8iPO4M5"&amp;"RCRjy6nZY0TY/edit#gid=1248694442"",""Subgroup 2: Cr ~ Tx!A3:A23"")),"""")"),"")</f>
        <v/>
      </c>
      <c r="AJ26" s="20" t="str">
        <f>IFERROR(__xludf.DUMMYFUNCTION("IFNA(FILTER(IMPORTRANGE(""https://docs.google.com/spreadsheets/d/1kGrh75X1cNR1D7_FcY9zMnHP8iPO4M5RCRjy6nZY0TY/edit#gid=1248694442"",""Subgroup 2: Cr ~ Tx!F3:F23""), $A26=IMPORTRANGE(""https://docs.google.com/spreadsheets/d/1kGrh75X1cNR1D7_FcY9zMnHP8iPO4M5"&amp;"RCRjy6nZY0TY/edit#gid=1248694442"",""Subgroup 2: Cr ~ Tx!A3:A23"")),"""")"),"")</f>
        <v/>
      </c>
      <c r="AK26" s="14" t="str">
        <f>IFERROR(__xludf.DUMMYFUNCTION("IFNA(FILTER(IMPORTRANGE(""https://docs.google.com/spreadsheets/d/1kGrh75X1cNR1D7_FcY9zMnHP8iPO4M5RCRjy6nZY0TY/edit#gid=1248694442"",""Table 4: 2nd-line HC or more!M5:M85""), $A26=IMPORTRANGE(""https://docs.google.com/spreadsheets/d/1kGrh75X1cNR1D7_FcY9zMn"&amp;"HP8iPO4M5RCRjy6nZY0TY/edit#gid=1248694442"",""Table 4: 2nd-line HC or more!A5:A85"")),"""")"),"")</f>
        <v/>
      </c>
      <c r="AL26" s="14" t="str">
        <f>IFERROR(__xludf.DUMMYFUNCTION("IFNA(FILTER(IMPORTRANGE(""https://docs.google.com/spreadsheets/d/1kGrh75X1cNR1D7_FcY9zMnHP8iPO4M5RCRjy6nZY0TY/edit#gid=1248694442"",""Table 4: 2nd-line HC or more!N5:N85""), $A26=IMPORTRANGE(""https://docs.google.com/spreadsheets/d/1kGrh75X1cNR1D7_FcY9zMn"&amp;"HP8iPO4M5RCRjy6nZY0TY/edit#gid=1248694442"",""Table 4: 2nd-line HC or more!A5:A85"")),"""")"),"")</f>
        <v/>
      </c>
      <c r="AM26" s="14" t="str">
        <f>IFERROR(__xludf.DUMMYFUNCTION("IFNA(FILTER(IMPORTRANGE(""https://docs.google.com/spreadsheets/d/1kGrh75X1cNR1D7_FcY9zMnHP8iPO4M5RCRjy6nZY0TY/edit#gid=1248694442"",""Table 4: 2nd-line HC or more!O5:O85""), $A26=IMPORTRANGE(""https://docs.google.com/spreadsheets/d/1kGrh75X1cNR1D7_FcY9zMn"&amp;"HP8iPO4M5RCRjy6nZY0TY/edit#gid=1248694442"",""Table 4: 2nd-line HC or more!A5:A85"")),"""")"),"")</f>
        <v/>
      </c>
      <c r="AN26" s="14" t="str">
        <f>IFERROR(__xludf.DUMMYFUNCTION("IFNA(FILTER(IMPORTRANGE(""https://docs.google.com/spreadsheets/d/1kGrh75X1cNR1D7_FcY9zMnHP8iPO4M5RCRjy6nZY0TY/edit#gid=1248694442"",""Table 3: 1st-line HC!AP5:AP111""), $A26=IMPORTRANGE(""https://docs.google.com/spreadsheets/d/1kGrh75X1cNR1D7_FcY9zMnHP8iP"&amp;"O4M5RCRjy6nZY0TY/edit#gid=1248694442"",""Table 3: 1st-line HC!A5:A111"")),"""")"),"")</f>
        <v/>
      </c>
      <c r="AO26" s="14" t="str">
        <f>IFERROR(__xludf.DUMMYFUNCTION("IFNA(FILTER(IMPORTRANGE(""https://docs.google.com/spreadsheets/d/1kGrh75X1cNR1D7_FcY9zMnHP8iPO4M5RCRjy6nZY0TY/edit#gid=1248694442"",""Table 3: 1st-line HC!AO5:AO111""), $A26=IMPORTRANGE(""https://docs.google.com/spreadsheets/d/1kGrh75X1cNR1D7_FcY9zMnHP8iP"&amp;"O4M5RCRjy6nZY0TY/edit#gid=1248694442"",""Table 3: 1st-line HC!A5:A111"")),"""")"),"")</f>
        <v/>
      </c>
      <c r="AP26" s="14" t="str">
        <f>IFERROR(__xludf.DUMMYFUNCTION("IFNA(FILTER(IMPORTRANGE(""https://docs.google.com/spreadsheets/d/1kGrh75X1cNR1D7_FcY9zMnHP8iPO4M5RCRjy6nZY0TY/edit#gid=1248694442"",""Table 3: 1st-line HC!AQ5:AQ111""), $A26=IMPORTRANGE(""https://docs.google.com/spreadsheets/d/1kGrh75X1cNR1D7_FcY9zMnHP8iP"&amp;"O4M5RCRjy6nZY0TY/edit#gid=1248694442"",""Table 3: 1st-line HC!A5:A111"")),"""")"),"")</f>
        <v/>
      </c>
      <c r="AQ26" s="14" t="str">
        <f>IFERROR(__xludf.DUMMYFUNCTION("IFNA(FILTER(IMPORTRANGE(""https://docs.google.com/spreadsheets/d/1kGrh75X1cNR1D7_FcY9zMnHP8iPO4M5RCRjy6nZY0TY/edit#gid=1248694442"",""Table 2: MMC!T5:T114""), $A26=IMPORTRANGE(""https://docs.google.com/spreadsheets/d/1kGrh75X1cNR1D7_FcY9zMnHP8iPO4M5RCRjy6"&amp;"nZY0TY/edit#gid=1248694442"",""Table 2: MMC!A5:A114"")),"""")"),"")</f>
        <v/>
      </c>
      <c r="AR26" s="14" t="str">
        <f>IFERROR(__xludf.DUMMYFUNCTION("IFNA(FILTER(IMPORTRANGE(""https://docs.google.com/spreadsheets/d/1kGrh75X1cNR1D7_FcY9zMnHP8iPO4M5RCRjy6nZY0TY/edit#gid=1248694442"",""Table 2: MMC!U5:U114""), $A26=IMPORTRANGE(""https://docs.google.com/spreadsheets/d/1kGrh75X1cNR1D7_FcY9zMnHP8iPO4M5RCRjy6"&amp;"nZY0TY/edit#gid=1248694442"",""Table 2: MMC!A5:A114"")),"""")"),"")</f>
        <v/>
      </c>
      <c r="AS26" s="14" t="str">
        <f>IFERROR(__xludf.DUMMYFUNCTION("IFNA(FILTER(IMPORTRANGE(""https://docs.google.com/spreadsheets/d/1kGrh75X1cNR1D7_FcY9zMnHP8iPO4M5RCRjy6nZY0TY/edit#gid=1248694442"",""Table 2: MMC!V5:V114""), $A26=IMPORTRANGE(""https://docs.google.com/spreadsheets/d/1kGrh75X1cNR1D7_FcY9zMnHP8iPO4M5RCRjy6"&amp;"nZY0TY/edit#gid=1248694442"",""Table 2: MMC!A5:A114"")),"""")"),"")</f>
        <v/>
      </c>
      <c r="AT26" s="4" t="str">
        <f>IFERROR(__xludf.DUMMYFUNCTION("IFNA(FILTER(IMPORTRANGE(""https://docs.google.com/spreadsheets/d/1kGrh75X1cNR1D7_FcY9zMnHP8iPO4M5RCRjy6nZY0TY/edit#gid=1248694442"",""Table 2: MMC!W5:W114""), $A26=IMPORTRANGE(""https://docs.google.com/spreadsheets/d/1kGrh75X1cNR1D7_FcY9zMnHP8iPO4M5RCRjy6"&amp;"nZY0TY/edit#gid=1248694442"",""Table 2: MMC!A5:A114"")),"""")"),"")</f>
        <v/>
      </c>
    </row>
    <row r="27">
      <c r="A27" s="4" t="str">
        <f>IFERROR(__xludf.DUMMYFUNCTION("""COMPUTED_VALUE"""),"ID 44")</f>
        <v>ID 44</v>
      </c>
      <c r="B27" s="20" t="str">
        <f>IFERROR(__xludf.DUMMYFUNCTION("IFNA(FILTER(IMPORTRANGE(""https://docs.google.com/spreadsheets/d/1kGrh75X1cNR1D7_FcY9zMnHP8iPO4M5RCRjy6nZY0TY/edit#gid=1248694442"",""Table 3: 1st-line HC!BK5:BK111""), $A27=IMPORTRANGE(""https://docs.google.com/spreadsheets/d/1kGrh75X1cNR1D7_FcY9zMnHP8iP"&amp;"O4M5RCRjy6nZY0TY/edit#gid=1248694442"",""Table 3: 1st-line HC!A5:A111"")),"""")"),"")</f>
        <v/>
      </c>
      <c r="C27" s="20" t="str">
        <f>IFERROR(__xludf.DUMMYFUNCTION("IFNA(FILTER(IMPORTRANGE(""https://docs.google.com/spreadsheets/d/1kGrh75X1cNR1D7_FcY9zMnHP8iPO4M5RCRjy6nZY0TY/edit#gid=1248694442"",""Subgroup 1: Fr ~ Tx!B3:B20""), $A27=IMPORTRANGE(""https://docs.google.com/spreadsheets/d/1kGrh75X1cNR1D7_FcY9zMnHP8iPO4M5"&amp;"RCRjy6nZY0TY/edit#gid=1248694442"",""Subgroup 1: Fr ~ Tx!A3:A20"")),"""")"),"")</f>
        <v/>
      </c>
      <c r="D27" s="20" t="str">
        <f>IFERROR(__xludf.DUMMYFUNCTION("IFNA(FILTER(IMPORTRANGE(""https://docs.google.com/spreadsheets/d/1kGrh75X1cNR1D7_FcY9zMnHP8iPO4M5RCRjy6nZY0TY/edit#gid=1248694442"",""Subgroup 1: Fr ~ Tx!C3:C20""), $A27=IMPORTRANGE(""https://docs.google.com/spreadsheets/d/1kGrh75X1cNR1D7_FcY9zMnHP8iPO4M5"&amp;"RCRjy6nZY0TY/edit#gid=1248694442"",""Subgroup 1: Fr ~ Tx!A3:A20"")),"""")"),"")</f>
        <v/>
      </c>
      <c r="E27" s="20" t="str">
        <f>IFERROR(__xludf.DUMMYFUNCTION("IFNA(FILTER(IMPORTRANGE(""https://docs.google.com/spreadsheets/d/1kGrh75X1cNR1D7_FcY9zMnHP8iPO4M5RCRjy6nZY0TY/edit#gid=1248694442"",""Subgroup 1: Fr ~ Tx!D3:D20""), $A27=IMPORTRANGE(""https://docs.google.com/spreadsheets/d/1kGrh75X1cNR1D7_FcY9zMnHP8iPO4M5"&amp;"RCRjy6nZY0TY/edit#gid=1248694442"",""Subgroup 1: Fr ~ Tx!A3:A20"")),"""")"),"")</f>
        <v/>
      </c>
      <c r="F27" s="20" t="str">
        <f>IFERROR(__xludf.DUMMYFUNCTION("IFNA(FILTER(IMPORTRANGE(""https://docs.google.com/spreadsheets/d/1kGrh75X1cNR1D7_FcY9zMnHP8iPO4M5RCRjy6nZY0TY/edit#gid=1248694442"",""Subgroup 1: Fr ~ Tx!E3:E20""), $A27=IMPORTRANGE(""https://docs.google.com/spreadsheets/d/1kGrh75X1cNR1D7_FcY9zMnHP8iPO4M5"&amp;"RCRjy6nZY0TY/edit#gid=1248694442"",""Subgroup 1: Fr ~ Tx!A3:A20"")),"""")"),"")</f>
        <v/>
      </c>
      <c r="G27" s="20" t="str">
        <f>IFERROR(__xludf.DUMMYFUNCTION("IFNA(FILTER(IMPORTRANGE(""https://docs.google.com/spreadsheets/d/1kGrh75X1cNR1D7_FcY9zMnHP8iPO4M5RCRjy6nZY0TY/edit#gid=1248694442"",""Subgroup 1: Fr ~ Tx!F3:F20""), $A27=IMPORTRANGE(""https://docs.google.com/spreadsheets/d/1kGrh75X1cNR1D7_FcY9zMnHP8iPO4M5"&amp;"RCRjy6nZY0TY/edit#gid=1248694442"",""Subgroup 1: Fr ~ Tx!A3:A20"")),"""")"),"")</f>
        <v/>
      </c>
      <c r="H27" s="20" t="str">
        <f>IFERROR(__xludf.DUMMYFUNCTION("IFNA(FILTER(IMPORTRANGE(""https://docs.google.com/spreadsheets/d/1kGrh75X1cNR1D7_FcY9zMnHP8iPO4M5RCRjy6nZY0TY/edit#gid=1248694442"",""Table 3: 1st-line HC!BD5:BD111""), $A27=IMPORTRANGE(""https://docs.google.com/spreadsheets/d/1kGrh75X1cNR1D7_FcY9zMnHP8iP"&amp;"O4M5RCRjy6nZY0TY/edit#gid=1248694442"",""Table 3: 1st-line HC!A5:A111"")),"""")"),"")</f>
        <v/>
      </c>
      <c r="I27" s="20" t="str">
        <f>IFERROR(__xludf.DUMMYFUNCTION("IFNA(FILTER(IMPORTRANGE(""https://docs.google.com/spreadsheets/d/1kGrh75X1cNR1D7_FcY9zMnHP8iPO4M5RCRjy6nZY0TY/edit#gid=1248694442"",""Subgroup 5: Tf ~ Tx!B3:B8""), $A27=IMPORTRANGE(""https://docs.google.com/spreadsheets/d/1kGrh75X1cNR1D7_FcY9zMnHP8iPO4M5R"&amp;"CRjy6nZY0TY/edit#gid=1248694442"",""Subgroup 5: Tf ~ Tx!A3:A8"")),"""")"),"")</f>
        <v/>
      </c>
      <c r="J27" s="20" t="str">
        <f>IFERROR(__xludf.DUMMYFUNCTION("IFNA(FILTER(IMPORTRANGE(""https://docs.google.com/spreadsheets/d/1kGrh75X1cNR1D7_FcY9zMnHP8iPO4M5RCRjy6nZY0TY/edit#gid=1248694442"",""Subgroup 5: Tf ~ Tx!C3:C8""), $A27=IMPORTRANGE(""https://docs.google.com/spreadsheets/d/1kGrh75X1cNR1D7_FcY9zMnHP8iPO4M5R"&amp;"CRjy6nZY0TY/edit#gid=1248694442"",""Subgroup 5: Tf ~ Tx!A3:A8"")),"""")"),"")</f>
        <v/>
      </c>
      <c r="K27" s="20" t="str">
        <f>IFERROR(__xludf.DUMMYFUNCTION("IFNA(FILTER(IMPORTRANGE(""https://docs.google.com/spreadsheets/d/1kGrh75X1cNR1D7_FcY9zMnHP8iPO4M5RCRjy6nZY0TY/edit#gid=1248694442"",""Subgroup 5: Tf ~ Tx!D3:D8""), $A27=IMPORTRANGE(""https://docs.google.com/spreadsheets/d/1kGrh75X1cNR1D7_FcY9zMnHP8iPO4M5R"&amp;"CRjy6nZY0TY/edit#gid=1248694442"",""Subgroup 5: Tf ~ Tx!A3:A8"")),"""")"),"")</f>
        <v/>
      </c>
      <c r="L27" s="20" t="str">
        <f>IFERROR(__xludf.DUMMYFUNCTION("IFNA(FILTER(IMPORTRANGE(""https://docs.google.com/spreadsheets/d/1kGrh75X1cNR1D7_FcY9zMnHP8iPO4M5RCRjy6nZY0TY/edit#gid=1248694442"",""Subgroup 5: Tf ~ Tx!E3:E8""), $A27=IMPORTRANGE(""https://docs.google.com/spreadsheets/d/1kGrh75X1cNR1D7_FcY9zMnHP8iPO4M5R"&amp;"CRjy6nZY0TY/edit#gid=1248694442"",""Subgroup 5: Tf ~ Tx!A3:A8"")),"""")"),"")</f>
        <v/>
      </c>
      <c r="M27" s="20" t="str">
        <f>IFERROR(__xludf.DUMMYFUNCTION("IFNA(FILTER(IMPORTRANGE(""https://docs.google.com/spreadsheets/d/1kGrh75X1cNR1D7_FcY9zMnHP8iPO4M5RCRjy6nZY0TY/edit#gid=1248694442"",""Subgroup 5: Tf ~ Tx!F3:F8""), $A27=IMPORTRANGE(""https://docs.google.com/spreadsheets/d/1kGrh75X1cNR1D7_FcY9zMnHP8iPO4M5R"&amp;"CRjy6nZY0TY/edit#gid=1248694442"",""Subgroup 5: Tf ~ Tx!A3:A8"")),"""")"),"")</f>
        <v/>
      </c>
      <c r="N27" s="20" t="str">
        <f>IFERROR(__xludf.DUMMYFUNCTION("IFNA(FILTER(IMPORTRANGE(""https://docs.google.com/spreadsheets/d/1kGrh75X1cNR1D7_FcY9zMnHP8iPO4M5RCRjy6nZY0TY/edit#gid=1248694442"",""Table 3: 1st-line HC!BE5:BE111""), $A27=IMPORTRANGE(""https://docs.google.com/spreadsheets/d/1kGrh75X1cNR1D7_FcY9zMnHP8iP"&amp;"O4M5RCRjy6nZY0TY/edit#gid=1248694442"",""Table 3: 1st-line HC!A5:A111"")),"""")"),"")</f>
        <v/>
      </c>
      <c r="O27" s="20" t="str">
        <f>IFERROR(__xludf.DUMMYFUNCTION("IFNA(FILTER(IMPORTRANGE(""https://docs.google.com/spreadsheets/d/1kGrh75X1cNR1D7_FcY9zMnHP8iPO4M5RCRjy6nZY0TY/edit#gid=1248694442"",""Table 3: 1st-line HC!BF5:BF111""), $A27=IMPORTRANGE(""https://docs.google.com/spreadsheets/d/1kGrh75X1cNR1D7_FcY9zMnHP8iP"&amp;"O4M5RCRjy6nZY0TY/edit#gid=1248694442"",""Table 3: 1st-line HC!A5:A111"")),"""")"),"")</f>
        <v/>
      </c>
      <c r="P27" s="20" t="str">
        <f>IFERROR(__xludf.DUMMYFUNCTION("IFNA(FILTER(IMPORTRANGE(""https://docs.google.com/spreadsheets/d/1kGrh75X1cNR1D7_FcY9zMnHP8iPO4M5RCRjy6nZY0TY/edit#gid=1248694442"",""Table 3: 1st-line HC!BG5:BG111""), $A27=IMPORTRANGE(""https://docs.google.com/spreadsheets/d/1kGrh75X1cNR1D7_FcY9zMnHP8iP"&amp;"O4M5RCRjy6nZY0TY/edit#gid=1248694442"",""Table 3: 1st-line HC!A5:A111"")),"""")"),"")</f>
        <v/>
      </c>
      <c r="Q27" s="21" t="str">
        <f>IFERROR(__xludf.DUMMYFUNCTION("IFNA(FILTER(IMPORTRANGE(""https://docs.google.com/spreadsheets/d/1kGrh75X1cNR1D7_FcY9zMnHP8iPO4M5RCRjy6nZY0TY/edit#gid=1248694442"",""Table 3: 1st-line HC!BH5:BH111""), $A27=IMPORTRANGE(""https://docs.google.com/spreadsheets/d/1kGrh75X1cNR1D7_FcY9zMnHP8iP"&amp;"O4M5RCRjy6nZY0TY/edit#gid=1248694442"",""Table 3: 1st-line HC!A5:A111"")),"""")"),"")</f>
        <v/>
      </c>
      <c r="R27" s="19" t="str">
        <f>IFERROR(__xludf.DUMMYFUNCTION("IFNA(FILTER(IMPORTRANGE(""https://docs.google.com/spreadsheets/d/1kGrh75X1cNR1D7_FcY9zMnHP8iPO4M5RCRjy6nZY0TY/edit#gid=1248694442"",""Table 3: 1st-line HC!AJ5:AJ111""), $A27=IMPORTRANGE(""https://docs.google.com/spreadsheets/d/1kGrh75X1cNR1D7_FcY9zMnHP8iP"&amp;"O4M5RCRjy6nZY0TY/edit#gid=1248694442"",""Table 3: 1st-line HC!A5:A111"")),"""")"),"")</f>
        <v/>
      </c>
      <c r="S27" s="20" t="str">
        <f>IFERROR(__xludf.DUMMYFUNCTION("IFNA(FILTER(IMPORTRANGE(""https://docs.google.com/spreadsheets/d/1kGrh75X1cNR1D7_FcY9zMnHP8iPO4M5RCRjy6nZY0TY/edit#gid=1248694442"",""Subgroup 3: Mi ~ Tx!B3:B17""), $A27=IMPORTRANGE(""https://docs.google.com/spreadsheets/d/1kGrh75X1cNR1D7_FcY9zMnHP8iPO4M5"&amp;"RCRjy6nZY0TY/edit#gid=1248694442"",""Subgroup 3: Mi ~ Tx!A3:A17"")),"""")"),"")</f>
        <v/>
      </c>
      <c r="T27" s="20">
        <f>IFERROR(__xludf.DUMMYFUNCTION("IFNA(FILTER(IMPORTRANGE(""https://docs.google.com/spreadsheets/d/1kGrh75X1cNR1D7_FcY9zMnHP8iPO4M5RCRjy6nZY0TY/edit#gid=1248694442"",""Subgroup 3: Mi ~ Tx!C3:C17""), $A27=IMPORTRANGE(""https://docs.google.com/spreadsheets/d/1kGrh75X1cNR1D7_FcY9zMnHP8iPO4M5"&amp;"RCRjy6nZY0TY/edit#gid=1248694442"",""Subgroup 3: Mi ~ Tx!A3:A17"")),"""")"),0.038461538461538464)</f>
        <v>0.03846153846</v>
      </c>
      <c r="U27" s="20" t="str">
        <f>IFERROR(__xludf.DUMMYFUNCTION("IFNA(FILTER(IMPORTRANGE(""https://docs.google.com/spreadsheets/d/1kGrh75X1cNR1D7_FcY9zMnHP8iPO4M5RCRjy6nZY0TY/edit#gid=1248694442"",""Subgroup 3: Mi ~ Tx!D3:D17""), $A27=IMPORTRANGE(""https://docs.google.com/spreadsheets/d/1kGrh75X1cNR1D7_FcY9zMnHP8iPO4M5"&amp;"RCRjy6nZY0TY/edit#gid=1248694442"",""Subgroup 3: Mi ~ Tx!A3:A17"")),"""")"),"")</f>
        <v/>
      </c>
      <c r="V27" s="20" t="str">
        <f>IFERROR(__xludf.DUMMYFUNCTION("IFNA(FILTER(IMPORTRANGE(""https://docs.google.com/spreadsheets/d/1kGrh75X1cNR1D7_FcY9zMnHP8iPO4M5RCRjy6nZY0TY/edit#gid=1248694442"",""Subgroup 3: Mi ~ Tx!E3:E17""), $A27=IMPORTRANGE(""https://docs.google.com/spreadsheets/d/1kGrh75X1cNR1D7_FcY9zMnHP8iPO4M5"&amp;"RCRjy6nZY0TY/edit#gid=1248694442"",""Subgroup 3: Mi ~ Tx!A3:A17"")),"""")"),"")</f>
        <v/>
      </c>
      <c r="W27" s="20" t="str">
        <f>IFERROR(__xludf.DUMMYFUNCTION("IFNA(FILTER(IMPORTRANGE(""https://docs.google.com/spreadsheets/d/1kGrh75X1cNR1D7_FcY9zMnHP8iPO4M5RCRjy6nZY0TY/edit#gid=1248694442"",""Subgroup 3: Mi ~ Tx!F3:F17""), $A27=IMPORTRANGE(""https://docs.google.com/spreadsheets/d/1kGrh75X1cNR1D7_FcY9zMnHP8iPO4M5"&amp;"RCRjy6nZY0TY/edit#gid=1248694442"",""Subgroup 3: Mi ~ Tx!A3:A17"")),"""")"),"")</f>
        <v/>
      </c>
      <c r="X27" s="19">
        <f>IFERROR(__xludf.DUMMYFUNCTION("IFNA(FILTER(IMPORTRANGE(""https://docs.google.com/spreadsheets/d/1kGrh75X1cNR1D7_FcY9zMnHP8iPO4M5RCRjy6nZY0TY/edit#gid=1248694442"",""Table 3: 1st-line HC!AK5:AK111""), $A27=IMPORTRANGE(""https://docs.google.com/spreadsheets/d/1kGrh75X1cNR1D7_FcY9zMnHP8iP"&amp;"O4M5RCRjy6nZY0TY/edit#gid=1248694442"",""Table 3: 1st-line HC!A5:A111"")),"""")"),2.0)</f>
        <v>2</v>
      </c>
      <c r="Y27" s="20" t="str">
        <f>IFERROR(__xludf.DUMMYFUNCTION("IFNA(FILTER(IMPORTRANGE(""https://docs.google.com/spreadsheets/d/1kGrh75X1cNR1D7_FcY9zMnHP8iPO4M5RCRjy6nZY0TY/edit#gid=1248694442"",""Subgroup 4: Mp ~ Tx!B3:B20""), $A27=IMPORTRANGE(""https://docs.google.com/spreadsheets/d/1kGrh75X1cNR1D7_FcY9zMnHP8iPO4M5"&amp;"RCRjy6nZY0TY/edit#gid=1248694442"",""Subgroup 4: Mp ~ Tx!A3:A20"")),"""")"),"")</f>
        <v/>
      </c>
      <c r="Z27" s="20" t="str">
        <f>IFERROR(__xludf.DUMMYFUNCTION("IFNA(FILTER(IMPORTRANGE(""https://docs.google.com/spreadsheets/d/1kGrh75X1cNR1D7_FcY9zMnHP8iPO4M5RCRjy6nZY0TY/edit#gid=1248694442"",""Subgroup 4: Mp ~ Tx!C3:C20""), $A27=IMPORTRANGE(""https://docs.google.com/spreadsheets/d/1kGrh75X1cNR1D7_FcY9zMnHP8iPO4M5"&amp;"RCRjy6nZY0TY/edit#gid=1248694442"",""Subgroup 4: Mp ~ Tx!A3:A20"")),"""")"),"")</f>
        <v/>
      </c>
      <c r="AA27" s="20" t="str">
        <f>IFERROR(__xludf.DUMMYFUNCTION("IFNA(FILTER(IMPORTRANGE(""https://docs.google.com/spreadsheets/d/1kGrh75X1cNR1D7_FcY9zMnHP8iPO4M5RCRjy6nZY0TY/edit#gid=1248694442"",""Subgroup 4: Mp ~ Tx!D3:D20""), $A27=IMPORTRANGE(""https://docs.google.com/spreadsheets/d/1kGrh75X1cNR1D7_FcY9zMnHP8iPO4M5"&amp;"RCRjy6nZY0TY/edit#gid=1248694442"",""Subgroup 4: Mp ~ Tx!A3:A20"")),"""")"),"")</f>
        <v/>
      </c>
      <c r="AB27" s="20" t="str">
        <f>IFERROR(__xludf.DUMMYFUNCTION("IFNA(FILTER(IMPORTRANGE(""https://docs.google.com/spreadsheets/d/1kGrh75X1cNR1D7_FcY9zMnHP8iPO4M5RCRjy6nZY0TY/edit#gid=1248694442"",""Subgroup 4: Mp ~ Tx!E3:E20""), $A27=IMPORTRANGE(""https://docs.google.com/spreadsheets/d/1kGrh75X1cNR1D7_FcY9zMnHP8iPO4M5"&amp;"RCRjy6nZY0TY/edit#gid=1248694442"",""Subgroup 4: Mp ~ Tx!A3:A20"")),"""")"),"")</f>
        <v/>
      </c>
      <c r="AC27" s="20" t="str">
        <f>IFERROR(__xludf.DUMMYFUNCTION("IFNA(FILTER(IMPORTRANGE(""https://docs.google.com/spreadsheets/d/1kGrh75X1cNR1D7_FcY9zMnHP8iPO4M5RCRjy6nZY0TY/edit#gid=1248694442"",""Subgroup 4: Mp ~ Tx!F3:F20""), $A27=IMPORTRANGE(""https://docs.google.com/spreadsheets/d/1kGrh75X1cNR1D7_FcY9zMnHP8iPO4M5"&amp;"RCRjy6nZY0TY/edit#gid=1248694442"",""Subgroup 4: Mp ~ Tx!A3:A20"")),"""")"),"")</f>
        <v/>
      </c>
      <c r="AD27" s="22" t="str">
        <f>IFERROR(__xludf.DUMMYFUNCTION("IFNA(FILTER(IMPORTRANGE(""https://docs.google.com/spreadsheets/d/1kGrh75X1cNR1D7_FcY9zMnHP8iPO4M5RCRjy6nZY0TY/edit#gid=1248694442"",""Table 3: 1st-line HC!AL5:AL111""), $A27=IMPORTRANGE(""https://docs.google.com/spreadsheets/d/1kGrh75X1cNR1D7_FcY9zMnHP8iP"&amp;"O4M5RCRjy6nZY0TY/edit#gid=1248694442"",""Table 3: 1st-line HC!A5:A111"")),"""")"),"")</f>
        <v/>
      </c>
      <c r="AE27" s="20" t="str">
        <f>IFERROR(__xludf.DUMMYFUNCTION("IFNA(FILTER(IMPORTRANGE(""https://docs.google.com/spreadsheets/d/1kGrh75X1cNR1D7_FcY9zMnHP8iPO4M5RCRjy6nZY0TY/edit#gid=1248694442"",""Table 3: 1st-line HC!BJ5:BJ111""), $A27=IMPORTRANGE(""https://docs.google.com/spreadsheets/d/1kGrh75X1cNR1D7_FcY9zMnHP8iP"&amp;"O4M5RCRjy6nZY0TY/edit#gid=1248694442"",""Table 3: 1st-line HC!A5:A111"")),"""")"),"")</f>
        <v/>
      </c>
      <c r="AF27" s="20" t="str">
        <f>IFERROR(__xludf.DUMMYFUNCTION("IFNA(FILTER(IMPORTRANGE(""https://docs.google.com/spreadsheets/d/1kGrh75X1cNR1D7_FcY9zMnHP8iPO4M5RCRjy6nZY0TY/edit#gid=1248694442"",""Subgroup 2: Cr ~ Tx!B3:B23""), $A27=IMPORTRANGE(""https://docs.google.com/spreadsheets/d/1kGrh75X1cNR1D7_FcY9zMnHP8iPO4M5"&amp;"RCRjy6nZY0TY/edit#gid=1248694442"",""Subgroup 2: Cr ~ Tx!A3:A23"")),"""")"),"")</f>
        <v/>
      </c>
      <c r="AG27" s="20" t="str">
        <f>IFERROR(__xludf.DUMMYFUNCTION("IFNA(FILTER(IMPORTRANGE(""https://docs.google.com/spreadsheets/d/1kGrh75X1cNR1D7_FcY9zMnHP8iPO4M5RCRjy6nZY0TY/edit#gid=1248694442"",""Subgroup 2: Cr ~ Tx!C3:C23""), $A27=IMPORTRANGE(""https://docs.google.com/spreadsheets/d/1kGrh75X1cNR1D7_FcY9zMnHP8iPO4M5"&amp;"RCRjy6nZY0TY/edit#gid=1248694442"",""Subgroup 2: Cr ~ Tx!A3:A23"")),"""")"),"")</f>
        <v/>
      </c>
      <c r="AH27" s="20" t="str">
        <f>IFERROR(__xludf.DUMMYFUNCTION("IFNA(FILTER(IMPORTRANGE(""https://docs.google.com/spreadsheets/d/1kGrh75X1cNR1D7_FcY9zMnHP8iPO4M5RCRjy6nZY0TY/edit#gid=1248694442"",""Subgroup 2: Cr ~ Tx!D3:D23""), $A27=IMPORTRANGE(""https://docs.google.com/spreadsheets/d/1kGrh75X1cNR1D7_FcY9zMnHP8iPO4M5"&amp;"RCRjy6nZY0TY/edit#gid=1248694442"",""Subgroup 2: Cr ~ Tx!A3:A23"")),"""")"),"")</f>
        <v/>
      </c>
      <c r="AI27" s="20" t="str">
        <f>IFERROR(__xludf.DUMMYFUNCTION("IFNA(FILTER(IMPORTRANGE(""https://docs.google.com/spreadsheets/d/1kGrh75X1cNR1D7_FcY9zMnHP8iPO4M5RCRjy6nZY0TY/edit#gid=1248694442"",""Subgroup 2: Cr ~ Tx!E3:E23""), $A27=IMPORTRANGE(""https://docs.google.com/spreadsheets/d/1kGrh75X1cNR1D7_FcY9zMnHP8iPO4M5"&amp;"RCRjy6nZY0TY/edit#gid=1248694442"",""Subgroup 2: Cr ~ Tx!A3:A23"")),"""")"),"")</f>
        <v/>
      </c>
      <c r="AJ27" s="20" t="str">
        <f>IFERROR(__xludf.DUMMYFUNCTION("IFNA(FILTER(IMPORTRANGE(""https://docs.google.com/spreadsheets/d/1kGrh75X1cNR1D7_FcY9zMnHP8iPO4M5RCRjy6nZY0TY/edit#gid=1248694442"",""Subgroup 2: Cr ~ Tx!F3:F23""), $A27=IMPORTRANGE(""https://docs.google.com/spreadsheets/d/1kGrh75X1cNR1D7_FcY9zMnHP8iPO4M5"&amp;"RCRjy6nZY0TY/edit#gid=1248694442"",""Subgroup 2: Cr ~ Tx!A3:A23"")),"""")"),"")</f>
        <v/>
      </c>
      <c r="AK27" s="14" t="str">
        <f>IFERROR(__xludf.DUMMYFUNCTION("IFNA(FILTER(IMPORTRANGE(""https://docs.google.com/spreadsheets/d/1kGrh75X1cNR1D7_FcY9zMnHP8iPO4M5RCRjy6nZY0TY/edit#gid=1248694442"",""Table 4: 2nd-line HC or more!M5:M85""), $A27=IMPORTRANGE(""https://docs.google.com/spreadsheets/d/1kGrh75X1cNR1D7_FcY9zMn"&amp;"HP8iPO4M5RCRjy6nZY0TY/edit#gid=1248694442"",""Table 4: 2nd-line HC or more!A5:A85"")),"""")"),"")</f>
        <v/>
      </c>
      <c r="AL27" s="14" t="str">
        <f>IFERROR(__xludf.DUMMYFUNCTION("IFNA(FILTER(IMPORTRANGE(""https://docs.google.com/spreadsheets/d/1kGrh75X1cNR1D7_FcY9zMnHP8iPO4M5RCRjy6nZY0TY/edit#gid=1248694442"",""Table 4: 2nd-line HC or more!N5:N85""), $A27=IMPORTRANGE(""https://docs.google.com/spreadsheets/d/1kGrh75X1cNR1D7_FcY9zMn"&amp;"HP8iPO4M5RCRjy6nZY0TY/edit#gid=1248694442"",""Table 4: 2nd-line HC or more!A5:A85"")),"""")"),"")</f>
        <v/>
      </c>
      <c r="AM27" s="14" t="str">
        <f>IFERROR(__xludf.DUMMYFUNCTION("IFNA(FILTER(IMPORTRANGE(""https://docs.google.com/spreadsheets/d/1kGrh75X1cNR1D7_FcY9zMnHP8iPO4M5RCRjy6nZY0TY/edit#gid=1248694442"",""Table 4: 2nd-line HC or more!O5:O85""), $A27=IMPORTRANGE(""https://docs.google.com/spreadsheets/d/1kGrh75X1cNR1D7_FcY9zMn"&amp;"HP8iPO4M5RCRjy6nZY0TY/edit#gid=1248694442"",""Table 4: 2nd-line HC or more!A5:A85"")),"""")"),"")</f>
        <v/>
      </c>
      <c r="AN27" s="14" t="str">
        <f>IFERROR(__xludf.DUMMYFUNCTION("IFNA(FILTER(IMPORTRANGE(""https://docs.google.com/spreadsheets/d/1kGrh75X1cNR1D7_FcY9zMnHP8iPO4M5RCRjy6nZY0TY/edit#gid=1248694442"",""Table 3: 1st-line HC!AP5:AP111""), $A27=IMPORTRANGE(""https://docs.google.com/spreadsheets/d/1kGrh75X1cNR1D7_FcY9zMnHP8iP"&amp;"O4M5RCRjy6nZY0TY/edit#gid=1248694442"",""Table 3: 1st-line HC!A5:A111"")),"""")"),"")</f>
        <v/>
      </c>
      <c r="AO27" s="14" t="str">
        <f>IFERROR(__xludf.DUMMYFUNCTION("IFNA(FILTER(IMPORTRANGE(""https://docs.google.com/spreadsheets/d/1kGrh75X1cNR1D7_FcY9zMnHP8iPO4M5RCRjy6nZY0TY/edit#gid=1248694442"",""Table 3: 1st-line HC!AO5:AO111""), $A27=IMPORTRANGE(""https://docs.google.com/spreadsheets/d/1kGrh75X1cNR1D7_FcY9zMnHP8iP"&amp;"O4M5RCRjy6nZY0TY/edit#gid=1248694442"",""Table 3: 1st-line HC!A5:A111"")),"""")"),"")</f>
        <v/>
      </c>
      <c r="AP27" s="14" t="str">
        <f>IFERROR(__xludf.DUMMYFUNCTION("IFNA(FILTER(IMPORTRANGE(""https://docs.google.com/spreadsheets/d/1kGrh75X1cNR1D7_FcY9zMnHP8iPO4M5RCRjy6nZY0TY/edit#gid=1248694442"",""Table 3: 1st-line HC!AQ5:AQ111""), $A27=IMPORTRANGE(""https://docs.google.com/spreadsheets/d/1kGrh75X1cNR1D7_FcY9zMnHP8iP"&amp;"O4M5RCRjy6nZY0TY/edit#gid=1248694442"",""Table 3: 1st-line HC!A5:A111"")),"""")"),"")</f>
        <v/>
      </c>
      <c r="AQ27" s="14" t="str">
        <f>IFERROR(__xludf.DUMMYFUNCTION("IFNA(FILTER(IMPORTRANGE(""https://docs.google.com/spreadsheets/d/1kGrh75X1cNR1D7_FcY9zMnHP8iPO4M5RCRjy6nZY0TY/edit#gid=1248694442"",""Table 2: MMC!T5:T114""), $A27=IMPORTRANGE(""https://docs.google.com/spreadsheets/d/1kGrh75X1cNR1D7_FcY9zMnHP8iPO4M5RCRjy6"&amp;"nZY0TY/edit#gid=1248694442"",""Table 2: MMC!A5:A114"")),"""")"),"")</f>
        <v/>
      </c>
      <c r="AR27" s="14" t="str">
        <f>IFERROR(__xludf.DUMMYFUNCTION("IFNA(FILTER(IMPORTRANGE(""https://docs.google.com/spreadsheets/d/1kGrh75X1cNR1D7_FcY9zMnHP8iPO4M5RCRjy6nZY0TY/edit#gid=1248694442"",""Table 2: MMC!U5:U114""), $A27=IMPORTRANGE(""https://docs.google.com/spreadsheets/d/1kGrh75X1cNR1D7_FcY9zMnHP8iPO4M5RCRjy6"&amp;"nZY0TY/edit#gid=1248694442"",""Table 2: MMC!A5:A114"")),"""")"),"")</f>
        <v/>
      </c>
      <c r="AS27" s="14" t="str">
        <f>IFERROR(__xludf.DUMMYFUNCTION("IFNA(FILTER(IMPORTRANGE(""https://docs.google.com/spreadsheets/d/1kGrh75X1cNR1D7_FcY9zMnHP8iPO4M5RCRjy6nZY0TY/edit#gid=1248694442"",""Table 2: MMC!V5:V114""), $A27=IMPORTRANGE(""https://docs.google.com/spreadsheets/d/1kGrh75X1cNR1D7_FcY9zMnHP8iPO4M5RCRjy6"&amp;"nZY0TY/edit#gid=1248694442"",""Table 2: MMC!A5:A114"")),"""")"),"")</f>
        <v/>
      </c>
      <c r="AT27" s="4" t="str">
        <f>IFERROR(__xludf.DUMMYFUNCTION("IFNA(FILTER(IMPORTRANGE(""https://docs.google.com/spreadsheets/d/1kGrh75X1cNR1D7_FcY9zMnHP8iPO4M5RCRjy6nZY0TY/edit#gid=1248694442"",""Table 2: MMC!W5:W114""), $A27=IMPORTRANGE(""https://docs.google.com/spreadsheets/d/1kGrh75X1cNR1D7_FcY9zMnHP8iPO4M5RCRjy6"&amp;"nZY0TY/edit#gid=1248694442"",""Table 2: MMC!A5:A114"")),"""")"),"")</f>
        <v/>
      </c>
    </row>
    <row r="28">
      <c r="A28" s="4" t="str">
        <f>IFERROR(__xludf.DUMMYFUNCTION("""COMPUTED_VALUE"""),"ID 46")</f>
        <v>ID 46</v>
      </c>
      <c r="B28" s="20" t="str">
        <f>IFERROR(__xludf.DUMMYFUNCTION("IFNA(FILTER(IMPORTRANGE(""https://docs.google.com/spreadsheets/d/1kGrh75X1cNR1D7_FcY9zMnHP8iPO4M5RCRjy6nZY0TY/edit#gid=1248694442"",""Table 3: 1st-line HC!BK5:BK111""), $A28=IMPORTRANGE(""https://docs.google.com/spreadsheets/d/1kGrh75X1cNR1D7_FcY9zMnHP8iP"&amp;"O4M5RCRjy6nZY0TY/edit#gid=1248694442"",""Table 3: 1st-line HC!A5:A111"")),"""")"),"")</f>
        <v/>
      </c>
      <c r="C28" s="20" t="str">
        <f>IFERROR(__xludf.DUMMYFUNCTION("IFNA(FILTER(IMPORTRANGE(""https://docs.google.com/spreadsheets/d/1kGrh75X1cNR1D7_FcY9zMnHP8iPO4M5RCRjy6nZY0TY/edit#gid=1248694442"",""Subgroup 1: Fr ~ Tx!B3:B20""), $A28=IMPORTRANGE(""https://docs.google.com/spreadsheets/d/1kGrh75X1cNR1D7_FcY9zMnHP8iPO4M5"&amp;"RCRjy6nZY0TY/edit#gid=1248694442"",""Subgroup 1: Fr ~ Tx!A3:A20"")),"""")"),"")</f>
        <v/>
      </c>
      <c r="D28" s="20">
        <f>IFERROR(__xludf.DUMMYFUNCTION("IFNA(FILTER(IMPORTRANGE(""https://docs.google.com/spreadsheets/d/1kGrh75X1cNR1D7_FcY9zMnHP8iPO4M5RCRjy6nZY0TY/edit#gid=1248694442"",""Subgroup 1: Fr ~ Tx!C3:C20""), $A28=IMPORTRANGE(""https://docs.google.com/spreadsheets/d/1kGrh75X1cNR1D7_FcY9zMnHP8iPO4M5"&amp;"RCRjy6nZY0TY/edit#gid=1248694442"",""Subgroup 1: Fr ~ Tx!A3:A20"")),"""")"),0.409090909090909)</f>
        <v>0.4090909091</v>
      </c>
      <c r="E28" s="20">
        <f>IFERROR(__xludf.DUMMYFUNCTION("IFNA(FILTER(IMPORTRANGE(""https://docs.google.com/spreadsheets/d/1kGrh75X1cNR1D7_FcY9zMnHP8iPO4M5RCRjy6nZY0TY/edit#gid=1248694442"",""Subgroup 1: Fr ~ Tx!D3:D20""), $A28=IMPORTRANGE(""https://docs.google.com/spreadsheets/d/1kGrh75X1cNR1D7_FcY9zMnHP8iPO4M5"&amp;"RCRjy6nZY0TY/edit#gid=1248694442"",""Subgroup 1: Fr ~ Tx!A3:A20"")),"""")"),0.285714285714285)</f>
        <v>0.2857142857</v>
      </c>
      <c r="F28" s="20" t="str">
        <f>IFERROR(__xludf.DUMMYFUNCTION("IFNA(FILTER(IMPORTRANGE(""https://docs.google.com/spreadsheets/d/1kGrh75X1cNR1D7_FcY9zMnHP8iPO4M5RCRjy6nZY0TY/edit#gid=1248694442"",""Subgroup 1: Fr ~ Tx!E3:E20""), $A28=IMPORTRANGE(""https://docs.google.com/spreadsheets/d/1kGrh75X1cNR1D7_FcY9zMnHP8iPO4M5"&amp;"RCRjy6nZY0TY/edit#gid=1248694442"",""Subgroup 1: Fr ~ Tx!A3:A20"")),"""")"),"")</f>
        <v/>
      </c>
      <c r="G28" s="20" t="str">
        <f>IFERROR(__xludf.DUMMYFUNCTION("IFNA(FILTER(IMPORTRANGE(""https://docs.google.com/spreadsheets/d/1kGrh75X1cNR1D7_FcY9zMnHP8iPO4M5RCRjy6nZY0TY/edit#gid=1248694442"",""Subgroup 1: Fr ~ Tx!F3:F20""), $A28=IMPORTRANGE(""https://docs.google.com/spreadsheets/d/1kGrh75X1cNR1D7_FcY9zMnHP8iPO4M5"&amp;"RCRjy6nZY0TY/edit#gid=1248694442"",""Subgroup 1: Fr ~ Tx!A3:A20"")),"""")"),"")</f>
        <v/>
      </c>
      <c r="H28" s="20">
        <f>IFERROR(__xludf.DUMMYFUNCTION("IFNA(FILTER(IMPORTRANGE(""https://docs.google.com/spreadsheets/d/1kGrh75X1cNR1D7_FcY9zMnHP8iPO4M5RCRjy6nZY0TY/edit#gid=1248694442"",""Table 3: 1st-line HC!BD5:BD111""), $A28=IMPORTRANGE(""https://docs.google.com/spreadsheets/d/1kGrh75X1cNR1D7_FcY9zMnHP8iP"&amp;"O4M5RCRjy6nZY0TY/edit#gid=1248694442"",""Table 3: 1st-line HC!A5:A111"")),"""")"),52.8)</f>
        <v>52.8</v>
      </c>
      <c r="I28" s="20" t="str">
        <f>IFERROR(__xludf.DUMMYFUNCTION("IFNA(FILTER(IMPORTRANGE(""https://docs.google.com/spreadsheets/d/1kGrh75X1cNR1D7_FcY9zMnHP8iPO4M5RCRjy6nZY0TY/edit#gid=1248694442"",""Subgroup 5: Tf ~ Tx!B3:B8""), $A28=IMPORTRANGE(""https://docs.google.com/spreadsheets/d/1kGrh75X1cNR1D7_FcY9zMnHP8iPO4M5R"&amp;"CRjy6nZY0TY/edit#gid=1248694442"",""Subgroup 5: Tf ~ Tx!A3:A8"")),"""")"),"")</f>
        <v/>
      </c>
      <c r="J28" s="20">
        <f>IFERROR(__xludf.DUMMYFUNCTION("IFNA(FILTER(IMPORTRANGE(""https://docs.google.com/spreadsheets/d/1kGrh75X1cNR1D7_FcY9zMnHP8iPO4M5RCRjy6nZY0TY/edit#gid=1248694442"",""Subgroup 5: Tf ~ Tx!C3:C8""), $A28=IMPORTRANGE(""https://docs.google.com/spreadsheets/d/1kGrh75X1cNR1D7_FcY9zMnHP8iPO4M5R"&amp;"CRjy6nZY0TY/edit#gid=1248694442"",""Subgroup 5: Tf ~ Tx!A3:A8"")),"""")"),52.8)</f>
        <v>52.8</v>
      </c>
      <c r="K28" s="20" t="str">
        <f>IFERROR(__xludf.DUMMYFUNCTION("IFNA(FILTER(IMPORTRANGE(""https://docs.google.com/spreadsheets/d/1kGrh75X1cNR1D7_FcY9zMnHP8iPO4M5RCRjy6nZY0TY/edit#gid=1248694442"",""Subgroup 5: Tf ~ Tx!D3:D8""), $A28=IMPORTRANGE(""https://docs.google.com/spreadsheets/d/1kGrh75X1cNR1D7_FcY9zMnHP8iPO4M5R"&amp;"CRjy6nZY0TY/edit#gid=1248694442"",""Subgroup 5: Tf ~ Tx!A3:A8"")),"""")"),"NA")</f>
        <v>NA</v>
      </c>
      <c r="L28" s="20" t="str">
        <f>IFERROR(__xludf.DUMMYFUNCTION("IFNA(FILTER(IMPORTRANGE(""https://docs.google.com/spreadsheets/d/1kGrh75X1cNR1D7_FcY9zMnHP8iPO4M5RCRjy6nZY0TY/edit#gid=1248694442"",""Subgroup 5: Tf ~ Tx!E3:E8""), $A28=IMPORTRANGE(""https://docs.google.com/spreadsheets/d/1kGrh75X1cNR1D7_FcY9zMnHP8iPO4M5R"&amp;"CRjy6nZY0TY/edit#gid=1248694442"",""Subgroup 5: Tf ~ Tx!A3:A8"")),"""")"),"")</f>
        <v/>
      </c>
      <c r="M28" s="20" t="str">
        <f>IFERROR(__xludf.DUMMYFUNCTION("IFNA(FILTER(IMPORTRANGE(""https://docs.google.com/spreadsheets/d/1kGrh75X1cNR1D7_FcY9zMnHP8iPO4M5RCRjy6nZY0TY/edit#gid=1248694442"",""Subgroup 5: Tf ~ Tx!F3:F8""), $A28=IMPORTRANGE(""https://docs.google.com/spreadsheets/d/1kGrh75X1cNR1D7_FcY9zMnHP8iPO4M5R"&amp;"CRjy6nZY0TY/edit#gid=1248694442"",""Subgroup 5: Tf ~ Tx!A3:A8"")),"""")"),"")</f>
        <v/>
      </c>
      <c r="N28" s="20" t="str">
        <f>IFERROR(__xludf.DUMMYFUNCTION("IFNA(FILTER(IMPORTRANGE(""https://docs.google.com/spreadsheets/d/1kGrh75X1cNR1D7_FcY9zMnHP8iPO4M5RCRjy6nZY0TY/edit#gid=1248694442"",""Table 3: 1st-line HC!BE5:BE111""), $A28=IMPORTRANGE(""https://docs.google.com/spreadsheets/d/1kGrh75X1cNR1D7_FcY9zMnHP8iP"&amp;"O4M5RCRjy6nZY0TY/edit#gid=1248694442"",""Table 3: 1st-line HC!A5:A111"")),"""")"),"")</f>
        <v/>
      </c>
      <c r="O28" s="20" t="str">
        <f>IFERROR(__xludf.DUMMYFUNCTION("IFNA(FILTER(IMPORTRANGE(""https://docs.google.com/spreadsheets/d/1kGrh75X1cNR1D7_FcY9zMnHP8iPO4M5RCRjy6nZY0TY/edit#gid=1248694442"",""Table 3: 1st-line HC!BF5:BF111""), $A28=IMPORTRANGE(""https://docs.google.com/spreadsheets/d/1kGrh75X1cNR1D7_FcY9zMnHP8iP"&amp;"O4M5RCRjy6nZY0TY/edit#gid=1248694442"",""Table 3: 1st-line HC!A5:A111"")),"""")"),"")</f>
        <v/>
      </c>
      <c r="P28" s="20" t="str">
        <f>IFERROR(__xludf.DUMMYFUNCTION("IFNA(FILTER(IMPORTRANGE(""https://docs.google.com/spreadsheets/d/1kGrh75X1cNR1D7_FcY9zMnHP8iPO4M5RCRjy6nZY0TY/edit#gid=1248694442"",""Table 3: 1st-line HC!BG5:BG111""), $A28=IMPORTRANGE(""https://docs.google.com/spreadsheets/d/1kGrh75X1cNR1D7_FcY9zMnHP8iP"&amp;"O4M5RCRjy6nZY0TY/edit#gid=1248694442"",""Table 3: 1st-line HC!A5:A111"")),"""")"),"")</f>
        <v/>
      </c>
      <c r="Q28" s="21" t="str">
        <f>IFERROR(__xludf.DUMMYFUNCTION("IFNA(FILTER(IMPORTRANGE(""https://docs.google.com/spreadsheets/d/1kGrh75X1cNR1D7_FcY9zMnHP8iPO4M5RCRjy6nZY0TY/edit#gid=1248694442"",""Table 3: 1st-line HC!BH5:BH111""), $A28=IMPORTRANGE(""https://docs.google.com/spreadsheets/d/1kGrh75X1cNR1D7_FcY9zMnHP8iP"&amp;"O4M5RCRjy6nZY0TY/edit#gid=1248694442"",""Table 3: 1st-line HC!A5:A111"")),"""")"),"Shunt revision=36")</f>
        <v>Shunt revision=36</v>
      </c>
      <c r="R28" s="19" t="str">
        <f>IFERROR(__xludf.DUMMYFUNCTION("IFNA(FILTER(IMPORTRANGE(""https://docs.google.com/spreadsheets/d/1kGrh75X1cNR1D7_FcY9zMnHP8iPO4M5RCRjy6nZY0TY/edit#gid=1248694442"",""Table 3: 1st-line HC!AJ5:AJ111""), $A28=IMPORTRANGE(""https://docs.google.com/spreadsheets/d/1kGrh75X1cNR1D7_FcY9zMnHP8iP"&amp;"O4M5RCRjy6nZY0TY/edit#gid=1248694442"",""Table 3: 1st-line HC!A5:A111"")),"""")"),"")</f>
        <v/>
      </c>
      <c r="S28" s="20" t="str">
        <f>IFERROR(__xludf.DUMMYFUNCTION("IFNA(FILTER(IMPORTRANGE(""https://docs.google.com/spreadsheets/d/1kGrh75X1cNR1D7_FcY9zMnHP8iPO4M5RCRjy6nZY0TY/edit#gid=1248694442"",""Subgroup 3: Mi ~ Tx!B3:B17""), $A28=IMPORTRANGE(""https://docs.google.com/spreadsheets/d/1kGrh75X1cNR1D7_FcY9zMnHP8iPO4M5"&amp;"RCRjy6nZY0TY/edit#gid=1248694442"",""Subgroup 3: Mi ~ Tx!A3:A17"")),"""")"),"")</f>
        <v/>
      </c>
      <c r="T28" s="20" t="str">
        <f>IFERROR(__xludf.DUMMYFUNCTION("IFNA(FILTER(IMPORTRANGE(""https://docs.google.com/spreadsheets/d/1kGrh75X1cNR1D7_FcY9zMnHP8iPO4M5RCRjy6nZY0TY/edit#gid=1248694442"",""Subgroup 3: Mi ~ Tx!C3:C17""), $A28=IMPORTRANGE(""https://docs.google.com/spreadsheets/d/1kGrh75X1cNR1D7_FcY9zMnHP8iPO4M5"&amp;"RCRjy6nZY0TY/edit#gid=1248694442"",""Subgroup 3: Mi ~ Tx!A3:A17"")),"""")"),"")</f>
        <v/>
      </c>
      <c r="U28" s="20" t="str">
        <f>IFERROR(__xludf.DUMMYFUNCTION("IFNA(FILTER(IMPORTRANGE(""https://docs.google.com/spreadsheets/d/1kGrh75X1cNR1D7_FcY9zMnHP8iPO4M5RCRjy6nZY0TY/edit#gid=1248694442"",""Subgroup 3: Mi ~ Tx!D3:D17""), $A28=IMPORTRANGE(""https://docs.google.com/spreadsheets/d/1kGrh75X1cNR1D7_FcY9zMnHP8iPO4M5"&amp;"RCRjy6nZY0TY/edit#gid=1248694442"",""Subgroup 3: Mi ~ Tx!A3:A17"")),"""")"),"")</f>
        <v/>
      </c>
      <c r="V28" s="20" t="str">
        <f>IFERROR(__xludf.DUMMYFUNCTION("IFNA(FILTER(IMPORTRANGE(""https://docs.google.com/spreadsheets/d/1kGrh75X1cNR1D7_FcY9zMnHP8iPO4M5RCRjy6nZY0TY/edit#gid=1248694442"",""Subgroup 3: Mi ~ Tx!E3:E17""), $A28=IMPORTRANGE(""https://docs.google.com/spreadsheets/d/1kGrh75X1cNR1D7_FcY9zMnHP8iPO4M5"&amp;"RCRjy6nZY0TY/edit#gid=1248694442"",""Subgroup 3: Mi ~ Tx!A3:A17"")),"""")"),"")</f>
        <v/>
      </c>
      <c r="W28" s="20" t="str">
        <f>IFERROR(__xludf.DUMMYFUNCTION("IFNA(FILTER(IMPORTRANGE(""https://docs.google.com/spreadsheets/d/1kGrh75X1cNR1D7_FcY9zMnHP8iPO4M5RCRjy6nZY0TY/edit#gid=1248694442"",""Subgroup 3: Mi ~ Tx!F3:F17""), $A28=IMPORTRANGE(""https://docs.google.com/spreadsheets/d/1kGrh75X1cNR1D7_FcY9zMnHP8iPO4M5"&amp;"RCRjy6nZY0TY/edit#gid=1248694442"",""Subgroup 3: Mi ~ Tx!A3:A17"")),"""")"),"")</f>
        <v/>
      </c>
      <c r="X28" s="19" t="str">
        <f>IFERROR(__xludf.DUMMYFUNCTION("IFNA(FILTER(IMPORTRANGE(""https://docs.google.com/spreadsheets/d/1kGrh75X1cNR1D7_FcY9zMnHP8iPO4M5RCRjy6nZY0TY/edit#gid=1248694442"",""Table 3: 1st-line HC!AK5:AK111""), $A28=IMPORTRANGE(""https://docs.google.com/spreadsheets/d/1kGrh75X1cNR1D7_FcY9zMnHP8iP"&amp;"O4M5RCRjy6nZY0TY/edit#gid=1248694442"",""Table 3: 1st-line HC!A5:A111"")),"""")"),"")</f>
        <v/>
      </c>
      <c r="Y28" s="20" t="str">
        <f>IFERROR(__xludf.DUMMYFUNCTION("IFNA(FILTER(IMPORTRANGE(""https://docs.google.com/spreadsheets/d/1kGrh75X1cNR1D7_FcY9zMnHP8iPO4M5RCRjy6nZY0TY/edit#gid=1248694442"",""Subgroup 4: Mp ~ Tx!B3:B20""), $A28=IMPORTRANGE(""https://docs.google.com/spreadsheets/d/1kGrh75X1cNR1D7_FcY9zMnHP8iPO4M5"&amp;"RCRjy6nZY0TY/edit#gid=1248694442"",""Subgroup 4: Mp ~ Tx!A3:A20"")),"""")"),"")</f>
        <v/>
      </c>
      <c r="Z28" s="20" t="str">
        <f>IFERROR(__xludf.DUMMYFUNCTION("IFNA(FILTER(IMPORTRANGE(""https://docs.google.com/spreadsheets/d/1kGrh75X1cNR1D7_FcY9zMnHP8iPO4M5RCRjy6nZY0TY/edit#gid=1248694442"",""Subgroup 4: Mp ~ Tx!C3:C20""), $A28=IMPORTRANGE(""https://docs.google.com/spreadsheets/d/1kGrh75X1cNR1D7_FcY9zMnHP8iPO4M5"&amp;"RCRjy6nZY0TY/edit#gid=1248694442"",""Subgroup 4: Mp ~ Tx!A3:A20"")),"""")"),"")</f>
        <v/>
      </c>
      <c r="AA28" s="20" t="str">
        <f>IFERROR(__xludf.DUMMYFUNCTION("IFNA(FILTER(IMPORTRANGE(""https://docs.google.com/spreadsheets/d/1kGrh75X1cNR1D7_FcY9zMnHP8iPO4M5RCRjy6nZY0TY/edit#gid=1248694442"",""Subgroup 4: Mp ~ Tx!D3:D20""), $A28=IMPORTRANGE(""https://docs.google.com/spreadsheets/d/1kGrh75X1cNR1D7_FcY9zMnHP8iPO4M5"&amp;"RCRjy6nZY0TY/edit#gid=1248694442"",""Subgroup 4: Mp ~ Tx!A3:A20"")),"""")"),"")</f>
        <v/>
      </c>
      <c r="AB28" s="20" t="str">
        <f>IFERROR(__xludf.DUMMYFUNCTION("IFNA(FILTER(IMPORTRANGE(""https://docs.google.com/spreadsheets/d/1kGrh75X1cNR1D7_FcY9zMnHP8iPO4M5RCRjy6nZY0TY/edit#gid=1248694442"",""Subgroup 4: Mp ~ Tx!E3:E20""), $A28=IMPORTRANGE(""https://docs.google.com/spreadsheets/d/1kGrh75X1cNR1D7_FcY9zMnHP8iPO4M5"&amp;"RCRjy6nZY0TY/edit#gid=1248694442"",""Subgroup 4: Mp ~ Tx!A3:A20"")),"""")"),"")</f>
        <v/>
      </c>
      <c r="AC28" s="20" t="str">
        <f>IFERROR(__xludf.DUMMYFUNCTION("IFNA(FILTER(IMPORTRANGE(""https://docs.google.com/spreadsheets/d/1kGrh75X1cNR1D7_FcY9zMnHP8iPO4M5RCRjy6nZY0TY/edit#gid=1248694442"",""Subgroup 4: Mp ~ Tx!F3:F20""), $A28=IMPORTRANGE(""https://docs.google.com/spreadsheets/d/1kGrh75X1cNR1D7_FcY9zMnHP8iPO4M5"&amp;"RCRjy6nZY0TY/edit#gid=1248694442"",""Subgroup 4: Mp ~ Tx!A3:A20"")),"""")"),"")</f>
        <v/>
      </c>
      <c r="AD28" s="22" t="str">
        <f>IFERROR(__xludf.DUMMYFUNCTION("IFNA(FILTER(IMPORTRANGE(""https://docs.google.com/spreadsheets/d/1kGrh75X1cNR1D7_FcY9zMnHP8iPO4M5RCRjy6nZY0TY/edit#gid=1248694442"",""Table 3: 1st-line HC!AL5:AL111""), $A28=IMPORTRANGE(""https://docs.google.com/spreadsheets/d/1kGrh75X1cNR1D7_FcY9zMnHP8iP"&amp;"O4M5RCRjy6nZY0TY/edit#gid=1248694442"",""Table 3: 1st-line HC!A5:A111"")),"""")"),"")</f>
        <v/>
      </c>
      <c r="AE28" s="20">
        <f>IFERROR(__xludf.DUMMYFUNCTION("IFNA(FILTER(IMPORTRANGE(""https://docs.google.com/spreadsheets/d/1kGrh75X1cNR1D7_FcY9zMnHP8iPO4M5RCRjy6nZY0TY/edit#gid=1248694442"",""Table 3: 1st-line HC!BJ5:BJ111""), $A28=IMPORTRANGE(""https://docs.google.com/spreadsheets/d/1kGrh75X1cNR1D7_FcY9zMnHP8iP"&amp;"O4M5RCRjy6nZY0TY/edit#gid=1248694442"",""Table 3: 1st-line HC!A5:A111"")),"""")"),0.11)</f>
        <v>0.11</v>
      </c>
      <c r="AF28" s="20" t="str">
        <f>IFERROR(__xludf.DUMMYFUNCTION("IFNA(FILTER(IMPORTRANGE(""https://docs.google.com/spreadsheets/d/1kGrh75X1cNR1D7_FcY9zMnHP8iPO4M5RCRjy6nZY0TY/edit#gid=1248694442"",""Subgroup 2: Cr ~ Tx!B3:B23""), $A28=IMPORTRANGE(""https://docs.google.com/spreadsheets/d/1kGrh75X1cNR1D7_FcY9zMnHP8iPO4M5"&amp;"RCRjy6nZY0TY/edit#gid=1248694442"",""Subgroup 2: Cr ~ Tx!A3:A23"")),"""")"),"")</f>
        <v/>
      </c>
      <c r="AG28" s="20">
        <f>IFERROR(__xludf.DUMMYFUNCTION("IFNA(FILTER(IMPORTRANGE(""https://docs.google.com/spreadsheets/d/1kGrh75X1cNR1D7_FcY9zMnHP8iPO4M5RCRjy6nZY0TY/edit#gid=1248694442"",""Subgroup 2: Cr ~ Tx!C3:C23""), $A28=IMPORTRANGE(""https://docs.google.com/spreadsheets/d/1kGrh75X1cNR1D7_FcY9zMnHP8iPO4M5"&amp;"RCRjy6nZY0TY/edit#gid=1248694442"",""Subgroup 2: Cr ~ Tx!A3:A23"")),"""")"),0.102272727272727)</f>
        <v>0.1022727273</v>
      </c>
      <c r="AH28" s="20">
        <f>IFERROR(__xludf.DUMMYFUNCTION("IFNA(FILTER(IMPORTRANGE(""https://docs.google.com/spreadsheets/d/1kGrh75X1cNR1D7_FcY9zMnHP8iPO4M5RCRjy6nZY0TY/edit#gid=1248694442"",""Subgroup 2: Cr ~ Tx!D3:D23""), $A28=IMPORTRANGE(""https://docs.google.com/spreadsheets/d/1kGrh75X1cNR1D7_FcY9zMnHP8iPO4M5"&amp;"RCRjy6nZY0TY/edit#gid=1248694442"",""Subgroup 2: Cr ~ Tx!A3:A23"")),"""")"),0.285714285714285)</f>
        <v>0.2857142857</v>
      </c>
      <c r="AI28" s="20" t="str">
        <f>IFERROR(__xludf.DUMMYFUNCTION("IFNA(FILTER(IMPORTRANGE(""https://docs.google.com/spreadsheets/d/1kGrh75X1cNR1D7_FcY9zMnHP8iPO4M5RCRjy6nZY0TY/edit#gid=1248694442"",""Subgroup 2: Cr ~ Tx!E3:E23""), $A28=IMPORTRANGE(""https://docs.google.com/spreadsheets/d/1kGrh75X1cNR1D7_FcY9zMnHP8iPO4M5"&amp;"RCRjy6nZY0TY/edit#gid=1248694442"",""Subgroup 2: Cr ~ Tx!A3:A23"")),"""")"),"")</f>
        <v/>
      </c>
      <c r="AJ28" s="20" t="str">
        <f>IFERROR(__xludf.DUMMYFUNCTION("IFNA(FILTER(IMPORTRANGE(""https://docs.google.com/spreadsheets/d/1kGrh75X1cNR1D7_FcY9zMnHP8iPO4M5RCRjy6nZY0TY/edit#gid=1248694442"",""Subgroup 2: Cr ~ Tx!F3:F23""), $A28=IMPORTRANGE(""https://docs.google.com/spreadsheets/d/1kGrh75X1cNR1D7_FcY9zMnHP8iPO4M5"&amp;"RCRjy6nZY0TY/edit#gid=1248694442"",""Subgroup 2: Cr ~ Tx!A3:A23"")),"""")"),"")</f>
        <v/>
      </c>
      <c r="AK28" s="14" t="str">
        <f>IFERROR(__xludf.DUMMYFUNCTION("IFNA(FILTER(IMPORTRANGE(""https://docs.google.com/spreadsheets/d/1kGrh75X1cNR1D7_FcY9zMnHP8iPO4M5RCRjy6nZY0TY/edit#gid=1248694442"",""Table 4: 2nd-line HC or more!M5:M85""), $A28=IMPORTRANGE(""https://docs.google.com/spreadsheets/d/1kGrh75X1cNR1D7_FcY9zMn"&amp;"HP8iPO4M5RCRjy6nZY0TY/edit#gid=1248694442"",""Table 4: 2nd-line HC or more!A5:A85"")),"""")"),"")</f>
        <v/>
      </c>
      <c r="AL28" s="14" t="str">
        <f>IFERROR(__xludf.DUMMYFUNCTION("IFNA(FILTER(IMPORTRANGE(""https://docs.google.com/spreadsheets/d/1kGrh75X1cNR1D7_FcY9zMnHP8iPO4M5RCRjy6nZY0TY/edit#gid=1248694442"",""Table 4: 2nd-line HC or more!N5:N85""), $A28=IMPORTRANGE(""https://docs.google.com/spreadsheets/d/1kGrh75X1cNR1D7_FcY9zMn"&amp;"HP8iPO4M5RCRjy6nZY0TY/edit#gid=1248694442"",""Table 4: 2nd-line HC or more!A5:A85"")),"""")"),"")</f>
        <v/>
      </c>
      <c r="AM28" s="14" t="str">
        <f>IFERROR(__xludf.DUMMYFUNCTION("IFNA(FILTER(IMPORTRANGE(""https://docs.google.com/spreadsheets/d/1kGrh75X1cNR1D7_FcY9zMnHP8iPO4M5RCRjy6nZY0TY/edit#gid=1248694442"",""Table 4: 2nd-line HC or more!O5:O85""), $A28=IMPORTRANGE(""https://docs.google.com/spreadsheets/d/1kGrh75X1cNR1D7_FcY9zMn"&amp;"HP8iPO4M5RCRjy6nZY0TY/edit#gid=1248694442"",""Table 4: 2nd-line HC or more!A5:A85"")),"""")"),"")</f>
        <v/>
      </c>
      <c r="AN28" s="14" t="str">
        <f>IFERROR(__xludf.DUMMYFUNCTION("IFNA(FILTER(IMPORTRANGE(""https://docs.google.com/spreadsheets/d/1kGrh75X1cNR1D7_FcY9zMnHP8iPO4M5RCRjy6nZY0TY/edit#gid=1248694442"",""Table 3: 1st-line HC!AP5:AP111""), $A28=IMPORTRANGE(""https://docs.google.com/spreadsheets/d/1kGrh75X1cNR1D7_FcY9zMnHP8iP"&amp;"O4M5RCRjy6nZY0TY/edit#gid=1248694442"",""Table 3: 1st-line HC!A5:A111"")),"""")"),"")</f>
        <v/>
      </c>
      <c r="AO28" s="14" t="str">
        <f>IFERROR(__xludf.DUMMYFUNCTION("IFNA(FILTER(IMPORTRANGE(""https://docs.google.com/spreadsheets/d/1kGrh75X1cNR1D7_FcY9zMnHP8iPO4M5RCRjy6nZY0TY/edit#gid=1248694442"",""Table 3: 1st-line HC!AO5:AO111""), $A28=IMPORTRANGE(""https://docs.google.com/spreadsheets/d/1kGrh75X1cNR1D7_FcY9zMnHP8iP"&amp;"O4M5RCRjy6nZY0TY/edit#gid=1248694442"",""Table 3: 1st-line HC!A5:A111"")),"""")"),"")</f>
        <v/>
      </c>
      <c r="AP28" s="14" t="str">
        <f>IFERROR(__xludf.DUMMYFUNCTION("IFNA(FILTER(IMPORTRANGE(""https://docs.google.com/spreadsheets/d/1kGrh75X1cNR1D7_FcY9zMnHP8iPO4M5RCRjy6nZY0TY/edit#gid=1248694442"",""Table 3: 1st-line HC!AQ5:AQ111""), $A28=IMPORTRANGE(""https://docs.google.com/spreadsheets/d/1kGrh75X1cNR1D7_FcY9zMnHP8iP"&amp;"O4M5RCRjy6nZY0TY/edit#gid=1248694442"",""Table 3: 1st-line HC!A5:A111"")),"""")"),"")</f>
        <v/>
      </c>
      <c r="AQ28" s="14" t="str">
        <f>IFERROR(__xludf.DUMMYFUNCTION("IFNA(FILTER(IMPORTRANGE(""https://docs.google.com/spreadsheets/d/1kGrh75X1cNR1D7_FcY9zMnHP8iPO4M5RCRjy6nZY0TY/edit#gid=1248694442"",""Table 2: MMC!T5:T114""), $A28=IMPORTRANGE(""https://docs.google.com/spreadsheets/d/1kGrh75X1cNR1D7_FcY9zMnHP8iPO4M5RCRjy6"&amp;"nZY0TY/edit#gid=1248694442"",""Table 2: MMC!A5:A114"")),"""")"),"")</f>
        <v/>
      </c>
      <c r="AR28" s="14" t="str">
        <f>IFERROR(__xludf.DUMMYFUNCTION("IFNA(FILTER(IMPORTRANGE(""https://docs.google.com/spreadsheets/d/1kGrh75X1cNR1D7_FcY9zMnHP8iPO4M5RCRjy6nZY0TY/edit#gid=1248694442"",""Table 2: MMC!U5:U114""), $A28=IMPORTRANGE(""https://docs.google.com/spreadsheets/d/1kGrh75X1cNR1D7_FcY9zMnHP8iPO4M5RCRjy6"&amp;"nZY0TY/edit#gid=1248694442"",""Table 2: MMC!A5:A114"")),"""")"),"")</f>
        <v/>
      </c>
      <c r="AS28" s="14" t="str">
        <f>IFERROR(__xludf.DUMMYFUNCTION("IFNA(FILTER(IMPORTRANGE(""https://docs.google.com/spreadsheets/d/1kGrh75X1cNR1D7_FcY9zMnHP8iPO4M5RCRjy6nZY0TY/edit#gid=1248694442"",""Table 2: MMC!V5:V114""), $A28=IMPORTRANGE(""https://docs.google.com/spreadsheets/d/1kGrh75X1cNR1D7_FcY9zMnHP8iPO4M5RCRjy6"&amp;"nZY0TY/edit#gid=1248694442"",""Table 2: MMC!A5:A114"")),"""")"),"")</f>
        <v/>
      </c>
      <c r="AT28" s="4" t="str">
        <f>IFERROR(__xludf.DUMMYFUNCTION("IFNA(FILTER(IMPORTRANGE(""https://docs.google.com/spreadsheets/d/1kGrh75X1cNR1D7_FcY9zMnHP8iPO4M5RCRjy6nZY0TY/edit#gid=1248694442"",""Table 2: MMC!W5:W114""), $A28=IMPORTRANGE(""https://docs.google.com/spreadsheets/d/1kGrh75X1cNR1D7_FcY9zMnHP8iPO4M5RCRjy6"&amp;"nZY0TY/edit#gid=1248694442"",""Table 2: MMC!A5:A114"")),"""")"),"")</f>
        <v/>
      </c>
    </row>
    <row r="29">
      <c r="A29" s="4" t="str">
        <f>IFERROR(__xludf.DUMMYFUNCTION("""COMPUTED_VALUE"""),"ID 47")</f>
        <v>ID 47</v>
      </c>
      <c r="B29" s="20" t="str">
        <f>IFERROR(__xludf.DUMMYFUNCTION("IFNA(FILTER(IMPORTRANGE(""https://docs.google.com/spreadsheets/d/1kGrh75X1cNR1D7_FcY9zMnHP8iPO4M5RCRjy6nZY0TY/edit#gid=1248694442"",""Table 3: 1st-line HC!BK5:BK111""), $A29=IMPORTRANGE(""https://docs.google.com/spreadsheets/d/1kGrh75X1cNR1D7_FcY9zMnHP8iP"&amp;"O4M5RCRjy6nZY0TY/edit#gid=1248694442"",""Table 3: 1st-line HC!A5:A111"")),"""")"),"")</f>
        <v/>
      </c>
      <c r="C29" s="20" t="str">
        <f>IFERROR(__xludf.DUMMYFUNCTION("IFNA(FILTER(IMPORTRANGE(""https://docs.google.com/spreadsheets/d/1kGrh75X1cNR1D7_FcY9zMnHP8iPO4M5RCRjy6nZY0TY/edit#gid=1248694442"",""Subgroup 1: Fr ~ Tx!B3:B20""), $A29=IMPORTRANGE(""https://docs.google.com/spreadsheets/d/1kGrh75X1cNR1D7_FcY9zMnHP8iPO4M5"&amp;"RCRjy6nZY0TY/edit#gid=1248694442"",""Subgroup 1: Fr ~ Tx!A3:A20"")),"""")"),"")</f>
        <v/>
      </c>
      <c r="D29" s="20" t="str">
        <f>IFERROR(__xludf.DUMMYFUNCTION("IFNA(FILTER(IMPORTRANGE(""https://docs.google.com/spreadsheets/d/1kGrh75X1cNR1D7_FcY9zMnHP8iPO4M5RCRjy6nZY0TY/edit#gid=1248694442"",""Subgroup 1: Fr ~ Tx!C3:C20""), $A29=IMPORTRANGE(""https://docs.google.com/spreadsheets/d/1kGrh75X1cNR1D7_FcY9zMnHP8iPO4M5"&amp;"RCRjy6nZY0TY/edit#gid=1248694442"",""Subgroup 1: Fr ~ Tx!A3:A20"")),"""")"),"")</f>
        <v/>
      </c>
      <c r="E29" s="20" t="str">
        <f>IFERROR(__xludf.DUMMYFUNCTION("IFNA(FILTER(IMPORTRANGE(""https://docs.google.com/spreadsheets/d/1kGrh75X1cNR1D7_FcY9zMnHP8iPO4M5RCRjy6nZY0TY/edit#gid=1248694442"",""Subgroup 1: Fr ~ Tx!D3:D20""), $A29=IMPORTRANGE(""https://docs.google.com/spreadsheets/d/1kGrh75X1cNR1D7_FcY9zMnHP8iPO4M5"&amp;"RCRjy6nZY0TY/edit#gid=1248694442"",""Subgroup 1: Fr ~ Tx!A3:A20"")),"""")"),"")</f>
        <v/>
      </c>
      <c r="F29" s="20" t="str">
        <f>IFERROR(__xludf.DUMMYFUNCTION("IFNA(FILTER(IMPORTRANGE(""https://docs.google.com/spreadsheets/d/1kGrh75X1cNR1D7_FcY9zMnHP8iPO4M5RCRjy6nZY0TY/edit#gid=1248694442"",""Subgroup 1: Fr ~ Tx!E3:E20""), $A29=IMPORTRANGE(""https://docs.google.com/spreadsheets/d/1kGrh75X1cNR1D7_FcY9zMnHP8iPO4M5"&amp;"RCRjy6nZY0TY/edit#gid=1248694442"",""Subgroup 1: Fr ~ Tx!A3:A20"")),"""")"),"")</f>
        <v/>
      </c>
      <c r="G29" s="20" t="str">
        <f>IFERROR(__xludf.DUMMYFUNCTION("IFNA(FILTER(IMPORTRANGE(""https://docs.google.com/spreadsheets/d/1kGrh75X1cNR1D7_FcY9zMnHP8iPO4M5RCRjy6nZY0TY/edit#gid=1248694442"",""Subgroup 1: Fr ~ Tx!F3:F20""), $A29=IMPORTRANGE(""https://docs.google.com/spreadsheets/d/1kGrh75X1cNR1D7_FcY9zMnHP8iPO4M5"&amp;"RCRjy6nZY0TY/edit#gid=1248694442"",""Subgroup 1: Fr ~ Tx!A3:A20"")),"""")"),"")</f>
        <v/>
      </c>
      <c r="H29" s="20" t="str">
        <f>IFERROR(__xludf.DUMMYFUNCTION("IFNA(FILTER(IMPORTRANGE(""https://docs.google.com/spreadsheets/d/1kGrh75X1cNR1D7_FcY9zMnHP8iPO4M5RCRjy6nZY0TY/edit#gid=1248694442"",""Table 3: 1st-line HC!BD5:BD111""), $A29=IMPORTRANGE(""https://docs.google.com/spreadsheets/d/1kGrh75X1cNR1D7_FcY9zMnHP8iP"&amp;"O4M5RCRjy6nZY0TY/edit#gid=1248694442"",""Table 3: 1st-line HC!A5:A111"")),"""")"),"")</f>
        <v/>
      </c>
      <c r="I29" s="20" t="str">
        <f>IFERROR(__xludf.DUMMYFUNCTION("IFNA(FILTER(IMPORTRANGE(""https://docs.google.com/spreadsheets/d/1kGrh75X1cNR1D7_FcY9zMnHP8iPO4M5RCRjy6nZY0TY/edit#gid=1248694442"",""Subgroup 5: Tf ~ Tx!B3:B8""), $A29=IMPORTRANGE(""https://docs.google.com/spreadsheets/d/1kGrh75X1cNR1D7_FcY9zMnHP8iPO4M5R"&amp;"CRjy6nZY0TY/edit#gid=1248694442"",""Subgroup 5: Tf ~ Tx!A3:A8"")),"""")"),"")</f>
        <v/>
      </c>
      <c r="J29" s="20" t="str">
        <f>IFERROR(__xludf.DUMMYFUNCTION("IFNA(FILTER(IMPORTRANGE(""https://docs.google.com/spreadsheets/d/1kGrh75X1cNR1D7_FcY9zMnHP8iPO4M5RCRjy6nZY0TY/edit#gid=1248694442"",""Subgroup 5: Tf ~ Tx!C3:C8""), $A29=IMPORTRANGE(""https://docs.google.com/spreadsheets/d/1kGrh75X1cNR1D7_FcY9zMnHP8iPO4M5R"&amp;"CRjy6nZY0TY/edit#gid=1248694442"",""Subgroup 5: Tf ~ Tx!A3:A8"")),"""")"),"")</f>
        <v/>
      </c>
      <c r="K29" s="20" t="str">
        <f>IFERROR(__xludf.DUMMYFUNCTION("IFNA(FILTER(IMPORTRANGE(""https://docs.google.com/spreadsheets/d/1kGrh75X1cNR1D7_FcY9zMnHP8iPO4M5RCRjy6nZY0TY/edit#gid=1248694442"",""Subgroup 5: Tf ~ Tx!D3:D8""), $A29=IMPORTRANGE(""https://docs.google.com/spreadsheets/d/1kGrh75X1cNR1D7_FcY9zMnHP8iPO4M5R"&amp;"CRjy6nZY0TY/edit#gid=1248694442"",""Subgroup 5: Tf ~ Tx!A3:A8"")),"""")"),"")</f>
        <v/>
      </c>
      <c r="L29" s="20" t="str">
        <f>IFERROR(__xludf.DUMMYFUNCTION("IFNA(FILTER(IMPORTRANGE(""https://docs.google.com/spreadsheets/d/1kGrh75X1cNR1D7_FcY9zMnHP8iPO4M5RCRjy6nZY0TY/edit#gid=1248694442"",""Subgroup 5: Tf ~ Tx!E3:E8""), $A29=IMPORTRANGE(""https://docs.google.com/spreadsheets/d/1kGrh75X1cNR1D7_FcY9zMnHP8iPO4M5R"&amp;"CRjy6nZY0TY/edit#gid=1248694442"",""Subgroup 5: Tf ~ Tx!A3:A8"")),"""")"),"")</f>
        <v/>
      </c>
      <c r="M29" s="20" t="str">
        <f>IFERROR(__xludf.DUMMYFUNCTION("IFNA(FILTER(IMPORTRANGE(""https://docs.google.com/spreadsheets/d/1kGrh75X1cNR1D7_FcY9zMnHP8iPO4M5RCRjy6nZY0TY/edit#gid=1248694442"",""Subgroup 5: Tf ~ Tx!F3:F8""), $A29=IMPORTRANGE(""https://docs.google.com/spreadsheets/d/1kGrh75X1cNR1D7_FcY9zMnHP8iPO4M5R"&amp;"CRjy6nZY0TY/edit#gid=1248694442"",""Subgroup 5: Tf ~ Tx!A3:A8"")),"""")"),"")</f>
        <v/>
      </c>
      <c r="N29" s="20" t="str">
        <f>IFERROR(__xludf.DUMMYFUNCTION("IFNA(FILTER(IMPORTRANGE(""https://docs.google.com/spreadsheets/d/1kGrh75X1cNR1D7_FcY9zMnHP8iPO4M5RCRjy6nZY0TY/edit#gid=1248694442"",""Table 3: 1st-line HC!BE5:BE111""), $A29=IMPORTRANGE(""https://docs.google.com/spreadsheets/d/1kGrh75X1cNR1D7_FcY9zMnHP8iP"&amp;"O4M5RCRjy6nZY0TY/edit#gid=1248694442"",""Table 3: 1st-line HC!A5:A111"")),"""")"),"")</f>
        <v/>
      </c>
      <c r="O29" s="20" t="str">
        <f>IFERROR(__xludf.DUMMYFUNCTION("IFNA(FILTER(IMPORTRANGE(""https://docs.google.com/spreadsheets/d/1kGrh75X1cNR1D7_FcY9zMnHP8iPO4M5RCRjy6nZY0TY/edit#gid=1248694442"",""Table 3: 1st-line HC!BF5:BF111""), $A29=IMPORTRANGE(""https://docs.google.com/spreadsheets/d/1kGrh75X1cNR1D7_FcY9zMnHP8iP"&amp;"O4M5RCRjy6nZY0TY/edit#gid=1248694442"",""Table 3: 1st-line HC!A5:A111"")),"""")"),"")</f>
        <v/>
      </c>
      <c r="P29" s="20" t="str">
        <f>IFERROR(__xludf.DUMMYFUNCTION("IFNA(FILTER(IMPORTRANGE(""https://docs.google.com/spreadsheets/d/1kGrh75X1cNR1D7_FcY9zMnHP8iPO4M5RCRjy6nZY0TY/edit#gid=1248694442"",""Table 3: 1st-line HC!BG5:BG111""), $A29=IMPORTRANGE(""https://docs.google.com/spreadsheets/d/1kGrh75X1cNR1D7_FcY9zMnHP8iP"&amp;"O4M5RCRjy6nZY0TY/edit#gid=1248694442"",""Table 3: 1st-line HC!A5:A111"")),"""")"),"")</f>
        <v/>
      </c>
      <c r="Q29" s="21" t="str">
        <f>IFERROR(__xludf.DUMMYFUNCTION("IFNA(FILTER(IMPORTRANGE(""https://docs.google.com/spreadsheets/d/1kGrh75X1cNR1D7_FcY9zMnHP8iPO4M5RCRjy6nZY0TY/edit#gid=1248694442"",""Table 3: 1st-line HC!BH5:BH111""), $A29=IMPORTRANGE(""https://docs.google.com/spreadsheets/d/1kGrh75X1cNR1D7_FcY9zMnHP8iP"&amp;"O4M5RCRjy6nZY0TY/edit#gid=1248694442"",""Table 3: 1st-line HC!A5:A111"")),"""")"),"")</f>
        <v/>
      </c>
      <c r="R29" s="19">
        <f>IFERROR(__xludf.DUMMYFUNCTION("IFNA(FILTER(IMPORTRANGE(""https://docs.google.com/spreadsheets/d/1kGrh75X1cNR1D7_FcY9zMnHP8iPO4M5RCRjy6nZY0TY/edit#gid=1248694442"",""Table 3: 1st-line HC!AJ5:AJ111""), $A29=IMPORTRANGE(""https://docs.google.com/spreadsheets/d/1kGrh75X1cNR1D7_FcY9zMnHP8iP"&amp;"O4M5RCRjy6nZY0TY/edit#gid=1248694442"",""Table 3: 1st-line HC!A5:A111"")),"""")"),0.0)</f>
        <v>0</v>
      </c>
      <c r="S29" s="20" t="str">
        <f>IFERROR(__xludf.DUMMYFUNCTION("IFNA(FILTER(IMPORTRANGE(""https://docs.google.com/spreadsheets/d/1kGrh75X1cNR1D7_FcY9zMnHP8iPO4M5RCRjy6nZY0TY/edit#gid=1248694442"",""Subgroup 3: Mi ~ Tx!B3:B17""), $A29=IMPORTRANGE(""https://docs.google.com/spreadsheets/d/1kGrh75X1cNR1D7_FcY9zMnHP8iPO4M5"&amp;"RCRjy6nZY0TY/edit#gid=1248694442"",""Subgroup 3: Mi ~ Tx!A3:A17"")),"""")"),"")</f>
        <v/>
      </c>
      <c r="T29" s="20">
        <f>IFERROR(__xludf.DUMMYFUNCTION("IFNA(FILTER(IMPORTRANGE(""https://docs.google.com/spreadsheets/d/1kGrh75X1cNR1D7_FcY9zMnHP8iPO4M5RCRjy6nZY0TY/edit#gid=1248694442"",""Subgroup 3: Mi ~ Tx!C3:C17""), $A29=IMPORTRANGE(""https://docs.google.com/spreadsheets/d/1kGrh75X1cNR1D7_FcY9zMnHP8iPO4M5"&amp;"RCRjy6nZY0TY/edit#gid=1248694442"",""Subgroup 3: Mi ~ Tx!A3:A17"")),"""")"),0.0)</f>
        <v>0</v>
      </c>
      <c r="U29" s="20" t="str">
        <f>IFERROR(__xludf.DUMMYFUNCTION("IFNA(FILTER(IMPORTRANGE(""https://docs.google.com/spreadsheets/d/1kGrh75X1cNR1D7_FcY9zMnHP8iPO4M5RCRjy6nZY0TY/edit#gid=1248694442"",""Subgroup 3: Mi ~ Tx!D3:D17""), $A29=IMPORTRANGE(""https://docs.google.com/spreadsheets/d/1kGrh75X1cNR1D7_FcY9zMnHP8iPO4M5"&amp;"RCRjy6nZY0TY/edit#gid=1248694442"",""Subgroup 3: Mi ~ Tx!A3:A17"")),"""")"),"")</f>
        <v/>
      </c>
      <c r="V29" s="20" t="str">
        <f>IFERROR(__xludf.DUMMYFUNCTION("IFNA(FILTER(IMPORTRANGE(""https://docs.google.com/spreadsheets/d/1kGrh75X1cNR1D7_FcY9zMnHP8iPO4M5RCRjy6nZY0TY/edit#gid=1248694442"",""Subgroup 3: Mi ~ Tx!E3:E17""), $A29=IMPORTRANGE(""https://docs.google.com/spreadsheets/d/1kGrh75X1cNR1D7_FcY9zMnHP8iPO4M5"&amp;"RCRjy6nZY0TY/edit#gid=1248694442"",""Subgroup 3: Mi ~ Tx!A3:A17"")),"""")"),"")</f>
        <v/>
      </c>
      <c r="W29" s="20" t="str">
        <f>IFERROR(__xludf.DUMMYFUNCTION("IFNA(FILTER(IMPORTRANGE(""https://docs.google.com/spreadsheets/d/1kGrh75X1cNR1D7_FcY9zMnHP8iPO4M5RCRjy6nZY0TY/edit#gid=1248694442"",""Subgroup 3: Mi ~ Tx!F3:F17""), $A29=IMPORTRANGE(""https://docs.google.com/spreadsheets/d/1kGrh75X1cNR1D7_FcY9zMnHP8iPO4M5"&amp;"RCRjy6nZY0TY/edit#gid=1248694442"",""Subgroup 3: Mi ~ Tx!A3:A17"")),"""")"),"")</f>
        <v/>
      </c>
      <c r="X29" s="19">
        <f>IFERROR(__xludf.DUMMYFUNCTION("IFNA(FILTER(IMPORTRANGE(""https://docs.google.com/spreadsheets/d/1kGrh75X1cNR1D7_FcY9zMnHP8iPO4M5RCRjy6nZY0TY/edit#gid=1248694442"",""Table 3: 1st-line HC!AK5:AK111""), $A29=IMPORTRANGE(""https://docs.google.com/spreadsheets/d/1kGrh75X1cNR1D7_FcY9zMnHP8iP"&amp;"O4M5RCRjy6nZY0TY/edit#gid=1248694442"",""Table 3: 1st-line HC!A5:A111"")),"""")"),0.0)</f>
        <v>0</v>
      </c>
      <c r="Y29" s="20" t="str">
        <f>IFERROR(__xludf.DUMMYFUNCTION("IFNA(FILTER(IMPORTRANGE(""https://docs.google.com/spreadsheets/d/1kGrh75X1cNR1D7_FcY9zMnHP8iPO4M5RCRjy6nZY0TY/edit#gid=1248694442"",""Subgroup 4: Mp ~ Tx!B3:B20""), $A29=IMPORTRANGE(""https://docs.google.com/spreadsheets/d/1kGrh75X1cNR1D7_FcY9zMnHP8iPO4M5"&amp;"RCRjy6nZY0TY/edit#gid=1248694442"",""Subgroup 4: Mp ~ Tx!A3:A20"")),"""")"),"")</f>
        <v/>
      </c>
      <c r="Z29" s="20">
        <f>IFERROR(__xludf.DUMMYFUNCTION("IFNA(FILTER(IMPORTRANGE(""https://docs.google.com/spreadsheets/d/1kGrh75X1cNR1D7_FcY9zMnHP8iPO4M5RCRjy6nZY0TY/edit#gid=1248694442"",""Subgroup 4: Mp ~ Tx!C3:C20""), $A29=IMPORTRANGE(""https://docs.google.com/spreadsheets/d/1kGrh75X1cNR1D7_FcY9zMnHP8iPO4M5"&amp;"RCRjy6nZY0TY/edit#gid=1248694442"",""Subgroup 4: Mp ~ Tx!A3:A20"")),"""")"),0.0)</f>
        <v>0</v>
      </c>
      <c r="AA29" s="20" t="str">
        <f>IFERROR(__xludf.DUMMYFUNCTION("IFNA(FILTER(IMPORTRANGE(""https://docs.google.com/spreadsheets/d/1kGrh75X1cNR1D7_FcY9zMnHP8iPO4M5RCRjy6nZY0TY/edit#gid=1248694442"",""Subgroup 4: Mp ~ Tx!D3:D20""), $A29=IMPORTRANGE(""https://docs.google.com/spreadsheets/d/1kGrh75X1cNR1D7_FcY9zMnHP8iPO4M5"&amp;"RCRjy6nZY0TY/edit#gid=1248694442"",""Subgroup 4: Mp ~ Tx!A3:A20"")),"""")"),"")</f>
        <v/>
      </c>
      <c r="AB29" s="20" t="str">
        <f>IFERROR(__xludf.DUMMYFUNCTION("IFNA(FILTER(IMPORTRANGE(""https://docs.google.com/spreadsheets/d/1kGrh75X1cNR1D7_FcY9zMnHP8iPO4M5RCRjy6nZY0TY/edit#gid=1248694442"",""Subgroup 4: Mp ~ Tx!E3:E20""), $A29=IMPORTRANGE(""https://docs.google.com/spreadsheets/d/1kGrh75X1cNR1D7_FcY9zMnHP8iPO4M5"&amp;"RCRjy6nZY0TY/edit#gid=1248694442"",""Subgroup 4: Mp ~ Tx!A3:A20"")),"""")"),"")</f>
        <v/>
      </c>
      <c r="AC29" s="20" t="str">
        <f>IFERROR(__xludf.DUMMYFUNCTION("IFNA(FILTER(IMPORTRANGE(""https://docs.google.com/spreadsheets/d/1kGrh75X1cNR1D7_FcY9zMnHP8iPO4M5RCRjy6nZY0TY/edit#gid=1248694442"",""Subgroup 4: Mp ~ Tx!F3:F20""), $A29=IMPORTRANGE(""https://docs.google.com/spreadsheets/d/1kGrh75X1cNR1D7_FcY9zMnHP8iPO4M5"&amp;"RCRjy6nZY0TY/edit#gid=1248694442"",""Subgroup 4: Mp ~ Tx!A3:A20"")),"""")"),"")</f>
        <v/>
      </c>
      <c r="AD29" s="22" t="str">
        <f>IFERROR(__xludf.DUMMYFUNCTION("IFNA(FILTER(IMPORTRANGE(""https://docs.google.com/spreadsheets/d/1kGrh75X1cNR1D7_FcY9zMnHP8iPO4M5RCRjy6nZY0TY/edit#gid=1248694442"",""Table 3: 1st-line HC!AL5:AL111""), $A29=IMPORTRANGE(""https://docs.google.com/spreadsheets/d/1kGrh75X1cNR1D7_FcY9zMnHP8iP"&amp;"O4M5RCRjy6nZY0TY/edit#gid=1248694442"",""Table 3: 1st-line HC!A5:A111"")),"""")"),"")</f>
        <v/>
      </c>
      <c r="AE29" s="20" t="str">
        <f>IFERROR(__xludf.DUMMYFUNCTION("IFNA(FILTER(IMPORTRANGE(""https://docs.google.com/spreadsheets/d/1kGrh75X1cNR1D7_FcY9zMnHP8iPO4M5RCRjy6nZY0TY/edit#gid=1248694442"",""Table 3: 1st-line HC!BJ5:BJ111""), $A29=IMPORTRANGE(""https://docs.google.com/spreadsheets/d/1kGrh75X1cNR1D7_FcY9zMnHP8iP"&amp;"O4M5RCRjy6nZY0TY/edit#gid=1248694442"",""Table 3: 1st-line HC!A5:A111"")),"""")"),"")</f>
        <v/>
      </c>
      <c r="AF29" s="20" t="str">
        <f>IFERROR(__xludf.DUMMYFUNCTION("IFNA(FILTER(IMPORTRANGE(""https://docs.google.com/spreadsheets/d/1kGrh75X1cNR1D7_FcY9zMnHP8iPO4M5RCRjy6nZY0TY/edit#gid=1248694442"",""Subgroup 2: Cr ~ Tx!B3:B23""), $A29=IMPORTRANGE(""https://docs.google.com/spreadsheets/d/1kGrh75X1cNR1D7_FcY9zMnHP8iPO4M5"&amp;"RCRjy6nZY0TY/edit#gid=1248694442"",""Subgroup 2: Cr ~ Tx!A3:A23"")),"""")"),"")</f>
        <v/>
      </c>
      <c r="AG29" s="20" t="str">
        <f>IFERROR(__xludf.DUMMYFUNCTION("IFNA(FILTER(IMPORTRANGE(""https://docs.google.com/spreadsheets/d/1kGrh75X1cNR1D7_FcY9zMnHP8iPO4M5RCRjy6nZY0TY/edit#gid=1248694442"",""Subgroup 2: Cr ~ Tx!C3:C23""), $A29=IMPORTRANGE(""https://docs.google.com/spreadsheets/d/1kGrh75X1cNR1D7_FcY9zMnHP8iPO4M5"&amp;"RCRjy6nZY0TY/edit#gid=1248694442"",""Subgroup 2: Cr ~ Tx!A3:A23"")),"""")"),"")</f>
        <v/>
      </c>
      <c r="AH29" s="20" t="str">
        <f>IFERROR(__xludf.DUMMYFUNCTION("IFNA(FILTER(IMPORTRANGE(""https://docs.google.com/spreadsheets/d/1kGrh75X1cNR1D7_FcY9zMnHP8iPO4M5RCRjy6nZY0TY/edit#gid=1248694442"",""Subgroup 2: Cr ~ Tx!D3:D23""), $A29=IMPORTRANGE(""https://docs.google.com/spreadsheets/d/1kGrh75X1cNR1D7_FcY9zMnHP8iPO4M5"&amp;"RCRjy6nZY0TY/edit#gid=1248694442"",""Subgroup 2: Cr ~ Tx!A3:A23"")),"""")"),"")</f>
        <v/>
      </c>
      <c r="AI29" s="20" t="str">
        <f>IFERROR(__xludf.DUMMYFUNCTION("IFNA(FILTER(IMPORTRANGE(""https://docs.google.com/spreadsheets/d/1kGrh75X1cNR1D7_FcY9zMnHP8iPO4M5RCRjy6nZY0TY/edit#gid=1248694442"",""Subgroup 2: Cr ~ Tx!E3:E23""), $A29=IMPORTRANGE(""https://docs.google.com/spreadsheets/d/1kGrh75X1cNR1D7_FcY9zMnHP8iPO4M5"&amp;"RCRjy6nZY0TY/edit#gid=1248694442"",""Subgroup 2: Cr ~ Tx!A3:A23"")),"""")"),"")</f>
        <v/>
      </c>
      <c r="AJ29" s="20" t="str">
        <f>IFERROR(__xludf.DUMMYFUNCTION("IFNA(FILTER(IMPORTRANGE(""https://docs.google.com/spreadsheets/d/1kGrh75X1cNR1D7_FcY9zMnHP8iPO4M5RCRjy6nZY0TY/edit#gid=1248694442"",""Subgroup 2: Cr ~ Tx!F3:F23""), $A29=IMPORTRANGE(""https://docs.google.com/spreadsheets/d/1kGrh75X1cNR1D7_FcY9zMnHP8iPO4M5"&amp;"RCRjy6nZY0TY/edit#gid=1248694442"",""Subgroup 2: Cr ~ Tx!A3:A23"")),"""")"),"")</f>
        <v/>
      </c>
      <c r="AK29" s="14" t="str">
        <f>IFERROR(__xludf.DUMMYFUNCTION("IFNA(FILTER(IMPORTRANGE(""https://docs.google.com/spreadsheets/d/1kGrh75X1cNR1D7_FcY9zMnHP8iPO4M5RCRjy6nZY0TY/edit#gid=1248694442"",""Table 4: 2nd-line HC or more!M5:M85""), $A29=IMPORTRANGE(""https://docs.google.com/spreadsheets/d/1kGrh75X1cNR1D7_FcY9zMn"&amp;"HP8iPO4M5RCRjy6nZY0TY/edit#gid=1248694442"",""Table 4: 2nd-line HC or more!A5:A85"")),"""")"),"")</f>
        <v/>
      </c>
      <c r="AL29" s="14" t="str">
        <f>IFERROR(__xludf.DUMMYFUNCTION("IFNA(FILTER(IMPORTRANGE(""https://docs.google.com/spreadsheets/d/1kGrh75X1cNR1D7_FcY9zMnHP8iPO4M5RCRjy6nZY0TY/edit#gid=1248694442"",""Table 4: 2nd-line HC or more!N5:N85""), $A29=IMPORTRANGE(""https://docs.google.com/spreadsheets/d/1kGrh75X1cNR1D7_FcY9zMn"&amp;"HP8iPO4M5RCRjy6nZY0TY/edit#gid=1248694442"",""Table 4: 2nd-line HC or more!A5:A85"")),"""")"),"")</f>
        <v/>
      </c>
      <c r="AM29" s="14" t="str">
        <f>IFERROR(__xludf.DUMMYFUNCTION("IFNA(FILTER(IMPORTRANGE(""https://docs.google.com/spreadsheets/d/1kGrh75X1cNR1D7_FcY9zMnHP8iPO4M5RCRjy6nZY0TY/edit#gid=1248694442"",""Table 4: 2nd-line HC or more!O5:O85""), $A29=IMPORTRANGE(""https://docs.google.com/spreadsheets/d/1kGrh75X1cNR1D7_FcY9zMn"&amp;"HP8iPO4M5RCRjy6nZY0TY/edit#gid=1248694442"",""Table 4: 2nd-line HC or more!A5:A85"")),"""")"),"")</f>
        <v/>
      </c>
      <c r="AN29" s="14" t="str">
        <f>IFERROR(__xludf.DUMMYFUNCTION("IFNA(FILTER(IMPORTRANGE(""https://docs.google.com/spreadsheets/d/1kGrh75X1cNR1D7_FcY9zMnHP8iPO4M5RCRjy6nZY0TY/edit#gid=1248694442"",""Table 3: 1st-line HC!AP5:AP111""), $A29=IMPORTRANGE(""https://docs.google.com/spreadsheets/d/1kGrh75X1cNR1D7_FcY9zMnHP8iP"&amp;"O4M5RCRjy6nZY0TY/edit#gid=1248694442"",""Table 3: 1st-line HC!A5:A111"")),"""")"),"")</f>
        <v/>
      </c>
      <c r="AO29" s="14" t="str">
        <f>IFERROR(__xludf.DUMMYFUNCTION("IFNA(FILTER(IMPORTRANGE(""https://docs.google.com/spreadsheets/d/1kGrh75X1cNR1D7_FcY9zMnHP8iPO4M5RCRjy6nZY0TY/edit#gid=1248694442"",""Table 3: 1st-line HC!AO5:AO111""), $A29=IMPORTRANGE(""https://docs.google.com/spreadsheets/d/1kGrh75X1cNR1D7_FcY9zMnHP8iP"&amp;"O4M5RCRjy6nZY0TY/edit#gid=1248694442"",""Table 3: 1st-line HC!A5:A111"")),"""")"),"")</f>
        <v/>
      </c>
      <c r="AP29" s="14" t="str">
        <f>IFERROR(__xludf.DUMMYFUNCTION("IFNA(FILTER(IMPORTRANGE(""https://docs.google.com/spreadsheets/d/1kGrh75X1cNR1D7_FcY9zMnHP8iPO4M5RCRjy6nZY0TY/edit#gid=1248694442"",""Table 3: 1st-line HC!AQ5:AQ111""), $A29=IMPORTRANGE(""https://docs.google.com/spreadsheets/d/1kGrh75X1cNR1D7_FcY9zMnHP8iP"&amp;"O4M5RCRjy6nZY0TY/edit#gid=1248694442"",""Table 3: 1st-line HC!A5:A111"")),"""")"),"")</f>
        <v/>
      </c>
      <c r="AQ29" s="14" t="str">
        <f>IFERROR(__xludf.DUMMYFUNCTION("IFNA(FILTER(IMPORTRANGE(""https://docs.google.com/spreadsheets/d/1kGrh75X1cNR1D7_FcY9zMnHP8iPO4M5RCRjy6nZY0TY/edit#gid=1248694442"",""Table 2: MMC!T5:T114""), $A29=IMPORTRANGE(""https://docs.google.com/spreadsheets/d/1kGrh75X1cNR1D7_FcY9zMnHP8iPO4M5RCRjy6"&amp;"nZY0TY/edit#gid=1248694442"",""Table 2: MMC!A5:A114"")),"""")"),"")</f>
        <v/>
      </c>
      <c r="AR29" s="14" t="str">
        <f>IFERROR(__xludf.DUMMYFUNCTION("IFNA(FILTER(IMPORTRANGE(""https://docs.google.com/spreadsheets/d/1kGrh75X1cNR1D7_FcY9zMnHP8iPO4M5RCRjy6nZY0TY/edit#gid=1248694442"",""Table 2: MMC!U5:U114""), $A29=IMPORTRANGE(""https://docs.google.com/spreadsheets/d/1kGrh75X1cNR1D7_FcY9zMnHP8iPO4M5RCRjy6"&amp;"nZY0TY/edit#gid=1248694442"",""Table 2: MMC!A5:A114"")),"""")"),"")</f>
        <v/>
      </c>
      <c r="AS29" s="14" t="str">
        <f>IFERROR(__xludf.DUMMYFUNCTION("IFNA(FILTER(IMPORTRANGE(""https://docs.google.com/spreadsheets/d/1kGrh75X1cNR1D7_FcY9zMnHP8iPO4M5RCRjy6nZY0TY/edit#gid=1248694442"",""Table 2: MMC!V5:V114""), $A29=IMPORTRANGE(""https://docs.google.com/spreadsheets/d/1kGrh75X1cNR1D7_FcY9zMnHP8iPO4M5RCRjy6"&amp;"nZY0TY/edit#gid=1248694442"",""Table 2: MMC!A5:A114"")),"""")"),"")</f>
        <v/>
      </c>
      <c r="AT29" s="4" t="str">
        <f>IFERROR(__xludf.DUMMYFUNCTION("IFNA(FILTER(IMPORTRANGE(""https://docs.google.com/spreadsheets/d/1kGrh75X1cNR1D7_FcY9zMnHP8iPO4M5RCRjy6nZY0TY/edit#gid=1248694442"",""Table 2: MMC!W5:W114""), $A29=IMPORTRANGE(""https://docs.google.com/spreadsheets/d/1kGrh75X1cNR1D7_FcY9zMnHP8iPO4M5RCRjy6"&amp;"nZY0TY/edit#gid=1248694442"",""Table 2: MMC!A5:A114"")),"""")"),"")</f>
        <v/>
      </c>
    </row>
    <row r="30">
      <c r="A30" s="4" t="str">
        <f>IFERROR(__xludf.DUMMYFUNCTION("""COMPUTED_VALUE"""),"ID 51")</f>
        <v>ID 51</v>
      </c>
      <c r="B30" s="20">
        <f>IFERROR(__xludf.DUMMYFUNCTION("IFNA(FILTER(IMPORTRANGE(""https://docs.google.com/spreadsheets/d/1kGrh75X1cNR1D7_FcY9zMnHP8iPO4M5RCRjy6nZY0TY/edit#gid=1248694442"",""Table 3: 1st-line HC!BK5:BK111""), $A30=IMPORTRANGE(""https://docs.google.com/spreadsheets/d/1kGrh75X1cNR1D7_FcY9zMnHP8iP"&amp;"O4M5RCRjy6nZY0TY/edit#gid=1248694442"",""Table 3: 1st-line HC!A5:A111"")),"""")"),0.31)</f>
        <v>0.31</v>
      </c>
      <c r="C30" s="20" t="str">
        <f>IFERROR(__xludf.DUMMYFUNCTION("IFNA(FILTER(IMPORTRANGE(""https://docs.google.com/spreadsheets/d/1kGrh75X1cNR1D7_FcY9zMnHP8iPO4M5RCRjy6nZY0TY/edit#gid=1248694442"",""Subgroup 1: Fr ~ Tx!B3:B20""), $A30=IMPORTRANGE(""https://docs.google.com/spreadsheets/d/1kGrh75X1cNR1D7_FcY9zMnHP8iPO4M5"&amp;"RCRjy6nZY0TY/edit#gid=1248694442"",""Subgroup 1: Fr ~ Tx!A3:A20"")),"""")"),"")</f>
        <v/>
      </c>
      <c r="D30" s="20">
        <f>IFERROR(__xludf.DUMMYFUNCTION("IFNA(FILTER(IMPORTRANGE(""https://docs.google.com/spreadsheets/d/1kGrh75X1cNR1D7_FcY9zMnHP8iPO4M5RCRjy6nZY0TY/edit#gid=1248694442"",""Subgroup 1: Fr ~ Tx!C3:C20""), $A30=IMPORTRANGE(""https://docs.google.com/spreadsheets/d/1kGrh75X1cNR1D7_FcY9zMnHP8iPO4M5"&amp;"RCRjy6nZY0TY/edit#gid=1248694442"",""Subgroup 1: Fr ~ Tx!A3:A20"")),"""")"),0.3103448275862069)</f>
        <v>0.3103448276</v>
      </c>
      <c r="E30" s="20" t="str">
        <f>IFERROR(__xludf.DUMMYFUNCTION("IFNA(FILTER(IMPORTRANGE(""https://docs.google.com/spreadsheets/d/1kGrh75X1cNR1D7_FcY9zMnHP8iPO4M5RCRjy6nZY0TY/edit#gid=1248694442"",""Subgroup 1: Fr ~ Tx!D3:D20""), $A30=IMPORTRANGE(""https://docs.google.com/spreadsheets/d/1kGrh75X1cNR1D7_FcY9zMnHP8iPO4M5"&amp;"RCRjy6nZY0TY/edit#gid=1248694442"",""Subgroup 1: Fr ~ Tx!A3:A20"")),"""")"),"")</f>
        <v/>
      </c>
      <c r="F30" s="20" t="str">
        <f>IFERROR(__xludf.DUMMYFUNCTION("IFNA(FILTER(IMPORTRANGE(""https://docs.google.com/spreadsheets/d/1kGrh75X1cNR1D7_FcY9zMnHP8iPO4M5RCRjy6nZY0TY/edit#gid=1248694442"",""Subgroup 1: Fr ~ Tx!E3:E20""), $A30=IMPORTRANGE(""https://docs.google.com/spreadsheets/d/1kGrh75X1cNR1D7_FcY9zMnHP8iPO4M5"&amp;"RCRjy6nZY0TY/edit#gid=1248694442"",""Subgroup 1: Fr ~ Tx!A3:A20"")),"""")"),"")</f>
        <v/>
      </c>
      <c r="G30" s="20" t="str">
        <f>IFERROR(__xludf.DUMMYFUNCTION("IFNA(FILTER(IMPORTRANGE(""https://docs.google.com/spreadsheets/d/1kGrh75X1cNR1D7_FcY9zMnHP8iPO4M5RCRjy6nZY0TY/edit#gid=1248694442"",""Subgroup 1: Fr ~ Tx!F3:F20""), $A30=IMPORTRANGE(""https://docs.google.com/spreadsheets/d/1kGrh75X1cNR1D7_FcY9zMnHP8iPO4M5"&amp;"RCRjy6nZY0TY/edit#gid=1248694442"",""Subgroup 1: Fr ~ Tx!A3:A20"")),"""")"),"")</f>
        <v/>
      </c>
      <c r="H30" s="20" t="str">
        <f>IFERROR(__xludf.DUMMYFUNCTION("IFNA(FILTER(IMPORTRANGE(""https://docs.google.com/spreadsheets/d/1kGrh75X1cNR1D7_FcY9zMnHP8iPO4M5RCRjy6nZY0TY/edit#gid=1248694442"",""Table 3: 1st-line HC!BD5:BD111""), $A30=IMPORTRANGE(""https://docs.google.com/spreadsheets/d/1kGrh75X1cNR1D7_FcY9zMnHP8iP"&amp;"O4M5RCRjy6nZY0TY/edit#gid=1248694442"",""Table 3: 1st-line HC!A5:A111"")),"""")"),"")</f>
        <v/>
      </c>
      <c r="I30" s="20" t="str">
        <f>IFERROR(__xludf.DUMMYFUNCTION("IFNA(FILTER(IMPORTRANGE(""https://docs.google.com/spreadsheets/d/1kGrh75X1cNR1D7_FcY9zMnHP8iPO4M5RCRjy6nZY0TY/edit#gid=1248694442"",""Subgroup 5: Tf ~ Tx!B3:B8""), $A30=IMPORTRANGE(""https://docs.google.com/spreadsheets/d/1kGrh75X1cNR1D7_FcY9zMnHP8iPO4M5R"&amp;"CRjy6nZY0TY/edit#gid=1248694442"",""Subgroup 5: Tf ~ Tx!A3:A8"")),"""")"),"")</f>
        <v/>
      </c>
      <c r="J30" s="20" t="str">
        <f>IFERROR(__xludf.DUMMYFUNCTION("IFNA(FILTER(IMPORTRANGE(""https://docs.google.com/spreadsheets/d/1kGrh75X1cNR1D7_FcY9zMnHP8iPO4M5RCRjy6nZY0TY/edit#gid=1248694442"",""Subgroup 5: Tf ~ Tx!C3:C8""), $A30=IMPORTRANGE(""https://docs.google.com/spreadsheets/d/1kGrh75X1cNR1D7_FcY9zMnHP8iPO4M5R"&amp;"CRjy6nZY0TY/edit#gid=1248694442"",""Subgroup 5: Tf ~ Tx!A3:A8"")),"""")"),"")</f>
        <v/>
      </c>
      <c r="K30" s="20" t="str">
        <f>IFERROR(__xludf.DUMMYFUNCTION("IFNA(FILTER(IMPORTRANGE(""https://docs.google.com/spreadsheets/d/1kGrh75X1cNR1D7_FcY9zMnHP8iPO4M5RCRjy6nZY0TY/edit#gid=1248694442"",""Subgroup 5: Tf ~ Tx!D3:D8""), $A30=IMPORTRANGE(""https://docs.google.com/spreadsheets/d/1kGrh75X1cNR1D7_FcY9zMnHP8iPO4M5R"&amp;"CRjy6nZY0TY/edit#gid=1248694442"",""Subgroup 5: Tf ~ Tx!A3:A8"")),"""")"),"")</f>
        <v/>
      </c>
      <c r="L30" s="20" t="str">
        <f>IFERROR(__xludf.DUMMYFUNCTION("IFNA(FILTER(IMPORTRANGE(""https://docs.google.com/spreadsheets/d/1kGrh75X1cNR1D7_FcY9zMnHP8iPO4M5RCRjy6nZY0TY/edit#gid=1248694442"",""Subgroup 5: Tf ~ Tx!E3:E8""), $A30=IMPORTRANGE(""https://docs.google.com/spreadsheets/d/1kGrh75X1cNR1D7_FcY9zMnHP8iPO4M5R"&amp;"CRjy6nZY0TY/edit#gid=1248694442"",""Subgroup 5: Tf ~ Tx!A3:A8"")),"""")"),"")</f>
        <v/>
      </c>
      <c r="M30" s="20" t="str">
        <f>IFERROR(__xludf.DUMMYFUNCTION("IFNA(FILTER(IMPORTRANGE(""https://docs.google.com/spreadsheets/d/1kGrh75X1cNR1D7_FcY9zMnHP8iPO4M5RCRjy6nZY0TY/edit#gid=1248694442"",""Subgroup 5: Tf ~ Tx!F3:F8""), $A30=IMPORTRANGE(""https://docs.google.com/spreadsheets/d/1kGrh75X1cNR1D7_FcY9zMnHP8iPO4M5R"&amp;"CRjy6nZY0TY/edit#gid=1248694442"",""Subgroup 5: Tf ~ Tx!A3:A8"")),"""")"),"")</f>
        <v/>
      </c>
      <c r="N30" s="20" t="str">
        <f>IFERROR(__xludf.DUMMYFUNCTION("IFNA(FILTER(IMPORTRANGE(""https://docs.google.com/spreadsheets/d/1kGrh75X1cNR1D7_FcY9zMnHP8iPO4M5RCRjy6nZY0TY/edit#gid=1248694442"",""Table 3: 1st-line HC!BE5:BE111""), $A30=IMPORTRANGE(""https://docs.google.com/spreadsheets/d/1kGrh75X1cNR1D7_FcY9zMnHP8iP"&amp;"O4M5RCRjy6nZY0TY/edit#gid=1248694442"",""Table 3: 1st-line HC!A5:A111"")),"""")"),"")</f>
        <v/>
      </c>
      <c r="O30" s="20" t="str">
        <f>IFERROR(__xludf.DUMMYFUNCTION("IFNA(FILTER(IMPORTRANGE(""https://docs.google.com/spreadsheets/d/1kGrh75X1cNR1D7_FcY9zMnHP8iPO4M5RCRjy6nZY0TY/edit#gid=1248694442"",""Table 3: 1st-line HC!BF5:BF111""), $A30=IMPORTRANGE(""https://docs.google.com/spreadsheets/d/1kGrh75X1cNR1D7_FcY9zMnHP8iP"&amp;"O4M5RCRjy6nZY0TY/edit#gid=1248694442"",""Table 3: 1st-line HC!A5:A111"")),"""")"),"")</f>
        <v/>
      </c>
      <c r="P30" s="20" t="str">
        <f>IFERROR(__xludf.DUMMYFUNCTION("IFNA(FILTER(IMPORTRANGE(""https://docs.google.com/spreadsheets/d/1kGrh75X1cNR1D7_FcY9zMnHP8iPO4M5RCRjy6nZY0TY/edit#gid=1248694442"",""Table 3: 1st-line HC!BG5:BG111""), $A30=IMPORTRANGE(""https://docs.google.com/spreadsheets/d/1kGrh75X1cNR1D7_FcY9zMnHP8iP"&amp;"O4M5RCRjy6nZY0TY/edit#gid=1248694442"",""Table 3: 1st-line HC!A5:A111"")),"""")"),"")</f>
        <v/>
      </c>
      <c r="Q30" s="21" t="str">
        <f>IFERROR(__xludf.DUMMYFUNCTION("IFNA(FILTER(IMPORTRANGE(""https://docs.google.com/spreadsheets/d/1kGrh75X1cNR1D7_FcY9zMnHP8iPO4M5RCRjy6nZY0TY/edit#gid=1248694442"",""Table 3: 1st-line HC!BH5:BH111""), $A30=IMPORTRANGE(""https://docs.google.com/spreadsheets/d/1kGrh75X1cNR1D7_FcY9zMnHP8iP"&amp;"O4M5RCRjy6nZY0TY/edit#gid=1248694442"",""Table 3: 1st-line HC!A5:A111"")),"""")"),"")</f>
        <v/>
      </c>
      <c r="R30" s="19" t="str">
        <f>IFERROR(__xludf.DUMMYFUNCTION("IFNA(FILTER(IMPORTRANGE(""https://docs.google.com/spreadsheets/d/1kGrh75X1cNR1D7_FcY9zMnHP8iPO4M5RCRjy6nZY0TY/edit#gid=1248694442"",""Table 3: 1st-line HC!AJ5:AJ111""), $A30=IMPORTRANGE(""https://docs.google.com/spreadsheets/d/1kGrh75X1cNR1D7_FcY9zMnHP8iP"&amp;"O4M5RCRjy6nZY0TY/edit#gid=1248694442"",""Table 3: 1st-line HC!A5:A111"")),"""")"),"")</f>
        <v/>
      </c>
      <c r="S30" s="20" t="str">
        <f>IFERROR(__xludf.DUMMYFUNCTION("IFNA(FILTER(IMPORTRANGE(""https://docs.google.com/spreadsheets/d/1kGrh75X1cNR1D7_FcY9zMnHP8iPO4M5RCRjy6nZY0TY/edit#gid=1248694442"",""Subgroup 3: Mi ~ Tx!B3:B17""), $A30=IMPORTRANGE(""https://docs.google.com/spreadsheets/d/1kGrh75X1cNR1D7_FcY9zMnHP8iPO4M5"&amp;"RCRjy6nZY0TY/edit#gid=1248694442"",""Subgroup 3: Mi ~ Tx!A3:A17"")),"""")"),"")</f>
        <v/>
      </c>
      <c r="T30" s="20" t="str">
        <f>IFERROR(__xludf.DUMMYFUNCTION("IFNA(FILTER(IMPORTRANGE(""https://docs.google.com/spreadsheets/d/1kGrh75X1cNR1D7_FcY9zMnHP8iPO4M5RCRjy6nZY0TY/edit#gid=1248694442"",""Subgroup 3: Mi ~ Tx!C3:C17""), $A30=IMPORTRANGE(""https://docs.google.com/spreadsheets/d/1kGrh75X1cNR1D7_FcY9zMnHP8iPO4M5"&amp;"RCRjy6nZY0TY/edit#gid=1248694442"",""Subgroup 3: Mi ~ Tx!A3:A17"")),"""")"),"")</f>
        <v/>
      </c>
      <c r="U30" s="20" t="str">
        <f>IFERROR(__xludf.DUMMYFUNCTION("IFNA(FILTER(IMPORTRANGE(""https://docs.google.com/spreadsheets/d/1kGrh75X1cNR1D7_FcY9zMnHP8iPO4M5RCRjy6nZY0TY/edit#gid=1248694442"",""Subgroup 3: Mi ~ Tx!D3:D17""), $A30=IMPORTRANGE(""https://docs.google.com/spreadsheets/d/1kGrh75X1cNR1D7_FcY9zMnHP8iPO4M5"&amp;"RCRjy6nZY0TY/edit#gid=1248694442"",""Subgroup 3: Mi ~ Tx!A3:A17"")),"""")"),"")</f>
        <v/>
      </c>
      <c r="V30" s="20" t="str">
        <f>IFERROR(__xludf.DUMMYFUNCTION("IFNA(FILTER(IMPORTRANGE(""https://docs.google.com/spreadsheets/d/1kGrh75X1cNR1D7_FcY9zMnHP8iPO4M5RCRjy6nZY0TY/edit#gid=1248694442"",""Subgroup 3: Mi ~ Tx!E3:E17""), $A30=IMPORTRANGE(""https://docs.google.com/spreadsheets/d/1kGrh75X1cNR1D7_FcY9zMnHP8iPO4M5"&amp;"RCRjy6nZY0TY/edit#gid=1248694442"",""Subgroup 3: Mi ~ Tx!A3:A17"")),"""")"),"")</f>
        <v/>
      </c>
      <c r="W30" s="20" t="str">
        <f>IFERROR(__xludf.DUMMYFUNCTION("IFNA(FILTER(IMPORTRANGE(""https://docs.google.com/spreadsheets/d/1kGrh75X1cNR1D7_FcY9zMnHP8iPO4M5RCRjy6nZY0TY/edit#gid=1248694442"",""Subgroup 3: Mi ~ Tx!F3:F17""), $A30=IMPORTRANGE(""https://docs.google.com/spreadsheets/d/1kGrh75X1cNR1D7_FcY9zMnHP8iPO4M5"&amp;"RCRjy6nZY0TY/edit#gid=1248694442"",""Subgroup 3: Mi ~ Tx!A3:A17"")),"""")"),"")</f>
        <v/>
      </c>
      <c r="X30" s="19" t="str">
        <f>IFERROR(__xludf.DUMMYFUNCTION("IFNA(FILTER(IMPORTRANGE(""https://docs.google.com/spreadsheets/d/1kGrh75X1cNR1D7_FcY9zMnHP8iPO4M5RCRjy6nZY0TY/edit#gid=1248694442"",""Table 3: 1st-line HC!AK5:AK111""), $A30=IMPORTRANGE(""https://docs.google.com/spreadsheets/d/1kGrh75X1cNR1D7_FcY9zMnHP8iP"&amp;"O4M5RCRjy6nZY0TY/edit#gid=1248694442"",""Table 3: 1st-line HC!A5:A111"")),"""")"),"")</f>
        <v/>
      </c>
      <c r="Y30" s="20" t="str">
        <f>IFERROR(__xludf.DUMMYFUNCTION("IFNA(FILTER(IMPORTRANGE(""https://docs.google.com/spreadsheets/d/1kGrh75X1cNR1D7_FcY9zMnHP8iPO4M5RCRjy6nZY0TY/edit#gid=1248694442"",""Subgroup 4: Mp ~ Tx!B3:B20""), $A30=IMPORTRANGE(""https://docs.google.com/spreadsheets/d/1kGrh75X1cNR1D7_FcY9zMnHP8iPO4M5"&amp;"RCRjy6nZY0TY/edit#gid=1248694442"",""Subgroup 4: Mp ~ Tx!A3:A20"")),"""")"),"")</f>
        <v/>
      </c>
      <c r="Z30" s="20" t="str">
        <f>IFERROR(__xludf.DUMMYFUNCTION("IFNA(FILTER(IMPORTRANGE(""https://docs.google.com/spreadsheets/d/1kGrh75X1cNR1D7_FcY9zMnHP8iPO4M5RCRjy6nZY0TY/edit#gid=1248694442"",""Subgroup 4: Mp ~ Tx!C3:C20""), $A30=IMPORTRANGE(""https://docs.google.com/spreadsheets/d/1kGrh75X1cNR1D7_FcY9zMnHP8iPO4M5"&amp;"RCRjy6nZY0TY/edit#gid=1248694442"",""Subgroup 4: Mp ~ Tx!A3:A20"")),"""")"),"")</f>
        <v/>
      </c>
      <c r="AA30" s="20" t="str">
        <f>IFERROR(__xludf.DUMMYFUNCTION("IFNA(FILTER(IMPORTRANGE(""https://docs.google.com/spreadsheets/d/1kGrh75X1cNR1D7_FcY9zMnHP8iPO4M5RCRjy6nZY0TY/edit#gid=1248694442"",""Subgroup 4: Mp ~ Tx!D3:D20""), $A30=IMPORTRANGE(""https://docs.google.com/spreadsheets/d/1kGrh75X1cNR1D7_FcY9zMnHP8iPO4M5"&amp;"RCRjy6nZY0TY/edit#gid=1248694442"",""Subgroup 4: Mp ~ Tx!A3:A20"")),"""")"),"")</f>
        <v/>
      </c>
      <c r="AB30" s="20" t="str">
        <f>IFERROR(__xludf.DUMMYFUNCTION("IFNA(FILTER(IMPORTRANGE(""https://docs.google.com/spreadsheets/d/1kGrh75X1cNR1D7_FcY9zMnHP8iPO4M5RCRjy6nZY0TY/edit#gid=1248694442"",""Subgroup 4: Mp ~ Tx!E3:E20""), $A30=IMPORTRANGE(""https://docs.google.com/spreadsheets/d/1kGrh75X1cNR1D7_FcY9zMnHP8iPO4M5"&amp;"RCRjy6nZY0TY/edit#gid=1248694442"",""Subgroup 4: Mp ~ Tx!A3:A20"")),"""")"),"")</f>
        <v/>
      </c>
      <c r="AC30" s="20" t="str">
        <f>IFERROR(__xludf.DUMMYFUNCTION("IFNA(FILTER(IMPORTRANGE(""https://docs.google.com/spreadsheets/d/1kGrh75X1cNR1D7_FcY9zMnHP8iPO4M5RCRjy6nZY0TY/edit#gid=1248694442"",""Subgroup 4: Mp ~ Tx!F3:F20""), $A30=IMPORTRANGE(""https://docs.google.com/spreadsheets/d/1kGrh75X1cNR1D7_FcY9zMnHP8iPO4M5"&amp;"RCRjy6nZY0TY/edit#gid=1248694442"",""Subgroup 4: Mp ~ Tx!A3:A20"")),"""")"),"")</f>
        <v/>
      </c>
      <c r="AD30" s="22" t="str">
        <f>IFERROR(__xludf.DUMMYFUNCTION("IFNA(FILTER(IMPORTRANGE(""https://docs.google.com/spreadsheets/d/1kGrh75X1cNR1D7_FcY9zMnHP8iPO4M5RCRjy6nZY0TY/edit#gid=1248694442"",""Table 3: 1st-line HC!AL5:AL111""), $A30=IMPORTRANGE(""https://docs.google.com/spreadsheets/d/1kGrh75X1cNR1D7_FcY9zMnHP8iP"&amp;"O4M5RCRjy6nZY0TY/edit#gid=1248694442"",""Table 3: 1st-line HC!A5:A111"")),"""")"),"")</f>
        <v/>
      </c>
      <c r="AE30" s="20">
        <f>IFERROR(__xludf.DUMMYFUNCTION("IFNA(FILTER(IMPORTRANGE(""https://docs.google.com/spreadsheets/d/1kGrh75X1cNR1D7_FcY9zMnHP8iPO4M5RCRjy6nZY0TY/edit#gid=1248694442"",""Table 3: 1st-line HC!BJ5:BJ111""), $A30=IMPORTRANGE(""https://docs.google.com/spreadsheets/d/1kGrh75X1cNR1D7_FcY9zMnHP8iP"&amp;"O4M5RCRjy6nZY0TY/edit#gid=1248694442"",""Table 3: 1st-line HC!A5:A111"")),"""")"),0.48)</f>
        <v>0.48</v>
      </c>
      <c r="AF30" s="20" t="str">
        <f>IFERROR(__xludf.DUMMYFUNCTION("IFNA(FILTER(IMPORTRANGE(""https://docs.google.com/spreadsheets/d/1kGrh75X1cNR1D7_FcY9zMnHP8iPO4M5RCRjy6nZY0TY/edit#gid=1248694442"",""Subgroup 2: Cr ~ Tx!B3:B23""), $A30=IMPORTRANGE(""https://docs.google.com/spreadsheets/d/1kGrh75X1cNR1D7_FcY9zMnHP8iPO4M5"&amp;"RCRjy6nZY0TY/edit#gid=1248694442"",""Subgroup 2: Cr ~ Tx!A3:A23"")),"""")"),"")</f>
        <v/>
      </c>
      <c r="AG30" s="20">
        <f>IFERROR(__xludf.DUMMYFUNCTION("IFNA(FILTER(IMPORTRANGE(""https://docs.google.com/spreadsheets/d/1kGrh75X1cNR1D7_FcY9zMnHP8iPO4M5RCRjy6nZY0TY/edit#gid=1248694442"",""Subgroup 2: Cr ~ Tx!C3:C23""), $A30=IMPORTRANGE(""https://docs.google.com/spreadsheets/d/1kGrh75X1cNR1D7_FcY9zMnHP8iPO4M5"&amp;"RCRjy6nZY0TY/edit#gid=1248694442"",""Subgroup 2: Cr ~ Tx!A3:A23"")),"""")"),0.3103448275862069)</f>
        <v>0.3103448276</v>
      </c>
      <c r="AH30" s="20" t="str">
        <f>IFERROR(__xludf.DUMMYFUNCTION("IFNA(FILTER(IMPORTRANGE(""https://docs.google.com/spreadsheets/d/1kGrh75X1cNR1D7_FcY9zMnHP8iPO4M5RCRjy6nZY0TY/edit#gid=1248694442"",""Subgroup 2: Cr ~ Tx!D3:D23""), $A30=IMPORTRANGE(""https://docs.google.com/spreadsheets/d/1kGrh75X1cNR1D7_FcY9zMnHP8iPO4M5"&amp;"RCRjy6nZY0TY/edit#gid=1248694442"",""Subgroup 2: Cr ~ Tx!A3:A23"")),"""")"),"")</f>
        <v/>
      </c>
      <c r="AI30" s="20" t="str">
        <f>IFERROR(__xludf.DUMMYFUNCTION("IFNA(FILTER(IMPORTRANGE(""https://docs.google.com/spreadsheets/d/1kGrh75X1cNR1D7_FcY9zMnHP8iPO4M5RCRjy6nZY0TY/edit#gid=1248694442"",""Subgroup 2: Cr ~ Tx!E3:E23""), $A30=IMPORTRANGE(""https://docs.google.com/spreadsheets/d/1kGrh75X1cNR1D7_FcY9zMnHP8iPO4M5"&amp;"RCRjy6nZY0TY/edit#gid=1248694442"",""Subgroup 2: Cr ~ Tx!A3:A23"")),"""")"),"")</f>
        <v/>
      </c>
      <c r="AJ30" s="20" t="str">
        <f>IFERROR(__xludf.DUMMYFUNCTION("IFNA(FILTER(IMPORTRANGE(""https://docs.google.com/spreadsheets/d/1kGrh75X1cNR1D7_FcY9zMnHP8iPO4M5RCRjy6nZY0TY/edit#gid=1248694442"",""Subgroup 2: Cr ~ Tx!F3:F23""), $A30=IMPORTRANGE(""https://docs.google.com/spreadsheets/d/1kGrh75X1cNR1D7_FcY9zMnHP8iPO4M5"&amp;"RCRjy6nZY0TY/edit#gid=1248694442"",""Subgroup 2: Cr ~ Tx!A3:A23"")),"""")"),"")</f>
        <v/>
      </c>
      <c r="AK30" s="14" t="str">
        <f>IFERROR(__xludf.DUMMYFUNCTION("IFNA(FILTER(IMPORTRANGE(""https://docs.google.com/spreadsheets/d/1kGrh75X1cNR1D7_FcY9zMnHP8iPO4M5RCRjy6nZY0TY/edit#gid=1248694442"",""Table 4: 2nd-line HC or more!M5:M85""), $A30=IMPORTRANGE(""https://docs.google.com/spreadsheets/d/1kGrh75X1cNR1D7_FcY9zMn"&amp;"HP8iPO4M5RCRjy6nZY0TY/edit#gid=1248694442"",""Table 4: 2nd-line HC or more!A5:A85"")),"""")"),"")</f>
        <v/>
      </c>
      <c r="AL30" s="14" t="str">
        <f>IFERROR(__xludf.DUMMYFUNCTION("IFNA(FILTER(IMPORTRANGE(""https://docs.google.com/spreadsheets/d/1kGrh75X1cNR1D7_FcY9zMnHP8iPO4M5RCRjy6nZY0TY/edit#gid=1248694442"",""Table 4: 2nd-line HC or more!N5:N85""), $A30=IMPORTRANGE(""https://docs.google.com/spreadsheets/d/1kGrh75X1cNR1D7_FcY9zMn"&amp;"HP8iPO4M5RCRjy6nZY0TY/edit#gid=1248694442"",""Table 4: 2nd-line HC or more!A5:A85"")),"""")"),"")</f>
        <v/>
      </c>
      <c r="AM30" s="14" t="str">
        <f>IFERROR(__xludf.DUMMYFUNCTION("IFNA(FILTER(IMPORTRANGE(""https://docs.google.com/spreadsheets/d/1kGrh75X1cNR1D7_FcY9zMnHP8iPO4M5RCRjy6nZY0TY/edit#gid=1248694442"",""Table 4: 2nd-line HC or more!O5:O85""), $A30=IMPORTRANGE(""https://docs.google.com/spreadsheets/d/1kGrh75X1cNR1D7_FcY9zMn"&amp;"HP8iPO4M5RCRjy6nZY0TY/edit#gid=1248694442"",""Table 4: 2nd-line HC or more!A5:A85"")),"""")"),"")</f>
        <v/>
      </c>
      <c r="AN30" s="14" t="str">
        <f>IFERROR(__xludf.DUMMYFUNCTION("IFNA(FILTER(IMPORTRANGE(""https://docs.google.com/spreadsheets/d/1kGrh75X1cNR1D7_FcY9zMnHP8iPO4M5RCRjy6nZY0TY/edit#gid=1248694442"",""Table 3: 1st-line HC!AP5:AP111""), $A30=IMPORTRANGE(""https://docs.google.com/spreadsheets/d/1kGrh75X1cNR1D7_FcY9zMnHP8iP"&amp;"O4M5RCRjy6nZY0TY/edit#gid=1248694442"",""Table 3: 1st-line HC!A5:A111"")),"""")"),"")</f>
        <v/>
      </c>
      <c r="AO30" s="14" t="str">
        <f>IFERROR(__xludf.DUMMYFUNCTION("IFNA(FILTER(IMPORTRANGE(""https://docs.google.com/spreadsheets/d/1kGrh75X1cNR1D7_FcY9zMnHP8iPO4M5RCRjy6nZY0TY/edit#gid=1248694442"",""Table 3: 1st-line HC!AO5:AO111""), $A30=IMPORTRANGE(""https://docs.google.com/spreadsheets/d/1kGrh75X1cNR1D7_FcY9zMnHP8iP"&amp;"O4M5RCRjy6nZY0TY/edit#gid=1248694442"",""Table 3: 1st-line HC!A5:A111"")),"""")"),"")</f>
        <v/>
      </c>
      <c r="AP30" s="14">
        <f>IFERROR(__xludf.DUMMYFUNCTION("IFNA(FILTER(IMPORTRANGE(""https://docs.google.com/spreadsheets/d/1kGrh75X1cNR1D7_FcY9zMnHP8iPO4M5RCRjy6nZY0TY/edit#gid=1248694442"",""Table 3: 1st-line HC!AQ5:AQ111""), $A30=IMPORTRANGE(""https://docs.google.com/spreadsheets/d/1kGrh75X1cNR1D7_FcY9zMnHP8iP"&amp;"O4M5RCRjy6nZY0TY/edit#gid=1248694442"",""Table 3: 1st-line HC!A5:A111"")),"""")"),14.0)</f>
        <v>14</v>
      </c>
      <c r="AQ30" s="14" t="str">
        <f>IFERROR(__xludf.DUMMYFUNCTION("IFNA(FILTER(IMPORTRANGE(""https://docs.google.com/spreadsheets/d/1kGrh75X1cNR1D7_FcY9zMnHP8iPO4M5RCRjy6nZY0TY/edit#gid=1248694442"",""Table 2: MMC!T5:T114""), $A30=IMPORTRANGE(""https://docs.google.com/spreadsheets/d/1kGrh75X1cNR1D7_FcY9zMnHP8iPO4M5RCRjy6"&amp;"nZY0TY/edit#gid=1248694442"",""Table 2: MMC!A5:A114"")),"""")"),"")</f>
        <v/>
      </c>
      <c r="AR30" s="14" t="str">
        <f>IFERROR(__xludf.DUMMYFUNCTION("IFNA(FILTER(IMPORTRANGE(""https://docs.google.com/spreadsheets/d/1kGrh75X1cNR1D7_FcY9zMnHP8iPO4M5RCRjy6nZY0TY/edit#gid=1248694442"",""Table 2: MMC!U5:U114""), $A30=IMPORTRANGE(""https://docs.google.com/spreadsheets/d/1kGrh75X1cNR1D7_FcY9zMnHP8iPO4M5RCRjy6"&amp;"nZY0TY/edit#gid=1248694442"",""Table 2: MMC!A5:A114"")),"""")"),"")</f>
        <v/>
      </c>
      <c r="AS30" s="14" t="str">
        <f>IFERROR(__xludf.DUMMYFUNCTION("IFNA(FILTER(IMPORTRANGE(""https://docs.google.com/spreadsheets/d/1kGrh75X1cNR1D7_FcY9zMnHP8iPO4M5RCRjy6nZY0TY/edit#gid=1248694442"",""Table 2: MMC!V5:V114""), $A30=IMPORTRANGE(""https://docs.google.com/spreadsheets/d/1kGrh75X1cNR1D7_FcY9zMnHP8iPO4M5RCRjy6"&amp;"nZY0TY/edit#gid=1248694442"",""Table 2: MMC!A5:A114"")),"""")"),"")</f>
        <v/>
      </c>
      <c r="AT30" s="4" t="str">
        <f>IFERROR(__xludf.DUMMYFUNCTION("IFNA(FILTER(IMPORTRANGE(""https://docs.google.com/spreadsheets/d/1kGrh75X1cNR1D7_FcY9zMnHP8iPO4M5RCRjy6nZY0TY/edit#gid=1248694442"",""Table 2: MMC!W5:W114""), $A30=IMPORTRANGE(""https://docs.google.com/spreadsheets/d/1kGrh75X1cNR1D7_FcY9zMnHP8iPO4M5RCRjy6"&amp;"nZY0TY/edit#gid=1248694442"",""Table 2: MMC!A5:A114"")),"""")"),"")</f>
        <v/>
      </c>
    </row>
    <row r="31">
      <c r="A31" s="4" t="str">
        <f>IFERROR(__xludf.DUMMYFUNCTION("""COMPUTED_VALUE"""),"ID 52")</f>
        <v>ID 52</v>
      </c>
      <c r="B31" s="20" t="str">
        <f>IFERROR(__xludf.DUMMYFUNCTION("IFNA(FILTER(IMPORTRANGE(""https://docs.google.com/spreadsheets/d/1kGrh75X1cNR1D7_FcY9zMnHP8iPO4M5RCRjy6nZY0TY/edit#gid=1248694442"",""Table 3: 1st-line HC!BK5:BK111""), $A31=IMPORTRANGE(""https://docs.google.com/spreadsheets/d/1kGrh75X1cNR1D7_FcY9zMnHP8iP"&amp;"O4M5RCRjy6nZY0TY/edit#gid=1248694442"",""Table 3: 1st-line HC!A5:A111"")),"""")"),"")</f>
        <v/>
      </c>
      <c r="C31" s="20" t="str">
        <f>IFERROR(__xludf.DUMMYFUNCTION("IFNA(FILTER(IMPORTRANGE(""https://docs.google.com/spreadsheets/d/1kGrh75X1cNR1D7_FcY9zMnHP8iPO4M5RCRjy6nZY0TY/edit#gid=1248694442"",""Subgroup 1: Fr ~ Tx!B3:B20""), $A31=IMPORTRANGE(""https://docs.google.com/spreadsheets/d/1kGrh75X1cNR1D7_FcY9zMnHP8iPO4M5"&amp;"RCRjy6nZY0TY/edit#gid=1248694442"",""Subgroup 1: Fr ~ Tx!A3:A20"")),"""")"),"")</f>
        <v/>
      </c>
      <c r="D31" s="20" t="str">
        <f>IFERROR(__xludf.DUMMYFUNCTION("IFNA(FILTER(IMPORTRANGE(""https://docs.google.com/spreadsheets/d/1kGrh75X1cNR1D7_FcY9zMnHP8iPO4M5RCRjy6nZY0TY/edit#gid=1248694442"",""Subgroup 1: Fr ~ Tx!C3:C20""), $A31=IMPORTRANGE(""https://docs.google.com/spreadsheets/d/1kGrh75X1cNR1D7_FcY9zMnHP8iPO4M5"&amp;"RCRjy6nZY0TY/edit#gid=1248694442"",""Subgroup 1: Fr ~ Tx!A3:A20"")),"""")"),"")</f>
        <v/>
      </c>
      <c r="E31" s="20" t="str">
        <f>IFERROR(__xludf.DUMMYFUNCTION("IFNA(FILTER(IMPORTRANGE(""https://docs.google.com/spreadsheets/d/1kGrh75X1cNR1D7_FcY9zMnHP8iPO4M5RCRjy6nZY0TY/edit#gid=1248694442"",""Subgroup 1: Fr ~ Tx!D3:D20""), $A31=IMPORTRANGE(""https://docs.google.com/spreadsheets/d/1kGrh75X1cNR1D7_FcY9zMnHP8iPO4M5"&amp;"RCRjy6nZY0TY/edit#gid=1248694442"",""Subgroup 1: Fr ~ Tx!A3:A20"")),"""")"),"")</f>
        <v/>
      </c>
      <c r="F31" s="20" t="str">
        <f>IFERROR(__xludf.DUMMYFUNCTION("IFNA(FILTER(IMPORTRANGE(""https://docs.google.com/spreadsheets/d/1kGrh75X1cNR1D7_FcY9zMnHP8iPO4M5RCRjy6nZY0TY/edit#gid=1248694442"",""Subgroup 1: Fr ~ Tx!E3:E20""), $A31=IMPORTRANGE(""https://docs.google.com/spreadsheets/d/1kGrh75X1cNR1D7_FcY9zMnHP8iPO4M5"&amp;"RCRjy6nZY0TY/edit#gid=1248694442"",""Subgroup 1: Fr ~ Tx!A3:A20"")),"""")"),"")</f>
        <v/>
      </c>
      <c r="G31" s="20" t="str">
        <f>IFERROR(__xludf.DUMMYFUNCTION("IFNA(FILTER(IMPORTRANGE(""https://docs.google.com/spreadsheets/d/1kGrh75X1cNR1D7_FcY9zMnHP8iPO4M5RCRjy6nZY0TY/edit#gid=1248694442"",""Subgroup 1: Fr ~ Tx!F3:F20""), $A31=IMPORTRANGE(""https://docs.google.com/spreadsheets/d/1kGrh75X1cNR1D7_FcY9zMnHP8iPO4M5"&amp;"RCRjy6nZY0TY/edit#gid=1248694442"",""Subgroup 1: Fr ~ Tx!A3:A20"")),"""")"),"")</f>
        <v/>
      </c>
      <c r="H31" s="20" t="str">
        <f>IFERROR(__xludf.DUMMYFUNCTION("IFNA(FILTER(IMPORTRANGE(""https://docs.google.com/spreadsheets/d/1kGrh75X1cNR1D7_FcY9zMnHP8iPO4M5RCRjy6nZY0TY/edit#gid=1248694442"",""Table 3: 1st-line HC!BD5:BD111""), $A31=IMPORTRANGE(""https://docs.google.com/spreadsheets/d/1kGrh75X1cNR1D7_FcY9zMnHP8iP"&amp;"O4M5RCRjy6nZY0TY/edit#gid=1248694442"",""Table 3: 1st-line HC!A5:A111"")),"""")"),"")</f>
        <v/>
      </c>
      <c r="I31" s="20" t="str">
        <f>IFERROR(__xludf.DUMMYFUNCTION("IFNA(FILTER(IMPORTRANGE(""https://docs.google.com/spreadsheets/d/1kGrh75X1cNR1D7_FcY9zMnHP8iPO4M5RCRjy6nZY0TY/edit#gid=1248694442"",""Subgroup 5: Tf ~ Tx!B3:B8""), $A31=IMPORTRANGE(""https://docs.google.com/spreadsheets/d/1kGrh75X1cNR1D7_FcY9zMnHP8iPO4M5R"&amp;"CRjy6nZY0TY/edit#gid=1248694442"",""Subgroup 5: Tf ~ Tx!A3:A8"")),"""")"),"")</f>
        <v/>
      </c>
      <c r="J31" s="20" t="str">
        <f>IFERROR(__xludf.DUMMYFUNCTION("IFNA(FILTER(IMPORTRANGE(""https://docs.google.com/spreadsheets/d/1kGrh75X1cNR1D7_FcY9zMnHP8iPO4M5RCRjy6nZY0TY/edit#gid=1248694442"",""Subgroup 5: Tf ~ Tx!C3:C8""), $A31=IMPORTRANGE(""https://docs.google.com/spreadsheets/d/1kGrh75X1cNR1D7_FcY9zMnHP8iPO4M5R"&amp;"CRjy6nZY0TY/edit#gid=1248694442"",""Subgroup 5: Tf ~ Tx!A3:A8"")),"""")"),"")</f>
        <v/>
      </c>
      <c r="K31" s="20" t="str">
        <f>IFERROR(__xludf.DUMMYFUNCTION("IFNA(FILTER(IMPORTRANGE(""https://docs.google.com/spreadsheets/d/1kGrh75X1cNR1D7_FcY9zMnHP8iPO4M5RCRjy6nZY0TY/edit#gid=1248694442"",""Subgroup 5: Tf ~ Tx!D3:D8""), $A31=IMPORTRANGE(""https://docs.google.com/spreadsheets/d/1kGrh75X1cNR1D7_FcY9zMnHP8iPO4M5R"&amp;"CRjy6nZY0TY/edit#gid=1248694442"",""Subgroup 5: Tf ~ Tx!A3:A8"")),"""")"),"")</f>
        <v/>
      </c>
      <c r="L31" s="20" t="str">
        <f>IFERROR(__xludf.DUMMYFUNCTION("IFNA(FILTER(IMPORTRANGE(""https://docs.google.com/spreadsheets/d/1kGrh75X1cNR1D7_FcY9zMnHP8iPO4M5RCRjy6nZY0TY/edit#gid=1248694442"",""Subgroup 5: Tf ~ Tx!E3:E8""), $A31=IMPORTRANGE(""https://docs.google.com/spreadsheets/d/1kGrh75X1cNR1D7_FcY9zMnHP8iPO4M5R"&amp;"CRjy6nZY0TY/edit#gid=1248694442"",""Subgroup 5: Tf ~ Tx!A3:A8"")),"""")"),"")</f>
        <v/>
      </c>
      <c r="M31" s="20" t="str">
        <f>IFERROR(__xludf.DUMMYFUNCTION("IFNA(FILTER(IMPORTRANGE(""https://docs.google.com/spreadsheets/d/1kGrh75X1cNR1D7_FcY9zMnHP8iPO4M5RCRjy6nZY0TY/edit#gid=1248694442"",""Subgroup 5: Tf ~ Tx!F3:F8""), $A31=IMPORTRANGE(""https://docs.google.com/spreadsheets/d/1kGrh75X1cNR1D7_FcY9zMnHP8iPO4M5R"&amp;"CRjy6nZY0TY/edit#gid=1248694442"",""Subgroup 5: Tf ~ Tx!A3:A8"")),"""")"),"")</f>
        <v/>
      </c>
      <c r="N31" s="20" t="str">
        <f>IFERROR(__xludf.DUMMYFUNCTION("IFNA(FILTER(IMPORTRANGE(""https://docs.google.com/spreadsheets/d/1kGrh75X1cNR1D7_FcY9zMnHP8iPO4M5RCRjy6nZY0TY/edit#gid=1248694442"",""Table 3: 1st-line HC!BE5:BE111""), $A31=IMPORTRANGE(""https://docs.google.com/spreadsheets/d/1kGrh75X1cNR1D7_FcY9zMnHP8iP"&amp;"O4M5RCRjy6nZY0TY/edit#gid=1248694442"",""Table 3: 1st-line HC!A5:A111"")),"""")"),"")</f>
        <v/>
      </c>
      <c r="O31" s="20" t="str">
        <f>IFERROR(__xludf.DUMMYFUNCTION("IFNA(FILTER(IMPORTRANGE(""https://docs.google.com/spreadsheets/d/1kGrh75X1cNR1D7_FcY9zMnHP8iPO4M5RCRjy6nZY0TY/edit#gid=1248694442"",""Table 3: 1st-line HC!BF5:BF111""), $A31=IMPORTRANGE(""https://docs.google.com/spreadsheets/d/1kGrh75X1cNR1D7_FcY9zMnHP8iP"&amp;"O4M5RCRjy6nZY0TY/edit#gid=1248694442"",""Table 3: 1st-line HC!A5:A111"")),"""")"),"")</f>
        <v/>
      </c>
      <c r="P31" s="20" t="str">
        <f>IFERROR(__xludf.DUMMYFUNCTION("IFNA(FILTER(IMPORTRANGE(""https://docs.google.com/spreadsheets/d/1kGrh75X1cNR1D7_FcY9zMnHP8iPO4M5RCRjy6nZY0TY/edit#gid=1248694442"",""Table 3: 1st-line HC!BG5:BG111""), $A31=IMPORTRANGE(""https://docs.google.com/spreadsheets/d/1kGrh75X1cNR1D7_FcY9zMnHP8iP"&amp;"O4M5RCRjy6nZY0TY/edit#gid=1248694442"",""Table 3: 1st-line HC!A5:A111"")),"""")"),"")</f>
        <v/>
      </c>
      <c r="Q31" s="21" t="str">
        <f>IFERROR(__xludf.DUMMYFUNCTION("IFNA(FILTER(IMPORTRANGE(""https://docs.google.com/spreadsheets/d/1kGrh75X1cNR1D7_FcY9zMnHP8iPO4M5RCRjy6nZY0TY/edit#gid=1248694442"",""Table 3: 1st-line HC!BH5:BH111""), $A31=IMPORTRANGE(""https://docs.google.com/spreadsheets/d/1kGrh75X1cNR1D7_FcY9zMnHP8iP"&amp;"O4M5RCRjy6nZY0TY/edit#gid=1248694442"",""Table 3: 1st-line HC!A5:A111"")),"""")"),"")</f>
        <v/>
      </c>
      <c r="R31" s="19" t="str">
        <f>IFERROR(__xludf.DUMMYFUNCTION("IFNA(FILTER(IMPORTRANGE(""https://docs.google.com/spreadsheets/d/1kGrh75X1cNR1D7_FcY9zMnHP8iPO4M5RCRjy6nZY0TY/edit#gid=1248694442"",""Table 3: 1st-line HC!AJ5:AJ111""), $A31=IMPORTRANGE(""https://docs.google.com/spreadsheets/d/1kGrh75X1cNR1D7_FcY9zMnHP8iP"&amp;"O4M5RCRjy6nZY0TY/edit#gid=1248694442"",""Table 3: 1st-line HC!A5:A111"")),"""")"),"")</f>
        <v/>
      </c>
      <c r="S31" s="20" t="str">
        <f>IFERROR(__xludf.DUMMYFUNCTION("IFNA(FILTER(IMPORTRANGE(""https://docs.google.com/spreadsheets/d/1kGrh75X1cNR1D7_FcY9zMnHP8iPO4M5RCRjy6nZY0TY/edit#gid=1248694442"",""Subgroup 3: Mi ~ Tx!B3:B17""), $A31=IMPORTRANGE(""https://docs.google.com/spreadsheets/d/1kGrh75X1cNR1D7_FcY9zMnHP8iPO4M5"&amp;"RCRjy6nZY0TY/edit#gid=1248694442"",""Subgroup 3: Mi ~ Tx!A3:A17"")),"""")"),"")</f>
        <v/>
      </c>
      <c r="T31" s="20" t="str">
        <f>IFERROR(__xludf.DUMMYFUNCTION("IFNA(FILTER(IMPORTRANGE(""https://docs.google.com/spreadsheets/d/1kGrh75X1cNR1D7_FcY9zMnHP8iPO4M5RCRjy6nZY0TY/edit#gid=1248694442"",""Subgroup 3: Mi ~ Tx!C3:C17""), $A31=IMPORTRANGE(""https://docs.google.com/spreadsheets/d/1kGrh75X1cNR1D7_FcY9zMnHP8iPO4M5"&amp;"RCRjy6nZY0TY/edit#gid=1248694442"",""Subgroup 3: Mi ~ Tx!A3:A17"")),"""")"),"")</f>
        <v/>
      </c>
      <c r="U31" s="20" t="str">
        <f>IFERROR(__xludf.DUMMYFUNCTION("IFNA(FILTER(IMPORTRANGE(""https://docs.google.com/spreadsheets/d/1kGrh75X1cNR1D7_FcY9zMnHP8iPO4M5RCRjy6nZY0TY/edit#gid=1248694442"",""Subgroup 3: Mi ~ Tx!D3:D17""), $A31=IMPORTRANGE(""https://docs.google.com/spreadsheets/d/1kGrh75X1cNR1D7_FcY9zMnHP8iPO4M5"&amp;"RCRjy6nZY0TY/edit#gid=1248694442"",""Subgroup 3: Mi ~ Tx!A3:A17"")),"""")"),"")</f>
        <v/>
      </c>
      <c r="V31" s="20" t="str">
        <f>IFERROR(__xludf.DUMMYFUNCTION("IFNA(FILTER(IMPORTRANGE(""https://docs.google.com/spreadsheets/d/1kGrh75X1cNR1D7_FcY9zMnHP8iPO4M5RCRjy6nZY0TY/edit#gid=1248694442"",""Subgroup 3: Mi ~ Tx!E3:E17""), $A31=IMPORTRANGE(""https://docs.google.com/spreadsheets/d/1kGrh75X1cNR1D7_FcY9zMnHP8iPO4M5"&amp;"RCRjy6nZY0TY/edit#gid=1248694442"",""Subgroup 3: Mi ~ Tx!A3:A17"")),"""")"),"")</f>
        <v/>
      </c>
      <c r="W31" s="20" t="str">
        <f>IFERROR(__xludf.DUMMYFUNCTION("IFNA(FILTER(IMPORTRANGE(""https://docs.google.com/spreadsheets/d/1kGrh75X1cNR1D7_FcY9zMnHP8iPO4M5RCRjy6nZY0TY/edit#gid=1248694442"",""Subgroup 3: Mi ~ Tx!F3:F17""), $A31=IMPORTRANGE(""https://docs.google.com/spreadsheets/d/1kGrh75X1cNR1D7_FcY9zMnHP8iPO4M5"&amp;"RCRjy6nZY0TY/edit#gid=1248694442"",""Subgroup 3: Mi ~ Tx!A3:A17"")),"""")"),"")</f>
        <v/>
      </c>
      <c r="X31" s="19" t="str">
        <f>IFERROR(__xludf.DUMMYFUNCTION("IFNA(FILTER(IMPORTRANGE(""https://docs.google.com/spreadsheets/d/1kGrh75X1cNR1D7_FcY9zMnHP8iPO4M5RCRjy6nZY0TY/edit#gid=1248694442"",""Table 3: 1st-line HC!AK5:AK111""), $A31=IMPORTRANGE(""https://docs.google.com/spreadsheets/d/1kGrh75X1cNR1D7_FcY9zMnHP8iP"&amp;"O4M5RCRjy6nZY0TY/edit#gid=1248694442"",""Table 3: 1st-line HC!A5:A111"")),"""")"),"")</f>
        <v/>
      </c>
      <c r="Y31" s="20" t="str">
        <f>IFERROR(__xludf.DUMMYFUNCTION("IFNA(FILTER(IMPORTRANGE(""https://docs.google.com/spreadsheets/d/1kGrh75X1cNR1D7_FcY9zMnHP8iPO4M5RCRjy6nZY0TY/edit#gid=1248694442"",""Subgroup 4: Mp ~ Tx!B3:B20""), $A31=IMPORTRANGE(""https://docs.google.com/spreadsheets/d/1kGrh75X1cNR1D7_FcY9zMnHP8iPO4M5"&amp;"RCRjy6nZY0TY/edit#gid=1248694442"",""Subgroup 4: Mp ~ Tx!A3:A20"")),"""")"),"")</f>
        <v/>
      </c>
      <c r="Z31" s="20" t="str">
        <f>IFERROR(__xludf.DUMMYFUNCTION("IFNA(FILTER(IMPORTRANGE(""https://docs.google.com/spreadsheets/d/1kGrh75X1cNR1D7_FcY9zMnHP8iPO4M5RCRjy6nZY0TY/edit#gid=1248694442"",""Subgroup 4: Mp ~ Tx!C3:C20""), $A31=IMPORTRANGE(""https://docs.google.com/spreadsheets/d/1kGrh75X1cNR1D7_FcY9zMnHP8iPO4M5"&amp;"RCRjy6nZY0TY/edit#gid=1248694442"",""Subgroup 4: Mp ~ Tx!A3:A20"")),"""")"),"")</f>
        <v/>
      </c>
      <c r="AA31" s="20" t="str">
        <f>IFERROR(__xludf.DUMMYFUNCTION("IFNA(FILTER(IMPORTRANGE(""https://docs.google.com/spreadsheets/d/1kGrh75X1cNR1D7_FcY9zMnHP8iPO4M5RCRjy6nZY0TY/edit#gid=1248694442"",""Subgroup 4: Mp ~ Tx!D3:D20""), $A31=IMPORTRANGE(""https://docs.google.com/spreadsheets/d/1kGrh75X1cNR1D7_FcY9zMnHP8iPO4M5"&amp;"RCRjy6nZY0TY/edit#gid=1248694442"",""Subgroup 4: Mp ~ Tx!A3:A20"")),"""")"),"")</f>
        <v/>
      </c>
      <c r="AB31" s="20" t="str">
        <f>IFERROR(__xludf.DUMMYFUNCTION("IFNA(FILTER(IMPORTRANGE(""https://docs.google.com/spreadsheets/d/1kGrh75X1cNR1D7_FcY9zMnHP8iPO4M5RCRjy6nZY0TY/edit#gid=1248694442"",""Subgroup 4: Mp ~ Tx!E3:E20""), $A31=IMPORTRANGE(""https://docs.google.com/spreadsheets/d/1kGrh75X1cNR1D7_FcY9zMnHP8iPO4M5"&amp;"RCRjy6nZY0TY/edit#gid=1248694442"",""Subgroup 4: Mp ~ Tx!A3:A20"")),"""")"),"")</f>
        <v/>
      </c>
      <c r="AC31" s="20" t="str">
        <f>IFERROR(__xludf.DUMMYFUNCTION("IFNA(FILTER(IMPORTRANGE(""https://docs.google.com/spreadsheets/d/1kGrh75X1cNR1D7_FcY9zMnHP8iPO4M5RCRjy6nZY0TY/edit#gid=1248694442"",""Subgroup 4: Mp ~ Tx!F3:F20""), $A31=IMPORTRANGE(""https://docs.google.com/spreadsheets/d/1kGrh75X1cNR1D7_FcY9zMnHP8iPO4M5"&amp;"RCRjy6nZY0TY/edit#gid=1248694442"",""Subgroup 4: Mp ~ Tx!A3:A20"")),"""")"),"")</f>
        <v/>
      </c>
      <c r="AD31" s="22" t="str">
        <f>IFERROR(__xludf.DUMMYFUNCTION("IFNA(FILTER(IMPORTRANGE(""https://docs.google.com/spreadsheets/d/1kGrh75X1cNR1D7_FcY9zMnHP8iPO4M5RCRjy6nZY0TY/edit#gid=1248694442"",""Table 3: 1st-line HC!AL5:AL111""), $A31=IMPORTRANGE(""https://docs.google.com/spreadsheets/d/1kGrh75X1cNR1D7_FcY9zMnHP8iP"&amp;"O4M5RCRjy6nZY0TY/edit#gid=1248694442"",""Table 3: 1st-line HC!A5:A111"")),"""")"),"")</f>
        <v/>
      </c>
      <c r="AE31" s="20" t="str">
        <f>IFERROR(__xludf.DUMMYFUNCTION("IFNA(FILTER(IMPORTRANGE(""https://docs.google.com/spreadsheets/d/1kGrh75X1cNR1D7_FcY9zMnHP8iPO4M5RCRjy6nZY0TY/edit#gid=1248694442"",""Table 3: 1st-line HC!BJ5:BJ111""), $A31=IMPORTRANGE(""https://docs.google.com/spreadsheets/d/1kGrh75X1cNR1D7_FcY9zMnHP8iP"&amp;"O4M5RCRjy6nZY0TY/edit#gid=1248694442"",""Table 3: 1st-line HC!A5:A111"")),"""")"),"")</f>
        <v/>
      </c>
      <c r="AF31" s="20" t="str">
        <f>IFERROR(__xludf.DUMMYFUNCTION("IFNA(FILTER(IMPORTRANGE(""https://docs.google.com/spreadsheets/d/1kGrh75X1cNR1D7_FcY9zMnHP8iPO4M5RCRjy6nZY0TY/edit#gid=1248694442"",""Subgroup 2: Cr ~ Tx!B3:B23""), $A31=IMPORTRANGE(""https://docs.google.com/spreadsheets/d/1kGrh75X1cNR1D7_FcY9zMnHP8iPO4M5"&amp;"RCRjy6nZY0TY/edit#gid=1248694442"",""Subgroup 2: Cr ~ Tx!A3:A23"")),"""")"),"")</f>
        <v/>
      </c>
      <c r="AG31" s="20" t="str">
        <f>IFERROR(__xludf.DUMMYFUNCTION("IFNA(FILTER(IMPORTRANGE(""https://docs.google.com/spreadsheets/d/1kGrh75X1cNR1D7_FcY9zMnHP8iPO4M5RCRjy6nZY0TY/edit#gid=1248694442"",""Subgroup 2: Cr ~ Tx!C3:C23""), $A31=IMPORTRANGE(""https://docs.google.com/spreadsheets/d/1kGrh75X1cNR1D7_FcY9zMnHP8iPO4M5"&amp;"RCRjy6nZY0TY/edit#gid=1248694442"",""Subgroup 2: Cr ~ Tx!A3:A23"")),"""")"),"")</f>
        <v/>
      </c>
      <c r="AH31" s="20" t="str">
        <f>IFERROR(__xludf.DUMMYFUNCTION("IFNA(FILTER(IMPORTRANGE(""https://docs.google.com/spreadsheets/d/1kGrh75X1cNR1D7_FcY9zMnHP8iPO4M5RCRjy6nZY0TY/edit#gid=1248694442"",""Subgroup 2: Cr ~ Tx!D3:D23""), $A31=IMPORTRANGE(""https://docs.google.com/spreadsheets/d/1kGrh75X1cNR1D7_FcY9zMnHP8iPO4M5"&amp;"RCRjy6nZY0TY/edit#gid=1248694442"",""Subgroup 2: Cr ~ Tx!A3:A23"")),"""")"),"")</f>
        <v/>
      </c>
      <c r="AI31" s="20" t="str">
        <f>IFERROR(__xludf.DUMMYFUNCTION("IFNA(FILTER(IMPORTRANGE(""https://docs.google.com/spreadsheets/d/1kGrh75X1cNR1D7_FcY9zMnHP8iPO4M5RCRjy6nZY0TY/edit#gid=1248694442"",""Subgroup 2: Cr ~ Tx!E3:E23""), $A31=IMPORTRANGE(""https://docs.google.com/spreadsheets/d/1kGrh75X1cNR1D7_FcY9zMnHP8iPO4M5"&amp;"RCRjy6nZY0TY/edit#gid=1248694442"",""Subgroup 2: Cr ~ Tx!A3:A23"")),"""")"),"")</f>
        <v/>
      </c>
      <c r="AJ31" s="20" t="str">
        <f>IFERROR(__xludf.DUMMYFUNCTION("IFNA(FILTER(IMPORTRANGE(""https://docs.google.com/spreadsheets/d/1kGrh75X1cNR1D7_FcY9zMnHP8iPO4M5RCRjy6nZY0TY/edit#gid=1248694442"",""Subgroup 2: Cr ~ Tx!F3:F23""), $A31=IMPORTRANGE(""https://docs.google.com/spreadsheets/d/1kGrh75X1cNR1D7_FcY9zMnHP8iPO4M5"&amp;"RCRjy6nZY0TY/edit#gid=1248694442"",""Subgroup 2: Cr ~ Tx!A3:A23"")),"""")"),"")</f>
        <v/>
      </c>
      <c r="AK31" s="14" t="str">
        <f>IFERROR(__xludf.DUMMYFUNCTION("IFNA(FILTER(IMPORTRANGE(""https://docs.google.com/spreadsheets/d/1kGrh75X1cNR1D7_FcY9zMnHP8iPO4M5RCRjy6nZY0TY/edit#gid=1248694442"",""Table 4: 2nd-line HC or more!M5:M85""), $A31=IMPORTRANGE(""https://docs.google.com/spreadsheets/d/1kGrh75X1cNR1D7_FcY9zMn"&amp;"HP8iPO4M5RCRjy6nZY0TY/edit#gid=1248694442"",""Table 4: 2nd-line HC or more!A5:A85"")),"""")"),"")</f>
        <v/>
      </c>
      <c r="AL31" s="14" t="str">
        <f>IFERROR(__xludf.DUMMYFUNCTION("IFNA(FILTER(IMPORTRANGE(""https://docs.google.com/spreadsheets/d/1kGrh75X1cNR1D7_FcY9zMnHP8iPO4M5RCRjy6nZY0TY/edit#gid=1248694442"",""Table 4: 2nd-line HC or more!N5:N85""), $A31=IMPORTRANGE(""https://docs.google.com/spreadsheets/d/1kGrh75X1cNR1D7_FcY9zMn"&amp;"HP8iPO4M5RCRjy6nZY0TY/edit#gid=1248694442"",""Table 4: 2nd-line HC or more!A5:A85"")),"""")"),"")</f>
        <v/>
      </c>
      <c r="AM31" s="14" t="str">
        <f>IFERROR(__xludf.DUMMYFUNCTION("IFNA(FILTER(IMPORTRANGE(""https://docs.google.com/spreadsheets/d/1kGrh75X1cNR1D7_FcY9zMnHP8iPO4M5RCRjy6nZY0TY/edit#gid=1248694442"",""Table 4: 2nd-line HC or more!O5:O85""), $A31=IMPORTRANGE(""https://docs.google.com/spreadsheets/d/1kGrh75X1cNR1D7_FcY9zMn"&amp;"HP8iPO4M5RCRjy6nZY0TY/edit#gid=1248694442"",""Table 4: 2nd-line HC or more!A5:A85"")),"""")"),"")</f>
        <v/>
      </c>
      <c r="AN31" s="14">
        <f>IFERROR(__xludf.DUMMYFUNCTION("IFNA(FILTER(IMPORTRANGE(""https://docs.google.com/spreadsheets/d/1kGrh75X1cNR1D7_FcY9zMnHP8iPO4M5RCRjy6nZY0TY/edit#gid=1248694442"",""Table 3: 1st-line HC!AP5:AP111""), $A31=IMPORTRANGE(""https://docs.google.com/spreadsheets/d/1kGrh75X1cNR1D7_FcY9zMnHP8iP"&amp;"O4M5RCRjy6nZY0TY/edit#gid=1248694442"",""Table 3: 1st-line HC!A5:A111"")),"""")"),12.0)</f>
        <v>12</v>
      </c>
      <c r="AO31" s="14" t="str">
        <f>IFERROR(__xludf.DUMMYFUNCTION("IFNA(FILTER(IMPORTRANGE(""https://docs.google.com/spreadsheets/d/1kGrh75X1cNR1D7_FcY9zMnHP8iPO4M5RCRjy6nZY0TY/edit#gid=1248694442"",""Table 3: 1st-line HC!AO5:AO111""), $A31=IMPORTRANGE(""https://docs.google.com/spreadsheets/d/1kGrh75X1cNR1D7_FcY9zMnHP8iP"&amp;"O4M5RCRjy6nZY0TY/edit#gid=1248694442"",""Table 3: 1st-line HC!A5:A111"")),"""")"),"")</f>
        <v/>
      </c>
      <c r="AP31" s="14">
        <f>IFERROR(__xludf.DUMMYFUNCTION("IFNA(FILTER(IMPORTRANGE(""https://docs.google.com/spreadsheets/d/1kGrh75X1cNR1D7_FcY9zMnHP8iPO4M5RCRjy6nZY0TY/edit#gid=1248694442"",""Table 3: 1st-line HC!AQ5:AQ111""), $A31=IMPORTRANGE(""https://docs.google.com/spreadsheets/d/1kGrh75X1cNR1D7_FcY9zMnHP8iP"&amp;"O4M5RCRjy6nZY0TY/edit#gid=1248694442"",""Table 3: 1st-line HC!A5:A111"")),"""")"),23.0)</f>
        <v>23</v>
      </c>
      <c r="AQ31" s="14" t="str">
        <f>IFERROR(__xludf.DUMMYFUNCTION("IFNA(FILTER(IMPORTRANGE(""https://docs.google.com/spreadsheets/d/1kGrh75X1cNR1D7_FcY9zMnHP8iPO4M5RCRjy6nZY0TY/edit#gid=1248694442"",""Table 2: MMC!T5:T114""), $A31=IMPORTRANGE(""https://docs.google.com/spreadsheets/d/1kGrh75X1cNR1D7_FcY9zMnHP8iPO4M5RCRjy6"&amp;"nZY0TY/edit#gid=1248694442"",""Table 2: MMC!A5:A114"")),"""")"),"")</f>
        <v/>
      </c>
      <c r="AR31" s="14" t="str">
        <f>IFERROR(__xludf.DUMMYFUNCTION("IFNA(FILTER(IMPORTRANGE(""https://docs.google.com/spreadsheets/d/1kGrh75X1cNR1D7_FcY9zMnHP8iPO4M5RCRjy6nZY0TY/edit#gid=1248694442"",""Table 2: MMC!U5:U114""), $A31=IMPORTRANGE(""https://docs.google.com/spreadsheets/d/1kGrh75X1cNR1D7_FcY9zMnHP8iPO4M5RCRjy6"&amp;"nZY0TY/edit#gid=1248694442"",""Table 2: MMC!A5:A114"")),"""")"),"")</f>
        <v/>
      </c>
      <c r="AS31" s="14" t="str">
        <f>IFERROR(__xludf.DUMMYFUNCTION("IFNA(FILTER(IMPORTRANGE(""https://docs.google.com/spreadsheets/d/1kGrh75X1cNR1D7_FcY9zMnHP8iPO4M5RCRjy6nZY0TY/edit#gid=1248694442"",""Table 2: MMC!V5:V114""), $A31=IMPORTRANGE(""https://docs.google.com/spreadsheets/d/1kGrh75X1cNR1D7_FcY9zMnHP8iPO4M5RCRjy6"&amp;"nZY0TY/edit#gid=1248694442"",""Table 2: MMC!A5:A114"")),"""")"),"")</f>
        <v/>
      </c>
      <c r="AT31" s="4" t="str">
        <f>IFERROR(__xludf.DUMMYFUNCTION("IFNA(FILTER(IMPORTRANGE(""https://docs.google.com/spreadsheets/d/1kGrh75X1cNR1D7_FcY9zMnHP8iPO4M5RCRjy6nZY0TY/edit#gid=1248694442"",""Table 2: MMC!W5:W114""), $A31=IMPORTRANGE(""https://docs.google.com/spreadsheets/d/1kGrh75X1cNR1D7_FcY9zMnHP8iPO4M5RCRjy6"&amp;"nZY0TY/edit#gid=1248694442"",""Table 2: MMC!A5:A114"")),"""")"),"")</f>
        <v/>
      </c>
    </row>
    <row r="32">
      <c r="A32" s="4" t="str">
        <f>IFERROR(__xludf.DUMMYFUNCTION("""COMPUTED_VALUE"""),"ID 53")</f>
        <v>ID 53</v>
      </c>
      <c r="B32" s="20" t="str">
        <f>IFERROR(__xludf.DUMMYFUNCTION("IFNA(FILTER(IMPORTRANGE(""https://docs.google.com/spreadsheets/d/1kGrh75X1cNR1D7_FcY9zMnHP8iPO4M5RCRjy6nZY0TY/edit#gid=1248694442"",""Table 3: 1st-line HC!BK5:BK111""), $A32=IMPORTRANGE(""https://docs.google.com/spreadsheets/d/1kGrh75X1cNR1D7_FcY9zMnHP8iP"&amp;"O4M5RCRjy6nZY0TY/edit#gid=1248694442"",""Table 3: 1st-line HC!A5:A111"")),"""")"),"")</f>
        <v/>
      </c>
      <c r="C32" s="20" t="str">
        <f>IFERROR(__xludf.DUMMYFUNCTION("IFNA(FILTER(IMPORTRANGE(""https://docs.google.com/spreadsheets/d/1kGrh75X1cNR1D7_FcY9zMnHP8iPO4M5RCRjy6nZY0TY/edit#gid=1248694442"",""Subgroup 1: Fr ~ Tx!B3:B20""), $A32=IMPORTRANGE(""https://docs.google.com/spreadsheets/d/1kGrh75X1cNR1D7_FcY9zMnHP8iPO4M5"&amp;"RCRjy6nZY0TY/edit#gid=1248694442"",""Subgroup 1: Fr ~ Tx!A3:A20"")),"""")"),"")</f>
        <v/>
      </c>
      <c r="D32" s="20" t="str">
        <f>IFERROR(__xludf.DUMMYFUNCTION("IFNA(FILTER(IMPORTRANGE(""https://docs.google.com/spreadsheets/d/1kGrh75X1cNR1D7_FcY9zMnHP8iPO4M5RCRjy6nZY0TY/edit#gid=1248694442"",""Subgroup 1: Fr ~ Tx!C3:C20""), $A32=IMPORTRANGE(""https://docs.google.com/spreadsheets/d/1kGrh75X1cNR1D7_FcY9zMnHP8iPO4M5"&amp;"RCRjy6nZY0TY/edit#gid=1248694442"",""Subgroup 1: Fr ~ Tx!A3:A20"")),"""")"),"")</f>
        <v/>
      </c>
      <c r="E32" s="20" t="str">
        <f>IFERROR(__xludf.DUMMYFUNCTION("IFNA(FILTER(IMPORTRANGE(""https://docs.google.com/spreadsheets/d/1kGrh75X1cNR1D7_FcY9zMnHP8iPO4M5RCRjy6nZY0TY/edit#gid=1248694442"",""Subgroup 1: Fr ~ Tx!D3:D20""), $A32=IMPORTRANGE(""https://docs.google.com/spreadsheets/d/1kGrh75X1cNR1D7_FcY9zMnHP8iPO4M5"&amp;"RCRjy6nZY0TY/edit#gid=1248694442"",""Subgroup 1: Fr ~ Tx!A3:A20"")),"""")"),"")</f>
        <v/>
      </c>
      <c r="F32" s="20" t="str">
        <f>IFERROR(__xludf.DUMMYFUNCTION("IFNA(FILTER(IMPORTRANGE(""https://docs.google.com/spreadsheets/d/1kGrh75X1cNR1D7_FcY9zMnHP8iPO4M5RCRjy6nZY0TY/edit#gid=1248694442"",""Subgroup 1: Fr ~ Tx!E3:E20""), $A32=IMPORTRANGE(""https://docs.google.com/spreadsheets/d/1kGrh75X1cNR1D7_FcY9zMnHP8iPO4M5"&amp;"RCRjy6nZY0TY/edit#gid=1248694442"",""Subgroup 1: Fr ~ Tx!A3:A20"")),"""")"),"")</f>
        <v/>
      </c>
      <c r="G32" s="20" t="str">
        <f>IFERROR(__xludf.DUMMYFUNCTION("IFNA(FILTER(IMPORTRANGE(""https://docs.google.com/spreadsheets/d/1kGrh75X1cNR1D7_FcY9zMnHP8iPO4M5RCRjy6nZY0TY/edit#gid=1248694442"",""Subgroup 1: Fr ~ Tx!F3:F20""), $A32=IMPORTRANGE(""https://docs.google.com/spreadsheets/d/1kGrh75X1cNR1D7_FcY9zMnHP8iPO4M5"&amp;"RCRjy6nZY0TY/edit#gid=1248694442"",""Subgroup 1: Fr ~ Tx!A3:A20"")),"""")"),"")</f>
        <v/>
      </c>
      <c r="H32" s="20" t="str">
        <f>IFERROR(__xludf.DUMMYFUNCTION("IFNA(FILTER(IMPORTRANGE(""https://docs.google.com/spreadsheets/d/1kGrh75X1cNR1D7_FcY9zMnHP8iPO4M5RCRjy6nZY0TY/edit#gid=1248694442"",""Table 3: 1st-line HC!BD5:BD111""), $A32=IMPORTRANGE(""https://docs.google.com/spreadsheets/d/1kGrh75X1cNR1D7_FcY9zMnHP8iP"&amp;"O4M5RCRjy6nZY0TY/edit#gid=1248694442"",""Table 3: 1st-line HC!A5:A111"")),"""")"),"")</f>
        <v/>
      </c>
      <c r="I32" s="20" t="str">
        <f>IFERROR(__xludf.DUMMYFUNCTION("IFNA(FILTER(IMPORTRANGE(""https://docs.google.com/spreadsheets/d/1kGrh75X1cNR1D7_FcY9zMnHP8iPO4M5RCRjy6nZY0TY/edit#gid=1248694442"",""Subgroup 5: Tf ~ Tx!B3:B8""), $A32=IMPORTRANGE(""https://docs.google.com/spreadsheets/d/1kGrh75X1cNR1D7_FcY9zMnHP8iPO4M5R"&amp;"CRjy6nZY0TY/edit#gid=1248694442"",""Subgroup 5: Tf ~ Tx!A3:A8"")),"""")"),"")</f>
        <v/>
      </c>
      <c r="J32" s="20" t="str">
        <f>IFERROR(__xludf.DUMMYFUNCTION("IFNA(FILTER(IMPORTRANGE(""https://docs.google.com/spreadsheets/d/1kGrh75X1cNR1D7_FcY9zMnHP8iPO4M5RCRjy6nZY0TY/edit#gid=1248694442"",""Subgroup 5: Tf ~ Tx!C3:C8""), $A32=IMPORTRANGE(""https://docs.google.com/spreadsheets/d/1kGrh75X1cNR1D7_FcY9zMnHP8iPO4M5R"&amp;"CRjy6nZY0TY/edit#gid=1248694442"",""Subgroup 5: Tf ~ Tx!A3:A8"")),"""")"),"")</f>
        <v/>
      </c>
      <c r="K32" s="20" t="str">
        <f>IFERROR(__xludf.DUMMYFUNCTION("IFNA(FILTER(IMPORTRANGE(""https://docs.google.com/spreadsheets/d/1kGrh75X1cNR1D7_FcY9zMnHP8iPO4M5RCRjy6nZY0TY/edit#gid=1248694442"",""Subgroup 5: Tf ~ Tx!D3:D8""), $A32=IMPORTRANGE(""https://docs.google.com/spreadsheets/d/1kGrh75X1cNR1D7_FcY9zMnHP8iPO4M5R"&amp;"CRjy6nZY0TY/edit#gid=1248694442"",""Subgroup 5: Tf ~ Tx!A3:A8"")),"""")"),"")</f>
        <v/>
      </c>
      <c r="L32" s="20" t="str">
        <f>IFERROR(__xludf.DUMMYFUNCTION("IFNA(FILTER(IMPORTRANGE(""https://docs.google.com/spreadsheets/d/1kGrh75X1cNR1D7_FcY9zMnHP8iPO4M5RCRjy6nZY0TY/edit#gid=1248694442"",""Subgroup 5: Tf ~ Tx!E3:E8""), $A32=IMPORTRANGE(""https://docs.google.com/spreadsheets/d/1kGrh75X1cNR1D7_FcY9zMnHP8iPO4M5R"&amp;"CRjy6nZY0TY/edit#gid=1248694442"",""Subgroup 5: Tf ~ Tx!A3:A8"")),"""")"),"")</f>
        <v/>
      </c>
      <c r="M32" s="20" t="str">
        <f>IFERROR(__xludf.DUMMYFUNCTION("IFNA(FILTER(IMPORTRANGE(""https://docs.google.com/spreadsheets/d/1kGrh75X1cNR1D7_FcY9zMnHP8iPO4M5RCRjy6nZY0TY/edit#gid=1248694442"",""Subgroup 5: Tf ~ Tx!F3:F8""), $A32=IMPORTRANGE(""https://docs.google.com/spreadsheets/d/1kGrh75X1cNR1D7_FcY9zMnHP8iPO4M5R"&amp;"CRjy6nZY0TY/edit#gid=1248694442"",""Subgroup 5: Tf ~ Tx!A3:A8"")),"""")"),"")</f>
        <v/>
      </c>
      <c r="N32" s="20" t="str">
        <f>IFERROR(__xludf.DUMMYFUNCTION("IFNA(FILTER(IMPORTRANGE(""https://docs.google.com/spreadsheets/d/1kGrh75X1cNR1D7_FcY9zMnHP8iPO4M5RCRjy6nZY0TY/edit#gid=1248694442"",""Table 3: 1st-line HC!BE5:BE111""), $A32=IMPORTRANGE(""https://docs.google.com/spreadsheets/d/1kGrh75X1cNR1D7_FcY9zMnHP8iP"&amp;"O4M5RCRjy6nZY0TY/edit#gid=1248694442"",""Table 3: 1st-line HC!A5:A111"")),"""")"),"")</f>
        <v/>
      </c>
      <c r="O32" s="20" t="str">
        <f>IFERROR(__xludf.DUMMYFUNCTION("IFNA(FILTER(IMPORTRANGE(""https://docs.google.com/spreadsheets/d/1kGrh75X1cNR1D7_FcY9zMnHP8iPO4M5RCRjy6nZY0TY/edit#gid=1248694442"",""Table 3: 1st-line HC!BF5:BF111""), $A32=IMPORTRANGE(""https://docs.google.com/spreadsheets/d/1kGrh75X1cNR1D7_FcY9zMnHP8iP"&amp;"O4M5RCRjy6nZY0TY/edit#gid=1248694442"",""Table 3: 1st-line HC!A5:A111"")),"""")"),"")</f>
        <v/>
      </c>
      <c r="P32" s="20" t="str">
        <f>IFERROR(__xludf.DUMMYFUNCTION("IFNA(FILTER(IMPORTRANGE(""https://docs.google.com/spreadsheets/d/1kGrh75X1cNR1D7_FcY9zMnHP8iPO4M5RCRjy6nZY0TY/edit#gid=1248694442"",""Table 3: 1st-line HC!BG5:BG111""), $A32=IMPORTRANGE(""https://docs.google.com/spreadsheets/d/1kGrh75X1cNR1D7_FcY9zMnHP8iP"&amp;"O4M5RCRjy6nZY0TY/edit#gid=1248694442"",""Table 3: 1st-line HC!A5:A111"")),"""")"),"")</f>
        <v/>
      </c>
      <c r="Q32" s="21" t="str">
        <f>IFERROR(__xludf.DUMMYFUNCTION("IFNA(FILTER(IMPORTRANGE(""https://docs.google.com/spreadsheets/d/1kGrh75X1cNR1D7_FcY9zMnHP8iPO4M5RCRjy6nZY0TY/edit#gid=1248694442"",""Table 3: 1st-line HC!BH5:BH111""), $A32=IMPORTRANGE(""https://docs.google.com/spreadsheets/d/1kGrh75X1cNR1D7_FcY9zMnHP8iP"&amp;"O4M5RCRjy6nZY0TY/edit#gid=1248694442"",""Table 3: 1st-line HC!A5:A111"")),"""")"),"")</f>
        <v/>
      </c>
      <c r="R32" s="19" t="str">
        <f>IFERROR(__xludf.DUMMYFUNCTION("IFNA(FILTER(IMPORTRANGE(""https://docs.google.com/spreadsheets/d/1kGrh75X1cNR1D7_FcY9zMnHP8iPO4M5RCRjy6nZY0TY/edit#gid=1248694442"",""Table 3: 1st-line HC!AJ5:AJ111""), $A32=IMPORTRANGE(""https://docs.google.com/spreadsheets/d/1kGrh75X1cNR1D7_FcY9zMnHP8iP"&amp;"O4M5RCRjy6nZY0TY/edit#gid=1248694442"",""Table 3: 1st-line HC!A5:A111"")),"""")"),"")</f>
        <v/>
      </c>
      <c r="S32" s="20" t="str">
        <f>IFERROR(__xludf.DUMMYFUNCTION("IFNA(FILTER(IMPORTRANGE(""https://docs.google.com/spreadsheets/d/1kGrh75X1cNR1D7_FcY9zMnHP8iPO4M5RCRjy6nZY0TY/edit#gid=1248694442"",""Subgroup 3: Mi ~ Tx!B3:B17""), $A32=IMPORTRANGE(""https://docs.google.com/spreadsheets/d/1kGrh75X1cNR1D7_FcY9zMnHP8iPO4M5"&amp;"RCRjy6nZY0TY/edit#gid=1248694442"",""Subgroup 3: Mi ~ Tx!A3:A17"")),"""")"),"")</f>
        <v/>
      </c>
      <c r="T32" s="20" t="str">
        <f>IFERROR(__xludf.DUMMYFUNCTION("IFNA(FILTER(IMPORTRANGE(""https://docs.google.com/spreadsheets/d/1kGrh75X1cNR1D7_FcY9zMnHP8iPO4M5RCRjy6nZY0TY/edit#gid=1248694442"",""Subgroup 3: Mi ~ Tx!C3:C17""), $A32=IMPORTRANGE(""https://docs.google.com/spreadsheets/d/1kGrh75X1cNR1D7_FcY9zMnHP8iPO4M5"&amp;"RCRjy6nZY0TY/edit#gid=1248694442"",""Subgroup 3: Mi ~ Tx!A3:A17"")),"""")"),"")</f>
        <v/>
      </c>
      <c r="U32" s="20" t="str">
        <f>IFERROR(__xludf.DUMMYFUNCTION("IFNA(FILTER(IMPORTRANGE(""https://docs.google.com/spreadsheets/d/1kGrh75X1cNR1D7_FcY9zMnHP8iPO4M5RCRjy6nZY0TY/edit#gid=1248694442"",""Subgroup 3: Mi ~ Tx!D3:D17""), $A32=IMPORTRANGE(""https://docs.google.com/spreadsheets/d/1kGrh75X1cNR1D7_FcY9zMnHP8iPO4M5"&amp;"RCRjy6nZY0TY/edit#gid=1248694442"",""Subgroup 3: Mi ~ Tx!A3:A17"")),"""")"),"")</f>
        <v/>
      </c>
      <c r="V32" s="20" t="str">
        <f>IFERROR(__xludf.DUMMYFUNCTION("IFNA(FILTER(IMPORTRANGE(""https://docs.google.com/spreadsheets/d/1kGrh75X1cNR1D7_FcY9zMnHP8iPO4M5RCRjy6nZY0TY/edit#gid=1248694442"",""Subgroup 3: Mi ~ Tx!E3:E17""), $A32=IMPORTRANGE(""https://docs.google.com/spreadsheets/d/1kGrh75X1cNR1D7_FcY9zMnHP8iPO4M5"&amp;"RCRjy6nZY0TY/edit#gid=1248694442"",""Subgroup 3: Mi ~ Tx!A3:A17"")),"""")"),"")</f>
        <v/>
      </c>
      <c r="W32" s="20" t="str">
        <f>IFERROR(__xludf.DUMMYFUNCTION("IFNA(FILTER(IMPORTRANGE(""https://docs.google.com/spreadsheets/d/1kGrh75X1cNR1D7_FcY9zMnHP8iPO4M5RCRjy6nZY0TY/edit#gid=1248694442"",""Subgroup 3: Mi ~ Tx!F3:F17""), $A32=IMPORTRANGE(""https://docs.google.com/spreadsheets/d/1kGrh75X1cNR1D7_FcY9zMnHP8iPO4M5"&amp;"RCRjy6nZY0TY/edit#gid=1248694442"",""Subgroup 3: Mi ~ Tx!A3:A17"")),"""")"),"")</f>
        <v/>
      </c>
      <c r="X32" s="19" t="str">
        <f>IFERROR(__xludf.DUMMYFUNCTION("IFNA(FILTER(IMPORTRANGE(""https://docs.google.com/spreadsheets/d/1kGrh75X1cNR1D7_FcY9zMnHP8iPO4M5RCRjy6nZY0TY/edit#gid=1248694442"",""Table 3: 1st-line HC!AK5:AK111""), $A32=IMPORTRANGE(""https://docs.google.com/spreadsheets/d/1kGrh75X1cNR1D7_FcY9zMnHP8iP"&amp;"O4M5RCRjy6nZY0TY/edit#gid=1248694442"",""Table 3: 1st-line HC!A5:A111"")),"""")"),"")</f>
        <v/>
      </c>
      <c r="Y32" s="20" t="str">
        <f>IFERROR(__xludf.DUMMYFUNCTION("IFNA(FILTER(IMPORTRANGE(""https://docs.google.com/spreadsheets/d/1kGrh75X1cNR1D7_FcY9zMnHP8iPO4M5RCRjy6nZY0TY/edit#gid=1248694442"",""Subgroup 4: Mp ~ Tx!B3:B20""), $A32=IMPORTRANGE(""https://docs.google.com/spreadsheets/d/1kGrh75X1cNR1D7_FcY9zMnHP8iPO4M5"&amp;"RCRjy6nZY0TY/edit#gid=1248694442"",""Subgroup 4: Mp ~ Tx!A3:A20"")),"""")"),"")</f>
        <v/>
      </c>
      <c r="Z32" s="20" t="str">
        <f>IFERROR(__xludf.DUMMYFUNCTION("IFNA(FILTER(IMPORTRANGE(""https://docs.google.com/spreadsheets/d/1kGrh75X1cNR1D7_FcY9zMnHP8iPO4M5RCRjy6nZY0TY/edit#gid=1248694442"",""Subgroup 4: Mp ~ Tx!C3:C20""), $A32=IMPORTRANGE(""https://docs.google.com/spreadsheets/d/1kGrh75X1cNR1D7_FcY9zMnHP8iPO4M5"&amp;"RCRjy6nZY0TY/edit#gid=1248694442"",""Subgroup 4: Mp ~ Tx!A3:A20"")),"""")"),"")</f>
        <v/>
      </c>
      <c r="AA32" s="20" t="str">
        <f>IFERROR(__xludf.DUMMYFUNCTION("IFNA(FILTER(IMPORTRANGE(""https://docs.google.com/spreadsheets/d/1kGrh75X1cNR1D7_FcY9zMnHP8iPO4M5RCRjy6nZY0TY/edit#gid=1248694442"",""Subgroup 4: Mp ~ Tx!D3:D20""), $A32=IMPORTRANGE(""https://docs.google.com/spreadsheets/d/1kGrh75X1cNR1D7_FcY9zMnHP8iPO4M5"&amp;"RCRjy6nZY0TY/edit#gid=1248694442"",""Subgroup 4: Mp ~ Tx!A3:A20"")),"""")"),"")</f>
        <v/>
      </c>
      <c r="AB32" s="20" t="str">
        <f>IFERROR(__xludf.DUMMYFUNCTION("IFNA(FILTER(IMPORTRANGE(""https://docs.google.com/spreadsheets/d/1kGrh75X1cNR1D7_FcY9zMnHP8iPO4M5RCRjy6nZY0TY/edit#gid=1248694442"",""Subgroup 4: Mp ~ Tx!E3:E20""), $A32=IMPORTRANGE(""https://docs.google.com/spreadsheets/d/1kGrh75X1cNR1D7_FcY9zMnHP8iPO4M5"&amp;"RCRjy6nZY0TY/edit#gid=1248694442"",""Subgroup 4: Mp ~ Tx!A3:A20"")),"""")"),"")</f>
        <v/>
      </c>
      <c r="AC32" s="20" t="str">
        <f>IFERROR(__xludf.DUMMYFUNCTION("IFNA(FILTER(IMPORTRANGE(""https://docs.google.com/spreadsheets/d/1kGrh75X1cNR1D7_FcY9zMnHP8iPO4M5RCRjy6nZY0TY/edit#gid=1248694442"",""Subgroup 4: Mp ~ Tx!F3:F20""), $A32=IMPORTRANGE(""https://docs.google.com/spreadsheets/d/1kGrh75X1cNR1D7_FcY9zMnHP8iPO4M5"&amp;"RCRjy6nZY0TY/edit#gid=1248694442"",""Subgroup 4: Mp ~ Tx!A3:A20"")),"""")"),"")</f>
        <v/>
      </c>
      <c r="AD32" s="22" t="str">
        <f>IFERROR(__xludf.DUMMYFUNCTION("IFNA(FILTER(IMPORTRANGE(""https://docs.google.com/spreadsheets/d/1kGrh75X1cNR1D7_FcY9zMnHP8iPO4M5RCRjy6nZY0TY/edit#gid=1248694442"",""Table 3: 1st-line HC!AL5:AL111""), $A32=IMPORTRANGE(""https://docs.google.com/spreadsheets/d/1kGrh75X1cNR1D7_FcY9zMnHP8iP"&amp;"O4M5RCRjy6nZY0TY/edit#gid=1248694442"",""Table 3: 1st-line HC!A5:A111"")),"""")"),"There were no early postoperative complications,
but the patient died at the age of 2 months after
developing cyanosis and apnea despite a well-functioning
VP shunt, most probably due to a CM-II")</f>
        <v>There were no early postoperative complications,
but the patient died at the age of 2 months after
developing cyanosis and apnea despite a well-functioning
VP shunt, most probably due to a CM-II</v>
      </c>
      <c r="AE32" s="20">
        <f>IFERROR(__xludf.DUMMYFUNCTION("IFNA(FILTER(IMPORTRANGE(""https://docs.google.com/spreadsheets/d/1kGrh75X1cNR1D7_FcY9zMnHP8iPO4M5RCRjy6nZY0TY/edit#gid=1248694442"",""Table 3: 1st-line HC!BJ5:BJ111""), $A32=IMPORTRANGE(""https://docs.google.com/spreadsheets/d/1kGrh75X1cNR1D7_FcY9zMnHP8iP"&amp;"O4M5RCRjy6nZY0TY/edit#gid=1248694442"",""Table 3: 1st-line HC!A5:A111"")),"""")"),0.33)</f>
        <v>0.33</v>
      </c>
      <c r="AF32" s="20" t="str">
        <f>IFERROR(__xludf.DUMMYFUNCTION("IFNA(FILTER(IMPORTRANGE(""https://docs.google.com/spreadsheets/d/1kGrh75X1cNR1D7_FcY9zMnHP8iPO4M5RCRjy6nZY0TY/edit#gid=1248694442"",""Subgroup 2: Cr ~ Tx!B3:B23""), $A32=IMPORTRANGE(""https://docs.google.com/spreadsheets/d/1kGrh75X1cNR1D7_FcY9zMnHP8iPO4M5"&amp;"RCRjy6nZY0TY/edit#gid=1248694442"",""Subgroup 2: Cr ~ Tx!A3:A23"")),"""")"),"")</f>
        <v/>
      </c>
      <c r="AG32" s="20">
        <f>IFERROR(__xludf.DUMMYFUNCTION("IFNA(FILTER(IMPORTRANGE(""https://docs.google.com/spreadsheets/d/1kGrh75X1cNR1D7_FcY9zMnHP8iPO4M5RCRjy6nZY0TY/edit#gid=1248694442"",""Subgroup 2: Cr ~ Tx!C3:C23""), $A32=IMPORTRANGE(""https://docs.google.com/spreadsheets/d/1kGrh75X1cNR1D7_FcY9zMnHP8iPO4M5"&amp;"RCRjy6nZY0TY/edit#gid=1248694442"",""Subgroup 2: Cr ~ Tx!A3:A23"")),"""")"),0.0)</f>
        <v>0</v>
      </c>
      <c r="AH32" s="20" t="str">
        <f>IFERROR(__xludf.DUMMYFUNCTION("IFNA(FILTER(IMPORTRANGE(""https://docs.google.com/spreadsheets/d/1kGrh75X1cNR1D7_FcY9zMnHP8iPO4M5RCRjy6nZY0TY/edit#gid=1248694442"",""Subgroup 2: Cr ~ Tx!D3:D23""), $A32=IMPORTRANGE(""https://docs.google.com/spreadsheets/d/1kGrh75X1cNR1D7_FcY9zMnHP8iPO4M5"&amp;"RCRjy6nZY0TY/edit#gid=1248694442"",""Subgroup 2: Cr ~ Tx!A3:A23"")),"""")"),"")</f>
        <v/>
      </c>
      <c r="AI32" s="20" t="str">
        <f>IFERROR(__xludf.DUMMYFUNCTION("IFNA(FILTER(IMPORTRANGE(""https://docs.google.com/spreadsheets/d/1kGrh75X1cNR1D7_FcY9zMnHP8iPO4M5RCRjy6nZY0TY/edit#gid=1248694442"",""Subgroup 2: Cr ~ Tx!E3:E23""), $A32=IMPORTRANGE(""https://docs.google.com/spreadsheets/d/1kGrh75X1cNR1D7_FcY9zMnHP8iPO4M5"&amp;"RCRjy6nZY0TY/edit#gid=1248694442"",""Subgroup 2: Cr ~ Tx!A3:A23"")),"""")"),"")</f>
        <v/>
      </c>
      <c r="AJ32" s="20" t="str">
        <f>IFERROR(__xludf.DUMMYFUNCTION("IFNA(FILTER(IMPORTRANGE(""https://docs.google.com/spreadsheets/d/1kGrh75X1cNR1D7_FcY9zMnHP8iPO4M5RCRjy6nZY0TY/edit#gid=1248694442"",""Subgroup 2: Cr ~ Tx!F3:F23""), $A32=IMPORTRANGE(""https://docs.google.com/spreadsheets/d/1kGrh75X1cNR1D7_FcY9zMnHP8iPO4M5"&amp;"RCRjy6nZY0TY/edit#gid=1248694442"",""Subgroup 2: Cr ~ Tx!A3:A23"")),"""")"),"")</f>
        <v/>
      </c>
      <c r="AK32" s="14" t="str">
        <f>IFERROR(__xludf.DUMMYFUNCTION("IFNA(FILTER(IMPORTRANGE(""https://docs.google.com/spreadsheets/d/1kGrh75X1cNR1D7_FcY9zMnHP8iPO4M5RCRjy6nZY0TY/edit#gid=1248694442"",""Table 4: 2nd-line HC or more!M5:M85""), $A32=IMPORTRANGE(""https://docs.google.com/spreadsheets/d/1kGrh75X1cNR1D7_FcY9zMn"&amp;"HP8iPO4M5RCRjy6nZY0TY/edit#gid=1248694442"",""Table 4: 2nd-line HC or more!A5:A85"")),"""")"),"")</f>
        <v/>
      </c>
      <c r="AL32" s="14" t="str">
        <f>IFERROR(__xludf.DUMMYFUNCTION("IFNA(FILTER(IMPORTRANGE(""https://docs.google.com/spreadsheets/d/1kGrh75X1cNR1D7_FcY9zMnHP8iPO4M5RCRjy6nZY0TY/edit#gid=1248694442"",""Table 4: 2nd-line HC or more!N5:N85""), $A32=IMPORTRANGE(""https://docs.google.com/spreadsheets/d/1kGrh75X1cNR1D7_FcY9zMn"&amp;"HP8iPO4M5RCRjy6nZY0TY/edit#gid=1248694442"",""Table 4: 2nd-line HC or more!A5:A85"")),"""")"),"")</f>
        <v/>
      </c>
      <c r="AM32" s="14" t="str">
        <f>IFERROR(__xludf.DUMMYFUNCTION("IFNA(FILTER(IMPORTRANGE(""https://docs.google.com/spreadsheets/d/1kGrh75X1cNR1D7_FcY9zMnHP8iPO4M5RCRjy6nZY0TY/edit#gid=1248694442"",""Table 4: 2nd-line HC or more!O5:O85""), $A32=IMPORTRANGE(""https://docs.google.com/spreadsheets/d/1kGrh75X1cNR1D7_FcY9zMn"&amp;"HP8iPO4M5RCRjy6nZY0TY/edit#gid=1248694442"",""Table 4: 2nd-line HC or more!A5:A85"")),"""")"),"")</f>
        <v/>
      </c>
      <c r="AN32" s="14" t="str">
        <f>IFERROR(__xludf.DUMMYFUNCTION("IFNA(FILTER(IMPORTRANGE(""https://docs.google.com/spreadsheets/d/1kGrh75X1cNR1D7_FcY9zMnHP8iPO4M5RCRjy6nZY0TY/edit#gid=1248694442"",""Table 3: 1st-line HC!AP5:AP111""), $A32=IMPORTRANGE(""https://docs.google.com/spreadsheets/d/1kGrh75X1cNR1D7_FcY9zMnHP8iP"&amp;"O4M5RCRjy6nZY0TY/edit#gid=1248694442"",""Table 3: 1st-line HC!A5:A111"")),"""")"),"")</f>
        <v/>
      </c>
      <c r="AO32" s="14" t="str">
        <f>IFERROR(__xludf.DUMMYFUNCTION("IFNA(FILTER(IMPORTRANGE(""https://docs.google.com/spreadsheets/d/1kGrh75X1cNR1D7_FcY9zMnHP8iPO4M5RCRjy6nZY0TY/edit#gid=1248694442"",""Table 3: 1st-line HC!AO5:AO111""), $A32=IMPORTRANGE(""https://docs.google.com/spreadsheets/d/1kGrh75X1cNR1D7_FcY9zMnHP8iP"&amp;"O4M5RCRjy6nZY0TY/edit#gid=1248694442"",""Table 3: 1st-line HC!A5:A111"")),"""")"),"")</f>
        <v/>
      </c>
      <c r="AP32" s="14" t="str">
        <f>IFERROR(__xludf.DUMMYFUNCTION("IFNA(FILTER(IMPORTRANGE(""https://docs.google.com/spreadsheets/d/1kGrh75X1cNR1D7_FcY9zMnHP8iPO4M5RCRjy6nZY0TY/edit#gid=1248694442"",""Table 3: 1st-line HC!AQ5:AQ111""), $A32=IMPORTRANGE(""https://docs.google.com/spreadsheets/d/1kGrh75X1cNR1D7_FcY9zMnHP8iP"&amp;"O4M5RCRjy6nZY0TY/edit#gid=1248694442"",""Table 3: 1st-line HC!A5:A111"")),"""")"),"")</f>
        <v/>
      </c>
      <c r="AQ32" s="14" t="str">
        <f>IFERROR(__xludf.DUMMYFUNCTION("IFNA(FILTER(IMPORTRANGE(""https://docs.google.com/spreadsheets/d/1kGrh75X1cNR1D7_FcY9zMnHP8iPO4M5RCRjy6nZY0TY/edit#gid=1248694442"",""Table 2: MMC!T5:T114""), $A32=IMPORTRANGE(""https://docs.google.com/spreadsheets/d/1kGrh75X1cNR1D7_FcY9zMnHP8iPO4M5RCRjy6"&amp;"nZY0TY/edit#gid=1248694442"",""Table 2: MMC!A5:A114"")),"""")"),"")</f>
        <v/>
      </c>
      <c r="AR32" s="14" t="str">
        <f>IFERROR(__xludf.DUMMYFUNCTION("IFNA(FILTER(IMPORTRANGE(""https://docs.google.com/spreadsheets/d/1kGrh75X1cNR1D7_FcY9zMnHP8iPO4M5RCRjy6nZY0TY/edit#gid=1248694442"",""Table 2: MMC!U5:U114""), $A32=IMPORTRANGE(""https://docs.google.com/spreadsheets/d/1kGrh75X1cNR1D7_FcY9zMnHP8iPO4M5RCRjy6"&amp;"nZY0TY/edit#gid=1248694442"",""Table 2: MMC!A5:A114"")),"""")"),"")</f>
        <v/>
      </c>
      <c r="AS32" s="14" t="str">
        <f>IFERROR(__xludf.DUMMYFUNCTION("IFNA(FILTER(IMPORTRANGE(""https://docs.google.com/spreadsheets/d/1kGrh75X1cNR1D7_FcY9zMnHP8iPO4M5RCRjy6nZY0TY/edit#gid=1248694442"",""Table 2: MMC!V5:V114""), $A32=IMPORTRANGE(""https://docs.google.com/spreadsheets/d/1kGrh75X1cNR1D7_FcY9zMnHP8iPO4M5RCRjy6"&amp;"nZY0TY/edit#gid=1248694442"",""Table 2: MMC!A5:A114"")),"""")"),"")</f>
        <v/>
      </c>
      <c r="AT32" s="4" t="str">
        <f>IFERROR(__xludf.DUMMYFUNCTION("IFNA(FILTER(IMPORTRANGE(""https://docs.google.com/spreadsheets/d/1kGrh75X1cNR1D7_FcY9zMnHP8iPO4M5RCRjy6nZY0TY/edit#gid=1248694442"",""Table 2: MMC!W5:W114""), $A32=IMPORTRANGE(""https://docs.google.com/spreadsheets/d/1kGrh75X1cNR1D7_FcY9zMnHP8iPO4M5RCRjy6"&amp;"nZY0TY/edit#gid=1248694442"",""Table 2: MMC!A5:A114"")),"""")"),"")</f>
        <v/>
      </c>
    </row>
    <row r="33">
      <c r="A33" s="4" t="str">
        <f>IFERROR(__xludf.DUMMYFUNCTION("""COMPUTED_VALUE"""),"ID 58")</f>
        <v>ID 58</v>
      </c>
      <c r="B33" s="20">
        <f>IFERROR(__xludf.DUMMYFUNCTION("IFNA(FILTER(IMPORTRANGE(""https://docs.google.com/spreadsheets/d/1kGrh75X1cNR1D7_FcY9zMnHP8iPO4M5RCRjy6nZY0TY/edit#gid=1248694442"",""Table 3: 1st-line HC!BK5:BK111""), $A33=IMPORTRANGE(""https://docs.google.com/spreadsheets/d/1kGrh75X1cNR1D7_FcY9zMnHP8iP"&amp;"O4M5RCRjy6nZY0TY/edit#gid=1248694442"",""Table 3: 1st-line HC!A5:A111"")),"""")"),0.5)</f>
        <v>0.5</v>
      </c>
      <c r="C33" s="20" t="str">
        <f>IFERROR(__xludf.DUMMYFUNCTION("IFNA(FILTER(IMPORTRANGE(""https://docs.google.com/spreadsheets/d/1kGrh75X1cNR1D7_FcY9zMnHP8iPO4M5RCRjy6nZY0TY/edit#gid=1248694442"",""Subgroup 1: Fr ~ Tx!B3:B20""), $A33=IMPORTRANGE(""https://docs.google.com/spreadsheets/d/1kGrh75X1cNR1D7_FcY9zMnHP8iPO4M5"&amp;"RCRjy6nZY0TY/edit#gid=1248694442"",""Subgroup 1: Fr ~ Tx!A3:A20"")),"""")"),"")</f>
        <v/>
      </c>
      <c r="D33" s="20">
        <f>IFERROR(__xludf.DUMMYFUNCTION("IFNA(FILTER(IMPORTRANGE(""https://docs.google.com/spreadsheets/d/1kGrh75X1cNR1D7_FcY9zMnHP8iPO4M5RCRjy6nZY0TY/edit#gid=1248694442"",""Subgroup 1: Fr ~ Tx!C3:C20""), $A33=IMPORTRANGE(""https://docs.google.com/spreadsheets/d/1kGrh75X1cNR1D7_FcY9zMnHP8iPO4M5"&amp;"RCRjy6nZY0TY/edit#gid=1248694442"",""Subgroup 1: Fr ~ Tx!A3:A20"")),"""")"),0.22033898305084745)</f>
        <v>0.2203389831</v>
      </c>
      <c r="E33" s="20" t="str">
        <f>IFERROR(__xludf.DUMMYFUNCTION("IFNA(FILTER(IMPORTRANGE(""https://docs.google.com/spreadsheets/d/1kGrh75X1cNR1D7_FcY9zMnHP8iPO4M5RCRjy6nZY0TY/edit#gid=1248694442"",""Subgroup 1: Fr ~ Tx!D3:D20""), $A33=IMPORTRANGE(""https://docs.google.com/spreadsheets/d/1kGrh75X1cNR1D7_FcY9zMnHP8iPO4M5"&amp;"RCRjy6nZY0TY/edit#gid=1248694442"",""Subgroup 1: Fr ~ Tx!A3:A20"")),"""")"),"")</f>
        <v/>
      </c>
      <c r="F33" s="20" t="str">
        <f>IFERROR(__xludf.DUMMYFUNCTION("IFNA(FILTER(IMPORTRANGE(""https://docs.google.com/spreadsheets/d/1kGrh75X1cNR1D7_FcY9zMnHP8iPO4M5RCRjy6nZY0TY/edit#gid=1248694442"",""Subgroup 1: Fr ~ Tx!E3:E20""), $A33=IMPORTRANGE(""https://docs.google.com/spreadsheets/d/1kGrh75X1cNR1D7_FcY9zMnHP8iPO4M5"&amp;"RCRjy6nZY0TY/edit#gid=1248694442"",""Subgroup 1: Fr ~ Tx!A3:A20"")),"""")"),"")</f>
        <v/>
      </c>
      <c r="G33" s="20" t="str">
        <f>IFERROR(__xludf.DUMMYFUNCTION("IFNA(FILTER(IMPORTRANGE(""https://docs.google.com/spreadsheets/d/1kGrh75X1cNR1D7_FcY9zMnHP8iPO4M5RCRjy6nZY0TY/edit#gid=1248694442"",""Subgroup 1: Fr ~ Tx!F3:F20""), $A33=IMPORTRANGE(""https://docs.google.com/spreadsheets/d/1kGrh75X1cNR1D7_FcY9zMnHP8iPO4M5"&amp;"RCRjy6nZY0TY/edit#gid=1248694442"",""Subgroup 1: Fr ~ Tx!A3:A20"")),"""")"),"")</f>
        <v/>
      </c>
      <c r="H33" s="20" t="str">
        <f>IFERROR(__xludf.DUMMYFUNCTION("IFNA(FILTER(IMPORTRANGE(""https://docs.google.com/spreadsheets/d/1kGrh75X1cNR1D7_FcY9zMnHP8iPO4M5RCRjy6nZY0TY/edit#gid=1248694442"",""Table 3: 1st-line HC!BD5:BD111""), $A33=IMPORTRANGE(""https://docs.google.com/spreadsheets/d/1kGrh75X1cNR1D7_FcY9zMnHP8iP"&amp;"O4M5RCRjy6nZY0TY/edit#gid=1248694442"",""Table 3: 1st-line HC!A5:A111"")),"""")"),"")</f>
        <v/>
      </c>
      <c r="I33" s="20" t="str">
        <f>IFERROR(__xludf.DUMMYFUNCTION("IFNA(FILTER(IMPORTRANGE(""https://docs.google.com/spreadsheets/d/1kGrh75X1cNR1D7_FcY9zMnHP8iPO4M5RCRjy6nZY0TY/edit#gid=1248694442"",""Subgroup 5: Tf ~ Tx!B3:B8""), $A33=IMPORTRANGE(""https://docs.google.com/spreadsheets/d/1kGrh75X1cNR1D7_FcY9zMnHP8iPO4M5R"&amp;"CRjy6nZY0TY/edit#gid=1248694442"",""Subgroup 5: Tf ~ Tx!A3:A8"")),"""")"),"")</f>
        <v/>
      </c>
      <c r="J33" s="20" t="str">
        <f>IFERROR(__xludf.DUMMYFUNCTION("IFNA(FILTER(IMPORTRANGE(""https://docs.google.com/spreadsheets/d/1kGrh75X1cNR1D7_FcY9zMnHP8iPO4M5RCRjy6nZY0TY/edit#gid=1248694442"",""Subgroup 5: Tf ~ Tx!C3:C8""), $A33=IMPORTRANGE(""https://docs.google.com/spreadsheets/d/1kGrh75X1cNR1D7_FcY9zMnHP8iPO4M5R"&amp;"CRjy6nZY0TY/edit#gid=1248694442"",""Subgroup 5: Tf ~ Tx!A3:A8"")),"""")"),"")</f>
        <v/>
      </c>
      <c r="K33" s="20" t="str">
        <f>IFERROR(__xludf.DUMMYFUNCTION("IFNA(FILTER(IMPORTRANGE(""https://docs.google.com/spreadsheets/d/1kGrh75X1cNR1D7_FcY9zMnHP8iPO4M5RCRjy6nZY0TY/edit#gid=1248694442"",""Subgroup 5: Tf ~ Tx!D3:D8""), $A33=IMPORTRANGE(""https://docs.google.com/spreadsheets/d/1kGrh75X1cNR1D7_FcY9zMnHP8iPO4M5R"&amp;"CRjy6nZY0TY/edit#gid=1248694442"",""Subgroup 5: Tf ~ Tx!A3:A8"")),"""")"),"")</f>
        <v/>
      </c>
      <c r="L33" s="20" t="str">
        <f>IFERROR(__xludf.DUMMYFUNCTION("IFNA(FILTER(IMPORTRANGE(""https://docs.google.com/spreadsheets/d/1kGrh75X1cNR1D7_FcY9zMnHP8iPO4M5RCRjy6nZY0TY/edit#gid=1248694442"",""Subgroup 5: Tf ~ Tx!E3:E8""), $A33=IMPORTRANGE(""https://docs.google.com/spreadsheets/d/1kGrh75X1cNR1D7_FcY9zMnHP8iPO4M5R"&amp;"CRjy6nZY0TY/edit#gid=1248694442"",""Subgroup 5: Tf ~ Tx!A3:A8"")),"""")"),"")</f>
        <v/>
      </c>
      <c r="M33" s="20" t="str">
        <f>IFERROR(__xludf.DUMMYFUNCTION("IFNA(FILTER(IMPORTRANGE(""https://docs.google.com/spreadsheets/d/1kGrh75X1cNR1D7_FcY9zMnHP8iPO4M5RCRjy6nZY0TY/edit#gid=1248694442"",""Subgroup 5: Tf ~ Tx!F3:F8""), $A33=IMPORTRANGE(""https://docs.google.com/spreadsheets/d/1kGrh75X1cNR1D7_FcY9zMnHP8iPO4M5R"&amp;"CRjy6nZY0TY/edit#gid=1248694442"",""Subgroup 5: Tf ~ Tx!A3:A8"")),"""")"),"")</f>
        <v/>
      </c>
      <c r="N33" s="20" t="str">
        <f>IFERROR(__xludf.DUMMYFUNCTION("IFNA(FILTER(IMPORTRANGE(""https://docs.google.com/spreadsheets/d/1kGrh75X1cNR1D7_FcY9zMnHP8iPO4M5RCRjy6nZY0TY/edit#gid=1248694442"",""Table 3: 1st-line HC!BE5:BE111""), $A33=IMPORTRANGE(""https://docs.google.com/spreadsheets/d/1kGrh75X1cNR1D7_FcY9zMnHP8iP"&amp;"O4M5RCRjy6nZY0TY/edit#gid=1248694442"",""Table 3: 1st-line HC!A5:A111"")),"""")"),"")</f>
        <v/>
      </c>
      <c r="O33" s="20" t="str">
        <f>IFERROR(__xludf.DUMMYFUNCTION("IFNA(FILTER(IMPORTRANGE(""https://docs.google.com/spreadsheets/d/1kGrh75X1cNR1D7_FcY9zMnHP8iPO4M5RCRjy6nZY0TY/edit#gid=1248694442"",""Table 3: 1st-line HC!BF5:BF111""), $A33=IMPORTRANGE(""https://docs.google.com/spreadsheets/d/1kGrh75X1cNR1D7_FcY9zMnHP8iP"&amp;"O4M5RCRjy6nZY0TY/edit#gid=1248694442"",""Table 3: 1st-line HC!A5:A111"")),"""")"),"")</f>
        <v/>
      </c>
      <c r="P33" s="20" t="str">
        <f>IFERROR(__xludf.DUMMYFUNCTION("IFNA(FILTER(IMPORTRANGE(""https://docs.google.com/spreadsheets/d/1kGrh75X1cNR1D7_FcY9zMnHP8iPO4M5RCRjy6nZY0TY/edit#gid=1248694442"",""Table 3: 1st-line HC!BG5:BG111""), $A33=IMPORTRANGE(""https://docs.google.com/spreadsheets/d/1kGrh75X1cNR1D7_FcY9zMnHP8iP"&amp;"O4M5RCRjy6nZY0TY/edit#gid=1248694442"",""Table 3: 1st-line HC!A5:A111"")),"""")"),"")</f>
        <v/>
      </c>
      <c r="Q33" s="21" t="str">
        <f>IFERROR(__xludf.DUMMYFUNCTION("IFNA(FILTER(IMPORTRANGE(""https://docs.google.com/spreadsheets/d/1kGrh75X1cNR1D7_FcY9zMnHP8iPO4M5RCRjy6nZY0TY/edit#gid=1248694442"",""Table 3: 1st-line HC!BH5:BH111""), $A33=IMPORTRANGE(""https://docs.google.com/spreadsheets/d/1kGrh75X1cNR1D7_FcY9zMnHP8iP"&amp;"O4M5RCRjy6nZY0TY/edit#gid=1248694442"",""Table 3: 1st-line HC!A5:A111"")),"""")"),"")</f>
        <v/>
      </c>
      <c r="R33" s="19" t="str">
        <f>IFERROR(__xludf.DUMMYFUNCTION("IFNA(FILTER(IMPORTRANGE(""https://docs.google.com/spreadsheets/d/1kGrh75X1cNR1D7_FcY9zMnHP8iPO4M5RCRjy6nZY0TY/edit#gid=1248694442"",""Table 3: 1st-line HC!AJ5:AJ111""), $A33=IMPORTRANGE(""https://docs.google.com/spreadsheets/d/1kGrh75X1cNR1D7_FcY9zMnHP8iP"&amp;"O4M5RCRjy6nZY0TY/edit#gid=1248694442"",""Table 3: 1st-line HC!A5:A111"")),"""")"),"")</f>
        <v/>
      </c>
      <c r="S33" s="20" t="str">
        <f>IFERROR(__xludf.DUMMYFUNCTION("IFNA(FILTER(IMPORTRANGE(""https://docs.google.com/spreadsheets/d/1kGrh75X1cNR1D7_FcY9zMnHP8iPO4M5RCRjy6nZY0TY/edit#gid=1248694442"",""Subgroup 3: Mi ~ Tx!B3:B17""), $A33=IMPORTRANGE(""https://docs.google.com/spreadsheets/d/1kGrh75X1cNR1D7_FcY9zMnHP8iPO4M5"&amp;"RCRjy6nZY0TY/edit#gid=1248694442"",""Subgroup 3: Mi ~ Tx!A3:A17"")),"""")"),"")</f>
        <v/>
      </c>
      <c r="T33" s="20" t="str">
        <f>IFERROR(__xludf.DUMMYFUNCTION("IFNA(FILTER(IMPORTRANGE(""https://docs.google.com/spreadsheets/d/1kGrh75X1cNR1D7_FcY9zMnHP8iPO4M5RCRjy6nZY0TY/edit#gid=1248694442"",""Subgroup 3: Mi ~ Tx!C3:C17""), $A33=IMPORTRANGE(""https://docs.google.com/spreadsheets/d/1kGrh75X1cNR1D7_FcY9zMnHP8iPO4M5"&amp;"RCRjy6nZY0TY/edit#gid=1248694442"",""Subgroup 3: Mi ~ Tx!A3:A17"")),"""")"),"")</f>
        <v/>
      </c>
      <c r="U33" s="20" t="str">
        <f>IFERROR(__xludf.DUMMYFUNCTION("IFNA(FILTER(IMPORTRANGE(""https://docs.google.com/spreadsheets/d/1kGrh75X1cNR1D7_FcY9zMnHP8iPO4M5RCRjy6nZY0TY/edit#gid=1248694442"",""Subgroup 3: Mi ~ Tx!D3:D17""), $A33=IMPORTRANGE(""https://docs.google.com/spreadsheets/d/1kGrh75X1cNR1D7_FcY9zMnHP8iPO4M5"&amp;"RCRjy6nZY0TY/edit#gid=1248694442"",""Subgroup 3: Mi ~ Tx!A3:A17"")),"""")"),"")</f>
        <v/>
      </c>
      <c r="V33" s="20" t="str">
        <f>IFERROR(__xludf.DUMMYFUNCTION("IFNA(FILTER(IMPORTRANGE(""https://docs.google.com/spreadsheets/d/1kGrh75X1cNR1D7_FcY9zMnHP8iPO4M5RCRjy6nZY0TY/edit#gid=1248694442"",""Subgroup 3: Mi ~ Tx!E3:E17""), $A33=IMPORTRANGE(""https://docs.google.com/spreadsheets/d/1kGrh75X1cNR1D7_FcY9zMnHP8iPO4M5"&amp;"RCRjy6nZY0TY/edit#gid=1248694442"",""Subgroup 3: Mi ~ Tx!A3:A17"")),"""")"),"")</f>
        <v/>
      </c>
      <c r="W33" s="20" t="str">
        <f>IFERROR(__xludf.DUMMYFUNCTION("IFNA(FILTER(IMPORTRANGE(""https://docs.google.com/spreadsheets/d/1kGrh75X1cNR1D7_FcY9zMnHP8iPO4M5RCRjy6nZY0TY/edit#gid=1248694442"",""Subgroup 3: Mi ~ Tx!F3:F17""), $A33=IMPORTRANGE(""https://docs.google.com/spreadsheets/d/1kGrh75X1cNR1D7_FcY9zMnHP8iPO4M5"&amp;"RCRjy6nZY0TY/edit#gid=1248694442"",""Subgroup 3: Mi ~ Tx!A3:A17"")),"""")"),"")</f>
        <v/>
      </c>
      <c r="X33" s="19" t="str">
        <f>IFERROR(__xludf.DUMMYFUNCTION("IFNA(FILTER(IMPORTRANGE(""https://docs.google.com/spreadsheets/d/1kGrh75X1cNR1D7_FcY9zMnHP8iPO4M5RCRjy6nZY0TY/edit#gid=1248694442"",""Table 3: 1st-line HC!AK5:AK111""), $A33=IMPORTRANGE(""https://docs.google.com/spreadsheets/d/1kGrh75X1cNR1D7_FcY9zMnHP8iP"&amp;"O4M5RCRjy6nZY0TY/edit#gid=1248694442"",""Table 3: 1st-line HC!A5:A111"")),"""")"),"")</f>
        <v/>
      </c>
      <c r="Y33" s="20" t="str">
        <f>IFERROR(__xludf.DUMMYFUNCTION("IFNA(FILTER(IMPORTRANGE(""https://docs.google.com/spreadsheets/d/1kGrh75X1cNR1D7_FcY9zMnHP8iPO4M5RCRjy6nZY0TY/edit#gid=1248694442"",""Subgroup 4: Mp ~ Tx!B3:B20""), $A33=IMPORTRANGE(""https://docs.google.com/spreadsheets/d/1kGrh75X1cNR1D7_FcY9zMnHP8iPO4M5"&amp;"RCRjy6nZY0TY/edit#gid=1248694442"",""Subgroup 4: Mp ~ Tx!A3:A20"")),"""")"),"")</f>
        <v/>
      </c>
      <c r="Z33" s="20" t="str">
        <f>IFERROR(__xludf.DUMMYFUNCTION("IFNA(FILTER(IMPORTRANGE(""https://docs.google.com/spreadsheets/d/1kGrh75X1cNR1D7_FcY9zMnHP8iPO4M5RCRjy6nZY0TY/edit#gid=1248694442"",""Subgroup 4: Mp ~ Tx!C3:C20""), $A33=IMPORTRANGE(""https://docs.google.com/spreadsheets/d/1kGrh75X1cNR1D7_FcY9zMnHP8iPO4M5"&amp;"RCRjy6nZY0TY/edit#gid=1248694442"",""Subgroup 4: Mp ~ Tx!A3:A20"")),"""")"),"")</f>
        <v/>
      </c>
      <c r="AA33" s="20" t="str">
        <f>IFERROR(__xludf.DUMMYFUNCTION("IFNA(FILTER(IMPORTRANGE(""https://docs.google.com/spreadsheets/d/1kGrh75X1cNR1D7_FcY9zMnHP8iPO4M5RCRjy6nZY0TY/edit#gid=1248694442"",""Subgroup 4: Mp ~ Tx!D3:D20""), $A33=IMPORTRANGE(""https://docs.google.com/spreadsheets/d/1kGrh75X1cNR1D7_FcY9zMnHP8iPO4M5"&amp;"RCRjy6nZY0TY/edit#gid=1248694442"",""Subgroup 4: Mp ~ Tx!A3:A20"")),"""")"),"")</f>
        <v/>
      </c>
      <c r="AB33" s="20" t="str">
        <f>IFERROR(__xludf.DUMMYFUNCTION("IFNA(FILTER(IMPORTRANGE(""https://docs.google.com/spreadsheets/d/1kGrh75X1cNR1D7_FcY9zMnHP8iPO4M5RCRjy6nZY0TY/edit#gid=1248694442"",""Subgroup 4: Mp ~ Tx!E3:E20""), $A33=IMPORTRANGE(""https://docs.google.com/spreadsheets/d/1kGrh75X1cNR1D7_FcY9zMnHP8iPO4M5"&amp;"RCRjy6nZY0TY/edit#gid=1248694442"",""Subgroup 4: Mp ~ Tx!A3:A20"")),"""")"),"")</f>
        <v/>
      </c>
      <c r="AC33" s="20" t="str">
        <f>IFERROR(__xludf.DUMMYFUNCTION("IFNA(FILTER(IMPORTRANGE(""https://docs.google.com/spreadsheets/d/1kGrh75X1cNR1D7_FcY9zMnHP8iPO4M5RCRjy6nZY0TY/edit#gid=1248694442"",""Subgroup 4: Mp ~ Tx!F3:F20""), $A33=IMPORTRANGE(""https://docs.google.com/spreadsheets/d/1kGrh75X1cNR1D7_FcY9zMnHP8iPO4M5"&amp;"RCRjy6nZY0TY/edit#gid=1248694442"",""Subgroup 4: Mp ~ Tx!A3:A20"")),"""")"),"")</f>
        <v/>
      </c>
      <c r="AD33" s="22" t="str">
        <f>IFERROR(__xludf.DUMMYFUNCTION("IFNA(FILTER(IMPORTRANGE(""https://docs.google.com/spreadsheets/d/1kGrh75X1cNR1D7_FcY9zMnHP8iPO4M5RCRjy6nZY0TY/edit#gid=1248694442"",""Table 3: 1st-line HC!AL5:AL111""), $A33=IMPORTRANGE(""https://docs.google.com/spreadsheets/d/1kGrh75X1cNR1D7_FcY9zMnHP8iP"&amp;"O4M5RCRjy6nZY0TY/edit#gid=1248694442"",""Table 3: 1st-line HC!A5:A111"")),"""")"),"")</f>
        <v/>
      </c>
      <c r="AE33" s="20" t="str">
        <f>IFERROR(__xludf.DUMMYFUNCTION("IFNA(FILTER(IMPORTRANGE(""https://docs.google.com/spreadsheets/d/1kGrh75X1cNR1D7_FcY9zMnHP8iPO4M5RCRjy6nZY0TY/edit#gid=1248694442"",""Table 3: 1st-line HC!BJ5:BJ111""), $A33=IMPORTRANGE(""https://docs.google.com/spreadsheets/d/1kGrh75X1cNR1D7_FcY9zMnHP8iP"&amp;"O4M5RCRjy6nZY0TY/edit#gid=1248694442"",""Table 3: 1st-line HC!A5:A111"")),"""")"),"")</f>
        <v/>
      </c>
      <c r="AF33" s="20" t="str">
        <f>IFERROR(__xludf.DUMMYFUNCTION("IFNA(FILTER(IMPORTRANGE(""https://docs.google.com/spreadsheets/d/1kGrh75X1cNR1D7_FcY9zMnHP8iPO4M5RCRjy6nZY0TY/edit#gid=1248694442"",""Subgroup 2: Cr ~ Tx!B3:B23""), $A33=IMPORTRANGE(""https://docs.google.com/spreadsheets/d/1kGrh75X1cNR1D7_FcY9zMnHP8iPO4M5"&amp;"RCRjy6nZY0TY/edit#gid=1248694442"",""Subgroup 2: Cr ~ Tx!A3:A23"")),"""")"),"")</f>
        <v/>
      </c>
      <c r="AG33" s="20" t="str">
        <f>IFERROR(__xludf.DUMMYFUNCTION("IFNA(FILTER(IMPORTRANGE(""https://docs.google.com/spreadsheets/d/1kGrh75X1cNR1D7_FcY9zMnHP8iPO4M5RCRjy6nZY0TY/edit#gid=1248694442"",""Subgroup 2: Cr ~ Tx!C3:C23""), $A33=IMPORTRANGE(""https://docs.google.com/spreadsheets/d/1kGrh75X1cNR1D7_FcY9zMnHP8iPO4M5"&amp;"RCRjy6nZY0TY/edit#gid=1248694442"",""Subgroup 2: Cr ~ Tx!A3:A23"")),"""")"),"")</f>
        <v/>
      </c>
      <c r="AH33" s="20" t="str">
        <f>IFERROR(__xludf.DUMMYFUNCTION("IFNA(FILTER(IMPORTRANGE(""https://docs.google.com/spreadsheets/d/1kGrh75X1cNR1D7_FcY9zMnHP8iPO4M5RCRjy6nZY0TY/edit#gid=1248694442"",""Subgroup 2: Cr ~ Tx!D3:D23""), $A33=IMPORTRANGE(""https://docs.google.com/spreadsheets/d/1kGrh75X1cNR1D7_FcY9zMnHP8iPO4M5"&amp;"RCRjy6nZY0TY/edit#gid=1248694442"",""Subgroup 2: Cr ~ Tx!A3:A23"")),"""")"),"")</f>
        <v/>
      </c>
      <c r="AI33" s="20" t="str">
        <f>IFERROR(__xludf.DUMMYFUNCTION("IFNA(FILTER(IMPORTRANGE(""https://docs.google.com/spreadsheets/d/1kGrh75X1cNR1D7_FcY9zMnHP8iPO4M5RCRjy6nZY0TY/edit#gid=1248694442"",""Subgroup 2: Cr ~ Tx!E3:E23""), $A33=IMPORTRANGE(""https://docs.google.com/spreadsheets/d/1kGrh75X1cNR1D7_FcY9zMnHP8iPO4M5"&amp;"RCRjy6nZY0TY/edit#gid=1248694442"",""Subgroup 2: Cr ~ Tx!A3:A23"")),"""")"),"")</f>
        <v/>
      </c>
      <c r="AJ33" s="20" t="str">
        <f>IFERROR(__xludf.DUMMYFUNCTION("IFNA(FILTER(IMPORTRANGE(""https://docs.google.com/spreadsheets/d/1kGrh75X1cNR1D7_FcY9zMnHP8iPO4M5RCRjy6nZY0TY/edit#gid=1248694442"",""Subgroup 2: Cr ~ Tx!F3:F23""), $A33=IMPORTRANGE(""https://docs.google.com/spreadsheets/d/1kGrh75X1cNR1D7_FcY9zMnHP8iPO4M5"&amp;"RCRjy6nZY0TY/edit#gid=1248694442"",""Subgroup 2: Cr ~ Tx!A3:A23"")),"""")"),"")</f>
        <v/>
      </c>
      <c r="AK33" s="14" t="str">
        <f>IFERROR(__xludf.DUMMYFUNCTION("IFNA(FILTER(IMPORTRANGE(""https://docs.google.com/spreadsheets/d/1kGrh75X1cNR1D7_FcY9zMnHP8iPO4M5RCRjy6nZY0TY/edit#gid=1248694442"",""Table 4: 2nd-line HC or more!M5:M85""), $A33=IMPORTRANGE(""https://docs.google.com/spreadsheets/d/1kGrh75X1cNR1D7_FcY9zMn"&amp;"HP8iPO4M5RCRjy6nZY0TY/edit#gid=1248694442"",""Table 4: 2nd-line HC or more!A5:A85"")),"""")"),"")</f>
        <v/>
      </c>
      <c r="AL33" s="14" t="str">
        <f>IFERROR(__xludf.DUMMYFUNCTION("IFNA(FILTER(IMPORTRANGE(""https://docs.google.com/spreadsheets/d/1kGrh75X1cNR1D7_FcY9zMnHP8iPO4M5RCRjy6nZY0TY/edit#gid=1248694442"",""Table 4: 2nd-line HC or more!N5:N85""), $A33=IMPORTRANGE(""https://docs.google.com/spreadsheets/d/1kGrh75X1cNR1D7_FcY9zMn"&amp;"HP8iPO4M5RCRjy6nZY0TY/edit#gid=1248694442"",""Table 4: 2nd-line HC or more!A5:A85"")),"""")"),"")</f>
        <v/>
      </c>
      <c r="AM33" s="14" t="str">
        <f>IFERROR(__xludf.DUMMYFUNCTION("IFNA(FILTER(IMPORTRANGE(""https://docs.google.com/spreadsheets/d/1kGrh75X1cNR1D7_FcY9zMnHP8iPO4M5RCRjy6nZY0TY/edit#gid=1248694442"",""Table 4: 2nd-line HC or more!O5:O85""), $A33=IMPORTRANGE(""https://docs.google.com/spreadsheets/d/1kGrh75X1cNR1D7_FcY9zMn"&amp;"HP8iPO4M5RCRjy6nZY0TY/edit#gid=1248694442"",""Table 4: 2nd-line HC or more!A5:A85"")),"""")"),"")</f>
        <v/>
      </c>
      <c r="AN33" s="14" t="str">
        <f>IFERROR(__xludf.DUMMYFUNCTION("IFNA(FILTER(IMPORTRANGE(""https://docs.google.com/spreadsheets/d/1kGrh75X1cNR1D7_FcY9zMnHP8iPO4M5RCRjy6nZY0TY/edit#gid=1248694442"",""Table 3: 1st-line HC!AP5:AP111""), $A33=IMPORTRANGE(""https://docs.google.com/spreadsheets/d/1kGrh75X1cNR1D7_FcY9zMnHP8iP"&amp;"O4M5RCRjy6nZY0TY/edit#gid=1248694442"",""Table 3: 1st-line HC!A5:A111"")),"""")"),"")</f>
        <v/>
      </c>
      <c r="AO33" s="14">
        <f>IFERROR(__xludf.DUMMYFUNCTION("IFNA(FILTER(IMPORTRANGE(""https://docs.google.com/spreadsheets/d/1kGrh75X1cNR1D7_FcY9zMnHP8iPO4M5RCRjy6nZY0TY/edit#gid=1248694442"",""Table 3: 1st-line HC!AO5:AO111""), $A33=IMPORTRANGE(""https://docs.google.com/spreadsheets/d/1kGrh75X1cNR1D7_FcY9zMnHP8iP"&amp;"O4M5RCRjy6nZY0TY/edit#gid=1248694442"",""Table 3: 1st-line HC!A5:A111"")),"""")"),1.0)</f>
        <v>1</v>
      </c>
      <c r="AP33" s="14">
        <f>IFERROR(__xludf.DUMMYFUNCTION("IFNA(FILTER(IMPORTRANGE(""https://docs.google.com/spreadsheets/d/1kGrh75X1cNR1D7_FcY9zMnHP8iPO4M5RCRjy6nZY0TY/edit#gid=1248694442"",""Table 3: 1st-line HC!AQ5:AQ111""), $A33=IMPORTRANGE(""https://docs.google.com/spreadsheets/d/1kGrh75X1cNR1D7_FcY9zMnHP8iP"&amp;"O4M5RCRjy6nZY0TY/edit#gid=1248694442"",""Table 3: 1st-line HC!A5:A111"")),"""")"),1.0)</f>
        <v>1</v>
      </c>
      <c r="AQ33" s="14" t="str">
        <f>IFERROR(__xludf.DUMMYFUNCTION("IFNA(FILTER(IMPORTRANGE(""https://docs.google.com/spreadsheets/d/1kGrh75X1cNR1D7_FcY9zMnHP8iPO4M5RCRjy6nZY0TY/edit#gid=1248694442"",""Table 2: MMC!T5:T114""), $A33=IMPORTRANGE(""https://docs.google.com/spreadsheets/d/1kGrh75X1cNR1D7_FcY9zMnHP8iPO4M5RCRjy6"&amp;"nZY0TY/edit#gid=1248694442"",""Table 2: MMC!A5:A114"")),"""")"),"")</f>
        <v/>
      </c>
      <c r="AR33" s="14" t="str">
        <f>IFERROR(__xludf.DUMMYFUNCTION("IFNA(FILTER(IMPORTRANGE(""https://docs.google.com/spreadsheets/d/1kGrh75X1cNR1D7_FcY9zMnHP8iPO4M5RCRjy6nZY0TY/edit#gid=1248694442"",""Table 2: MMC!U5:U114""), $A33=IMPORTRANGE(""https://docs.google.com/spreadsheets/d/1kGrh75X1cNR1D7_FcY9zMnHP8iPO4M5RCRjy6"&amp;"nZY0TY/edit#gid=1248694442"",""Table 2: MMC!A5:A114"")),"""")"),"")</f>
        <v/>
      </c>
      <c r="AS33" s="14" t="str">
        <f>IFERROR(__xludf.DUMMYFUNCTION("IFNA(FILTER(IMPORTRANGE(""https://docs.google.com/spreadsheets/d/1kGrh75X1cNR1D7_FcY9zMnHP8iPO4M5RCRjy6nZY0TY/edit#gid=1248694442"",""Table 2: MMC!V5:V114""), $A33=IMPORTRANGE(""https://docs.google.com/spreadsheets/d/1kGrh75X1cNR1D7_FcY9zMnHP8iPO4M5RCRjy6"&amp;"nZY0TY/edit#gid=1248694442"",""Table 2: MMC!A5:A114"")),"""")"),"")</f>
        <v/>
      </c>
      <c r="AT33" s="4" t="str">
        <f>IFERROR(__xludf.DUMMYFUNCTION("IFNA(FILTER(IMPORTRANGE(""https://docs.google.com/spreadsheets/d/1kGrh75X1cNR1D7_FcY9zMnHP8iPO4M5RCRjy6nZY0TY/edit#gid=1248694442"",""Table 2: MMC!W5:W114""), $A33=IMPORTRANGE(""https://docs.google.com/spreadsheets/d/1kGrh75X1cNR1D7_FcY9zMnHP8iPO4M5RCRjy6"&amp;"nZY0TY/edit#gid=1248694442"",""Table 2: MMC!A5:A114"")),"""")"),"")</f>
        <v/>
      </c>
    </row>
    <row r="34">
      <c r="A34" s="4" t="str">
        <f>IFERROR(__xludf.DUMMYFUNCTION("""COMPUTED_VALUE"""),"ID 60")</f>
        <v>ID 60</v>
      </c>
      <c r="B34" s="20" t="str">
        <f>IFERROR(__xludf.DUMMYFUNCTION("IFNA(FILTER(IMPORTRANGE(""https://docs.google.com/spreadsheets/d/1kGrh75X1cNR1D7_FcY9zMnHP8iPO4M5RCRjy6nZY0TY/edit#gid=1248694442"",""Table 3: 1st-line HC!BK5:BK111""), $A34=IMPORTRANGE(""https://docs.google.com/spreadsheets/d/1kGrh75X1cNR1D7_FcY9zMnHP8iP"&amp;"O4M5RCRjy6nZY0TY/edit#gid=1248694442"",""Table 3: 1st-line HC!A5:A111"")),"""")"),"")</f>
        <v/>
      </c>
      <c r="C34" s="20" t="str">
        <f>IFERROR(__xludf.DUMMYFUNCTION("IFNA(FILTER(IMPORTRANGE(""https://docs.google.com/spreadsheets/d/1kGrh75X1cNR1D7_FcY9zMnHP8iPO4M5RCRjy6nZY0TY/edit#gid=1248694442"",""Subgroup 1: Fr ~ Tx!B3:B20""), $A34=IMPORTRANGE(""https://docs.google.com/spreadsheets/d/1kGrh75X1cNR1D7_FcY9zMnHP8iPO4M5"&amp;"RCRjy6nZY0TY/edit#gid=1248694442"",""Subgroup 1: Fr ~ Tx!A3:A20"")),"""")"),"")</f>
        <v/>
      </c>
      <c r="D34" s="20" t="str">
        <f>IFERROR(__xludf.DUMMYFUNCTION("IFNA(FILTER(IMPORTRANGE(""https://docs.google.com/spreadsheets/d/1kGrh75X1cNR1D7_FcY9zMnHP8iPO4M5RCRjy6nZY0TY/edit#gid=1248694442"",""Subgroup 1: Fr ~ Tx!C3:C20""), $A34=IMPORTRANGE(""https://docs.google.com/spreadsheets/d/1kGrh75X1cNR1D7_FcY9zMnHP8iPO4M5"&amp;"RCRjy6nZY0TY/edit#gid=1248694442"",""Subgroup 1: Fr ~ Tx!A3:A20"")),"""")"),"")</f>
        <v/>
      </c>
      <c r="E34" s="20" t="str">
        <f>IFERROR(__xludf.DUMMYFUNCTION("IFNA(FILTER(IMPORTRANGE(""https://docs.google.com/spreadsheets/d/1kGrh75X1cNR1D7_FcY9zMnHP8iPO4M5RCRjy6nZY0TY/edit#gid=1248694442"",""Subgroup 1: Fr ~ Tx!D3:D20""), $A34=IMPORTRANGE(""https://docs.google.com/spreadsheets/d/1kGrh75X1cNR1D7_FcY9zMnHP8iPO4M5"&amp;"RCRjy6nZY0TY/edit#gid=1248694442"",""Subgroup 1: Fr ~ Tx!A3:A20"")),"""")"),"")</f>
        <v/>
      </c>
      <c r="F34" s="20" t="str">
        <f>IFERROR(__xludf.DUMMYFUNCTION("IFNA(FILTER(IMPORTRANGE(""https://docs.google.com/spreadsheets/d/1kGrh75X1cNR1D7_FcY9zMnHP8iPO4M5RCRjy6nZY0TY/edit#gid=1248694442"",""Subgroup 1: Fr ~ Tx!E3:E20""), $A34=IMPORTRANGE(""https://docs.google.com/spreadsheets/d/1kGrh75X1cNR1D7_FcY9zMnHP8iPO4M5"&amp;"RCRjy6nZY0TY/edit#gid=1248694442"",""Subgroup 1: Fr ~ Tx!A3:A20"")),"""")"),"")</f>
        <v/>
      </c>
      <c r="G34" s="20" t="str">
        <f>IFERROR(__xludf.DUMMYFUNCTION("IFNA(FILTER(IMPORTRANGE(""https://docs.google.com/spreadsheets/d/1kGrh75X1cNR1D7_FcY9zMnHP8iPO4M5RCRjy6nZY0TY/edit#gid=1248694442"",""Subgroup 1: Fr ~ Tx!F3:F20""), $A34=IMPORTRANGE(""https://docs.google.com/spreadsheets/d/1kGrh75X1cNR1D7_FcY9zMnHP8iPO4M5"&amp;"RCRjy6nZY0TY/edit#gid=1248694442"",""Subgroup 1: Fr ~ Tx!A3:A20"")),"""")"),"")</f>
        <v/>
      </c>
      <c r="H34" s="20" t="str">
        <f>IFERROR(__xludf.DUMMYFUNCTION("IFNA(FILTER(IMPORTRANGE(""https://docs.google.com/spreadsheets/d/1kGrh75X1cNR1D7_FcY9zMnHP8iPO4M5RCRjy6nZY0TY/edit#gid=1248694442"",""Table 3: 1st-line HC!BD5:BD111""), $A34=IMPORTRANGE(""https://docs.google.com/spreadsheets/d/1kGrh75X1cNR1D7_FcY9zMnHP8iP"&amp;"O4M5RCRjy6nZY0TY/edit#gid=1248694442"",""Table 3: 1st-line HC!A5:A111"")),"""")"),"")</f>
        <v/>
      </c>
      <c r="I34" s="20" t="str">
        <f>IFERROR(__xludf.DUMMYFUNCTION("IFNA(FILTER(IMPORTRANGE(""https://docs.google.com/spreadsheets/d/1kGrh75X1cNR1D7_FcY9zMnHP8iPO4M5RCRjy6nZY0TY/edit#gid=1248694442"",""Subgroup 5: Tf ~ Tx!B3:B8""), $A34=IMPORTRANGE(""https://docs.google.com/spreadsheets/d/1kGrh75X1cNR1D7_FcY9zMnHP8iPO4M5R"&amp;"CRjy6nZY0TY/edit#gid=1248694442"",""Subgroup 5: Tf ~ Tx!A3:A8"")),"""")"),"")</f>
        <v/>
      </c>
      <c r="J34" s="20" t="str">
        <f>IFERROR(__xludf.DUMMYFUNCTION("IFNA(FILTER(IMPORTRANGE(""https://docs.google.com/spreadsheets/d/1kGrh75X1cNR1D7_FcY9zMnHP8iPO4M5RCRjy6nZY0TY/edit#gid=1248694442"",""Subgroup 5: Tf ~ Tx!C3:C8""), $A34=IMPORTRANGE(""https://docs.google.com/spreadsheets/d/1kGrh75X1cNR1D7_FcY9zMnHP8iPO4M5R"&amp;"CRjy6nZY0TY/edit#gid=1248694442"",""Subgroup 5: Tf ~ Tx!A3:A8"")),"""")"),"")</f>
        <v/>
      </c>
      <c r="K34" s="20" t="str">
        <f>IFERROR(__xludf.DUMMYFUNCTION("IFNA(FILTER(IMPORTRANGE(""https://docs.google.com/spreadsheets/d/1kGrh75X1cNR1D7_FcY9zMnHP8iPO4M5RCRjy6nZY0TY/edit#gid=1248694442"",""Subgroup 5: Tf ~ Tx!D3:D8""), $A34=IMPORTRANGE(""https://docs.google.com/spreadsheets/d/1kGrh75X1cNR1D7_FcY9zMnHP8iPO4M5R"&amp;"CRjy6nZY0TY/edit#gid=1248694442"",""Subgroup 5: Tf ~ Tx!A3:A8"")),"""")"),"")</f>
        <v/>
      </c>
      <c r="L34" s="20" t="str">
        <f>IFERROR(__xludf.DUMMYFUNCTION("IFNA(FILTER(IMPORTRANGE(""https://docs.google.com/spreadsheets/d/1kGrh75X1cNR1D7_FcY9zMnHP8iPO4M5RCRjy6nZY0TY/edit#gid=1248694442"",""Subgroup 5: Tf ~ Tx!E3:E8""), $A34=IMPORTRANGE(""https://docs.google.com/spreadsheets/d/1kGrh75X1cNR1D7_FcY9zMnHP8iPO4M5R"&amp;"CRjy6nZY0TY/edit#gid=1248694442"",""Subgroup 5: Tf ~ Tx!A3:A8"")),"""")"),"")</f>
        <v/>
      </c>
      <c r="M34" s="20" t="str">
        <f>IFERROR(__xludf.DUMMYFUNCTION("IFNA(FILTER(IMPORTRANGE(""https://docs.google.com/spreadsheets/d/1kGrh75X1cNR1D7_FcY9zMnHP8iPO4M5RCRjy6nZY0TY/edit#gid=1248694442"",""Subgroup 5: Tf ~ Tx!F3:F8""), $A34=IMPORTRANGE(""https://docs.google.com/spreadsheets/d/1kGrh75X1cNR1D7_FcY9zMnHP8iPO4M5R"&amp;"CRjy6nZY0TY/edit#gid=1248694442"",""Subgroup 5: Tf ~ Tx!A3:A8"")),"""")"),"")</f>
        <v/>
      </c>
      <c r="N34" s="20" t="str">
        <f>IFERROR(__xludf.DUMMYFUNCTION("IFNA(FILTER(IMPORTRANGE(""https://docs.google.com/spreadsheets/d/1kGrh75X1cNR1D7_FcY9zMnHP8iPO4M5RCRjy6nZY0TY/edit#gid=1248694442"",""Table 3: 1st-line HC!BE5:BE111""), $A34=IMPORTRANGE(""https://docs.google.com/spreadsheets/d/1kGrh75X1cNR1D7_FcY9zMnHP8iP"&amp;"O4M5RCRjy6nZY0TY/edit#gid=1248694442"",""Table 3: 1st-line HC!A5:A111"")),"""")"),"")</f>
        <v/>
      </c>
      <c r="O34" s="20" t="str">
        <f>IFERROR(__xludf.DUMMYFUNCTION("IFNA(FILTER(IMPORTRANGE(""https://docs.google.com/spreadsheets/d/1kGrh75X1cNR1D7_FcY9zMnHP8iPO4M5RCRjy6nZY0TY/edit#gid=1248694442"",""Table 3: 1st-line HC!BF5:BF111""), $A34=IMPORTRANGE(""https://docs.google.com/spreadsheets/d/1kGrh75X1cNR1D7_FcY9zMnHP8iP"&amp;"O4M5RCRjy6nZY0TY/edit#gid=1248694442"",""Table 3: 1st-line HC!A5:A111"")),"""")"),"")</f>
        <v/>
      </c>
      <c r="P34" s="20" t="str">
        <f>IFERROR(__xludf.DUMMYFUNCTION("IFNA(FILTER(IMPORTRANGE(""https://docs.google.com/spreadsheets/d/1kGrh75X1cNR1D7_FcY9zMnHP8iPO4M5RCRjy6nZY0TY/edit#gid=1248694442"",""Table 3: 1st-line HC!BG5:BG111""), $A34=IMPORTRANGE(""https://docs.google.com/spreadsheets/d/1kGrh75X1cNR1D7_FcY9zMnHP8iP"&amp;"O4M5RCRjy6nZY0TY/edit#gid=1248694442"",""Table 3: 1st-line HC!A5:A111"")),"""")"),"")</f>
        <v/>
      </c>
      <c r="Q34" s="21" t="str">
        <f>IFERROR(__xludf.DUMMYFUNCTION("IFNA(FILTER(IMPORTRANGE(""https://docs.google.com/spreadsheets/d/1kGrh75X1cNR1D7_FcY9zMnHP8iPO4M5RCRjy6nZY0TY/edit#gid=1248694442"",""Table 3: 1st-line HC!BH5:BH111""), $A34=IMPORTRANGE(""https://docs.google.com/spreadsheets/d/1kGrh75X1cNR1D7_FcY9zMnHP8iP"&amp;"O4M5RCRjy6nZY0TY/edit#gid=1248694442"",""Table 3: 1st-line HC!A5:A111"")),"""")"),"")</f>
        <v/>
      </c>
      <c r="R34" s="19">
        <f>IFERROR(__xludf.DUMMYFUNCTION("IFNA(FILTER(IMPORTRANGE(""https://docs.google.com/spreadsheets/d/1kGrh75X1cNR1D7_FcY9zMnHP8iPO4M5RCRjy6nZY0TY/edit#gid=1248694442"",""Table 3: 1st-line HC!AJ5:AJ111""), $A34=IMPORTRANGE(""https://docs.google.com/spreadsheets/d/1kGrh75X1cNR1D7_FcY9zMnHP8iP"&amp;"O4M5RCRjy6nZY0TY/edit#gid=1248694442"",""Table 3: 1st-line HC!A5:A111"")),"""")"),0.0)</f>
        <v>0</v>
      </c>
      <c r="S34" s="20" t="str">
        <f>IFERROR(__xludf.DUMMYFUNCTION("IFNA(FILTER(IMPORTRANGE(""https://docs.google.com/spreadsheets/d/1kGrh75X1cNR1D7_FcY9zMnHP8iPO4M5RCRjy6nZY0TY/edit#gid=1248694442"",""Subgroup 3: Mi ~ Tx!B3:B17""), $A34=IMPORTRANGE(""https://docs.google.com/spreadsheets/d/1kGrh75X1cNR1D7_FcY9zMnHP8iPO4M5"&amp;"RCRjy6nZY0TY/edit#gid=1248694442"",""Subgroup 3: Mi ~ Tx!A3:A17"")),"""")"),"")</f>
        <v/>
      </c>
      <c r="T34" s="20" t="str">
        <f>IFERROR(__xludf.DUMMYFUNCTION("IFNA(FILTER(IMPORTRANGE(""https://docs.google.com/spreadsheets/d/1kGrh75X1cNR1D7_FcY9zMnHP8iPO4M5RCRjy6nZY0TY/edit#gid=1248694442"",""Subgroup 3: Mi ~ Tx!C3:C17""), $A34=IMPORTRANGE(""https://docs.google.com/spreadsheets/d/1kGrh75X1cNR1D7_FcY9zMnHP8iPO4M5"&amp;"RCRjy6nZY0TY/edit#gid=1248694442"",""Subgroup 3: Mi ~ Tx!A3:A17"")),"""")"),"")</f>
        <v/>
      </c>
      <c r="U34" s="20" t="str">
        <f>IFERROR(__xludf.DUMMYFUNCTION("IFNA(FILTER(IMPORTRANGE(""https://docs.google.com/spreadsheets/d/1kGrh75X1cNR1D7_FcY9zMnHP8iPO4M5RCRjy6nZY0TY/edit#gid=1248694442"",""Subgroup 3: Mi ~ Tx!D3:D17""), $A34=IMPORTRANGE(""https://docs.google.com/spreadsheets/d/1kGrh75X1cNR1D7_FcY9zMnHP8iPO4M5"&amp;"RCRjy6nZY0TY/edit#gid=1248694442"",""Subgroup 3: Mi ~ Tx!A3:A17"")),"""")"),"")</f>
        <v/>
      </c>
      <c r="V34" s="20">
        <f>IFERROR(__xludf.DUMMYFUNCTION("IFNA(FILTER(IMPORTRANGE(""https://docs.google.com/spreadsheets/d/1kGrh75X1cNR1D7_FcY9zMnHP8iPO4M5RCRjy6nZY0TY/edit#gid=1248694442"",""Subgroup 3: Mi ~ Tx!E3:E17""), $A34=IMPORTRANGE(""https://docs.google.com/spreadsheets/d/1kGrh75X1cNR1D7_FcY9zMnHP8iPO4M5"&amp;"RCRjy6nZY0TY/edit#gid=1248694442"",""Subgroup 3: Mi ~ Tx!A3:A17"")),"""")"),0.0)</f>
        <v>0</v>
      </c>
      <c r="W34" s="20" t="str">
        <f>IFERROR(__xludf.DUMMYFUNCTION("IFNA(FILTER(IMPORTRANGE(""https://docs.google.com/spreadsheets/d/1kGrh75X1cNR1D7_FcY9zMnHP8iPO4M5RCRjy6nZY0TY/edit#gid=1248694442"",""Subgroup 3: Mi ~ Tx!F3:F17""), $A34=IMPORTRANGE(""https://docs.google.com/spreadsheets/d/1kGrh75X1cNR1D7_FcY9zMnHP8iPO4M5"&amp;"RCRjy6nZY0TY/edit#gid=1248694442"",""Subgroup 3: Mi ~ Tx!A3:A17"")),"""")"),"")</f>
        <v/>
      </c>
      <c r="X34" s="19">
        <f>IFERROR(__xludf.DUMMYFUNCTION("IFNA(FILTER(IMPORTRANGE(""https://docs.google.com/spreadsheets/d/1kGrh75X1cNR1D7_FcY9zMnHP8iPO4M5RCRjy6nZY0TY/edit#gid=1248694442"",""Table 3: 1st-line HC!AK5:AK111""), $A34=IMPORTRANGE(""https://docs.google.com/spreadsheets/d/1kGrh75X1cNR1D7_FcY9zMnHP8iP"&amp;"O4M5RCRjy6nZY0TY/edit#gid=1248694442"",""Table 3: 1st-line HC!A5:A111"")),"""")"),0.0)</f>
        <v>0</v>
      </c>
      <c r="Y34" s="20" t="str">
        <f>IFERROR(__xludf.DUMMYFUNCTION("IFNA(FILTER(IMPORTRANGE(""https://docs.google.com/spreadsheets/d/1kGrh75X1cNR1D7_FcY9zMnHP8iPO4M5RCRjy6nZY0TY/edit#gid=1248694442"",""Subgroup 4: Mp ~ Tx!B3:B20""), $A34=IMPORTRANGE(""https://docs.google.com/spreadsheets/d/1kGrh75X1cNR1D7_FcY9zMnHP8iPO4M5"&amp;"RCRjy6nZY0TY/edit#gid=1248694442"",""Subgroup 4: Mp ~ Tx!A3:A20"")),"""")"),"")</f>
        <v/>
      </c>
      <c r="Z34" s="20" t="str">
        <f>IFERROR(__xludf.DUMMYFUNCTION("IFNA(FILTER(IMPORTRANGE(""https://docs.google.com/spreadsheets/d/1kGrh75X1cNR1D7_FcY9zMnHP8iPO4M5RCRjy6nZY0TY/edit#gid=1248694442"",""Subgroup 4: Mp ~ Tx!C3:C20""), $A34=IMPORTRANGE(""https://docs.google.com/spreadsheets/d/1kGrh75X1cNR1D7_FcY9zMnHP8iPO4M5"&amp;"RCRjy6nZY0TY/edit#gid=1248694442"",""Subgroup 4: Mp ~ Tx!A3:A20"")),"""")"),"")</f>
        <v/>
      </c>
      <c r="AA34" s="20" t="str">
        <f>IFERROR(__xludf.DUMMYFUNCTION("IFNA(FILTER(IMPORTRANGE(""https://docs.google.com/spreadsheets/d/1kGrh75X1cNR1D7_FcY9zMnHP8iPO4M5RCRjy6nZY0TY/edit#gid=1248694442"",""Subgroup 4: Mp ~ Tx!D3:D20""), $A34=IMPORTRANGE(""https://docs.google.com/spreadsheets/d/1kGrh75X1cNR1D7_FcY9zMnHP8iPO4M5"&amp;"RCRjy6nZY0TY/edit#gid=1248694442"",""Subgroup 4: Mp ~ Tx!A3:A20"")),"""")"),"")</f>
        <v/>
      </c>
      <c r="AB34" s="20">
        <f>IFERROR(__xludf.DUMMYFUNCTION("IFNA(FILTER(IMPORTRANGE(""https://docs.google.com/spreadsheets/d/1kGrh75X1cNR1D7_FcY9zMnHP8iPO4M5RCRjy6nZY0TY/edit#gid=1248694442"",""Subgroup 4: Mp ~ Tx!E3:E20""), $A34=IMPORTRANGE(""https://docs.google.com/spreadsheets/d/1kGrh75X1cNR1D7_FcY9zMnHP8iPO4M5"&amp;"RCRjy6nZY0TY/edit#gid=1248694442"",""Subgroup 4: Mp ~ Tx!A3:A20"")),"""")"),0.0)</f>
        <v>0</v>
      </c>
      <c r="AC34" s="20" t="str">
        <f>IFERROR(__xludf.DUMMYFUNCTION("IFNA(FILTER(IMPORTRANGE(""https://docs.google.com/spreadsheets/d/1kGrh75X1cNR1D7_FcY9zMnHP8iPO4M5RCRjy6nZY0TY/edit#gid=1248694442"",""Subgroup 4: Mp ~ Tx!F3:F20""), $A34=IMPORTRANGE(""https://docs.google.com/spreadsheets/d/1kGrh75X1cNR1D7_FcY9zMnHP8iPO4M5"&amp;"RCRjy6nZY0TY/edit#gid=1248694442"",""Subgroup 4: Mp ~ Tx!A3:A20"")),"""")"),"")</f>
        <v/>
      </c>
      <c r="AD34" s="22" t="str">
        <f>IFERROR(__xludf.DUMMYFUNCTION("IFNA(FILTER(IMPORTRANGE(""https://docs.google.com/spreadsheets/d/1kGrh75X1cNR1D7_FcY9zMnHP8iPO4M5RCRjy6nZY0TY/edit#gid=1248694442"",""Table 3: 1st-line HC!AL5:AL111""), $A34=IMPORTRANGE(""https://docs.google.com/spreadsheets/d/1kGrh75X1cNR1D7_FcY9zMnHP8iP"&amp;"O4M5RCRjy6nZY0TY/edit#gid=1248694442"",""Table 3: 1st-line HC!A5:A111"")),"""")"),"")</f>
        <v/>
      </c>
      <c r="AE34" s="20" t="str">
        <f>IFERROR(__xludf.DUMMYFUNCTION("IFNA(FILTER(IMPORTRANGE(""https://docs.google.com/spreadsheets/d/1kGrh75X1cNR1D7_FcY9zMnHP8iPO4M5RCRjy6nZY0TY/edit#gid=1248694442"",""Table 3: 1st-line HC!BJ5:BJ111""), $A34=IMPORTRANGE(""https://docs.google.com/spreadsheets/d/1kGrh75X1cNR1D7_FcY9zMnHP8iP"&amp;"O4M5RCRjy6nZY0TY/edit#gid=1248694442"",""Table 3: 1st-line HC!A5:A111"")),"""")"),"")</f>
        <v/>
      </c>
      <c r="AF34" s="20" t="str">
        <f>IFERROR(__xludf.DUMMYFUNCTION("IFNA(FILTER(IMPORTRANGE(""https://docs.google.com/spreadsheets/d/1kGrh75X1cNR1D7_FcY9zMnHP8iPO4M5RCRjy6nZY0TY/edit#gid=1248694442"",""Subgroup 2: Cr ~ Tx!B3:B23""), $A34=IMPORTRANGE(""https://docs.google.com/spreadsheets/d/1kGrh75X1cNR1D7_FcY9zMnHP8iPO4M5"&amp;"RCRjy6nZY0TY/edit#gid=1248694442"",""Subgroup 2: Cr ~ Tx!A3:A23"")),"""")"),"")</f>
        <v/>
      </c>
      <c r="AG34" s="20" t="str">
        <f>IFERROR(__xludf.DUMMYFUNCTION("IFNA(FILTER(IMPORTRANGE(""https://docs.google.com/spreadsheets/d/1kGrh75X1cNR1D7_FcY9zMnHP8iPO4M5RCRjy6nZY0TY/edit#gid=1248694442"",""Subgroup 2: Cr ~ Tx!C3:C23""), $A34=IMPORTRANGE(""https://docs.google.com/spreadsheets/d/1kGrh75X1cNR1D7_FcY9zMnHP8iPO4M5"&amp;"RCRjy6nZY0TY/edit#gid=1248694442"",""Subgroup 2: Cr ~ Tx!A3:A23"")),"""")"),"")</f>
        <v/>
      </c>
      <c r="AH34" s="20" t="str">
        <f>IFERROR(__xludf.DUMMYFUNCTION("IFNA(FILTER(IMPORTRANGE(""https://docs.google.com/spreadsheets/d/1kGrh75X1cNR1D7_FcY9zMnHP8iPO4M5RCRjy6nZY0TY/edit#gid=1248694442"",""Subgroup 2: Cr ~ Tx!D3:D23""), $A34=IMPORTRANGE(""https://docs.google.com/spreadsheets/d/1kGrh75X1cNR1D7_FcY9zMnHP8iPO4M5"&amp;"RCRjy6nZY0TY/edit#gid=1248694442"",""Subgroup 2: Cr ~ Tx!A3:A23"")),"""")"),"")</f>
        <v/>
      </c>
      <c r="AI34" s="20" t="str">
        <f>IFERROR(__xludf.DUMMYFUNCTION("IFNA(FILTER(IMPORTRANGE(""https://docs.google.com/spreadsheets/d/1kGrh75X1cNR1D7_FcY9zMnHP8iPO4M5RCRjy6nZY0TY/edit#gid=1248694442"",""Subgroup 2: Cr ~ Tx!E3:E23""), $A34=IMPORTRANGE(""https://docs.google.com/spreadsheets/d/1kGrh75X1cNR1D7_FcY9zMnHP8iPO4M5"&amp;"RCRjy6nZY0TY/edit#gid=1248694442"",""Subgroup 2: Cr ~ Tx!A3:A23"")),"""")"),"")</f>
        <v/>
      </c>
      <c r="AJ34" s="20" t="str">
        <f>IFERROR(__xludf.DUMMYFUNCTION("IFNA(FILTER(IMPORTRANGE(""https://docs.google.com/spreadsheets/d/1kGrh75X1cNR1D7_FcY9zMnHP8iPO4M5RCRjy6nZY0TY/edit#gid=1248694442"",""Subgroup 2: Cr ~ Tx!F3:F23""), $A34=IMPORTRANGE(""https://docs.google.com/spreadsheets/d/1kGrh75X1cNR1D7_FcY9zMnHP8iPO4M5"&amp;"RCRjy6nZY0TY/edit#gid=1248694442"",""Subgroup 2: Cr ~ Tx!A3:A23"")),"""")"),"")</f>
        <v/>
      </c>
      <c r="AK34" s="14" t="str">
        <f>IFERROR(__xludf.DUMMYFUNCTION("IFNA(FILTER(IMPORTRANGE(""https://docs.google.com/spreadsheets/d/1kGrh75X1cNR1D7_FcY9zMnHP8iPO4M5RCRjy6nZY0TY/edit#gid=1248694442"",""Table 4: 2nd-line HC or more!M5:M85""), $A34=IMPORTRANGE(""https://docs.google.com/spreadsheets/d/1kGrh75X1cNR1D7_FcY9zMn"&amp;"HP8iPO4M5RCRjy6nZY0TY/edit#gid=1248694442"",""Table 4: 2nd-line HC or more!A5:A85"")),"""")"),"")</f>
        <v/>
      </c>
      <c r="AL34" s="14" t="str">
        <f>IFERROR(__xludf.DUMMYFUNCTION("IFNA(FILTER(IMPORTRANGE(""https://docs.google.com/spreadsheets/d/1kGrh75X1cNR1D7_FcY9zMnHP8iPO4M5RCRjy6nZY0TY/edit#gid=1248694442"",""Table 4: 2nd-line HC or more!N5:N85""), $A34=IMPORTRANGE(""https://docs.google.com/spreadsheets/d/1kGrh75X1cNR1D7_FcY9zMn"&amp;"HP8iPO4M5RCRjy6nZY0TY/edit#gid=1248694442"",""Table 4: 2nd-line HC or more!A5:A85"")),"""")"),"")</f>
        <v/>
      </c>
      <c r="AM34" s="14" t="str">
        <f>IFERROR(__xludf.DUMMYFUNCTION("IFNA(FILTER(IMPORTRANGE(""https://docs.google.com/spreadsheets/d/1kGrh75X1cNR1D7_FcY9zMnHP8iPO4M5RCRjy6nZY0TY/edit#gid=1248694442"",""Table 4: 2nd-line HC or more!O5:O85""), $A34=IMPORTRANGE(""https://docs.google.com/spreadsheets/d/1kGrh75X1cNR1D7_FcY9zMn"&amp;"HP8iPO4M5RCRjy6nZY0TY/edit#gid=1248694442"",""Table 4: 2nd-line HC or more!A5:A85"")),"""")"),"")</f>
        <v/>
      </c>
      <c r="AN34" s="14" t="str">
        <f>IFERROR(__xludf.DUMMYFUNCTION("IFNA(FILTER(IMPORTRANGE(""https://docs.google.com/spreadsheets/d/1kGrh75X1cNR1D7_FcY9zMnHP8iPO4M5RCRjy6nZY0TY/edit#gid=1248694442"",""Table 3: 1st-line HC!AP5:AP111""), $A34=IMPORTRANGE(""https://docs.google.com/spreadsheets/d/1kGrh75X1cNR1D7_FcY9zMnHP8iP"&amp;"O4M5RCRjy6nZY0TY/edit#gid=1248694442"",""Table 3: 1st-line HC!A5:A111"")),"""")"),"")</f>
        <v/>
      </c>
      <c r="AO34" s="14" t="str">
        <f>IFERROR(__xludf.DUMMYFUNCTION("IFNA(FILTER(IMPORTRANGE(""https://docs.google.com/spreadsheets/d/1kGrh75X1cNR1D7_FcY9zMnHP8iPO4M5RCRjy6nZY0TY/edit#gid=1248694442"",""Table 3: 1st-line HC!AO5:AO111""), $A34=IMPORTRANGE(""https://docs.google.com/spreadsheets/d/1kGrh75X1cNR1D7_FcY9zMnHP8iP"&amp;"O4M5RCRjy6nZY0TY/edit#gid=1248694442"",""Table 3: 1st-line HC!A5:A111"")),"""")"),"")</f>
        <v/>
      </c>
      <c r="AP34" s="14" t="str">
        <f>IFERROR(__xludf.DUMMYFUNCTION("IFNA(FILTER(IMPORTRANGE(""https://docs.google.com/spreadsheets/d/1kGrh75X1cNR1D7_FcY9zMnHP8iPO4M5RCRjy6nZY0TY/edit#gid=1248694442"",""Table 3: 1st-line HC!AQ5:AQ111""), $A34=IMPORTRANGE(""https://docs.google.com/spreadsheets/d/1kGrh75X1cNR1D7_FcY9zMnHP8iP"&amp;"O4M5RCRjy6nZY0TY/edit#gid=1248694442"",""Table 3: 1st-line HC!A5:A111"")),"""")"),"")</f>
        <v/>
      </c>
      <c r="AQ34" s="14" t="str">
        <f>IFERROR(__xludf.DUMMYFUNCTION("IFNA(FILTER(IMPORTRANGE(""https://docs.google.com/spreadsheets/d/1kGrh75X1cNR1D7_FcY9zMnHP8iPO4M5RCRjy6nZY0TY/edit#gid=1248694442"",""Table 2: MMC!T5:T114""), $A34=IMPORTRANGE(""https://docs.google.com/spreadsheets/d/1kGrh75X1cNR1D7_FcY9zMnHP8iPO4M5RCRjy6"&amp;"nZY0TY/edit#gid=1248694442"",""Table 2: MMC!A5:A114"")),"""")"),"")</f>
        <v/>
      </c>
      <c r="AR34" s="14" t="str">
        <f>IFERROR(__xludf.DUMMYFUNCTION("IFNA(FILTER(IMPORTRANGE(""https://docs.google.com/spreadsheets/d/1kGrh75X1cNR1D7_FcY9zMnHP8iPO4M5RCRjy6nZY0TY/edit#gid=1248694442"",""Table 2: MMC!U5:U114""), $A34=IMPORTRANGE(""https://docs.google.com/spreadsheets/d/1kGrh75X1cNR1D7_FcY9zMnHP8iPO4M5RCRjy6"&amp;"nZY0TY/edit#gid=1248694442"",""Table 2: MMC!A5:A114"")),"""")"),"")</f>
        <v/>
      </c>
      <c r="AS34" s="14" t="str">
        <f>IFERROR(__xludf.DUMMYFUNCTION("IFNA(FILTER(IMPORTRANGE(""https://docs.google.com/spreadsheets/d/1kGrh75X1cNR1D7_FcY9zMnHP8iPO4M5RCRjy6nZY0TY/edit#gid=1248694442"",""Table 2: MMC!V5:V114""), $A34=IMPORTRANGE(""https://docs.google.com/spreadsheets/d/1kGrh75X1cNR1D7_FcY9zMnHP8iPO4M5RCRjy6"&amp;"nZY0TY/edit#gid=1248694442"",""Table 2: MMC!A5:A114"")),"""")"),"")</f>
        <v/>
      </c>
      <c r="AT34" s="4" t="str">
        <f>IFERROR(__xludf.DUMMYFUNCTION("IFNA(FILTER(IMPORTRANGE(""https://docs.google.com/spreadsheets/d/1kGrh75X1cNR1D7_FcY9zMnHP8iPO4M5RCRjy6nZY0TY/edit#gid=1248694442"",""Table 2: MMC!W5:W114""), $A34=IMPORTRANGE(""https://docs.google.com/spreadsheets/d/1kGrh75X1cNR1D7_FcY9zMnHP8iPO4M5RCRjy6"&amp;"nZY0TY/edit#gid=1248694442"",""Table 2: MMC!A5:A114"")),"""")"),"")</f>
        <v/>
      </c>
    </row>
    <row r="35">
      <c r="A35" s="4" t="str">
        <f>IFERROR(__xludf.DUMMYFUNCTION("""COMPUTED_VALUE"""),"ID 66")</f>
        <v>ID 66</v>
      </c>
      <c r="B35" s="20" t="str">
        <f>IFERROR(__xludf.DUMMYFUNCTION("IFNA(FILTER(IMPORTRANGE(""https://docs.google.com/spreadsheets/d/1kGrh75X1cNR1D7_FcY9zMnHP8iPO4M5RCRjy6nZY0TY/edit#gid=1248694442"",""Table 3: 1st-line HC!BK5:BK111""), $A35=IMPORTRANGE(""https://docs.google.com/spreadsheets/d/1kGrh75X1cNR1D7_FcY9zMnHP8iP"&amp;"O4M5RCRjy6nZY0TY/edit#gid=1248694442"",""Table 3: 1st-line HC!A5:A111"")),"""")"),"")</f>
        <v/>
      </c>
      <c r="C35" s="20" t="str">
        <f>IFERROR(__xludf.DUMMYFUNCTION("IFNA(FILTER(IMPORTRANGE(""https://docs.google.com/spreadsheets/d/1kGrh75X1cNR1D7_FcY9zMnHP8iPO4M5RCRjy6nZY0TY/edit#gid=1248694442"",""Subgroup 1: Fr ~ Tx!B3:B20""), $A35=IMPORTRANGE(""https://docs.google.com/spreadsheets/d/1kGrh75X1cNR1D7_FcY9zMnHP8iPO4M5"&amp;"RCRjy6nZY0TY/edit#gid=1248694442"",""Subgroup 1: Fr ~ Tx!A3:A20"")),"""")"),"")</f>
        <v/>
      </c>
      <c r="D35" s="20" t="str">
        <f>IFERROR(__xludf.DUMMYFUNCTION("IFNA(FILTER(IMPORTRANGE(""https://docs.google.com/spreadsheets/d/1kGrh75X1cNR1D7_FcY9zMnHP8iPO4M5RCRjy6nZY0TY/edit#gid=1248694442"",""Subgroup 1: Fr ~ Tx!C3:C20""), $A35=IMPORTRANGE(""https://docs.google.com/spreadsheets/d/1kGrh75X1cNR1D7_FcY9zMnHP8iPO4M5"&amp;"RCRjy6nZY0TY/edit#gid=1248694442"",""Subgroup 1: Fr ~ Tx!A3:A20"")),"""")"),"")</f>
        <v/>
      </c>
      <c r="E35" s="20" t="str">
        <f>IFERROR(__xludf.DUMMYFUNCTION("IFNA(FILTER(IMPORTRANGE(""https://docs.google.com/spreadsheets/d/1kGrh75X1cNR1D7_FcY9zMnHP8iPO4M5RCRjy6nZY0TY/edit#gid=1248694442"",""Subgroup 1: Fr ~ Tx!D3:D20""), $A35=IMPORTRANGE(""https://docs.google.com/spreadsheets/d/1kGrh75X1cNR1D7_FcY9zMnHP8iPO4M5"&amp;"RCRjy6nZY0TY/edit#gid=1248694442"",""Subgroup 1: Fr ~ Tx!A3:A20"")),"""")"),"")</f>
        <v/>
      </c>
      <c r="F35" s="20" t="str">
        <f>IFERROR(__xludf.DUMMYFUNCTION("IFNA(FILTER(IMPORTRANGE(""https://docs.google.com/spreadsheets/d/1kGrh75X1cNR1D7_FcY9zMnHP8iPO4M5RCRjy6nZY0TY/edit#gid=1248694442"",""Subgroup 1: Fr ~ Tx!E3:E20""), $A35=IMPORTRANGE(""https://docs.google.com/spreadsheets/d/1kGrh75X1cNR1D7_FcY9zMnHP8iPO4M5"&amp;"RCRjy6nZY0TY/edit#gid=1248694442"",""Subgroup 1: Fr ~ Tx!A3:A20"")),"""")"),"")</f>
        <v/>
      </c>
      <c r="G35" s="20" t="str">
        <f>IFERROR(__xludf.DUMMYFUNCTION("IFNA(FILTER(IMPORTRANGE(""https://docs.google.com/spreadsheets/d/1kGrh75X1cNR1D7_FcY9zMnHP8iPO4M5RCRjy6nZY0TY/edit#gid=1248694442"",""Subgroup 1: Fr ~ Tx!F3:F20""), $A35=IMPORTRANGE(""https://docs.google.com/spreadsheets/d/1kGrh75X1cNR1D7_FcY9zMnHP8iPO4M5"&amp;"RCRjy6nZY0TY/edit#gid=1248694442"",""Subgroup 1: Fr ~ Tx!A3:A20"")),"""")"),"")</f>
        <v/>
      </c>
      <c r="H35" s="20" t="str">
        <f>IFERROR(__xludf.DUMMYFUNCTION("IFNA(FILTER(IMPORTRANGE(""https://docs.google.com/spreadsheets/d/1kGrh75X1cNR1D7_FcY9zMnHP8iPO4M5RCRjy6nZY0TY/edit#gid=1248694442"",""Table 3: 1st-line HC!BD5:BD111""), $A35=IMPORTRANGE(""https://docs.google.com/spreadsheets/d/1kGrh75X1cNR1D7_FcY9zMnHP8iP"&amp;"O4M5RCRjy6nZY0TY/edit#gid=1248694442"",""Table 3: 1st-line HC!A5:A111"")),"""")"),"")</f>
        <v/>
      </c>
      <c r="I35" s="20" t="str">
        <f>IFERROR(__xludf.DUMMYFUNCTION("IFNA(FILTER(IMPORTRANGE(""https://docs.google.com/spreadsheets/d/1kGrh75X1cNR1D7_FcY9zMnHP8iPO4M5RCRjy6nZY0TY/edit#gid=1248694442"",""Subgroup 5: Tf ~ Tx!B3:B8""), $A35=IMPORTRANGE(""https://docs.google.com/spreadsheets/d/1kGrh75X1cNR1D7_FcY9zMnHP8iPO4M5R"&amp;"CRjy6nZY0TY/edit#gid=1248694442"",""Subgroup 5: Tf ~ Tx!A3:A8"")),"""")"),"")</f>
        <v/>
      </c>
      <c r="J35" s="20" t="str">
        <f>IFERROR(__xludf.DUMMYFUNCTION("IFNA(FILTER(IMPORTRANGE(""https://docs.google.com/spreadsheets/d/1kGrh75X1cNR1D7_FcY9zMnHP8iPO4M5RCRjy6nZY0TY/edit#gid=1248694442"",""Subgroup 5: Tf ~ Tx!C3:C8""), $A35=IMPORTRANGE(""https://docs.google.com/spreadsheets/d/1kGrh75X1cNR1D7_FcY9zMnHP8iPO4M5R"&amp;"CRjy6nZY0TY/edit#gid=1248694442"",""Subgroup 5: Tf ~ Tx!A3:A8"")),"""")"),"")</f>
        <v/>
      </c>
      <c r="K35" s="20" t="str">
        <f>IFERROR(__xludf.DUMMYFUNCTION("IFNA(FILTER(IMPORTRANGE(""https://docs.google.com/spreadsheets/d/1kGrh75X1cNR1D7_FcY9zMnHP8iPO4M5RCRjy6nZY0TY/edit#gid=1248694442"",""Subgroup 5: Tf ~ Tx!D3:D8""), $A35=IMPORTRANGE(""https://docs.google.com/spreadsheets/d/1kGrh75X1cNR1D7_FcY9zMnHP8iPO4M5R"&amp;"CRjy6nZY0TY/edit#gid=1248694442"",""Subgroup 5: Tf ~ Tx!A3:A8"")),"""")"),"")</f>
        <v/>
      </c>
      <c r="L35" s="20" t="str">
        <f>IFERROR(__xludf.DUMMYFUNCTION("IFNA(FILTER(IMPORTRANGE(""https://docs.google.com/spreadsheets/d/1kGrh75X1cNR1D7_FcY9zMnHP8iPO4M5RCRjy6nZY0TY/edit#gid=1248694442"",""Subgroup 5: Tf ~ Tx!E3:E8""), $A35=IMPORTRANGE(""https://docs.google.com/spreadsheets/d/1kGrh75X1cNR1D7_FcY9zMnHP8iPO4M5R"&amp;"CRjy6nZY0TY/edit#gid=1248694442"",""Subgroup 5: Tf ~ Tx!A3:A8"")),"""")"),"")</f>
        <v/>
      </c>
      <c r="M35" s="20" t="str">
        <f>IFERROR(__xludf.DUMMYFUNCTION("IFNA(FILTER(IMPORTRANGE(""https://docs.google.com/spreadsheets/d/1kGrh75X1cNR1D7_FcY9zMnHP8iPO4M5RCRjy6nZY0TY/edit#gid=1248694442"",""Subgroup 5: Tf ~ Tx!F3:F8""), $A35=IMPORTRANGE(""https://docs.google.com/spreadsheets/d/1kGrh75X1cNR1D7_FcY9zMnHP8iPO4M5R"&amp;"CRjy6nZY0TY/edit#gid=1248694442"",""Subgroup 5: Tf ~ Tx!A3:A8"")),"""")"),"")</f>
        <v/>
      </c>
      <c r="N35" s="20" t="str">
        <f>IFERROR(__xludf.DUMMYFUNCTION("IFNA(FILTER(IMPORTRANGE(""https://docs.google.com/spreadsheets/d/1kGrh75X1cNR1D7_FcY9zMnHP8iPO4M5RCRjy6nZY0TY/edit#gid=1248694442"",""Table 3: 1st-line HC!BE5:BE111""), $A35=IMPORTRANGE(""https://docs.google.com/spreadsheets/d/1kGrh75X1cNR1D7_FcY9zMnHP8iP"&amp;"O4M5RCRjy6nZY0TY/edit#gid=1248694442"",""Table 3: 1st-line HC!A5:A111"")),"""")"),"")</f>
        <v/>
      </c>
      <c r="O35" s="20" t="str">
        <f>IFERROR(__xludf.DUMMYFUNCTION("IFNA(FILTER(IMPORTRANGE(""https://docs.google.com/spreadsheets/d/1kGrh75X1cNR1D7_FcY9zMnHP8iPO4M5RCRjy6nZY0TY/edit#gid=1248694442"",""Table 3: 1st-line HC!BF5:BF111""), $A35=IMPORTRANGE(""https://docs.google.com/spreadsheets/d/1kGrh75X1cNR1D7_FcY9zMnHP8iP"&amp;"O4M5RCRjy6nZY0TY/edit#gid=1248694442"",""Table 3: 1st-line HC!A5:A111"")),"""")"),"")</f>
        <v/>
      </c>
      <c r="P35" s="20" t="str">
        <f>IFERROR(__xludf.DUMMYFUNCTION("IFNA(FILTER(IMPORTRANGE(""https://docs.google.com/spreadsheets/d/1kGrh75X1cNR1D7_FcY9zMnHP8iPO4M5RCRjy6nZY0TY/edit#gid=1248694442"",""Table 3: 1st-line HC!BG5:BG111""), $A35=IMPORTRANGE(""https://docs.google.com/spreadsheets/d/1kGrh75X1cNR1D7_FcY9zMnHP8iP"&amp;"O4M5RCRjy6nZY0TY/edit#gid=1248694442"",""Table 3: 1st-line HC!A5:A111"")),"""")"),"")</f>
        <v/>
      </c>
      <c r="Q35" s="21" t="str">
        <f>IFERROR(__xludf.DUMMYFUNCTION("IFNA(FILTER(IMPORTRANGE(""https://docs.google.com/spreadsheets/d/1kGrh75X1cNR1D7_FcY9zMnHP8iPO4M5RCRjy6nZY0TY/edit#gid=1248694442"",""Table 3: 1st-line HC!BH5:BH111""), $A35=IMPORTRANGE(""https://docs.google.com/spreadsheets/d/1kGrh75X1cNR1D7_FcY9zMnHP8iP"&amp;"O4M5RCRjy6nZY0TY/edit#gid=1248694442"",""Table 3: 1st-line HC!A5:A111"")),"""")"),"")</f>
        <v/>
      </c>
      <c r="R35" s="19" t="str">
        <f>IFERROR(__xludf.DUMMYFUNCTION("IFNA(FILTER(IMPORTRANGE(""https://docs.google.com/spreadsheets/d/1kGrh75X1cNR1D7_FcY9zMnHP8iPO4M5RCRjy6nZY0TY/edit#gid=1248694442"",""Table 3: 1st-line HC!AJ5:AJ111""), $A35=IMPORTRANGE(""https://docs.google.com/spreadsheets/d/1kGrh75X1cNR1D7_FcY9zMnHP8iP"&amp;"O4M5RCRjy6nZY0TY/edit#gid=1248694442"",""Table 3: 1st-line HC!A5:A111"")),"""")"),"")</f>
        <v/>
      </c>
      <c r="S35" s="20" t="str">
        <f>IFERROR(__xludf.DUMMYFUNCTION("IFNA(FILTER(IMPORTRANGE(""https://docs.google.com/spreadsheets/d/1kGrh75X1cNR1D7_FcY9zMnHP8iPO4M5RCRjy6nZY0TY/edit#gid=1248694442"",""Subgroup 3: Mi ~ Tx!B3:B17""), $A35=IMPORTRANGE(""https://docs.google.com/spreadsheets/d/1kGrh75X1cNR1D7_FcY9zMnHP8iPO4M5"&amp;"RCRjy6nZY0TY/edit#gid=1248694442"",""Subgroup 3: Mi ~ Tx!A3:A17"")),"""")"),"")</f>
        <v/>
      </c>
      <c r="T35" s="20" t="str">
        <f>IFERROR(__xludf.DUMMYFUNCTION("IFNA(FILTER(IMPORTRANGE(""https://docs.google.com/spreadsheets/d/1kGrh75X1cNR1D7_FcY9zMnHP8iPO4M5RCRjy6nZY0TY/edit#gid=1248694442"",""Subgroup 3: Mi ~ Tx!C3:C17""), $A35=IMPORTRANGE(""https://docs.google.com/spreadsheets/d/1kGrh75X1cNR1D7_FcY9zMnHP8iPO4M5"&amp;"RCRjy6nZY0TY/edit#gid=1248694442"",""Subgroup 3: Mi ~ Tx!A3:A17"")),"""")"),"")</f>
        <v/>
      </c>
      <c r="U35" s="20" t="str">
        <f>IFERROR(__xludf.DUMMYFUNCTION("IFNA(FILTER(IMPORTRANGE(""https://docs.google.com/spreadsheets/d/1kGrh75X1cNR1D7_FcY9zMnHP8iPO4M5RCRjy6nZY0TY/edit#gid=1248694442"",""Subgroup 3: Mi ~ Tx!D3:D17""), $A35=IMPORTRANGE(""https://docs.google.com/spreadsheets/d/1kGrh75X1cNR1D7_FcY9zMnHP8iPO4M5"&amp;"RCRjy6nZY0TY/edit#gid=1248694442"",""Subgroup 3: Mi ~ Tx!A3:A17"")),"""")"),"")</f>
        <v/>
      </c>
      <c r="V35" s="20" t="str">
        <f>IFERROR(__xludf.DUMMYFUNCTION("IFNA(FILTER(IMPORTRANGE(""https://docs.google.com/spreadsheets/d/1kGrh75X1cNR1D7_FcY9zMnHP8iPO4M5RCRjy6nZY0TY/edit#gid=1248694442"",""Subgroup 3: Mi ~ Tx!E3:E17""), $A35=IMPORTRANGE(""https://docs.google.com/spreadsheets/d/1kGrh75X1cNR1D7_FcY9zMnHP8iPO4M5"&amp;"RCRjy6nZY0TY/edit#gid=1248694442"",""Subgroup 3: Mi ~ Tx!A3:A17"")),"""")"),"")</f>
        <v/>
      </c>
      <c r="W35" s="20" t="str">
        <f>IFERROR(__xludf.DUMMYFUNCTION("IFNA(FILTER(IMPORTRANGE(""https://docs.google.com/spreadsheets/d/1kGrh75X1cNR1D7_FcY9zMnHP8iPO4M5RCRjy6nZY0TY/edit#gid=1248694442"",""Subgroup 3: Mi ~ Tx!F3:F17""), $A35=IMPORTRANGE(""https://docs.google.com/spreadsheets/d/1kGrh75X1cNR1D7_FcY9zMnHP8iPO4M5"&amp;"RCRjy6nZY0TY/edit#gid=1248694442"",""Subgroup 3: Mi ~ Tx!A3:A17"")),"""")"),"")</f>
        <v/>
      </c>
      <c r="X35" s="19" t="str">
        <f>IFERROR(__xludf.DUMMYFUNCTION("IFNA(FILTER(IMPORTRANGE(""https://docs.google.com/spreadsheets/d/1kGrh75X1cNR1D7_FcY9zMnHP8iPO4M5RCRjy6nZY0TY/edit#gid=1248694442"",""Table 3: 1st-line HC!AK5:AK111""), $A35=IMPORTRANGE(""https://docs.google.com/spreadsheets/d/1kGrh75X1cNR1D7_FcY9zMnHP8iP"&amp;"O4M5RCRjy6nZY0TY/edit#gid=1248694442"",""Table 3: 1st-line HC!A5:A111"")),"""")"),"")</f>
        <v/>
      </c>
      <c r="Y35" s="20" t="str">
        <f>IFERROR(__xludf.DUMMYFUNCTION("IFNA(FILTER(IMPORTRANGE(""https://docs.google.com/spreadsheets/d/1kGrh75X1cNR1D7_FcY9zMnHP8iPO4M5RCRjy6nZY0TY/edit#gid=1248694442"",""Subgroup 4: Mp ~ Tx!B3:B20""), $A35=IMPORTRANGE(""https://docs.google.com/spreadsheets/d/1kGrh75X1cNR1D7_FcY9zMnHP8iPO4M5"&amp;"RCRjy6nZY0TY/edit#gid=1248694442"",""Subgroup 4: Mp ~ Tx!A3:A20"")),"""")"),"")</f>
        <v/>
      </c>
      <c r="Z35" s="20" t="str">
        <f>IFERROR(__xludf.DUMMYFUNCTION("IFNA(FILTER(IMPORTRANGE(""https://docs.google.com/spreadsheets/d/1kGrh75X1cNR1D7_FcY9zMnHP8iPO4M5RCRjy6nZY0TY/edit#gid=1248694442"",""Subgroup 4: Mp ~ Tx!C3:C20""), $A35=IMPORTRANGE(""https://docs.google.com/spreadsheets/d/1kGrh75X1cNR1D7_FcY9zMnHP8iPO4M5"&amp;"RCRjy6nZY0TY/edit#gid=1248694442"",""Subgroup 4: Mp ~ Tx!A3:A20"")),"""")"),"")</f>
        <v/>
      </c>
      <c r="AA35" s="20" t="str">
        <f>IFERROR(__xludf.DUMMYFUNCTION("IFNA(FILTER(IMPORTRANGE(""https://docs.google.com/spreadsheets/d/1kGrh75X1cNR1D7_FcY9zMnHP8iPO4M5RCRjy6nZY0TY/edit#gid=1248694442"",""Subgroup 4: Mp ~ Tx!D3:D20""), $A35=IMPORTRANGE(""https://docs.google.com/spreadsheets/d/1kGrh75X1cNR1D7_FcY9zMnHP8iPO4M5"&amp;"RCRjy6nZY0TY/edit#gid=1248694442"",""Subgroup 4: Mp ~ Tx!A3:A20"")),"""")"),"")</f>
        <v/>
      </c>
      <c r="AB35" s="20" t="str">
        <f>IFERROR(__xludf.DUMMYFUNCTION("IFNA(FILTER(IMPORTRANGE(""https://docs.google.com/spreadsheets/d/1kGrh75X1cNR1D7_FcY9zMnHP8iPO4M5RCRjy6nZY0TY/edit#gid=1248694442"",""Subgroup 4: Mp ~ Tx!E3:E20""), $A35=IMPORTRANGE(""https://docs.google.com/spreadsheets/d/1kGrh75X1cNR1D7_FcY9zMnHP8iPO4M5"&amp;"RCRjy6nZY0TY/edit#gid=1248694442"",""Subgroup 4: Mp ~ Tx!A3:A20"")),"""")"),"")</f>
        <v/>
      </c>
      <c r="AC35" s="20" t="str">
        <f>IFERROR(__xludf.DUMMYFUNCTION("IFNA(FILTER(IMPORTRANGE(""https://docs.google.com/spreadsheets/d/1kGrh75X1cNR1D7_FcY9zMnHP8iPO4M5RCRjy6nZY0TY/edit#gid=1248694442"",""Subgroup 4: Mp ~ Tx!F3:F20""), $A35=IMPORTRANGE(""https://docs.google.com/spreadsheets/d/1kGrh75X1cNR1D7_FcY9zMnHP8iPO4M5"&amp;"RCRjy6nZY0TY/edit#gid=1248694442"",""Subgroup 4: Mp ~ Tx!A3:A20"")),"""")"),"")</f>
        <v/>
      </c>
      <c r="AD35" s="22" t="str">
        <f>IFERROR(__xludf.DUMMYFUNCTION("IFNA(FILTER(IMPORTRANGE(""https://docs.google.com/spreadsheets/d/1kGrh75X1cNR1D7_FcY9zMnHP8iPO4M5RCRjy6nZY0TY/edit#gid=1248694442"",""Table 3: 1st-line HC!AL5:AL111""), $A35=IMPORTRANGE(""https://docs.google.com/spreadsheets/d/1kGrh75X1cNR1D7_FcY9zMnHP8iP"&amp;"O4M5RCRjy6nZY0TY/edit#gid=1248694442"",""Table 3: 1st-line HC!A5:A111"")),"""")"),"")</f>
        <v/>
      </c>
      <c r="AE35" s="20" t="str">
        <f>IFERROR(__xludf.DUMMYFUNCTION("IFNA(FILTER(IMPORTRANGE(""https://docs.google.com/spreadsheets/d/1kGrh75X1cNR1D7_FcY9zMnHP8iPO4M5RCRjy6nZY0TY/edit#gid=1248694442"",""Table 3: 1st-line HC!BJ5:BJ111""), $A35=IMPORTRANGE(""https://docs.google.com/spreadsheets/d/1kGrh75X1cNR1D7_FcY9zMnHP8iP"&amp;"O4M5RCRjy6nZY0TY/edit#gid=1248694442"",""Table 3: 1st-line HC!A5:A111"")),"""")"),"")</f>
        <v/>
      </c>
      <c r="AF35" s="20" t="str">
        <f>IFERROR(__xludf.DUMMYFUNCTION("IFNA(FILTER(IMPORTRANGE(""https://docs.google.com/spreadsheets/d/1kGrh75X1cNR1D7_FcY9zMnHP8iPO4M5RCRjy6nZY0TY/edit#gid=1248694442"",""Subgroup 2: Cr ~ Tx!B3:B23""), $A35=IMPORTRANGE(""https://docs.google.com/spreadsheets/d/1kGrh75X1cNR1D7_FcY9zMnHP8iPO4M5"&amp;"RCRjy6nZY0TY/edit#gid=1248694442"",""Subgroup 2: Cr ~ Tx!A3:A23"")),"""")"),"")</f>
        <v/>
      </c>
      <c r="AG35" s="20" t="str">
        <f>IFERROR(__xludf.DUMMYFUNCTION("IFNA(FILTER(IMPORTRANGE(""https://docs.google.com/spreadsheets/d/1kGrh75X1cNR1D7_FcY9zMnHP8iPO4M5RCRjy6nZY0TY/edit#gid=1248694442"",""Subgroup 2: Cr ~ Tx!C3:C23""), $A35=IMPORTRANGE(""https://docs.google.com/spreadsheets/d/1kGrh75X1cNR1D7_FcY9zMnHP8iPO4M5"&amp;"RCRjy6nZY0TY/edit#gid=1248694442"",""Subgroup 2: Cr ~ Tx!A3:A23"")),"""")"),"")</f>
        <v/>
      </c>
      <c r="AH35" s="20" t="str">
        <f>IFERROR(__xludf.DUMMYFUNCTION("IFNA(FILTER(IMPORTRANGE(""https://docs.google.com/spreadsheets/d/1kGrh75X1cNR1D7_FcY9zMnHP8iPO4M5RCRjy6nZY0TY/edit#gid=1248694442"",""Subgroup 2: Cr ~ Tx!D3:D23""), $A35=IMPORTRANGE(""https://docs.google.com/spreadsheets/d/1kGrh75X1cNR1D7_FcY9zMnHP8iPO4M5"&amp;"RCRjy6nZY0TY/edit#gid=1248694442"",""Subgroup 2: Cr ~ Tx!A3:A23"")),"""")"),"")</f>
        <v/>
      </c>
      <c r="AI35" s="20" t="str">
        <f>IFERROR(__xludf.DUMMYFUNCTION("IFNA(FILTER(IMPORTRANGE(""https://docs.google.com/spreadsheets/d/1kGrh75X1cNR1D7_FcY9zMnHP8iPO4M5RCRjy6nZY0TY/edit#gid=1248694442"",""Subgroup 2: Cr ~ Tx!E3:E23""), $A35=IMPORTRANGE(""https://docs.google.com/spreadsheets/d/1kGrh75X1cNR1D7_FcY9zMnHP8iPO4M5"&amp;"RCRjy6nZY0TY/edit#gid=1248694442"",""Subgroup 2: Cr ~ Tx!A3:A23"")),"""")"),"")</f>
        <v/>
      </c>
      <c r="AJ35" s="20" t="str">
        <f>IFERROR(__xludf.DUMMYFUNCTION("IFNA(FILTER(IMPORTRANGE(""https://docs.google.com/spreadsheets/d/1kGrh75X1cNR1D7_FcY9zMnHP8iPO4M5RCRjy6nZY0TY/edit#gid=1248694442"",""Subgroup 2: Cr ~ Tx!F3:F23""), $A35=IMPORTRANGE(""https://docs.google.com/spreadsheets/d/1kGrh75X1cNR1D7_FcY9zMnHP8iPO4M5"&amp;"RCRjy6nZY0TY/edit#gid=1248694442"",""Subgroup 2: Cr ~ Tx!A3:A23"")),"""")"),"")</f>
        <v/>
      </c>
      <c r="AK35" s="14" t="str">
        <f>IFERROR(__xludf.DUMMYFUNCTION("IFNA(FILTER(IMPORTRANGE(""https://docs.google.com/spreadsheets/d/1kGrh75X1cNR1D7_FcY9zMnHP8iPO4M5RCRjy6nZY0TY/edit#gid=1248694442"",""Table 4: 2nd-line HC or more!M5:M85""), $A35=IMPORTRANGE(""https://docs.google.com/spreadsheets/d/1kGrh75X1cNR1D7_FcY9zMn"&amp;"HP8iPO4M5RCRjy6nZY0TY/edit#gid=1248694442"",""Table 4: 2nd-line HC or more!A5:A85"")),"""")"),"")</f>
        <v/>
      </c>
      <c r="AL35" s="14" t="str">
        <f>IFERROR(__xludf.DUMMYFUNCTION("IFNA(FILTER(IMPORTRANGE(""https://docs.google.com/spreadsheets/d/1kGrh75X1cNR1D7_FcY9zMnHP8iPO4M5RCRjy6nZY0TY/edit#gid=1248694442"",""Table 4: 2nd-line HC or more!N5:N85""), $A35=IMPORTRANGE(""https://docs.google.com/spreadsheets/d/1kGrh75X1cNR1D7_FcY9zMn"&amp;"HP8iPO4M5RCRjy6nZY0TY/edit#gid=1248694442"",""Table 4: 2nd-line HC or more!A5:A85"")),"""")"),"")</f>
        <v/>
      </c>
      <c r="AM35" s="14" t="str">
        <f>IFERROR(__xludf.DUMMYFUNCTION("IFNA(FILTER(IMPORTRANGE(""https://docs.google.com/spreadsheets/d/1kGrh75X1cNR1D7_FcY9zMnHP8iPO4M5RCRjy6nZY0TY/edit#gid=1248694442"",""Table 4: 2nd-line HC or more!O5:O85""), $A35=IMPORTRANGE(""https://docs.google.com/spreadsheets/d/1kGrh75X1cNR1D7_FcY9zMn"&amp;"HP8iPO4M5RCRjy6nZY0TY/edit#gid=1248694442"",""Table 4: 2nd-line HC or more!A5:A85"")),"""")"),"")</f>
        <v/>
      </c>
      <c r="AN35" s="14" t="str">
        <f>IFERROR(__xludf.DUMMYFUNCTION("IFNA(FILTER(IMPORTRANGE(""https://docs.google.com/spreadsheets/d/1kGrh75X1cNR1D7_FcY9zMnHP8iPO4M5RCRjy6nZY0TY/edit#gid=1248694442"",""Table 3: 1st-line HC!AP5:AP111""), $A35=IMPORTRANGE(""https://docs.google.com/spreadsheets/d/1kGrh75X1cNR1D7_FcY9zMnHP8iP"&amp;"O4M5RCRjy6nZY0TY/edit#gid=1248694442"",""Table 3: 1st-line HC!A5:A111"")),"""")"),"")</f>
        <v/>
      </c>
      <c r="AO35" s="14" t="str">
        <f>IFERROR(__xludf.DUMMYFUNCTION("IFNA(FILTER(IMPORTRANGE(""https://docs.google.com/spreadsheets/d/1kGrh75X1cNR1D7_FcY9zMnHP8iPO4M5RCRjy6nZY0TY/edit#gid=1248694442"",""Table 3: 1st-line HC!AO5:AO111""), $A35=IMPORTRANGE(""https://docs.google.com/spreadsheets/d/1kGrh75X1cNR1D7_FcY9zMnHP8iP"&amp;"O4M5RCRjy6nZY0TY/edit#gid=1248694442"",""Table 3: 1st-line HC!A5:A111"")),"""")"),"")</f>
        <v/>
      </c>
      <c r="AP35" s="14" t="str">
        <f>IFERROR(__xludf.DUMMYFUNCTION("IFNA(FILTER(IMPORTRANGE(""https://docs.google.com/spreadsheets/d/1kGrh75X1cNR1D7_FcY9zMnHP8iPO4M5RCRjy6nZY0TY/edit#gid=1248694442"",""Table 3: 1st-line HC!AQ5:AQ111""), $A35=IMPORTRANGE(""https://docs.google.com/spreadsheets/d/1kGrh75X1cNR1D7_FcY9zMnHP8iP"&amp;"O4M5RCRjy6nZY0TY/edit#gid=1248694442"",""Table 3: 1st-line HC!A5:A111"")),"""")"),"")</f>
        <v/>
      </c>
      <c r="AQ35" s="14" t="str">
        <f>IFERROR(__xludf.DUMMYFUNCTION("IFNA(FILTER(IMPORTRANGE(""https://docs.google.com/spreadsheets/d/1kGrh75X1cNR1D7_FcY9zMnHP8iPO4M5RCRjy6nZY0TY/edit#gid=1248694442"",""Table 2: MMC!T5:T114""), $A35=IMPORTRANGE(""https://docs.google.com/spreadsheets/d/1kGrh75X1cNR1D7_FcY9zMnHP8iPO4M5RCRjy6"&amp;"nZY0TY/edit#gid=1248694442"",""Table 2: MMC!A5:A114"")),"""")"),"")</f>
        <v/>
      </c>
      <c r="AR35" s="14" t="str">
        <f>IFERROR(__xludf.DUMMYFUNCTION("IFNA(FILTER(IMPORTRANGE(""https://docs.google.com/spreadsheets/d/1kGrh75X1cNR1D7_FcY9zMnHP8iPO4M5RCRjy6nZY0TY/edit#gid=1248694442"",""Table 2: MMC!U5:U114""), $A35=IMPORTRANGE(""https://docs.google.com/spreadsheets/d/1kGrh75X1cNR1D7_FcY9zMnHP8iPO4M5RCRjy6"&amp;"nZY0TY/edit#gid=1248694442"",""Table 2: MMC!A5:A114"")),"""")"),"")</f>
        <v/>
      </c>
      <c r="AS35" s="14" t="str">
        <f>IFERROR(__xludf.DUMMYFUNCTION("IFNA(FILTER(IMPORTRANGE(""https://docs.google.com/spreadsheets/d/1kGrh75X1cNR1D7_FcY9zMnHP8iPO4M5RCRjy6nZY0TY/edit#gid=1248694442"",""Table 2: MMC!V5:V114""), $A35=IMPORTRANGE(""https://docs.google.com/spreadsheets/d/1kGrh75X1cNR1D7_FcY9zMnHP8iPO4M5RCRjy6"&amp;"nZY0TY/edit#gid=1248694442"",""Table 2: MMC!A5:A114"")),"""")"),"")</f>
        <v/>
      </c>
      <c r="AT35" s="4" t="str">
        <f>IFERROR(__xludf.DUMMYFUNCTION("IFNA(FILTER(IMPORTRANGE(""https://docs.google.com/spreadsheets/d/1kGrh75X1cNR1D7_FcY9zMnHP8iPO4M5RCRjy6nZY0TY/edit#gid=1248694442"",""Table 2: MMC!W5:W114""), $A35=IMPORTRANGE(""https://docs.google.com/spreadsheets/d/1kGrh75X1cNR1D7_FcY9zMnHP8iPO4M5RCRjy6"&amp;"nZY0TY/edit#gid=1248694442"",""Table 2: MMC!A5:A114"")),"""")"),"")</f>
        <v/>
      </c>
    </row>
    <row r="36">
      <c r="A36" s="4" t="str">
        <f>IFERROR(__xludf.DUMMYFUNCTION("""COMPUTED_VALUE"""),"ID 67")</f>
        <v>ID 67</v>
      </c>
      <c r="B36" s="20" t="str">
        <f>IFERROR(__xludf.DUMMYFUNCTION("IFNA(FILTER(IMPORTRANGE(""https://docs.google.com/spreadsheets/d/1kGrh75X1cNR1D7_FcY9zMnHP8iPO4M5RCRjy6nZY0TY/edit#gid=1248694442"",""Table 3: 1st-line HC!BK5:BK111""), $A36=IMPORTRANGE(""https://docs.google.com/spreadsheets/d/1kGrh75X1cNR1D7_FcY9zMnHP8iP"&amp;"O4M5RCRjy6nZY0TY/edit#gid=1248694442"",""Table 3: 1st-line HC!A5:A111"")),"""")"),"")</f>
        <v/>
      </c>
      <c r="C36" s="20" t="str">
        <f>IFERROR(__xludf.DUMMYFUNCTION("IFNA(FILTER(IMPORTRANGE(""https://docs.google.com/spreadsheets/d/1kGrh75X1cNR1D7_FcY9zMnHP8iPO4M5RCRjy6nZY0TY/edit#gid=1248694442"",""Subgroup 1: Fr ~ Tx!B3:B20""), $A36=IMPORTRANGE(""https://docs.google.com/spreadsheets/d/1kGrh75X1cNR1D7_FcY9zMnHP8iPO4M5"&amp;"RCRjy6nZY0TY/edit#gid=1248694442"",""Subgroup 1: Fr ~ Tx!A3:A20"")),"""")"),"")</f>
        <v/>
      </c>
      <c r="D36" s="20" t="str">
        <f>IFERROR(__xludf.DUMMYFUNCTION("IFNA(FILTER(IMPORTRANGE(""https://docs.google.com/spreadsheets/d/1kGrh75X1cNR1D7_FcY9zMnHP8iPO4M5RCRjy6nZY0TY/edit#gid=1248694442"",""Subgroup 1: Fr ~ Tx!C3:C20""), $A36=IMPORTRANGE(""https://docs.google.com/spreadsheets/d/1kGrh75X1cNR1D7_FcY9zMnHP8iPO4M5"&amp;"RCRjy6nZY0TY/edit#gid=1248694442"",""Subgroup 1: Fr ~ Tx!A3:A20"")),"""")"),"")</f>
        <v/>
      </c>
      <c r="E36" s="20" t="str">
        <f>IFERROR(__xludf.DUMMYFUNCTION("IFNA(FILTER(IMPORTRANGE(""https://docs.google.com/spreadsheets/d/1kGrh75X1cNR1D7_FcY9zMnHP8iPO4M5RCRjy6nZY0TY/edit#gid=1248694442"",""Subgroup 1: Fr ~ Tx!D3:D20""), $A36=IMPORTRANGE(""https://docs.google.com/spreadsheets/d/1kGrh75X1cNR1D7_FcY9zMnHP8iPO4M5"&amp;"RCRjy6nZY0TY/edit#gid=1248694442"",""Subgroup 1: Fr ~ Tx!A3:A20"")),"""")"),"")</f>
        <v/>
      </c>
      <c r="F36" s="20" t="str">
        <f>IFERROR(__xludf.DUMMYFUNCTION("IFNA(FILTER(IMPORTRANGE(""https://docs.google.com/spreadsheets/d/1kGrh75X1cNR1D7_FcY9zMnHP8iPO4M5RCRjy6nZY0TY/edit#gid=1248694442"",""Subgroup 1: Fr ~ Tx!E3:E20""), $A36=IMPORTRANGE(""https://docs.google.com/spreadsheets/d/1kGrh75X1cNR1D7_FcY9zMnHP8iPO4M5"&amp;"RCRjy6nZY0TY/edit#gid=1248694442"",""Subgroup 1: Fr ~ Tx!A3:A20"")),"""")"),"")</f>
        <v/>
      </c>
      <c r="G36" s="20" t="str">
        <f>IFERROR(__xludf.DUMMYFUNCTION("IFNA(FILTER(IMPORTRANGE(""https://docs.google.com/spreadsheets/d/1kGrh75X1cNR1D7_FcY9zMnHP8iPO4M5RCRjy6nZY0TY/edit#gid=1248694442"",""Subgroup 1: Fr ~ Tx!F3:F20""), $A36=IMPORTRANGE(""https://docs.google.com/spreadsheets/d/1kGrh75X1cNR1D7_FcY9zMnHP8iPO4M5"&amp;"RCRjy6nZY0TY/edit#gid=1248694442"",""Subgroup 1: Fr ~ Tx!A3:A20"")),"""")"),"")</f>
        <v/>
      </c>
      <c r="H36" s="20" t="str">
        <f>IFERROR(__xludf.DUMMYFUNCTION("IFNA(FILTER(IMPORTRANGE(""https://docs.google.com/spreadsheets/d/1kGrh75X1cNR1D7_FcY9zMnHP8iPO4M5RCRjy6nZY0TY/edit#gid=1248694442"",""Table 3: 1st-line HC!BD5:BD111""), $A36=IMPORTRANGE(""https://docs.google.com/spreadsheets/d/1kGrh75X1cNR1D7_FcY9zMnHP8iP"&amp;"O4M5RCRjy6nZY0TY/edit#gid=1248694442"",""Table 3: 1st-line HC!A5:A111"")),"""")"),"")</f>
        <v/>
      </c>
      <c r="I36" s="20" t="str">
        <f>IFERROR(__xludf.DUMMYFUNCTION("IFNA(FILTER(IMPORTRANGE(""https://docs.google.com/spreadsheets/d/1kGrh75X1cNR1D7_FcY9zMnHP8iPO4M5RCRjy6nZY0TY/edit#gid=1248694442"",""Subgroup 5: Tf ~ Tx!B3:B8""), $A36=IMPORTRANGE(""https://docs.google.com/spreadsheets/d/1kGrh75X1cNR1D7_FcY9zMnHP8iPO4M5R"&amp;"CRjy6nZY0TY/edit#gid=1248694442"",""Subgroup 5: Tf ~ Tx!A3:A8"")),"""")"),"")</f>
        <v/>
      </c>
      <c r="J36" s="20" t="str">
        <f>IFERROR(__xludf.DUMMYFUNCTION("IFNA(FILTER(IMPORTRANGE(""https://docs.google.com/spreadsheets/d/1kGrh75X1cNR1D7_FcY9zMnHP8iPO4M5RCRjy6nZY0TY/edit#gid=1248694442"",""Subgroup 5: Tf ~ Tx!C3:C8""), $A36=IMPORTRANGE(""https://docs.google.com/spreadsheets/d/1kGrh75X1cNR1D7_FcY9zMnHP8iPO4M5R"&amp;"CRjy6nZY0TY/edit#gid=1248694442"",""Subgroup 5: Tf ~ Tx!A3:A8"")),"""")"),"")</f>
        <v/>
      </c>
      <c r="K36" s="20" t="str">
        <f>IFERROR(__xludf.DUMMYFUNCTION("IFNA(FILTER(IMPORTRANGE(""https://docs.google.com/spreadsheets/d/1kGrh75X1cNR1D7_FcY9zMnHP8iPO4M5RCRjy6nZY0TY/edit#gid=1248694442"",""Subgroup 5: Tf ~ Tx!D3:D8""), $A36=IMPORTRANGE(""https://docs.google.com/spreadsheets/d/1kGrh75X1cNR1D7_FcY9zMnHP8iPO4M5R"&amp;"CRjy6nZY0TY/edit#gid=1248694442"",""Subgroup 5: Tf ~ Tx!A3:A8"")),"""")"),"")</f>
        <v/>
      </c>
      <c r="L36" s="20" t="str">
        <f>IFERROR(__xludf.DUMMYFUNCTION("IFNA(FILTER(IMPORTRANGE(""https://docs.google.com/spreadsheets/d/1kGrh75X1cNR1D7_FcY9zMnHP8iPO4M5RCRjy6nZY0TY/edit#gid=1248694442"",""Subgroup 5: Tf ~ Tx!E3:E8""), $A36=IMPORTRANGE(""https://docs.google.com/spreadsheets/d/1kGrh75X1cNR1D7_FcY9zMnHP8iPO4M5R"&amp;"CRjy6nZY0TY/edit#gid=1248694442"",""Subgroup 5: Tf ~ Tx!A3:A8"")),"""")"),"")</f>
        <v/>
      </c>
      <c r="M36" s="20" t="str">
        <f>IFERROR(__xludf.DUMMYFUNCTION("IFNA(FILTER(IMPORTRANGE(""https://docs.google.com/spreadsheets/d/1kGrh75X1cNR1D7_FcY9zMnHP8iPO4M5RCRjy6nZY0TY/edit#gid=1248694442"",""Subgroup 5: Tf ~ Tx!F3:F8""), $A36=IMPORTRANGE(""https://docs.google.com/spreadsheets/d/1kGrh75X1cNR1D7_FcY9zMnHP8iPO4M5R"&amp;"CRjy6nZY0TY/edit#gid=1248694442"",""Subgroup 5: Tf ~ Tx!A3:A8"")),"""")"),"")</f>
        <v/>
      </c>
      <c r="N36" s="20" t="str">
        <f>IFERROR(__xludf.DUMMYFUNCTION("IFNA(FILTER(IMPORTRANGE(""https://docs.google.com/spreadsheets/d/1kGrh75X1cNR1D7_FcY9zMnHP8iPO4M5RCRjy6nZY0TY/edit#gid=1248694442"",""Table 3: 1st-line HC!BE5:BE111""), $A36=IMPORTRANGE(""https://docs.google.com/spreadsheets/d/1kGrh75X1cNR1D7_FcY9zMnHP8iP"&amp;"O4M5RCRjy6nZY0TY/edit#gid=1248694442"",""Table 3: 1st-line HC!A5:A111"")),"""")"),"")</f>
        <v/>
      </c>
      <c r="O36" s="20" t="str">
        <f>IFERROR(__xludf.DUMMYFUNCTION("IFNA(FILTER(IMPORTRANGE(""https://docs.google.com/spreadsheets/d/1kGrh75X1cNR1D7_FcY9zMnHP8iPO4M5RCRjy6nZY0TY/edit#gid=1248694442"",""Table 3: 1st-line HC!BF5:BF111""), $A36=IMPORTRANGE(""https://docs.google.com/spreadsheets/d/1kGrh75X1cNR1D7_FcY9zMnHP8iP"&amp;"O4M5RCRjy6nZY0TY/edit#gid=1248694442"",""Table 3: 1st-line HC!A5:A111"")),"""")"),"")</f>
        <v/>
      </c>
      <c r="P36" s="20" t="str">
        <f>IFERROR(__xludf.DUMMYFUNCTION("IFNA(FILTER(IMPORTRANGE(""https://docs.google.com/spreadsheets/d/1kGrh75X1cNR1D7_FcY9zMnHP8iPO4M5RCRjy6nZY0TY/edit#gid=1248694442"",""Table 3: 1st-line HC!BG5:BG111""), $A36=IMPORTRANGE(""https://docs.google.com/spreadsheets/d/1kGrh75X1cNR1D7_FcY9zMnHP8iP"&amp;"O4M5RCRjy6nZY0TY/edit#gid=1248694442"",""Table 3: 1st-line HC!A5:A111"")),"""")"),"")</f>
        <v/>
      </c>
      <c r="Q36" s="21" t="str">
        <f>IFERROR(__xludf.DUMMYFUNCTION("IFNA(FILTER(IMPORTRANGE(""https://docs.google.com/spreadsheets/d/1kGrh75X1cNR1D7_FcY9zMnHP8iPO4M5RCRjy6nZY0TY/edit#gid=1248694442"",""Table 3: 1st-line HC!BH5:BH111""), $A36=IMPORTRANGE(""https://docs.google.com/spreadsheets/d/1kGrh75X1cNR1D7_FcY9zMnHP8iP"&amp;"O4M5RCRjy6nZY0TY/edit#gid=1248694442"",""Table 3: 1st-line HC!A5:A111"")),"""")"),"CSF leak after tethered cord surgery")</f>
        <v>CSF leak after tethered cord surgery</v>
      </c>
      <c r="R36" s="19" t="str">
        <f>IFERROR(__xludf.DUMMYFUNCTION("IFNA(FILTER(IMPORTRANGE(""https://docs.google.com/spreadsheets/d/1kGrh75X1cNR1D7_FcY9zMnHP8iPO4M5RCRjy6nZY0TY/edit#gid=1248694442"",""Table 3: 1st-line HC!AJ5:AJ111""), $A36=IMPORTRANGE(""https://docs.google.com/spreadsheets/d/1kGrh75X1cNR1D7_FcY9zMnHP8iP"&amp;"O4M5RCRjy6nZY0TY/edit#gid=1248694442"",""Table 3: 1st-line HC!A5:A111"")),"""")"),"")</f>
        <v/>
      </c>
      <c r="S36" s="20" t="str">
        <f>IFERROR(__xludf.DUMMYFUNCTION("IFNA(FILTER(IMPORTRANGE(""https://docs.google.com/spreadsheets/d/1kGrh75X1cNR1D7_FcY9zMnHP8iPO4M5RCRjy6nZY0TY/edit#gid=1248694442"",""Subgroup 3: Mi ~ Tx!B3:B17""), $A36=IMPORTRANGE(""https://docs.google.com/spreadsheets/d/1kGrh75X1cNR1D7_FcY9zMnHP8iPO4M5"&amp;"RCRjy6nZY0TY/edit#gid=1248694442"",""Subgroup 3: Mi ~ Tx!A3:A17"")),"""")"),"")</f>
        <v/>
      </c>
      <c r="T36" s="20" t="str">
        <f>IFERROR(__xludf.DUMMYFUNCTION("IFNA(FILTER(IMPORTRANGE(""https://docs.google.com/spreadsheets/d/1kGrh75X1cNR1D7_FcY9zMnHP8iPO4M5RCRjy6nZY0TY/edit#gid=1248694442"",""Subgroup 3: Mi ~ Tx!C3:C17""), $A36=IMPORTRANGE(""https://docs.google.com/spreadsheets/d/1kGrh75X1cNR1D7_FcY9zMnHP8iPO4M5"&amp;"RCRjy6nZY0TY/edit#gid=1248694442"",""Subgroup 3: Mi ~ Tx!A3:A17"")),"""")"),"")</f>
        <v/>
      </c>
      <c r="U36" s="20" t="str">
        <f>IFERROR(__xludf.DUMMYFUNCTION("IFNA(FILTER(IMPORTRANGE(""https://docs.google.com/spreadsheets/d/1kGrh75X1cNR1D7_FcY9zMnHP8iPO4M5RCRjy6nZY0TY/edit#gid=1248694442"",""Subgroup 3: Mi ~ Tx!D3:D17""), $A36=IMPORTRANGE(""https://docs.google.com/spreadsheets/d/1kGrh75X1cNR1D7_FcY9zMnHP8iPO4M5"&amp;"RCRjy6nZY0TY/edit#gid=1248694442"",""Subgroup 3: Mi ~ Tx!A3:A17"")),"""")"),"")</f>
        <v/>
      </c>
      <c r="V36" s="20" t="str">
        <f>IFERROR(__xludf.DUMMYFUNCTION("IFNA(FILTER(IMPORTRANGE(""https://docs.google.com/spreadsheets/d/1kGrh75X1cNR1D7_FcY9zMnHP8iPO4M5RCRjy6nZY0TY/edit#gid=1248694442"",""Subgroup 3: Mi ~ Tx!E3:E17""), $A36=IMPORTRANGE(""https://docs.google.com/spreadsheets/d/1kGrh75X1cNR1D7_FcY9zMnHP8iPO4M5"&amp;"RCRjy6nZY0TY/edit#gid=1248694442"",""Subgroup 3: Mi ~ Tx!A3:A17"")),"""")"),"")</f>
        <v/>
      </c>
      <c r="W36" s="20" t="str">
        <f>IFERROR(__xludf.DUMMYFUNCTION("IFNA(FILTER(IMPORTRANGE(""https://docs.google.com/spreadsheets/d/1kGrh75X1cNR1D7_FcY9zMnHP8iPO4M5RCRjy6nZY0TY/edit#gid=1248694442"",""Subgroup 3: Mi ~ Tx!F3:F17""), $A36=IMPORTRANGE(""https://docs.google.com/spreadsheets/d/1kGrh75X1cNR1D7_FcY9zMnHP8iPO4M5"&amp;"RCRjy6nZY0TY/edit#gid=1248694442"",""Subgroup 3: Mi ~ Tx!A3:A17"")),"""")"),"")</f>
        <v/>
      </c>
      <c r="X36" s="19" t="str">
        <f>IFERROR(__xludf.DUMMYFUNCTION("IFNA(FILTER(IMPORTRANGE(""https://docs.google.com/spreadsheets/d/1kGrh75X1cNR1D7_FcY9zMnHP8iPO4M5RCRjy6nZY0TY/edit#gid=1248694442"",""Table 3: 1st-line HC!AK5:AK111""), $A36=IMPORTRANGE(""https://docs.google.com/spreadsheets/d/1kGrh75X1cNR1D7_FcY9zMnHP8iP"&amp;"O4M5RCRjy6nZY0TY/edit#gid=1248694442"",""Table 3: 1st-line HC!A5:A111"")),"""")"),"")</f>
        <v/>
      </c>
      <c r="Y36" s="20" t="str">
        <f>IFERROR(__xludf.DUMMYFUNCTION("IFNA(FILTER(IMPORTRANGE(""https://docs.google.com/spreadsheets/d/1kGrh75X1cNR1D7_FcY9zMnHP8iPO4M5RCRjy6nZY0TY/edit#gid=1248694442"",""Subgroup 4: Mp ~ Tx!B3:B20""), $A36=IMPORTRANGE(""https://docs.google.com/spreadsheets/d/1kGrh75X1cNR1D7_FcY9zMnHP8iPO4M5"&amp;"RCRjy6nZY0TY/edit#gid=1248694442"",""Subgroup 4: Mp ~ Tx!A3:A20"")),"""")"),"")</f>
        <v/>
      </c>
      <c r="Z36" s="20" t="str">
        <f>IFERROR(__xludf.DUMMYFUNCTION("IFNA(FILTER(IMPORTRANGE(""https://docs.google.com/spreadsheets/d/1kGrh75X1cNR1D7_FcY9zMnHP8iPO4M5RCRjy6nZY0TY/edit#gid=1248694442"",""Subgroup 4: Mp ~ Tx!C3:C20""), $A36=IMPORTRANGE(""https://docs.google.com/spreadsheets/d/1kGrh75X1cNR1D7_FcY9zMnHP8iPO4M5"&amp;"RCRjy6nZY0TY/edit#gid=1248694442"",""Subgroup 4: Mp ~ Tx!A3:A20"")),"""")"),"")</f>
        <v/>
      </c>
      <c r="AA36" s="20" t="str">
        <f>IFERROR(__xludf.DUMMYFUNCTION("IFNA(FILTER(IMPORTRANGE(""https://docs.google.com/spreadsheets/d/1kGrh75X1cNR1D7_FcY9zMnHP8iPO4M5RCRjy6nZY0TY/edit#gid=1248694442"",""Subgroup 4: Mp ~ Tx!D3:D20""), $A36=IMPORTRANGE(""https://docs.google.com/spreadsheets/d/1kGrh75X1cNR1D7_FcY9zMnHP8iPO4M5"&amp;"RCRjy6nZY0TY/edit#gid=1248694442"",""Subgroup 4: Mp ~ Tx!A3:A20"")),"""")"),"")</f>
        <v/>
      </c>
      <c r="AB36" s="20" t="str">
        <f>IFERROR(__xludf.DUMMYFUNCTION("IFNA(FILTER(IMPORTRANGE(""https://docs.google.com/spreadsheets/d/1kGrh75X1cNR1D7_FcY9zMnHP8iPO4M5RCRjy6nZY0TY/edit#gid=1248694442"",""Subgroup 4: Mp ~ Tx!E3:E20""), $A36=IMPORTRANGE(""https://docs.google.com/spreadsheets/d/1kGrh75X1cNR1D7_FcY9zMnHP8iPO4M5"&amp;"RCRjy6nZY0TY/edit#gid=1248694442"",""Subgroup 4: Mp ~ Tx!A3:A20"")),"""")"),"")</f>
        <v/>
      </c>
      <c r="AC36" s="20" t="str">
        <f>IFERROR(__xludf.DUMMYFUNCTION("IFNA(FILTER(IMPORTRANGE(""https://docs.google.com/spreadsheets/d/1kGrh75X1cNR1D7_FcY9zMnHP8iPO4M5RCRjy6nZY0TY/edit#gid=1248694442"",""Subgroup 4: Mp ~ Tx!F3:F20""), $A36=IMPORTRANGE(""https://docs.google.com/spreadsheets/d/1kGrh75X1cNR1D7_FcY9zMnHP8iPO4M5"&amp;"RCRjy6nZY0TY/edit#gid=1248694442"",""Subgroup 4: Mp ~ Tx!A3:A20"")),"""")"),"")</f>
        <v/>
      </c>
      <c r="AD36" s="22" t="str">
        <f>IFERROR(__xludf.DUMMYFUNCTION("IFNA(FILTER(IMPORTRANGE(""https://docs.google.com/spreadsheets/d/1kGrh75X1cNR1D7_FcY9zMnHP8iPO4M5RCRjy6nZY0TY/edit#gid=1248694442"",""Table 3: 1st-line HC!AL5:AL111""), $A36=IMPORTRANGE(""https://docs.google.com/spreadsheets/d/1kGrh75X1cNR1D7_FcY9zMnHP8iP"&amp;"O4M5RCRjy6nZY0TY/edit#gid=1248694442"",""Table 3: 1st-line HC!A5:A111"")),"""")"),"")</f>
        <v/>
      </c>
      <c r="AE36" s="20" t="str">
        <f>IFERROR(__xludf.DUMMYFUNCTION("IFNA(FILTER(IMPORTRANGE(""https://docs.google.com/spreadsheets/d/1kGrh75X1cNR1D7_FcY9zMnHP8iPO4M5RCRjy6nZY0TY/edit#gid=1248694442"",""Table 3: 1st-line HC!BJ5:BJ111""), $A36=IMPORTRANGE(""https://docs.google.com/spreadsheets/d/1kGrh75X1cNR1D7_FcY9zMnHP8iP"&amp;"O4M5RCRjy6nZY0TY/edit#gid=1248694442"",""Table 3: 1st-line HC!A5:A111"")),"""")"),"")</f>
        <v/>
      </c>
      <c r="AF36" s="20" t="str">
        <f>IFERROR(__xludf.DUMMYFUNCTION("IFNA(FILTER(IMPORTRANGE(""https://docs.google.com/spreadsheets/d/1kGrh75X1cNR1D7_FcY9zMnHP8iPO4M5RCRjy6nZY0TY/edit#gid=1248694442"",""Subgroup 2: Cr ~ Tx!B3:B23""), $A36=IMPORTRANGE(""https://docs.google.com/spreadsheets/d/1kGrh75X1cNR1D7_FcY9zMnHP8iPO4M5"&amp;"RCRjy6nZY0TY/edit#gid=1248694442"",""Subgroup 2: Cr ~ Tx!A3:A23"")),"""")"),"")</f>
        <v/>
      </c>
      <c r="AG36" s="20" t="str">
        <f>IFERROR(__xludf.DUMMYFUNCTION("IFNA(FILTER(IMPORTRANGE(""https://docs.google.com/spreadsheets/d/1kGrh75X1cNR1D7_FcY9zMnHP8iPO4M5RCRjy6nZY0TY/edit#gid=1248694442"",""Subgroup 2: Cr ~ Tx!C3:C23""), $A36=IMPORTRANGE(""https://docs.google.com/spreadsheets/d/1kGrh75X1cNR1D7_FcY9zMnHP8iPO4M5"&amp;"RCRjy6nZY0TY/edit#gid=1248694442"",""Subgroup 2: Cr ~ Tx!A3:A23"")),"""")"),"")</f>
        <v/>
      </c>
      <c r="AH36" s="20" t="str">
        <f>IFERROR(__xludf.DUMMYFUNCTION("IFNA(FILTER(IMPORTRANGE(""https://docs.google.com/spreadsheets/d/1kGrh75X1cNR1D7_FcY9zMnHP8iPO4M5RCRjy6nZY0TY/edit#gid=1248694442"",""Subgroup 2: Cr ~ Tx!D3:D23""), $A36=IMPORTRANGE(""https://docs.google.com/spreadsheets/d/1kGrh75X1cNR1D7_FcY9zMnHP8iPO4M5"&amp;"RCRjy6nZY0TY/edit#gid=1248694442"",""Subgroup 2: Cr ~ Tx!A3:A23"")),"""")"),"")</f>
        <v/>
      </c>
      <c r="AI36" s="20" t="str">
        <f>IFERROR(__xludf.DUMMYFUNCTION("IFNA(FILTER(IMPORTRANGE(""https://docs.google.com/spreadsheets/d/1kGrh75X1cNR1D7_FcY9zMnHP8iPO4M5RCRjy6nZY0TY/edit#gid=1248694442"",""Subgroup 2: Cr ~ Tx!E3:E23""), $A36=IMPORTRANGE(""https://docs.google.com/spreadsheets/d/1kGrh75X1cNR1D7_FcY9zMnHP8iPO4M5"&amp;"RCRjy6nZY0TY/edit#gid=1248694442"",""Subgroup 2: Cr ~ Tx!A3:A23"")),"""")"),"")</f>
        <v/>
      </c>
      <c r="AJ36" s="20" t="str">
        <f>IFERROR(__xludf.DUMMYFUNCTION("IFNA(FILTER(IMPORTRANGE(""https://docs.google.com/spreadsheets/d/1kGrh75X1cNR1D7_FcY9zMnHP8iPO4M5RCRjy6nZY0TY/edit#gid=1248694442"",""Subgroup 2: Cr ~ Tx!F3:F23""), $A36=IMPORTRANGE(""https://docs.google.com/spreadsheets/d/1kGrh75X1cNR1D7_FcY9zMnHP8iPO4M5"&amp;"RCRjy6nZY0TY/edit#gid=1248694442"",""Subgroup 2: Cr ~ Tx!A3:A23"")),"""")"),"")</f>
        <v/>
      </c>
      <c r="AK36" s="14" t="str">
        <f>IFERROR(__xludf.DUMMYFUNCTION("IFNA(FILTER(IMPORTRANGE(""https://docs.google.com/spreadsheets/d/1kGrh75X1cNR1D7_FcY9zMnHP8iPO4M5RCRjy6nZY0TY/edit#gid=1248694442"",""Table 4: 2nd-line HC or more!M5:M85""), $A36=IMPORTRANGE(""https://docs.google.com/spreadsheets/d/1kGrh75X1cNR1D7_FcY9zMn"&amp;"HP8iPO4M5RCRjy6nZY0TY/edit#gid=1248694442"",""Table 4: 2nd-line HC or more!A5:A85"")),"""")"),"")</f>
        <v/>
      </c>
      <c r="AL36" s="14" t="str">
        <f>IFERROR(__xludf.DUMMYFUNCTION("IFNA(FILTER(IMPORTRANGE(""https://docs.google.com/spreadsheets/d/1kGrh75X1cNR1D7_FcY9zMnHP8iPO4M5RCRjy6nZY0TY/edit#gid=1248694442"",""Table 4: 2nd-line HC or more!N5:N85""), $A36=IMPORTRANGE(""https://docs.google.com/spreadsheets/d/1kGrh75X1cNR1D7_FcY9zMn"&amp;"HP8iPO4M5RCRjy6nZY0TY/edit#gid=1248694442"",""Table 4: 2nd-line HC or more!A5:A85"")),"""")"),"")</f>
        <v/>
      </c>
      <c r="AM36" s="14" t="str">
        <f>IFERROR(__xludf.DUMMYFUNCTION("IFNA(FILTER(IMPORTRANGE(""https://docs.google.com/spreadsheets/d/1kGrh75X1cNR1D7_FcY9zMnHP8iPO4M5RCRjy6nZY0TY/edit#gid=1248694442"",""Table 4: 2nd-line HC or more!O5:O85""), $A36=IMPORTRANGE(""https://docs.google.com/spreadsheets/d/1kGrh75X1cNR1D7_FcY9zMn"&amp;"HP8iPO4M5RCRjy6nZY0TY/edit#gid=1248694442"",""Table 4: 2nd-line HC or more!A5:A85"")),"""")"),"")</f>
        <v/>
      </c>
      <c r="AN36" s="14" t="str">
        <f>IFERROR(__xludf.DUMMYFUNCTION("IFNA(FILTER(IMPORTRANGE(""https://docs.google.com/spreadsheets/d/1kGrh75X1cNR1D7_FcY9zMnHP8iPO4M5RCRjy6nZY0TY/edit#gid=1248694442"",""Table 3: 1st-line HC!AP5:AP111""), $A36=IMPORTRANGE(""https://docs.google.com/spreadsheets/d/1kGrh75X1cNR1D7_FcY9zMnHP8iP"&amp;"O4M5RCRjy6nZY0TY/edit#gid=1248694442"",""Table 3: 1st-line HC!A5:A111"")),"""")"),"")</f>
        <v/>
      </c>
      <c r="AO36" s="14" t="str">
        <f>IFERROR(__xludf.DUMMYFUNCTION("IFNA(FILTER(IMPORTRANGE(""https://docs.google.com/spreadsheets/d/1kGrh75X1cNR1D7_FcY9zMnHP8iPO4M5RCRjy6nZY0TY/edit#gid=1248694442"",""Table 3: 1st-line HC!AO5:AO111""), $A36=IMPORTRANGE(""https://docs.google.com/spreadsheets/d/1kGrh75X1cNR1D7_FcY9zMnHP8iP"&amp;"O4M5RCRjy6nZY0TY/edit#gid=1248694442"",""Table 3: 1st-line HC!A5:A111"")),"""")"),"")</f>
        <v/>
      </c>
      <c r="AP36" s="14" t="str">
        <f>IFERROR(__xludf.DUMMYFUNCTION("IFNA(FILTER(IMPORTRANGE(""https://docs.google.com/spreadsheets/d/1kGrh75X1cNR1D7_FcY9zMnHP8iPO4M5RCRjy6nZY0TY/edit#gid=1248694442"",""Table 3: 1st-line HC!AQ5:AQ111""), $A36=IMPORTRANGE(""https://docs.google.com/spreadsheets/d/1kGrh75X1cNR1D7_FcY9zMnHP8iP"&amp;"O4M5RCRjy6nZY0TY/edit#gid=1248694442"",""Table 3: 1st-line HC!A5:A111"")),"""")"),"")</f>
        <v/>
      </c>
      <c r="AQ36" s="14" t="str">
        <f>IFERROR(__xludf.DUMMYFUNCTION("IFNA(FILTER(IMPORTRANGE(""https://docs.google.com/spreadsheets/d/1kGrh75X1cNR1D7_FcY9zMnHP8iPO4M5RCRjy6nZY0TY/edit#gid=1248694442"",""Table 2: MMC!T5:T114""), $A36=IMPORTRANGE(""https://docs.google.com/spreadsheets/d/1kGrh75X1cNR1D7_FcY9zMnHP8iPO4M5RCRjy6"&amp;"nZY0TY/edit#gid=1248694442"",""Table 2: MMC!A5:A114"")),"""")"),"")</f>
        <v/>
      </c>
      <c r="AR36" s="14" t="str">
        <f>IFERROR(__xludf.DUMMYFUNCTION("IFNA(FILTER(IMPORTRANGE(""https://docs.google.com/spreadsheets/d/1kGrh75X1cNR1D7_FcY9zMnHP8iPO4M5RCRjy6nZY0TY/edit#gid=1248694442"",""Table 2: MMC!U5:U114""), $A36=IMPORTRANGE(""https://docs.google.com/spreadsheets/d/1kGrh75X1cNR1D7_FcY9zMnHP8iPO4M5RCRjy6"&amp;"nZY0TY/edit#gid=1248694442"",""Table 2: MMC!A5:A114"")),"""")"),"")</f>
        <v/>
      </c>
      <c r="AS36" s="14" t="str">
        <f>IFERROR(__xludf.DUMMYFUNCTION("IFNA(FILTER(IMPORTRANGE(""https://docs.google.com/spreadsheets/d/1kGrh75X1cNR1D7_FcY9zMnHP8iPO4M5RCRjy6nZY0TY/edit#gid=1248694442"",""Table 2: MMC!V5:V114""), $A36=IMPORTRANGE(""https://docs.google.com/spreadsheets/d/1kGrh75X1cNR1D7_FcY9zMnHP8iPO4M5RCRjy6"&amp;"nZY0TY/edit#gid=1248694442"",""Table 2: MMC!A5:A114"")),"""")"),"")</f>
        <v/>
      </c>
      <c r="AT36" s="4" t="str">
        <f>IFERROR(__xludf.DUMMYFUNCTION("IFNA(FILTER(IMPORTRANGE(""https://docs.google.com/spreadsheets/d/1kGrh75X1cNR1D7_FcY9zMnHP8iPO4M5RCRjy6nZY0TY/edit#gid=1248694442"",""Table 2: MMC!W5:W114""), $A36=IMPORTRANGE(""https://docs.google.com/spreadsheets/d/1kGrh75X1cNR1D7_FcY9zMnHP8iPO4M5RCRjy6"&amp;"nZY0TY/edit#gid=1248694442"",""Table 2: MMC!A5:A114"")),"""")"),"")</f>
        <v/>
      </c>
    </row>
    <row r="37">
      <c r="A37" s="4" t="str">
        <f>IFERROR(__xludf.DUMMYFUNCTION("""COMPUTED_VALUE"""),"ID 72")</f>
        <v>ID 72</v>
      </c>
      <c r="B37" s="20" t="str">
        <f>IFERROR(__xludf.DUMMYFUNCTION("IFNA(FILTER(IMPORTRANGE(""https://docs.google.com/spreadsheets/d/1kGrh75X1cNR1D7_FcY9zMnHP8iPO4M5RCRjy6nZY0TY/edit#gid=1248694442"",""Table 3: 1st-line HC!BK5:BK111""), $A37=IMPORTRANGE(""https://docs.google.com/spreadsheets/d/1kGrh75X1cNR1D7_FcY9zMnHP8iP"&amp;"O4M5RCRjy6nZY0TY/edit#gid=1248694442"",""Table 3: 1st-line HC!A5:A111"")),"""")"),"")</f>
        <v/>
      </c>
      <c r="C37" s="20" t="str">
        <f>IFERROR(__xludf.DUMMYFUNCTION("IFNA(FILTER(IMPORTRANGE(""https://docs.google.com/spreadsheets/d/1kGrh75X1cNR1D7_FcY9zMnHP8iPO4M5RCRjy6nZY0TY/edit#gid=1248694442"",""Subgroup 1: Fr ~ Tx!B3:B20""), $A37=IMPORTRANGE(""https://docs.google.com/spreadsheets/d/1kGrh75X1cNR1D7_FcY9zMnHP8iPO4M5"&amp;"RCRjy6nZY0TY/edit#gid=1248694442"",""Subgroup 1: Fr ~ Tx!A3:A20"")),"""")"),"")</f>
        <v/>
      </c>
      <c r="D37" s="20" t="str">
        <f>IFERROR(__xludf.DUMMYFUNCTION("IFNA(FILTER(IMPORTRANGE(""https://docs.google.com/spreadsheets/d/1kGrh75X1cNR1D7_FcY9zMnHP8iPO4M5RCRjy6nZY0TY/edit#gid=1248694442"",""Subgroup 1: Fr ~ Tx!C3:C20""), $A37=IMPORTRANGE(""https://docs.google.com/spreadsheets/d/1kGrh75X1cNR1D7_FcY9zMnHP8iPO4M5"&amp;"RCRjy6nZY0TY/edit#gid=1248694442"",""Subgroup 1: Fr ~ Tx!A3:A20"")),"""")"),"")</f>
        <v/>
      </c>
      <c r="E37" s="20" t="str">
        <f>IFERROR(__xludf.DUMMYFUNCTION("IFNA(FILTER(IMPORTRANGE(""https://docs.google.com/spreadsheets/d/1kGrh75X1cNR1D7_FcY9zMnHP8iPO4M5RCRjy6nZY0TY/edit#gid=1248694442"",""Subgroup 1: Fr ~ Tx!D3:D20""), $A37=IMPORTRANGE(""https://docs.google.com/spreadsheets/d/1kGrh75X1cNR1D7_FcY9zMnHP8iPO4M5"&amp;"RCRjy6nZY0TY/edit#gid=1248694442"",""Subgroup 1: Fr ~ Tx!A3:A20"")),"""")"),"")</f>
        <v/>
      </c>
      <c r="F37" s="20" t="str">
        <f>IFERROR(__xludf.DUMMYFUNCTION("IFNA(FILTER(IMPORTRANGE(""https://docs.google.com/spreadsheets/d/1kGrh75X1cNR1D7_FcY9zMnHP8iPO4M5RCRjy6nZY0TY/edit#gid=1248694442"",""Subgroup 1: Fr ~ Tx!E3:E20""), $A37=IMPORTRANGE(""https://docs.google.com/spreadsheets/d/1kGrh75X1cNR1D7_FcY9zMnHP8iPO4M5"&amp;"RCRjy6nZY0TY/edit#gid=1248694442"",""Subgroup 1: Fr ~ Tx!A3:A20"")),"""")"),"")</f>
        <v/>
      </c>
      <c r="G37" s="20" t="str">
        <f>IFERROR(__xludf.DUMMYFUNCTION("IFNA(FILTER(IMPORTRANGE(""https://docs.google.com/spreadsheets/d/1kGrh75X1cNR1D7_FcY9zMnHP8iPO4M5RCRjy6nZY0TY/edit#gid=1248694442"",""Subgroup 1: Fr ~ Tx!F3:F20""), $A37=IMPORTRANGE(""https://docs.google.com/spreadsheets/d/1kGrh75X1cNR1D7_FcY9zMnHP8iPO4M5"&amp;"RCRjy6nZY0TY/edit#gid=1248694442"",""Subgroup 1: Fr ~ Tx!A3:A20"")),"""")"),"")</f>
        <v/>
      </c>
      <c r="H37" s="20" t="str">
        <f>IFERROR(__xludf.DUMMYFUNCTION("IFNA(FILTER(IMPORTRANGE(""https://docs.google.com/spreadsheets/d/1kGrh75X1cNR1D7_FcY9zMnHP8iPO4M5RCRjy6nZY0TY/edit#gid=1248694442"",""Table 3: 1st-line HC!BD5:BD111""), $A37=IMPORTRANGE(""https://docs.google.com/spreadsheets/d/1kGrh75X1cNR1D7_FcY9zMnHP8iP"&amp;"O4M5RCRjy6nZY0TY/edit#gid=1248694442"",""Table 3: 1st-line HC!A5:A111"")),"""")"),"")</f>
        <v/>
      </c>
      <c r="I37" s="20" t="str">
        <f>IFERROR(__xludf.DUMMYFUNCTION("IFNA(FILTER(IMPORTRANGE(""https://docs.google.com/spreadsheets/d/1kGrh75X1cNR1D7_FcY9zMnHP8iPO4M5RCRjy6nZY0TY/edit#gid=1248694442"",""Subgroup 5: Tf ~ Tx!B3:B8""), $A37=IMPORTRANGE(""https://docs.google.com/spreadsheets/d/1kGrh75X1cNR1D7_FcY9zMnHP8iPO4M5R"&amp;"CRjy6nZY0TY/edit#gid=1248694442"",""Subgroup 5: Tf ~ Tx!A3:A8"")),"""")"),"")</f>
        <v/>
      </c>
      <c r="J37" s="20" t="str">
        <f>IFERROR(__xludf.DUMMYFUNCTION("IFNA(FILTER(IMPORTRANGE(""https://docs.google.com/spreadsheets/d/1kGrh75X1cNR1D7_FcY9zMnHP8iPO4M5RCRjy6nZY0TY/edit#gid=1248694442"",""Subgroup 5: Tf ~ Tx!C3:C8""), $A37=IMPORTRANGE(""https://docs.google.com/spreadsheets/d/1kGrh75X1cNR1D7_FcY9zMnHP8iPO4M5R"&amp;"CRjy6nZY0TY/edit#gid=1248694442"",""Subgroup 5: Tf ~ Tx!A3:A8"")),"""")"),"")</f>
        <v/>
      </c>
      <c r="K37" s="20" t="str">
        <f>IFERROR(__xludf.DUMMYFUNCTION("IFNA(FILTER(IMPORTRANGE(""https://docs.google.com/spreadsheets/d/1kGrh75X1cNR1D7_FcY9zMnHP8iPO4M5RCRjy6nZY0TY/edit#gid=1248694442"",""Subgroup 5: Tf ~ Tx!D3:D8""), $A37=IMPORTRANGE(""https://docs.google.com/spreadsheets/d/1kGrh75X1cNR1D7_FcY9zMnHP8iPO4M5R"&amp;"CRjy6nZY0TY/edit#gid=1248694442"",""Subgroup 5: Tf ~ Tx!A3:A8"")),"""")"),"")</f>
        <v/>
      </c>
      <c r="L37" s="20" t="str">
        <f>IFERROR(__xludf.DUMMYFUNCTION("IFNA(FILTER(IMPORTRANGE(""https://docs.google.com/spreadsheets/d/1kGrh75X1cNR1D7_FcY9zMnHP8iPO4M5RCRjy6nZY0TY/edit#gid=1248694442"",""Subgroup 5: Tf ~ Tx!E3:E8""), $A37=IMPORTRANGE(""https://docs.google.com/spreadsheets/d/1kGrh75X1cNR1D7_FcY9zMnHP8iPO4M5R"&amp;"CRjy6nZY0TY/edit#gid=1248694442"",""Subgroup 5: Tf ~ Tx!A3:A8"")),"""")"),"")</f>
        <v/>
      </c>
      <c r="M37" s="20" t="str">
        <f>IFERROR(__xludf.DUMMYFUNCTION("IFNA(FILTER(IMPORTRANGE(""https://docs.google.com/spreadsheets/d/1kGrh75X1cNR1D7_FcY9zMnHP8iPO4M5RCRjy6nZY0TY/edit#gid=1248694442"",""Subgroup 5: Tf ~ Tx!F3:F8""), $A37=IMPORTRANGE(""https://docs.google.com/spreadsheets/d/1kGrh75X1cNR1D7_FcY9zMnHP8iPO4M5R"&amp;"CRjy6nZY0TY/edit#gid=1248694442"",""Subgroup 5: Tf ~ Tx!A3:A8"")),"""")"),"")</f>
        <v/>
      </c>
      <c r="N37" s="20" t="str">
        <f>IFERROR(__xludf.DUMMYFUNCTION("IFNA(FILTER(IMPORTRANGE(""https://docs.google.com/spreadsheets/d/1kGrh75X1cNR1D7_FcY9zMnHP8iPO4M5RCRjy6nZY0TY/edit#gid=1248694442"",""Table 3: 1st-line HC!BE5:BE111""), $A37=IMPORTRANGE(""https://docs.google.com/spreadsheets/d/1kGrh75X1cNR1D7_FcY9zMnHP8iP"&amp;"O4M5RCRjy6nZY0TY/edit#gid=1248694442"",""Table 3: 1st-line HC!A5:A111"")),"""")"),"")</f>
        <v/>
      </c>
      <c r="O37" s="20" t="str">
        <f>IFERROR(__xludf.DUMMYFUNCTION("IFNA(FILTER(IMPORTRANGE(""https://docs.google.com/spreadsheets/d/1kGrh75X1cNR1D7_FcY9zMnHP8iPO4M5RCRjy6nZY0TY/edit#gid=1248694442"",""Table 3: 1st-line HC!BF5:BF111""), $A37=IMPORTRANGE(""https://docs.google.com/spreadsheets/d/1kGrh75X1cNR1D7_FcY9zMnHP8iP"&amp;"O4M5RCRjy6nZY0TY/edit#gid=1248694442"",""Table 3: 1st-line HC!A5:A111"")),"""")"),"")</f>
        <v/>
      </c>
      <c r="P37" s="20" t="str">
        <f>IFERROR(__xludf.DUMMYFUNCTION("IFNA(FILTER(IMPORTRANGE(""https://docs.google.com/spreadsheets/d/1kGrh75X1cNR1D7_FcY9zMnHP8iPO4M5RCRjy6nZY0TY/edit#gid=1248694442"",""Table 3: 1st-line HC!BG5:BG111""), $A37=IMPORTRANGE(""https://docs.google.com/spreadsheets/d/1kGrh75X1cNR1D7_FcY9zMnHP8iP"&amp;"O4M5RCRjy6nZY0TY/edit#gid=1248694442"",""Table 3: 1st-line HC!A5:A111"")),"""")"),"")</f>
        <v/>
      </c>
      <c r="Q37" s="21" t="str">
        <f>IFERROR(__xludf.DUMMYFUNCTION("IFNA(FILTER(IMPORTRANGE(""https://docs.google.com/spreadsheets/d/1kGrh75X1cNR1D7_FcY9zMnHP8iPO4M5RCRjy6nZY0TY/edit#gid=1248694442"",""Table 3: 1st-line HC!BH5:BH111""), $A37=IMPORTRANGE(""https://docs.google.com/spreadsheets/d/1kGrh75X1cNR1D7_FcY9zMnHP8iP"&amp;"O4M5RCRjy6nZY0TY/edit#gid=1248694442"",""Table 3: 1st-line HC!A5:A111"")),"""")"),"")</f>
        <v/>
      </c>
      <c r="R37" s="19" t="str">
        <f>IFERROR(__xludf.DUMMYFUNCTION("IFNA(FILTER(IMPORTRANGE(""https://docs.google.com/spreadsheets/d/1kGrh75X1cNR1D7_FcY9zMnHP8iPO4M5RCRjy6nZY0TY/edit#gid=1248694442"",""Table 3: 1st-line HC!AJ5:AJ111""), $A37=IMPORTRANGE(""https://docs.google.com/spreadsheets/d/1kGrh75X1cNR1D7_FcY9zMnHP8iP"&amp;"O4M5RCRjy6nZY0TY/edit#gid=1248694442"",""Table 3: 1st-line HC!A5:A111"")),"""")"),"")</f>
        <v/>
      </c>
      <c r="S37" s="20" t="str">
        <f>IFERROR(__xludf.DUMMYFUNCTION("IFNA(FILTER(IMPORTRANGE(""https://docs.google.com/spreadsheets/d/1kGrh75X1cNR1D7_FcY9zMnHP8iPO4M5RCRjy6nZY0TY/edit#gid=1248694442"",""Subgroup 3: Mi ~ Tx!B3:B17""), $A37=IMPORTRANGE(""https://docs.google.com/spreadsheets/d/1kGrh75X1cNR1D7_FcY9zMnHP8iPO4M5"&amp;"RCRjy6nZY0TY/edit#gid=1248694442"",""Subgroup 3: Mi ~ Tx!A3:A17"")),"""")"),"")</f>
        <v/>
      </c>
      <c r="T37" s="20" t="str">
        <f>IFERROR(__xludf.DUMMYFUNCTION("IFNA(FILTER(IMPORTRANGE(""https://docs.google.com/spreadsheets/d/1kGrh75X1cNR1D7_FcY9zMnHP8iPO4M5RCRjy6nZY0TY/edit#gid=1248694442"",""Subgroup 3: Mi ~ Tx!C3:C17""), $A37=IMPORTRANGE(""https://docs.google.com/spreadsheets/d/1kGrh75X1cNR1D7_FcY9zMnHP8iPO4M5"&amp;"RCRjy6nZY0TY/edit#gid=1248694442"",""Subgroup 3: Mi ~ Tx!A3:A17"")),"""")"),"")</f>
        <v/>
      </c>
      <c r="U37" s="20" t="str">
        <f>IFERROR(__xludf.DUMMYFUNCTION("IFNA(FILTER(IMPORTRANGE(""https://docs.google.com/spreadsheets/d/1kGrh75X1cNR1D7_FcY9zMnHP8iPO4M5RCRjy6nZY0TY/edit#gid=1248694442"",""Subgroup 3: Mi ~ Tx!D3:D17""), $A37=IMPORTRANGE(""https://docs.google.com/spreadsheets/d/1kGrh75X1cNR1D7_FcY9zMnHP8iPO4M5"&amp;"RCRjy6nZY0TY/edit#gid=1248694442"",""Subgroup 3: Mi ~ Tx!A3:A17"")),"""")"),"")</f>
        <v/>
      </c>
      <c r="V37" s="20" t="str">
        <f>IFERROR(__xludf.DUMMYFUNCTION("IFNA(FILTER(IMPORTRANGE(""https://docs.google.com/spreadsheets/d/1kGrh75X1cNR1D7_FcY9zMnHP8iPO4M5RCRjy6nZY0TY/edit#gid=1248694442"",""Subgroup 3: Mi ~ Tx!E3:E17""), $A37=IMPORTRANGE(""https://docs.google.com/spreadsheets/d/1kGrh75X1cNR1D7_FcY9zMnHP8iPO4M5"&amp;"RCRjy6nZY0TY/edit#gid=1248694442"",""Subgroup 3: Mi ~ Tx!A3:A17"")),"""")"),"")</f>
        <v/>
      </c>
      <c r="W37" s="20" t="str">
        <f>IFERROR(__xludf.DUMMYFUNCTION("IFNA(FILTER(IMPORTRANGE(""https://docs.google.com/spreadsheets/d/1kGrh75X1cNR1D7_FcY9zMnHP8iPO4M5RCRjy6nZY0TY/edit#gid=1248694442"",""Subgroup 3: Mi ~ Tx!F3:F17""), $A37=IMPORTRANGE(""https://docs.google.com/spreadsheets/d/1kGrh75X1cNR1D7_FcY9zMnHP8iPO4M5"&amp;"RCRjy6nZY0TY/edit#gid=1248694442"",""Subgroup 3: Mi ~ Tx!A3:A17"")),"""")"),"")</f>
        <v/>
      </c>
      <c r="X37" s="19" t="str">
        <f>IFERROR(__xludf.DUMMYFUNCTION("IFNA(FILTER(IMPORTRANGE(""https://docs.google.com/spreadsheets/d/1kGrh75X1cNR1D7_FcY9zMnHP8iPO4M5RCRjy6nZY0TY/edit#gid=1248694442"",""Table 3: 1st-line HC!AK5:AK111""), $A37=IMPORTRANGE(""https://docs.google.com/spreadsheets/d/1kGrh75X1cNR1D7_FcY9zMnHP8iP"&amp;"O4M5RCRjy6nZY0TY/edit#gid=1248694442"",""Table 3: 1st-line HC!A5:A111"")),"""")"),"")</f>
        <v/>
      </c>
      <c r="Y37" s="20" t="str">
        <f>IFERROR(__xludf.DUMMYFUNCTION("IFNA(FILTER(IMPORTRANGE(""https://docs.google.com/spreadsheets/d/1kGrh75X1cNR1D7_FcY9zMnHP8iPO4M5RCRjy6nZY0TY/edit#gid=1248694442"",""Subgroup 4: Mp ~ Tx!B3:B20""), $A37=IMPORTRANGE(""https://docs.google.com/spreadsheets/d/1kGrh75X1cNR1D7_FcY9zMnHP8iPO4M5"&amp;"RCRjy6nZY0TY/edit#gid=1248694442"",""Subgroup 4: Mp ~ Tx!A3:A20"")),"""")"),"")</f>
        <v/>
      </c>
      <c r="Z37" s="20" t="str">
        <f>IFERROR(__xludf.DUMMYFUNCTION("IFNA(FILTER(IMPORTRANGE(""https://docs.google.com/spreadsheets/d/1kGrh75X1cNR1D7_FcY9zMnHP8iPO4M5RCRjy6nZY0TY/edit#gid=1248694442"",""Subgroup 4: Mp ~ Tx!C3:C20""), $A37=IMPORTRANGE(""https://docs.google.com/spreadsheets/d/1kGrh75X1cNR1D7_FcY9zMnHP8iPO4M5"&amp;"RCRjy6nZY0TY/edit#gid=1248694442"",""Subgroup 4: Mp ~ Tx!A3:A20"")),"""")"),"")</f>
        <v/>
      </c>
      <c r="AA37" s="20" t="str">
        <f>IFERROR(__xludf.DUMMYFUNCTION("IFNA(FILTER(IMPORTRANGE(""https://docs.google.com/spreadsheets/d/1kGrh75X1cNR1D7_FcY9zMnHP8iPO4M5RCRjy6nZY0TY/edit#gid=1248694442"",""Subgroup 4: Mp ~ Tx!D3:D20""), $A37=IMPORTRANGE(""https://docs.google.com/spreadsheets/d/1kGrh75X1cNR1D7_FcY9zMnHP8iPO4M5"&amp;"RCRjy6nZY0TY/edit#gid=1248694442"",""Subgroup 4: Mp ~ Tx!A3:A20"")),"""")"),"")</f>
        <v/>
      </c>
      <c r="AB37" s="20" t="str">
        <f>IFERROR(__xludf.DUMMYFUNCTION("IFNA(FILTER(IMPORTRANGE(""https://docs.google.com/spreadsheets/d/1kGrh75X1cNR1D7_FcY9zMnHP8iPO4M5RCRjy6nZY0TY/edit#gid=1248694442"",""Subgroup 4: Mp ~ Tx!E3:E20""), $A37=IMPORTRANGE(""https://docs.google.com/spreadsheets/d/1kGrh75X1cNR1D7_FcY9zMnHP8iPO4M5"&amp;"RCRjy6nZY0TY/edit#gid=1248694442"",""Subgroup 4: Mp ~ Tx!A3:A20"")),"""")"),"")</f>
        <v/>
      </c>
      <c r="AC37" s="20" t="str">
        <f>IFERROR(__xludf.DUMMYFUNCTION("IFNA(FILTER(IMPORTRANGE(""https://docs.google.com/spreadsheets/d/1kGrh75X1cNR1D7_FcY9zMnHP8iPO4M5RCRjy6nZY0TY/edit#gid=1248694442"",""Subgroup 4: Mp ~ Tx!F3:F20""), $A37=IMPORTRANGE(""https://docs.google.com/spreadsheets/d/1kGrh75X1cNR1D7_FcY9zMnHP8iPO4M5"&amp;"RCRjy6nZY0TY/edit#gid=1248694442"",""Subgroup 4: Mp ~ Tx!A3:A20"")),"""")"),"")</f>
        <v/>
      </c>
      <c r="AD37" s="22" t="str">
        <f>IFERROR(__xludf.DUMMYFUNCTION("IFNA(FILTER(IMPORTRANGE(""https://docs.google.com/spreadsheets/d/1kGrh75X1cNR1D7_FcY9zMnHP8iPO4M5RCRjy6nZY0TY/edit#gid=1248694442"",""Table 3: 1st-line HC!AL5:AL111""), $A37=IMPORTRANGE(""https://docs.google.com/spreadsheets/d/1kGrh75X1cNR1D7_FcY9zMnHP8iP"&amp;"O4M5RCRjy6nZY0TY/edit#gid=1248694442"",""Table 3: 1st-line HC!A5:A111"")),"""")"),"")</f>
        <v/>
      </c>
      <c r="AE37" s="20" t="str">
        <f>IFERROR(__xludf.DUMMYFUNCTION("IFNA(FILTER(IMPORTRANGE(""https://docs.google.com/spreadsheets/d/1kGrh75X1cNR1D7_FcY9zMnHP8iPO4M5RCRjy6nZY0TY/edit#gid=1248694442"",""Table 3: 1st-line HC!BJ5:BJ111""), $A37=IMPORTRANGE(""https://docs.google.com/spreadsheets/d/1kGrh75X1cNR1D7_FcY9zMnHP8iP"&amp;"O4M5RCRjy6nZY0TY/edit#gid=1248694442"",""Table 3: 1st-line HC!A5:A111"")),"""")"),"")</f>
        <v/>
      </c>
      <c r="AF37" s="20" t="str">
        <f>IFERROR(__xludf.DUMMYFUNCTION("IFNA(FILTER(IMPORTRANGE(""https://docs.google.com/spreadsheets/d/1kGrh75X1cNR1D7_FcY9zMnHP8iPO4M5RCRjy6nZY0TY/edit#gid=1248694442"",""Subgroup 2: Cr ~ Tx!B3:B23""), $A37=IMPORTRANGE(""https://docs.google.com/spreadsheets/d/1kGrh75X1cNR1D7_FcY9zMnHP8iPO4M5"&amp;"RCRjy6nZY0TY/edit#gid=1248694442"",""Subgroup 2: Cr ~ Tx!A3:A23"")),"""")"),"")</f>
        <v/>
      </c>
      <c r="AG37" s="20" t="str">
        <f>IFERROR(__xludf.DUMMYFUNCTION("IFNA(FILTER(IMPORTRANGE(""https://docs.google.com/spreadsheets/d/1kGrh75X1cNR1D7_FcY9zMnHP8iPO4M5RCRjy6nZY0TY/edit#gid=1248694442"",""Subgroup 2: Cr ~ Tx!C3:C23""), $A37=IMPORTRANGE(""https://docs.google.com/spreadsheets/d/1kGrh75X1cNR1D7_FcY9zMnHP8iPO4M5"&amp;"RCRjy6nZY0TY/edit#gid=1248694442"",""Subgroup 2: Cr ~ Tx!A3:A23"")),"""")"),"")</f>
        <v/>
      </c>
      <c r="AH37" s="20" t="str">
        <f>IFERROR(__xludf.DUMMYFUNCTION("IFNA(FILTER(IMPORTRANGE(""https://docs.google.com/spreadsheets/d/1kGrh75X1cNR1D7_FcY9zMnHP8iPO4M5RCRjy6nZY0TY/edit#gid=1248694442"",""Subgroup 2: Cr ~ Tx!D3:D23""), $A37=IMPORTRANGE(""https://docs.google.com/spreadsheets/d/1kGrh75X1cNR1D7_FcY9zMnHP8iPO4M5"&amp;"RCRjy6nZY0TY/edit#gid=1248694442"",""Subgroup 2: Cr ~ Tx!A3:A23"")),"""")"),"")</f>
        <v/>
      </c>
      <c r="AI37" s="20" t="str">
        <f>IFERROR(__xludf.DUMMYFUNCTION("IFNA(FILTER(IMPORTRANGE(""https://docs.google.com/spreadsheets/d/1kGrh75X1cNR1D7_FcY9zMnHP8iPO4M5RCRjy6nZY0TY/edit#gid=1248694442"",""Subgroup 2: Cr ~ Tx!E3:E23""), $A37=IMPORTRANGE(""https://docs.google.com/spreadsheets/d/1kGrh75X1cNR1D7_FcY9zMnHP8iPO4M5"&amp;"RCRjy6nZY0TY/edit#gid=1248694442"",""Subgroup 2: Cr ~ Tx!A3:A23"")),"""")"),"")</f>
        <v/>
      </c>
      <c r="AJ37" s="20" t="str">
        <f>IFERROR(__xludf.DUMMYFUNCTION("IFNA(FILTER(IMPORTRANGE(""https://docs.google.com/spreadsheets/d/1kGrh75X1cNR1D7_FcY9zMnHP8iPO4M5RCRjy6nZY0TY/edit#gid=1248694442"",""Subgroup 2: Cr ~ Tx!F3:F23""), $A37=IMPORTRANGE(""https://docs.google.com/spreadsheets/d/1kGrh75X1cNR1D7_FcY9zMnHP8iPO4M5"&amp;"RCRjy6nZY0TY/edit#gid=1248694442"",""Subgroup 2: Cr ~ Tx!A3:A23"")),"""")"),"")</f>
        <v/>
      </c>
      <c r="AK37" s="14" t="str">
        <f>IFERROR(__xludf.DUMMYFUNCTION("IFNA(FILTER(IMPORTRANGE(""https://docs.google.com/spreadsheets/d/1kGrh75X1cNR1D7_FcY9zMnHP8iPO4M5RCRjy6nZY0TY/edit#gid=1248694442"",""Table 4: 2nd-line HC or more!M5:M85""), $A37=IMPORTRANGE(""https://docs.google.com/spreadsheets/d/1kGrh75X1cNR1D7_FcY9zMn"&amp;"HP8iPO4M5RCRjy6nZY0TY/edit#gid=1248694442"",""Table 4: 2nd-line HC or more!A5:A85"")),"""")"),"")</f>
        <v/>
      </c>
      <c r="AL37" s="14" t="str">
        <f>IFERROR(__xludf.DUMMYFUNCTION("IFNA(FILTER(IMPORTRANGE(""https://docs.google.com/spreadsheets/d/1kGrh75X1cNR1D7_FcY9zMnHP8iPO4M5RCRjy6nZY0TY/edit#gid=1248694442"",""Table 4: 2nd-line HC or more!N5:N85""), $A37=IMPORTRANGE(""https://docs.google.com/spreadsheets/d/1kGrh75X1cNR1D7_FcY9zMn"&amp;"HP8iPO4M5RCRjy6nZY0TY/edit#gid=1248694442"",""Table 4: 2nd-line HC or more!A5:A85"")),"""")"),"")</f>
        <v/>
      </c>
      <c r="AM37" s="14" t="str">
        <f>IFERROR(__xludf.DUMMYFUNCTION("IFNA(FILTER(IMPORTRANGE(""https://docs.google.com/spreadsheets/d/1kGrh75X1cNR1D7_FcY9zMnHP8iPO4M5RCRjy6nZY0TY/edit#gid=1248694442"",""Table 4: 2nd-line HC or more!O5:O85""), $A37=IMPORTRANGE(""https://docs.google.com/spreadsheets/d/1kGrh75X1cNR1D7_FcY9zMn"&amp;"HP8iPO4M5RCRjy6nZY0TY/edit#gid=1248694442"",""Table 4: 2nd-line HC or more!A5:A85"")),"""")"),"")</f>
        <v/>
      </c>
      <c r="AN37" s="14" t="str">
        <f>IFERROR(__xludf.DUMMYFUNCTION("IFNA(FILTER(IMPORTRANGE(""https://docs.google.com/spreadsheets/d/1kGrh75X1cNR1D7_FcY9zMnHP8iPO4M5RCRjy6nZY0TY/edit#gid=1248694442"",""Table 3: 1st-line HC!AP5:AP111""), $A37=IMPORTRANGE(""https://docs.google.com/spreadsheets/d/1kGrh75X1cNR1D7_FcY9zMnHP8iP"&amp;"O4M5RCRjy6nZY0TY/edit#gid=1248694442"",""Table 3: 1st-line HC!A5:A111"")),"""")"),"")</f>
        <v/>
      </c>
      <c r="AO37" s="14" t="str">
        <f>IFERROR(__xludf.DUMMYFUNCTION("IFNA(FILTER(IMPORTRANGE(""https://docs.google.com/spreadsheets/d/1kGrh75X1cNR1D7_FcY9zMnHP8iPO4M5RCRjy6nZY0TY/edit#gid=1248694442"",""Table 3: 1st-line HC!AO5:AO111""), $A37=IMPORTRANGE(""https://docs.google.com/spreadsheets/d/1kGrh75X1cNR1D7_FcY9zMnHP8iP"&amp;"O4M5RCRjy6nZY0TY/edit#gid=1248694442"",""Table 3: 1st-line HC!A5:A111"")),"""")"),"")</f>
        <v/>
      </c>
      <c r="AP37" s="14" t="str">
        <f>IFERROR(__xludf.DUMMYFUNCTION("IFNA(FILTER(IMPORTRANGE(""https://docs.google.com/spreadsheets/d/1kGrh75X1cNR1D7_FcY9zMnHP8iPO4M5RCRjy6nZY0TY/edit#gid=1248694442"",""Table 3: 1st-line HC!AQ5:AQ111""), $A37=IMPORTRANGE(""https://docs.google.com/spreadsheets/d/1kGrh75X1cNR1D7_FcY9zMnHP8iP"&amp;"O4M5RCRjy6nZY0TY/edit#gid=1248694442"",""Table 3: 1st-line HC!A5:A111"")),"""")"),"")</f>
        <v/>
      </c>
      <c r="AQ37" s="14" t="str">
        <f>IFERROR(__xludf.DUMMYFUNCTION("IFNA(FILTER(IMPORTRANGE(""https://docs.google.com/spreadsheets/d/1kGrh75X1cNR1D7_FcY9zMnHP8iPO4M5RCRjy6nZY0TY/edit#gid=1248694442"",""Table 2: MMC!T5:T114""), $A37=IMPORTRANGE(""https://docs.google.com/spreadsheets/d/1kGrh75X1cNR1D7_FcY9zMnHP8iPO4M5RCRjy6"&amp;"nZY0TY/edit#gid=1248694442"",""Table 2: MMC!A5:A114"")),"""")"),"")</f>
        <v/>
      </c>
      <c r="AR37" s="14" t="str">
        <f>IFERROR(__xludf.DUMMYFUNCTION("IFNA(FILTER(IMPORTRANGE(""https://docs.google.com/spreadsheets/d/1kGrh75X1cNR1D7_FcY9zMnHP8iPO4M5RCRjy6nZY0TY/edit#gid=1248694442"",""Table 2: MMC!U5:U114""), $A37=IMPORTRANGE(""https://docs.google.com/spreadsheets/d/1kGrh75X1cNR1D7_FcY9zMnHP8iPO4M5RCRjy6"&amp;"nZY0TY/edit#gid=1248694442"",""Table 2: MMC!A5:A114"")),"""")"),"")</f>
        <v/>
      </c>
      <c r="AS37" s="14" t="str">
        <f>IFERROR(__xludf.DUMMYFUNCTION("IFNA(FILTER(IMPORTRANGE(""https://docs.google.com/spreadsheets/d/1kGrh75X1cNR1D7_FcY9zMnHP8iPO4M5RCRjy6nZY0TY/edit#gid=1248694442"",""Table 2: MMC!V5:V114""), $A37=IMPORTRANGE(""https://docs.google.com/spreadsheets/d/1kGrh75X1cNR1D7_FcY9zMnHP8iPO4M5RCRjy6"&amp;"nZY0TY/edit#gid=1248694442"",""Table 2: MMC!A5:A114"")),"""")"),"")</f>
        <v/>
      </c>
      <c r="AT37" s="4" t="str">
        <f>IFERROR(__xludf.DUMMYFUNCTION("IFNA(FILTER(IMPORTRANGE(""https://docs.google.com/spreadsheets/d/1kGrh75X1cNR1D7_FcY9zMnHP8iPO4M5RCRjy6nZY0TY/edit#gid=1248694442"",""Table 2: MMC!W5:W114""), $A37=IMPORTRANGE(""https://docs.google.com/spreadsheets/d/1kGrh75X1cNR1D7_FcY9zMnHP8iPO4M5RCRjy6"&amp;"nZY0TY/edit#gid=1248694442"",""Table 2: MMC!A5:A114"")),"""")"),"")</f>
        <v/>
      </c>
    </row>
    <row r="38">
      <c r="A38" s="4" t="str">
        <f>IFERROR(__xludf.DUMMYFUNCTION("""COMPUTED_VALUE"""),"ID 73")</f>
        <v>ID 73</v>
      </c>
      <c r="B38" s="20">
        <f>IFERROR(__xludf.DUMMYFUNCTION("IFNA(FILTER(IMPORTRANGE(""https://docs.google.com/spreadsheets/d/1kGrh75X1cNR1D7_FcY9zMnHP8iPO4M5RCRjy6nZY0TY/edit#gid=1248694442"",""Table 3: 1st-line HC!BK5:BK111""), $A38=IMPORTRANGE(""https://docs.google.com/spreadsheets/d/1kGrh75X1cNR1D7_FcY9zMnHP8iP"&amp;"O4M5RCRjy6nZY0TY/edit#gid=1248694442"",""Table 3: 1st-line HC!A5:A111"")),"""")"),0.43)</f>
        <v>0.43</v>
      </c>
      <c r="C38" s="20" t="str">
        <f>IFERROR(__xludf.DUMMYFUNCTION("IFNA(FILTER(IMPORTRANGE(""https://docs.google.com/spreadsheets/d/1kGrh75X1cNR1D7_FcY9zMnHP8iPO4M5RCRjy6nZY0TY/edit#gid=1248694442"",""Subgroup 1: Fr ~ Tx!B3:B20""), $A38=IMPORTRANGE(""https://docs.google.com/spreadsheets/d/1kGrh75X1cNR1D7_FcY9zMnHP8iPO4M5"&amp;"RCRjy6nZY0TY/edit#gid=1248694442"",""Subgroup 1: Fr ~ Tx!A3:A20"")),"""")"),"")</f>
        <v/>
      </c>
      <c r="D38" s="20">
        <f>IFERROR(__xludf.DUMMYFUNCTION("IFNA(FILTER(IMPORTRANGE(""https://docs.google.com/spreadsheets/d/1kGrh75X1cNR1D7_FcY9zMnHP8iPO4M5RCRjy6nZY0TY/edit#gid=1248694442"",""Subgroup 1: Fr ~ Tx!C3:C20""), $A38=IMPORTRANGE(""https://docs.google.com/spreadsheets/d/1kGrh75X1cNR1D7_FcY9zMnHP8iPO4M5"&amp;"RCRjy6nZY0TY/edit#gid=1248694442"",""Subgroup 1: Fr ~ Tx!A3:A20"")),"""")"),0.43)</f>
        <v>0.43</v>
      </c>
      <c r="E38" s="20" t="str">
        <f>IFERROR(__xludf.DUMMYFUNCTION("IFNA(FILTER(IMPORTRANGE(""https://docs.google.com/spreadsheets/d/1kGrh75X1cNR1D7_FcY9zMnHP8iPO4M5RCRjy6nZY0TY/edit#gid=1248694442"",""Subgroup 1: Fr ~ Tx!D3:D20""), $A38=IMPORTRANGE(""https://docs.google.com/spreadsheets/d/1kGrh75X1cNR1D7_FcY9zMnHP8iPO4M5"&amp;"RCRjy6nZY0TY/edit#gid=1248694442"",""Subgroup 1: Fr ~ Tx!A3:A20"")),"""")"),"")</f>
        <v/>
      </c>
      <c r="F38" s="20" t="str">
        <f>IFERROR(__xludf.DUMMYFUNCTION("IFNA(FILTER(IMPORTRANGE(""https://docs.google.com/spreadsheets/d/1kGrh75X1cNR1D7_FcY9zMnHP8iPO4M5RCRjy6nZY0TY/edit#gid=1248694442"",""Subgroup 1: Fr ~ Tx!E3:E20""), $A38=IMPORTRANGE(""https://docs.google.com/spreadsheets/d/1kGrh75X1cNR1D7_FcY9zMnHP8iPO4M5"&amp;"RCRjy6nZY0TY/edit#gid=1248694442"",""Subgroup 1: Fr ~ Tx!A3:A20"")),"""")"),"")</f>
        <v/>
      </c>
      <c r="G38" s="20" t="str">
        <f>IFERROR(__xludf.DUMMYFUNCTION("IFNA(FILTER(IMPORTRANGE(""https://docs.google.com/spreadsheets/d/1kGrh75X1cNR1D7_FcY9zMnHP8iPO4M5RCRjy6nZY0TY/edit#gid=1248694442"",""Subgroup 1: Fr ~ Tx!F3:F20""), $A38=IMPORTRANGE(""https://docs.google.com/spreadsheets/d/1kGrh75X1cNR1D7_FcY9zMnHP8iPO4M5"&amp;"RCRjy6nZY0TY/edit#gid=1248694442"",""Subgroup 1: Fr ~ Tx!A3:A20"")),"""")"),"")</f>
        <v/>
      </c>
      <c r="H38" s="20" t="str">
        <f>IFERROR(__xludf.DUMMYFUNCTION("IFNA(FILTER(IMPORTRANGE(""https://docs.google.com/spreadsheets/d/1kGrh75X1cNR1D7_FcY9zMnHP8iPO4M5RCRjy6nZY0TY/edit#gid=1248694442"",""Table 3: 1st-line HC!BD5:BD111""), $A38=IMPORTRANGE(""https://docs.google.com/spreadsheets/d/1kGrh75X1cNR1D7_FcY9zMnHP8iP"&amp;"O4M5RCRjy6nZY0TY/edit#gid=1248694442"",""Table 3: 1st-line HC!A5:A111"")),"""")"),"")</f>
        <v/>
      </c>
      <c r="I38" s="20" t="str">
        <f>IFERROR(__xludf.DUMMYFUNCTION("IFNA(FILTER(IMPORTRANGE(""https://docs.google.com/spreadsheets/d/1kGrh75X1cNR1D7_FcY9zMnHP8iPO4M5RCRjy6nZY0TY/edit#gid=1248694442"",""Subgroup 5: Tf ~ Tx!B3:B8""), $A38=IMPORTRANGE(""https://docs.google.com/spreadsheets/d/1kGrh75X1cNR1D7_FcY9zMnHP8iPO4M5R"&amp;"CRjy6nZY0TY/edit#gid=1248694442"",""Subgroup 5: Tf ~ Tx!A3:A8"")),"""")"),"")</f>
        <v/>
      </c>
      <c r="J38" s="20" t="str">
        <f>IFERROR(__xludf.DUMMYFUNCTION("IFNA(FILTER(IMPORTRANGE(""https://docs.google.com/spreadsheets/d/1kGrh75X1cNR1D7_FcY9zMnHP8iPO4M5RCRjy6nZY0TY/edit#gid=1248694442"",""Subgroup 5: Tf ~ Tx!C3:C8""), $A38=IMPORTRANGE(""https://docs.google.com/spreadsheets/d/1kGrh75X1cNR1D7_FcY9zMnHP8iPO4M5R"&amp;"CRjy6nZY0TY/edit#gid=1248694442"",""Subgroup 5: Tf ~ Tx!A3:A8"")),"""")"),"")</f>
        <v/>
      </c>
      <c r="K38" s="20" t="str">
        <f>IFERROR(__xludf.DUMMYFUNCTION("IFNA(FILTER(IMPORTRANGE(""https://docs.google.com/spreadsheets/d/1kGrh75X1cNR1D7_FcY9zMnHP8iPO4M5RCRjy6nZY0TY/edit#gid=1248694442"",""Subgroup 5: Tf ~ Tx!D3:D8""), $A38=IMPORTRANGE(""https://docs.google.com/spreadsheets/d/1kGrh75X1cNR1D7_FcY9zMnHP8iPO4M5R"&amp;"CRjy6nZY0TY/edit#gid=1248694442"",""Subgroup 5: Tf ~ Tx!A3:A8"")),"""")"),"")</f>
        <v/>
      </c>
      <c r="L38" s="20" t="str">
        <f>IFERROR(__xludf.DUMMYFUNCTION("IFNA(FILTER(IMPORTRANGE(""https://docs.google.com/spreadsheets/d/1kGrh75X1cNR1D7_FcY9zMnHP8iPO4M5RCRjy6nZY0TY/edit#gid=1248694442"",""Subgroup 5: Tf ~ Tx!E3:E8""), $A38=IMPORTRANGE(""https://docs.google.com/spreadsheets/d/1kGrh75X1cNR1D7_FcY9zMnHP8iPO4M5R"&amp;"CRjy6nZY0TY/edit#gid=1248694442"",""Subgroup 5: Tf ~ Tx!A3:A8"")),"""")"),"")</f>
        <v/>
      </c>
      <c r="M38" s="20" t="str">
        <f>IFERROR(__xludf.DUMMYFUNCTION("IFNA(FILTER(IMPORTRANGE(""https://docs.google.com/spreadsheets/d/1kGrh75X1cNR1D7_FcY9zMnHP8iPO4M5RCRjy6nZY0TY/edit#gid=1248694442"",""Subgroup 5: Tf ~ Tx!F3:F8""), $A38=IMPORTRANGE(""https://docs.google.com/spreadsheets/d/1kGrh75X1cNR1D7_FcY9zMnHP8iPO4M5R"&amp;"CRjy6nZY0TY/edit#gid=1248694442"",""Subgroup 5: Tf ~ Tx!A3:A8"")),"""")"),"")</f>
        <v/>
      </c>
      <c r="N38" s="20" t="str">
        <f>IFERROR(__xludf.DUMMYFUNCTION("IFNA(FILTER(IMPORTRANGE(""https://docs.google.com/spreadsheets/d/1kGrh75X1cNR1D7_FcY9zMnHP8iPO4M5RCRjy6nZY0TY/edit#gid=1248694442"",""Table 3: 1st-line HC!BE5:BE111""), $A38=IMPORTRANGE(""https://docs.google.com/spreadsheets/d/1kGrh75X1cNR1D7_FcY9zMnHP8iP"&amp;"O4M5RCRjy6nZY0TY/edit#gid=1248694442"",""Table 3: 1st-line HC!A5:A111"")),"""")"),"")</f>
        <v/>
      </c>
      <c r="O38" s="20" t="str">
        <f>IFERROR(__xludf.DUMMYFUNCTION("IFNA(FILTER(IMPORTRANGE(""https://docs.google.com/spreadsheets/d/1kGrh75X1cNR1D7_FcY9zMnHP8iPO4M5RCRjy6nZY0TY/edit#gid=1248694442"",""Table 3: 1st-line HC!BF5:BF111""), $A38=IMPORTRANGE(""https://docs.google.com/spreadsheets/d/1kGrh75X1cNR1D7_FcY9zMnHP8iP"&amp;"O4M5RCRjy6nZY0TY/edit#gid=1248694442"",""Table 3: 1st-line HC!A5:A111"")),"""")"),"")</f>
        <v/>
      </c>
      <c r="P38" s="20" t="str">
        <f>IFERROR(__xludf.DUMMYFUNCTION("IFNA(FILTER(IMPORTRANGE(""https://docs.google.com/spreadsheets/d/1kGrh75X1cNR1D7_FcY9zMnHP8iPO4M5RCRjy6nZY0TY/edit#gid=1248694442"",""Table 3: 1st-line HC!BG5:BG111""), $A38=IMPORTRANGE(""https://docs.google.com/spreadsheets/d/1kGrh75X1cNR1D7_FcY9zMnHP8iP"&amp;"O4M5RCRjy6nZY0TY/edit#gid=1248694442"",""Table 3: 1st-line HC!A5:A111"")),"""")"),"")</f>
        <v/>
      </c>
      <c r="Q38" s="21" t="str">
        <f>IFERROR(__xludf.DUMMYFUNCTION("IFNA(FILTER(IMPORTRANGE(""https://docs.google.com/spreadsheets/d/1kGrh75X1cNR1D7_FcY9zMnHP8iPO4M5RCRjy6nZY0TY/edit#gid=1248694442"",""Table 3: 1st-line HC!BH5:BH111""), $A38=IMPORTRANGE(""https://docs.google.com/spreadsheets/d/1kGrh75X1cNR1D7_FcY9zMnHP8iP"&amp;"O4M5RCRjy6nZY0TY/edit#gid=1248694442"",""Table 3: 1st-line HC!A5:A111"")),"""")"),"")</f>
        <v/>
      </c>
      <c r="R38" s="19" t="str">
        <f>IFERROR(__xludf.DUMMYFUNCTION("IFNA(FILTER(IMPORTRANGE(""https://docs.google.com/spreadsheets/d/1kGrh75X1cNR1D7_FcY9zMnHP8iPO4M5RCRjy6nZY0TY/edit#gid=1248694442"",""Table 3: 1st-line HC!AJ5:AJ111""), $A38=IMPORTRANGE(""https://docs.google.com/spreadsheets/d/1kGrh75X1cNR1D7_FcY9zMnHP8iP"&amp;"O4M5RCRjy6nZY0TY/edit#gid=1248694442"",""Table 3: 1st-line HC!A5:A111"")),"""")"),"")</f>
        <v/>
      </c>
      <c r="S38" s="20" t="str">
        <f>IFERROR(__xludf.DUMMYFUNCTION("IFNA(FILTER(IMPORTRANGE(""https://docs.google.com/spreadsheets/d/1kGrh75X1cNR1D7_FcY9zMnHP8iPO4M5RCRjy6nZY0TY/edit#gid=1248694442"",""Subgroup 3: Mi ~ Tx!B3:B17""), $A38=IMPORTRANGE(""https://docs.google.com/spreadsheets/d/1kGrh75X1cNR1D7_FcY9zMnHP8iPO4M5"&amp;"RCRjy6nZY0TY/edit#gid=1248694442"",""Subgroup 3: Mi ~ Tx!A3:A17"")),"""")"),"")</f>
        <v/>
      </c>
      <c r="T38" s="20" t="str">
        <f>IFERROR(__xludf.DUMMYFUNCTION("IFNA(FILTER(IMPORTRANGE(""https://docs.google.com/spreadsheets/d/1kGrh75X1cNR1D7_FcY9zMnHP8iPO4M5RCRjy6nZY0TY/edit#gid=1248694442"",""Subgroup 3: Mi ~ Tx!C3:C17""), $A38=IMPORTRANGE(""https://docs.google.com/spreadsheets/d/1kGrh75X1cNR1D7_FcY9zMnHP8iPO4M5"&amp;"RCRjy6nZY0TY/edit#gid=1248694442"",""Subgroup 3: Mi ~ Tx!A3:A17"")),"""")"),"")</f>
        <v/>
      </c>
      <c r="U38" s="20" t="str">
        <f>IFERROR(__xludf.DUMMYFUNCTION("IFNA(FILTER(IMPORTRANGE(""https://docs.google.com/spreadsheets/d/1kGrh75X1cNR1D7_FcY9zMnHP8iPO4M5RCRjy6nZY0TY/edit#gid=1248694442"",""Subgroup 3: Mi ~ Tx!D3:D17""), $A38=IMPORTRANGE(""https://docs.google.com/spreadsheets/d/1kGrh75X1cNR1D7_FcY9zMnHP8iPO4M5"&amp;"RCRjy6nZY0TY/edit#gid=1248694442"",""Subgroup 3: Mi ~ Tx!A3:A17"")),"""")"),"")</f>
        <v/>
      </c>
      <c r="V38" s="20" t="str">
        <f>IFERROR(__xludf.DUMMYFUNCTION("IFNA(FILTER(IMPORTRANGE(""https://docs.google.com/spreadsheets/d/1kGrh75X1cNR1D7_FcY9zMnHP8iPO4M5RCRjy6nZY0TY/edit#gid=1248694442"",""Subgroup 3: Mi ~ Tx!E3:E17""), $A38=IMPORTRANGE(""https://docs.google.com/spreadsheets/d/1kGrh75X1cNR1D7_FcY9zMnHP8iPO4M5"&amp;"RCRjy6nZY0TY/edit#gid=1248694442"",""Subgroup 3: Mi ~ Tx!A3:A17"")),"""")"),"")</f>
        <v/>
      </c>
      <c r="W38" s="20" t="str">
        <f>IFERROR(__xludf.DUMMYFUNCTION("IFNA(FILTER(IMPORTRANGE(""https://docs.google.com/spreadsheets/d/1kGrh75X1cNR1D7_FcY9zMnHP8iPO4M5RCRjy6nZY0TY/edit#gid=1248694442"",""Subgroup 3: Mi ~ Tx!F3:F17""), $A38=IMPORTRANGE(""https://docs.google.com/spreadsheets/d/1kGrh75X1cNR1D7_FcY9zMnHP8iPO4M5"&amp;"RCRjy6nZY0TY/edit#gid=1248694442"",""Subgroup 3: Mi ~ Tx!A3:A17"")),"""")"),"")</f>
        <v/>
      </c>
      <c r="X38" s="19" t="str">
        <f>IFERROR(__xludf.DUMMYFUNCTION("IFNA(FILTER(IMPORTRANGE(""https://docs.google.com/spreadsheets/d/1kGrh75X1cNR1D7_FcY9zMnHP8iPO4M5RCRjy6nZY0TY/edit#gid=1248694442"",""Table 3: 1st-line HC!AK5:AK111""), $A38=IMPORTRANGE(""https://docs.google.com/spreadsheets/d/1kGrh75X1cNR1D7_FcY9zMnHP8iP"&amp;"O4M5RCRjy6nZY0TY/edit#gid=1248694442"",""Table 3: 1st-line HC!A5:A111"")),"""")"),"")</f>
        <v/>
      </c>
      <c r="Y38" s="20" t="str">
        <f>IFERROR(__xludf.DUMMYFUNCTION("IFNA(FILTER(IMPORTRANGE(""https://docs.google.com/spreadsheets/d/1kGrh75X1cNR1D7_FcY9zMnHP8iPO4M5RCRjy6nZY0TY/edit#gid=1248694442"",""Subgroup 4: Mp ~ Tx!B3:B20""), $A38=IMPORTRANGE(""https://docs.google.com/spreadsheets/d/1kGrh75X1cNR1D7_FcY9zMnHP8iPO4M5"&amp;"RCRjy6nZY0TY/edit#gid=1248694442"",""Subgroup 4: Mp ~ Tx!A3:A20"")),"""")"),"")</f>
        <v/>
      </c>
      <c r="Z38" s="20" t="str">
        <f>IFERROR(__xludf.DUMMYFUNCTION("IFNA(FILTER(IMPORTRANGE(""https://docs.google.com/spreadsheets/d/1kGrh75X1cNR1D7_FcY9zMnHP8iPO4M5RCRjy6nZY0TY/edit#gid=1248694442"",""Subgroup 4: Mp ~ Tx!C3:C20""), $A38=IMPORTRANGE(""https://docs.google.com/spreadsheets/d/1kGrh75X1cNR1D7_FcY9zMnHP8iPO4M5"&amp;"RCRjy6nZY0TY/edit#gid=1248694442"",""Subgroup 4: Mp ~ Tx!A3:A20"")),"""")"),"")</f>
        <v/>
      </c>
      <c r="AA38" s="20" t="str">
        <f>IFERROR(__xludf.DUMMYFUNCTION("IFNA(FILTER(IMPORTRANGE(""https://docs.google.com/spreadsheets/d/1kGrh75X1cNR1D7_FcY9zMnHP8iPO4M5RCRjy6nZY0TY/edit#gid=1248694442"",""Subgroup 4: Mp ~ Tx!D3:D20""), $A38=IMPORTRANGE(""https://docs.google.com/spreadsheets/d/1kGrh75X1cNR1D7_FcY9zMnHP8iPO4M5"&amp;"RCRjy6nZY0TY/edit#gid=1248694442"",""Subgroup 4: Mp ~ Tx!A3:A20"")),"""")"),"")</f>
        <v/>
      </c>
      <c r="AB38" s="20" t="str">
        <f>IFERROR(__xludf.DUMMYFUNCTION("IFNA(FILTER(IMPORTRANGE(""https://docs.google.com/spreadsheets/d/1kGrh75X1cNR1D7_FcY9zMnHP8iPO4M5RCRjy6nZY0TY/edit#gid=1248694442"",""Subgroup 4: Mp ~ Tx!E3:E20""), $A38=IMPORTRANGE(""https://docs.google.com/spreadsheets/d/1kGrh75X1cNR1D7_FcY9zMnHP8iPO4M5"&amp;"RCRjy6nZY0TY/edit#gid=1248694442"",""Subgroup 4: Mp ~ Tx!A3:A20"")),"""")"),"")</f>
        <v/>
      </c>
      <c r="AC38" s="20" t="str">
        <f>IFERROR(__xludf.DUMMYFUNCTION("IFNA(FILTER(IMPORTRANGE(""https://docs.google.com/spreadsheets/d/1kGrh75X1cNR1D7_FcY9zMnHP8iPO4M5RCRjy6nZY0TY/edit#gid=1248694442"",""Subgroup 4: Mp ~ Tx!F3:F20""), $A38=IMPORTRANGE(""https://docs.google.com/spreadsheets/d/1kGrh75X1cNR1D7_FcY9zMnHP8iPO4M5"&amp;"RCRjy6nZY0TY/edit#gid=1248694442"",""Subgroup 4: Mp ~ Tx!A3:A20"")),"""")"),"")</f>
        <v/>
      </c>
      <c r="AD38" s="22" t="str">
        <f>IFERROR(__xludf.DUMMYFUNCTION("IFNA(FILTER(IMPORTRANGE(""https://docs.google.com/spreadsheets/d/1kGrh75X1cNR1D7_FcY9zMnHP8iPO4M5RCRjy6nZY0TY/edit#gid=1248694442"",""Table 3: 1st-line HC!AL5:AL111""), $A38=IMPORTRANGE(""https://docs.google.com/spreadsheets/d/1kGrh75X1cNR1D7_FcY9zMnHP8iP"&amp;"O4M5RCRjy6nZY0TY/edit#gid=1248694442"",""Table 3: 1st-line HC!A5:A111"")),"""")"),"")</f>
        <v/>
      </c>
      <c r="AE38" s="20" t="str">
        <f>IFERROR(__xludf.DUMMYFUNCTION("IFNA(FILTER(IMPORTRANGE(""https://docs.google.com/spreadsheets/d/1kGrh75X1cNR1D7_FcY9zMnHP8iPO4M5RCRjy6nZY0TY/edit#gid=1248694442"",""Table 3: 1st-line HC!BJ5:BJ111""), $A38=IMPORTRANGE(""https://docs.google.com/spreadsheets/d/1kGrh75X1cNR1D7_FcY9zMnHP8iP"&amp;"O4M5RCRjy6nZY0TY/edit#gid=1248694442"",""Table 3: 1st-line HC!A5:A111"")),"""")"),"")</f>
        <v/>
      </c>
      <c r="AF38" s="20" t="str">
        <f>IFERROR(__xludf.DUMMYFUNCTION("IFNA(FILTER(IMPORTRANGE(""https://docs.google.com/spreadsheets/d/1kGrh75X1cNR1D7_FcY9zMnHP8iPO4M5RCRjy6nZY0TY/edit#gid=1248694442"",""Subgroup 2: Cr ~ Tx!B3:B23""), $A38=IMPORTRANGE(""https://docs.google.com/spreadsheets/d/1kGrh75X1cNR1D7_FcY9zMnHP8iPO4M5"&amp;"RCRjy6nZY0TY/edit#gid=1248694442"",""Subgroup 2: Cr ~ Tx!A3:A23"")),"""")"),"")</f>
        <v/>
      </c>
      <c r="AG38" s="20" t="str">
        <f>IFERROR(__xludf.DUMMYFUNCTION("IFNA(FILTER(IMPORTRANGE(""https://docs.google.com/spreadsheets/d/1kGrh75X1cNR1D7_FcY9zMnHP8iPO4M5RCRjy6nZY0TY/edit#gid=1248694442"",""Subgroup 2: Cr ~ Tx!C3:C23""), $A38=IMPORTRANGE(""https://docs.google.com/spreadsheets/d/1kGrh75X1cNR1D7_FcY9zMnHP8iPO4M5"&amp;"RCRjy6nZY0TY/edit#gid=1248694442"",""Subgroup 2: Cr ~ Tx!A3:A23"")),"""")"),"")</f>
        <v/>
      </c>
      <c r="AH38" s="20" t="str">
        <f>IFERROR(__xludf.DUMMYFUNCTION("IFNA(FILTER(IMPORTRANGE(""https://docs.google.com/spreadsheets/d/1kGrh75X1cNR1D7_FcY9zMnHP8iPO4M5RCRjy6nZY0TY/edit#gid=1248694442"",""Subgroup 2: Cr ~ Tx!D3:D23""), $A38=IMPORTRANGE(""https://docs.google.com/spreadsheets/d/1kGrh75X1cNR1D7_FcY9zMnHP8iPO4M5"&amp;"RCRjy6nZY0TY/edit#gid=1248694442"",""Subgroup 2: Cr ~ Tx!A3:A23"")),"""")"),"")</f>
        <v/>
      </c>
      <c r="AI38" s="20" t="str">
        <f>IFERROR(__xludf.DUMMYFUNCTION("IFNA(FILTER(IMPORTRANGE(""https://docs.google.com/spreadsheets/d/1kGrh75X1cNR1D7_FcY9zMnHP8iPO4M5RCRjy6nZY0TY/edit#gid=1248694442"",""Subgroup 2: Cr ~ Tx!E3:E23""), $A38=IMPORTRANGE(""https://docs.google.com/spreadsheets/d/1kGrh75X1cNR1D7_FcY9zMnHP8iPO4M5"&amp;"RCRjy6nZY0TY/edit#gid=1248694442"",""Subgroup 2: Cr ~ Tx!A3:A23"")),"""")"),"")</f>
        <v/>
      </c>
      <c r="AJ38" s="20" t="str">
        <f>IFERROR(__xludf.DUMMYFUNCTION("IFNA(FILTER(IMPORTRANGE(""https://docs.google.com/spreadsheets/d/1kGrh75X1cNR1D7_FcY9zMnHP8iPO4M5RCRjy6nZY0TY/edit#gid=1248694442"",""Subgroup 2: Cr ~ Tx!F3:F23""), $A38=IMPORTRANGE(""https://docs.google.com/spreadsheets/d/1kGrh75X1cNR1D7_FcY9zMnHP8iPO4M5"&amp;"RCRjy6nZY0TY/edit#gid=1248694442"",""Subgroup 2: Cr ~ Tx!A3:A23"")),"""")"),"")</f>
        <v/>
      </c>
      <c r="AK38" s="14" t="str">
        <f>IFERROR(__xludf.DUMMYFUNCTION("IFNA(FILTER(IMPORTRANGE(""https://docs.google.com/spreadsheets/d/1kGrh75X1cNR1D7_FcY9zMnHP8iPO4M5RCRjy6nZY0TY/edit#gid=1248694442"",""Table 4: 2nd-line HC or more!M5:M85""), $A38=IMPORTRANGE(""https://docs.google.com/spreadsheets/d/1kGrh75X1cNR1D7_FcY9zMn"&amp;"HP8iPO4M5RCRjy6nZY0TY/edit#gid=1248694442"",""Table 4: 2nd-line HC or more!A5:A85"")),"""")"),"")</f>
        <v/>
      </c>
      <c r="AL38" s="14" t="str">
        <f>IFERROR(__xludf.DUMMYFUNCTION("IFNA(FILTER(IMPORTRANGE(""https://docs.google.com/spreadsheets/d/1kGrh75X1cNR1D7_FcY9zMnHP8iPO4M5RCRjy6nZY0TY/edit#gid=1248694442"",""Table 4: 2nd-line HC or more!N5:N85""), $A38=IMPORTRANGE(""https://docs.google.com/spreadsheets/d/1kGrh75X1cNR1D7_FcY9zMn"&amp;"HP8iPO4M5RCRjy6nZY0TY/edit#gid=1248694442"",""Table 4: 2nd-line HC or more!A5:A85"")),"""")"),"")</f>
        <v/>
      </c>
      <c r="AM38" s="14" t="str">
        <f>IFERROR(__xludf.DUMMYFUNCTION("IFNA(FILTER(IMPORTRANGE(""https://docs.google.com/spreadsheets/d/1kGrh75X1cNR1D7_FcY9zMnHP8iPO4M5RCRjy6nZY0TY/edit#gid=1248694442"",""Table 4: 2nd-line HC or more!O5:O85""), $A38=IMPORTRANGE(""https://docs.google.com/spreadsheets/d/1kGrh75X1cNR1D7_FcY9zMn"&amp;"HP8iPO4M5RCRjy6nZY0TY/edit#gid=1248694442"",""Table 4: 2nd-line HC or more!A5:A85"")),"""")"),"")</f>
        <v/>
      </c>
      <c r="AN38" s="14" t="str">
        <f>IFERROR(__xludf.DUMMYFUNCTION("IFNA(FILTER(IMPORTRANGE(""https://docs.google.com/spreadsheets/d/1kGrh75X1cNR1D7_FcY9zMnHP8iPO4M5RCRjy6nZY0TY/edit#gid=1248694442"",""Table 3: 1st-line HC!AP5:AP111""), $A38=IMPORTRANGE(""https://docs.google.com/spreadsheets/d/1kGrh75X1cNR1D7_FcY9zMnHP8iP"&amp;"O4M5RCRjy6nZY0TY/edit#gid=1248694442"",""Table 3: 1st-line HC!A5:A111"")),"""")"),"")</f>
        <v/>
      </c>
      <c r="AO38" s="14">
        <f>IFERROR(__xludf.DUMMYFUNCTION("IFNA(FILTER(IMPORTRANGE(""https://docs.google.com/spreadsheets/d/1kGrh75X1cNR1D7_FcY9zMnHP8iPO4M5RCRjy6nZY0TY/edit#gid=1248694442"",""Table 3: 1st-line HC!AO5:AO111""), $A38=IMPORTRANGE(""https://docs.google.com/spreadsheets/d/1kGrh75X1cNR1D7_FcY9zMnHP8iP"&amp;"O4M5RCRjy6nZY0TY/edit#gid=1248694442"",""Table 3: 1st-line HC!A5:A111"")),"""")"),1.0)</f>
        <v>1</v>
      </c>
      <c r="AP38" s="14" t="str">
        <f>IFERROR(__xludf.DUMMYFUNCTION("IFNA(FILTER(IMPORTRANGE(""https://docs.google.com/spreadsheets/d/1kGrh75X1cNR1D7_FcY9zMnHP8iPO4M5RCRjy6nZY0TY/edit#gid=1248694442"",""Table 3: 1st-line HC!AQ5:AQ111""), $A38=IMPORTRANGE(""https://docs.google.com/spreadsheets/d/1kGrh75X1cNR1D7_FcY9zMnHP8iP"&amp;"O4M5RCRjy6nZY0TY/edit#gid=1248694442"",""Table 3: 1st-line HC!A5:A111"")),"""")"),"")</f>
        <v/>
      </c>
      <c r="AQ38" s="14" t="str">
        <f>IFERROR(__xludf.DUMMYFUNCTION("IFNA(FILTER(IMPORTRANGE(""https://docs.google.com/spreadsheets/d/1kGrh75X1cNR1D7_FcY9zMnHP8iPO4M5RCRjy6nZY0TY/edit#gid=1248694442"",""Table 2: MMC!T5:T114""), $A38=IMPORTRANGE(""https://docs.google.com/spreadsheets/d/1kGrh75X1cNR1D7_FcY9zMnHP8iPO4M5RCRjy6"&amp;"nZY0TY/edit#gid=1248694442"",""Table 2: MMC!A5:A114"")),"""")"),"")</f>
        <v/>
      </c>
      <c r="AR38" s="14" t="str">
        <f>IFERROR(__xludf.DUMMYFUNCTION("IFNA(FILTER(IMPORTRANGE(""https://docs.google.com/spreadsheets/d/1kGrh75X1cNR1D7_FcY9zMnHP8iPO4M5RCRjy6nZY0TY/edit#gid=1248694442"",""Table 2: MMC!U5:U114""), $A38=IMPORTRANGE(""https://docs.google.com/spreadsheets/d/1kGrh75X1cNR1D7_FcY9zMnHP8iPO4M5RCRjy6"&amp;"nZY0TY/edit#gid=1248694442"",""Table 2: MMC!A5:A114"")),"""")"),"")</f>
        <v/>
      </c>
      <c r="AS38" s="14" t="str">
        <f>IFERROR(__xludf.DUMMYFUNCTION("IFNA(FILTER(IMPORTRANGE(""https://docs.google.com/spreadsheets/d/1kGrh75X1cNR1D7_FcY9zMnHP8iPO4M5RCRjy6nZY0TY/edit#gid=1248694442"",""Table 2: MMC!V5:V114""), $A38=IMPORTRANGE(""https://docs.google.com/spreadsheets/d/1kGrh75X1cNR1D7_FcY9zMnHP8iPO4M5RCRjy6"&amp;"nZY0TY/edit#gid=1248694442"",""Table 2: MMC!A5:A114"")),"""")"),"")</f>
        <v/>
      </c>
      <c r="AT38" s="4" t="str">
        <f>IFERROR(__xludf.DUMMYFUNCTION("IFNA(FILTER(IMPORTRANGE(""https://docs.google.com/spreadsheets/d/1kGrh75X1cNR1D7_FcY9zMnHP8iPO4M5RCRjy6nZY0TY/edit#gid=1248694442"",""Table 2: MMC!W5:W114""), $A38=IMPORTRANGE(""https://docs.google.com/spreadsheets/d/1kGrh75X1cNR1D7_FcY9zMnHP8iPO4M5RCRjy6"&amp;"nZY0TY/edit#gid=1248694442"",""Table 2: MMC!A5:A114"")),"""")"),"")</f>
        <v/>
      </c>
    </row>
    <row r="39">
      <c r="A39" s="4" t="str">
        <f>IFERROR(__xludf.DUMMYFUNCTION("""COMPUTED_VALUE"""),"ID 76")</f>
        <v>ID 76</v>
      </c>
      <c r="B39" s="20" t="str">
        <f>IFERROR(__xludf.DUMMYFUNCTION("IFNA(FILTER(IMPORTRANGE(""https://docs.google.com/spreadsheets/d/1kGrh75X1cNR1D7_FcY9zMnHP8iPO4M5RCRjy6nZY0TY/edit#gid=1248694442"",""Table 3: 1st-line HC!BK5:BK111""), $A39=IMPORTRANGE(""https://docs.google.com/spreadsheets/d/1kGrh75X1cNR1D7_FcY9zMnHP8iP"&amp;"O4M5RCRjy6nZY0TY/edit#gid=1248694442"",""Table 3: 1st-line HC!A5:A111"")),"""")"),"")</f>
        <v/>
      </c>
      <c r="C39" s="20" t="str">
        <f>IFERROR(__xludf.DUMMYFUNCTION("IFNA(FILTER(IMPORTRANGE(""https://docs.google.com/spreadsheets/d/1kGrh75X1cNR1D7_FcY9zMnHP8iPO4M5RCRjy6nZY0TY/edit#gid=1248694442"",""Subgroup 1: Fr ~ Tx!B3:B20""), $A39=IMPORTRANGE(""https://docs.google.com/spreadsheets/d/1kGrh75X1cNR1D7_FcY9zMnHP8iPO4M5"&amp;"RCRjy6nZY0TY/edit#gid=1248694442"",""Subgroup 1: Fr ~ Tx!A3:A20"")),"""")"),"")</f>
        <v/>
      </c>
      <c r="D39" s="20" t="str">
        <f>IFERROR(__xludf.DUMMYFUNCTION("IFNA(FILTER(IMPORTRANGE(""https://docs.google.com/spreadsheets/d/1kGrh75X1cNR1D7_FcY9zMnHP8iPO4M5RCRjy6nZY0TY/edit#gid=1248694442"",""Subgroup 1: Fr ~ Tx!C3:C20""), $A39=IMPORTRANGE(""https://docs.google.com/spreadsheets/d/1kGrh75X1cNR1D7_FcY9zMnHP8iPO4M5"&amp;"RCRjy6nZY0TY/edit#gid=1248694442"",""Subgroup 1: Fr ~ Tx!A3:A20"")),"""")"),"")</f>
        <v/>
      </c>
      <c r="E39" s="20" t="str">
        <f>IFERROR(__xludf.DUMMYFUNCTION("IFNA(FILTER(IMPORTRANGE(""https://docs.google.com/spreadsheets/d/1kGrh75X1cNR1D7_FcY9zMnHP8iPO4M5RCRjy6nZY0TY/edit#gid=1248694442"",""Subgroup 1: Fr ~ Tx!D3:D20""), $A39=IMPORTRANGE(""https://docs.google.com/spreadsheets/d/1kGrh75X1cNR1D7_FcY9zMnHP8iPO4M5"&amp;"RCRjy6nZY0TY/edit#gid=1248694442"",""Subgroup 1: Fr ~ Tx!A3:A20"")),"""")"),"")</f>
        <v/>
      </c>
      <c r="F39" s="20" t="str">
        <f>IFERROR(__xludf.DUMMYFUNCTION("IFNA(FILTER(IMPORTRANGE(""https://docs.google.com/spreadsheets/d/1kGrh75X1cNR1D7_FcY9zMnHP8iPO4M5RCRjy6nZY0TY/edit#gid=1248694442"",""Subgroup 1: Fr ~ Tx!E3:E20""), $A39=IMPORTRANGE(""https://docs.google.com/spreadsheets/d/1kGrh75X1cNR1D7_FcY9zMnHP8iPO4M5"&amp;"RCRjy6nZY0TY/edit#gid=1248694442"",""Subgroup 1: Fr ~ Tx!A3:A20"")),"""")"),"")</f>
        <v/>
      </c>
      <c r="G39" s="20" t="str">
        <f>IFERROR(__xludf.DUMMYFUNCTION("IFNA(FILTER(IMPORTRANGE(""https://docs.google.com/spreadsheets/d/1kGrh75X1cNR1D7_FcY9zMnHP8iPO4M5RCRjy6nZY0TY/edit#gid=1248694442"",""Subgroup 1: Fr ~ Tx!F3:F20""), $A39=IMPORTRANGE(""https://docs.google.com/spreadsheets/d/1kGrh75X1cNR1D7_FcY9zMnHP8iPO4M5"&amp;"RCRjy6nZY0TY/edit#gid=1248694442"",""Subgroup 1: Fr ~ Tx!A3:A20"")),"""")"),"")</f>
        <v/>
      </c>
      <c r="H39" s="20" t="str">
        <f>IFERROR(__xludf.DUMMYFUNCTION("IFNA(FILTER(IMPORTRANGE(""https://docs.google.com/spreadsheets/d/1kGrh75X1cNR1D7_FcY9zMnHP8iPO4M5RCRjy6nZY0TY/edit#gid=1248694442"",""Table 3: 1st-line HC!BD5:BD111""), $A39=IMPORTRANGE(""https://docs.google.com/spreadsheets/d/1kGrh75X1cNR1D7_FcY9zMnHP8iP"&amp;"O4M5RCRjy6nZY0TY/edit#gid=1248694442"",""Table 3: 1st-line HC!A5:A111"")),"""")"),"")</f>
        <v/>
      </c>
      <c r="I39" s="20" t="str">
        <f>IFERROR(__xludf.DUMMYFUNCTION("IFNA(FILTER(IMPORTRANGE(""https://docs.google.com/spreadsheets/d/1kGrh75X1cNR1D7_FcY9zMnHP8iPO4M5RCRjy6nZY0TY/edit#gid=1248694442"",""Subgroup 5: Tf ~ Tx!B3:B8""), $A39=IMPORTRANGE(""https://docs.google.com/spreadsheets/d/1kGrh75X1cNR1D7_FcY9zMnHP8iPO4M5R"&amp;"CRjy6nZY0TY/edit#gid=1248694442"",""Subgroup 5: Tf ~ Tx!A3:A8"")),"""")"),"")</f>
        <v/>
      </c>
      <c r="J39" s="20" t="str">
        <f>IFERROR(__xludf.DUMMYFUNCTION("IFNA(FILTER(IMPORTRANGE(""https://docs.google.com/spreadsheets/d/1kGrh75X1cNR1D7_FcY9zMnHP8iPO4M5RCRjy6nZY0TY/edit#gid=1248694442"",""Subgroup 5: Tf ~ Tx!C3:C8""), $A39=IMPORTRANGE(""https://docs.google.com/spreadsheets/d/1kGrh75X1cNR1D7_FcY9zMnHP8iPO4M5R"&amp;"CRjy6nZY0TY/edit#gid=1248694442"",""Subgroup 5: Tf ~ Tx!A3:A8"")),"""")"),"")</f>
        <v/>
      </c>
      <c r="K39" s="20" t="str">
        <f>IFERROR(__xludf.DUMMYFUNCTION("IFNA(FILTER(IMPORTRANGE(""https://docs.google.com/spreadsheets/d/1kGrh75X1cNR1D7_FcY9zMnHP8iPO4M5RCRjy6nZY0TY/edit#gid=1248694442"",""Subgroup 5: Tf ~ Tx!D3:D8""), $A39=IMPORTRANGE(""https://docs.google.com/spreadsheets/d/1kGrh75X1cNR1D7_FcY9zMnHP8iPO4M5R"&amp;"CRjy6nZY0TY/edit#gid=1248694442"",""Subgroup 5: Tf ~ Tx!A3:A8"")),"""")"),"")</f>
        <v/>
      </c>
      <c r="L39" s="20" t="str">
        <f>IFERROR(__xludf.DUMMYFUNCTION("IFNA(FILTER(IMPORTRANGE(""https://docs.google.com/spreadsheets/d/1kGrh75X1cNR1D7_FcY9zMnHP8iPO4M5RCRjy6nZY0TY/edit#gid=1248694442"",""Subgroup 5: Tf ~ Tx!E3:E8""), $A39=IMPORTRANGE(""https://docs.google.com/spreadsheets/d/1kGrh75X1cNR1D7_FcY9zMnHP8iPO4M5R"&amp;"CRjy6nZY0TY/edit#gid=1248694442"",""Subgroup 5: Tf ~ Tx!A3:A8"")),"""")"),"")</f>
        <v/>
      </c>
      <c r="M39" s="20" t="str">
        <f>IFERROR(__xludf.DUMMYFUNCTION("IFNA(FILTER(IMPORTRANGE(""https://docs.google.com/spreadsheets/d/1kGrh75X1cNR1D7_FcY9zMnHP8iPO4M5RCRjy6nZY0TY/edit#gid=1248694442"",""Subgroup 5: Tf ~ Tx!F3:F8""), $A39=IMPORTRANGE(""https://docs.google.com/spreadsheets/d/1kGrh75X1cNR1D7_FcY9zMnHP8iPO4M5R"&amp;"CRjy6nZY0TY/edit#gid=1248694442"",""Subgroup 5: Tf ~ Tx!A3:A8"")),"""")"),"")</f>
        <v/>
      </c>
      <c r="N39" s="20" t="str">
        <f>IFERROR(__xludf.DUMMYFUNCTION("IFNA(FILTER(IMPORTRANGE(""https://docs.google.com/spreadsheets/d/1kGrh75X1cNR1D7_FcY9zMnHP8iPO4M5RCRjy6nZY0TY/edit#gid=1248694442"",""Table 3: 1st-line HC!BE5:BE111""), $A39=IMPORTRANGE(""https://docs.google.com/spreadsheets/d/1kGrh75X1cNR1D7_FcY9zMnHP8iP"&amp;"O4M5RCRjy6nZY0TY/edit#gid=1248694442"",""Table 3: 1st-line HC!A5:A111"")),"""")"),"")</f>
        <v/>
      </c>
      <c r="O39" s="20" t="str">
        <f>IFERROR(__xludf.DUMMYFUNCTION("IFNA(FILTER(IMPORTRANGE(""https://docs.google.com/spreadsheets/d/1kGrh75X1cNR1D7_FcY9zMnHP8iPO4M5RCRjy6nZY0TY/edit#gid=1248694442"",""Table 3: 1st-line HC!BF5:BF111""), $A39=IMPORTRANGE(""https://docs.google.com/spreadsheets/d/1kGrh75X1cNR1D7_FcY9zMnHP8iP"&amp;"O4M5RCRjy6nZY0TY/edit#gid=1248694442"",""Table 3: 1st-line HC!A5:A111"")),"""")"),"")</f>
        <v/>
      </c>
      <c r="P39" s="20" t="str">
        <f>IFERROR(__xludf.DUMMYFUNCTION("IFNA(FILTER(IMPORTRANGE(""https://docs.google.com/spreadsheets/d/1kGrh75X1cNR1D7_FcY9zMnHP8iPO4M5RCRjy6nZY0TY/edit#gid=1248694442"",""Table 3: 1st-line HC!BG5:BG111""), $A39=IMPORTRANGE(""https://docs.google.com/spreadsheets/d/1kGrh75X1cNR1D7_FcY9zMnHP8iP"&amp;"O4M5RCRjy6nZY0TY/edit#gid=1248694442"",""Table 3: 1st-line HC!A5:A111"")),"""")"),"")</f>
        <v/>
      </c>
      <c r="Q39" s="21" t="str">
        <f>IFERROR(__xludf.DUMMYFUNCTION("IFNA(FILTER(IMPORTRANGE(""https://docs.google.com/spreadsheets/d/1kGrh75X1cNR1D7_FcY9zMnHP8iPO4M5RCRjy6nZY0TY/edit#gid=1248694442"",""Table 3: 1st-line HC!BH5:BH111""), $A39=IMPORTRANGE(""https://docs.google.com/spreadsheets/d/1kGrh75X1cNR1D7_FcY9zMnHP8iP"&amp;"O4M5RCRjy6nZY0TY/edit#gid=1248694442"",""Table 3: 1st-line HC!A5:A111"")),"""")"),"")</f>
        <v/>
      </c>
      <c r="R39" s="19" t="str">
        <f>IFERROR(__xludf.DUMMYFUNCTION("IFNA(FILTER(IMPORTRANGE(""https://docs.google.com/spreadsheets/d/1kGrh75X1cNR1D7_FcY9zMnHP8iPO4M5RCRjy6nZY0TY/edit#gid=1248694442"",""Table 3: 1st-line HC!AJ5:AJ111""), $A39=IMPORTRANGE(""https://docs.google.com/spreadsheets/d/1kGrh75X1cNR1D7_FcY9zMnHP8iP"&amp;"O4M5RCRjy6nZY0TY/edit#gid=1248694442"",""Table 3: 1st-line HC!A5:A111"")),"""")"),"")</f>
        <v/>
      </c>
      <c r="S39" s="20" t="str">
        <f>IFERROR(__xludf.DUMMYFUNCTION("IFNA(FILTER(IMPORTRANGE(""https://docs.google.com/spreadsheets/d/1kGrh75X1cNR1D7_FcY9zMnHP8iPO4M5RCRjy6nZY0TY/edit#gid=1248694442"",""Subgroup 3: Mi ~ Tx!B3:B17""), $A39=IMPORTRANGE(""https://docs.google.com/spreadsheets/d/1kGrh75X1cNR1D7_FcY9zMnHP8iPO4M5"&amp;"RCRjy6nZY0TY/edit#gid=1248694442"",""Subgroup 3: Mi ~ Tx!A3:A17"")),"""")"),"")</f>
        <v/>
      </c>
      <c r="T39" s="20" t="str">
        <f>IFERROR(__xludf.DUMMYFUNCTION("IFNA(FILTER(IMPORTRANGE(""https://docs.google.com/spreadsheets/d/1kGrh75X1cNR1D7_FcY9zMnHP8iPO4M5RCRjy6nZY0TY/edit#gid=1248694442"",""Subgroup 3: Mi ~ Tx!C3:C17""), $A39=IMPORTRANGE(""https://docs.google.com/spreadsheets/d/1kGrh75X1cNR1D7_FcY9zMnHP8iPO4M5"&amp;"RCRjy6nZY0TY/edit#gid=1248694442"",""Subgroup 3: Mi ~ Tx!A3:A17"")),"""")"),"")</f>
        <v/>
      </c>
      <c r="U39" s="20" t="str">
        <f>IFERROR(__xludf.DUMMYFUNCTION("IFNA(FILTER(IMPORTRANGE(""https://docs.google.com/spreadsheets/d/1kGrh75X1cNR1D7_FcY9zMnHP8iPO4M5RCRjy6nZY0TY/edit#gid=1248694442"",""Subgroup 3: Mi ~ Tx!D3:D17""), $A39=IMPORTRANGE(""https://docs.google.com/spreadsheets/d/1kGrh75X1cNR1D7_FcY9zMnHP8iPO4M5"&amp;"RCRjy6nZY0TY/edit#gid=1248694442"",""Subgroup 3: Mi ~ Tx!A3:A17"")),"""")"),"")</f>
        <v/>
      </c>
      <c r="V39" s="20" t="str">
        <f>IFERROR(__xludf.DUMMYFUNCTION("IFNA(FILTER(IMPORTRANGE(""https://docs.google.com/spreadsheets/d/1kGrh75X1cNR1D7_FcY9zMnHP8iPO4M5RCRjy6nZY0TY/edit#gid=1248694442"",""Subgroup 3: Mi ~ Tx!E3:E17""), $A39=IMPORTRANGE(""https://docs.google.com/spreadsheets/d/1kGrh75X1cNR1D7_FcY9zMnHP8iPO4M5"&amp;"RCRjy6nZY0TY/edit#gid=1248694442"",""Subgroup 3: Mi ~ Tx!A3:A17"")),"""")"),"")</f>
        <v/>
      </c>
      <c r="W39" s="20" t="str">
        <f>IFERROR(__xludf.DUMMYFUNCTION("IFNA(FILTER(IMPORTRANGE(""https://docs.google.com/spreadsheets/d/1kGrh75X1cNR1D7_FcY9zMnHP8iPO4M5RCRjy6nZY0TY/edit#gid=1248694442"",""Subgroup 3: Mi ~ Tx!F3:F17""), $A39=IMPORTRANGE(""https://docs.google.com/spreadsheets/d/1kGrh75X1cNR1D7_FcY9zMnHP8iPO4M5"&amp;"RCRjy6nZY0TY/edit#gid=1248694442"",""Subgroup 3: Mi ~ Tx!A3:A17"")),"""")"),"")</f>
        <v/>
      </c>
      <c r="X39" s="19" t="str">
        <f>IFERROR(__xludf.DUMMYFUNCTION("IFNA(FILTER(IMPORTRANGE(""https://docs.google.com/spreadsheets/d/1kGrh75X1cNR1D7_FcY9zMnHP8iPO4M5RCRjy6nZY0TY/edit#gid=1248694442"",""Table 3: 1st-line HC!AK5:AK111""), $A39=IMPORTRANGE(""https://docs.google.com/spreadsheets/d/1kGrh75X1cNR1D7_FcY9zMnHP8iP"&amp;"O4M5RCRjy6nZY0TY/edit#gid=1248694442"",""Table 3: 1st-line HC!A5:A111"")),"""")"),"")</f>
        <v/>
      </c>
      <c r="Y39" s="20" t="str">
        <f>IFERROR(__xludf.DUMMYFUNCTION("IFNA(FILTER(IMPORTRANGE(""https://docs.google.com/spreadsheets/d/1kGrh75X1cNR1D7_FcY9zMnHP8iPO4M5RCRjy6nZY0TY/edit#gid=1248694442"",""Subgroup 4: Mp ~ Tx!B3:B20""), $A39=IMPORTRANGE(""https://docs.google.com/spreadsheets/d/1kGrh75X1cNR1D7_FcY9zMnHP8iPO4M5"&amp;"RCRjy6nZY0TY/edit#gid=1248694442"",""Subgroup 4: Mp ~ Tx!A3:A20"")),"""")"),"")</f>
        <v/>
      </c>
      <c r="Z39" s="20" t="str">
        <f>IFERROR(__xludf.DUMMYFUNCTION("IFNA(FILTER(IMPORTRANGE(""https://docs.google.com/spreadsheets/d/1kGrh75X1cNR1D7_FcY9zMnHP8iPO4M5RCRjy6nZY0TY/edit#gid=1248694442"",""Subgroup 4: Mp ~ Tx!C3:C20""), $A39=IMPORTRANGE(""https://docs.google.com/spreadsheets/d/1kGrh75X1cNR1D7_FcY9zMnHP8iPO4M5"&amp;"RCRjy6nZY0TY/edit#gid=1248694442"",""Subgroup 4: Mp ~ Tx!A3:A20"")),"""")"),"")</f>
        <v/>
      </c>
      <c r="AA39" s="20" t="str">
        <f>IFERROR(__xludf.DUMMYFUNCTION("IFNA(FILTER(IMPORTRANGE(""https://docs.google.com/spreadsheets/d/1kGrh75X1cNR1D7_FcY9zMnHP8iPO4M5RCRjy6nZY0TY/edit#gid=1248694442"",""Subgroup 4: Mp ~ Tx!D3:D20""), $A39=IMPORTRANGE(""https://docs.google.com/spreadsheets/d/1kGrh75X1cNR1D7_FcY9zMnHP8iPO4M5"&amp;"RCRjy6nZY0TY/edit#gid=1248694442"",""Subgroup 4: Mp ~ Tx!A3:A20"")),"""")"),"")</f>
        <v/>
      </c>
      <c r="AB39" s="20" t="str">
        <f>IFERROR(__xludf.DUMMYFUNCTION("IFNA(FILTER(IMPORTRANGE(""https://docs.google.com/spreadsheets/d/1kGrh75X1cNR1D7_FcY9zMnHP8iPO4M5RCRjy6nZY0TY/edit#gid=1248694442"",""Subgroup 4: Mp ~ Tx!E3:E20""), $A39=IMPORTRANGE(""https://docs.google.com/spreadsheets/d/1kGrh75X1cNR1D7_FcY9zMnHP8iPO4M5"&amp;"RCRjy6nZY0TY/edit#gid=1248694442"",""Subgroup 4: Mp ~ Tx!A3:A20"")),"""")"),"")</f>
        <v/>
      </c>
      <c r="AC39" s="20" t="str">
        <f>IFERROR(__xludf.DUMMYFUNCTION("IFNA(FILTER(IMPORTRANGE(""https://docs.google.com/spreadsheets/d/1kGrh75X1cNR1D7_FcY9zMnHP8iPO4M5RCRjy6nZY0TY/edit#gid=1248694442"",""Subgroup 4: Mp ~ Tx!F3:F20""), $A39=IMPORTRANGE(""https://docs.google.com/spreadsheets/d/1kGrh75X1cNR1D7_FcY9zMnHP8iPO4M5"&amp;"RCRjy6nZY0TY/edit#gid=1248694442"",""Subgroup 4: Mp ~ Tx!A3:A20"")),"""")"),"")</f>
        <v/>
      </c>
      <c r="AD39" s="22" t="str">
        <f>IFERROR(__xludf.DUMMYFUNCTION("IFNA(FILTER(IMPORTRANGE(""https://docs.google.com/spreadsheets/d/1kGrh75X1cNR1D7_FcY9zMnHP8iPO4M5RCRjy6nZY0TY/edit#gid=1248694442"",""Table 3: 1st-line HC!AL5:AL111""), $A39=IMPORTRANGE(""https://docs.google.com/spreadsheets/d/1kGrh75X1cNR1D7_FcY9zMnHP8iP"&amp;"O4M5RCRjy6nZY0TY/edit#gid=1248694442"",""Table 3: 1st-line HC!A5:A111"")),"""")"),"")</f>
        <v/>
      </c>
      <c r="AE39" s="20">
        <f>IFERROR(__xludf.DUMMYFUNCTION("IFNA(FILTER(IMPORTRANGE(""https://docs.google.com/spreadsheets/d/1kGrh75X1cNR1D7_FcY9zMnHP8iPO4M5RCRjy6nZY0TY/edit#gid=1248694442"",""Table 3: 1st-line HC!BJ5:BJ111""), $A39=IMPORTRANGE(""https://docs.google.com/spreadsheets/d/1kGrh75X1cNR1D7_FcY9zMnHP8iP"&amp;"O4M5RCRjy6nZY0TY/edit#gid=1248694442"",""Table 3: 1st-line HC!A5:A111"")),"""")"),0.23)</f>
        <v>0.23</v>
      </c>
      <c r="AF39" s="20" t="str">
        <f>IFERROR(__xludf.DUMMYFUNCTION("IFNA(FILTER(IMPORTRANGE(""https://docs.google.com/spreadsheets/d/1kGrh75X1cNR1D7_FcY9zMnHP8iPO4M5RCRjy6nZY0TY/edit#gid=1248694442"",""Subgroup 2: Cr ~ Tx!B3:B23""), $A39=IMPORTRANGE(""https://docs.google.com/spreadsheets/d/1kGrh75X1cNR1D7_FcY9zMnHP8iPO4M5"&amp;"RCRjy6nZY0TY/edit#gid=1248694442"",""Subgroup 2: Cr ~ Tx!A3:A23"")),"""")"),"")</f>
        <v/>
      </c>
      <c r="AG39" s="20">
        <f>IFERROR(__xludf.DUMMYFUNCTION("IFNA(FILTER(IMPORTRANGE(""https://docs.google.com/spreadsheets/d/1kGrh75X1cNR1D7_FcY9zMnHP8iPO4M5RCRjy6nZY0TY/edit#gid=1248694442"",""Subgroup 2: Cr ~ Tx!C3:C23""), $A39=IMPORTRANGE(""https://docs.google.com/spreadsheets/d/1kGrh75X1cNR1D7_FcY9zMnHP8iPO4M5"&amp;"RCRjy6nZY0TY/edit#gid=1248694442"",""Subgroup 2: Cr ~ Tx!A3:A23"")),"""")"),0.327272727)</f>
        <v>0.327272727</v>
      </c>
      <c r="AH39" s="20" t="str">
        <f>IFERROR(__xludf.DUMMYFUNCTION("IFNA(FILTER(IMPORTRANGE(""https://docs.google.com/spreadsheets/d/1kGrh75X1cNR1D7_FcY9zMnHP8iPO4M5RCRjy6nZY0TY/edit#gid=1248694442"",""Subgroup 2: Cr ~ Tx!D3:D23""), $A39=IMPORTRANGE(""https://docs.google.com/spreadsheets/d/1kGrh75X1cNR1D7_FcY9zMnHP8iPO4M5"&amp;"RCRjy6nZY0TY/edit#gid=1248694442"",""Subgroup 2: Cr ~ Tx!A3:A23"")),"""")"),"")</f>
        <v/>
      </c>
      <c r="AI39" s="20" t="str">
        <f>IFERROR(__xludf.DUMMYFUNCTION("IFNA(FILTER(IMPORTRANGE(""https://docs.google.com/spreadsheets/d/1kGrh75X1cNR1D7_FcY9zMnHP8iPO4M5RCRjy6nZY0TY/edit#gid=1248694442"",""Subgroup 2: Cr ~ Tx!E3:E23""), $A39=IMPORTRANGE(""https://docs.google.com/spreadsheets/d/1kGrh75X1cNR1D7_FcY9zMnHP8iPO4M5"&amp;"RCRjy6nZY0TY/edit#gid=1248694442"",""Subgroup 2: Cr ~ Tx!A3:A23"")),"""")"),"")</f>
        <v/>
      </c>
      <c r="AJ39" s="20" t="str">
        <f>IFERROR(__xludf.DUMMYFUNCTION("IFNA(FILTER(IMPORTRANGE(""https://docs.google.com/spreadsheets/d/1kGrh75X1cNR1D7_FcY9zMnHP8iPO4M5RCRjy6nZY0TY/edit#gid=1248694442"",""Subgroup 2: Cr ~ Tx!F3:F23""), $A39=IMPORTRANGE(""https://docs.google.com/spreadsheets/d/1kGrh75X1cNR1D7_FcY9zMnHP8iPO4M5"&amp;"RCRjy6nZY0TY/edit#gid=1248694442"",""Subgroup 2: Cr ~ Tx!A3:A23"")),"""")"),"")</f>
        <v/>
      </c>
      <c r="AK39" s="14" t="str">
        <f>IFERROR(__xludf.DUMMYFUNCTION("IFNA(FILTER(IMPORTRANGE(""https://docs.google.com/spreadsheets/d/1kGrh75X1cNR1D7_FcY9zMnHP8iPO4M5RCRjy6nZY0TY/edit#gid=1248694442"",""Table 4: 2nd-line HC or more!M5:M85""), $A39=IMPORTRANGE(""https://docs.google.com/spreadsheets/d/1kGrh75X1cNR1D7_FcY9zMn"&amp;"HP8iPO4M5RCRjy6nZY0TY/edit#gid=1248694442"",""Table 4: 2nd-line HC or more!A5:A85"")),"""")"),"")</f>
        <v/>
      </c>
      <c r="AL39" s="14" t="str">
        <f>IFERROR(__xludf.DUMMYFUNCTION("IFNA(FILTER(IMPORTRANGE(""https://docs.google.com/spreadsheets/d/1kGrh75X1cNR1D7_FcY9zMnHP8iPO4M5RCRjy6nZY0TY/edit#gid=1248694442"",""Table 4: 2nd-line HC or more!N5:N85""), $A39=IMPORTRANGE(""https://docs.google.com/spreadsheets/d/1kGrh75X1cNR1D7_FcY9zMn"&amp;"HP8iPO4M5RCRjy6nZY0TY/edit#gid=1248694442"",""Table 4: 2nd-line HC or more!A5:A85"")),"""")"),"")</f>
        <v/>
      </c>
      <c r="AM39" s="14" t="str">
        <f>IFERROR(__xludf.DUMMYFUNCTION("IFNA(FILTER(IMPORTRANGE(""https://docs.google.com/spreadsheets/d/1kGrh75X1cNR1D7_FcY9zMnHP8iPO4M5RCRjy6nZY0TY/edit#gid=1248694442"",""Table 4: 2nd-line HC or more!O5:O85""), $A39=IMPORTRANGE(""https://docs.google.com/spreadsheets/d/1kGrh75X1cNR1D7_FcY9zMn"&amp;"HP8iPO4M5RCRjy6nZY0TY/edit#gid=1248694442"",""Table 4: 2nd-line HC or more!A5:A85"")),"""")"),"")</f>
        <v/>
      </c>
      <c r="AN39" s="14" t="str">
        <f>IFERROR(__xludf.DUMMYFUNCTION("IFNA(FILTER(IMPORTRANGE(""https://docs.google.com/spreadsheets/d/1kGrh75X1cNR1D7_FcY9zMnHP8iPO4M5RCRjy6nZY0TY/edit#gid=1248694442"",""Table 3: 1st-line HC!AP5:AP111""), $A39=IMPORTRANGE(""https://docs.google.com/spreadsheets/d/1kGrh75X1cNR1D7_FcY9zMnHP8iP"&amp;"O4M5RCRjy6nZY0TY/edit#gid=1248694442"",""Table 3: 1st-line HC!A5:A111"")),"""")"),"")</f>
        <v/>
      </c>
      <c r="AO39" s="14" t="str">
        <f>IFERROR(__xludf.DUMMYFUNCTION("IFNA(FILTER(IMPORTRANGE(""https://docs.google.com/spreadsheets/d/1kGrh75X1cNR1D7_FcY9zMnHP8iPO4M5RCRjy6nZY0TY/edit#gid=1248694442"",""Table 3: 1st-line HC!AO5:AO111""), $A39=IMPORTRANGE(""https://docs.google.com/spreadsheets/d/1kGrh75X1cNR1D7_FcY9zMnHP8iP"&amp;"O4M5RCRjy6nZY0TY/edit#gid=1248694442"",""Table 3: 1st-line HC!A5:A111"")),"""")"),"")</f>
        <v/>
      </c>
      <c r="AP39" s="14">
        <f>IFERROR(__xludf.DUMMYFUNCTION("IFNA(FILTER(IMPORTRANGE(""https://docs.google.com/spreadsheets/d/1kGrh75X1cNR1D7_FcY9zMnHP8iPO4M5RCRjy6nZY0TY/edit#gid=1248694442"",""Table 3: 1st-line HC!AQ5:AQ111""), $A39=IMPORTRANGE(""https://docs.google.com/spreadsheets/d/1kGrh75X1cNR1D7_FcY9zMnHP8iP"&amp;"O4M5RCRjy6nZY0TY/edit#gid=1248694442"",""Table 3: 1st-line HC!A5:A111"")),"""")"),18.0)</f>
        <v>18</v>
      </c>
      <c r="AQ39" s="14" t="str">
        <f>IFERROR(__xludf.DUMMYFUNCTION("IFNA(FILTER(IMPORTRANGE(""https://docs.google.com/spreadsheets/d/1kGrh75X1cNR1D7_FcY9zMnHP8iPO4M5RCRjy6nZY0TY/edit#gid=1248694442"",""Table 2: MMC!T5:T114""), $A39=IMPORTRANGE(""https://docs.google.com/spreadsheets/d/1kGrh75X1cNR1D7_FcY9zMnHP8iPO4M5RCRjy6"&amp;"nZY0TY/edit#gid=1248694442"",""Table 2: MMC!A5:A114"")),"""")"),"")</f>
        <v/>
      </c>
      <c r="AR39" s="14" t="str">
        <f>IFERROR(__xludf.DUMMYFUNCTION("IFNA(FILTER(IMPORTRANGE(""https://docs.google.com/spreadsheets/d/1kGrh75X1cNR1D7_FcY9zMnHP8iPO4M5RCRjy6nZY0TY/edit#gid=1248694442"",""Table 2: MMC!U5:U114""), $A39=IMPORTRANGE(""https://docs.google.com/spreadsheets/d/1kGrh75X1cNR1D7_FcY9zMnHP8iPO4M5RCRjy6"&amp;"nZY0TY/edit#gid=1248694442"",""Table 2: MMC!A5:A114"")),"""")"),"")</f>
        <v/>
      </c>
      <c r="AS39" s="14" t="str">
        <f>IFERROR(__xludf.DUMMYFUNCTION("IFNA(FILTER(IMPORTRANGE(""https://docs.google.com/spreadsheets/d/1kGrh75X1cNR1D7_FcY9zMnHP8iPO4M5RCRjy6nZY0TY/edit#gid=1248694442"",""Table 2: MMC!V5:V114""), $A39=IMPORTRANGE(""https://docs.google.com/spreadsheets/d/1kGrh75X1cNR1D7_FcY9zMnHP8iPO4M5RCRjy6"&amp;"nZY0TY/edit#gid=1248694442"",""Table 2: MMC!A5:A114"")),"""")"),"")</f>
        <v/>
      </c>
      <c r="AT39" s="4" t="str">
        <f>IFERROR(__xludf.DUMMYFUNCTION("IFNA(FILTER(IMPORTRANGE(""https://docs.google.com/spreadsheets/d/1kGrh75X1cNR1D7_FcY9zMnHP8iPO4M5RCRjy6nZY0TY/edit#gid=1248694442"",""Table 2: MMC!W5:W114""), $A39=IMPORTRANGE(""https://docs.google.com/spreadsheets/d/1kGrh75X1cNR1D7_FcY9zMnHP8iPO4M5RCRjy6"&amp;"nZY0TY/edit#gid=1248694442"",""Table 2: MMC!A5:A114"")),"""")"),"")</f>
        <v/>
      </c>
    </row>
    <row r="40">
      <c r="A40" s="4" t="str">
        <f>IFERROR(__xludf.DUMMYFUNCTION("""COMPUTED_VALUE"""),"ID 77")</f>
        <v>ID 77</v>
      </c>
      <c r="B40" s="20">
        <f>IFERROR(__xludf.DUMMYFUNCTION("IFNA(FILTER(IMPORTRANGE(""https://docs.google.com/spreadsheets/d/1kGrh75X1cNR1D7_FcY9zMnHP8iPO4M5RCRjy6nZY0TY/edit#gid=1248694442"",""Table 3: 1st-line HC!BK5:BK111""), $A40=IMPORTRANGE(""https://docs.google.com/spreadsheets/d/1kGrh75X1cNR1D7_FcY9zMnHP8iP"&amp;"O4M5RCRjy6nZY0TY/edit#gid=1248694442"",""Table 3: 1st-line HC!A5:A111"")),"""")"),0.4)</f>
        <v>0.4</v>
      </c>
      <c r="C40" s="20" t="str">
        <f>IFERROR(__xludf.DUMMYFUNCTION("IFNA(FILTER(IMPORTRANGE(""https://docs.google.com/spreadsheets/d/1kGrh75X1cNR1D7_FcY9zMnHP8iPO4M5RCRjy6nZY0TY/edit#gid=1248694442"",""Subgroup 1: Fr ~ Tx!B3:B20""), $A40=IMPORTRANGE(""https://docs.google.com/spreadsheets/d/1kGrh75X1cNR1D7_FcY9zMnHP8iPO4M5"&amp;"RCRjy6nZY0TY/edit#gid=1248694442"",""Subgroup 1: Fr ~ Tx!A3:A20"")),"""")"),"")</f>
        <v/>
      </c>
      <c r="D40" s="20" t="str">
        <f>IFERROR(__xludf.DUMMYFUNCTION("IFNA(FILTER(IMPORTRANGE(""https://docs.google.com/spreadsheets/d/1kGrh75X1cNR1D7_FcY9zMnHP8iPO4M5RCRjy6nZY0TY/edit#gid=1248694442"",""Subgroup 1: Fr ~ Tx!C3:C20""), $A40=IMPORTRANGE(""https://docs.google.com/spreadsheets/d/1kGrh75X1cNR1D7_FcY9zMnHP8iPO4M5"&amp;"RCRjy6nZY0TY/edit#gid=1248694442"",""Subgroup 1: Fr ~ Tx!A3:A20"")),"""")"),"")</f>
        <v/>
      </c>
      <c r="E40" s="20">
        <f>IFERROR(__xludf.DUMMYFUNCTION("IFNA(FILTER(IMPORTRANGE(""https://docs.google.com/spreadsheets/d/1kGrh75X1cNR1D7_FcY9zMnHP8iPO4M5RCRjy6nZY0TY/edit#gid=1248694442"",""Subgroup 1: Fr ~ Tx!D3:D20""), $A40=IMPORTRANGE(""https://docs.google.com/spreadsheets/d/1kGrh75X1cNR1D7_FcY9zMnHP8iPO4M5"&amp;"RCRjy6nZY0TY/edit#gid=1248694442"",""Subgroup 1: Fr ~ Tx!A3:A20"")),"""")"),0.4)</f>
        <v>0.4</v>
      </c>
      <c r="F40" s="20" t="str">
        <f>IFERROR(__xludf.DUMMYFUNCTION("IFNA(FILTER(IMPORTRANGE(""https://docs.google.com/spreadsheets/d/1kGrh75X1cNR1D7_FcY9zMnHP8iPO4M5RCRjy6nZY0TY/edit#gid=1248694442"",""Subgroup 1: Fr ~ Tx!E3:E20""), $A40=IMPORTRANGE(""https://docs.google.com/spreadsheets/d/1kGrh75X1cNR1D7_FcY9zMnHP8iPO4M5"&amp;"RCRjy6nZY0TY/edit#gid=1248694442"",""Subgroup 1: Fr ~ Tx!A3:A20"")),"""")"),"")</f>
        <v/>
      </c>
      <c r="G40" s="20" t="str">
        <f>IFERROR(__xludf.DUMMYFUNCTION("IFNA(FILTER(IMPORTRANGE(""https://docs.google.com/spreadsheets/d/1kGrh75X1cNR1D7_FcY9zMnHP8iPO4M5RCRjy6nZY0TY/edit#gid=1248694442"",""Subgroup 1: Fr ~ Tx!F3:F20""), $A40=IMPORTRANGE(""https://docs.google.com/spreadsheets/d/1kGrh75X1cNR1D7_FcY9zMnHP8iPO4M5"&amp;"RCRjy6nZY0TY/edit#gid=1248694442"",""Subgroup 1: Fr ~ Tx!A3:A20"")),"""")"),"")</f>
        <v/>
      </c>
      <c r="H40" s="20" t="str">
        <f>IFERROR(__xludf.DUMMYFUNCTION("IFNA(FILTER(IMPORTRANGE(""https://docs.google.com/spreadsheets/d/1kGrh75X1cNR1D7_FcY9zMnHP8iPO4M5RCRjy6nZY0TY/edit#gid=1248694442"",""Table 3: 1st-line HC!BD5:BD111""), $A40=IMPORTRANGE(""https://docs.google.com/spreadsheets/d/1kGrh75X1cNR1D7_FcY9zMnHP8iP"&amp;"O4M5RCRjy6nZY0TY/edit#gid=1248694442"",""Table 3: 1st-line HC!A5:A111"")),"""")"),"")</f>
        <v/>
      </c>
      <c r="I40" s="20" t="str">
        <f>IFERROR(__xludf.DUMMYFUNCTION("IFNA(FILTER(IMPORTRANGE(""https://docs.google.com/spreadsheets/d/1kGrh75X1cNR1D7_FcY9zMnHP8iPO4M5RCRjy6nZY0TY/edit#gid=1248694442"",""Subgroup 5: Tf ~ Tx!B3:B8""), $A40=IMPORTRANGE(""https://docs.google.com/spreadsheets/d/1kGrh75X1cNR1D7_FcY9zMnHP8iPO4M5R"&amp;"CRjy6nZY0TY/edit#gid=1248694442"",""Subgroup 5: Tf ~ Tx!A3:A8"")),"""")"),"")</f>
        <v/>
      </c>
      <c r="J40" s="20" t="str">
        <f>IFERROR(__xludf.DUMMYFUNCTION("IFNA(FILTER(IMPORTRANGE(""https://docs.google.com/spreadsheets/d/1kGrh75X1cNR1D7_FcY9zMnHP8iPO4M5RCRjy6nZY0TY/edit#gid=1248694442"",""Subgroup 5: Tf ~ Tx!C3:C8""), $A40=IMPORTRANGE(""https://docs.google.com/spreadsheets/d/1kGrh75X1cNR1D7_FcY9zMnHP8iPO4M5R"&amp;"CRjy6nZY0TY/edit#gid=1248694442"",""Subgroup 5: Tf ~ Tx!A3:A8"")),"""")"),"")</f>
        <v/>
      </c>
      <c r="K40" s="20" t="str">
        <f>IFERROR(__xludf.DUMMYFUNCTION("IFNA(FILTER(IMPORTRANGE(""https://docs.google.com/spreadsheets/d/1kGrh75X1cNR1D7_FcY9zMnHP8iPO4M5RCRjy6nZY0TY/edit#gid=1248694442"",""Subgroup 5: Tf ~ Tx!D3:D8""), $A40=IMPORTRANGE(""https://docs.google.com/spreadsheets/d/1kGrh75X1cNR1D7_FcY9zMnHP8iPO4M5R"&amp;"CRjy6nZY0TY/edit#gid=1248694442"",""Subgroup 5: Tf ~ Tx!A3:A8"")),"""")"),"")</f>
        <v/>
      </c>
      <c r="L40" s="20" t="str">
        <f>IFERROR(__xludf.DUMMYFUNCTION("IFNA(FILTER(IMPORTRANGE(""https://docs.google.com/spreadsheets/d/1kGrh75X1cNR1D7_FcY9zMnHP8iPO4M5RCRjy6nZY0TY/edit#gid=1248694442"",""Subgroup 5: Tf ~ Tx!E3:E8""), $A40=IMPORTRANGE(""https://docs.google.com/spreadsheets/d/1kGrh75X1cNR1D7_FcY9zMnHP8iPO4M5R"&amp;"CRjy6nZY0TY/edit#gid=1248694442"",""Subgroup 5: Tf ~ Tx!A3:A8"")),"""")"),"")</f>
        <v/>
      </c>
      <c r="M40" s="20" t="str">
        <f>IFERROR(__xludf.DUMMYFUNCTION("IFNA(FILTER(IMPORTRANGE(""https://docs.google.com/spreadsheets/d/1kGrh75X1cNR1D7_FcY9zMnHP8iPO4M5RCRjy6nZY0TY/edit#gid=1248694442"",""Subgroup 5: Tf ~ Tx!F3:F8""), $A40=IMPORTRANGE(""https://docs.google.com/spreadsheets/d/1kGrh75X1cNR1D7_FcY9zMnHP8iPO4M5R"&amp;"CRjy6nZY0TY/edit#gid=1248694442"",""Subgroup 5: Tf ~ Tx!A3:A8"")),"""")"),"")</f>
        <v/>
      </c>
      <c r="N40" s="20" t="str">
        <f>IFERROR(__xludf.DUMMYFUNCTION("IFNA(FILTER(IMPORTRANGE(""https://docs.google.com/spreadsheets/d/1kGrh75X1cNR1D7_FcY9zMnHP8iPO4M5RCRjy6nZY0TY/edit#gid=1248694442"",""Table 3: 1st-line HC!BE5:BE111""), $A40=IMPORTRANGE(""https://docs.google.com/spreadsheets/d/1kGrh75X1cNR1D7_FcY9zMnHP8iP"&amp;"O4M5RCRjy6nZY0TY/edit#gid=1248694442"",""Table 3: 1st-line HC!A5:A111"")),"""")"),"")</f>
        <v/>
      </c>
      <c r="O40" s="20" t="str">
        <f>IFERROR(__xludf.DUMMYFUNCTION("IFNA(FILTER(IMPORTRANGE(""https://docs.google.com/spreadsheets/d/1kGrh75X1cNR1D7_FcY9zMnHP8iPO4M5RCRjy6nZY0TY/edit#gid=1248694442"",""Table 3: 1st-line HC!BF5:BF111""), $A40=IMPORTRANGE(""https://docs.google.com/spreadsheets/d/1kGrh75X1cNR1D7_FcY9zMnHP8iP"&amp;"O4M5RCRjy6nZY0TY/edit#gid=1248694442"",""Table 3: 1st-line HC!A5:A111"")),"""")"),"")</f>
        <v/>
      </c>
      <c r="P40" s="20" t="str">
        <f>IFERROR(__xludf.DUMMYFUNCTION("IFNA(FILTER(IMPORTRANGE(""https://docs.google.com/spreadsheets/d/1kGrh75X1cNR1D7_FcY9zMnHP8iPO4M5RCRjy6nZY0TY/edit#gid=1248694442"",""Table 3: 1st-line HC!BG5:BG111""), $A40=IMPORTRANGE(""https://docs.google.com/spreadsheets/d/1kGrh75X1cNR1D7_FcY9zMnHP8iP"&amp;"O4M5RCRjy6nZY0TY/edit#gid=1248694442"",""Table 3: 1st-line HC!A5:A111"")),"""")"),"")</f>
        <v/>
      </c>
      <c r="Q40" s="21" t="str">
        <f>IFERROR(__xludf.DUMMYFUNCTION("IFNA(FILTER(IMPORTRANGE(""https://docs.google.com/spreadsheets/d/1kGrh75X1cNR1D7_FcY9zMnHP8iPO4M5RCRjy6nZY0TY/edit#gid=1248694442"",""Table 3: 1st-line HC!BH5:BH111""), $A40=IMPORTRANGE(""https://docs.google.com/spreadsheets/d/1kGrh75X1cNR1D7_FcY9zMnHP8iP"&amp;"O4M5RCRjy6nZY0TY/edit#gid=1248694442"",""Table 3: 1st-line HC!A5:A111"")),"""")"),"")</f>
        <v/>
      </c>
      <c r="R40" s="19" t="str">
        <f>IFERROR(__xludf.DUMMYFUNCTION("IFNA(FILTER(IMPORTRANGE(""https://docs.google.com/spreadsheets/d/1kGrh75X1cNR1D7_FcY9zMnHP8iPO4M5RCRjy6nZY0TY/edit#gid=1248694442"",""Table 3: 1st-line HC!AJ5:AJ111""), $A40=IMPORTRANGE(""https://docs.google.com/spreadsheets/d/1kGrh75X1cNR1D7_FcY9zMnHP8iP"&amp;"O4M5RCRjy6nZY0TY/edit#gid=1248694442"",""Table 3: 1st-line HC!A5:A111"")),"""")"),"")</f>
        <v/>
      </c>
      <c r="S40" s="20" t="str">
        <f>IFERROR(__xludf.DUMMYFUNCTION("IFNA(FILTER(IMPORTRANGE(""https://docs.google.com/spreadsheets/d/1kGrh75X1cNR1D7_FcY9zMnHP8iPO4M5RCRjy6nZY0TY/edit#gid=1248694442"",""Subgroup 3: Mi ~ Tx!B3:B17""), $A40=IMPORTRANGE(""https://docs.google.com/spreadsheets/d/1kGrh75X1cNR1D7_FcY9zMnHP8iPO4M5"&amp;"RCRjy6nZY0TY/edit#gid=1248694442"",""Subgroup 3: Mi ~ Tx!A3:A17"")),"""")"),"")</f>
        <v/>
      </c>
      <c r="T40" s="20" t="str">
        <f>IFERROR(__xludf.DUMMYFUNCTION("IFNA(FILTER(IMPORTRANGE(""https://docs.google.com/spreadsheets/d/1kGrh75X1cNR1D7_FcY9zMnHP8iPO4M5RCRjy6nZY0TY/edit#gid=1248694442"",""Subgroup 3: Mi ~ Tx!C3:C17""), $A40=IMPORTRANGE(""https://docs.google.com/spreadsheets/d/1kGrh75X1cNR1D7_FcY9zMnHP8iPO4M5"&amp;"RCRjy6nZY0TY/edit#gid=1248694442"",""Subgroup 3: Mi ~ Tx!A3:A17"")),"""")"),"")</f>
        <v/>
      </c>
      <c r="U40" s="20" t="str">
        <f>IFERROR(__xludf.DUMMYFUNCTION("IFNA(FILTER(IMPORTRANGE(""https://docs.google.com/spreadsheets/d/1kGrh75X1cNR1D7_FcY9zMnHP8iPO4M5RCRjy6nZY0TY/edit#gid=1248694442"",""Subgroup 3: Mi ~ Tx!D3:D17""), $A40=IMPORTRANGE(""https://docs.google.com/spreadsheets/d/1kGrh75X1cNR1D7_FcY9zMnHP8iPO4M5"&amp;"RCRjy6nZY0TY/edit#gid=1248694442"",""Subgroup 3: Mi ~ Tx!A3:A17"")),"""")"),"")</f>
        <v/>
      </c>
      <c r="V40" s="20" t="str">
        <f>IFERROR(__xludf.DUMMYFUNCTION("IFNA(FILTER(IMPORTRANGE(""https://docs.google.com/spreadsheets/d/1kGrh75X1cNR1D7_FcY9zMnHP8iPO4M5RCRjy6nZY0TY/edit#gid=1248694442"",""Subgroup 3: Mi ~ Tx!E3:E17""), $A40=IMPORTRANGE(""https://docs.google.com/spreadsheets/d/1kGrh75X1cNR1D7_FcY9zMnHP8iPO4M5"&amp;"RCRjy6nZY0TY/edit#gid=1248694442"",""Subgroup 3: Mi ~ Tx!A3:A17"")),"""")"),"")</f>
        <v/>
      </c>
      <c r="W40" s="20" t="str">
        <f>IFERROR(__xludf.DUMMYFUNCTION("IFNA(FILTER(IMPORTRANGE(""https://docs.google.com/spreadsheets/d/1kGrh75X1cNR1D7_FcY9zMnHP8iPO4M5RCRjy6nZY0TY/edit#gid=1248694442"",""Subgroup 3: Mi ~ Tx!F3:F17""), $A40=IMPORTRANGE(""https://docs.google.com/spreadsheets/d/1kGrh75X1cNR1D7_FcY9zMnHP8iPO4M5"&amp;"RCRjy6nZY0TY/edit#gid=1248694442"",""Subgroup 3: Mi ~ Tx!A3:A17"")),"""")"),"")</f>
        <v/>
      </c>
      <c r="X40" s="19" t="str">
        <f>IFERROR(__xludf.DUMMYFUNCTION("IFNA(FILTER(IMPORTRANGE(""https://docs.google.com/spreadsheets/d/1kGrh75X1cNR1D7_FcY9zMnHP8iPO4M5RCRjy6nZY0TY/edit#gid=1248694442"",""Table 3: 1st-line HC!AK5:AK111""), $A40=IMPORTRANGE(""https://docs.google.com/spreadsheets/d/1kGrh75X1cNR1D7_FcY9zMnHP8iP"&amp;"O4M5RCRjy6nZY0TY/edit#gid=1248694442"",""Table 3: 1st-line HC!A5:A111"")),"""")"),"")</f>
        <v/>
      </c>
      <c r="Y40" s="20" t="str">
        <f>IFERROR(__xludf.DUMMYFUNCTION("IFNA(FILTER(IMPORTRANGE(""https://docs.google.com/spreadsheets/d/1kGrh75X1cNR1D7_FcY9zMnHP8iPO4M5RCRjy6nZY0TY/edit#gid=1248694442"",""Subgroup 4: Mp ~ Tx!B3:B20""), $A40=IMPORTRANGE(""https://docs.google.com/spreadsheets/d/1kGrh75X1cNR1D7_FcY9zMnHP8iPO4M5"&amp;"RCRjy6nZY0TY/edit#gid=1248694442"",""Subgroup 4: Mp ~ Tx!A3:A20"")),"""")"),"")</f>
        <v/>
      </c>
      <c r="Z40" s="20" t="str">
        <f>IFERROR(__xludf.DUMMYFUNCTION("IFNA(FILTER(IMPORTRANGE(""https://docs.google.com/spreadsheets/d/1kGrh75X1cNR1D7_FcY9zMnHP8iPO4M5RCRjy6nZY0TY/edit#gid=1248694442"",""Subgroup 4: Mp ~ Tx!C3:C20""), $A40=IMPORTRANGE(""https://docs.google.com/spreadsheets/d/1kGrh75X1cNR1D7_FcY9zMnHP8iPO4M5"&amp;"RCRjy6nZY0TY/edit#gid=1248694442"",""Subgroup 4: Mp ~ Tx!A3:A20"")),"""")"),"")</f>
        <v/>
      </c>
      <c r="AA40" s="20" t="str">
        <f>IFERROR(__xludf.DUMMYFUNCTION("IFNA(FILTER(IMPORTRANGE(""https://docs.google.com/spreadsheets/d/1kGrh75X1cNR1D7_FcY9zMnHP8iPO4M5RCRjy6nZY0TY/edit#gid=1248694442"",""Subgroup 4: Mp ~ Tx!D3:D20""), $A40=IMPORTRANGE(""https://docs.google.com/spreadsheets/d/1kGrh75X1cNR1D7_FcY9zMnHP8iPO4M5"&amp;"RCRjy6nZY0TY/edit#gid=1248694442"",""Subgroup 4: Mp ~ Tx!A3:A20"")),"""")"),"")</f>
        <v/>
      </c>
      <c r="AB40" s="20" t="str">
        <f>IFERROR(__xludf.DUMMYFUNCTION("IFNA(FILTER(IMPORTRANGE(""https://docs.google.com/spreadsheets/d/1kGrh75X1cNR1D7_FcY9zMnHP8iPO4M5RCRjy6nZY0TY/edit#gid=1248694442"",""Subgroup 4: Mp ~ Tx!E3:E20""), $A40=IMPORTRANGE(""https://docs.google.com/spreadsheets/d/1kGrh75X1cNR1D7_FcY9zMnHP8iPO4M5"&amp;"RCRjy6nZY0TY/edit#gid=1248694442"",""Subgroup 4: Mp ~ Tx!A3:A20"")),"""")"),"")</f>
        <v/>
      </c>
      <c r="AC40" s="20" t="str">
        <f>IFERROR(__xludf.DUMMYFUNCTION("IFNA(FILTER(IMPORTRANGE(""https://docs.google.com/spreadsheets/d/1kGrh75X1cNR1D7_FcY9zMnHP8iPO4M5RCRjy6nZY0TY/edit#gid=1248694442"",""Subgroup 4: Mp ~ Tx!F3:F20""), $A40=IMPORTRANGE(""https://docs.google.com/spreadsheets/d/1kGrh75X1cNR1D7_FcY9zMnHP8iPO4M5"&amp;"RCRjy6nZY0TY/edit#gid=1248694442"",""Subgroup 4: Mp ~ Tx!A3:A20"")),"""")"),"")</f>
        <v/>
      </c>
      <c r="AD40" s="22" t="str">
        <f>IFERROR(__xludf.DUMMYFUNCTION("IFNA(FILTER(IMPORTRANGE(""https://docs.google.com/spreadsheets/d/1kGrh75X1cNR1D7_FcY9zMnHP8iPO4M5RCRjy6nZY0TY/edit#gid=1248694442"",""Table 3: 1st-line HC!AL5:AL111""), $A40=IMPORTRANGE(""https://docs.google.com/spreadsheets/d/1kGrh75X1cNR1D7_FcY9zMnHP8iP"&amp;"O4M5RCRjy6nZY0TY/edit#gid=1248694442"",""Table 3: 1st-line HC!A5:A111"")),"""")"),"")</f>
        <v/>
      </c>
      <c r="AE40" s="20" t="str">
        <f>IFERROR(__xludf.DUMMYFUNCTION("IFNA(FILTER(IMPORTRANGE(""https://docs.google.com/spreadsheets/d/1kGrh75X1cNR1D7_FcY9zMnHP8iPO4M5RCRjy6nZY0TY/edit#gid=1248694442"",""Table 3: 1st-line HC!BJ5:BJ111""), $A40=IMPORTRANGE(""https://docs.google.com/spreadsheets/d/1kGrh75X1cNR1D7_FcY9zMnHP8iP"&amp;"O4M5RCRjy6nZY0TY/edit#gid=1248694442"",""Table 3: 1st-line HC!A5:A111"")),"""")"),"")</f>
        <v/>
      </c>
      <c r="AF40" s="20" t="str">
        <f>IFERROR(__xludf.DUMMYFUNCTION("IFNA(FILTER(IMPORTRANGE(""https://docs.google.com/spreadsheets/d/1kGrh75X1cNR1D7_FcY9zMnHP8iPO4M5RCRjy6nZY0TY/edit#gid=1248694442"",""Subgroup 2: Cr ~ Tx!B3:B23""), $A40=IMPORTRANGE(""https://docs.google.com/spreadsheets/d/1kGrh75X1cNR1D7_FcY9zMnHP8iPO4M5"&amp;"RCRjy6nZY0TY/edit#gid=1248694442"",""Subgroup 2: Cr ~ Tx!A3:A23"")),"""")"),"")</f>
        <v/>
      </c>
      <c r="AG40" s="20" t="str">
        <f>IFERROR(__xludf.DUMMYFUNCTION("IFNA(FILTER(IMPORTRANGE(""https://docs.google.com/spreadsheets/d/1kGrh75X1cNR1D7_FcY9zMnHP8iPO4M5RCRjy6nZY0TY/edit#gid=1248694442"",""Subgroup 2: Cr ~ Tx!C3:C23""), $A40=IMPORTRANGE(""https://docs.google.com/spreadsheets/d/1kGrh75X1cNR1D7_FcY9zMnHP8iPO4M5"&amp;"RCRjy6nZY0TY/edit#gid=1248694442"",""Subgroup 2: Cr ~ Tx!A3:A23"")),"""")"),"")</f>
        <v/>
      </c>
      <c r="AH40" s="20" t="str">
        <f>IFERROR(__xludf.DUMMYFUNCTION("IFNA(FILTER(IMPORTRANGE(""https://docs.google.com/spreadsheets/d/1kGrh75X1cNR1D7_FcY9zMnHP8iPO4M5RCRjy6nZY0TY/edit#gid=1248694442"",""Subgroup 2: Cr ~ Tx!D3:D23""), $A40=IMPORTRANGE(""https://docs.google.com/spreadsheets/d/1kGrh75X1cNR1D7_FcY9zMnHP8iPO4M5"&amp;"RCRjy6nZY0TY/edit#gid=1248694442"",""Subgroup 2: Cr ~ Tx!A3:A23"")),"""")"),"")</f>
        <v/>
      </c>
      <c r="AI40" s="20" t="str">
        <f>IFERROR(__xludf.DUMMYFUNCTION("IFNA(FILTER(IMPORTRANGE(""https://docs.google.com/spreadsheets/d/1kGrh75X1cNR1D7_FcY9zMnHP8iPO4M5RCRjy6nZY0TY/edit#gid=1248694442"",""Subgroup 2: Cr ~ Tx!E3:E23""), $A40=IMPORTRANGE(""https://docs.google.com/spreadsheets/d/1kGrh75X1cNR1D7_FcY9zMnHP8iPO4M5"&amp;"RCRjy6nZY0TY/edit#gid=1248694442"",""Subgroup 2: Cr ~ Tx!A3:A23"")),"""")"),"")</f>
        <v/>
      </c>
      <c r="AJ40" s="20" t="str">
        <f>IFERROR(__xludf.DUMMYFUNCTION("IFNA(FILTER(IMPORTRANGE(""https://docs.google.com/spreadsheets/d/1kGrh75X1cNR1D7_FcY9zMnHP8iPO4M5RCRjy6nZY0TY/edit#gid=1248694442"",""Subgroup 2: Cr ~ Tx!F3:F23""), $A40=IMPORTRANGE(""https://docs.google.com/spreadsheets/d/1kGrh75X1cNR1D7_FcY9zMnHP8iPO4M5"&amp;"RCRjy6nZY0TY/edit#gid=1248694442"",""Subgroup 2: Cr ~ Tx!A3:A23"")),"""")"),"")</f>
        <v/>
      </c>
      <c r="AK40" s="14" t="str">
        <f>IFERROR(__xludf.DUMMYFUNCTION("IFNA(FILTER(IMPORTRANGE(""https://docs.google.com/spreadsheets/d/1kGrh75X1cNR1D7_FcY9zMnHP8iPO4M5RCRjy6nZY0TY/edit#gid=1248694442"",""Table 4: 2nd-line HC or more!M5:M85""), $A40=IMPORTRANGE(""https://docs.google.com/spreadsheets/d/1kGrh75X1cNR1D7_FcY9zMn"&amp;"HP8iPO4M5RCRjy6nZY0TY/edit#gid=1248694442"",""Table 4: 2nd-line HC or more!A5:A85"")),"""")"),"")</f>
        <v/>
      </c>
      <c r="AL40" s="14" t="str">
        <f>IFERROR(__xludf.DUMMYFUNCTION("IFNA(FILTER(IMPORTRANGE(""https://docs.google.com/spreadsheets/d/1kGrh75X1cNR1D7_FcY9zMnHP8iPO4M5RCRjy6nZY0TY/edit#gid=1248694442"",""Table 4: 2nd-line HC or more!N5:N85""), $A40=IMPORTRANGE(""https://docs.google.com/spreadsheets/d/1kGrh75X1cNR1D7_FcY9zMn"&amp;"HP8iPO4M5RCRjy6nZY0TY/edit#gid=1248694442"",""Table 4: 2nd-line HC or more!A5:A85"")),"""")"),"")</f>
        <v/>
      </c>
      <c r="AM40" s="14" t="str">
        <f>IFERROR(__xludf.DUMMYFUNCTION("IFNA(FILTER(IMPORTRANGE(""https://docs.google.com/spreadsheets/d/1kGrh75X1cNR1D7_FcY9zMnHP8iPO4M5RCRjy6nZY0TY/edit#gid=1248694442"",""Table 4: 2nd-line HC or more!O5:O85""), $A40=IMPORTRANGE(""https://docs.google.com/spreadsheets/d/1kGrh75X1cNR1D7_FcY9zMn"&amp;"HP8iPO4M5RCRjy6nZY0TY/edit#gid=1248694442"",""Table 4: 2nd-line HC or more!A5:A85"")),"""")"),"")</f>
        <v/>
      </c>
      <c r="AN40" s="14" t="str">
        <f>IFERROR(__xludf.DUMMYFUNCTION("IFNA(FILTER(IMPORTRANGE(""https://docs.google.com/spreadsheets/d/1kGrh75X1cNR1D7_FcY9zMnHP8iPO4M5RCRjy6nZY0TY/edit#gid=1248694442"",""Table 3: 1st-line HC!AP5:AP111""), $A40=IMPORTRANGE(""https://docs.google.com/spreadsheets/d/1kGrh75X1cNR1D7_FcY9zMnHP8iP"&amp;"O4M5RCRjy6nZY0TY/edit#gid=1248694442"",""Table 3: 1st-line HC!A5:A111"")),"""")"),"")</f>
        <v/>
      </c>
      <c r="AO40" s="14" t="str">
        <f>IFERROR(__xludf.DUMMYFUNCTION("IFNA(FILTER(IMPORTRANGE(""https://docs.google.com/spreadsheets/d/1kGrh75X1cNR1D7_FcY9zMnHP8iPO4M5RCRjy6nZY0TY/edit#gid=1248694442"",""Table 3: 1st-line HC!AO5:AO111""), $A40=IMPORTRANGE(""https://docs.google.com/spreadsheets/d/1kGrh75X1cNR1D7_FcY9zMnHP8iP"&amp;"O4M5RCRjy6nZY0TY/edit#gid=1248694442"",""Table 3: 1st-line HC!A5:A111"")),"""")"),"")</f>
        <v/>
      </c>
      <c r="AP40" s="14" t="str">
        <f>IFERROR(__xludf.DUMMYFUNCTION("IFNA(FILTER(IMPORTRANGE(""https://docs.google.com/spreadsheets/d/1kGrh75X1cNR1D7_FcY9zMnHP8iPO4M5RCRjy6nZY0TY/edit#gid=1248694442"",""Table 3: 1st-line HC!AQ5:AQ111""), $A40=IMPORTRANGE(""https://docs.google.com/spreadsheets/d/1kGrh75X1cNR1D7_FcY9zMnHP8iP"&amp;"O4M5RCRjy6nZY0TY/edit#gid=1248694442"",""Table 3: 1st-line HC!A5:A111"")),"""")"),"")</f>
        <v/>
      </c>
      <c r="AQ40" s="14" t="str">
        <f>IFERROR(__xludf.DUMMYFUNCTION("IFNA(FILTER(IMPORTRANGE(""https://docs.google.com/spreadsheets/d/1kGrh75X1cNR1D7_FcY9zMnHP8iPO4M5RCRjy6nZY0TY/edit#gid=1248694442"",""Table 2: MMC!T5:T114""), $A40=IMPORTRANGE(""https://docs.google.com/spreadsheets/d/1kGrh75X1cNR1D7_FcY9zMnHP8iPO4M5RCRjy6"&amp;"nZY0TY/edit#gid=1248694442"",""Table 2: MMC!A5:A114"")),"""")"),"")</f>
        <v/>
      </c>
      <c r="AR40" s="14" t="str">
        <f>IFERROR(__xludf.DUMMYFUNCTION("IFNA(FILTER(IMPORTRANGE(""https://docs.google.com/spreadsheets/d/1kGrh75X1cNR1D7_FcY9zMnHP8iPO4M5RCRjy6nZY0TY/edit#gid=1248694442"",""Table 2: MMC!U5:U114""), $A40=IMPORTRANGE(""https://docs.google.com/spreadsheets/d/1kGrh75X1cNR1D7_FcY9zMnHP8iPO4M5RCRjy6"&amp;"nZY0TY/edit#gid=1248694442"",""Table 2: MMC!A5:A114"")),"""")"),"")</f>
        <v/>
      </c>
      <c r="AS40" s="14" t="str">
        <f>IFERROR(__xludf.DUMMYFUNCTION("IFNA(FILTER(IMPORTRANGE(""https://docs.google.com/spreadsheets/d/1kGrh75X1cNR1D7_FcY9zMnHP8iPO4M5RCRjy6nZY0TY/edit#gid=1248694442"",""Table 2: MMC!V5:V114""), $A40=IMPORTRANGE(""https://docs.google.com/spreadsheets/d/1kGrh75X1cNR1D7_FcY9zMnHP8iPO4M5RCRjy6"&amp;"nZY0TY/edit#gid=1248694442"",""Table 2: MMC!A5:A114"")),"""")"),"")</f>
        <v/>
      </c>
      <c r="AT40" s="4" t="str">
        <f>IFERROR(__xludf.DUMMYFUNCTION("IFNA(FILTER(IMPORTRANGE(""https://docs.google.com/spreadsheets/d/1kGrh75X1cNR1D7_FcY9zMnHP8iPO4M5RCRjy6nZY0TY/edit#gid=1248694442"",""Table 2: MMC!W5:W114""), $A40=IMPORTRANGE(""https://docs.google.com/spreadsheets/d/1kGrh75X1cNR1D7_FcY9zMnHP8iPO4M5RCRjy6"&amp;"nZY0TY/edit#gid=1248694442"",""Table 2: MMC!A5:A114"")),"""")"),"")</f>
        <v/>
      </c>
    </row>
    <row r="41">
      <c r="A41" s="4" t="str">
        <f>IFERROR(__xludf.DUMMYFUNCTION("""COMPUTED_VALUE"""),"ID 83")</f>
        <v>ID 83</v>
      </c>
      <c r="B41" s="20">
        <f>IFERROR(__xludf.DUMMYFUNCTION("IFNA(FILTER(IMPORTRANGE(""https://docs.google.com/spreadsheets/d/1kGrh75X1cNR1D7_FcY9zMnHP8iPO4M5RCRjy6nZY0TY/edit#gid=1248694442"",""Table 3: 1st-line HC!BK5:BK111""), $A41=IMPORTRANGE(""https://docs.google.com/spreadsheets/d/1kGrh75X1cNR1D7_FcY9zMnHP8iP"&amp;"O4M5RCRjy6nZY0TY/edit#gid=1248694442"",""Table 3: 1st-line HC!A5:A111"")),"""")"),0.8709677419354839)</f>
        <v>0.8709677419</v>
      </c>
      <c r="C41" s="20">
        <f>IFERROR(__xludf.DUMMYFUNCTION("IFNA(FILTER(IMPORTRANGE(""https://docs.google.com/spreadsheets/d/1kGrh75X1cNR1D7_FcY9zMnHP8iPO4M5RCRjy6nZY0TY/edit#gid=1248694442"",""Subgroup 1: Fr ~ Tx!B3:B20""), $A41=IMPORTRANGE(""https://docs.google.com/spreadsheets/d/1kGrh75X1cNR1D7_FcY9zMnHP8iPO4M5"&amp;"RCRjy6nZY0TY/edit#gid=1248694442"",""Subgroup 1: Fr ~ Tx!A3:A20"")),"""")"),1.0)</f>
        <v>1</v>
      </c>
      <c r="D41" s="20">
        <f>IFERROR(__xludf.DUMMYFUNCTION("IFNA(FILTER(IMPORTRANGE(""https://docs.google.com/spreadsheets/d/1kGrh75X1cNR1D7_FcY9zMnHP8iPO4M5RCRjy6nZY0TY/edit#gid=1248694442"",""Subgroup 1: Fr ~ Tx!C3:C20""), $A41=IMPORTRANGE(""https://docs.google.com/spreadsheets/d/1kGrh75X1cNR1D7_FcY9zMnHP8iPO4M5"&amp;"RCRjy6nZY0TY/edit#gid=1248694442"",""Subgroup 1: Fr ~ Tx!A3:A20"")),"""")"),0.8588235294117647)</f>
        <v>0.8588235294</v>
      </c>
      <c r="E41" s="20" t="str">
        <f>IFERROR(__xludf.DUMMYFUNCTION("IFNA(FILTER(IMPORTRANGE(""https://docs.google.com/spreadsheets/d/1kGrh75X1cNR1D7_FcY9zMnHP8iPO4M5RCRjy6nZY0TY/edit#gid=1248694442"",""Subgroup 1: Fr ~ Tx!D3:D20""), $A41=IMPORTRANGE(""https://docs.google.com/spreadsheets/d/1kGrh75X1cNR1D7_FcY9zMnHP8iPO4M5"&amp;"RCRjy6nZY0TY/edit#gid=1248694442"",""Subgroup 1: Fr ~ Tx!A3:A20"")),"""")"),"")</f>
        <v/>
      </c>
      <c r="F41" s="20" t="str">
        <f>IFERROR(__xludf.DUMMYFUNCTION("IFNA(FILTER(IMPORTRANGE(""https://docs.google.com/spreadsheets/d/1kGrh75X1cNR1D7_FcY9zMnHP8iPO4M5RCRjy6nZY0TY/edit#gid=1248694442"",""Subgroup 1: Fr ~ Tx!E3:E20""), $A41=IMPORTRANGE(""https://docs.google.com/spreadsheets/d/1kGrh75X1cNR1D7_FcY9zMnHP8iPO4M5"&amp;"RCRjy6nZY0TY/edit#gid=1248694442"",""Subgroup 1: Fr ~ Tx!A3:A20"")),"""")"),"")</f>
        <v/>
      </c>
      <c r="G41" s="20" t="str">
        <f>IFERROR(__xludf.DUMMYFUNCTION("IFNA(FILTER(IMPORTRANGE(""https://docs.google.com/spreadsheets/d/1kGrh75X1cNR1D7_FcY9zMnHP8iPO4M5RCRjy6nZY0TY/edit#gid=1248694442"",""Subgroup 1: Fr ~ Tx!F3:F20""), $A41=IMPORTRANGE(""https://docs.google.com/spreadsheets/d/1kGrh75X1cNR1D7_FcY9zMnHP8iPO4M5"&amp;"RCRjy6nZY0TY/edit#gid=1248694442"",""Subgroup 1: Fr ~ Tx!A3:A20"")),"""")"),"")</f>
        <v/>
      </c>
      <c r="H41" s="20" t="str">
        <f>IFERROR(__xludf.DUMMYFUNCTION("IFNA(FILTER(IMPORTRANGE(""https://docs.google.com/spreadsheets/d/1kGrh75X1cNR1D7_FcY9zMnHP8iPO4M5RCRjy6nZY0TY/edit#gid=1248694442"",""Table 3: 1st-line HC!BD5:BD111""), $A41=IMPORTRANGE(""https://docs.google.com/spreadsheets/d/1kGrh75X1cNR1D7_FcY9zMnHP8iP"&amp;"O4M5RCRjy6nZY0TY/edit#gid=1248694442"",""Table 3: 1st-line HC!A5:A111"")),"""")"),"")</f>
        <v/>
      </c>
      <c r="I41" s="20" t="str">
        <f>IFERROR(__xludf.DUMMYFUNCTION("IFNA(FILTER(IMPORTRANGE(""https://docs.google.com/spreadsheets/d/1kGrh75X1cNR1D7_FcY9zMnHP8iPO4M5RCRjy6nZY0TY/edit#gid=1248694442"",""Subgroup 5: Tf ~ Tx!B3:B8""), $A41=IMPORTRANGE(""https://docs.google.com/spreadsheets/d/1kGrh75X1cNR1D7_FcY9zMnHP8iPO4M5R"&amp;"CRjy6nZY0TY/edit#gid=1248694442"",""Subgroup 5: Tf ~ Tx!A3:A8"")),"""")"),"")</f>
        <v/>
      </c>
      <c r="J41" s="20" t="str">
        <f>IFERROR(__xludf.DUMMYFUNCTION("IFNA(FILTER(IMPORTRANGE(""https://docs.google.com/spreadsheets/d/1kGrh75X1cNR1D7_FcY9zMnHP8iPO4M5RCRjy6nZY0TY/edit#gid=1248694442"",""Subgroup 5: Tf ~ Tx!C3:C8""), $A41=IMPORTRANGE(""https://docs.google.com/spreadsheets/d/1kGrh75X1cNR1D7_FcY9zMnHP8iPO4M5R"&amp;"CRjy6nZY0TY/edit#gid=1248694442"",""Subgroup 5: Tf ~ Tx!A3:A8"")),"""")"),"")</f>
        <v/>
      </c>
      <c r="K41" s="20" t="str">
        <f>IFERROR(__xludf.DUMMYFUNCTION("IFNA(FILTER(IMPORTRANGE(""https://docs.google.com/spreadsheets/d/1kGrh75X1cNR1D7_FcY9zMnHP8iPO4M5RCRjy6nZY0TY/edit#gid=1248694442"",""Subgroup 5: Tf ~ Tx!D3:D8""), $A41=IMPORTRANGE(""https://docs.google.com/spreadsheets/d/1kGrh75X1cNR1D7_FcY9zMnHP8iPO4M5R"&amp;"CRjy6nZY0TY/edit#gid=1248694442"",""Subgroup 5: Tf ~ Tx!A3:A8"")),"""")"),"")</f>
        <v/>
      </c>
      <c r="L41" s="20" t="str">
        <f>IFERROR(__xludf.DUMMYFUNCTION("IFNA(FILTER(IMPORTRANGE(""https://docs.google.com/spreadsheets/d/1kGrh75X1cNR1D7_FcY9zMnHP8iPO4M5RCRjy6nZY0TY/edit#gid=1248694442"",""Subgroup 5: Tf ~ Tx!E3:E8""), $A41=IMPORTRANGE(""https://docs.google.com/spreadsheets/d/1kGrh75X1cNR1D7_FcY9zMnHP8iPO4M5R"&amp;"CRjy6nZY0TY/edit#gid=1248694442"",""Subgroup 5: Tf ~ Tx!A3:A8"")),"""")"),"")</f>
        <v/>
      </c>
      <c r="M41" s="20" t="str">
        <f>IFERROR(__xludf.DUMMYFUNCTION("IFNA(FILTER(IMPORTRANGE(""https://docs.google.com/spreadsheets/d/1kGrh75X1cNR1D7_FcY9zMnHP8iPO4M5RCRjy6nZY0TY/edit#gid=1248694442"",""Subgroup 5: Tf ~ Tx!F3:F8""), $A41=IMPORTRANGE(""https://docs.google.com/spreadsheets/d/1kGrh75X1cNR1D7_FcY9zMnHP8iPO4M5R"&amp;"CRjy6nZY0TY/edit#gid=1248694442"",""Subgroup 5: Tf ~ Tx!A3:A8"")),"""")"),"")</f>
        <v/>
      </c>
      <c r="N41" s="20" t="str">
        <f>IFERROR(__xludf.DUMMYFUNCTION("IFNA(FILTER(IMPORTRANGE(""https://docs.google.com/spreadsheets/d/1kGrh75X1cNR1D7_FcY9zMnHP8iPO4M5RCRjy6nZY0TY/edit#gid=1248694442"",""Table 3: 1st-line HC!BE5:BE111""), $A41=IMPORTRANGE(""https://docs.google.com/spreadsheets/d/1kGrh75X1cNR1D7_FcY9zMnHP8iP"&amp;"O4M5RCRjy6nZY0TY/edit#gid=1248694442"",""Table 3: 1st-line HC!A5:A111"")),"""")"),"")</f>
        <v/>
      </c>
      <c r="O41" s="20" t="str">
        <f>IFERROR(__xludf.DUMMYFUNCTION("IFNA(FILTER(IMPORTRANGE(""https://docs.google.com/spreadsheets/d/1kGrh75X1cNR1D7_FcY9zMnHP8iPO4M5RCRjy6nZY0TY/edit#gid=1248694442"",""Table 3: 1st-line HC!BF5:BF111""), $A41=IMPORTRANGE(""https://docs.google.com/spreadsheets/d/1kGrh75X1cNR1D7_FcY9zMnHP8iP"&amp;"O4M5RCRjy6nZY0TY/edit#gid=1248694442"",""Table 3: 1st-line HC!A5:A111"")),"""")"),"")</f>
        <v/>
      </c>
      <c r="P41" s="20" t="str">
        <f>IFERROR(__xludf.DUMMYFUNCTION("IFNA(FILTER(IMPORTRANGE(""https://docs.google.com/spreadsheets/d/1kGrh75X1cNR1D7_FcY9zMnHP8iPO4M5RCRjy6nZY0TY/edit#gid=1248694442"",""Table 3: 1st-line HC!BG5:BG111""), $A41=IMPORTRANGE(""https://docs.google.com/spreadsheets/d/1kGrh75X1cNR1D7_FcY9zMnHP8iP"&amp;"O4M5RCRjy6nZY0TY/edit#gid=1248694442"",""Table 3: 1st-line HC!A5:A111"")),"""")"),"")</f>
        <v/>
      </c>
      <c r="Q41" s="21" t="str">
        <f>IFERROR(__xludf.DUMMYFUNCTION("IFNA(FILTER(IMPORTRANGE(""https://docs.google.com/spreadsheets/d/1kGrh75X1cNR1D7_FcY9zMnHP8iPO4M5RCRjy6nZY0TY/edit#gid=1248694442"",""Table 3: 1st-line HC!BH5:BH111""), $A41=IMPORTRANGE(""https://docs.google.com/spreadsheets/d/1kGrh75X1cNR1D7_FcY9zMnHP8iP"&amp;"O4M5RCRjy6nZY0TY/edit#gid=1248694442"",""Table 3: 1st-line HC!A5:A111"")),"""")"),"")</f>
        <v/>
      </c>
      <c r="R41" s="19" t="str">
        <f>IFERROR(__xludf.DUMMYFUNCTION("IFNA(FILTER(IMPORTRANGE(""https://docs.google.com/spreadsheets/d/1kGrh75X1cNR1D7_FcY9zMnHP8iPO4M5RCRjy6nZY0TY/edit#gid=1248694442"",""Table 3: 1st-line HC!AJ5:AJ111""), $A41=IMPORTRANGE(""https://docs.google.com/spreadsheets/d/1kGrh75X1cNR1D7_FcY9zMnHP8iP"&amp;"O4M5RCRjy6nZY0TY/edit#gid=1248694442"",""Table 3: 1st-line HC!A5:A111"")),"""")"),"")</f>
        <v/>
      </c>
      <c r="S41" s="20" t="str">
        <f>IFERROR(__xludf.DUMMYFUNCTION("IFNA(FILTER(IMPORTRANGE(""https://docs.google.com/spreadsheets/d/1kGrh75X1cNR1D7_FcY9zMnHP8iPO4M5RCRjy6nZY0TY/edit#gid=1248694442"",""Subgroup 3: Mi ~ Tx!B3:B17""), $A41=IMPORTRANGE(""https://docs.google.com/spreadsheets/d/1kGrh75X1cNR1D7_FcY9zMnHP8iPO4M5"&amp;"RCRjy6nZY0TY/edit#gid=1248694442"",""Subgroup 3: Mi ~ Tx!A3:A17"")),"""")"),"")</f>
        <v/>
      </c>
      <c r="T41" s="20" t="str">
        <f>IFERROR(__xludf.DUMMYFUNCTION("IFNA(FILTER(IMPORTRANGE(""https://docs.google.com/spreadsheets/d/1kGrh75X1cNR1D7_FcY9zMnHP8iPO4M5RCRjy6nZY0TY/edit#gid=1248694442"",""Subgroup 3: Mi ~ Tx!C3:C17""), $A41=IMPORTRANGE(""https://docs.google.com/spreadsheets/d/1kGrh75X1cNR1D7_FcY9zMnHP8iPO4M5"&amp;"RCRjy6nZY0TY/edit#gid=1248694442"",""Subgroup 3: Mi ~ Tx!A3:A17"")),"""")"),"")</f>
        <v/>
      </c>
      <c r="U41" s="20" t="str">
        <f>IFERROR(__xludf.DUMMYFUNCTION("IFNA(FILTER(IMPORTRANGE(""https://docs.google.com/spreadsheets/d/1kGrh75X1cNR1D7_FcY9zMnHP8iPO4M5RCRjy6nZY0TY/edit#gid=1248694442"",""Subgroup 3: Mi ~ Tx!D3:D17""), $A41=IMPORTRANGE(""https://docs.google.com/spreadsheets/d/1kGrh75X1cNR1D7_FcY9zMnHP8iPO4M5"&amp;"RCRjy6nZY0TY/edit#gid=1248694442"",""Subgroup 3: Mi ~ Tx!A3:A17"")),"""")"),"")</f>
        <v/>
      </c>
      <c r="V41" s="20" t="str">
        <f>IFERROR(__xludf.DUMMYFUNCTION("IFNA(FILTER(IMPORTRANGE(""https://docs.google.com/spreadsheets/d/1kGrh75X1cNR1D7_FcY9zMnHP8iPO4M5RCRjy6nZY0TY/edit#gid=1248694442"",""Subgroup 3: Mi ~ Tx!E3:E17""), $A41=IMPORTRANGE(""https://docs.google.com/spreadsheets/d/1kGrh75X1cNR1D7_FcY9zMnHP8iPO4M5"&amp;"RCRjy6nZY0TY/edit#gid=1248694442"",""Subgroup 3: Mi ~ Tx!A3:A17"")),"""")"),"")</f>
        <v/>
      </c>
      <c r="W41" s="20" t="str">
        <f>IFERROR(__xludf.DUMMYFUNCTION("IFNA(FILTER(IMPORTRANGE(""https://docs.google.com/spreadsheets/d/1kGrh75X1cNR1D7_FcY9zMnHP8iPO4M5RCRjy6nZY0TY/edit#gid=1248694442"",""Subgroup 3: Mi ~ Tx!F3:F17""), $A41=IMPORTRANGE(""https://docs.google.com/spreadsheets/d/1kGrh75X1cNR1D7_FcY9zMnHP8iPO4M5"&amp;"RCRjy6nZY0TY/edit#gid=1248694442"",""Subgroup 3: Mi ~ Tx!A3:A17"")),"""")"),"")</f>
        <v/>
      </c>
      <c r="X41" s="19" t="str">
        <f>IFERROR(__xludf.DUMMYFUNCTION("IFNA(FILTER(IMPORTRANGE(""https://docs.google.com/spreadsheets/d/1kGrh75X1cNR1D7_FcY9zMnHP8iPO4M5RCRjy6nZY0TY/edit#gid=1248694442"",""Table 3: 1st-line HC!AK5:AK111""), $A41=IMPORTRANGE(""https://docs.google.com/spreadsheets/d/1kGrh75X1cNR1D7_FcY9zMnHP8iP"&amp;"O4M5RCRjy6nZY0TY/edit#gid=1248694442"",""Table 3: 1st-line HC!A5:A111"")),"""")"),"")</f>
        <v/>
      </c>
      <c r="Y41" s="20" t="str">
        <f>IFERROR(__xludf.DUMMYFUNCTION("IFNA(FILTER(IMPORTRANGE(""https://docs.google.com/spreadsheets/d/1kGrh75X1cNR1D7_FcY9zMnHP8iPO4M5RCRjy6nZY0TY/edit#gid=1248694442"",""Subgroup 4: Mp ~ Tx!B3:B20""), $A41=IMPORTRANGE(""https://docs.google.com/spreadsheets/d/1kGrh75X1cNR1D7_FcY9zMnHP8iPO4M5"&amp;"RCRjy6nZY0TY/edit#gid=1248694442"",""Subgroup 4: Mp ~ Tx!A3:A20"")),"""")"),"")</f>
        <v/>
      </c>
      <c r="Z41" s="20" t="str">
        <f>IFERROR(__xludf.DUMMYFUNCTION("IFNA(FILTER(IMPORTRANGE(""https://docs.google.com/spreadsheets/d/1kGrh75X1cNR1D7_FcY9zMnHP8iPO4M5RCRjy6nZY0TY/edit#gid=1248694442"",""Subgroup 4: Mp ~ Tx!C3:C20""), $A41=IMPORTRANGE(""https://docs.google.com/spreadsheets/d/1kGrh75X1cNR1D7_FcY9zMnHP8iPO4M5"&amp;"RCRjy6nZY0TY/edit#gid=1248694442"",""Subgroup 4: Mp ~ Tx!A3:A20"")),"""")"),"")</f>
        <v/>
      </c>
      <c r="AA41" s="20" t="str">
        <f>IFERROR(__xludf.DUMMYFUNCTION("IFNA(FILTER(IMPORTRANGE(""https://docs.google.com/spreadsheets/d/1kGrh75X1cNR1D7_FcY9zMnHP8iPO4M5RCRjy6nZY0TY/edit#gid=1248694442"",""Subgroup 4: Mp ~ Tx!D3:D20""), $A41=IMPORTRANGE(""https://docs.google.com/spreadsheets/d/1kGrh75X1cNR1D7_FcY9zMnHP8iPO4M5"&amp;"RCRjy6nZY0TY/edit#gid=1248694442"",""Subgroup 4: Mp ~ Tx!A3:A20"")),"""")"),"")</f>
        <v/>
      </c>
      <c r="AB41" s="20" t="str">
        <f>IFERROR(__xludf.DUMMYFUNCTION("IFNA(FILTER(IMPORTRANGE(""https://docs.google.com/spreadsheets/d/1kGrh75X1cNR1D7_FcY9zMnHP8iPO4M5RCRjy6nZY0TY/edit#gid=1248694442"",""Subgroup 4: Mp ~ Tx!E3:E20""), $A41=IMPORTRANGE(""https://docs.google.com/spreadsheets/d/1kGrh75X1cNR1D7_FcY9zMnHP8iPO4M5"&amp;"RCRjy6nZY0TY/edit#gid=1248694442"",""Subgroup 4: Mp ~ Tx!A3:A20"")),"""")"),"")</f>
        <v/>
      </c>
      <c r="AC41" s="20" t="str">
        <f>IFERROR(__xludf.DUMMYFUNCTION("IFNA(FILTER(IMPORTRANGE(""https://docs.google.com/spreadsheets/d/1kGrh75X1cNR1D7_FcY9zMnHP8iPO4M5RCRjy6nZY0TY/edit#gid=1248694442"",""Subgroup 4: Mp ~ Tx!F3:F20""), $A41=IMPORTRANGE(""https://docs.google.com/spreadsheets/d/1kGrh75X1cNR1D7_FcY9zMnHP8iPO4M5"&amp;"RCRjy6nZY0TY/edit#gid=1248694442"",""Subgroup 4: Mp ~ Tx!A3:A20"")),"""")"),"")</f>
        <v/>
      </c>
      <c r="AD41" s="22" t="str">
        <f>IFERROR(__xludf.DUMMYFUNCTION("IFNA(FILTER(IMPORTRANGE(""https://docs.google.com/spreadsheets/d/1kGrh75X1cNR1D7_FcY9zMnHP8iPO4M5RCRjy6nZY0TY/edit#gid=1248694442"",""Table 3: 1st-line HC!AL5:AL111""), $A41=IMPORTRANGE(""https://docs.google.com/spreadsheets/d/1kGrh75X1cNR1D7_FcY9zMnHP8iP"&amp;"O4M5RCRjy6nZY0TY/edit#gid=1248694442"",""Table 3: 1st-line HC!A5:A111"")),"""")"),"")</f>
        <v/>
      </c>
      <c r="AE41" s="20">
        <f>IFERROR(__xludf.DUMMYFUNCTION("IFNA(FILTER(IMPORTRANGE(""https://docs.google.com/spreadsheets/d/1kGrh75X1cNR1D7_FcY9zMnHP8iPO4M5RCRjy6nZY0TY/edit#gid=1248694442"",""Table 3: 1st-line HC!BJ5:BJ111""), $A41=IMPORTRANGE(""https://docs.google.com/spreadsheets/d/1kGrh75X1cNR1D7_FcY9zMnHP8iP"&amp;"O4M5RCRjy6nZY0TY/edit#gid=1248694442"",""Table 3: 1st-line HC!A5:A111"")),"""")"),0.86)</f>
        <v>0.86</v>
      </c>
      <c r="AF41" s="20" t="str">
        <f>IFERROR(__xludf.DUMMYFUNCTION("IFNA(FILTER(IMPORTRANGE(""https://docs.google.com/spreadsheets/d/1kGrh75X1cNR1D7_FcY9zMnHP8iPO4M5RCRjy6nZY0TY/edit#gid=1248694442"",""Subgroup 2: Cr ~ Tx!B3:B23""), $A41=IMPORTRANGE(""https://docs.google.com/spreadsheets/d/1kGrh75X1cNR1D7_FcY9zMnHP8iPO4M5"&amp;"RCRjy6nZY0TY/edit#gid=1248694442"",""Subgroup 2: Cr ~ Tx!A3:A23"")),"""")"),"")</f>
        <v/>
      </c>
      <c r="AG41" s="20" t="str">
        <f>IFERROR(__xludf.DUMMYFUNCTION("IFNA(FILTER(IMPORTRANGE(""https://docs.google.com/spreadsheets/d/1kGrh75X1cNR1D7_FcY9zMnHP8iPO4M5RCRjy6nZY0TY/edit#gid=1248694442"",""Subgroup 2: Cr ~ Tx!C3:C23""), $A41=IMPORTRANGE(""https://docs.google.com/spreadsheets/d/1kGrh75X1cNR1D7_FcY9zMnHP8iPO4M5"&amp;"RCRjy6nZY0TY/edit#gid=1248694442"",""Subgroup 2: Cr ~ Tx!A3:A23"")),"""")"),"")</f>
        <v/>
      </c>
      <c r="AH41" s="20" t="str">
        <f>IFERROR(__xludf.DUMMYFUNCTION("IFNA(FILTER(IMPORTRANGE(""https://docs.google.com/spreadsheets/d/1kGrh75X1cNR1D7_FcY9zMnHP8iPO4M5RCRjy6nZY0TY/edit#gid=1248694442"",""Subgroup 2: Cr ~ Tx!D3:D23""), $A41=IMPORTRANGE(""https://docs.google.com/spreadsheets/d/1kGrh75X1cNR1D7_FcY9zMnHP8iPO4M5"&amp;"RCRjy6nZY0TY/edit#gid=1248694442"",""Subgroup 2: Cr ~ Tx!A3:A23"")),"""")"),"")</f>
        <v/>
      </c>
      <c r="AI41" s="20" t="str">
        <f>IFERROR(__xludf.DUMMYFUNCTION("IFNA(FILTER(IMPORTRANGE(""https://docs.google.com/spreadsheets/d/1kGrh75X1cNR1D7_FcY9zMnHP8iPO4M5RCRjy6nZY0TY/edit#gid=1248694442"",""Subgroup 2: Cr ~ Tx!E3:E23""), $A41=IMPORTRANGE(""https://docs.google.com/spreadsheets/d/1kGrh75X1cNR1D7_FcY9zMnHP8iPO4M5"&amp;"RCRjy6nZY0TY/edit#gid=1248694442"",""Subgroup 2: Cr ~ Tx!A3:A23"")),"""")"),"")</f>
        <v/>
      </c>
      <c r="AJ41" s="20" t="str">
        <f>IFERROR(__xludf.DUMMYFUNCTION("IFNA(FILTER(IMPORTRANGE(""https://docs.google.com/spreadsheets/d/1kGrh75X1cNR1D7_FcY9zMnHP8iPO4M5RCRjy6nZY0TY/edit#gid=1248694442"",""Subgroup 2: Cr ~ Tx!F3:F23""), $A41=IMPORTRANGE(""https://docs.google.com/spreadsheets/d/1kGrh75X1cNR1D7_FcY9zMnHP8iPO4M5"&amp;"RCRjy6nZY0TY/edit#gid=1248694442"",""Subgroup 2: Cr ~ Tx!A3:A23"")),"""")"),"")</f>
        <v/>
      </c>
      <c r="AK41" s="14" t="str">
        <f>IFERROR(__xludf.DUMMYFUNCTION("IFNA(FILTER(IMPORTRANGE(""https://docs.google.com/spreadsheets/d/1kGrh75X1cNR1D7_FcY9zMnHP8iPO4M5RCRjy6nZY0TY/edit#gid=1248694442"",""Table 4: 2nd-line HC or more!M5:M85""), $A41=IMPORTRANGE(""https://docs.google.com/spreadsheets/d/1kGrh75X1cNR1D7_FcY9zMn"&amp;"HP8iPO4M5RCRjy6nZY0TY/edit#gid=1248694442"",""Table 4: 2nd-line HC or more!A5:A85"")),"""")"),"")</f>
        <v/>
      </c>
      <c r="AL41" s="14" t="str">
        <f>IFERROR(__xludf.DUMMYFUNCTION("IFNA(FILTER(IMPORTRANGE(""https://docs.google.com/spreadsheets/d/1kGrh75X1cNR1D7_FcY9zMnHP8iPO4M5RCRjy6nZY0TY/edit#gid=1248694442"",""Table 4: 2nd-line HC or more!N5:N85""), $A41=IMPORTRANGE(""https://docs.google.com/spreadsheets/d/1kGrh75X1cNR1D7_FcY9zMn"&amp;"HP8iPO4M5RCRjy6nZY0TY/edit#gid=1248694442"",""Table 4: 2nd-line HC or more!A5:A85"")),"""")"),"")</f>
        <v/>
      </c>
      <c r="AM41" s="14" t="str">
        <f>IFERROR(__xludf.DUMMYFUNCTION("IFNA(FILTER(IMPORTRANGE(""https://docs.google.com/spreadsheets/d/1kGrh75X1cNR1D7_FcY9zMnHP8iPO4M5RCRjy6nZY0TY/edit#gid=1248694442"",""Table 4: 2nd-line HC or more!O5:O85""), $A41=IMPORTRANGE(""https://docs.google.com/spreadsheets/d/1kGrh75X1cNR1D7_FcY9zMn"&amp;"HP8iPO4M5RCRjy6nZY0TY/edit#gid=1248694442"",""Table 4: 2nd-line HC or more!A5:A85"")),"""")"),"")</f>
        <v/>
      </c>
      <c r="AN41" s="14" t="str">
        <f>IFERROR(__xludf.DUMMYFUNCTION("IFNA(FILTER(IMPORTRANGE(""https://docs.google.com/spreadsheets/d/1kGrh75X1cNR1D7_FcY9zMnHP8iPO4M5RCRjy6nZY0TY/edit#gid=1248694442"",""Table 3: 1st-line HC!AP5:AP111""), $A41=IMPORTRANGE(""https://docs.google.com/spreadsheets/d/1kGrh75X1cNR1D7_FcY9zMnHP8iP"&amp;"O4M5RCRjy6nZY0TY/edit#gid=1248694442"",""Table 3: 1st-line HC!A5:A111"")),"""")"),"")</f>
        <v/>
      </c>
      <c r="AO41" s="14" t="str">
        <f>IFERROR(__xludf.DUMMYFUNCTION("IFNA(FILTER(IMPORTRANGE(""https://docs.google.com/spreadsheets/d/1kGrh75X1cNR1D7_FcY9zMnHP8iPO4M5RCRjy6nZY0TY/edit#gid=1248694442"",""Table 3: 1st-line HC!AO5:AO111""), $A41=IMPORTRANGE(""https://docs.google.com/spreadsheets/d/1kGrh75X1cNR1D7_FcY9zMnHP8iP"&amp;"O4M5RCRjy6nZY0TY/edit#gid=1248694442"",""Table 3: 1st-line HC!A5:A111"")),"""")"),"")</f>
        <v/>
      </c>
      <c r="AP41" s="14" t="str">
        <f>IFERROR(__xludf.DUMMYFUNCTION("IFNA(FILTER(IMPORTRANGE(""https://docs.google.com/spreadsheets/d/1kGrh75X1cNR1D7_FcY9zMnHP8iPO4M5RCRjy6nZY0TY/edit#gid=1248694442"",""Table 3: 1st-line HC!AQ5:AQ111""), $A41=IMPORTRANGE(""https://docs.google.com/spreadsheets/d/1kGrh75X1cNR1D7_FcY9zMnHP8iP"&amp;"O4M5RCRjy6nZY0TY/edit#gid=1248694442"",""Table 3: 1st-line HC!A5:A111"")),"""")"),"")</f>
        <v/>
      </c>
      <c r="AQ41" s="14" t="str">
        <f>IFERROR(__xludf.DUMMYFUNCTION("IFNA(FILTER(IMPORTRANGE(""https://docs.google.com/spreadsheets/d/1kGrh75X1cNR1D7_FcY9zMnHP8iPO4M5RCRjy6nZY0TY/edit#gid=1248694442"",""Table 2: MMC!T5:T114""), $A41=IMPORTRANGE(""https://docs.google.com/spreadsheets/d/1kGrh75X1cNR1D7_FcY9zMnHP8iPO4M5RCRjy6"&amp;"nZY0TY/edit#gid=1248694442"",""Table 2: MMC!A5:A114"")),"""")"),"")</f>
        <v/>
      </c>
      <c r="AR41" s="14" t="str">
        <f>IFERROR(__xludf.DUMMYFUNCTION("IFNA(FILTER(IMPORTRANGE(""https://docs.google.com/spreadsheets/d/1kGrh75X1cNR1D7_FcY9zMnHP8iPO4M5RCRjy6nZY0TY/edit#gid=1248694442"",""Table 2: MMC!U5:U114""), $A41=IMPORTRANGE(""https://docs.google.com/spreadsheets/d/1kGrh75X1cNR1D7_FcY9zMnHP8iPO4M5RCRjy6"&amp;"nZY0TY/edit#gid=1248694442"",""Table 2: MMC!A5:A114"")),"""")"),"")</f>
        <v/>
      </c>
      <c r="AS41" s="14" t="str">
        <f>IFERROR(__xludf.DUMMYFUNCTION("IFNA(FILTER(IMPORTRANGE(""https://docs.google.com/spreadsheets/d/1kGrh75X1cNR1D7_FcY9zMnHP8iPO4M5RCRjy6nZY0TY/edit#gid=1248694442"",""Table 2: MMC!V5:V114""), $A41=IMPORTRANGE(""https://docs.google.com/spreadsheets/d/1kGrh75X1cNR1D7_FcY9zMnHP8iPO4M5RCRjy6"&amp;"nZY0TY/edit#gid=1248694442"",""Table 2: MMC!A5:A114"")),"""")"),"")</f>
        <v/>
      </c>
      <c r="AT41" s="4" t="str">
        <f>IFERROR(__xludf.DUMMYFUNCTION("IFNA(FILTER(IMPORTRANGE(""https://docs.google.com/spreadsheets/d/1kGrh75X1cNR1D7_FcY9zMnHP8iPO4M5RCRjy6nZY0TY/edit#gid=1248694442"",""Table 2: MMC!W5:W114""), $A41=IMPORTRANGE(""https://docs.google.com/spreadsheets/d/1kGrh75X1cNR1D7_FcY9zMnHP8iPO4M5RCRjy6"&amp;"nZY0TY/edit#gid=1248694442"",""Table 2: MMC!A5:A114"")),"""")"),"")</f>
        <v/>
      </c>
    </row>
    <row r="42">
      <c r="A42" s="4" t="str">
        <f>IFERROR(__xludf.DUMMYFUNCTION("""COMPUTED_VALUE"""),"ID 84")</f>
        <v>ID 84</v>
      </c>
      <c r="B42" s="20" t="str">
        <f>IFERROR(__xludf.DUMMYFUNCTION("IFNA(FILTER(IMPORTRANGE(""https://docs.google.com/spreadsheets/d/1kGrh75X1cNR1D7_FcY9zMnHP8iPO4M5RCRjy6nZY0TY/edit#gid=1248694442"",""Table 3: 1st-line HC!BK5:BK111""), $A42=IMPORTRANGE(""https://docs.google.com/spreadsheets/d/1kGrh75X1cNR1D7_FcY9zMnHP8iP"&amp;"O4M5RCRjy6nZY0TY/edit#gid=1248694442"",""Table 3: 1st-line HC!A5:A111"")),"""")"),"")</f>
        <v/>
      </c>
      <c r="C42" s="20" t="str">
        <f>IFERROR(__xludf.DUMMYFUNCTION("IFNA(FILTER(IMPORTRANGE(""https://docs.google.com/spreadsheets/d/1kGrh75X1cNR1D7_FcY9zMnHP8iPO4M5RCRjy6nZY0TY/edit#gid=1248694442"",""Subgroup 1: Fr ~ Tx!B3:B20""), $A42=IMPORTRANGE(""https://docs.google.com/spreadsheets/d/1kGrh75X1cNR1D7_FcY9zMnHP8iPO4M5"&amp;"RCRjy6nZY0TY/edit#gid=1248694442"",""Subgroup 1: Fr ~ Tx!A3:A20"")),"""")"),"")</f>
        <v/>
      </c>
      <c r="D42" s="20" t="str">
        <f>IFERROR(__xludf.DUMMYFUNCTION("IFNA(FILTER(IMPORTRANGE(""https://docs.google.com/spreadsheets/d/1kGrh75X1cNR1D7_FcY9zMnHP8iPO4M5RCRjy6nZY0TY/edit#gid=1248694442"",""Subgroup 1: Fr ~ Tx!C3:C20""), $A42=IMPORTRANGE(""https://docs.google.com/spreadsheets/d/1kGrh75X1cNR1D7_FcY9zMnHP8iPO4M5"&amp;"RCRjy6nZY0TY/edit#gid=1248694442"",""Subgroup 1: Fr ~ Tx!A3:A20"")),"""")"),"")</f>
        <v/>
      </c>
      <c r="E42" s="20" t="str">
        <f>IFERROR(__xludf.DUMMYFUNCTION("IFNA(FILTER(IMPORTRANGE(""https://docs.google.com/spreadsheets/d/1kGrh75X1cNR1D7_FcY9zMnHP8iPO4M5RCRjy6nZY0TY/edit#gid=1248694442"",""Subgroup 1: Fr ~ Tx!D3:D20""), $A42=IMPORTRANGE(""https://docs.google.com/spreadsheets/d/1kGrh75X1cNR1D7_FcY9zMnHP8iPO4M5"&amp;"RCRjy6nZY0TY/edit#gid=1248694442"",""Subgroup 1: Fr ~ Tx!A3:A20"")),"""")"),"")</f>
        <v/>
      </c>
      <c r="F42" s="20" t="str">
        <f>IFERROR(__xludf.DUMMYFUNCTION("IFNA(FILTER(IMPORTRANGE(""https://docs.google.com/spreadsheets/d/1kGrh75X1cNR1D7_FcY9zMnHP8iPO4M5RCRjy6nZY0TY/edit#gid=1248694442"",""Subgroup 1: Fr ~ Tx!E3:E20""), $A42=IMPORTRANGE(""https://docs.google.com/spreadsheets/d/1kGrh75X1cNR1D7_FcY9zMnHP8iPO4M5"&amp;"RCRjy6nZY0TY/edit#gid=1248694442"",""Subgroup 1: Fr ~ Tx!A3:A20"")),"""")"),"")</f>
        <v/>
      </c>
      <c r="G42" s="20" t="str">
        <f>IFERROR(__xludf.DUMMYFUNCTION("IFNA(FILTER(IMPORTRANGE(""https://docs.google.com/spreadsheets/d/1kGrh75X1cNR1D7_FcY9zMnHP8iPO4M5RCRjy6nZY0TY/edit#gid=1248694442"",""Subgroup 1: Fr ~ Tx!F3:F20""), $A42=IMPORTRANGE(""https://docs.google.com/spreadsheets/d/1kGrh75X1cNR1D7_FcY9zMnHP8iPO4M5"&amp;"RCRjy6nZY0TY/edit#gid=1248694442"",""Subgroup 1: Fr ~ Tx!A3:A20"")),"""")"),"")</f>
        <v/>
      </c>
      <c r="H42" s="20" t="str">
        <f>IFERROR(__xludf.DUMMYFUNCTION("IFNA(FILTER(IMPORTRANGE(""https://docs.google.com/spreadsheets/d/1kGrh75X1cNR1D7_FcY9zMnHP8iPO4M5RCRjy6nZY0TY/edit#gid=1248694442"",""Table 3: 1st-line HC!BD5:BD111""), $A42=IMPORTRANGE(""https://docs.google.com/spreadsheets/d/1kGrh75X1cNR1D7_FcY9zMnHP8iP"&amp;"O4M5RCRjy6nZY0TY/edit#gid=1248694442"",""Table 3: 1st-line HC!A5:A111"")),"""")"),"")</f>
        <v/>
      </c>
      <c r="I42" s="20" t="str">
        <f>IFERROR(__xludf.DUMMYFUNCTION("IFNA(FILTER(IMPORTRANGE(""https://docs.google.com/spreadsheets/d/1kGrh75X1cNR1D7_FcY9zMnHP8iPO4M5RCRjy6nZY0TY/edit#gid=1248694442"",""Subgroup 5: Tf ~ Tx!B3:B8""), $A42=IMPORTRANGE(""https://docs.google.com/spreadsheets/d/1kGrh75X1cNR1D7_FcY9zMnHP8iPO4M5R"&amp;"CRjy6nZY0TY/edit#gid=1248694442"",""Subgroup 5: Tf ~ Tx!A3:A8"")),"""")"),"")</f>
        <v/>
      </c>
      <c r="J42" s="20" t="str">
        <f>IFERROR(__xludf.DUMMYFUNCTION("IFNA(FILTER(IMPORTRANGE(""https://docs.google.com/spreadsheets/d/1kGrh75X1cNR1D7_FcY9zMnHP8iPO4M5RCRjy6nZY0TY/edit#gid=1248694442"",""Subgroup 5: Tf ~ Tx!C3:C8""), $A42=IMPORTRANGE(""https://docs.google.com/spreadsheets/d/1kGrh75X1cNR1D7_FcY9zMnHP8iPO4M5R"&amp;"CRjy6nZY0TY/edit#gid=1248694442"",""Subgroup 5: Tf ~ Tx!A3:A8"")),"""")"),"")</f>
        <v/>
      </c>
      <c r="K42" s="20" t="str">
        <f>IFERROR(__xludf.DUMMYFUNCTION("IFNA(FILTER(IMPORTRANGE(""https://docs.google.com/spreadsheets/d/1kGrh75X1cNR1D7_FcY9zMnHP8iPO4M5RCRjy6nZY0TY/edit#gid=1248694442"",""Subgroup 5: Tf ~ Tx!D3:D8""), $A42=IMPORTRANGE(""https://docs.google.com/spreadsheets/d/1kGrh75X1cNR1D7_FcY9zMnHP8iPO4M5R"&amp;"CRjy6nZY0TY/edit#gid=1248694442"",""Subgroup 5: Tf ~ Tx!A3:A8"")),"""")"),"")</f>
        <v/>
      </c>
      <c r="L42" s="20" t="str">
        <f>IFERROR(__xludf.DUMMYFUNCTION("IFNA(FILTER(IMPORTRANGE(""https://docs.google.com/spreadsheets/d/1kGrh75X1cNR1D7_FcY9zMnHP8iPO4M5RCRjy6nZY0TY/edit#gid=1248694442"",""Subgroup 5: Tf ~ Tx!E3:E8""), $A42=IMPORTRANGE(""https://docs.google.com/spreadsheets/d/1kGrh75X1cNR1D7_FcY9zMnHP8iPO4M5R"&amp;"CRjy6nZY0TY/edit#gid=1248694442"",""Subgroup 5: Tf ~ Tx!A3:A8"")),"""")"),"")</f>
        <v/>
      </c>
      <c r="M42" s="20" t="str">
        <f>IFERROR(__xludf.DUMMYFUNCTION("IFNA(FILTER(IMPORTRANGE(""https://docs.google.com/spreadsheets/d/1kGrh75X1cNR1D7_FcY9zMnHP8iPO4M5RCRjy6nZY0TY/edit#gid=1248694442"",""Subgroup 5: Tf ~ Tx!F3:F8""), $A42=IMPORTRANGE(""https://docs.google.com/spreadsheets/d/1kGrh75X1cNR1D7_FcY9zMnHP8iPO4M5R"&amp;"CRjy6nZY0TY/edit#gid=1248694442"",""Subgroup 5: Tf ~ Tx!A3:A8"")),"""")"),"")</f>
        <v/>
      </c>
      <c r="N42" s="20">
        <f>IFERROR(__xludf.DUMMYFUNCTION("IFNA(FILTER(IMPORTRANGE(""https://docs.google.com/spreadsheets/d/1kGrh75X1cNR1D7_FcY9zMnHP8iPO4M5RCRjy6nZY0TY/edit#gid=1248694442"",""Table 3: 1st-line HC!BE5:BE111""), $A42=IMPORTRANGE(""https://docs.google.com/spreadsheets/d/1kGrh75X1cNR1D7_FcY9zMnHP8iP"&amp;"O4M5RCRjy6nZY0TY/edit#gid=1248694442"",""Table 3: 1st-line HC!A5:A111"")),"""")"),43.3)</f>
        <v>43.3</v>
      </c>
      <c r="O42" s="20" t="str">
        <f>IFERROR(__xludf.DUMMYFUNCTION("IFNA(FILTER(IMPORTRANGE(""https://docs.google.com/spreadsheets/d/1kGrh75X1cNR1D7_FcY9zMnHP8iPO4M5RCRjy6nZY0TY/edit#gid=1248694442"",""Table 3: 1st-line HC!BF5:BF111""), $A42=IMPORTRANGE(""https://docs.google.com/spreadsheets/d/1kGrh75X1cNR1D7_FcY9zMnHP8iP"&amp;"O4M5RCRjy6nZY0TY/edit#gid=1248694442"",""Table 3: 1st-line HC!A5:A111"")),"""")"),"")</f>
        <v/>
      </c>
      <c r="P42" s="20" t="str">
        <f>IFERROR(__xludf.DUMMYFUNCTION("IFNA(FILTER(IMPORTRANGE(""https://docs.google.com/spreadsheets/d/1kGrh75X1cNR1D7_FcY9zMnHP8iPO4M5RCRjy6nZY0TY/edit#gid=1248694442"",""Table 3: 1st-line HC!BG5:BG111""), $A42=IMPORTRANGE(""https://docs.google.com/spreadsheets/d/1kGrh75X1cNR1D7_FcY9zMnHP8iP"&amp;"O4M5RCRjy6nZY0TY/edit#gid=1248694442"",""Table 3: 1st-line HC!A5:A111"")),"""")"),"")</f>
        <v/>
      </c>
      <c r="Q42" s="21" t="str">
        <f>IFERROR(__xludf.DUMMYFUNCTION("IFNA(FILTER(IMPORTRANGE(""https://docs.google.com/spreadsheets/d/1kGrh75X1cNR1D7_FcY9zMnHP8iPO4M5RCRjy6nZY0TY/edit#gid=1248694442"",""Table 3: 1st-line HC!BH5:BH111""), $A42=IMPORTRANGE(""https://docs.google.com/spreadsheets/d/1kGrh75X1cNR1D7_FcY9zMnHP8iP"&amp;"O4M5RCRjy6nZY0TY/edit#gid=1248694442"",""Table 3: 1st-line HC!A5:A111"")),"""")"),"")</f>
        <v/>
      </c>
      <c r="R42" s="19" t="str">
        <f>IFERROR(__xludf.DUMMYFUNCTION("IFNA(FILTER(IMPORTRANGE(""https://docs.google.com/spreadsheets/d/1kGrh75X1cNR1D7_FcY9zMnHP8iPO4M5RCRjy6nZY0TY/edit#gid=1248694442"",""Table 3: 1st-line HC!AJ5:AJ111""), $A42=IMPORTRANGE(""https://docs.google.com/spreadsheets/d/1kGrh75X1cNR1D7_FcY9zMnHP8iP"&amp;"O4M5RCRjy6nZY0TY/edit#gid=1248694442"",""Table 3: 1st-line HC!A5:A111"")),"""")"),"")</f>
        <v/>
      </c>
      <c r="S42" s="20" t="str">
        <f>IFERROR(__xludf.DUMMYFUNCTION("IFNA(FILTER(IMPORTRANGE(""https://docs.google.com/spreadsheets/d/1kGrh75X1cNR1D7_FcY9zMnHP8iPO4M5RCRjy6nZY0TY/edit#gid=1248694442"",""Subgroup 3: Mi ~ Tx!B3:B17""), $A42=IMPORTRANGE(""https://docs.google.com/spreadsheets/d/1kGrh75X1cNR1D7_FcY9zMnHP8iPO4M5"&amp;"RCRjy6nZY0TY/edit#gid=1248694442"",""Subgroup 3: Mi ~ Tx!A3:A17"")),"""")"),"")</f>
        <v/>
      </c>
      <c r="T42" s="20" t="str">
        <f>IFERROR(__xludf.DUMMYFUNCTION("IFNA(FILTER(IMPORTRANGE(""https://docs.google.com/spreadsheets/d/1kGrh75X1cNR1D7_FcY9zMnHP8iPO4M5RCRjy6nZY0TY/edit#gid=1248694442"",""Subgroup 3: Mi ~ Tx!C3:C17""), $A42=IMPORTRANGE(""https://docs.google.com/spreadsheets/d/1kGrh75X1cNR1D7_FcY9zMnHP8iPO4M5"&amp;"RCRjy6nZY0TY/edit#gid=1248694442"",""Subgroup 3: Mi ~ Tx!A3:A17"")),"""")"),"")</f>
        <v/>
      </c>
      <c r="U42" s="20" t="str">
        <f>IFERROR(__xludf.DUMMYFUNCTION("IFNA(FILTER(IMPORTRANGE(""https://docs.google.com/spreadsheets/d/1kGrh75X1cNR1D7_FcY9zMnHP8iPO4M5RCRjy6nZY0TY/edit#gid=1248694442"",""Subgroup 3: Mi ~ Tx!D3:D17""), $A42=IMPORTRANGE(""https://docs.google.com/spreadsheets/d/1kGrh75X1cNR1D7_FcY9zMnHP8iPO4M5"&amp;"RCRjy6nZY0TY/edit#gid=1248694442"",""Subgroup 3: Mi ~ Tx!A3:A17"")),"""")"),"")</f>
        <v/>
      </c>
      <c r="V42" s="20" t="str">
        <f>IFERROR(__xludf.DUMMYFUNCTION("IFNA(FILTER(IMPORTRANGE(""https://docs.google.com/spreadsheets/d/1kGrh75X1cNR1D7_FcY9zMnHP8iPO4M5RCRjy6nZY0TY/edit#gid=1248694442"",""Subgroup 3: Mi ~ Tx!E3:E17""), $A42=IMPORTRANGE(""https://docs.google.com/spreadsheets/d/1kGrh75X1cNR1D7_FcY9zMnHP8iPO4M5"&amp;"RCRjy6nZY0TY/edit#gid=1248694442"",""Subgroup 3: Mi ~ Tx!A3:A17"")),"""")"),"")</f>
        <v/>
      </c>
      <c r="W42" s="20" t="str">
        <f>IFERROR(__xludf.DUMMYFUNCTION("IFNA(FILTER(IMPORTRANGE(""https://docs.google.com/spreadsheets/d/1kGrh75X1cNR1D7_FcY9zMnHP8iPO4M5RCRjy6nZY0TY/edit#gid=1248694442"",""Subgroup 3: Mi ~ Tx!F3:F17""), $A42=IMPORTRANGE(""https://docs.google.com/spreadsheets/d/1kGrh75X1cNR1D7_FcY9zMnHP8iPO4M5"&amp;"RCRjy6nZY0TY/edit#gid=1248694442"",""Subgroup 3: Mi ~ Tx!A3:A17"")),"""")"),"")</f>
        <v/>
      </c>
      <c r="X42" s="19">
        <f>IFERROR(__xludf.DUMMYFUNCTION("IFNA(FILTER(IMPORTRANGE(""https://docs.google.com/spreadsheets/d/1kGrh75X1cNR1D7_FcY9zMnHP8iPO4M5RCRjy6nZY0TY/edit#gid=1248694442"",""Table 3: 1st-line HC!AK5:AK111""), $A42=IMPORTRANGE(""https://docs.google.com/spreadsheets/d/1kGrh75X1cNR1D7_FcY9zMnHP8iP"&amp;"O4M5RCRjy6nZY0TY/edit#gid=1248694442"",""Table 3: 1st-line HC!A5:A111"")),"""")"),1.0)</f>
        <v>1</v>
      </c>
      <c r="Y42" s="20" t="str">
        <f>IFERROR(__xludf.DUMMYFUNCTION("IFNA(FILTER(IMPORTRANGE(""https://docs.google.com/spreadsheets/d/1kGrh75X1cNR1D7_FcY9zMnHP8iPO4M5RCRjy6nZY0TY/edit#gid=1248694442"",""Subgroup 4: Mp ~ Tx!B3:B20""), $A42=IMPORTRANGE(""https://docs.google.com/spreadsheets/d/1kGrh75X1cNR1D7_FcY9zMnHP8iPO4M5"&amp;"RCRjy6nZY0TY/edit#gid=1248694442"",""Subgroup 4: Mp ~ Tx!A3:A20"")),"""")"),"")</f>
        <v/>
      </c>
      <c r="Z42" s="20">
        <f>IFERROR(__xludf.DUMMYFUNCTION("IFNA(FILTER(IMPORTRANGE(""https://docs.google.com/spreadsheets/d/1kGrh75X1cNR1D7_FcY9zMnHP8iPO4M5RCRjy6nZY0TY/edit#gid=1248694442"",""Subgroup 4: Mp ~ Tx!C3:C20""), $A42=IMPORTRANGE(""https://docs.google.com/spreadsheets/d/1kGrh75X1cNR1D7_FcY9zMnHP8iPO4M5"&amp;"RCRjy6nZY0TY/edit#gid=1248694442"",""Subgroup 4: Mp ~ Tx!A3:A20"")),"""")"),0.06878)</f>
        <v>0.06878</v>
      </c>
      <c r="AA42" s="20" t="str">
        <f>IFERROR(__xludf.DUMMYFUNCTION("IFNA(FILTER(IMPORTRANGE(""https://docs.google.com/spreadsheets/d/1kGrh75X1cNR1D7_FcY9zMnHP8iPO4M5RCRjy6nZY0TY/edit#gid=1248694442"",""Subgroup 4: Mp ~ Tx!D3:D20""), $A42=IMPORTRANGE(""https://docs.google.com/spreadsheets/d/1kGrh75X1cNR1D7_FcY9zMnHP8iPO4M5"&amp;"RCRjy6nZY0TY/edit#gid=1248694442"",""Subgroup 4: Mp ~ Tx!A3:A20"")),"""")"),"")</f>
        <v/>
      </c>
      <c r="AB42" s="20" t="str">
        <f>IFERROR(__xludf.DUMMYFUNCTION("IFNA(FILTER(IMPORTRANGE(""https://docs.google.com/spreadsheets/d/1kGrh75X1cNR1D7_FcY9zMnHP8iPO4M5RCRjy6nZY0TY/edit#gid=1248694442"",""Subgroup 4: Mp ~ Tx!E3:E20""), $A42=IMPORTRANGE(""https://docs.google.com/spreadsheets/d/1kGrh75X1cNR1D7_FcY9zMnHP8iPO4M5"&amp;"RCRjy6nZY0TY/edit#gid=1248694442"",""Subgroup 4: Mp ~ Tx!A3:A20"")),"""")"),"")</f>
        <v/>
      </c>
      <c r="AC42" s="20" t="str">
        <f>IFERROR(__xludf.DUMMYFUNCTION("IFNA(FILTER(IMPORTRANGE(""https://docs.google.com/spreadsheets/d/1kGrh75X1cNR1D7_FcY9zMnHP8iPO4M5RCRjy6nZY0TY/edit#gid=1248694442"",""Subgroup 4: Mp ~ Tx!F3:F20""), $A42=IMPORTRANGE(""https://docs.google.com/spreadsheets/d/1kGrh75X1cNR1D7_FcY9zMnHP8iPO4M5"&amp;"RCRjy6nZY0TY/edit#gid=1248694442"",""Subgroup 4: Mp ~ Tx!A3:A20"")),"""")"),"")</f>
        <v/>
      </c>
      <c r="AD42" s="22" t="str">
        <f>IFERROR(__xludf.DUMMYFUNCTION("IFNA(FILTER(IMPORTRANGE(""https://docs.google.com/spreadsheets/d/1kGrh75X1cNR1D7_FcY9zMnHP8iPO4M5RCRjy6nZY0TY/edit#gid=1248694442"",""Table 3: 1st-line HC!AL5:AL111""), $A42=IMPORTRANGE(""https://docs.google.com/spreadsheets/d/1kGrh75X1cNR1D7_FcY9zMnHP8iP"&amp;"O4M5RCRjy6nZY0TY/edit#gid=1248694442"",""Table 3: 1st-line HC!A5:A111"")),"""")"),"")</f>
        <v/>
      </c>
      <c r="AE42" s="20" t="str">
        <f>IFERROR(__xludf.DUMMYFUNCTION("IFNA(FILTER(IMPORTRANGE(""https://docs.google.com/spreadsheets/d/1kGrh75X1cNR1D7_FcY9zMnHP8iPO4M5RCRjy6nZY0TY/edit#gid=1248694442"",""Table 3: 1st-line HC!BJ5:BJ111""), $A42=IMPORTRANGE(""https://docs.google.com/spreadsheets/d/1kGrh75X1cNR1D7_FcY9zMnHP8iP"&amp;"O4M5RCRjy6nZY0TY/edit#gid=1248694442"",""Table 3: 1st-line HC!A5:A111"")),"""")"),"")</f>
        <v/>
      </c>
      <c r="AF42" s="20" t="str">
        <f>IFERROR(__xludf.DUMMYFUNCTION("IFNA(FILTER(IMPORTRANGE(""https://docs.google.com/spreadsheets/d/1kGrh75X1cNR1D7_FcY9zMnHP8iPO4M5RCRjy6nZY0TY/edit#gid=1248694442"",""Subgroup 2: Cr ~ Tx!B3:B23""), $A42=IMPORTRANGE(""https://docs.google.com/spreadsheets/d/1kGrh75X1cNR1D7_FcY9zMnHP8iPO4M5"&amp;"RCRjy6nZY0TY/edit#gid=1248694442"",""Subgroup 2: Cr ~ Tx!A3:A23"")),"""")"),"")</f>
        <v/>
      </c>
      <c r="AG42" s="20" t="str">
        <f>IFERROR(__xludf.DUMMYFUNCTION("IFNA(FILTER(IMPORTRANGE(""https://docs.google.com/spreadsheets/d/1kGrh75X1cNR1D7_FcY9zMnHP8iPO4M5RCRjy6nZY0TY/edit#gid=1248694442"",""Subgroup 2: Cr ~ Tx!C3:C23""), $A42=IMPORTRANGE(""https://docs.google.com/spreadsheets/d/1kGrh75X1cNR1D7_FcY9zMnHP8iPO4M5"&amp;"RCRjy6nZY0TY/edit#gid=1248694442"",""Subgroup 2: Cr ~ Tx!A3:A23"")),"""")"),"")</f>
        <v/>
      </c>
      <c r="AH42" s="20" t="str">
        <f>IFERROR(__xludf.DUMMYFUNCTION("IFNA(FILTER(IMPORTRANGE(""https://docs.google.com/spreadsheets/d/1kGrh75X1cNR1D7_FcY9zMnHP8iPO4M5RCRjy6nZY0TY/edit#gid=1248694442"",""Subgroup 2: Cr ~ Tx!D3:D23""), $A42=IMPORTRANGE(""https://docs.google.com/spreadsheets/d/1kGrh75X1cNR1D7_FcY9zMnHP8iPO4M5"&amp;"RCRjy6nZY0TY/edit#gid=1248694442"",""Subgroup 2: Cr ~ Tx!A3:A23"")),"""")"),"")</f>
        <v/>
      </c>
      <c r="AI42" s="20" t="str">
        <f>IFERROR(__xludf.DUMMYFUNCTION("IFNA(FILTER(IMPORTRANGE(""https://docs.google.com/spreadsheets/d/1kGrh75X1cNR1D7_FcY9zMnHP8iPO4M5RCRjy6nZY0TY/edit#gid=1248694442"",""Subgroup 2: Cr ~ Tx!E3:E23""), $A42=IMPORTRANGE(""https://docs.google.com/spreadsheets/d/1kGrh75X1cNR1D7_FcY9zMnHP8iPO4M5"&amp;"RCRjy6nZY0TY/edit#gid=1248694442"",""Subgroup 2: Cr ~ Tx!A3:A23"")),"""")"),"")</f>
        <v/>
      </c>
      <c r="AJ42" s="20" t="str">
        <f>IFERROR(__xludf.DUMMYFUNCTION("IFNA(FILTER(IMPORTRANGE(""https://docs.google.com/spreadsheets/d/1kGrh75X1cNR1D7_FcY9zMnHP8iPO4M5RCRjy6nZY0TY/edit#gid=1248694442"",""Subgroup 2: Cr ~ Tx!F3:F23""), $A42=IMPORTRANGE(""https://docs.google.com/spreadsheets/d/1kGrh75X1cNR1D7_FcY9zMnHP8iPO4M5"&amp;"RCRjy6nZY0TY/edit#gid=1248694442"",""Subgroup 2: Cr ~ Tx!A3:A23"")),"""")"),"")</f>
        <v/>
      </c>
      <c r="AK42" s="14" t="str">
        <f>IFERROR(__xludf.DUMMYFUNCTION("IFNA(FILTER(IMPORTRANGE(""https://docs.google.com/spreadsheets/d/1kGrh75X1cNR1D7_FcY9zMnHP8iPO4M5RCRjy6nZY0TY/edit#gid=1248694442"",""Table 4: 2nd-line HC or more!M5:M85""), $A42=IMPORTRANGE(""https://docs.google.com/spreadsheets/d/1kGrh75X1cNR1D7_FcY9zMn"&amp;"HP8iPO4M5RCRjy6nZY0TY/edit#gid=1248694442"",""Table 4: 2nd-line HC or more!A5:A85"")),"""")"),"")</f>
        <v/>
      </c>
      <c r="AL42" s="14">
        <f>IFERROR(__xludf.DUMMYFUNCTION("IFNA(FILTER(IMPORTRANGE(""https://docs.google.com/spreadsheets/d/1kGrh75X1cNR1D7_FcY9zMnHP8iPO4M5RCRjy6nZY0TY/edit#gid=1248694442"",""Table 4: 2nd-line HC or more!N5:N85""), $A42=IMPORTRANGE(""https://docs.google.com/spreadsheets/d/1kGrh75X1cNR1D7_FcY9zMn"&amp;"HP8iPO4M5RCRjy6nZY0TY/edit#gid=1248694442"",""Table 4: 2nd-line HC or more!A5:A85"")),"""")"),1.0)</f>
        <v>1</v>
      </c>
      <c r="AM42" s="14" t="str">
        <f>IFERROR(__xludf.DUMMYFUNCTION("IFNA(FILTER(IMPORTRANGE(""https://docs.google.com/spreadsheets/d/1kGrh75X1cNR1D7_FcY9zMnHP8iPO4M5RCRjy6nZY0TY/edit#gid=1248694442"",""Table 4: 2nd-line HC or more!O5:O85""), $A42=IMPORTRANGE(""https://docs.google.com/spreadsheets/d/1kGrh75X1cNR1D7_FcY9zMn"&amp;"HP8iPO4M5RCRjy6nZY0TY/edit#gid=1248694442"",""Table 4: 2nd-line HC or more!A5:A85"")),"""")"),"")</f>
        <v/>
      </c>
      <c r="AN42" s="14" t="str">
        <f>IFERROR(__xludf.DUMMYFUNCTION("IFNA(FILTER(IMPORTRANGE(""https://docs.google.com/spreadsheets/d/1kGrh75X1cNR1D7_FcY9zMnHP8iPO4M5RCRjy6nZY0TY/edit#gid=1248694442"",""Table 3: 1st-line HC!AP5:AP111""), $A42=IMPORTRANGE(""https://docs.google.com/spreadsheets/d/1kGrh75X1cNR1D7_FcY9zMnHP8iP"&amp;"O4M5RCRjy6nZY0TY/edit#gid=1248694442"",""Table 3: 1st-line HC!A5:A111"")),"""")"),"")</f>
        <v/>
      </c>
      <c r="AO42" s="14">
        <f>IFERROR(__xludf.DUMMYFUNCTION("IFNA(FILTER(IMPORTRANGE(""https://docs.google.com/spreadsheets/d/1kGrh75X1cNR1D7_FcY9zMnHP8iPO4M5RCRjy6nZY0TY/edit#gid=1248694442"",""Table 3: 1st-line HC!AO5:AO111""), $A42=IMPORTRANGE(""https://docs.google.com/spreadsheets/d/1kGrh75X1cNR1D7_FcY9zMnHP8iP"&amp;"O4M5RCRjy6nZY0TY/edit#gid=1248694442"",""Table 3: 1st-line HC!A5:A111"")),"""")"),29.0)</f>
        <v>29</v>
      </c>
      <c r="AP42" s="14" t="str">
        <f>IFERROR(__xludf.DUMMYFUNCTION("IFNA(FILTER(IMPORTRANGE(""https://docs.google.com/spreadsheets/d/1kGrh75X1cNR1D7_FcY9zMnHP8iPO4M5RCRjy6nZY0TY/edit#gid=1248694442"",""Table 3: 1st-line HC!AQ5:AQ111""), $A42=IMPORTRANGE(""https://docs.google.com/spreadsheets/d/1kGrh75X1cNR1D7_FcY9zMnHP8iP"&amp;"O4M5RCRjy6nZY0TY/edit#gid=1248694442"",""Table 3: 1st-line HC!A5:A111"")),"""")"),"")</f>
        <v/>
      </c>
      <c r="AQ42" s="14" t="str">
        <f>IFERROR(__xludf.DUMMYFUNCTION("IFNA(FILTER(IMPORTRANGE(""https://docs.google.com/spreadsheets/d/1kGrh75X1cNR1D7_FcY9zMnHP8iPO4M5RCRjy6nZY0TY/edit#gid=1248694442"",""Table 2: MMC!T5:T114""), $A42=IMPORTRANGE(""https://docs.google.com/spreadsheets/d/1kGrh75X1cNR1D7_FcY9zMnHP8iPO4M5RCRjy6"&amp;"nZY0TY/edit#gid=1248694442"",""Table 2: MMC!A5:A114"")),"""")"),"")</f>
        <v/>
      </c>
      <c r="AR42" s="14" t="str">
        <f>IFERROR(__xludf.DUMMYFUNCTION("IFNA(FILTER(IMPORTRANGE(""https://docs.google.com/spreadsheets/d/1kGrh75X1cNR1D7_FcY9zMnHP8iPO4M5RCRjy6nZY0TY/edit#gid=1248694442"",""Table 2: MMC!U5:U114""), $A42=IMPORTRANGE(""https://docs.google.com/spreadsheets/d/1kGrh75X1cNR1D7_FcY9zMnHP8iPO4M5RCRjy6"&amp;"nZY0TY/edit#gid=1248694442"",""Table 2: MMC!A5:A114"")),"""")"),"")</f>
        <v/>
      </c>
      <c r="AS42" s="14" t="str">
        <f>IFERROR(__xludf.DUMMYFUNCTION("IFNA(FILTER(IMPORTRANGE(""https://docs.google.com/spreadsheets/d/1kGrh75X1cNR1D7_FcY9zMnHP8iPO4M5RCRjy6nZY0TY/edit#gid=1248694442"",""Table 2: MMC!V5:V114""), $A42=IMPORTRANGE(""https://docs.google.com/spreadsheets/d/1kGrh75X1cNR1D7_FcY9zMnHP8iPO4M5RCRjy6"&amp;"nZY0TY/edit#gid=1248694442"",""Table 2: MMC!A5:A114"")),"""")"),"")</f>
        <v/>
      </c>
      <c r="AT42" s="4" t="str">
        <f>IFERROR(__xludf.DUMMYFUNCTION("IFNA(FILTER(IMPORTRANGE(""https://docs.google.com/spreadsheets/d/1kGrh75X1cNR1D7_FcY9zMnHP8iPO4M5RCRjy6nZY0TY/edit#gid=1248694442"",""Table 2: MMC!W5:W114""), $A42=IMPORTRANGE(""https://docs.google.com/spreadsheets/d/1kGrh75X1cNR1D7_FcY9zMnHP8iPO4M5RCRjy6"&amp;"nZY0TY/edit#gid=1248694442"",""Table 2: MMC!A5:A114"")),"""")"),"")</f>
        <v/>
      </c>
    </row>
    <row r="43">
      <c r="A43" s="4" t="str">
        <f>IFERROR(__xludf.DUMMYFUNCTION("""COMPUTED_VALUE"""),"ID 86")</f>
        <v>ID 86</v>
      </c>
      <c r="B43" s="20" t="str">
        <f>IFERROR(__xludf.DUMMYFUNCTION("IFNA(FILTER(IMPORTRANGE(""https://docs.google.com/spreadsheets/d/1kGrh75X1cNR1D7_FcY9zMnHP8iPO4M5RCRjy6nZY0TY/edit#gid=1248694442"",""Table 3: 1st-line HC!BK5:BK111""), $A43=IMPORTRANGE(""https://docs.google.com/spreadsheets/d/1kGrh75X1cNR1D7_FcY9zMnHP8iP"&amp;"O4M5RCRjy6nZY0TY/edit#gid=1248694442"",""Table 3: 1st-line HC!A5:A111"")),"""")"),"")</f>
        <v/>
      </c>
      <c r="C43" s="20" t="str">
        <f>IFERROR(__xludf.DUMMYFUNCTION("IFNA(FILTER(IMPORTRANGE(""https://docs.google.com/spreadsheets/d/1kGrh75X1cNR1D7_FcY9zMnHP8iPO4M5RCRjy6nZY0TY/edit#gid=1248694442"",""Subgroup 1: Fr ~ Tx!B3:B20""), $A43=IMPORTRANGE(""https://docs.google.com/spreadsheets/d/1kGrh75X1cNR1D7_FcY9zMnHP8iPO4M5"&amp;"RCRjy6nZY0TY/edit#gid=1248694442"",""Subgroup 1: Fr ~ Tx!A3:A20"")),"""")"),"")</f>
        <v/>
      </c>
      <c r="D43" s="20" t="str">
        <f>IFERROR(__xludf.DUMMYFUNCTION("IFNA(FILTER(IMPORTRANGE(""https://docs.google.com/spreadsheets/d/1kGrh75X1cNR1D7_FcY9zMnHP8iPO4M5RCRjy6nZY0TY/edit#gid=1248694442"",""Subgroup 1: Fr ~ Tx!C3:C20""), $A43=IMPORTRANGE(""https://docs.google.com/spreadsheets/d/1kGrh75X1cNR1D7_FcY9zMnHP8iPO4M5"&amp;"RCRjy6nZY0TY/edit#gid=1248694442"",""Subgroup 1: Fr ~ Tx!A3:A20"")),"""")"),"")</f>
        <v/>
      </c>
      <c r="E43" s="20" t="str">
        <f>IFERROR(__xludf.DUMMYFUNCTION("IFNA(FILTER(IMPORTRANGE(""https://docs.google.com/spreadsheets/d/1kGrh75X1cNR1D7_FcY9zMnHP8iPO4M5RCRjy6nZY0TY/edit#gid=1248694442"",""Subgroup 1: Fr ~ Tx!D3:D20""), $A43=IMPORTRANGE(""https://docs.google.com/spreadsheets/d/1kGrh75X1cNR1D7_FcY9zMnHP8iPO4M5"&amp;"RCRjy6nZY0TY/edit#gid=1248694442"",""Subgroup 1: Fr ~ Tx!A3:A20"")),"""")"),"")</f>
        <v/>
      </c>
      <c r="F43" s="20" t="str">
        <f>IFERROR(__xludf.DUMMYFUNCTION("IFNA(FILTER(IMPORTRANGE(""https://docs.google.com/spreadsheets/d/1kGrh75X1cNR1D7_FcY9zMnHP8iPO4M5RCRjy6nZY0TY/edit#gid=1248694442"",""Subgroup 1: Fr ~ Tx!E3:E20""), $A43=IMPORTRANGE(""https://docs.google.com/spreadsheets/d/1kGrh75X1cNR1D7_FcY9zMnHP8iPO4M5"&amp;"RCRjy6nZY0TY/edit#gid=1248694442"",""Subgroup 1: Fr ~ Tx!A3:A20"")),"""")"),"")</f>
        <v/>
      </c>
      <c r="G43" s="20" t="str">
        <f>IFERROR(__xludf.DUMMYFUNCTION("IFNA(FILTER(IMPORTRANGE(""https://docs.google.com/spreadsheets/d/1kGrh75X1cNR1D7_FcY9zMnHP8iPO4M5RCRjy6nZY0TY/edit#gid=1248694442"",""Subgroup 1: Fr ~ Tx!F3:F20""), $A43=IMPORTRANGE(""https://docs.google.com/spreadsheets/d/1kGrh75X1cNR1D7_FcY9zMnHP8iPO4M5"&amp;"RCRjy6nZY0TY/edit#gid=1248694442"",""Subgroup 1: Fr ~ Tx!A3:A20"")),"""")"),"")</f>
        <v/>
      </c>
      <c r="H43" s="20" t="str">
        <f>IFERROR(__xludf.DUMMYFUNCTION("IFNA(FILTER(IMPORTRANGE(""https://docs.google.com/spreadsheets/d/1kGrh75X1cNR1D7_FcY9zMnHP8iPO4M5RCRjy6nZY0TY/edit#gid=1248694442"",""Table 3: 1st-line HC!BD5:BD111""), $A43=IMPORTRANGE(""https://docs.google.com/spreadsheets/d/1kGrh75X1cNR1D7_FcY9zMnHP8iP"&amp;"O4M5RCRjy6nZY0TY/edit#gid=1248694442"",""Table 3: 1st-line HC!A5:A111"")),"""")"),"")</f>
        <v/>
      </c>
      <c r="I43" s="20" t="str">
        <f>IFERROR(__xludf.DUMMYFUNCTION("IFNA(FILTER(IMPORTRANGE(""https://docs.google.com/spreadsheets/d/1kGrh75X1cNR1D7_FcY9zMnHP8iPO4M5RCRjy6nZY0TY/edit#gid=1248694442"",""Subgroup 5: Tf ~ Tx!B3:B8""), $A43=IMPORTRANGE(""https://docs.google.com/spreadsheets/d/1kGrh75X1cNR1D7_FcY9zMnHP8iPO4M5R"&amp;"CRjy6nZY0TY/edit#gid=1248694442"",""Subgroup 5: Tf ~ Tx!A3:A8"")),"""")"),"")</f>
        <v/>
      </c>
      <c r="J43" s="20" t="str">
        <f>IFERROR(__xludf.DUMMYFUNCTION("IFNA(FILTER(IMPORTRANGE(""https://docs.google.com/spreadsheets/d/1kGrh75X1cNR1D7_FcY9zMnHP8iPO4M5RCRjy6nZY0TY/edit#gid=1248694442"",""Subgroup 5: Tf ~ Tx!C3:C8""), $A43=IMPORTRANGE(""https://docs.google.com/spreadsheets/d/1kGrh75X1cNR1D7_FcY9zMnHP8iPO4M5R"&amp;"CRjy6nZY0TY/edit#gid=1248694442"",""Subgroup 5: Tf ~ Tx!A3:A8"")),"""")"),"")</f>
        <v/>
      </c>
      <c r="K43" s="20" t="str">
        <f>IFERROR(__xludf.DUMMYFUNCTION("IFNA(FILTER(IMPORTRANGE(""https://docs.google.com/spreadsheets/d/1kGrh75X1cNR1D7_FcY9zMnHP8iPO4M5RCRjy6nZY0TY/edit#gid=1248694442"",""Subgroup 5: Tf ~ Tx!D3:D8""), $A43=IMPORTRANGE(""https://docs.google.com/spreadsheets/d/1kGrh75X1cNR1D7_FcY9zMnHP8iPO4M5R"&amp;"CRjy6nZY0TY/edit#gid=1248694442"",""Subgroup 5: Tf ~ Tx!A3:A8"")),"""")"),"")</f>
        <v/>
      </c>
      <c r="L43" s="20" t="str">
        <f>IFERROR(__xludf.DUMMYFUNCTION("IFNA(FILTER(IMPORTRANGE(""https://docs.google.com/spreadsheets/d/1kGrh75X1cNR1D7_FcY9zMnHP8iPO4M5RCRjy6nZY0TY/edit#gid=1248694442"",""Subgroup 5: Tf ~ Tx!E3:E8""), $A43=IMPORTRANGE(""https://docs.google.com/spreadsheets/d/1kGrh75X1cNR1D7_FcY9zMnHP8iPO4M5R"&amp;"CRjy6nZY0TY/edit#gid=1248694442"",""Subgroup 5: Tf ~ Tx!A3:A8"")),"""")"),"")</f>
        <v/>
      </c>
      <c r="M43" s="20" t="str">
        <f>IFERROR(__xludf.DUMMYFUNCTION("IFNA(FILTER(IMPORTRANGE(""https://docs.google.com/spreadsheets/d/1kGrh75X1cNR1D7_FcY9zMnHP8iPO4M5RCRjy6nZY0TY/edit#gid=1248694442"",""Subgroup 5: Tf ~ Tx!F3:F8""), $A43=IMPORTRANGE(""https://docs.google.com/spreadsheets/d/1kGrh75X1cNR1D7_FcY9zMnHP8iPO4M5R"&amp;"CRjy6nZY0TY/edit#gid=1248694442"",""Subgroup 5: Tf ~ Tx!A3:A8"")),"""")"),"")</f>
        <v/>
      </c>
      <c r="N43" s="20" t="str">
        <f>IFERROR(__xludf.DUMMYFUNCTION("IFNA(FILTER(IMPORTRANGE(""https://docs.google.com/spreadsheets/d/1kGrh75X1cNR1D7_FcY9zMnHP8iPO4M5RCRjy6nZY0TY/edit#gid=1248694442"",""Table 3: 1st-line HC!BE5:BE111""), $A43=IMPORTRANGE(""https://docs.google.com/spreadsheets/d/1kGrh75X1cNR1D7_FcY9zMnHP8iP"&amp;"O4M5RCRjy6nZY0TY/edit#gid=1248694442"",""Table 3: 1st-line HC!A5:A111"")),"""")"),"")</f>
        <v/>
      </c>
      <c r="O43" s="20" t="str">
        <f>IFERROR(__xludf.DUMMYFUNCTION("IFNA(FILTER(IMPORTRANGE(""https://docs.google.com/spreadsheets/d/1kGrh75X1cNR1D7_FcY9zMnHP8iPO4M5RCRjy6nZY0TY/edit#gid=1248694442"",""Table 3: 1st-line HC!BF5:BF111""), $A43=IMPORTRANGE(""https://docs.google.com/spreadsheets/d/1kGrh75X1cNR1D7_FcY9zMnHP8iP"&amp;"O4M5RCRjy6nZY0TY/edit#gid=1248694442"",""Table 3: 1st-line HC!A5:A111"")),"""")"),"")</f>
        <v/>
      </c>
      <c r="P43" s="20" t="str">
        <f>IFERROR(__xludf.DUMMYFUNCTION("IFNA(FILTER(IMPORTRANGE(""https://docs.google.com/spreadsheets/d/1kGrh75X1cNR1D7_FcY9zMnHP8iPO4M5RCRjy6nZY0TY/edit#gid=1248694442"",""Table 3: 1st-line HC!BG5:BG111""), $A43=IMPORTRANGE(""https://docs.google.com/spreadsheets/d/1kGrh75X1cNR1D7_FcY9zMnHP8iP"&amp;"O4M5RCRjy6nZY0TY/edit#gid=1248694442"",""Table 3: 1st-line HC!A5:A111"")),"""")"),"")</f>
        <v/>
      </c>
      <c r="Q43" s="21" t="str">
        <f>IFERROR(__xludf.DUMMYFUNCTION("IFNA(FILTER(IMPORTRANGE(""https://docs.google.com/spreadsheets/d/1kGrh75X1cNR1D7_FcY9zMnHP8iPO4M5RCRjy6nZY0TY/edit#gid=1248694442"",""Table 3: 1st-line HC!BH5:BH111""), $A43=IMPORTRANGE(""https://docs.google.com/spreadsheets/d/1kGrh75X1cNR1D7_FcY9zMnHP8iP"&amp;"O4M5RCRjy6nZY0TY/edit#gid=1248694442"",""Table 3: 1st-line HC!A5:A111"")),"""")"),"")</f>
        <v/>
      </c>
      <c r="R43" s="19" t="str">
        <f>IFERROR(__xludf.DUMMYFUNCTION("IFNA(FILTER(IMPORTRANGE(""https://docs.google.com/spreadsheets/d/1kGrh75X1cNR1D7_FcY9zMnHP8iPO4M5RCRjy6nZY0TY/edit#gid=1248694442"",""Table 3: 1st-line HC!AJ5:AJ111""), $A43=IMPORTRANGE(""https://docs.google.com/spreadsheets/d/1kGrh75X1cNR1D7_FcY9zMnHP8iP"&amp;"O4M5RCRjy6nZY0TY/edit#gid=1248694442"",""Table 3: 1st-line HC!A5:A111"")),"""")"),"")</f>
        <v/>
      </c>
      <c r="S43" s="20" t="str">
        <f>IFERROR(__xludf.DUMMYFUNCTION("IFNA(FILTER(IMPORTRANGE(""https://docs.google.com/spreadsheets/d/1kGrh75X1cNR1D7_FcY9zMnHP8iPO4M5RCRjy6nZY0TY/edit#gid=1248694442"",""Subgroup 3: Mi ~ Tx!B3:B17""), $A43=IMPORTRANGE(""https://docs.google.com/spreadsheets/d/1kGrh75X1cNR1D7_FcY9zMnHP8iPO4M5"&amp;"RCRjy6nZY0TY/edit#gid=1248694442"",""Subgroup 3: Mi ~ Tx!A3:A17"")),"""")"),"")</f>
        <v/>
      </c>
      <c r="T43" s="20" t="str">
        <f>IFERROR(__xludf.DUMMYFUNCTION("IFNA(FILTER(IMPORTRANGE(""https://docs.google.com/spreadsheets/d/1kGrh75X1cNR1D7_FcY9zMnHP8iPO4M5RCRjy6nZY0TY/edit#gid=1248694442"",""Subgroup 3: Mi ~ Tx!C3:C17""), $A43=IMPORTRANGE(""https://docs.google.com/spreadsheets/d/1kGrh75X1cNR1D7_FcY9zMnHP8iPO4M5"&amp;"RCRjy6nZY0TY/edit#gid=1248694442"",""Subgroup 3: Mi ~ Tx!A3:A17"")),"""")"),"")</f>
        <v/>
      </c>
      <c r="U43" s="20" t="str">
        <f>IFERROR(__xludf.DUMMYFUNCTION("IFNA(FILTER(IMPORTRANGE(""https://docs.google.com/spreadsheets/d/1kGrh75X1cNR1D7_FcY9zMnHP8iPO4M5RCRjy6nZY0TY/edit#gid=1248694442"",""Subgroup 3: Mi ~ Tx!D3:D17""), $A43=IMPORTRANGE(""https://docs.google.com/spreadsheets/d/1kGrh75X1cNR1D7_FcY9zMnHP8iPO4M5"&amp;"RCRjy6nZY0TY/edit#gid=1248694442"",""Subgroup 3: Mi ~ Tx!A3:A17"")),"""")"),"")</f>
        <v/>
      </c>
      <c r="V43" s="20" t="str">
        <f>IFERROR(__xludf.DUMMYFUNCTION("IFNA(FILTER(IMPORTRANGE(""https://docs.google.com/spreadsheets/d/1kGrh75X1cNR1D7_FcY9zMnHP8iPO4M5RCRjy6nZY0TY/edit#gid=1248694442"",""Subgroup 3: Mi ~ Tx!E3:E17""), $A43=IMPORTRANGE(""https://docs.google.com/spreadsheets/d/1kGrh75X1cNR1D7_FcY9zMnHP8iPO4M5"&amp;"RCRjy6nZY0TY/edit#gid=1248694442"",""Subgroup 3: Mi ~ Tx!A3:A17"")),"""")"),"")</f>
        <v/>
      </c>
      <c r="W43" s="20" t="str">
        <f>IFERROR(__xludf.DUMMYFUNCTION("IFNA(FILTER(IMPORTRANGE(""https://docs.google.com/spreadsheets/d/1kGrh75X1cNR1D7_FcY9zMnHP8iPO4M5RCRjy6nZY0TY/edit#gid=1248694442"",""Subgroup 3: Mi ~ Tx!F3:F17""), $A43=IMPORTRANGE(""https://docs.google.com/spreadsheets/d/1kGrh75X1cNR1D7_FcY9zMnHP8iPO4M5"&amp;"RCRjy6nZY0TY/edit#gid=1248694442"",""Subgroup 3: Mi ~ Tx!A3:A17"")),"""")"),"")</f>
        <v/>
      </c>
      <c r="X43" s="19" t="str">
        <f>IFERROR(__xludf.DUMMYFUNCTION("IFNA(FILTER(IMPORTRANGE(""https://docs.google.com/spreadsheets/d/1kGrh75X1cNR1D7_FcY9zMnHP8iPO4M5RCRjy6nZY0TY/edit#gid=1248694442"",""Table 3: 1st-line HC!AK5:AK111""), $A43=IMPORTRANGE(""https://docs.google.com/spreadsheets/d/1kGrh75X1cNR1D7_FcY9zMnHP8iP"&amp;"O4M5RCRjy6nZY0TY/edit#gid=1248694442"",""Table 3: 1st-line HC!A5:A111"")),"""")"),"")</f>
        <v/>
      </c>
      <c r="Y43" s="20" t="str">
        <f>IFERROR(__xludf.DUMMYFUNCTION("IFNA(FILTER(IMPORTRANGE(""https://docs.google.com/spreadsheets/d/1kGrh75X1cNR1D7_FcY9zMnHP8iPO4M5RCRjy6nZY0TY/edit#gid=1248694442"",""Subgroup 4: Mp ~ Tx!B3:B20""), $A43=IMPORTRANGE(""https://docs.google.com/spreadsheets/d/1kGrh75X1cNR1D7_FcY9zMnHP8iPO4M5"&amp;"RCRjy6nZY0TY/edit#gid=1248694442"",""Subgroup 4: Mp ~ Tx!A3:A20"")),"""")"),"")</f>
        <v/>
      </c>
      <c r="Z43" s="20" t="str">
        <f>IFERROR(__xludf.DUMMYFUNCTION("IFNA(FILTER(IMPORTRANGE(""https://docs.google.com/spreadsheets/d/1kGrh75X1cNR1D7_FcY9zMnHP8iPO4M5RCRjy6nZY0TY/edit#gid=1248694442"",""Subgroup 4: Mp ~ Tx!C3:C20""), $A43=IMPORTRANGE(""https://docs.google.com/spreadsheets/d/1kGrh75X1cNR1D7_FcY9zMnHP8iPO4M5"&amp;"RCRjy6nZY0TY/edit#gid=1248694442"",""Subgroup 4: Mp ~ Tx!A3:A20"")),"""")"),"")</f>
        <v/>
      </c>
      <c r="AA43" s="20" t="str">
        <f>IFERROR(__xludf.DUMMYFUNCTION("IFNA(FILTER(IMPORTRANGE(""https://docs.google.com/spreadsheets/d/1kGrh75X1cNR1D7_FcY9zMnHP8iPO4M5RCRjy6nZY0TY/edit#gid=1248694442"",""Subgroup 4: Mp ~ Tx!D3:D20""), $A43=IMPORTRANGE(""https://docs.google.com/spreadsheets/d/1kGrh75X1cNR1D7_FcY9zMnHP8iPO4M5"&amp;"RCRjy6nZY0TY/edit#gid=1248694442"",""Subgroup 4: Mp ~ Tx!A3:A20"")),"""")"),"")</f>
        <v/>
      </c>
      <c r="AB43" s="20" t="str">
        <f>IFERROR(__xludf.DUMMYFUNCTION("IFNA(FILTER(IMPORTRANGE(""https://docs.google.com/spreadsheets/d/1kGrh75X1cNR1D7_FcY9zMnHP8iPO4M5RCRjy6nZY0TY/edit#gid=1248694442"",""Subgroup 4: Mp ~ Tx!E3:E20""), $A43=IMPORTRANGE(""https://docs.google.com/spreadsheets/d/1kGrh75X1cNR1D7_FcY9zMnHP8iPO4M5"&amp;"RCRjy6nZY0TY/edit#gid=1248694442"",""Subgroup 4: Mp ~ Tx!A3:A20"")),"""")"),"")</f>
        <v/>
      </c>
      <c r="AC43" s="20" t="str">
        <f>IFERROR(__xludf.DUMMYFUNCTION("IFNA(FILTER(IMPORTRANGE(""https://docs.google.com/spreadsheets/d/1kGrh75X1cNR1D7_FcY9zMnHP8iPO4M5RCRjy6nZY0TY/edit#gid=1248694442"",""Subgroup 4: Mp ~ Tx!F3:F20""), $A43=IMPORTRANGE(""https://docs.google.com/spreadsheets/d/1kGrh75X1cNR1D7_FcY9zMnHP8iPO4M5"&amp;"RCRjy6nZY0TY/edit#gid=1248694442"",""Subgroup 4: Mp ~ Tx!A3:A20"")),"""")"),"")</f>
        <v/>
      </c>
      <c r="AD43" s="22" t="str">
        <f>IFERROR(__xludf.DUMMYFUNCTION("IFNA(FILTER(IMPORTRANGE(""https://docs.google.com/spreadsheets/d/1kGrh75X1cNR1D7_FcY9zMnHP8iPO4M5RCRjy6nZY0TY/edit#gid=1248694442"",""Table 3: 1st-line HC!AL5:AL111""), $A43=IMPORTRANGE(""https://docs.google.com/spreadsheets/d/1kGrh75X1cNR1D7_FcY9zMnHP8iP"&amp;"O4M5RCRjy6nZY0TY/edit#gid=1248694442"",""Table 3: 1st-line HC!A5:A111"")),"""")"),"5 deaths due to ventriculitis, ruptured meningocele and shunt infection (could not disggregate)")</f>
        <v>5 deaths due to ventriculitis, ruptured meningocele and shunt infection (could not disggregate)</v>
      </c>
      <c r="AE43" s="20" t="str">
        <f>IFERROR(__xludf.DUMMYFUNCTION("IFNA(FILTER(IMPORTRANGE(""https://docs.google.com/spreadsheets/d/1kGrh75X1cNR1D7_FcY9zMnHP8iPO4M5RCRjy6nZY0TY/edit#gid=1248694442"",""Table 3: 1st-line HC!BJ5:BJ111""), $A43=IMPORTRANGE(""https://docs.google.com/spreadsheets/d/1kGrh75X1cNR1D7_FcY9zMnHP8iP"&amp;"O4M5RCRjy6nZY0TY/edit#gid=1248694442"",""Table 3: 1st-line HC!A5:A111"")),"""")"),"")</f>
        <v/>
      </c>
      <c r="AF43" s="20" t="str">
        <f>IFERROR(__xludf.DUMMYFUNCTION("IFNA(FILTER(IMPORTRANGE(""https://docs.google.com/spreadsheets/d/1kGrh75X1cNR1D7_FcY9zMnHP8iPO4M5RCRjy6nZY0TY/edit#gid=1248694442"",""Subgroup 2: Cr ~ Tx!B3:B23""), $A43=IMPORTRANGE(""https://docs.google.com/spreadsheets/d/1kGrh75X1cNR1D7_FcY9zMnHP8iPO4M5"&amp;"RCRjy6nZY0TY/edit#gid=1248694442"",""Subgroup 2: Cr ~ Tx!A3:A23"")),"""")"),"")</f>
        <v/>
      </c>
      <c r="AG43" s="20" t="str">
        <f>IFERROR(__xludf.DUMMYFUNCTION("IFNA(FILTER(IMPORTRANGE(""https://docs.google.com/spreadsheets/d/1kGrh75X1cNR1D7_FcY9zMnHP8iPO4M5RCRjy6nZY0TY/edit#gid=1248694442"",""Subgroup 2: Cr ~ Tx!C3:C23""), $A43=IMPORTRANGE(""https://docs.google.com/spreadsheets/d/1kGrh75X1cNR1D7_FcY9zMnHP8iPO4M5"&amp;"RCRjy6nZY0TY/edit#gid=1248694442"",""Subgroup 2: Cr ~ Tx!A3:A23"")),"""")"),"")</f>
        <v/>
      </c>
      <c r="AH43" s="20" t="str">
        <f>IFERROR(__xludf.DUMMYFUNCTION("IFNA(FILTER(IMPORTRANGE(""https://docs.google.com/spreadsheets/d/1kGrh75X1cNR1D7_FcY9zMnHP8iPO4M5RCRjy6nZY0TY/edit#gid=1248694442"",""Subgroup 2: Cr ~ Tx!D3:D23""), $A43=IMPORTRANGE(""https://docs.google.com/spreadsheets/d/1kGrh75X1cNR1D7_FcY9zMnHP8iPO4M5"&amp;"RCRjy6nZY0TY/edit#gid=1248694442"",""Subgroup 2: Cr ~ Tx!A3:A23"")),"""")"),"")</f>
        <v/>
      </c>
      <c r="AI43" s="20" t="str">
        <f>IFERROR(__xludf.DUMMYFUNCTION("IFNA(FILTER(IMPORTRANGE(""https://docs.google.com/spreadsheets/d/1kGrh75X1cNR1D7_FcY9zMnHP8iPO4M5RCRjy6nZY0TY/edit#gid=1248694442"",""Subgroup 2: Cr ~ Tx!E3:E23""), $A43=IMPORTRANGE(""https://docs.google.com/spreadsheets/d/1kGrh75X1cNR1D7_FcY9zMnHP8iPO4M5"&amp;"RCRjy6nZY0TY/edit#gid=1248694442"",""Subgroup 2: Cr ~ Tx!A3:A23"")),"""")"),"")</f>
        <v/>
      </c>
      <c r="AJ43" s="20" t="str">
        <f>IFERROR(__xludf.DUMMYFUNCTION("IFNA(FILTER(IMPORTRANGE(""https://docs.google.com/spreadsheets/d/1kGrh75X1cNR1D7_FcY9zMnHP8iPO4M5RCRjy6nZY0TY/edit#gid=1248694442"",""Subgroup 2: Cr ~ Tx!F3:F23""), $A43=IMPORTRANGE(""https://docs.google.com/spreadsheets/d/1kGrh75X1cNR1D7_FcY9zMnHP8iPO4M5"&amp;"RCRjy6nZY0TY/edit#gid=1248694442"",""Subgroup 2: Cr ~ Tx!A3:A23"")),"""")"),"")</f>
        <v/>
      </c>
      <c r="AK43" s="14" t="str">
        <f>IFERROR(__xludf.DUMMYFUNCTION("IFNA(FILTER(IMPORTRANGE(""https://docs.google.com/spreadsheets/d/1kGrh75X1cNR1D7_FcY9zMnHP8iPO4M5RCRjy6nZY0TY/edit#gid=1248694442"",""Table 4: 2nd-line HC or more!M5:M85""), $A43=IMPORTRANGE(""https://docs.google.com/spreadsheets/d/1kGrh75X1cNR1D7_FcY9zMn"&amp;"HP8iPO4M5RCRjy6nZY0TY/edit#gid=1248694442"",""Table 4: 2nd-line HC or more!A5:A85"")),"""")"),"")</f>
        <v/>
      </c>
      <c r="AL43" s="14" t="str">
        <f>IFERROR(__xludf.DUMMYFUNCTION("IFNA(FILTER(IMPORTRANGE(""https://docs.google.com/spreadsheets/d/1kGrh75X1cNR1D7_FcY9zMnHP8iPO4M5RCRjy6nZY0TY/edit#gid=1248694442"",""Table 4: 2nd-line HC or more!N5:N85""), $A43=IMPORTRANGE(""https://docs.google.com/spreadsheets/d/1kGrh75X1cNR1D7_FcY9zMn"&amp;"HP8iPO4M5RCRjy6nZY0TY/edit#gid=1248694442"",""Table 4: 2nd-line HC or more!A5:A85"")),"""")"),"")</f>
        <v/>
      </c>
      <c r="AM43" s="14" t="str">
        <f>IFERROR(__xludf.DUMMYFUNCTION("IFNA(FILTER(IMPORTRANGE(""https://docs.google.com/spreadsheets/d/1kGrh75X1cNR1D7_FcY9zMnHP8iPO4M5RCRjy6nZY0TY/edit#gid=1248694442"",""Table 4: 2nd-line HC or more!O5:O85""), $A43=IMPORTRANGE(""https://docs.google.com/spreadsheets/d/1kGrh75X1cNR1D7_FcY9zMn"&amp;"HP8iPO4M5RCRjy6nZY0TY/edit#gid=1248694442"",""Table 4: 2nd-line HC or more!A5:A85"")),"""")"),"")</f>
        <v/>
      </c>
      <c r="AN43" s="14" t="str">
        <f>IFERROR(__xludf.DUMMYFUNCTION("IFNA(FILTER(IMPORTRANGE(""https://docs.google.com/spreadsheets/d/1kGrh75X1cNR1D7_FcY9zMnHP8iPO4M5RCRjy6nZY0TY/edit#gid=1248694442"",""Table 3: 1st-line HC!AP5:AP111""), $A43=IMPORTRANGE(""https://docs.google.com/spreadsheets/d/1kGrh75X1cNR1D7_FcY9zMnHP8iP"&amp;"O4M5RCRjy6nZY0TY/edit#gid=1248694442"",""Table 3: 1st-line HC!A5:A111"")),"""")"),"")</f>
        <v/>
      </c>
      <c r="AO43" s="14" t="str">
        <f>IFERROR(__xludf.DUMMYFUNCTION("IFNA(FILTER(IMPORTRANGE(""https://docs.google.com/spreadsheets/d/1kGrh75X1cNR1D7_FcY9zMnHP8iPO4M5RCRjy6nZY0TY/edit#gid=1248694442"",""Table 3: 1st-line HC!AO5:AO111""), $A43=IMPORTRANGE(""https://docs.google.com/spreadsheets/d/1kGrh75X1cNR1D7_FcY9zMnHP8iP"&amp;"O4M5RCRjy6nZY0TY/edit#gid=1248694442"",""Table 3: 1st-line HC!A5:A111"")),"""")"),"")</f>
        <v/>
      </c>
      <c r="AP43" s="14" t="str">
        <f>IFERROR(__xludf.DUMMYFUNCTION("IFNA(FILTER(IMPORTRANGE(""https://docs.google.com/spreadsheets/d/1kGrh75X1cNR1D7_FcY9zMnHP8iPO4M5RCRjy6nZY0TY/edit#gid=1248694442"",""Table 3: 1st-line HC!AQ5:AQ111""), $A43=IMPORTRANGE(""https://docs.google.com/spreadsheets/d/1kGrh75X1cNR1D7_FcY9zMnHP8iP"&amp;"O4M5RCRjy6nZY0TY/edit#gid=1248694442"",""Table 3: 1st-line HC!A5:A111"")),"""")"),"")</f>
        <v/>
      </c>
      <c r="AQ43" s="14" t="str">
        <f>IFERROR(__xludf.DUMMYFUNCTION("IFNA(FILTER(IMPORTRANGE(""https://docs.google.com/spreadsheets/d/1kGrh75X1cNR1D7_FcY9zMnHP8iPO4M5RCRjy6nZY0TY/edit#gid=1248694442"",""Table 2: MMC!T5:T114""), $A43=IMPORTRANGE(""https://docs.google.com/spreadsheets/d/1kGrh75X1cNR1D7_FcY9zMnHP8iPO4M5RCRjy6"&amp;"nZY0TY/edit#gid=1248694442"",""Table 2: MMC!A5:A114"")),"""")"),"")</f>
        <v/>
      </c>
      <c r="AR43" s="14" t="str">
        <f>IFERROR(__xludf.DUMMYFUNCTION("IFNA(FILTER(IMPORTRANGE(""https://docs.google.com/spreadsheets/d/1kGrh75X1cNR1D7_FcY9zMnHP8iPO4M5RCRjy6nZY0TY/edit#gid=1248694442"",""Table 2: MMC!U5:U114""), $A43=IMPORTRANGE(""https://docs.google.com/spreadsheets/d/1kGrh75X1cNR1D7_FcY9zMnHP8iPO4M5RCRjy6"&amp;"nZY0TY/edit#gid=1248694442"",""Table 2: MMC!A5:A114"")),"""")"),"")</f>
        <v/>
      </c>
      <c r="AS43" s="14" t="str">
        <f>IFERROR(__xludf.DUMMYFUNCTION("IFNA(FILTER(IMPORTRANGE(""https://docs.google.com/spreadsheets/d/1kGrh75X1cNR1D7_FcY9zMnHP8iPO4M5RCRjy6nZY0TY/edit#gid=1248694442"",""Table 2: MMC!V5:V114""), $A43=IMPORTRANGE(""https://docs.google.com/spreadsheets/d/1kGrh75X1cNR1D7_FcY9zMnHP8iPO4M5RCRjy6"&amp;"nZY0TY/edit#gid=1248694442"",""Table 2: MMC!A5:A114"")),"""")"),"")</f>
        <v/>
      </c>
      <c r="AT43" s="4" t="str">
        <f>IFERROR(__xludf.DUMMYFUNCTION("IFNA(FILTER(IMPORTRANGE(""https://docs.google.com/spreadsheets/d/1kGrh75X1cNR1D7_FcY9zMnHP8iPO4M5RCRjy6nZY0TY/edit#gid=1248694442"",""Table 2: MMC!W5:W114""), $A43=IMPORTRANGE(""https://docs.google.com/spreadsheets/d/1kGrh75X1cNR1D7_FcY9zMnHP8iPO4M5RCRjy6"&amp;"nZY0TY/edit#gid=1248694442"",""Table 2: MMC!A5:A114"")),"""")"),"")</f>
        <v/>
      </c>
    </row>
    <row r="44">
      <c r="A44" s="4" t="str">
        <f>IFERROR(__xludf.DUMMYFUNCTION("""COMPUTED_VALUE"""),"ID 88")</f>
        <v>ID 88</v>
      </c>
      <c r="B44" s="20">
        <f>IFERROR(__xludf.DUMMYFUNCTION("IFNA(FILTER(IMPORTRANGE(""https://docs.google.com/spreadsheets/d/1kGrh75X1cNR1D7_FcY9zMnHP8iPO4M5RCRjy6nZY0TY/edit#gid=1248694442"",""Table 3: 1st-line HC!BK5:BK111""), $A44=IMPORTRANGE(""https://docs.google.com/spreadsheets/d/1kGrh75X1cNR1D7_FcY9zMnHP8iP"&amp;"O4M5RCRjy6nZY0TY/edit#gid=1248694442"",""Table 3: 1st-line HC!A5:A111"")),"""")"),0.66)</f>
        <v>0.66</v>
      </c>
      <c r="C44" s="20">
        <f>IFERROR(__xludf.DUMMYFUNCTION("IFNA(FILTER(IMPORTRANGE(""https://docs.google.com/spreadsheets/d/1kGrh75X1cNR1D7_FcY9zMnHP8iPO4M5RCRjy6nZY0TY/edit#gid=1248694442"",""Subgroup 1: Fr ~ Tx!B3:B20""), $A44=IMPORTRANGE(""https://docs.google.com/spreadsheets/d/1kGrh75X1cNR1D7_FcY9zMnHP8iPO4M5"&amp;"RCRjy6nZY0TY/edit#gid=1248694442"",""Subgroup 1: Fr ~ Tx!A3:A20"")),"""")"),0.0)</f>
        <v>0</v>
      </c>
      <c r="D44" s="20">
        <f>IFERROR(__xludf.DUMMYFUNCTION("IFNA(FILTER(IMPORTRANGE(""https://docs.google.com/spreadsheets/d/1kGrh75X1cNR1D7_FcY9zMnHP8iPO4M5RCRjy6nZY0TY/edit#gid=1248694442"",""Subgroup 1: Fr ~ Tx!C3:C20""), $A44=IMPORTRANGE(""https://docs.google.com/spreadsheets/d/1kGrh75X1cNR1D7_FcY9zMnHP8iPO4M5"&amp;"RCRjy6nZY0TY/edit#gid=1248694442"",""Subgroup 1: Fr ~ Tx!A3:A20"")),"""")"),0.666666666666666)</f>
        <v>0.6666666667</v>
      </c>
      <c r="E44" s="20" t="str">
        <f>IFERROR(__xludf.DUMMYFUNCTION("IFNA(FILTER(IMPORTRANGE(""https://docs.google.com/spreadsheets/d/1kGrh75X1cNR1D7_FcY9zMnHP8iPO4M5RCRjy6nZY0TY/edit#gid=1248694442"",""Subgroup 1: Fr ~ Tx!D3:D20""), $A44=IMPORTRANGE(""https://docs.google.com/spreadsheets/d/1kGrh75X1cNR1D7_FcY9zMnHP8iPO4M5"&amp;"RCRjy6nZY0TY/edit#gid=1248694442"",""Subgroup 1: Fr ~ Tx!A3:A20"")),"""")"),"")</f>
        <v/>
      </c>
      <c r="F44" s="20" t="str">
        <f>IFERROR(__xludf.DUMMYFUNCTION("IFNA(FILTER(IMPORTRANGE(""https://docs.google.com/spreadsheets/d/1kGrh75X1cNR1D7_FcY9zMnHP8iPO4M5RCRjy6nZY0TY/edit#gid=1248694442"",""Subgroup 1: Fr ~ Tx!E3:E20""), $A44=IMPORTRANGE(""https://docs.google.com/spreadsheets/d/1kGrh75X1cNR1D7_FcY9zMnHP8iPO4M5"&amp;"RCRjy6nZY0TY/edit#gid=1248694442"",""Subgroup 1: Fr ~ Tx!A3:A20"")),"""")"),"")</f>
        <v/>
      </c>
      <c r="G44" s="20" t="str">
        <f>IFERROR(__xludf.DUMMYFUNCTION("IFNA(FILTER(IMPORTRANGE(""https://docs.google.com/spreadsheets/d/1kGrh75X1cNR1D7_FcY9zMnHP8iPO4M5RCRjy6nZY0TY/edit#gid=1248694442"",""Subgroup 1: Fr ~ Tx!F3:F20""), $A44=IMPORTRANGE(""https://docs.google.com/spreadsheets/d/1kGrh75X1cNR1D7_FcY9zMnHP8iPO4M5"&amp;"RCRjy6nZY0TY/edit#gid=1248694442"",""Subgroup 1: Fr ~ Tx!A3:A20"")),"""")"),"")</f>
        <v/>
      </c>
      <c r="H44" s="20" t="str">
        <f>IFERROR(__xludf.DUMMYFUNCTION("IFNA(FILTER(IMPORTRANGE(""https://docs.google.com/spreadsheets/d/1kGrh75X1cNR1D7_FcY9zMnHP8iPO4M5RCRjy6nZY0TY/edit#gid=1248694442"",""Table 3: 1st-line HC!BD5:BD111""), $A44=IMPORTRANGE(""https://docs.google.com/spreadsheets/d/1kGrh75X1cNR1D7_FcY9zMnHP8iP"&amp;"O4M5RCRjy6nZY0TY/edit#gid=1248694442"",""Table 3: 1st-line HC!A5:A111"")),"""")"),"")</f>
        <v/>
      </c>
      <c r="I44" s="20" t="str">
        <f>IFERROR(__xludf.DUMMYFUNCTION("IFNA(FILTER(IMPORTRANGE(""https://docs.google.com/spreadsheets/d/1kGrh75X1cNR1D7_FcY9zMnHP8iPO4M5RCRjy6nZY0TY/edit#gid=1248694442"",""Subgroup 5: Tf ~ Tx!B3:B8""), $A44=IMPORTRANGE(""https://docs.google.com/spreadsheets/d/1kGrh75X1cNR1D7_FcY9zMnHP8iPO4M5R"&amp;"CRjy6nZY0TY/edit#gid=1248694442"",""Subgroup 5: Tf ~ Tx!A3:A8"")),"""")"),"")</f>
        <v/>
      </c>
      <c r="J44" s="20" t="str">
        <f>IFERROR(__xludf.DUMMYFUNCTION("IFNA(FILTER(IMPORTRANGE(""https://docs.google.com/spreadsheets/d/1kGrh75X1cNR1D7_FcY9zMnHP8iPO4M5RCRjy6nZY0TY/edit#gid=1248694442"",""Subgroup 5: Tf ~ Tx!C3:C8""), $A44=IMPORTRANGE(""https://docs.google.com/spreadsheets/d/1kGrh75X1cNR1D7_FcY9zMnHP8iPO4M5R"&amp;"CRjy6nZY0TY/edit#gid=1248694442"",""Subgroup 5: Tf ~ Tx!A3:A8"")),"""")"),"")</f>
        <v/>
      </c>
      <c r="K44" s="20" t="str">
        <f>IFERROR(__xludf.DUMMYFUNCTION("IFNA(FILTER(IMPORTRANGE(""https://docs.google.com/spreadsheets/d/1kGrh75X1cNR1D7_FcY9zMnHP8iPO4M5RCRjy6nZY0TY/edit#gid=1248694442"",""Subgroup 5: Tf ~ Tx!D3:D8""), $A44=IMPORTRANGE(""https://docs.google.com/spreadsheets/d/1kGrh75X1cNR1D7_FcY9zMnHP8iPO4M5R"&amp;"CRjy6nZY0TY/edit#gid=1248694442"",""Subgroup 5: Tf ~ Tx!A3:A8"")),"""")"),"")</f>
        <v/>
      </c>
      <c r="L44" s="20" t="str">
        <f>IFERROR(__xludf.DUMMYFUNCTION("IFNA(FILTER(IMPORTRANGE(""https://docs.google.com/spreadsheets/d/1kGrh75X1cNR1D7_FcY9zMnHP8iPO4M5RCRjy6nZY0TY/edit#gid=1248694442"",""Subgroup 5: Tf ~ Tx!E3:E8""), $A44=IMPORTRANGE(""https://docs.google.com/spreadsheets/d/1kGrh75X1cNR1D7_FcY9zMnHP8iPO4M5R"&amp;"CRjy6nZY0TY/edit#gid=1248694442"",""Subgroup 5: Tf ~ Tx!A3:A8"")),"""")"),"")</f>
        <v/>
      </c>
      <c r="M44" s="20" t="str">
        <f>IFERROR(__xludf.DUMMYFUNCTION("IFNA(FILTER(IMPORTRANGE(""https://docs.google.com/spreadsheets/d/1kGrh75X1cNR1D7_FcY9zMnHP8iPO4M5RCRjy6nZY0TY/edit#gid=1248694442"",""Subgroup 5: Tf ~ Tx!F3:F8""), $A44=IMPORTRANGE(""https://docs.google.com/spreadsheets/d/1kGrh75X1cNR1D7_FcY9zMnHP8iPO4M5R"&amp;"CRjy6nZY0TY/edit#gid=1248694442"",""Subgroup 5: Tf ~ Tx!A3:A8"")),"""")"),"")</f>
        <v/>
      </c>
      <c r="N44" s="20" t="str">
        <f>IFERROR(__xludf.DUMMYFUNCTION("IFNA(FILTER(IMPORTRANGE(""https://docs.google.com/spreadsheets/d/1kGrh75X1cNR1D7_FcY9zMnHP8iPO4M5RCRjy6nZY0TY/edit#gid=1248694442"",""Table 3: 1st-line HC!BE5:BE111""), $A44=IMPORTRANGE(""https://docs.google.com/spreadsheets/d/1kGrh75X1cNR1D7_FcY9zMnHP8iP"&amp;"O4M5RCRjy6nZY0TY/edit#gid=1248694442"",""Table 3: 1st-line HC!A5:A111"")),"""")"),"")</f>
        <v/>
      </c>
      <c r="O44" s="20" t="str">
        <f>IFERROR(__xludf.DUMMYFUNCTION("IFNA(FILTER(IMPORTRANGE(""https://docs.google.com/spreadsheets/d/1kGrh75X1cNR1D7_FcY9zMnHP8iPO4M5RCRjy6nZY0TY/edit#gid=1248694442"",""Table 3: 1st-line HC!BF5:BF111""), $A44=IMPORTRANGE(""https://docs.google.com/spreadsheets/d/1kGrh75X1cNR1D7_FcY9zMnHP8iP"&amp;"O4M5RCRjy6nZY0TY/edit#gid=1248694442"",""Table 3: 1st-line HC!A5:A111"")),"""")"),"")</f>
        <v/>
      </c>
      <c r="P44" s="20" t="str">
        <f>IFERROR(__xludf.DUMMYFUNCTION("IFNA(FILTER(IMPORTRANGE(""https://docs.google.com/spreadsheets/d/1kGrh75X1cNR1D7_FcY9zMnHP8iPO4M5RCRjy6nZY0TY/edit#gid=1248694442"",""Table 3: 1st-line HC!BG5:BG111""), $A44=IMPORTRANGE(""https://docs.google.com/spreadsheets/d/1kGrh75X1cNR1D7_FcY9zMnHP8iP"&amp;"O4M5RCRjy6nZY0TY/edit#gid=1248694442"",""Table 3: 1st-line HC!A5:A111"")),"""")"),"")</f>
        <v/>
      </c>
      <c r="Q44" s="21" t="str">
        <f>IFERROR(__xludf.DUMMYFUNCTION("IFNA(FILTER(IMPORTRANGE(""https://docs.google.com/spreadsheets/d/1kGrh75X1cNR1D7_FcY9zMnHP8iPO4M5RCRjy6nZY0TY/edit#gid=1248694442"",""Table 3: 1st-line HC!BH5:BH111""), $A44=IMPORTRANGE(""https://docs.google.com/spreadsheets/d/1kGrh75X1cNR1D7_FcY9zMnHP8iP"&amp;"O4M5RCRjy6nZY0TY/edit#gid=1248694442"",""Table 3: 1st-line HC!A5:A111"")),"""")"),"14 of the 18 failures was due to menigitis")</f>
        <v>14 of the 18 failures was due to menigitis</v>
      </c>
      <c r="R44" s="19" t="str">
        <f>IFERROR(__xludf.DUMMYFUNCTION("IFNA(FILTER(IMPORTRANGE(""https://docs.google.com/spreadsheets/d/1kGrh75X1cNR1D7_FcY9zMnHP8iPO4M5RCRjy6nZY0TY/edit#gid=1248694442"",""Table 3: 1st-line HC!AJ5:AJ111""), $A44=IMPORTRANGE(""https://docs.google.com/spreadsheets/d/1kGrh75X1cNR1D7_FcY9zMnHP8iP"&amp;"O4M5RCRjy6nZY0TY/edit#gid=1248694442"",""Table 3: 1st-line HC!A5:A111"")),"""")"),"")</f>
        <v/>
      </c>
      <c r="S44" s="20" t="str">
        <f>IFERROR(__xludf.DUMMYFUNCTION("IFNA(FILTER(IMPORTRANGE(""https://docs.google.com/spreadsheets/d/1kGrh75X1cNR1D7_FcY9zMnHP8iPO4M5RCRjy6nZY0TY/edit#gid=1248694442"",""Subgroup 3: Mi ~ Tx!B3:B17""), $A44=IMPORTRANGE(""https://docs.google.com/spreadsheets/d/1kGrh75X1cNR1D7_FcY9zMnHP8iPO4M5"&amp;"RCRjy6nZY0TY/edit#gid=1248694442"",""Subgroup 3: Mi ~ Tx!A3:A17"")),"""")"),"")</f>
        <v/>
      </c>
      <c r="T44" s="20" t="str">
        <f>IFERROR(__xludf.DUMMYFUNCTION("IFNA(FILTER(IMPORTRANGE(""https://docs.google.com/spreadsheets/d/1kGrh75X1cNR1D7_FcY9zMnHP8iPO4M5RCRjy6nZY0TY/edit#gid=1248694442"",""Subgroup 3: Mi ~ Tx!C3:C17""), $A44=IMPORTRANGE(""https://docs.google.com/spreadsheets/d/1kGrh75X1cNR1D7_FcY9zMnHP8iPO4M5"&amp;"RCRjy6nZY0TY/edit#gid=1248694442"",""Subgroup 3: Mi ~ Tx!A3:A17"")),"""")"),"")</f>
        <v/>
      </c>
      <c r="U44" s="20" t="str">
        <f>IFERROR(__xludf.DUMMYFUNCTION("IFNA(FILTER(IMPORTRANGE(""https://docs.google.com/spreadsheets/d/1kGrh75X1cNR1D7_FcY9zMnHP8iPO4M5RCRjy6nZY0TY/edit#gid=1248694442"",""Subgroup 3: Mi ~ Tx!D3:D17""), $A44=IMPORTRANGE(""https://docs.google.com/spreadsheets/d/1kGrh75X1cNR1D7_FcY9zMnHP8iPO4M5"&amp;"RCRjy6nZY0TY/edit#gid=1248694442"",""Subgroup 3: Mi ~ Tx!A3:A17"")),"""")"),"")</f>
        <v/>
      </c>
      <c r="V44" s="20" t="str">
        <f>IFERROR(__xludf.DUMMYFUNCTION("IFNA(FILTER(IMPORTRANGE(""https://docs.google.com/spreadsheets/d/1kGrh75X1cNR1D7_FcY9zMnHP8iPO4M5RCRjy6nZY0TY/edit#gid=1248694442"",""Subgroup 3: Mi ~ Tx!E3:E17""), $A44=IMPORTRANGE(""https://docs.google.com/spreadsheets/d/1kGrh75X1cNR1D7_FcY9zMnHP8iPO4M5"&amp;"RCRjy6nZY0TY/edit#gid=1248694442"",""Subgroup 3: Mi ~ Tx!A3:A17"")),"""")"),"")</f>
        <v/>
      </c>
      <c r="W44" s="20" t="str">
        <f>IFERROR(__xludf.DUMMYFUNCTION("IFNA(FILTER(IMPORTRANGE(""https://docs.google.com/spreadsheets/d/1kGrh75X1cNR1D7_FcY9zMnHP8iPO4M5RCRjy6nZY0TY/edit#gid=1248694442"",""Subgroup 3: Mi ~ Tx!F3:F17""), $A44=IMPORTRANGE(""https://docs.google.com/spreadsheets/d/1kGrh75X1cNR1D7_FcY9zMnHP8iPO4M5"&amp;"RCRjy6nZY0TY/edit#gid=1248694442"",""Subgroup 3: Mi ~ Tx!A3:A17"")),"""")"),"")</f>
        <v/>
      </c>
      <c r="X44" s="19" t="str">
        <f>IFERROR(__xludf.DUMMYFUNCTION("IFNA(FILTER(IMPORTRANGE(""https://docs.google.com/spreadsheets/d/1kGrh75X1cNR1D7_FcY9zMnHP8iPO4M5RCRjy6nZY0TY/edit#gid=1248694442"",""Table 3: 1st-line HC!AK5:AK111""), $A44=IMPORTRANGE(""https://docs.google.com/spreadsheets/d/1kGrh75X1cNR1D7_FcY9zMnHP8iP"&amp;"O4M5RCRjy6nZY0TY/edit#gid=1248694442"",""Table 3: 1st-line HC!A5:A111"")),"""")"),"")</f>
        <v/>
      </c>
      <c r="Y44" s="20" t="str">
        <f>IFERROR(__xludf.DUMMYFUNCTION("IFNA(FILTER(IMPORTRANGE(""https://docs.google.com/spreadsheets/d/1kGrh75X1cNR1D7_FcY9zMnHP8iPO4M5RCRjy6nZY0TY/edit#gid=1248694442"",""Subgroup 4: Mp ~ Tx!B3:B20""), $A44=IMPORTRANGE(""https://docs.google.com/spreadsheets/d/1kGrh75X1cNR1D7_FcY9zMnHP8iPO4M5"&amp;"RCRjy6nZY0TY/edit#gid=1248694442"",""Subgroup 4: Mp ~ Tx!A3:A20"")),"""")"),"")</f>
        <v/>
      </c>
      <c r="Z44" s="20" t="str">
        <f>IFERROR(__xludf.DUMMYFUNCTION("IFNA(FILTER(IMPORTRANGE(""https://docs.google.com/spreadsheets/d/1kGrh75X1cNR1D7_FcY9zMnHP8iPO4M5RCRjy6nZY0TY/edit#gid=1248694442"",""Subgroup 4: Mp ~ Tx!C3:C20""), $A44=IMPORTRANGE(""https://docs.google.com/spreadsheets/d/1kGrh75X1cNR1D7_FcY9zMnHP8iPO4M5"&amp;"RCRjy6nZY0TY/edit#gid=1248694442"",""Subgroup 4: Mp ~ Tx!A3:A20"")),"""")"),"")</f>
        <v/>
      </c>
      <c r="AA44" s="20" t="str">
        <f>IFERROR(__xludf.DUMMYFUNCTION("IFNA(FILTER(IMPORTRANGE(""https://docs.google.com/spreadsheets/d/1kGrh75X1cNR1D7_FcY9zMnHP8iPO4M5RCRjy6nZY0TY/edit#gid=1248694442"",""Subgroup 4: Mp ~ Tx!D3:D20""), $A44=IMPORTRANGE(""https://docs.google.com/spreadsheets/d/1kGrh75X1cNR1D7_FcY9zMnHP8iPO4M5"&amp;"RCRjy6nZY0TY/edit#gid=1248694442"",""Subgroup 4: Mp ~ Tx!A3:A20"")),"""")"),"")</f>
        <v/>
      </c>
      <c r="AB44" s="20" t="str">
        <f>IFERROR(__xludf.DUMMYFUNCTION("IFNA(FILTER(IMPORTRANGE(""https://docs.google.com/spreadsheets/d/1kGrh75X1cNR1D7_FcY9zMnHP8iPO4M5RCRjy6nZY0TY/edit#gid=1248694442"",""Subgroup 4: Mp ~ Tx!E3:E20""), $A44=IMPORTRANGE(""https://docs.google.com/spreadsheets/d/1kGrh75X1cNR1D7_FcY9zMnHP8iPO4M5"&amp;"RCRjy6nZY0TY/edit#gid=1248694442"",""Subgroup 4: Mp ~ Tx!A3:A20"")),"""")"),"")</f>
        <v/>
      </c>
      <c r="AC44" s="20" t="str">
        <f>IFERROR(__xludf.DUMMYFUNCTION("IFNA(FILTER(IMPORTRANGE(""https://docs.google.com/spreadsheets/d/1kGrh75X1cNR1D7_FcY9zMnHP8iPO4M5RCRjy6nZY0TY/edit#gid=1248694442"",""Subgroup 4: Mp ~ Tx!F3:F20""), $A44=IMPORTRANGE(""https://docs.google.com/spreadsheets/d/1kGrh75X1cNR1D7_FcY9zMnHP8iPO4M5"&amp;"RCRjy6nZY0TY/edit#gid=1248694442"",""Subgroup 4: Mp ~ Tx!A3:A20"")),"""")"),"")</f>
        <v/>
      </c>
      <c r="AD44" s="22" t="str">
        <f>IFERROR(__xludf.DUMMYFUNCTION("IFNA(FILTER(IMPORTRANGE(""https://docs.google.com/spreadsheets/d/1kGrh75X1cNR1D7_FcY9zMnHP8iPO4M5RCRjy6nZY0TY/edit#gid=1248694442"",""Table 3: 1st-line HC!AL5:AL111""), $A44=IMPORTRANGE(""https://docs.google.com/spreadsheets/d/1kGrh75X1cNR1D7_FcY9zMnHP8iP"&amp;"O4M5RCRjy6nZY0TY/edit#gid=1248694442"",""Table 3: 1st-line HC!A5:A111"")),"""")"),"Six patients died, all before the age of 2 years (4 - 20 months): two of meningitis, 1 bronchoaspiration, 1 pneumonia and 2 due to an unknown etiology (No disaggreagtion for MMCaH)")</f>
        <v>Six patients died, all before the age of 2 years (4 - 20 months): two of meningitis, 1 bronchoaspiration, 1 pneumonia and 2 due to an unknown etiology (No disaggreagtion for MMCaH)</v>
      </c>
      <c r="AE44" s="20">
        <f>IFERROR(__xludf.DUMMYFUNCTION("IFNA(FILTER(IMPORTRANGE(""https://docs.google.com/spreadsheets/d/1kGrh75X1cNR1D7_FcY9zMnHP8iPO4M5RCRjy6nZY0TY/edit#gid=1248694442"",""Table 3: 1st-line HC!BJ5:BJ111""), $A44=IMPORTRANGE(""https://docs.google.com/spreadsheets/d/1kGrh75X1cNR1D7_FcY9zMnHP8iP"&amp;"O4M5RCRjy6nZY0TY/edit#gid=1248694442"",""Table 3: 1st-line HC!A5:A111"")),"""")"),0.92)</f>
        <v>0.92</v>
      </c>
      <c r="AF44" s="20">
        <f>IFERROR(__xludf.DUMMYFUNCTION("IFNA(FILTER(IMPORTRANGE(""https://docs.google.com/spreadsheets/d/1kGrh75X1cNR1D7_FcY9zMnHP8iPO4M5RCRjy6nZY0TY/edit#gid=1248694442"",""Subgroup 2: Cr ~ Tx!B3:B23""), $A44=IMPORTRANGE(""https://docs.google.com/spreadsheets/d/1kGrh75X1cNR1D7_FcY9zMnHP8iPO4M5"&amp;"RCRjy6nZY0TY/edit#gid=1248694442"",""Subgroup 2: Cr ~ Tx!A3:A23"")),"""")"),0.333333333333333)</f>
        <v>0.3333333333</v>
      </c>
      <c r="AG44" s="20">
        <f>IFERROR(__xludf.DUMMYFUNCTION("IFNA(FILTER(IMPORTRANGE(""https://docs.google.com/spreadsheets/d/1kGrh75X1cNR1D7_FcY9zMnHP8iPO4M5RCRjy6nZY0TY/edit#gid=1248694442"",""Subgroup 2: Cr ~ Tx!C3:C23""), $A44=IMPORTRANGE(""https://docs.google.com/spreadsheets/d/1kGrh75X1cNR1D7_FcY9zMnHP8iPO4M5"&amp;"RCRjy6nZY0TY/edit#gid=1248694442"",""Subgroup 2: Cr ~ Tx!A3:A23"")),"""")"),0.777777777777777)</f>
        <v>0.7777777778</v>
      </c>
      <c r="AH44" s="20" t="str">
        <f>IFERROR(__xludf.DUMMYFUNCTION("IFNA(FILTER(IMPORTRANGE(""https://docs.google.com/spreadsheets/d/1kGrh75X1cNR1D7_FcY9zMnHP8iPO4M5RCRjy6nZY0TY/edit#gid=1248694442"",""Subgroup 2: Cr ~ Tx!D3:D23""), $A44=IMPORTRANGE(""https://docs.google.com/spreadsheets/d/1kGrh75X1cNR1D7_FcY9zMnHP8iPO4M5"&amp;"RCRjy6nZY0TY/edit#gid=1248694442"",""Subgroup 2: Cr ~ Tx!A3:A23"")),"""")"),"")</f>
        <v/>
      </c>
      <c r="AI44" s="20" t="str">
        <f>IFERROR(__xludf.DUMMYFUNCTION("IFNA(FILTER(IMPORTRANGE(""https://docs.google.com/spreadsheets/d/1kGrh75X1cNR1D7_FcY9zMnHP8iPO4M5RCRjy6nZY0TY/edit#gid=1248694442"",""Subgroup 2: Cr ~ Tx!E3:E23""), $A44=IMPORTRANGE(""https://docs.google.com/spreadsheets/d/1kGrh75X1cNR1D7_FcY9zMnHP8iPO4M5"&amp;"RCRjy6nZY0TY/edit#gid=1248694442"",""Subgroup 2: Cr ~ Tx!A3:A23"")),"""")"),"")</f>
        <v/>
      </c>
      <c r="AJ44" s="20" t="str">
        <f>IFERROR(__xludf.DUMMYFUNCTION("IFNA(FILTER(IMPORTRANGE(""https://docs.google.com/spreadsheets/d/1kGrh75X1cNR1D7_FcY9zMnHP8iPO4M5RCRjy6nZY0TY/edit#gid=1248694442"",""Subgroup 2: Cr ~ Tx!F3:F23""), $A44=IMPORTRANGE(""https://docs.google.com/spreadsheets/d/1kGrh75X1cNR1D7_FcY9zMnHP8iPO4M5"&amp;"RCRjy6nZY0TY/edit#gid=1248694442"",""Subgroup 2: Cr ~ Tx!A3:A23"")),"""")"),"")</f>
        <v/>
      </c>
      <c r="AK44" s="14" t="str">
        <f>IFERROR(__xludf.DUMMYFUNCTION("IFNA(FILTER(IMPORTRANGE(""https://docs.google.com/spreadsheets/d/1kGrh75X1cNR1D7_FcY9zMnHP8iPO4M5RCRjy6nZY0TY/edit#gid=1248694442"",""Table 4: 2nd-line HC or more!M5:M85""), $A44=IMPORTRANGE(""https://docs.google.com/spreadsheets/d/1kGrh75X1cNR1D7_FcY9zMn"&amp;"HP8iPO4M5RCRjy6nZY0TY/edit#gid=1248694442"",""Table 4: 2nd-line HC or more!A5:A85"")),"""")"),"")</f>
        <v/>
      </c>
      <c r="AL44" s="14" t="str">
        <f>IFERROR(__xludf.DUMMYFUNCTION("IFNA(FILTER(IMPORTRANGE(""https://docs.google.com/spreadsheets/d/1kGrh75X1cNR1D7_FcY9zMnHP8iPO4M5RCRjy6nZY0TY/edit#gid=1248694442"",""Table 4: 2nd-line HC or more!N5:N85""), $A44=IMPORTRANGE(""https://docs.google.com/spreadsheets/d/1kGrh75X1cNR1D7_FcY9zMn"&amp;"HP8iPO4M5RCRjy6nZY0TY/edit#gid=1248694442"",""Table 4: 2nd-line HC or more!A5:A85"")),"""")"),"")</f>
        <v/>
      </c>
      <c r="AM44" s="14" t="str">
        <f>IFERROR(__xludf.DUMMYFUNCTION("IFNA(FILTER(IMPORTRANGE(""https://docs.google.com/spreadsheets/d/1kGrh75X1cNR1D7_FcY9zMnHP8iPO4M5RCRjy6nZY0TY/edit#gid=1248694442"",""Table 4: 2nd-line HC or more!O5:O85""), $A44=IMPORTRANGE(""https://docs.google.com/spreadsheets/d/1kGrh75X1cNR1D7_FcY9zMn"&amp;"HP8iPO4M5RCRjy6nZY0TY/edit#gid=1248694442"",""Table 4: 2nd-line HC or more!A5:A85"")),"""")"),"")</f>
        <v/>
      </c>
      <c r="AN44" s="14" t="str">
        <f>IFERROR(__xludf.DUMMYFUNCTION("IFNA(FILTER(IMPORTRANGE(""https://docs.google.com/spreadsheets/d/1kGrh75X1cNR1D7_FcY9zMnHP8iPO4M5RCRjy6nZY0TY/edit#gid=1248694442"",""Table 3: 1st-line HC!AP5:AP111""), $A44=IMPORTRANGE(""https://docs.google.com/spreadsheets/d/1kGrh75X1cNR1D7_FcY9zMnHP8iP"&amp;"O4M5RCRjy6nZY0TY/edit#gid=1248694442"",""Table 3: 1st-line HC!A5:A111"")),"""")"),"")</f>
        <v/>
      </c>
      <c r="AO44" s="14" t="str">
        <f>IFERROR(__xludf.DUMMYFUNCTION("IFNA(FILTER(IMPORTRANGE(""https://docs.google.com/spreadsheets/d/1kGrh75X1cNR1D7_FcY9zMnHP8iPO4M5RCRjy6nZY0TY/edit#gid=1248694442"",""Table 3: 1st-line HC!AO5:AO111""), $A44=IMPORTRANGE(""https://docs.google.com/spreadsheets/d/1kGrh75X1cNR1D7_FcY9zMnHP8iP"&amp;"O4M5RCRjy6nZY0TY/edit#gid=1248694442"",""Table 3: 1st-line HC!A5:A111"")),"""")"),"")</f>
        <v/>
      </c>
      <c r="AP44" s="14">
        <f>IFERROR(__xludf.DUMMYFUNCTION("IFNA(FILTER(IMPORTRANGE(""https://docs.google.com/spreadsheets/d/1kGrh75X1cNR1D7_FcY9zMnHP8iPO4M5RCRjy6nZY0TY/edit#gid=1248694442"",""Table 3: 1st-line HC!AQ5:AQ111""), $A44=IMPORTRANGE(""https://docs.google.com/spreadsheets/d/1kGrh75X1cNR1D7_FcY9zMnHP8iP"&amp;"O4M5RCRjy6nZY0TY/edit#gid=1248694442"",""Table 3: 1st-line HC!A5:A111"")),"""")"),14.0)</f>
        <v>14</v>
      </c>
      <c r="AQ44" s="14" t="str">
        <f>IFERROR(__xludf.DUMMYFUNCTION("IFNA(FILTER(IMPORTRANGE(""https://docs.google.com/spreadsheets/d/1kGrh75X1cNR1D7_FcY9zMnHP8iPO4M5RCRjy6nZY0TY/edit#gid=1248694442"",""Table 2: MMC!T5:T114""), $A44=IMPORTRANGE(""https://docs.google.com/spreadsheets/d/1kGrh75X1cNR1D7_FcY9zMnHP8iPO4M5RCRjy6"&amp;"nZY0TY/edit#gid=1248694442"",""Table 2: MMC!A5:A114"")),"""")"),"")</f>
        <v/>
      </c>
      <c r="AR44" s="14" t="str">
        <f>IFERROR(__xludf.DUMMYFUNCTION("IFNA(FILTER(IMPORTRANGE(""https://docs.google.com/spreadsheets/d/1kGrh75X1cNR1D7_FcY9zMnHP8iPO4M5RCRjy6nZY0TY/edit#gid=1248694442"",""Table 2: MMC!U5:U114""), $A44=IMPORTRANGE(""https://docs.google.com/spreadsheets/d/1kGrh75X1cNR1D7_FcY9zMnHP8iPO4M5RCRjy6"&amp;"nZY0TY/edit#gid=1248694442"",""Table 2: MMC!A5:A114"")),"""")"),"")</f>
        <v/>
      </c>
      <c r="AS44" s="14" t="str">
        <f>IFERROR(__xludf.DUMMYFUNCTION("IFNA(FILTER(IMPORTRANGE(""https://docs.google.com/spreadsheets/d/1kGrh75X1cNR1D7_FcY9zMnHP8iPO4M5RCRjy6nZY0TY/edit#gid=1248694442"",""Table 2: MMC!V5:V114""), $A44=IMPORTRANGE(""https://docs.google.com/spreadsheets/d/1kGrh75X1cNR1D7_FcY9zMnHP8iPO4M5RCRjy6"&amp;"nZY0TY/edit#gid=1248694442"",""Table 2: MMC!A5:A114"")),"""")"),"")</f>
        <v/>
      </c>
      <c r="AT44" s="4" t="str">
        <f>IFERROR(__xludf.DUMMYFUNCTION("IFNA(FILTER(IMPORTRANGE(""https://docs.google.com/spreadsheets/d/1kGrh75X1cNR1D7_FcY9zMnHP8iPO4M5RCRjy6nZY0TY/edit#gid=1248694442"",""Table 2: MMC!W5:W114""), $A44=IMPORTRANGE(""https://docs.google.com/spreadsheets/d/1kGrh75X1cNR1D7_FcY9zMnHP8iPO4M5RCRjy6"&amp;"nZY0TY/edit#gid=1248694442"",""Table 2: MMC!A5:A114"")),"""")"),"")</f>
        <v/>
      </c>
    </row>
    <row r="45">
      <c r="A45" s="4" t="str">
        <f>IFERROR(__xludf.DUMMYFUNCTION("""COMPUTED_VALUE"""),"ID 89")</f>
        <v>ID 89</v>
      </c>
      <c r="B45" s="20" t="str">
        <f>IFERROR(__xludf.DUMMYFUNCTION("IFNA(FILTER(IMPORTRANGE(""https://docs.google.com/spreadsheets/d/1kGrh75X1cNR1D7_FcY9zMnHP8iPO4M5RCRjy6nZY0TY/edit#gid=1248694442"",""Table 3: 1st-line HC!BK5:BK111""), $A45=IMPORTRANGE(""https://docs.google.com/spreadsheets/d/1kGrh75X1cNR1D7_FcY9zMnHP8iP"&amp;"O4M5RCRjy6nZY0TY/edit#gid=1248694442"",""Table 3: 1st-line HC!A5:A111"")),"""")"),"")</f>
        <v/>
      </c>
      <c r="C45" s="20" t="str">
        <f>IFERROR(__xludf.DUMMYFUNCTION("IFNA(FILTER(IMPORTRANGE(""https://docs.google.com/spreadsheets/d/1kGrh75X1cNR1D7_FcY9zMnHP8iPO4M5RCRjy6nZY0TY/edit#gid=1248694442"",""Subgroup 1: Fr ~ Tx!B3:B20""), $A45=IMPORTRANGE(""https://docs.google.com/spreadsheets/d/1kGrh75X1cNR1D7_FcY9zMnHP8iPO4M5"&amp;"RCRjy6nZY0TY/edit#gid=1248694442"",""Subgroup 1: Fr ~ Tx!A3:A20"")),"""")"),"")</f>
        <v/>
      </c>
      <c r="D45" s="20" t="str">
        <f>IFERROR(__xludf.DUMMYFUNCTION("IFNA(FILTER(IMPORTRANGE(""https://docs.google.com/spreadsheets/d/1kGrh75X1cNR1D7_FcY9zMnHP8iPO4M5RCRjy6nZY0TY/edit#gid=1248694442"",""Subgroup 1: Fr ~ Tx!C3:C20""), $A45=IMPORTRANGE(""https://docs.google.com/spreadsheets/d/1kGrh75X1cNR1D7_FcY9zMnHP8iPO4M5"&amp;"RCRjy6nZY0TY/edit#gid=1248694442"",""Subgroup 1: Fr ~ Tx!A3:A20"")),"""")"),"")</f>
        <v/>
      </c>
      <c r="E45" s="20" t="str">
        <f>IFERROR(__xludf.DUMMYFUNCTION("IFNA(FILTER(IMPORTRANGE(""https://docs.google.com/spreadsheets/d/1kGrh75X1cNR1D7_FcY9zMnHP8iPO4M5RCRjy6nZY0TY/edit#gid=1248694442"",""Subgroup 1: Fr ~ Tx!D3:D20""), $A45=IMPORTRANGE(""https://docs.google.com/spreadsheets/d/1kGrh75X1cNR1D7_FcY9zMnHP8iPO4M5"&amp;"RCRjy6nZY0TY/edit#gid=1248694442"",""Subgroup 1: Fr ~ Tx!A3:A20"")),"""")"),"")</f>
        <v/>
      </c>
      <c r="F45" s="20" t="str">
        <f>IFERROR(__xludf.DUMMYFUNCTION("IFNA(FILTER(IMPORTRANGE(""https://docs.google.com/spreadsheets/d/1kGrh75X1cNR1D7_FcY9zMnHP8iPO4M5RCRjy6nZY0TY/edit#gid=1248694442"",""Subgroup 1: Fr ~ Tx!E3:E20""), $A45=IMPORTRANGE(""https://docs.google.com/spreadsheets/d/1kGrh75X1cNR1D7_FcY9zMnHP8iPO4M5"&amp;"RCRjy6nZY0TY/edit#gid=1248694442"",""Subgroup 1: Fr ~ Tx!A3:A20"")),"""")"),"")</f>
        <v/>
      </c>
      <c r="G45" s="20" t="str">
        <f>IFERROR(__xludf.DUMMYFUNCTION("IFNA(FILTER(IMPORTRANGE(""https://docs.google.com/spreadsheets/d/1kGrh75X1cNR1D7_FcY9zMnHP8iPO4M5RCRjy6nZY0TY/edit#gid=1248694442"",""Subgroup 1: Fr ~ Tx!F3:F20""), $A45=IMPORTRANGE(""https://docs.google.com/spreadsheets/d/1kGrh75X1cNR1D7_FcY9zMnHP8iPO4M5"&amp;"RCRjy6nZY0TY/edit#gid=1248694442"",""Subgroup 1: Fr ~ Tx!A3:A20"")),"""")"),"")</f>
        <v/>
      </c>
      <c r="H45" s="20" t="str">
        <f>IFERROR(__xludf.DUMMYFUNCTION("IFNA(FILTER(IMPORTRANGE(""https://docs.google.com/spreadsheets/d/1kGrh75X1cNR1D7_FcY9zMnHP8iPO4M5RCRjy6nZY0TY/edit#gid=1248694442"",""Table 3: 1st-line HC!BD5:BD111""), $A45=IMPORTRANGE(""https://docs.google.com/spreadsheets/d/1kGrh75X1cNR1D7_FcY9zMnHP8iP"&amp;"O4M5RCRjy6nZY0TY/edit#gid=1248694442"",""Table 3: 1st-line HC!A5:A111"")),"""")"),"")</f>
        <v/>
      </c>
      <c r="I45" s="20" t="str">
        <f>IFERROR(__xludf.DUMMYFUNCTION("IFNA(FILTER(IMPORTRANGE(""https://docs.google.com/spreadsheets/d/1kGrh75X1cNR1D7_FcY9zMnHP8iPO4M5RCRjy6nZY0TY/edit#gid=1248694442"",""Subgroup 5: Tf ~ Tx!B3:B8""), $A45=IMPORTRANGE(""https://docs.google.com/spreadsheets/d/1kGrh75X1cNR1D7_FcY9zMnHP8iPO4M5R"&amp;"CRjy6nZY0TY/edit#gid=1248694442"",""Subgroup 5: Tf ~ Tx!A3:A8"")),"""")"),"")</f>
        <v/>
      </c>
      <c r="J45" s="20" t="str">
        <f>IFERROR(__xludf.DUMMYFUNCTION("IFNA(FILTER(IMPORTRANGE(""https://docs.google.com/spreadsheets/d/1kGrh75X1cNR1D7_FcY9zMnHP8iPO4M5RCRjy6nZY0TY/edit#gid=1248694442"",""Subgroup 5: Tf ~ Tx!C3:C8""), $A45=IMPORTRANGE(""https://docs.google.com/spreadsheets/d/1kGrh75X1cNR1D7_FcY9zMnHP8iPO4M5R"&amp;"CRjy6nZY0TY/edit#gid=1248694442"",""Subgroup 5: Tf ~ Tx!A3:A8"")),"""")"),"")</f>
        <v/>
      </c>
      <c r="K45" s="20" t="str">
        <f>IFERROR(__xludf.DUMMYFUNCTION("IFNA(FILTER(IMPORTRANGE(""https://docs.google.com/spreadsheets/d/1kGrh75X1cNR1D7_FcY9zMnHP8iPO4M5RCRjy6nZY0TY/edit#gid=1248694442"",""Subgroup 5: Tf ~ Tx!D3:D8""), $A45=IMPORTRANGE(""https://docs.google.com/spreadsheets/d/1kGrh75X1cNR1D7_FcY9zMnHP8iPO4M5R"&amp;"CRjy6nZY0TY/edit#gid=1248694442"",""Subgroup 5: Tf ~ Tx!A3:A8"")),"""")"),"")</f>
        <v/>
      </c>
      <c r="L45" s="20" t="str">
        <f>IFERROR(__xludf.DUMMYFUNCTION("IFNA(FILTER(IMPORTRANGE(""https://docs.google.com/spreadsheets/d/1kGrh75X1cNR1D7_FcY9zMnHP8iPO4M5RCRjy6nZY0TY/edit#gid=1248694442"",""Subgroup 5: Tf ~ Tx!E3:E8""), $A45=IMPORTRANGE(""https://docs.google.com/spreadsheets/d/1kGrh75X1cNR1D7_FcY9zMnHP8iPO4M5R"&amp;"CRjy6nZY0TY/edit#gid=1248694442"",""Subgroup 5: Tf ~ Tx!A3:A8"")),"""")"),"")</f>
        <v/>
      </c>
      <c r="M45" s="20" t="str">
        <f>IFERROR(__xludf.DUMMYFUNCTION("IFNA(FILTER(IMPORTRANGE(""https://docs.google.com/spreadsheets/d/1kGrh75X1cNR1D7_FcY9zMnHP8iPO4M5RCRjy6nZY0TY/edit#gid=1248694442"",""Subgroup 5: Tf ~ Tx!F3:F8""), $A45=IMPORTRANGE(""https://docs.google.com/spreadsheets/d/1kGrh75X1cNR1D7_FcY9zMnHP8iPO4M5R"&amp;"CRjy6nZY0TY/edit#gid=1248694442"",""Subgroup 5: Tf ~ Tx!A3:A8"")),"""")"),"")</f>
        <v/>
      </c>
      <c r="N45" s="20" t="str">
        <f>IFERROR(__xludf.DUMMYFUNCTION("IFNA(FILTER(IMPORTRANGE(""https://docs.google.com/spreadsheets/d/1kGrh75X1cNR1D7_FcY9zMnHP8iPO4M5RCRjy6nZY0TY/edit#gid=1248694442"",""Table 3: 1st-line HC!BE5:BE111""), $A45=IMPORTRANGE(""https://docs.google.com/spreadsheets/d/1kGrh75X1cNR1D7_FcY9zMnHP8iP"&amp;"O4M5RCRjy6nZY0TY/edit#gid=1248694442"",""Table 3: 1st-line HC!A5:A111"")),"""")"),"")</f>
        <v/>
      </c>
      <c r="O45" s="20" t="str">
        <f>IFERROR(__xludf.DUMMYFUNCTION("IFNA(FILTER(IMPORTRANGE(""https://docs.google.com/spreadsheets/d/1kGrh75X1cNR1D7_FcY9zMnHP8iPO4M5RCRjy6nZY0TY/edit#gid=1248694442"",""Table 3: 1st-line HC!BF5:BF111""), $A45=IMPORTRANGE(""https://docs.google.com/spreadsheets/d/1kGrh75X1cNR1D7_FcY9zMnHP8iP"&amp;"O4M5RCRjy6nZY0TY/edit#gid=1248694442"",""Table 3: 1st-line HC!A5:A111"")),"""")"),"")</f>
        <v/>
      </c>
      <c r="P45" s="20" t="str">
        <f>IFERROR(__xludf.DUMMYFUNCTION("IFNA(FILTER(IMPORTRANGE(""https://docs.google.com/spreadsheets/d/1kGrh75X1cNR1D7_FcY9zMnHP8iPO4M5RCRjy6nZY0TY/edit#gid=1248694442"",""Table 3: 1st-line HC!BG5:BG111""), $A45=IMPORTRANGE(""https://docs.google.com/spreadsheets/d/1kGrh75X1cNR1D7_FcY9zMnHP8iP"&amp;"O4M5RCRjy6nZY0TY/edit#gid=1248694442"",""Table 3: 1st-line HC!A5:A111"")),"""")"),"")</f>
        <v/>
      </c>
      <c r="Q45" s="21" t="str">
        <f>IFERROR(__xludf.DUMMYFUNCTION("IFNA(FILTER(IMPORTRANGE(""https://docs.google.com/spreadsheets/d/1kGrh75X1cNR1D7_FcY9zMnHP8iPO4M5RCRjy6nZY0TY/edit#gid=1248694442"",""Table 3: 1st-line HC!BH5:BH111""), $A45=IMPORTRANGE(""https://docs.google.com/spreadsheets/d/1kGrh75X1cNR1D7_FcY9zMnHP8iP"&amp;"O4M5RCRjy6nZY0TY/edit#gid=1248694442"",""Table 3: 1st-line HC!A5:A111"")),"""")"),"")</f>
        <v/>
      </c>
      <c r="R45" s="19" t="str">
        <f>IFERROR(__xludf.DUMMYFUNCTION("IFNA(FILTER(IMPORTRANGE(""https://docs.google.com/spreadsheets/d/1kGrh75X1cNR1D7_FcY9zMnHP8iPO4M5RCRjy6nZY0TY/edit#gid=1248694442"",""Table 3: 1st-line HC!AJ5:AJ111""), $A45=IMPORTRANGE(""https://docs.google.com/spreadsheets/d/1kGrh75X1cNR1D7_FcY9zMnHP8iP"&amp;"O4M5RCRjy6nZY0TY/edit#gid=1248694442"",""Table 3: 1st-line HC!A5:A111"")),"""")"),"")</f>
        <v/>
      </c>
      <c r="S45" s="20" t="str">
        <f>IFERROR(__xludf.DUMMYFUNCTION("IFNA(FILTER(IMPORTRANGE(""https://docs.google.com/spreadsheets/d/1kGrh75X1cNR1D7_FcY9zMnHP8iPO4M5RCRjy6nZY0TY/edit#gid=1248694442"",""Subgroup 3: Mi ~ Tx!B3:B17""), $A45=IMPORTRANGE(""https://docs.google.com/spreadsheets/d/1kGrh75X1cNR1D7_FcY9zMnHP8iPO4M5"&amp;"RCRjy6nZY0TY/edit#gid=1248694442"",""Subgroup 3: Mi ~ Tx!A3:A17"")),"""")"),"")</f>
        <v/>
      </c>
      <c r="T45" s="20" t="str">
        <f>IFERROR(__xludf.DUMMYFUNCTION("IFNA(FILTER(IMPORTRANGE(""https://docs.google.com/spreadsheets/d/1kGrh75X1cNR1D7_FcY9zMnHP8iPO4M5RCRjy6nZY0TY/edit#gid=1248694442"",""Subgroup 3: Mi ~ Tx!C3:C17""), $A45=IMPORTRANGE(""https://docs.google.com/spreadsheets/d/1kGrh75X1cNR1D7_FcY9zMnHP8iPO4M5"&amp;"RCRjy6nZY0TY/edit#gid=1248694442"",""Subgroup 3: Mi ~ Tx!A3:A17"")),"""")"),"")</f>
        <v/>
      </c>
      <c r="U45" s="20" t="str">
        <f>IFERROR(__xludf.DUMMYFUNCTION("IFNA(FILTER(IMPORTRANGE(""https://docs.google.com/spreadsheets/d/1kGrh75X1cNR1D7_FcY9zMnHP8iPO4M5RCRjy6nZY0TY/edit#gid=1248694442"",""Subgroup 3: Mi ~ Tx!D3:D17""), $A45=IMPORTRANGE(""https://docs.google.com/spreadsheets/d/1kGrh75X1cNR1D7_FcY9zMnHP8iPO4M5"&amp;"RCRjy6nZY0TY/edit#gid=1248694442"",""Subgroup 3: Mi ~ Tx!A3:A17"")),"""")"),"")</f>
        <v/>
      </c>
      <c r="V45" s="20" t="str">
        <f>IFERROR(__xludf.DUMMYFUNCTION("IFNA(FILTER(IMPORTRANGE(""https://docs.google.com/spreadsheets/d/1kGrh75X1cNR1D7_FcY9zMnHP8iPO4M5RCRjy6nZY0TY/edit#gid=1248694442"",""Subgroup 3: Mi ~ Tx!E3:E17""), $A45=IMPORTRANGE(""https://docs.google.com/spreadsheets/d/1kGrh75X1cNR1D7_FcY9zMnHP8iPO4M5"&amp;"RCRjy6nZY0TY/edit#gid=1248694442"",""Subgroup 3: Mi ~ Tx!A3:A17"")),"""")"),"")</f>
        <v/>
      </c>
      <c r="W45" s="20" t="str">
        <f>IFERROR(__xludf.DUMMYFUNCTION("IFNA(FILTER(IMPORTRANGE(""https://docs.google.com/spreadsheets/d/1kGrh75X1cNR1D7_FcY9zMnHP8iPO4M5RCRjy6nZY0TY/edit#gid=1248694442"",""Subgroup 3: Mi ~ Tx!F3:F17""), $A45=IMPORTRANGE(""https://docs.google.com/spreadsheets/d/1kGrh75X1cNR1D7_FcY9zMnHP8iPO4M5"&amp;"RCRjy6nZY0TY/edit#gid=1248694442"",""Subgroup 3: Mi ~ Tx!A3:A17"")),"""")"),"")</f>
        <v/>
      </c>
      <c r="X45" s="19" t="str">
        <f>IFERROR(__xludf.DUMMYFUNCTION("IFNA(FILTER(IMPORTRANGE(""https://docs.google.com/spreadsheets/d/1kGrh75X1cNR1D7_FcY9zMnHP8iPO4M5RCRjy6nZY0TY/edit#gid=1248694442"",""Table 3: 1st-line HC!AK5:AK111""), $A45=IMPORTRANGE(""https://docs.google.com/spreadsheets/d/1kGrh75X1cNR1D7_FcY9zMnHP8iP"&amp;"O4M5RCRjy6nZY0TY/edit#gid=1248694442"",""Table 3: 1st-line HC!A5:A111"")),"""")"),"")</f>
        <v/>
      </c>
      <c r="Y45" s="20" t="str">
        <f>IFERROR(__xludf.DUMMYFUNCTION("IFNA(FILTER(IMPORTRANGE(""https://docs.google.com/spreadsheets/d/1kGrh75X1cNR1D7_FcY9zMnHP8iPO4M5RCRjy6nZY0TY/edit#gid=1248694442"",""Subgroup 4: Mp ~ Tx!B3:B20""), $A45=IMPORTRANGE(""https://docs.google.com/spreadsheets/d/1kGrh75X1cNR1D7_FcY9zMnHP8iPO4M5"&amp;"RCRjy6nZY0TY/edit#gid=1248694442"",""Subgroup 4: Mp ~ Tx!A3:A20"")),"""")"),"")</f>
        <v/>
      </c>
      <c r="Z45" s="20" t="str">
        <f>IFERROR(__xludf.DUMMYFUNCTION("IFNA(FILTER(IMPORTRANGE(""https://docs.google.com/spreadsheets/d/1kGrh75X1cNR1D7_FcY9zMnHP8iPO4M5RCRjy6nZY0TY/edit#gid=1248694442"",""Subgroup 4: Mp ~ Tx!C3:C20""), $A45=IMPORTRANGE(""https://docs.google.com/spreadsheets/d/1kGrh75X1cNR1D7_FcY9zMnHP8iPO4M5"&amp;"RCRjy6nZY0TY/edit#gid=1248694442"",""Subgroup 4: Mp ~ Tx!A3:A20"")),"""")"),"")</f>
        <v/>
      </c>
      <c r="AA45" s="20" t="str">
        <f>IFERROR(__xludf.DUMMYFUNCTION("IFNA(FILTER(IMPORTRANGE(""https://docs.google.com/spreadsheets/d/1kGrh75X1cNR1D7_FcY9zMnHP8iPO4M5RCRjy6nZY0TY/edit#gid=1248694442"",""Subgroup 4: Mp ~ Tx!D3:D20""), $A45=IMPORTRANGE(""https://docs.google.com/spreadsheets/d/1kGrh75X1cNR1D7_FcY9zMnHP8iPO4M5"&amp;"RCRjy6nZY0TY/edit#gid=1248694442"",""Subgroup 4: Mp ~ Tx!A3:A20"")),"""")"),"")</f>
        <v/>
      </c>
      <c r="AB45" s="20" t="str">
        <f>IFERROR(__xludf.DUMMYFUNCTION("IFNA(FILTER(IMPORTRANGE(""https://docs.google.com/spreadsheets/d/1kGrh75X1cNR1D7_FcY9zMnHP8iPO4M5RCRjy6nZY0TY/edit#gid=1248694442"",""Subgroup 4: Mp ~ Tx!E3:E20""), $A45=IMPORTRANGE(""https://docs.google.com/spreadsheets/d/1kGrh75X1cNR1D7_FcY9zMnHP8iPO4M5"&amp;"RCRjy6nZY0TY/edit#gid=1248694442"",""Subgroup 4: Mp ~ Tx!A3:A20"")),"""")"),"")</f>
        <v/>
      </c>
      <c r="AC45" s="20" t="str">
        <f>IFERROR(__xludf.DUMMYFUNCTION("IFNA(FILTER(IMPORTRANGE(""https://docs.google.com/spreadsheets/d/1kGrh75X1cNR1D7_FcY9zMnHP8iPO4M5RCRjy6nZY0TY/edit#gid=1248694442"",""Subgroup 4: Mp ~ Tx!F3:F20""), $A45=IMPORTRANGE(""https://docs.google.com/spreadsheets/d/1kGrh75X1cNR1D7_FcY9zMnHP8iPO4M5"&amp;"RCRjy6nZY0TY/edit#gid=1248694442"",""Subgroup 4: Mp ~ Tx!A3:A20"")),"""")"),"")</f>
        <v/>
      </c>
      <c r="AD45" s="22" t="str">
        <f>IFERROR(__xludf.DUMMYFUNCTION("IFNA(FILTER(IMPORTRANGE(""https://docs.google.com/spreadsheets/d/1kGrh75X1cNR1D7_FcY9zMnHP8iPO4M5RCRjy6nZY0TY/edit#gid=1248694442"",""Table 3: 1st-line HC!AL5:AL111""), $A45=IMPORTRANGE(""https://docs.google.com/spreadsheets/d/1kGrh75X1cNR1D7_FcY9zMnHP8iP"&amp;"O4M5RCRjy6nZY0TY/edit#gid=1248694442"",""Table 3: 1st-line HC!A5:A111"")),"""")"),"")</f>
        <v/>
      </c>
      <c r="AE45" s="20" t="str">
        <f>IFERROR(__xludf.DUMMYFUNCTION("IFNA(FILTER(IMPORTRANGE(""https://docs.google.com/spreadsheets/d/1kGrh75X1cNR1D7_FcY9zMnHP8iPO4M5RCRjy6nZY0TY/edit#gid=1248694442"",""Table 3: 1st-line HC!BJ5:BJ111""), $A45=IMPORTRANGE(""https://docs.google.com/spreadsheets/d/1kGrh75X1cNR1D7_FcY9zMnHP8iP"&amp;"O4M5RCRjy6nZY0TY/edit#gid=1248694442"",""Table 3: 1st-line HC!A5:A111"")),"""")"),"")</f>
        <v/>
      </c>
      <c r="AF45" s="20" t="str">
        <f>IFERROR(__xludf.DUMMYFUNCTION("IFNA(FILTER(IMPORTRANGE(""https://docs.google.com/spreadsheets/d/1kGrh75X1cNR1D7_FcY9zMnHP8iPO4M5RCRjy6nZY0TY/edit#gid=1248694442"",""Subgroup 2: Cr ~ Tx!B3:B23""), $A45=IMPORTRANGE(""https://docs.google.com/spreadsheets/d/1kGrh75X1cNR1D7_FcY9zMnHP8iPO4M5"&amp;"RCRjy6nZY0TY/edit#gid=1248694442"",""Subgroup 2: Cr ~ Tx!A3:A23"")),"""")"),"")</f>
        <v/>
      </c>
      <c r="AG45" s="20" t="str">
        <f>IFERROR(__xludf.DUMMYFUNCTION("IFNA(FILTER(IMPORTRANGE(""https://docs.google.com/spreadsheets/d/1kGrh75X1cNR1D7_FcY9zMnHP8iPO4M5RCRjy6nZY0TY/edit#gid=1248694442"",""Subgroup 2: Cr ~ Tx!C3:C23""), $A45=IMPORTRANGE(""https://docs.google.com/spreadsheets/d/1kGrh75X1cNR1D7_FcY9zMnHP8iPO4M5"&amp;"RCRjy6nZY0TY/edit#gid=1248694442"",""Subgroup 2: Cr ~ Tx!A3:A23"")),"""")"),"")</f>
        <v/>
      </c>
      <c r="AH45" s="20" t="str">
        <f>IFERROR(__xludf.DUMMYFUNCTION("IFNA(FILTER(IMPORTRANGE(""https://docs.google.com/spreadsheets/d/1kGrh75X1cNR1D7_FcY9zMnHP8iPO4M5RCRjy6nZY0TY/edit#gid=1248694442"",""Subgroup 2: Cr ~ Tx!D3:D23""), $A45=IMPORTRANGE(""https://docs.google.com/spreadsheets/d/1kGrh75X1cNR1D7_FcY9zMnHP8iPO4M5"&amp;"RCRjy6nZY0TY/edit#gid=1248694442"",""Subgroup 2: Cr ~ Tx!A3:A23"")),"""")"),"")</f>
        <v/>
      </c>
      <c r="AI45" s="20" t="str">
        <f>IFERROR(__xludf.DUMMYFUNCTION("IFNA(FILTER(IMPORTRANGE(""https://docs.google.com/spreadsheets/d/1kGrh75X1cNR1D7_FcY9zMnHP8iPO4M5RCRjy6nZY0TY/edit#gid=1248694442"",""Subgroup 2: Cr ~ Tx!E3:E23""), $A45=IMPORTRANGE(""https://docs.google.com/spreadsheets/d/1kGrh75X1cNR1D7_FcY9zMnHP8iPO4M5"&amp;"RCRjy6nZY0TY/edit#gid=1248694442"",""Subgroup 2: Cr ~ Tx!A3:A23"")),"""")"),"")</f>
        <v/>
      </c>
      <c r="AJ45" s="20" t="str">
        <f>IFERROR(__xludf.DUMMYFUNCTION("IFNA(FILTER(IMPORTRANGE(""https://docs.google.com/spreadsheets/d/1kGrh75X1cNR1D7_FcY9zMnHP8iPO4M5RCRjy6nZY0TY/edit#gid=1248694442"",""Subgroup 2: Cr ~ Tx!F3:F23""), $A45=IMPORTRANGE(""https://docs.google.com/spreadsheets/d/1kGrh75X1cNR1D7_FcY9zMnHP8iPO4M5"&amp;"RCRjy6nZY0TY/edit#gid=1248694442"",""Subgroup 2: Cr ~ Tx!A3:A23"")),"""")"),"")</f>
        <v/>
      </c>
      <c r="AK45" s="14" t="str">
        <f>IFERROR(__xludf.DUMMYFUNCTION("IFNA(FILTER(IMPORTRANGE(""https://docs.google.com/spreadsheets/d/1kGrh75X1cNR1D7_FcY9zMnHP8iPO4M5RCRjy6nZY0TY/edit#gid=1248694442"",""Table 4: 2nd-line HC or more!M5:M85""), $A45=IMPORTRANGE(""https://docs.google.com/spreadsheets/d/1kGrh75X1cNR1D7_FcY9zMn"&amp;"HP8iPO4M5RCRjy6nZY0TY/edit#gid=1248694442"",""Table 4: 2nd-line HC or more!A5:A85"")),"""")"),"")</f>
        <v/>
      </c>
      <c r="AL45" s="14" t="str">
        <f>IFERROR(__xludf.DUMMYFUNCTION("IFNA(FILTER(IMPORTRANGE(""https://docs.google.com/spreadsheets/d/1kGrh75X1cNR1D7_FcY9zMnHP8iPO4M5RCRjy6nZY0TY/edit#gid=1248694442"",""Table 4: 2nd-line HC or more!N5:N85""), $A45=IMPORTRANGE(""https://docs.google.com/spreadsheets/d/1kGrh75X1cNR1D7_FcY9zMn"&amp;"HP8iPO4M5RCRjy6nZY0TY/edit#gid=1248694442"",""Table 4: 2nd-line HC or more!A5:A85"")),"""")"),"")</f>
        <v/>
      </c>
      <c r="AM45" s="14" t="str">
        <f>IFERROR(__xludf.DUMMYFUNCTION("IFNA(FILTER(IMPORTRANGE(""https://docs.google.com/spreadsheets/d/1kGrh75X1cNR1D7_FcY9zMnHP8iPO4M5RCRjy6nZY0TY/edit#gid=1248694442"",""Table 4: 2nd-line HC or more!O5:O85""), $A45=IMPORTRANGE(""https://docs.google.com/spreadsheets/d/1kGrh75X1cNR1D7_FcY9zMn"&amp;"HP8iPO4M5RCRjy6nZY0TY/edit#gid=1248694442"",""Table 4: 2nd-line HC or more!A5:A85"")),"""")"),"")</f>
        <v/>
      </c>
      <c r="AN45" s="14" t="str">
        <f>IFERROR(__xludf.DUMMYFUNCTION("IFNA(FILTER(IMPORTRANGE(""https://docs.google.com/spreadsheets/d/1kGrh75X1cNR1D7_FcY9zMnHP8iPO4M5RCRjy6nZY0TY/edit#gid=1248694442"",""Table 3: 1st-line HC!AP5:AP111""), $A45=IMPORTRANGE(""https://docs.google.com/spreadsheets/d/1kGrh75X1cNR1D7_FcY9zMnHP8iP"&amp;"O4M5RCRjy6nZY0TY/edit#gid=1248694442"",""Table 3: 1st-line HC!A5:A111"")),"""")"),"")</f>
        <v/>
      </c>
      <c r="AO45" s="14" t="str">
        <f>IFERROR(__xludf.DUMMYFUNCTION("IFNA(FILTER(IMPORTRANGE(""https://docs.google.com/spreadsheets/d/1kGrh75X1cNR1D7_FcY9zMnHP8iPO4M5RCRjy6nZY0TY/edit#gid=1248694442"",""Table 3: 1st-line HC!AO5:AO111""), $A45=IMPORTRANGE(""https://docs.google.com/spreadsheets/d/1kGrh75X1cNR1D7_FcY9zMnHP8iP"&amp;"O4M5RCRjy6nZY0TY/edit#gid=1248694442"",""Table 3: 1st-line HC!A5:A111"")),"""")"),"")</f>
        <v/>
      </c>
      <c r="AP45" s="14" t="str">
        <f>IFERROR(__xludf.DUMMYFUNCTION("IFNA(FILTER(IMPORTRANGE(""https://docs.google.com/spreadsheets/d/1kGrh75X1cNR1D7_FcY9zMnHP8iPO4M5RCRjy6nZY0TY/edit#gid=1248694442"",""Table 3: 1st-line HC!AQ5:AQ111""), $A45=IMPORTRANGE(""https://docs.google.com/spreadsheets/d/1kGrh75X1cNR1D7_FcY9zMnHP8iP"&amp;"O4M5RCRjy6nZY0TY/edit#gid=1248694442"",""Table 3: 1st-line HC!A5:A111"")),"""")"),"")</f>
        <v/>
      </c>
      <c r="AQ45" s="14" t="str">
        <f>IFERROR(__xludf.DUMMYFUNCTION("IFNA(FILTER(IMPORTRANGE(""https://docs.google.com/spreadsheets/d/1kGrh75X1cNR1D7_FcY9zMnHP8iPO4M5RCRjy6nZY0TY/edit#gid=1248694442"",""Table 2: MMC!T5:T114""), $A45=IMPORTRANGE(""https://docs.google.com/spreadsheets/d/1kGrh75X1cNR1D7_FcY9zMnHP8iPO4M5RCRjy6"&amp;"nZY0TY/edit#gid=1248694442"",""Table 2: MMC!A5:A114"")),"""")"),"")</f>
        <v/>
      </c>
      <c r="AR45" s="14" t="str">
        <f>IFERROR(__xludf.DUMMYFUNCTION("IFNA(FILTER(IMPORTRANGE(""https://docs.google.com/spreadsheets/d/1kGrh75X1cNR1D7_FcY9zMnHP8iPO4M5RCRjy6nZY0TY/edit#gid=1248694442"",""Table 2: MMC!U5:U114""), $A45=IMPORTRANGE(""https://docs.google.com/spreadsheets/d/1kGrh75X1cNR1D7_FcY9zMnHP8iPO4M5RCRjy6"&amp;"nZY0TY/edit#gid=1248694442"",""Table 2: MMC!A5:A114"")),"""")"),"")</f>
        <v/>
      </c>
      <c r="AS45" s="14" t="str">
        <f>IFERROR(__xludf.DUMMYFUNCTION("IFNA(FILTER(IMPORTRANGE(""https://docs.google.com/spreadsheets/d/1kGrh75X1cNR1D7_FcY9zMnHP8iPO4M5RCRjy6nZY0TY/edit#gid=1248694442"",""Table 2: MMC!V5:V114""), $A45=IMPORTRANGE(""https://docs.google.com/spreadsheets/d/1kGrh75X1cNR1D7_FcY9zMnHP8iPO4M5RCRjy6"&amp;"nZY0TY/edit#gid=1248694442"",""Table 2: MMC!A5:A114"")),"""")"),"")</f>
        <v/>
      </c>
      <c r="AT45" s="4" t="str">
        <f>IFERROR(__xludf.DUMMYFUNCTION("IFNA(FILTER(IMPORTRANGE(""https://docs.google.com/spreadsheets/d/1kGrh75X1cNR1D7_FcY9zMnHP8iPO4M5RCRjy6nZY0TY/edit#gid=1248694442"",""Table 2: MMC!W5:W114""), $A45=IMPORTRANGE(""https://docs.google.com/spreadsheets/d/1kGrh75X1cNR1D7_FcY9zMnHP8iPO4M5RCRjy6"&amp;"nZY0TY/edit#gid=1248694442"",""Table 2: MMC!A5:A114"")),"""")"),"")</f>
        <v/>
      </c>
    </row>
    <row r="46">
      <c r="A46" s="4" t="str">
        <f>IFERROR(__xludf.DUMMYFUNCTION("""COMPUTED_VALUE"""),"ID 92")</f>
        <v>ID 92</v>
      </c>
      <c r="B46" s="20" t="str">
        <f>IFERROR(__xludf.DUMMYFUNCTION("IFNA(FILTER(IMPORTRANGE(""https://docs.google.com/spreadsheets/d/1kGrh75X1cNR1D7_FcY9zMnHP8iPO4M5RCRjy6nZY0TY/edit#gid=1248694442"",""Table 3: 1st-line HC!BK5:BK111""), $A46=IMPORTRANGE(""https://docs.google.com/spreadsheets/d/1kGrh75X1cNR1D7_FcY9zMnHP8iP"&amp;"O4M5RCRjy6nZY0TY/edit#gid=1248694442"",""Table 3: 1st-line HC!A5:A111"")),"""")"),"")</f>
        <v/>
      </c>
      <c r="C46" s="20" t="str">
        <f>IFERROR(__xludf.DUMMYFUNCTION("IFNA(FILTER(IMPORTRANGE(""https://docs.google.com/spreadsheets/d/1kGrh75X1cNR1D7_FcY9zMnHP8iPO4M5RCRjy6nZY0TY/edit#gid=1248694442"",""Subgroup 1: Fr ~ Tx!B3:B20""), $A46=IMPORTRANGE(""https://docs.google.com/spreadsheets/d/1kGrh75X1cNR1D7_FcY9zMnHP8iPO4M5"&amp;"RCRjy6nZY0TY/edit#gid=1248694442"",""Subgroup 1: Fr ~ Tx!A3:A20"")),"""")"),"")</f>
        <v/>
      </c>
      <c r="D46" s="20" t="str">
        <f>IFERROR(__xludf.DUMMYFUNCTION("IFNA(FILTER(IMPORTRANGE(""https://docs.google.com/spreadsheets/d/1kGrh75X1cNR1D7_FcY9zMnHP8iPO4M5RCRjy6nZY0TY/edit#gid=1248694442"",""Subgroup 1: Fr ~ Tx!C3:C20""), $A46=IMPORTRANGE(""https://docs.google.com/spreadsheets/d/1kGrh75X1cNR1D7_FcY9zMnHP8iPO4M5"&amp;"RCRjy6nZY0TY/edit#gid=1248694442"",""Subgroup 1: Fr ~ Tx!A3:A20"")),"""")"),"")</f>
        <v/>
      </c>
      <c r="E46" s="20" t="str">
        <f>IFERROR(__xludf.DUMMYFUNCTION("IFNA(FILTER(IMPORTRANGE(""https://docs.google.com/spreadsheets/d/1kGrh75X1cNR1D7_FcY9zMnHP8iPO4M5RCRjy6nZY0TY/edit#gid=1248694442"",""Subgroup 1: Fr ~ Tx!D3:D20""), $A46=IMPORTRANGE(""https://docs.google.com/spreadsheets/d/1kGrh75X1cNR1D7_FcY9zMnHP8iPO4M5"&amp;"RCRjy6nZY0TY/edit#gid=1248694442"",""Subgroup 1: Fr ~ Tx!A3:A20"")),"""")"),"")</f>
        <v/>
      </c>
      <c r="F46" s="20" t="str">
        <f>IFERROR(__xludf.DUMMYFUNCTION("IFNA(FILTER(IMPORTRANGE(""https://docs.google.com/spreadsheets/d/1kGrh75X1cNR1D7_FcY9zMnHP8iPO4M5RCRjy6nZY0TY/edit#gid=1248694442"",""Subgroup 1: Fr ~ Tx!E3:E20""), $A46=IMPORTRANGE(""https://docs.google.com/spreadsheets/d/1kGrh75X1cNR1D7_FcY9zMnHP8iPO4M5"&amp;"RCRjy6nZY0TY/edit#gid=1248694442"",""Subgroup 1: Fr ~ Tx!A3:A20"")),"""")"),"")</f>
        <v/>
      </c>
      <c r="G46" s="20" t="str">
        <f>IFERROR(__xludf.DUMMYFUNCTION("IFNA(FILTER(IMPORTRANGE(""https://docs.google.com/spreadsheets/d/1kGrh75X1cNR1D7_FcY9zMnHP8iPO4M5RCRjy6nZY0TY/edit#gid=1248694442"",""Subgroup 1: Fr ~ Tx!F3:F20""), $A46=IMPORTRANGE(""https://docs.google.com/spreadsheets/d/1kGrh75X1cNR1D7_FcY9zMnHP8iPO4M5"&amp;"RCRjy6nZY0TY/edit#gid=1248694442"",""Subgroup 1: Fr ~ Tx!A3:A20"")),"""")"),"")</f>
        <v/>
      </c>
      <c r="H46" s="20" t="str">
        <f>IFERROR(__xludf.DUMMYFUNCTION("IFNA(FILTER(IMPORTRANGE(""https://docs.google.com/spreadsheets/d/1kGrh75X1cNR1D7_FcY9zMnHP8iPO4M5RCRjy6nZY0TY/edit#gid=1248694442"",""Table 3: 1st-line HC!BD5:BD111""), $A46=IMPORTRANGE(""https://docs.google.com/spreadsheets/d/1kGrh75X1cNR1D7_FcY9zMnHP8iP"&amp;"O4M5RCRjy6nZY0TY/edit#gid=1248694442"",""Table 3: 1st-line HC!A5:A111"")),"""")"),"")</f>
        <v/>
      </c>
      <c r="I46" s="20" t="str">
        <f>IFERROR(__xludf.DUMMYFUNCTION("IFNA(FILTER(IMPORTRANGE(""https://docs.google.com/spreadsheets/d/1kGrh75X1cNR1D7_FcY9zMnHP8iPO4M5RCRjy6nZY0TY/edit#gid=1248694442"",""Subgroup 5: Tf ~ Tx!B3:B8""), $A46=IMPORTRANGE(""https://docs.google.com/spreadsheets/d/1kGrh75X1cNR1D7_FcY9zMnHP8iPO4M5R"&amp;"CRjy6nZY0TY/edit#gid=1248694442"",""Subgroup 5: Tf ~ Tx!A3:A8"")),"""")"),"")</f>
        <v/>
      </c>
      <c r="J46" s="20" t="str">
        <f>IFERROR(__xludf.DUMMYFUNCTION("IFNA(FILTER(IMPORTRANGE(""https://docs.google.com/spreadsheets/d/1kGrh75X1cNR1D7_FcY9zMnHP8iPO4M5RCRjy6nZY0TY/edit#gid=1248694442"",""Subgroup 5: Tf ~ Tx!C3:C8""), $A46=IMPORTRANGE(""https://docs.google.com/spreadsheets/d/1kGrh75X1cNR1D7_FcY9zMnHP8iPO4M5R"&amp;"CRjy6nZY0TY/edit#gid=1248694442"",""Subgroup 5: Tf ~ Tx!A3:A8"")),"""")"),"")</f>
        <v/>
      </c>
      <c r="K46" s="20" t="str">
        <f>IFERROR(__xludf.DUMMYFUNCTION("IFNA(FILTER(IMPORTRANGE(""https://docs.google.com/spreadsheets/d/1kGrh75X1cNR1D7_FcY9zMnHP8iPO4M5RCRjy6nZY0TY/edit#gid=1248694442"",""Subgroup 5: Tf ~ Tx!D3:D8""), $A46=IMPORTRANGE(""https://docs.google.com/spreadsheets/d/1kGrh75X1cNR1D7_FcY9zMnHP8iPO4M5R"&amp;"CRjy6nZY0TY/edit#gid=1248694442"",""Subgroup 5: Tf ~ Tx!A3:A8"")),"""")"),"")</f>
        <v/>
      </c>
      <c r="L46" s="20" t="str">
        <f>IFERROR(__xludf.DUMMYFUNCTION("IFNA(FILTER(IMPORTRANGE(""https://docs.google.com/spreadsheets/d/1kGrh75X1cNR1D7_FcY9zMnHP8iPO4M5RCRjy6nZY0TY/edit#gid=1248694442"",""Subgroup 5: Tf ~ Tx!E3:E8""), $A46=IMPORTRANGE(""https://docs.google.com/spreadsheets/d/1kGrh75X1cNR1D7_FcY9zMnHP8iPO4M5R"&amp;"CRjy6nZY0TY/edit#gid=1248694442"",""Subgroup 5: Tf ~ Tx!A3:A8"")),"""")"),"")</f>
        <v/>
      </c>
      <c r="M46" s="20" t="str">
        <f>IFERROR(__xludf.DUMMYFUNCTION("IFNA(FILTER(IMPORTRANGE(""https://docs.google.com/spreadsheets/d/1kGrh75X1cNR1D7_FcY9zMnHP8iPO4M5RCRjy6nZY0TY/edit#gid=1248694442"",""Subgroup 5: Tf ~ Tx!F3:F8""), $A46=IMPORTRANGE(""https://docs.google.com/spreadsheets/d/1kGrh75X1cNR1D7_FcY9zMnHP8iPO4M5R"&amp;"CRjy6nZY0TY/edit#gid=1248694442"",""Subgroup 5: Tf ~ Tx!A3:A8"")),"""")"),"")</f>
        <v/>
      </c>
      <c r="N46" s="20" t="str">
        <f>IFERROR(__xludf.DUMMYFUNCTION("IFNA(FILTER(IMPORTRANGE(""https://docs.google.com/spreadsheets/d/1kGrh75X1cNR1D7_FcY9zMnHP8iPO4M5RCRjy6nZY0TY/edit#gid=1248694442"",""Table 3: 1st-line HC!BE5:BE111""), $A46=IMPORTRANGE(""https://docs.google.com/spreadsheets/d/1kGrh75X1cNR1D7_FcY9zMnHP8iP"&amp;"O4M5RCRjy6nZY0TY/edit#gid=1248694442"",""Table 3: 1st-line HC!A5:A111"")),"""")"),"")</f>
        <v/>
      </c>
      <c r="O46" s="20" t="str">
        <f>IFERROR(__xludf.DUMMYFUNCTION("IFNA(FILTER(IMPORTRANGE(""https://docs.google.com/spreadsheets/d/1kGrh75X1cNR1D7_FcY9zMnHP8iPO4M5RCRjy6nZY0TY/edit#gid=1248694442"",""Table 3: 1st-line HC!BF5:BF111""), $A46=IMPORTRANGE(""https://docs.google.com/spreadsheets/d/1kGrh75X1cNR1D7_FcY9zMnHP8iP"&amp;"O4M5RCRjy6nZY0TY/edit#gid=1248694442"",""Table 3: 1st-line HC!A5:A111"")),"""")"),"")</f>
        <v/>
      </c>
      <c r="P46" s="20" t="str">
        <f>IFERROR(__xludf.DUMMYFUNCTION("IFNA(FILTER(IMPORTRANGE(""https://docs.google.com/spreadsheets/d/1kGrh75X1cNR1D7_FcY9zMnHP8iPO4M5RCRjy6nZY0TY/edit#gid=1248694442"",""Table 3: 1st-line HC!BG5:BG111""), $A46=IMPORTRANGE(""https://docs.google.com/spreadsheets/d/1kGrh75X1cNR1D7_FcY9zMnHP8iP"&amp;"O4M5RCRjy6nZY0TY/edit#gid=1248694442"",""Table 3: 1st-line HC!A5:A111"")),"""")"),"")</f>
        <v/>
      </c>
      <c r="Q46" s="21" t="str">
        <f>IFERROR(__xludf.DUMMYFUNCTION("IFNA(FILTER(IMPORTRANGE(""https://docs.google.com/spreadsheets/d/1kGrh75X1cNR1D7_FcY9zMnHP8iPO4M5RCRjy6nZY0TY/edit#gid=1248694442"",""Table 3: 1st-line HC!BH5:BH111""), $A46=IMPORTRANGE(""https://docs.google.com/spreadsheets/d/1kGrh75X1cNR1D7_FcY9zMnHP8iP"&amp;"O4M5RCRjy6nZY0TY/edit#gid=1248694442"",""Table 3: 1st-line HC!A5:A111"")),"""")"),"")</f>
        <v/>
      </c>
      <c r="R46" s="19" t="str">
        <f>IFERROR(__xludf.DUMMYFUNCTION("IFNA(FILTER(IMPORTRANGE(""https://docs.google.com/spreadsheets/d/1kGrh75X1cNR1D7_FcY9zMnHP8iPO4M5RCRjy6nZY0TY/edit#gid=1248694442"",""Table 3: 1st-line HC!AJ5:AJ111""), $A46=IMPORTRANGE(""https://docs.google.com/spreadsheets/d/1kGrh75X1cNR1D7_FcY9zMnHP8iP"&amp;"O4M5RCRjy6nZY0TY/edit#gid=1248694442"",""Table 3: 1st-line HC!A5:A111"")),"""")"),"")</f>
        <v/>
      </c>
      <c r="S46" s="20" t="str">
        <f>IFERROR(__xludf.DUMMYFUNCTION("IFNA(FILTER(IMPORTRANGE(""https://docs.google.com/spreadsheets/d/1kGrh75X1cNR1D7_FcY9zMnHP8iPO4M5RCRjy6nZY0TY/edit#gid=1248694442"",""Subgroup 3: Mi ~ Tx!B3:B17""), $A46=IMPORTRANGE(""https://docs.google.com/spreadsheets/d/1kGrh75X1cNR1D7_FcY9zMnHP8iPO4M5"&amp;"RCRjy6nZY0TY/edit#gid=1248694442"",""Subgroup 3: Mi ~ Tx!A3:A17"")),"""")"),"")</f>
        <v/>
      </c>
      <c r="T46" s="20" t="str">
        <f>IFERROR(__xludf.DUMMYFUNCTION("IFNA(FILTER(IMPORTRANGE(""https://docs.google.com/spreadsheets/d/1kGrh75X1cNR1D7_FcY9zMnHP8iPO4M5RCRjy6nZY0TY/edit#gid=1248694442"",""Subgroup 3: Mi ~ Tx!C3:C17""), $A46=IMPORTRANGE(""https://docs.google.com/spreadsheets/d/1kGrh75X1cNR1D7_FcY9zMnHP8iPO4M5"&amp;"RCRjy6nZY0TY/edit#gid=1248694442"",""Subgroup 3: Mi ~ Tx!A3:A17"")),"""")"),"")</f>
        <v/>
      </c>
      <c r="U46" s="20" t="str">
        <f>IFERROR(__xludf.DUMMYFUNCTION("IFNA(FILTER(IMPORTRANGE(""https://docs.google.com/spreadsheets/d/1kGrh75X1cNR1D7_FcY9zMnHP8iPO4M5RCRjy6nZY0TY/edit#gid=1248694442"",""Subgroup 3: Mi ~ Tx!D3:D17""), $A46=IMPORTRANGE(""https://docs.google.com/spreadsheets/d/1kGrh75X1cNR1D7_FcY9zMnHP8iPO4M5"&amp;"RCRjy6nZY0TY/edit#gid=1248694442"",""Subgroup 3: Mi ~ Tx!A3:A17"")),"""")"),"")</f>
        <v/>
      </c>
      <c r="V46" s="20" t="str">
        <f>IFERROR(__xludf.DUMMYFUNCTION("IFNA(FILTER(IMPORTRANGE(""https://docs.google.com/spreadsheets/d/1kGrh75X1cNR1D7_FcY9zMnHP8iPO4M5RCRjy6nZY0TY/edit#gid=1248694442"",""Subgroup 3: Mi ~ Tx!E3:E17""), $A46=IMPORTRANGE(""https://docs.google.com/spreadsheets/d/1kGrh75X1cNR1D7_FcY9zMnHP8iPO4M5"&amp;"RCRjy6nZY0TY/edit#gid=1248694442"",""Subgroup 3: Mi ~ Tx!A3:A17"")),"""")"),"")</f>
        <v/>
      </c>
      <c r="W46" s="20" t="str">
        <f>IFERROR(__xludf.DUMMYFUNCTION("IFNA(FILTER(IMPORTRANGE(""https://docs.google.com/spreadsheets/d/1kGrh75X1cNR1D7_FcY9zMnHP8iPO4M5RCRjy6nZY0TY/edit#gid=1248694442"",""Subgroup 3: Mi ~ Tx!F3:F17""), $A46=IMPORTRANGE(""https://docs.google.com/spreadsheets/d/1kGrh75X1cNR1D7_FcY9zMnHP8iPO4M5"&amp;"RCRjy6nZY0TY/edit#gid=1248694442"",""Subgroup 3: Mi ~ Tx!A3:A17"")),"""")"),"")</f>
        <v/>
      </c>
      <c r="X46" s="19" t="str">
        <f>IFERROR(__xludf.DUMMYFUNCTION("IFNA(FILTER(IMPORTRANGE(""https://docs.google.com/spreadsheets/d/1kGrh75X1cNR1D7_FcY9zMnHP8iPO4M5RCRjy6nZY0TY/edit#gid=1248694442"",""Table 3: 1st-line HC!AK5:AK111""), $A46=IMPORTRANGE(""https://docs.google.com/spreadsheets/d/1kGrh75X1cNR1D7_FcY9zMnHP8iP"&amp;"O4M5RCRjy6nZY0TY/edit#gid=1248694442"",""Table 3: 1st-line HC!A5:A111"")),"""")"),"")</f>
        <v/>
      </c>
      <c r="Y46" s="20" t="str">
        <f>IFERROR(__xludf.DUMMYFUNCTION("IFNA(FILTER(IMPORTRANGE(""https://docs.google.com/spreadsheets/d/1kGrh75X1cNR1D7_FcY9zMnHP8iPO4M5RCRjy6nZY0TY/edit#gid=1248694442"",""Subgroup 4: Mp ~ Tx!B3:B20""), $A46=IMPORTRANGE(""https://docs.google.com/spreadsheets/d/1kGrh75X1cNR1D7_FcY9zMnHP8iPO4M5"&amp;"RCRjy6nZY0TY/edit#gid=1248694442"",""Subgroup 4: Mp ~ Tx!A3:A20"")),"""")"),"")</f>
        <v/>
      </c>
      <c r="Z46" s="20" t="str">
        <f>IFERROR(__xludf.DUMMYFUNCTION("IFNA(FILTER(IMPORTRANGE(""https://docs.google.com/spreadsheets/d/1kGrh75X1cNR1D7_FcY9zMnHP8iPO4M5RCRjy6nZY0TY/edit#gid=1248694442"",""Subgroup 4: Mp ~ Tx!C3:C20""), $A46=IMPORTRANGE(""https://docs.google.com/spreadsheets/d/1kGrh75X1cNR1D7_FcY9zMnHP8iPO4M5"&amp;"RCRjy6nZY0TY/edit#gid=1248694442"",""Subgroup 4: Mp ~ Tx!A3:A20"")),"""")"),"")</f>
        <v/>
      </c>
      <c r="AA46" s="20" t="str">
        <f>IFERROR(__xludf.DUMMYFUNCTION("IFNA(FILTER(IMPORTRANGE(""https://docs.google.com/spreadsheets/d/1kGrh75X1cNR1D7_FcY9zMnHP8iPO4M5RCRjy6nZY0TY/edit#gid=1248694442"",""Subgroup 4: Mp ~ Tx!D3:D20""), $A46=IMPORTRANGE(""https://docs.google.com/spreadsheets/d/1kGrh75X1cNR1D7_FcY9zMnHP8iPO4M5"&amp;"RCRjy6nZY0TY/edit#gid=1248694442"",""Subgroup 4: Mp ~ Tx!A3:A20"")),"""")"),"")</f>
        <v/>
      </c>
      <c r="AB46" s="20" t="str">
        <f>IFERROR(__xludf.DUMMYFUNCTION("IFNA(FILTER(IMPORTRANGE(""https://docs.google.com/spreadsheets/d/1kGrh75X1cNR1D7_FcY9zMnHP8iPO4M5RCRjy6nZY0TY/edit#gid=1248694442"",""Subgroup 4: Mp ~ Tx!E3:E20""), $A46=IMPORTRANGE(""https://docs.google.com/spreadsheets/d/1kGrh75X1cNR1D7_FcY9zMnHP8iPO4M5"&amp;"RCRjy6nZY0TY/edit#gid=1248694442"",""Subgroup 4: Mp ~ Tx!A3:A20"")),"""")"),"")</f>
        <v/>
      </c>
      <c r="AC46" s="20" t="str">
        <f>IFERROR(__xludf.DUMMYFUNCTION("IFNA(FILTER(IMPORTRANGE(""https://docs.google.com/spreadsheets/d/1kGrh75X1cNR1D7_FcY9zMnHP8iPO4M5RCRjy6nZY0TY/edit#gid=1248694442"",""Subgroup 4: Mp ~ Tx!F3:F20""), $A46=IMPORTRANGE(""https://docs.google.com/spreadsheets/d/1kGrh75X1cNR1D7_FcY9zMnHP8iPO4M5"&amp;"RCRjy6nZY0TY/edit#gid=1248694442"",""Subgroup 4: Mp ~ Tx!A3:A20"")),"""")"),"")</f>
        <v/>
      </c>
      <c r="AD46" s="22" t="str">
        <f>IFERROR(__xludf.DUMMYFUNCTION("IFNA(FILTER(IMPORTRANGE(""https://docs.google.com/spreadsheets/d/1kGrh75X1cNR1D7_FcY9zMnHP8iPO4M5RCRjy6nZY0TY/edit#gid=1248694442"",""Table 3: 1st-line HC!AL5:AL111""), $A46=IMPORTRANGE(""https://docs.google.com/spreadsheets/d/1kGrh75X1cNR1D7_FcY9zMnHP8iP"&amp;"O4M5RCRjy6nZY0TY/edit#gid=1248694442"",""Table 3: 1st-line HC!A5:A111"")),"""")"),"")</f>
        <v/>
      </c>
      <c r="AE46" s="20">
        <f>IFERROR(__xludf.DUMMYFUNCTION("IFNA(FILTER(IMPORTRANGE(""https://docs.google.com/spreadsheets/d/1kGrh75X1cNR1D7_FcY9zMnHP8iPO4M5RCRjy6nZY0TY/edit#gid=1248694442"",""Table 3: 1st-line HC!BJ5:BJ111""), $A46=IMPORTRANGE(""https://docs.google.com/spreadsheets/d/1kGrh75X1cNR1D7_FcY9zMnHP8iP"&amp;"O4M5RCRjy6nZY0TY/edit#gid=1248694442"",""Table 3: 1st-line HC!A5:A111"")),"""")"),0.2)</f>
        <v>0.2</v>
      </c>
      <c r="AF46" s="20" t="str">
        <f>IFERROR(__xludf.DUMMYFUNCTION("IFNA(FILTER(IMPORTRANGE(""https://docs.google.com/spreadsheets/d/1kGrh75X1cNR1D7_FcY9zMnHP8iPO4M5RCRjy6nZY0TY/edit#gid=1248694442"",""Subgroup 2: Cr ~ Tx!B3:B23""), $A46=IMPORTRANGE(""https://docs.google.com/spreadsheets/d/1kGrh75X1cNR1D7_FcY9zMnHP8iPO4M5"&amp;"RCRjy6nZY0TY/edit#gid=1248694442"",""Subgroup 2: Cr ~ Tx!A3:A23"")),"""")"),"")</f>
        <v/>
      </c>
      <c r="AG46" s="20">
        <f>IFERROR(__xludf.DUMMYFUNCTION("IFNA(FILTER(IMPORTRANGE(""https://docs.google.com/spreadsheets/d/1kGrh75X1cNR1D7_FcY9zMnHP8iPO4M5RCRjy6nZY0TY/edit#gid=1248694442"",""Subgroup 2: Cr ~ Tx!C3:C23""), $A46=IMPORTRANGE(""https://docs.google.com/spreadsheets/d/1kGrh75X1cNR1D7_FcY9zMnHP8iPO4M5"&amp;"RCRjy6nZY0TY/edit#gid=1248694442"",""Subgroup 2: Cr ~ Tx!A3:A23"")),"""")"),0.2)</f>
        <v>0.2</v>
      </c>
      <c r="AH46" s="20" t="str">
        <f>IFERROR(__xludf.DUMMYFUNCTION("IFNA(FILTER(IMPORTRANGE(""https://docs.google.com/spreadsheets/d/1kGrh75X1cNR1D7_FcY9zMnHP8iPO4M5RCRjy6nZY0TY/edit#gid=1248694442"",""Subgroup 2: Cr ~ Tx!D3:D23""), $A46=IMPORTRANGE(""https://docs.google.com/spreadsheets/d/1kGrh75X1cNR1D7_FcY9zMnHP8iPO4M5"&amp;"RCRjy6nZY0TY/edit#gid=1248694442"",""Subgroup 2: Cr ~ Tx!A3:A23"")),"""")"),"")</f>
        <v/>
      </c>
      <c r="AI46" s="20">
        <f>IFERROR(__xludf.DUMMYFUNCTION("IFNA(FILTER(IMPORTRANGE(""https://docs.google.com/spreadsheets/d/1kGrh75X1cNR1D7_FcY9zMnHP8iPO4M5RCRjy6nZY0TY/edit#gid=1248694442"",""Subgroup 2: Cr ~ Tx!E3:E23""), $A46=IMPORTRANGE(""https://docs.google.com/spreadsheets/d/1kGrh75X1cNR1D7_FcY9zMnHP8iPO4M5"&amp;"RCRjy6nZY0TY/edit#gid=1248694442"",""Subgroup 2: Cr ~ Tx!A3:A23"")),"""")"),0.0)</f>
        <v>0</v>
      </c>
      <c r="AJ46" s="20" t="str">
        <f>IFERROR(__xludf.DUMMYFUNCTION("IFNA(FILTER(IMPORTRANGE(""https://docs.google.com/spreadsheets/d/1kGrh75X1cNR1D7_FcY9zMnHP8iPO4M5RCRjy6nZY0TY/edit#gid=1248694442"",""Subgroup 2: Cr ~ Tx!F3:F23""), $A46=IMPORTRANGE(""https://docs.google.com/spreadsheets/d/1kGrh75X1cNR1D7_FcY9zMnHP8iPO4M5"&amp;"RCRjy6nZY0TY/edit#gid=1248694442"",""Subgroup 2: Cr ~ Tx!A3:A23"")),"""")"),"")</f>
        <v/>
      </c>
      <c r="AK46" s="14" t="str">
        <f>IFERROR(__xludf.DUMMYFUNCTION("IFNA(FILTER(IMPORTRANGE(""https://docs.google.com/spreadsheets/d/1kGrh75X1cNR1D7_FcY9zMnHP8iPO4M5RCRjy6nZY0TY/edit#gid=1248694442"",""Table 4: 2nd-line HC or more!M5:M85""), $A46=IMPORTRANGE(""https://docs.google.com/spreadsheets/d/1kGrh75X1cNR1D7_FcY9zMn"&amp;"HP8iPO4M5RCRjy6nZY0TY/edit#gid=1248694442"",""Table 4: 2nd-line HC or more!A5:A85"")),"""")"),"")</f>
        <v/>
      </c>
      <c r="AL46" s="14" t="str">
        <f>IFERROR(__xludf.DUMMYFUNCTION("IFNA(FILTER(IMPORTRANGE(""https://docs.google.com/spreadsheets/d/1kGrh75X1cNR1D7_FcY9zMnHP8iPO4M5RCRjy6nZY0TY/edit#gid=1248694442"",""Table 4: 2nd-line HC or more!N5:N85""), $A46=IMPORTRANGE(""https://docs.google.com/spreadsheets/d/1kGrh75X1cNR1D7_FcY9zMn"&amp;"HP8iPO4M5RCRjy6nZY0TY/edit#gid=1248694442"",""Table 4: 2nd-line HC or more!A5:A85"")),"""")"),"")</f>
        <v/>
      </c>
      <c r="AM46" s="14" t="str">
        <f>IFERROR(__xludf.DUMMYFUNCTION("IFNA(FILTER(IMPORTRANGE(""https://docs.google.com/spreadsheets/d/1kGrh75X1cNR1D7_FcY9zMnHP8iPO4M5RCRjy6nZY0TY/edit#gid=1248694442"",""Table 4: 2nd-line HC or more!O5:O85""), $A46=IMPORTRANGE(""https://docs.google.com/spreadsheets/d/1kGrh75X1cNR1D7_FcY9zMn"&amp;"HP8iPO4M5RCRjy6nZY0TY/edit#gid=1248694442"",""Table 4: 2nd-line HC or more!A5:A85"")),"""")"),"")</f>
        <v/>
      </c>
      <c r="AN46" s="14" t="str">
        <f>IFERROR(__xludf.DUMMYFUNCTION("IFNA(FILTER(IMPORTRANGE(""https://docs.google.com/spreadsheets/d/1kGrh75X1cNR1D7_FcY9zMnHP8iPO4M5RCRjy6nZY0TY/edit#gid=1248694442"",""Table 3: 1st-line HC!AP5:AP111""), $A46=IMPORTRANGE(""https://docs.google.com/spreadsheets/d/1kGrh75X1cNR1D7_FcY9zMnHP8iP"&amp;"O4M5RCRjy6nZY0TY/edit#gid=1248694442"",""Table 3: 1st-line HC!A5:A111"")),"""")"),"")</f>
        <v/>
      </c>
      <c r="AO46" s="14" t="str">
        <f>IFERROR(__xludf.DUMMYFUNCTION("IFNA(FILTER(IMPORTRANGE(""https://docs.google.com/spreadsheets/d/1kGrh75X1cNR1D7_FcY9zMnHP8iPO4M5RCRjy6nZY0TY/edit#gid=1248694442"",""Table 3: 1st-line HC!AO5:AO111""), $A46=IMPORTRANGE(""https://docs.google.com/spreadsheets/d/1kGrh75X1cNR1D7_FcY9zMnHP8iP"&amp;"O4M5RCRjy6nZY0TY/edit#gid=1248694442"",""Table 3: 1st-line HC!A5:A111"")),"""")"),"")</f>
        <v/>
      </c>
      <c r="AP46" s="14" t="str">
        <f>IFERROR(__xludf.DUMMYFUNCTION("IFNA(FILTER(IMPORTRANGE(""https://docs.google.com/spreadsheets/d/1kGrh75X1cNR1D7_FcY9zMnHP8iPO4M5RCRjy6nZY0TY/edit#gid=1248694442"",""Table 3: 1st-line HC!AQ5:AQ111""), $A46=IMPORTRANGE(""https://docs.google.com/spreadsheets/d/1kGrh75X1cNR1D7_FcY9zMnHP8iP"&amp;"O4M5RCRjy6nZY0TY/edit#gid=1248694442"",""Table 3: 1st-line HC!A5:A111"")),"""")"),"")</f>
        <v/>
      </c>
      <c r="AQ46" s="14" t="str">
        <f>IFERROR(__xludf.DUMMYFUNCTION("IFNA(FILTER(IMPORTRANGE(""https://docs.google.com/spreadsheets/d/1kGrh75X1cNR1D7_FcY9zMnHP8iPO4M5RCRjy6nZY0TY/edit#gid=1248694442"",""Table 2: MMC!T5:T114""), $A46=IMPORTRANGE(""https://docs.google.com/spreadsheets/d/1kGrh75X1cNR1D7_FcY9zMnHP8iPO4M5RCRjy6"&amp;"nZY0TY/edit#gid=1248694442"",""Table 2: MMC!A5:A114"")),"""")"),"")</f>
        <v/>
      </c>
      <c r="AR46" s="14" t="str">
        <f>IFERROR(__xludf.DUMMYFUNCTION("IFNA(FILTER(IMPORTRANGE(""https://docs.google.com/spreadsheets/d/1kGrh75X1cNR1D7_FcY9zMnHP8iPO4M5RCRjy6nZY0TY/edit#gid=1248694442"",""Table 2: MMC!U5:U114""), $A46=IMPORTRANGE(""https://docs.google.com/spreadsheets/d/1kGrh75X1cNR1D7_FcY9zMnHP8iPO4M5RCRjy6"&amp;"nZY0TY/edit#gid=1248694442"",""Table 2: MMC!A5:A114"")),"""")"),"")</f>
        <v/>
      </c>
      <c r="AS46" s="14" t="str">
        <f>IFERROR(__xludf.DUMMYFUNCTION("IFNA(FILTER(IMPORTRANGE(""https://docs.google.com/spreadsheets/d/1kGrh75X1cNR1D7_FcY9zMnHP8iPO4M5RCRjy6nZY0TY/edit#gid=1248694442"",""Table 2: MMC!V5:V114""), $A46=IMPORTRANGE(""https://docs.google.com/spreadsheets/d/1kGrh75X1cNR1D7_FcY9zMnHP8iPO4M5RCRjy6"&amp;"nZY0TY/edit#gid=1248694442"",""Table 2: MMC!A5:A114"")),"""")"),"")</f>
        <v/>
      </c>
      <c r="AT46" s="4" t="str">
        <f>IFERROR(__xludf.DUMMYFUNCTION("IFNA(FILTER(IMPORTRANGE(""https://docs.google.com/spreadsheets/d/1kGrh75X1cNR1D7_FcY9zMnHP8iPO4M5RCRjy6nZY0TY/edit#gid=1248694442"",""Table 2: MMC!W5:W114""), $A46=IMPORTRANGE(""https://docs.google.com/spreadsheets/d/1kGrh75X1cNR1D7_FcY9zMnHP8iPO4M5RCRjy6"&amp;"nZY0TY/edit#gid=1248694442"",""Table 2: MMC!A5:A114"")),"""")"),"")</f>
        <v/>
      </c>
    </row>
    <row r="47">
      <c r="A47" s="4" t="str">
        <f>IFERROR(__xludf.DUMMYFUNCTION("""COMPUTED_VALUE"""),"ID 93")</f>
        <v>ID 93</v>
      </c>
      <c r="B47" s="20" t="str">
        <f>IFERROR(__xludf.DUMMYFUNCTION("IFNA(FILTER(IMPORTRANGE(""https://docs.google.com/spreadsheets/d/1kGrh75X1cNR1D7_FcY9zMnHP8iPO4M5RCRjy6nZY0TY/edit#gid=1248694442"",""Table 3: 1st-line HC!BK5:BK111""), $A47=IMPORTRANGE(""https://docs.google.com/spreadsheets/d/1kGrh75X1cNR1D7_FcY9zMnHP8iP"&amp;"O4M5RCRjy6nZY0TY/edit#gid=1248694442"",""Table 3: 1st-line HC!A5:A111"")),"""")"),"")</f>
        <v/>
      </c>
      <c r="C47" s="20" t="str">
        <f>IFERROR(__xludf.DUMMYFUNCTION("IFNA(FILTER(IMPORTRANGE(""https://docs.google.com/spreadsheets/d/1kGrh75X1cNR1D7_FcY9zMnHP8iPO4M5RCRjy6nZY0TY/edit#gid=1248694442"",""Subgroup 1: Fr ~ Tx!B3:B20""), $A47=IMPORTRANGE(""https://docs.google.com/spreadsheets/d/1kGrh75X1cNR1D7_FcY9zMnHP8iPO4M5"&amp;"RCRjy6nZY0TY/edit#gid=1248694442"",""Subgroup 1: Fr ~ Tx!A3:A20"")),"""")"),"")</f>
        <v/>
      </c>
      <c r="D47" s="20" t="str">
        <f>IFERROR(__xludf.DUMMYFUNCTION("IFNA(FILTER(IMPORTRANGE(""https://docs.google.com/spreadsheets/d/1kGrh75X1cNR1D7_FcY9zMnHP8iPO4M5RCRjy6nZY0TY/edit#gid=1248694442"",""Subgroup 1: Fr ~ Tx!C3:C20""), $A47=IMPORTRANGE(""https://docs.google.com/spreadsheets/d/1kGrh75X1cNR1D7_FcY9zMnHP8iPO4M5"&amp;"RCRjy6nZY0TY/edit#gid=1248694442"",""Subgroup 1: Fr ~ Tx!A3:A20"")),"""")"),"")</f>
        <v/>
      </c>
      <c r="E47" s="20" t="str">
        <f>IFERROR(__xludf.DUMMYFUNCTION("IFNA(FILTER(IMPORTRANGE(""https://docs.google.com/spreadsheets/d/1kGrh75X1cNR1D7_FcY9zMnHP8iPO4M5RCRjy6nZY0TY/edit#gid=1248694442"",""Subgroup 1: Fr ~ Tx!D3:D20""), $A47=IMPORTRANGE(""https://docs.google.com/spreadsheets/d/1kGrh75X1cNR1D7_FcY9zMnHP8iPO4M5"&amp;"RCRjy6nZY0TY/edit#gid=1248694442"",""Subgroup 1: Fr ~ Tx!A3:A20"")),"""")"),"")</f>
        <v/>
      </c>
      <c r="F47" s="20" t="str">
        <f>IFERROR(__xludf.DUMMYFUNCTION("IFNA(FILTER(IMPORTRANGE(""https://docs.google.com/spreadsheets/d/1kGrh75X1cNR1D7_FcY9zMnHP8iPO4M5RCRjy6nZY0TY/edit#gid=1248694442"",""Subgroup 1: Fr ~ Tx!E3:E20""), $A47=IMPORTRANGE(""https://docs.google.com/spreadsheets/d/1kGrh75X1cNR1D7_FcY9zMnHP8iPO4M5"&amp;"RCRjy6nZY0TY/edit#gid=1248694442"",""Subgroup 1: Fr ~ Tx!A3:A20"")),"""")"),"")</f>
        <v/>
      </c>
      <c r="G47" s="20" t="str">
        <f>IFERROR(__xludf.DUMMYFUNCTION("IFNA(FILTER(IMPORTRANGE(""https://docs.google.com/spreadsheets/d/1kGrh75X1cNR1D7_FcY9zMnHP8iPO4M5RCRjy6nZY0TY/edit#gid=1248694442"",""Subgroup 1: Fr ~ Tx!F3:F20""), $A47=IMPORTRANGE(""https://docs.google.com/spreadsheets/d/1kGrh75X1cNR1D7_FcY9zMnHP8iPO4M5"&amp;"RCRjy6nZY0TY/edit#gid=1248694442"",""Subgroup 1: Fr ~ Tx!A3:A20"")),"""")"),"")</f>
        <v/>
      </c>
      <c r="H47" s="20" t="str">
        <f>IFERROR(__xludf.DUMMYFUNCTION("IFNA(FILTER(IMPORTRANGE(""https://docs.google.com/spreadsheets/d/1kGrh75X1cNR1D7_FcY9zMnHP8iPO4M5RCRjy6nZY0TY/edit#gid=1248694442"",""Table 3: 1st-line HC!BD5:BD111""), $A47=IMPORTRANGE(""https://docs.google.com/spreadsheets/d/1kGrh75X1cNR1D7_FcY9zMnHP8iP"&amp;"O4M5RCRjy6nZY0TY/edit#gid=1248694442"",""Table 3: 1st-line HC!A5:A111"")),"""")"),"")</f>
        <v/>
      </c>
      <c r="I47" s="20" t="str">
        <f>IFERROR(__xludf.DUMMYFUNCTION("IFNA(FILTER(IMPORTRANGE(""https://docs.google.com/spreadsheets/d/1kGrh75X1cNR1D7_FcY9zMnHP8iPO4M5RCRjy6nZY0TY/edit#gid=1248694442"",""Subgroup 5: Tf ~ Tx!B3:B8""), $A47=IMPORTRANGE(""https://docs.google.com/spreadsheets/d/1kGrh75X1cNR1D7_FcY9zMnHP8iPO4M5R"&amp;"CRjy6nZY0TY/edit#gid=1248694442"",""Subgroup 5: Tf ~ Tx!A3:A8"")),"""")"),"")</f>
        <v/>
      </c>
      <c r="J47" s="20" t="str">
        <f>IFERROR(__xludf.DUMMYFUNCTION("IFNA(FILTER(IMPORTRANGE(""https://docs.google.com/spreadsheets/d/1kGrh75X1cNR1D7_FcY9zMnHP8iPO4M5RCRjy6nZY0TY/edit#gid=1248694442"",""Subgroup 5: Tf ~ Tx!C3:C8""), $A47=IMPORTRANGE(""https://docs.google.com/spreadsheets/d/1kGrh75X1cNR1D7_FcY9zMnHP8iPO4M5R"&amp;"CRjy6nZY0TY/edit#gid=1248694442"",""Subgroup 5: Tf ~ Tx!A3:A8"")),"""")"),"")</f>
        <v/>
      </c>
      <c r="K47" s="20" t="str">
        <f>IFERROR(__xludf.DUMMYFUNCTION("IFNA(FILTER(IMPORTRANGE(""https://docs.google.com/spreadsheets/d/1kGrh75X1cNR1D7_FcY9zMnHP8iPO4M5RCRjy6nZY0TY/edit#gid=1248694442"",""Subgroup 5: Tf ~ Tx!D3:D8""), $A47=IMPORTRANGE(""https://docs.google.com/spreadsheets/d/1kGrh75X1cNR1D7_FcY9zMnHP8iPO4M5R"&amp;"CRjy6nZY0TY/edit#gid=1248694442"",""Subgroup 5: Tf ~ Tx!A3:A8"")),"""")"),"")</f>
        <v/>
      </c>
      <c r="L47" s="20" t="str">
        <f>IFERROR(__xludf.DUMMYFUNCTION("IFNA(FILTER(IMPORTRANGE(""https://docs.google.com/spreadsheets/d/1kGrh75X1cNR1D7_FcY9zMnHP8iPO4M5RCRjy6nZY0TY/edit#gid=1248694442"",""Subgroup 5: Tf ~ Tx!E3:E8""), $A47=IMPORTRANGE(""https://docs.google.com/spreadsheets/d/1kGrh75X1cNR1D7_FcY9zMnHP8iPO4M5R"&amp;"CRjy6nZY0TY/edit#gid=1248694442"",""Subgroup 5: Tf ~ Tx!A3:A8"")),"""")"),"")</f>
        <v/>
      </c>
      <c r="M47" s="20" t="str">
        <f>IFERROR(__xludf.DUMMYFUNCTION("IFNA(FILTER(IMPORTRANGE(""https://docs.google.com/spreadsheets/d/1kGrh75X1cNR1D7_FcY9zMnHP8iPO4M5RCRjy6nZY0TY/edit#gid=1248694442"",""Subgroup 5: Tf ~ Tx!F3:F8""), $A47=IMPORTRANGE(""https://docs.google.com/spreadsheets/d/1kGrh75X1cNR1D7_FcY9zMnHP8iPO4M5R"&amp;"CRjy6nZY0TY/edit#gid=1248694442"",""Subgroup 5: Tf ~ Tx!A3:A8"")),"""")"),"")</f>
        <v/>
      </c>
      <c r="N47" s="20" t="str">
        <f>IFERROR(__xludf.DUMMYFUNCTION("IFNA(FILTER(IMPORTRANGE(""https://docs.google.com/spreadsheets/d/1kGrh75X1cNR1D7_FcY9zMnHP8iPO4M5RCRjy6nZY0TY/edit#gid=1248694442"",""Table 3: 1st-line HC!BE5:BE111""), $A47=IMPORTRANGE(""https://docs.google.com/spreadsheets/d/1kGrh75X1cNR1D7_FcY9zMnHP8iP"&amp;"O4M5RCRjy6nZY0TY/edit#gid=1248694442"",""Table 3: 1st-line HC!A5:A111"")),"""")"),"")</f>
        <v/>
      </c>
      <c r="O47" s="20" t="str">
        <f>IFERROR(__xludf.DUMMYFUNCTION("IFNA(FILTER(IMPORTRANGE(""https://docs.google.com/spreadsheets/d/1kGrh75X1cNR1D7_FcY9zMnHP8iPO4M5RCRjy6nZY0TY/edit#gid=1248694442"",""Table 3: 1st-line HC!BF5:BF111""), $A47=IMPORTRANGE(""https://docs.google.com/spreadsheets/d/1kGrh75X1cNR1D7_FcY9zMnHP8iP"&amp;"O4M5RCRjy6nZY0TY/edit#gid=1248694442"",""Table 3: 1st-line HC!A5:A111"")),"""")"),"")</f>
        <v/>
      </c>
      <c r="P47" s="20" t="str">
        <f>IFERROR(__xludf.DUMMYFUNCTION("IFNA(FILTER(IMPORTRANGE(""https://docs.google.com/spreadsheets/d/1kGrh75X1cNR1D7_FcY9zMnHP8iPO4M5RCRjy6nZY0TY/edit#gid=1248694442"",""Table 3: 1st-line HC!BG5:BG111""), $A47=IMPORTRANGE(""https://docs.google.com/spreadsheets/d/1kGrh75X1cNR1D7_FcY9zMnHP8iP"&amp;"O4M5RCRjy6nZY0TY/edit#gid=1248694442"",""Table 3: 1st-line HC!A5:A111"")),"""")"),"")</f>
        <v/>
      </c>
      <c r="Q47" s="21" t="str">
        <f>IFERROR(__xludf.DUMMYFUNCTION("IFNA(FILTER(IMPORTRANGE(""https://docs.google.com/spreadsheets/d/1kGrh75X1cNR1D7_FcY9zMnHP8iPO4M5RCRjy6nZY0TY/edit#gid=1248694442"",""Table 3: 1st-line HC!BH5:BH111""), $A47=IMPORTRANGE(""https://docs.google.com/spreadsheets/d/1kGrh75X1cNR1D7_FcY9zMnHP8iP"&amp;"O4M5RCRjy6nZY0TY/edit#gid=1248694442"",""Table 3: 1st-line HC!A5:A111"")),"""")"),"")</f>
        <v/>
      </c>
      <c r="R47" s="19">
        <f>IFERROR(__xludf.DUMMYFUNCTION("IFNA(FILTER(IMPORTRANGE(""https://docs.google.com/spreadsheets/d/1kGrh75X1cNR1D7_FcY9zMnHP8iPO4M5RCRjy6nZY0TY/edit#gid=1248694442"",""Table 3: 1st-line HC!AJ5:AJ111""), $A47=IMPORTRANGE(""https://docs.google.com/spreadsheets/d/1kGrh75X1cNR1D7_FcY9zMnHP8iP"&amp;"O4M5RCRjy6nZY0TY/edit#gid=1248694442"",""Table 3: 1st-line HC!A5:A111"")),"""")"),0.0)</f>
        <v>0</v>
      </c>
      <c r="S47" s="20" t="str">
        <f>IFERROR(__xludf.DUMMYFUNCTION("IFNA(FILTER(IMPORTRANGE(""https://docs.google.com/spreadsheets/d/1kGrh75X1cNR1D7_FcY9zMnHP8iPO4M5RCRjy6nZY0TY/edit#gid=1248694442"",""Subgroup 3: Mi ~ Tx!B3:B17""), $A47=IMPORTRANGE(""https://docs.google.com/spreadsheets/d/1kGrh75X1cNR1D7_FcY9zMnHP8iPO4M5"&amp;"RCRjy6nZY0TY/edit#gid=1248694442"",""Subgroup 3: Mi ~ Tx!A3:A17"")),"""")"),"")</f>
        <v/>
      </c>
      <c r="T47" s="20">
        <f>IFERROR(__xludf.DUMMYFUNCTION("IFNA(FILTER(IMPORTRANGE(""https://docs.google.com/spreadsheets/d/1kGrh75X1cNR1D7_FcY9zMnHP8iPO4M5RCRjy6nZY0TY/edit#gid=1248694442"",""Subgroup 3: Mi ~ Tx!C3:C17""), $A47=IMPORTRANGE(""https://docs.google.com/spreadsheets/d/1kGrh75X1cNR1D7_FcY9zMnHP8iPO4M5"&amp;"RCRjy6nZY0TY/edit#gid=1248694442"",""Subgroup 3: Mi ~ Tx!A3:A17"")),"""")"),0.0)</f>
        <v>0</v>
      </c>
      <c r="U47" s="20" t="str">
        <f>IFERROR(__xludf.DUMMYFUNCTION("IFNA(FILTER(IMPORTRANGE(""https://docs.google.com/spreadsheets/d/1kGrh75X1cNR1D7_FcY9zMnHP8iPO4M5RCRjy6nZY0TY/edit#gid=1248694442"",""Subgroup 3: Mi ~ Tx!D3:D17""), $A47=IMPORTRANGE(""https://docs.google.com/spreadsheets/d/1kGrh75X1cNR1D7_FcY9zMnHP8iPO4M5"&amp;"RCRjy6nZY0TY/edit#gid=1248694442"",""Subgroup 3: Mi ~ Tx!A3:A17"")),"""")"),"")</f>
        <v/>
      </c>
      <c r="V47" s="20" t="str">
        <f>IFERROR(__xludf.DUMMYFUNCTION("IFNA(FILTER(IMPORTRANGE(""https://docs.google.com/spreadsheets/d/1kGrh75X1cNR1D7_FcY9zMnHP8iPO4M5RCRjy6nZY0TY/edit#gid=1248694442"",""Subgroup 3: Mi ~ Tx!E3:E17""), $A47=IMPORTRANGE(""https://docs.google.com/spreadsheets/d/1kGrh75X1cNR1D7_FcY9zMnHP8iPO4M5"&amp;"RCRjy6nZY0TY/edit#gid=1248694442"",""Subgroup 3: Mi ~ Tx!A3:A17"")),"""")"),"")</f>
        <v/>
      </c>
      <c r="W47" s="20" t="str">
        <f>IFERROR(__xludf.DUMMYFUNCTION("IFNA(FILTER(IMPORTRANGE(""https://docs.google.com/spreadsheets/d/1kGrh75X1cNR1D7_FcY9zMnHP8iPO4M5RCRjy6nZY0TY/edit#gid=1248694442"",""Subgroup 3: Mi ~ Tx!F3:F17""), $A47=IMPORTRANGE(""https://docs.google.com/spreadsheets/d/1kGrh75X1cNR1D7_FcY9zMnHP8iPO4M5"&amp;"RCRjy6nZY0TY/edit#gid=1248694442"",""Subgroup 3: Mi ~ Tx!A3:A17"")),"""")"),"")</f>
        <v/>
      </c>
      <c r="X47" s="19">
        <f>IFERROR(__xludf.DUMMYFUNCTION("IFNA(FILTER(IMPORTRANGE(""https://docs.google.com/spreadsheets/d/1kGrh75X1cNR1D7_FcY9zMnHP8iPO4M5RCRjy6nZY0TY/edit#gid=1248694442"",""Table 3: 1st-line HC!AK5:AK111""), $A47=IMPORTRANGE(""https://docs.google.com/spreadsheets/d/1kGrh75X1cNR1D7_FcY9zMnHP8iP"&amp;"O4M5RCRjy6nZY0TY/edit#gid=1248694442"",""Table 3: 1st-line HC!A5:A111"")),"""")"),0.0)</f>
        <v>0</v>
      </c>
      <c r="Y47" s="20" t="str">
        <f>IFERROR(__xludf.DUMMYFUNCTION("IFNA(FILTER(IMPORTRANGE(""https://docs.google.com/spreadsheets/d/1kGrh75X1cNR1D7_FcY9zMnHP8iPO4M5RCRjy6nZY0TY/edit#gid=1248694442"",""Subgroup 4: Mp ~ Tx!B3:B20""), $A47=IMPORTRANGE(""https://docs.google.com/spreadsheets/d/1kGrh75X1cNR1D7_FcY9zMnHP8iPO4M5"&amp;"RCRjy6nZY0TY/edit#gid=1248694442"",""Subgroup 4: Mp ~ Tx!A3:A20"")),"""")"),"")</f>
        <v/>
      </c>
      <c r="Z47" s="20">
        <f>IFERROR(__xludf.DUMMYFUNCTION("IFNA(FILTER(IMPORTRANGE(""https://docs.google.com/spreadsheets/d/1kGrh75X1cNR1D7_FcY9zMnHP8iPO4M5RCRjy6nZY0TY/edit#gid=1248694442"",""Subgroup 4: Mp ~ Tx!C3:C20""), $A47=IMPORTRANGE(""https://docs.google.com/spreadsheets/d/1kGrh75X1cNR1D7_FcY9zMnHP8iPO4M5"&amp;"RCRjy6nZY0TY/edit#gid=1248694442"",""Subgroup 4: Mp ~ Tx!A3:A20"")),"""")"),0.0)</f>
        <v>0</v>
      </c>
      <c r="AA47" s="20" t="str">
        <f>IFERROR(__xludf.DUMMYFUNCTION("IFNA(FILTER(IMPORTRANGE(""https://docs.google.com/spreadsheets/d/1kGrh75X1cNR1D7_FcY9zMnHP8iPO4M5RCRjy6nZY0TY/edit#gid=1248694442"",""Subgroup 4: Mp ~ Tx!D3:D20""), $A47=IMPORTRANGE(""https://docs.google.com/spreadsheets/d/1kGrh75X1cNR1D7_FcY9zMnHP8iPO4M5"&amp;"RCRjy6nZY0TY/edit#gid=1248694442"",""Subgroup 4: Mp ~ Tx!A3:A20"")),"""")"),"")</f>
        <v/>
      </c>
      <c r="AB47" s="20" t="str">
        <f>IFERROR(__xludf.DUMMYFUNCTION("IFNA(FILTER(IMPORTRANGE(""https://docs.google.com/spreadsheets/d/1kGrh75X1cNR1D7_FcY9zMnHP8iPO4M5RCRjy6nZY0TY/edit#gid=1248694442"",""Subgroup 4: Mp ~ Tx!E3:E20""), $A47=IMPORTRANGE(""https://docs.google.com/spreadsheets/d/1kGrh75X1cNR1D7_FcY9zMnHP8iPO4M5"&amp;"RCRjy6nZY0TY/edit#gid=1248694442"",""Subgroup 4: Mp ~ Tx!A3:A20"")),"""")"),"")</f>
        <v/>
      </c>
      <c r="AC47" s="20" t="str">
        <f>IFERROR(__xludf.DUMMYFUNCTION("IFNA(FILTER(IMPORTRANGE(""https://docs.google.com/spreadsheets/d/1kGrh75X1cNR1D7_FcY9zMnHP8iPO4M5RCRjy6nZY0TY/edit#gid=1248694442"",""Subgroup 4: Mp ~ Tx!F3:F20""), $A47=IMPORTRANGE(""https://docs.google.com/spreadsheets/d/1kGrh75X1cNR1D7_FcY9zMnHP8iPO4M5"&amp;"RCRjy6nZY0TY/edit#gid=1248694442"",""Subgroup 4: Mp ~ Tx!A3:A20"")),"""")"),"")</f>
        <v/>
      </c>
      <c r="AD47" s="22" t="str">
        <f>IFERROR(__xludf.DUMMYFUNCTION("IFNA(FILTER(IMPORTRANGE(""https://docs.google.com/spreadsheets/d/1kGrh75X1cNR1D7_FcY9zMnHP8iPO4M5RCRjy6nZY0TY/edit#gid=1248694442"",""Table 3: 1st-line HC!AL5:AL111""), $A47=IMPORTRANGE(""https://docs.google.com/spreadsheets/d/1kGrh75X1cNR1D7_FcY9zMnHP8iP"&amp;"O4M5RCRjy6nZY0TY/edit#gid=1248694442"",""Table 3: 1st-line HC!A5:A111"")),"""")"),"")</f>
        <v/>
      </c>
      <c r="AE47" s="20" t="str">
        <f>IFERROR(__xludf.DUMMYFUNCTION("IFNA(FILTER(IMPORTRANGE(""https://docs.google.com/spreadsheets/d/1kGrh75X1cNR1D7_FcY9zMnHP8iPO4M5RCRjy6nZY0TY/edit#gid=1248694442"",""Table 3: 1st-line HC!BJ5:BJ111""), $A47=IMPORTRANGE(""https://docs.google.com/spreadsheets/d/1kGrh75X1cNR1D7_FcY9zMnHP8iP"&amp;"O4M5RCRjy6nZY0TY/edit#gid=1248694442"",""Table 3: 1st-line HC!A5:A111"")),"""")"),"")</f>
        <v/>
      </c>
      <c r="AF47" s="20" t="str">
        <f>IFERROR(__xludf.DUMMYFUNCTION("IFNA(FILTER(IMPORTRANGE(""https://docs.google.com/spreadsheets/d/1kGrh75X1cNR1D7_FcY9zMnHP8iPO4M5RCRjy6nZY0TY/edit#gid=1248694442"",""Subgroup 2: Cr ~ Tx!B3:B23""), $A47=IMPORTRANGE(""https://docs.google.com/spreadsheets/d/1kGrh75X1cNR1D7_FcY9zMnHP8iPO4M5"&amp;"RCRjy6nZY0TY/edit#gid=1248694442"",""Subgroup 2: Cr ~ Tx!A3:A23"")),"""")"),"")</f>
        <v/>
      </c>
      <c r="AG47" s="20" t="str">
        <f>IFERROR(__xludf.DUMMYFUNCTION("IFNA(FILTER(IMPORTRANGE(""https://docs.google.com/spreadsheets/d/1kGrh75X1cNR1D7_FcY9zMnHP8iPO4M5RCRjy6nZY0TY/edit#gid=1248694442"",""Subgroup 2: Cr ~ Tx!C3:C23""), $A47=IMPORTRANGE(""https://docs.google.com/spreadsheets/d/1kGrh75X1cNR1D7_FcY9zMnHP8iPO4M5"&amp;"RCRjy6nZY0TY/edit#gid=1248694442"",""Subgroup 2: Cr ~ Tx!A3:A23"")),"""")"),"")</f>
        <v/>
      </c>
      <c r="AH47" s="20" t="str">
        <f>IFERROR(__xludf.DUMMYFUNCTION("IFNA(FILTER(IMPORTRANGE(""https://docs.google.com/spreadsheets/d/1kGrh75X1cNR1D7_FcY9zMnHP8iPO4M5RCRjy6nZY0TY/edit#gid=1248694442"",""Subgroup 2: Cr ~ Tx!D3:D23""), $A47=IMPORTRANGE(""https://docs.google.com/spreadsheets/d/1kGrh75X1cNR1D7_FcY9zMnHP8iPO4M5"&amp;"RCRjy6nZY0TY/edit#gid=1248694442"",""Subgroup 2: Cr ~ Tx!A3:A23"")),"""")"),"")</f>
        <v/>
      </c>
      <c r="AI47" s="20" t="str">
        <f>IFERROR(__xludf.DUMMYFUNCTION("IFNA(FILTER(IMPORTRANGE(""https://docs.google.com/spreadsheets/d/1kGrh75X1cNR1D7_FcY9zMnHP8iPO4M5RCRjy6nZY0TY/edit#gid=1248694442"",""Subgroup 2: Cr ~ Tx!E3:E23""), $A47=IMPORTRANGE(""https://docs.google.com/spreadsheets/d/1kGrh75X1cNR1D7_FcY9zMnHP8iPO4M5"&amp;"RCRjy6nZY0TY/edit#gid=1248694442"",""Subgroup 2: Cr ~ Tx!A3:A23"")),"""")"),"")</f>
        <v/>
      </c>
      <c r="AJ47" s="20" t="str">
        <f>IFERROR(__xludf.DUMMYFUNCTION("IFNA(FILTER(IMPORTRANGE(""https://docs.google.com/spreadsheets/d/1kGrh75X1cNR1D7_FcY9zMnHP8iPO4M5RCRjy6nZY0TY/edit#gid=1248694442"",""Subgroup 2: Cr ~ Tx!F3:F23""), $A47=IMPORTRANGE(""https://docs.google.com/spreadsheets/d/1kGrh75X1cNR1D7_FcY9zMnHP8iPO4M5"&amp;"RCRjy6nZY0TY/edit#gid=1248694442"",""Subgroup 2: Cr ~ Tx!A3:A23"")),"""")"),"")</f>
        <v/>
      </c>
      <c r="AK47" s="14" t="str">
        <f>IFERROR(__xludf.DUMMYFUNCTION("IFNA(FILTER(IMPORTRANGE(""https://docs.google.com/spreadsheets/d/1kGrh75X1cNR1D7_FcY9zMnHP8iPO4M5RCRjy6nZY0TY/edit#gid=1248694442"",""Table 4: 2nd-line HC or more!M5:M85""), $A47=IMPORTRANGE(""https://docs.google.com/spreadsheets/d/1kGrh75X1cNR1D7_FcY9zMn"&amp;"HP8iPO4M5RCRjy6nZY0TY/edit#gid=1248694442"",""Table 4: 2nd-line HC or more!A5:A85"")),"""")"),"")</f>
        <v/>
      </c>
      <c r="AL47" s="14" t="str">
        <f>IFERROR(__xludf.DUMMYFUNCTION("IFNA(FILTER(IMPORTRANGE(""https://docs.google.com/spreadsheets/d/1kGrh75X1cNR1D7_FcY9zMnHP8iPO4M5RCRjy6nZY0TY/edit#gid=1248694442"",""Table 4: 2nd-line HC or more!N5:N85""), $A47=IMPORTRANGE(""https://docs.google.com/spreadsheets/d/1kGrh75X1cNR1D7_FcY9zMn"&amp;"HP8iPO4M5RCRjy6nZY0TY/edit#gid=1248694442"",""Table 4: 2nd-line HC or more!A5:A85"")),"""")"),"")</f>
        <v/>
      </c>
      <c r="AM47" s="14" t="str">
        <f>IFERROR(__xludf.DUMMYFUNCTION("IFNA(FILTER(IMPORTRANGE(""https://docs.google.com/spreadsheets/d/1kGrh75X1cNR1D7_FcY9zMnHP8iPO4M5RCRjy6nZY0TY/edit#gid=1248694442"",""Table 4: 2nd-line HC or more!O5:O85""), $A47=IMPORTRANGE(""https://docs.google.com/spreadsheets/d/1kGrh75X1cNR1D7_FcY9zMn"&amp;"HP8iPO4M5RCRjy6nZY0TY/edit#gid=1248694442"",""Table 4: 2nd-line HC or more!A5:A85"")),"""")"),"")</f>
        <v/>
      </c>
      <c r="AN47" s="14" t="str">
        <f>IFERROR(__xludf.DUMMYFUNCTION("IFNA(FILTER(IMPORTRANGE(""https://docs.google.com/spreadsheets/d/1kGrh75X1cNR1D7_FcY9zMnHP8iPO4M5RCRjy6nZY0TY/edit#gid=1248694442"",""Table 3: 1st-line HC!AP5:AP111""), $A47=IMPORTRANGE(""https://docs.google.com/spreadsheets/d/1kGrh75X1cNR1D7_FcY9zMnHP8iP"&amp;"O4M5RCRjy6nZY0TY/edit#gid=1248694442"",""Table 3: 1st-line HC!A5:A111"")),"""")"),"")</f>
        <v/>
      </c>
      <c r="AO47" s="14">
        <f>IFERROR(__xludf.DUMMYFUNCTION("IFNA(FILTER(IMPORTRANGE(""https://docs.google.com/spreadsheets/d/1kGrh75X1cNR1D7_FcY9zMnHP8iPO4M5RCRjy6nZY0TY/edit#gid=1248694442"",""Table 3: 1st-line HC!AO5:AO111""), $A47=IMPORTRANGE(""https://docs.google.com/spreadsheets/d/1kGrh75X1cNR1D7_FcY9zMnHP8iP"&amp;"O4M5RCRjy6nZY0TY/edit#gid=1248694442"",""Table 3: 1st-line HC!A5:A111"")),"""")"),1.0)</f>
        <v>1</v>
      </c>
      <c r="AP47" s="14" t="str">
        <f>IFERROR(__xludf.DUMMYFUNCTION("IFNA(FILTER(IMPORTRANGE(""https://docs.google.com/spreadsheets/d/1kGrh75X1cNR1D7_FcY9zMnHP8iPO4M5RCRjy6nZY0TY/edit#gid=1248694442"",""Table 3: 1st-line HC!AQ5:AQ111""), $A47=IMPORTRANGE(""https://docs.google.com/spreadsheets/d/1kGrh75X1cNR1D7_FcY9zMnHP8iP"&amp;"O4M5RCRjy6nZY0TY/edit#gid=1248694442"",""Table 3: 1st-line HC!A5:A111"")),"""")"),"")</f>
        <v/>
      </c>
      <c r="AQ47" s="14" t="str">
        <f>IFERROR(__xludf.DUMMYFUNCTION("IFNA(FILTER(IMPORTRANGE(""https://docs.google.com/spreadsheets/d/1kGrh75X1cNR1D7_FcY9zMnHP8iPO4M5RCRjy6nZY0TY/edit#gid=1248694442"",""Table 2: MMC!T5:T114""), $A47=IMPORTRANGE(""https://docs.google.com/spreadsheets/d/1kGrh75X1cNR1D7_FcY9zMnHP8iPO4M5RCRjy6"&amp;"nZY0TY/edit#gid=1248694442"",""Table 2: MMC!A5:A114"")),"""")"),"")</f>
        <v/>
      </c>
      <c r="AR47" s="14" t="str">
        <f>IFERROR(__xludf.DUMMYFUNCTION("IFNA(FILTER(IMPORTRANGE(""https://docs.google.com/spreadsheets/d/1kGrh75X1cNR1D7_FcY9zMnHP8iPO4M5RCRjy6nZY0TY/edit#gid=1248694442"",""Table 2: MMC!U5:U114""), $A47=IMPORTRANGE(""https://docs.google.com/spreadsheets/d/1kGrh75X1cNR1D7_FcY9zMnHP8iPO4M5RCRjy6"&amp;"nZY0TY/edit#gid=1248694442"",""Table 2: MMC!A5:A114"")),"""")"),"")</f>
        <v/>
      </c>
      <c r="AS47" s="14" t="str">
        <f>IFERROR(__xludf.DUMMYFUNCTION("IFNA(FILTER(IMPORTRANGE(""https://docs.google.com/spreadsheets/d/1kGrh75X1cNR1D7_FcY9zMnHP8iPO4M5RCRjy6nZY0TY/edit#gid=1248694442"",""Table 2: MMC!V5:V114""), $A47=IMPORTRANGE(""https://docs.google.com/spreadsheets/d/1kGrh75X1cNR1D7_FcY9zMnHP8iPO4M5RCRjy6"&amp;"nZY0TY/edit#gid=1248694442"",""Table 2: MMC!A5:A114"")),"""")"),"")</f>
        <v/>
      </c>
      <c r="AT47" s="4" t="str">
        <f>IFERROR(__xludf.DUMMYFUNCTION("IFNA(FILTER(IMPORTRANGE(""https://docs.google.com/spreadsheets/d/1kGrh75X1cNR1D7_FcY9zMnHP8iPO4M5RCRjy6nZY0TY/edit#gid=1248694442"",""Table 2: MMC!W5:W114""), $A47=IMPORTRANGE(""https://docs.google.com/spreadsheets/d/1kGrh75X1cNR1D7_FcY9zMnHP8iPO4M5RCRjy6"&amp;"nZY0TY/edit#gid=1248694442"",""Table 2: MMC!A5:A114"")),"""")"),"")</f>
        <v/>
      </c>
    </row>
    <row r="48">
      <c r="A48" s="4" t="str">
        <f>IFERROR(__xludf.DUMMYFUNCTION("""COMPUTED_VALUE"""),"ID 94")</f>
        <v>ID 94</v>
      </c>
      <c r="B48" s="20" t="str">
        <f>IFERROR(__xludf.DUMMYFUNCTION("IFNA(FILTER(IMPORTRANGE(""https://docs.google.com/spreadsheets/d/1kGrh75X1cNR1D7_FcY9zMnHP8iPO4M5RCRjy6nZY0TY/edit#gid=1248694442"",""Table 3: 1st-line HC!BK5:BK111""), $A48=IMPORTRANGE(""https://docs.google.com/spreadsheets/d/1kGrh75X1cNR1D7_FcY9zMnHP8iP"&amp;"O4M5RCRjy6nZY0TY/edit#gid=1248694442"",""Table 3: 1st-line HC!A5:A111"")),"""")"),"")</f>
        <v/>
      </c>
      <c r="C48" s="20" t="str">
        <f>IFERROR(__xludf.DUMMYFUNCTION("IFNA(FILTER(IMPORTRANGE(""https://docs.google.com/spreadsheets/d/1kGrh75X1cNR1D7_FcY9zMnHP8iPO4M5RCRjy6nZY0TY/edit#gid=1248694442"",""Subgroup 1: Fr ~ Tx!B3:B20""), $A48=IMPORTRANGE(""https://docs.google.com/spreadsheets/d/1kGrh75X1cNR1D7_FcY9zMnHP8iPO4M5"&amp;"RCRjy6nZY0TY/edit#gid=1248694442"",""Subgroup 1: Fr ~ Tx!A3:A20"")),"""")"),"")</f>
        <v/>
      </c>
      <c r="D48" s="20" t="str">
        <f>IFERROR(__xludf.DUMMYFUNCTION("IFNA(FILTER(IMPORTRANGE(""https://docs.google.com/spreadsheets/d/1kGrh75X1cNR1D7_FcY9zMnHP8iPO4M5RCRjy6nZY0TY/edit#gid=1248694442"",""Subgroup 1: Fr ~ Tx!C3:C20""), $A48=IMPORTRANGE(""https://docs.google.com/spreadsheets/d/1kGrh75X1cNR1D7_FcY9zMnHP8iPO4M5"&amp;"RCRjy6nZY0TY/edit#gid=1248694442"",""Subgroup 1: Fr ~ Tx!A3:A20"")),"""")"),"")</f>
        <v/>
      </c>
      <c r="E48" s="20" t="str">
        <f>IFERROR(__xludf.DUMMYFUNCTION("IFNA(FILTER(IMPORTRANGE(""https://docs.google.com/spreadsheets/d/1kGrh75X1cNR1D7_FcY9zMnHP8iPO4M5RCRjy6nZY0TY/edit#gid=1248694442"",""Subgroup 1: Fr ~ Tx!D3:D20""), $A48=IMPORTRANGE(""https://docs.google.com/spreadsheets/d/1kGrh75X1cNR1D7_FcY9zMnHP8iPO4M5"&amp;"RCRjy6nZY0TY/edit#gid=1248694442"",""Subgroup 1: Fr ~ Tx!A3:A20"")),"""")"),"")</f>
        <v/>
      </c>
      <c r="F48" s="20" t="str">
        <f>IFERROR(__xludf.DUMMYFUNCTION("IFNA(FILTER(IMPORTRANGE(""https://docs.google.com/spreadsheets/d/1kGrh75X1cNR1D7_FcY9zMnHP8iPO4M5RCRjy6nZY0TY/edit#gid=1248694442"",""Subgroup 1: Fr ~ Tx!E3:E20""), $A48=IMPORTRANGE(""https://docs.google.com/spreadsheets/d/1kGrh75X1cNR1D7_FcY9zMnHP8iPO4M5"&amp;"RCRjy6nZY0TY/edit#gid=1248694442"",""Subgroup 1: Fr ~ Tx!A3:A20"")),"""")"),"")</f>
        <v/>
      </c>
      <c r="G48" s="20" t="str">
        <f>IFERROR(__xludf.DUMMYFUNCTION("IFNA(FILTER(IMPORTRANGE(""https://docs.google.com/spreadsheets/d/1kGrh75X1cNR1D7_FcY9zMnHP8iPO4M5RCRjy6nZY0TY/edit#gid=1248694442"",""Subgroup 1: Fr ~ Tx!F3:F20""), $A48=IMPORTRANGE(""https://docs.google.com/spreadsheets/d/1kGrh75X1cNR1D7_FcY9zMnHP8iPO4M5"&amp;"RCRjy6nZY0TY/edit#gid=1248694442"",""Subgroup 1: Fr ~ Tx!A3:A20"")),"""")"),"")</f>
        <v/>
      </c>
      <c r="H48" s="20" t="str">
        <f>IFERROR(__xludf.DUMMYFUNCTION("IFNA(FILTER(IMPORTRANGE(""https://docs.google.com/spreadsheets/d/1kGrh75X1cNR1D7_FcY9zMnHP8iPO4M5RCRjy6nZY0TY/edit#gid=1248694442"",""Table 3: 1st-line HC!BD5:BD111""), $A48=IMPORTRANGE(""https://docs.google.com/spreadsheets/d/1kGrh75X1cNR1D7_FcY9zMnHP8iP"&amp;"O4M5RCRjy6nZY0TY/edit#gid=1248694442"",""Table 3: 1st-line HC!A5:A111"")),"""")"),"")</f>
        <v/>
      </c>
      <c r="I48" s="20" t="str">
        <f>IFERROR(__xludf.DUMMYFUNCTION("IFNA(FILTER(IMPORTRANGE(""https://docs.google.com/spreadsheets/d/1kGrh75X1cNR1D7_FcY9zMnHP8iPO4M5RCRjy6nZY0TY/edit#gid=1248694442"",""Subgroup 5: Tf ~ Tx!B3:B8""), $A48=IMPORTRANGE(""https://docs.google.com/spreadsheets/d/1kGrh75X1cNR1D7_FcY9zMnHP8iPO4M5R"&amp;"CRjy6nZY0TY/edit#gid=1248694442"",""Subgroup 5: Tf ~ Tx!A3:A8"")),"""")"),"")</f>
        <v/>
      </c>
      <c r="J48" s="20" t="str">
        <f>IFERROR(__xludf.DUMMYFUNCTION("IFNA(FILTER(IMPORTRANGE(""https://docs.google.com/spreadsheets/d/1kGrh75X1cNR1D7_FcY9zMnHP8iPO4M5RCRjy6nZY0TY/edit#gid=1248694442"",""Subgroup 5: Tf ~ Tx!C3:C8""), $A48=IMPORTRANGE(""https://docs.google.com/spreadsheets/d/1kGrh75X1cNR1D7_FcY9zMnHP8iPO4M5R"&amp;"CRjy6nZY0TY/edit#gid=1248694442"",""Subgroup 5: Tf ~ Tx!A3:A8"")),"""")"),"")</f>
        <v/>
      </c>
      <c r="K48" s="20" t="str">
        <f>IFERROR(__xludf.DUMMYFUNCTION("IFNA(FILTER(IMPORTRANGE(""https://docs.google.com/spreadsheets/d/1kGrh75X1cNR1D7_FcY9zMnHP8iPO4M5RCRjy6nZY0TY/edit#gid=1248694442"",""Subgroup 5: Tf ~ Tx!D3:D8""), $A48=IMPORTRANGE(""https://docs.google.com/spreadsheets/d/1kGrh75X1cNR1D7_FcY9zMnHP8iPO4M5R"&amp;"CRjy6nZY0TY/edit#gid=1248694442"",""Subgroup 5: Tf ~ Tx!A3:A8"")),"""")"),"")</f>
        <v/>
      </c>
      <c r="L48" s="20" t="str">
        <f>IFERROR(__xludf.DUMMYFUNCTION("IFNA(FILTER(IMPORTRANGE(""https://docs.google.com/spreadsheets/d/1kGrh75X1cNR1D7_FcY9zMnHP8iPO4M5RCRjy6nZY0TY/edit#gid=1248694442"",""Subgroup 5: Tf ~ Tx!E3:E8""), $A48=IMPORTRANGE(""https://docs.google.com/spreadsheets/d/1kGrh75X1cNR1D7_FcY9zMnHP8iPO4M5R"&amp;"CRjy6nZY0TY/edit#gid=1248694442"",""Subgroup 5: Tf ~ Tx!A3:A8"")),"""")"),"")</f>
        <v/>
      </c>
      <c r="M48" s="20" t="str">
        <f>IFERROR(__xludf.DUMMYFUNCTION("IFNA(FILTER(IMPORTRANGE(""https://docs.google.com/spreadsheets/d/1kGrh75X1cNR1D7_FcY9zMnHP8iPO4M5RCRjy6nZY0TY/edit#gid=1248694442"",""Subgroup 5: Tf ~ Tx!F3:F8""), $A48=IMPORTRANGE(""https://docs.google.com/spreadsheets/d/1kGrh75X1cNR1D7_FcY9zMnHP8iPO4M5R"&amp;"CRjy6nZY0TY/edit#gid=1248694442"",""Subgroup 5: Tf ~ Tx!A3:A8"")),"""")"),"")</f>
        <v/>
      </c>
      <c r="N48" s="20" t="str">
        <f>IFERROR(__xludf.DUMMYFUNCTION("IFNA(FILTER(IMPORTRANGE(""https://docs.google.com/spreadsheets/d/1kGrh75X1cNR1D7_FcY9zMnHP8iPO4M5RCRjy6nZY0TY/edit#gid=1248694442"",""Table 3: 1st-line HC!BE5:BE111""), $A48=IMPORTRANGE(""https://docs.google.com/spreadsheets/d/1kGrh75X1cNR1D7_FcY9zMnHP8iP"&amp;"O4M5RCRjy6nZY0TY/edit#gid=1248694442"",""Table 3: 1st-line HC!A5:A111"")),"""")"),"")</f>
        <v/>
      </c>
      <c r="O48" s="20" t="str">
        <f>IFERROR(__xludf.DUMMYFUNCTION("IFNA(FILTER(IMPORTRANGE(""https://docs.google.com/spreadsheets/d/1kGrh75X1cNR1D7_FcY9zMnHP8iPO4M5RCRjy6nZY0TY/edit#gid=1248694442"",""Table 3: 1st-line HC!BF5:BF111""), $A48=IMPORTRANGE(""https://docs.google.com/spreadsheets/d/1kGrh75X1cNR1D7_FcY9zMnHP8iP"&amp;"O4M5RCRjy6nZY0TY/edit#gid=1248694442"",""Table 3: 1st-line HC!A5:A111"")),"""")"),"")</f>
        <v/>
      </c>
      <c r="P48" s="20" t="str">
        <f>IFERROR(__xludf.DUMMYFUNCTION("IFNA(FILTER(IMPORTRANGE(""https://docs.google.com/spreadsheets/d/1kGrh75X1cNR1D7_FcY9zMnHP8iPO4M5RCRjy6nZY0TY/edit#gid=1248694442"",""Table 3: 1st-line HC!BG5:BG111""), $A48=IMPORTRANGE(""https://docs.google.com/spreadsheets/d/1kGrh75X1cNR1D7_FcY9zMnHP8iP"&amp;"O4M5RCRjy6nZY0TY/edit#gid=1248694442"",""Table 3: 1st-line HC!A5:A111"")),"""")"),"")</f>
        <v/>
      </c>
      <c r="Q48" s="21" t="str">
        <f>IFERROR(__xludf.DUMMYFUNCTION("IFNA(FILTER(IMPORTRANGE(""https://docs.google.com/spreadsheets/d/1kGrh75X1cNR1D7_FcY9zMnHP8iPO4M5RCRjy6nZY0TY/edit#gid=1248694442"",""Table 3: 1st-line HC!BH5:BH111""), $A48=IMPORTRANGE(""https://docs.google.com/spreadsheets/d/1kGrh75X1cNR1D7_FcY9zMnHP8iP"&amp;"O4M5RCRjy6nZY0TY/edit#gid=1248694442"",""Table 3: 1st-line HC!A5:A111"")),"""")"),"")</f>
        <v/>
      </c>
      <c r="R48" s="19" t="str">
        <f>IFERROR(__xludf.DUMMYFUNCTION("IFNA(FILTER(IMPORTRANGE(""https://docs.google.com/spreadsheets/d/1kGrh75X1cNR1D7_FcY9zMnHP8iPO4M5RCRjy6nZY0TY/edit#gid=1248694442"",""Table 3: 1st-line HC!AJ5:AJ111""), $A48=IMPORTRANGE(""https://docs.google.com/spreadsheets/d/1kGrh75X1cNR1D7_FcY9zMnHP8iP"&amp;"O4M5RCRjy6nZY0TY/edit#gid=1248694442"",""Table 3: 1st-line HC!A5:A111"")),"""")"),"")</f>
        <v/>
      </c>
      <c r="S48" s="20" t="str">
        <f>IFERROR(__xludf.DUMMYFUNCTION("IFNA(FILTER(IMPORTRANGE(""https://docs.google.com/spreadsheets/d/1kGrh75X1cNR1D7_FcY9zMnHP8iPO4M5RCRjy6nZY0TY/edit#gid=1248694442"",""Subgroup 3: Mi ~ Tx!B3:B17""), $A48=IMPORTRANGE(""https://docs.google.com/spreadsheets/d/1kGrh75X1cNR1D7_FcY9zMnHP8iPO4M5"&amp;"RCRjy6nZY0TY/edit#gid=1248694442"",""Subgroup 3: Mi ~ Tx!A3:A17"")),"""")"),"")</f>
        <v/>
      </c>
      <c r="T48" s="20" t="str">
        <f>IFERROR(__xludf.DUMMYFUNCTION("IFNA(FILTER(IMPORTRANGE(""https://docs.google.com/spreadsheets/d/1kGrh75X1cNR1D7_FcY9zMnHP8iPO4M5RCRjy6nZY0TY/edit#gid=1248694442"",""Subgroup 3: Mi ~ Tx!C3:C17""), $A48=IMPORTRANGE(""https://docs.google.com/spreadsheets/d/1kGrh75X1cNR1D7_FcY9zMnHP8iPO4M5"&amp;"RCRjy6nZY0TY/edit#gid=1248694442"",""Subgroup 3: Mi ~ Tx!A3:A17"")),"""")"),"")</f>
        <v/>
      </c>
      <c r="U48" s="20" t="str">
        <f>IFERROR(__xludf.DUMMYFUNCTION("IFNA(FILTER(IMPORTRANGE(""https://docs.google.com/spreadsheets/d/1kGrh75X1cNR1D7_FcY9zMnHP8iPO4M5RCRjy6nZY0TY/edit#gid=1248694442"",""Subgroup 3: Mi ~ Tx!D3:D17""), $A48=IMPORTRANGE(""https://docs.google.com/spreadsheets/d/1kGrh75X1cNR1D7_FcY9zMnHP8iPO4M5"&amp;"RCRjy6nZY0TY/edit#gid=1248694442"",""Subgroup 3: Mi ~ Tx!A3:A17"")),"""")"),"")</f>
        <v/>
      </c>
      <c r="V48" s="20" t="str">
        <f>IFERROR(__xludf.DUMMYFUNCTION("IFNA(FILTER(IMPORTRANGE(""https://docs.google.com/spreadsheets/d/1kGrh75X1cNR1D7_FcY9zMnHP8iPO4M5RCRjy6nZY0TY/edit#gid=1248694442"",""Subgroup 3: Mi ~ Tx!E3:E17""), $A48=IMPORTRANGE(""https://docs.google.com/spreadsheets/d/1kGrh75X1cNR1D7_FcY9zMnHP8iPO4M5"&amp;"RCRjy6nZY0TY/edit#gid=1248694442"",""Subgroup 3: Mi ~ Tx!A3:A17"")),"""")"),"")</f>
        <v/>
      </c>
      <c r="W48" s="20" t="str">
        <f>IFERROR(__xludf.DUMMYFUNCTION("IFNA(FILTER(IMPORTRANGE(""https://docs.google.com/spreadsheets/d/1kGrh75X1cNR1D7_FcY9zMnHP8iPO4M5RCRjy6nZY0TY/edit#gid=1248694442"",""Subgroup 3: Mi ~ Tx!F3:F17""), $A48=IMPORTRANGE(""https://docs.google.com/spreadsheets/d/1kGrh75X1cNR1D7_FcY9zMnHP8iPO4M5"&amp;"RCRjy6nZY0TY/edit#gid=1248694442"",""Subgroup 3: Mi ~ Tx!A3:A17"")),"""")"),"")</f>
        <v/>
      </c>
      <c r="X48" s="19">
        <f>IFERROR(__xludf.DUMMYFUNCTION("IFNA(FILTER(IMPORTRANGE(""https://docs.google.com/spreadsheets/d/1kGrh75X1cNR1D7_FcY9zMnHP8iPO4M5RCRjy6nZY0TY/edit#gid=1248694442"",""Table 3: 1st-line HC!AK5:AK111""), $A48=IMPORTRANGE(""https://docs.google.com/spreadsheets/d/1kGrh75X1cNR1D7_FcY9zMnHP8iP"&amp;"O4M5RCRjy6nZY0TY/edit#gid=1248694442"",""Table 3: 1st-line HC!A5:A111"")),"""")"),1.0)</f>
        <v>1</v>
      </c>
      <c r="Y48" s="20" t="str">
        <f>IFERROR(__xludf.DUMMYFUNCTION("IFNA(FILTER(IMPORTRANGE(""https://docs.google.com/spreadsheets/d/1kGrh75X1cNR1D7_FcY9zMnHP8iPO4M5RCRjy6nZY0TY/edit#gid=1248694442"",""Subgroup 4: Mp ~ Tx!B3:B20""), $A48=IMPORTRANGE(""https://docs.google.com/spreadsheets/d/1kGrh75X1cNR1D7_FcY9zMnHP8iPO4M5"&amp;"RCRjy6nZY0TY/edit#gid=1248694442"",""Subgroup 4: Mp ~ Tx!A3:A20"")),"""")"),"")</f>
        <v/>
      </c>
      <c r="Z48" s="20" t="str">
        <f>IFERROR(__xludf.DUMMYFUNCTION("IFNA(FILTER(IMPORTRANGE(""https://docs.google.com/spreadsheets/d/1kGrh75X1cNR1D7_FcY9zMnHP8iPO4M5RCRjy6nZY0TY/edit#gid=1248694442"",""Subgroup 4: Mp ~ Tx!C3:C20""), $A48=IMPORTRANGE(""https://docs.google.com/spreadsheets/d/1kGrh75X1cNR1D7_FcY9zMnHP8iPO4M5"&amp;"RCRjy6nZY0TY/edit#gid=1248694442"",""Subgroup 4: Mp ~ Tx!A3:A20"")),"""")"),"")</f>
        <v/>
      </c>
      <c r="AA48" s="20" t="str">
        <f>IFERROR(__xludf.DUMMYFUNCTION("IFNA(FILTER(IMPORTRANGE(""https://docs.google.com/spreadsheets/d/1kGrh75X1cNR1D7_FcY9zMnHP8iPO4M5RCRjy6nZY0TY/edit#gid=1248694442"",""Subgroup 4: Mp ~ Tx!D3:D20""), $A48=IMPORTRANGE(""https://docs.google.com/spreadsheets/d/1kGrh75X1cNR1D7_FcY9zMnHP8iPO4M5"&amp;"RCRjy6nZY0TY/edit#gid=1248694442"",""Subgroup 4: Mp ~ Tx!A3:A20"")),"""")"),"")</f>
        <v/>
      </c>
      <c r="AB48" s="20" t="str">
        <f>IFERROR(__xludf.DUMMYFUNCTION("IFNA(FILTER(IMPORTRANGE(""https://docs.google.com/spreadsheets/d/1kGrh75X1cNR1D7_FcY9zMnHP8iPO4M5RCRjy6nZY0TY/edit#gid=1248694442"",""Subgroup 4: Mp ~ Tx!E3:E20""), $A48=IMPORTRANGE(""https://docs.google.com/spreadsheets/d/1kGrh75X1cNR1D7_FcY9zMnHP8iPO4M5"&amp;"RCRjy6nZY0TY/edit#gid=1248694442"",""Subgroup 4: Mp ~ Tx!A3:A20"")),"""")"),"")</f>
        <v/>
      </c>
      <c r="AC48" s="20" t="str">
        <f>IFERROR(__xludf.DUMMYFUNCTION("IFNA(FILTER(IMPORTRANGE(""https://docs.google.com/spreadsheets/d/1kGrh75X1cNR1D7_FcY9zMnHP8iPO4M5RCRjy6nZY0TY/edit#gid=1248694442"",""Subgroup 4: Mp ~ Tx!F3:F20""), $A48=IMPORTRANGE(""https://docs.google.com/spreadsheets/d/1kGrh75X1cNR1D7_FcY9zMnHP8iPO4M5"&amp;"RCRjy6nZY0TY/edit#gid=1248694442"",""Subgroup 4: Mp ~ Tx!A3:A20"")),"""")"),"")</f>
        <v/>
      </c>
      <c r="AD48" s="22" t="str">
        <f>IFERROR(__xludf.DUMMYFUNCTION("IFNA(FILTER(IMPORTRANGE(""https://docs.google.com/spreadsheets/d/1kGrh75X1cNR1D7_FcY9zMnHP8iPO4M5RCRjy6nZY0TY/edit#gid=1248694442"",""Table 3: 1st-line HC!AL5:AL111""), $A48=IMPORTRANGE(""https://docs.google.com/spreadsheets/d/1kGrh75X1cNR1D7_FcY9zMnHP8iP"&amp;"O4M5RCRjy6nZY0TY/edit#gid=1248694442"",""Table 3: 1st-line HC!A5:A111"")),"""")"),"septicaemia")</f>
        <v>septicaemia</v>
      </c>
      <c r="AE48" s="20" t="str">
        <f>IFERROR(__xludf.DUMMYFUNCTION("IFNA(FILTER(IMPORTRANGE(""https://docs.google.com/spreadsheets/d/1kGrh75X1cNR1D7_FcY9zMnHP8iPO4M5RCRjy6nZY0TY/edit#gid=1248694442"",""Table 3: 1st-line HC!BJ5:BJ111""), $A48=IMPORTRANGE(""https://docs.google.com/spreadsheets/d/1kGrh75X1cNR1D7_FcY9zMnHP8iP"&amp;"O4M5RCRjy6nZY0TY/edit#gid=1248694442"",""Table 3: 1st-line HC!A5:A111"")),"""")"),"")</f>
        <v/>
      </c>
      <c r="AF48" s="20" t="str">
        <f>IFERROR(__xludf.DUMMYFUNCTION("IFNA(FILTER(IMPORTRANGE(""https://docs.google.com/spreadsheets/d/1kGrh75X1cNR1D7_FcY9zMnHP8iPO4M5RCRjy6nZY0TY/edit#gid=1248694442"",""Subgroup 2: Cr ~ Tx!B3:B23""), $A48=IMPORTRANGE(""https://docs.google.com/spreadsheets/d/1kGrh75X1cNR1D7_FcY9zMnHP8iPO4M5"&amp;"RCRjy6nZY0TY/edit#gid=1248694442"",""Subgroup 2: Cr ~ Tx!A3:A23"")),"""")"),"")</f>
        <v/>
      </c>
      <c r="AG48" s="20" t="str">
        <f>IFERROR(__xludf.DUMMYFUNCTION("IFNA(FILTER(IMPORTRANGE(""https://docs.google.com/spreadsheets/d/1kGrh75X1cNR1D7_FcY9zMnHP8iPO4M5RCRjy6nZY0TY/edit#gid=1248694442"",""Subgroup 2: Cr ~ Tx!C3:C23""), $A48=IMPORTRANGE(""https://docs.google.com/spreadsheets/d/1kGrh75X1cNR1D7_FcY9zMnHP8iPO4M5"&amp;"RCRjy6nZY0TY/edit#gid=1248694442"",""Subgroup 2: Cr ~ Tx!A3:A23"")),"""")"),"")</f>
        <v/>
      </c>
      <c r="AH48" s="20" t="str">
        <f>IFERROR(__xludf.DUMMYFUNCTION("IFNA(FILTER(IMPORTRANGE(""https://docs.google.com/spreadsheets/d/1kGrh75X1cNR1D7_FcY9zMnHP8iPO4M5RCRjy6nZY0TY/edit#gid=1248694442"",""Subgroup 2: Cr ~ Tx!D3:D23""), $A48=IMPORTRANGE(""https://docs.google.com/spreadsheets/d/1kGrh75X1cNR1D7_FcY9zMnHP8iPO4M5"&amp;"RCRjy6nZY0TY/edit#gid=1248694442"",""Subgroup 2: Cr ~ Tx!A3:A23"")),"""")"),"")</f>
        <v/>
      </c>
      <c r="AI48" s="20" t="str">
        <f>IFERROR(__xludf.DUMMYFUNCTION("IFNA(FILTER(IMPORTRANGE(""https://docs.google.com/spreadsheets/d/1kGrh75X1cNR1D7_FcY9zMnHP8iPO4M5RCRjy6nZY0TY/edit#gid=1248694442"",""Subgroup 2: Cr ~ Tx!E3:E23""), $A48=IMPORTRANGE(""https://docs.google.com/spreadsheets/d/1kGrh75X1cNR1D7_FcY9zMnHP8iPO4M5"&amp;"RCRjy6nZY0TY/edit#gid=1248694442"",""Subgroup 2: Cr ~ Tx!A3:A23"")),"""")"),"")</f>
        <v/>
      </c>
      <c r="AJ48" s="20" t="str">
        <f>IFERROR(__xludf.DUMMYFUNCTION("IFNA(FILTER(IMPORTRANGE(""https://docs.google.com/spreadsheets/d/1kGrh75X1cNR1D7_FcY9zMnHP8iPO4M5RCRjy6nZY0TY/edit#gid=1248694442"",""Subgroup 2: Cr ~ Tx!F3:F23""), $A48=IMPORTRANGE(""https://docs.google.com/spreadsheets/d/1kGrh75X1cNR1D7_FcY9zMnHP8iPO4M5"&amp;"RCRjy6nZY0TY/edit#gid=1248694442"",""Subgroup 2: Cr ~ Tx!A3:A23"")),"""")"),"")</f>
        <v/>
      </c>
      <c r="AK48" s="14" t="str">
        <f>IFERROR(__xludf.DUMMYFUNCTION("IFNA(FILTER(IMPORTRANGE(""https://docs.google.com/spreadsheets/d/1kGrh75X1cNR1D7_FcY9zMnHP8iPO4M5RCRjy6nZY0TY/edit#gid=1248694442"",""Table 4: 2nd-line HC or more!M5:M85""), $A48=IMPORTRANGE(""https://docs.google.com/spreadsheets/d/1kGrh75X1cNR1D7_FcY9zMn"&amp;"HP8iPO4M5RCRjy6nZY0TY/edit#gid=1248694442"",""Table 4: 2nd-line HC or more!A5:A85"")),"""")"),"")</f>
        <v/>
      </c>
      <c r="AL48" s="14" t="str">
        <f>IFERROR(__xludf.DUMMYFUNCTION("IFNA(FILTER(IMPORTRANGE(""https://docs.google.com/spreadsheets/d/1kGrh75X1cNR1D7_FcY9zMnHP8iPO4M5RCRjy6nZY0TY/edit#gid=1248694442"",""Table 4: 2nd-line HC or more!N5:N85""), $A48=IMPORTRANGE(""https://docs.google.com/spreadsheets/d/1kGrh75X1cNR1D7_FcY9zMn"&amp;"HP8iPO4M5RCRjy6nZY0TY/edit#gid=1248694442"",""Table 4: 2nd-line HC or more!A5:A85"")),"""")"),"")</f>
        <v/>
      </c>
      <c r="AM48" s="14" t="str">
        <f>IFERROR(__xludf.DUMMYFUNCTION("IFNA(FILTER(IMPORTRANGE(""https://docs.google.com/spreadsheets/d/1kGrh75X1cNR1D7_FcY9zMnHP8iPO4M5RCRjy6nZY0TY/edit#gid=1248694442"",""Table 4: 2nd-line HC or more!O5:O85""), $A48=IMPORTRANGE(""https://docs.google.com/spreadsheets/d/1kGrh75X1cNR1D7_FcY9zMn"&amp;"HP8iPO4M5RCRjy6nZY0TY/edit#gid=1248694442"",""Table 4: 2nd-line HC or more!A5:A85"")),"""")"),"")</f>
        <v/>
      </c>
      <c r="AN48" s="14" t="str">
        <f>IFERROR(__xludf.DUMMYFUNCTION("IFNA(FILTER(IMPORTRANGE(""https://docs.google.com/spreadsheets/d/1kGrh75X1cNR1D7_FcY9zMnHP8iPO4M5RCRjy6nZY0TY/edit#gid=1248694442"",""Table 3: 1st-line HC!AP5:AP111""), $A48=IMPORTRANGE(""https://docs.google.com/spreadsheets/d/1kGrh75X1cNR1D7_FcY9zMnHP8iP"&amp;"O4M5RCRjy6nZY0TY/edit#gid=1248694442"",""Table 3: 1st-line HC!A5:A111"")),"""")"),"")</f>
        <v/>
      </c>
      <c r="AO48" s="14" t="str">
        <f>IFERROR(__xludf.DUMMYFUNCTION("IFNA(FILTER(IMPORTRANGE(""https://docs.google.com/spreadsheets/d/1kGrh75X1cNR1D7_FcY9zMnHP8iPO4M5RCRjy6nZY0TY/edit#gid=1248694442"",""Table 3: 1st-line HC!AO5:AO111""), $A48=IMPORTRANGE(""https://docs.google.com/spreadsheets/d/1kGrh75X1cNR1D7_FcY9zMnHP8iP"&amp;"O4M5RCRjy6nZY0TY/edit#gid=1248694442"",""Table 3: 1st-line HC!A5:A111"")),"""")"),"")</f>
        <v/>
      </c>
      <c r="AP48" s="14" t="str">
        <f>IFERROR(__xludf.DUMMYFUNCTION("IFNA(FILTER(IMPORTRANGE(""https://docs.google.com/spreadsheets/d/1kGrh75X1cNR1D7_FcY9zMnHP8iPO4M5RCRjy6nZY0TY/edit#gid=1248694442"",""Table 3: 1st-line HC!AQ5:AQ111""), $A48=IMPORTRANGE(""https://docs.google.com/spreadsheets/d/1kGrh75X1cNR1D7_FcY9zMnHP8iP"&amp;"O4M5RCRjy6nZY0TY/edit#gid=1248694442"",""Table 3: 1st-line HC!A5:A111"")),"""")"),"")</f>
        <v/>
      </c>
      <c r="AQ48" s="14" t="str">
        <f>IFERROR(__xludf.DUMMYFUNCTION("IFNA(FILTER(IMPORTRANGE(""https://docs.google.com/spreadsheets/d/1kGrh75X1cNR1D7_FcY9zMnHP8iPO4M5RCRjy6nZY0TY/edit#gid=1248694442"",""Table 2: MMC!T5:T114""), $A48=IMPORTRANGE(""https://docs.google.com/spreadsheets/d/1kGrh75X1cNR1D7_FcY9zMnHP8iPO4M5RCRjy6"&amp;"nZY0TY/edit#gid=1248694442"",""Table 2: MMC!A5:A114"")),"""")"),"")</f>
        <v/>
      </c>
      <c r="AR48" s="14" t="str">
        <f>IFERROR(__xludf.DUMMYFUNCTION("IFNA(FILTER(IMPORTRANGE(""https://docs.google.com/spreadsheets/d/1kGrh75X1cNR1D7_FcY9zMnHP8iPO4M5RCRjy6nZY0TY/edit#gid=1248694442"",""Table 2: MMC!U5:U114""), $A48=IMPORTRANGE(""https://docs.google.com/spreadsheets/d/1kGrh75X1cNR1D7_FcY9zMnHP8iPO4M5RCRjy6"&amp;"nZY0TY/edit#gid=1248694442"",""Table 2: MMC!A5:A114"")),"""")"),"")</f>
        <v/>
      </c>
      <c r="AS48" s="14" t="str">
        <f>IFERROR(__xludf.DUMMYFUNCTION("IFNA(FILTER(IMPORTRANGE(""https://docs.google.com/spreadsheets/d/1kGrh75X1cNR1D7_FcY9zMnHP8iPO4M5RCRjy6nZY0TY/edit#gid=1248694442"",""Table 2: MMC!V5:V114""), $A48=IMPORTRANGE(""https://docs.google.com/spreadsheets/d/1kGrh75X1cNR1D7_FcY9zMnHP8iPO4M5RCRjy6"&amp;"nZY0TY/edit#gid=1248694442"",""Table 2: MMC!A5:A114"")),"""")"),"")</f>
        <v/>
      </c>
      <c r="AT48" s="4" t="str">
        <f>IFERROR(__xludf.DUMMYFUNCTION("IFNA(FILTER(IMPORTRANGE(""https://docs.google.com/spreadsheets/d/1kGrh75X1cNR1D7_FcY9zMnHP8iPO4M5RCRjy6nZY0TY/edit#gid=1248694442"",""Table 2: MMC!W5:W114""), $A48=IMPORTRANGE(""https://docs.google.com/spreadsheets/d/1kGrh75X1cNR1D7_FcY9zMnHP8iPO4M5RCRjy6"&amp;"nZY0TY/edit#gid=1248694442"",""Table 2: MMC!A5:A114"")),"""")"),"")</f>
        <v/>
      </c>
    </row>
    <row r="49">
      <c r="A49" s="4" t="str">
        <f>IFERROR(__xludf.DUMMYFUNCTION("""COMPUTED_VALUE"""),"ID 97")</f>
        <v>ID 97</v>
      </c>
      <c r="B49" s="20" t="str">
        <f>IFERROR(__xludf.DUMMYFUNCTION("IFNA(FILTER(IMPORTRANGE(""https://docs.google.com/spreadsheets/d/1kGrh75X1cNR1D7_FcY9zMnHP8iPO4M5RCRjy6nZY0TY/edit#gid=1248694442"",""Table 3: 1st-line HC!BK5:BK111""), $A49=IMPORTRANGE(""https://docs.google.com/spreadsheets/d/1kGrh75X1cNR1D7_FcY9zMnHP8iP"&amp;"O4M5RCRjy6nZY0TY/edit#gid=1248694442"",""Table 3: 1st-line HC!A5:A111"")),"""")"),"")</f>
        <v/>
      </c>
      <c r="C49" s="20" t="str">
        <f>IFERROR(__xludf.DUMMYFUNCTION("IFNA(FILTER(IMPORTRANGE(""https://docs.google.com/spreadsheets/d/1kGrh75X1cNR1D7_FcY9zMnHP8iPO4M5RCRjy6nZY0TY/edit#gid=1248694442"",""Subgroup 1: Fr ~ Tx!B3:B20""), $A49=IMPORTRANGE(""https://docs.google.com/spreadsheets/d/1kGrh75X1cNR1D7_FcY9zMnHP8iPO4M5"&amp;"RCRjy6nZY0TY/edit#gid=1248694442"",""Subgroup 1: Fr ~ Tx!A3:A20"")),"""")"),"")</f>
        <v/>
      </c>
      <c r="D49" s="20" t="str">
        <f>IFERROR(__xludf.DUMMYFUNCTION("IFNA(FILTER(IMPORTRANGE(""https://docs.google.com/spreadsheets/d/1kGrh75X1cNR1D7_FcY9zMnHP8iPO4M5RCRjy6nZY0TY/edit#gid=1248694442"",""Subgroup 1: Fr ~ Tx!C3:C20""), $A49=IMPORTRANGE(""https://docs.google.com/spreadsheets/d/1kGrh75X1cNR1D7_FcY9zMnHP8iPO4M5"&amp;"RCRjy6nZY0TY/edit#gid=1248694442"",""Subgroup 1: Fr ~ Tx!A3:A20"")),"""")"),"")</f>
        <v/>
      </c>
      <c r="E49" s="20" t="str">
        <f>IFERROR(__xludf.DUMMYFUNCTION("IFNA(FILTER(IMPORTRANGE(""https://docs.google.com/spreadsheets/d/1kGrh75X1cNR1D7_FcY9zMnHP8iPO4M5RCRjy6nZY0TY/edit#gid=1248694442"",""Subgroup 1: Fr ~ Tx!D3:D20""), $A49=IMPORTRANGE(""https://docs.google.com/spreadsheets/d/1kGrh75X1cNR1D7_FcY9zMnHP8iPO4M5"&amp;"RCRjy6nZY0TY/edit#gid=1248694442"",""Subgroup 1: Fr ~ Tx!A3:A20"")),"""")"),"")</f>
        <v/>
      </c>
      <c r="F49" s="20" t="str">
        <f>IFERROR(__xludf.DUMMYFUNCTION("IFNA(FILTER(IMPORTRANGE(""https://docs.google.com/spreadsheets/d/1kGrh75X1cNR1D7_FcY9zMnHP8iPO4M5RCRjy6nZY0TY/edit#gid=1248694442"",""Subgroup 1: Fr ~ Tx!E3:E20""), $A49=IMPORTRANGE(""https://docs.google.com/spreadsheets/d/1kGrh75X1cNR1D7_FcY9zMnHP8iPO4M5"&amp;"RCRjy6nZY0TY/edit#gid=1248694442"",""Subgroup 1: Fr ~ Tx!A3:A20"")),"""")"),"")</f>
        <v/>
      </c>
      <c r="G49" s="20" t="str">
        <f>IFERROR(__xludf.DUMMYFUNCTION("IFNA(FILTER(IMPORTRANGE(""https://docs.google.com/spreadsheets/d/1kGrh75X1cNR1D7_FcY9zMnHP8iPO4M5RCRjy6nZY0TY/edit#gid=1248694442"",""Subgroup 1: Fr ~ Tx!F3:F20""), $A49=IMPORTRANGE(""https://docs.google.com/spreadsheets/d/1kGrh75X1cNR1D7_FcY9zMnHP8iPO4M5"&amp;"RCRjy6nZY0TY/edit#gid=1248694442"",""Subgroup 1: Fr ~ Tx!A3:A20"")),"""")"),"")</f>
        <v/>
      </c>
      <c r="H49" s="20" t="str">
        <f>IFERROR(__xludf.DUMMYFUNCTION("IFNA(FILTER(IMPORTRANGE(""https://docs.google.com/spreadsheets/d/1kGrh75X1cNR1D7_FcY9zMnHP8iPO4M5RCRjy6nZY0TY/edit#gid=1248694442"",""Table 3: 1st-line HC!BD5:BD111""), $A49=IMPORTRANGE(""https://docs.google.com/spreadsheets/d/1kGrh75X1cNR1D7_FcY9zMnHP8iP"&amp;"O4M5RCRjy6nZY0TY/edit#gid=1248694442"",""Table 3: 1st-line HC!A5:A111"")),"""")"),"")</f>
        <v/>
      </c>
      <c r="I49" s="20" t="str">
        <f>IFERROR(__xludf.DUMMYFUNCTION("IFNA(FILTER(IMPORTRANGE(""https://docs.google.com/spreadsheets/d/1kGrh75X1cNR1D7_FcY9zMnHP8iPO4M5RCRjy6nZY0TY/edit#gid=1248694442"",""Subgroup 5: Tf ~ Tx!B3:B8""), $A49=IMPORTRANGE(""https://docs.google.com/spreadsheets/d/1kGrh75X1cNR1D7_FcY9zMnHP8iPO4M5R"&amp;"CRjy6nZY0TY/edit#gid=1248694442"",""Subgroup 5: Tf ~ Tx!A3:A8"")),"""")"),"")</f>
        <v/>
      </c>
      <c r="J49" s="20" t="str">
        <f>IFERROR(__xludf.DUMMYFUNCTION("IFNA(FILTER(IMPORTRANGE(""https://docs.google.com/spreadsheets/d/1kGrh75X1cNR1D7_FcY9zMnHP8iPO4M5RCRjy6nZY0TY/edit#gid=1248694442"",""Subgroup 5: Tf ~ Tx!C3:C8""), $A49=IMPORTRANGE(""https://docs.google.com/spreadsheets/d/1kGrh75X1cNR1D7_FcY9zMnHP8iPO4M5R"&amp;"CRjy6nZY0TY/edit#gid=1248694442"",""Subgroup 5: Tf ~ Tx!A3:A8"")),"""")"),"")</f>
        <v/>
      </c>
      <c r="K49" s="20" t="str">
        <f>IFERROR(__xludf.DUMMYFUNCTION("IFNA(FILTER(IMPORTRANGE(""https://docs.google.com/spreadsheets/d/1kGrh75X1cNR1D7_FcY9zMnHP8iPO4M5RCRjy6nZY0TY/edit#gid=1248694442"",""Subgroup 5: Tf ~ Tx!D3:D8""), $A49=IMPORTRANGE(""https://docs.google.com/spreadsheets/d/1kGrh75X1cNR1D7_FcY9zMnHP8iPO4M5R"&amp;"CRjy6nZY0TY/edit#gid=1248694442"",""Subgroup 5: Tf ~ Tx!A3:A8"")),"""")"),"")</f>
        <v/>
      </c>
      <c r="L49" s="20" t="str">
        <f>IFERROR(__xludf.DUMMYFUNCTION("IFNA(FILTER(IMPORTRANGE(""https://docs.google.com/spreadsheets/d/1kGrh75X1cNR1D7_FcY9zMnHP8iPO4M5RCRjy6nZY0TY/edit#gid=1248694442"",""Subgroup 5: Tf ~ Tx!E3:E8""), $A49=IMPORTRANGE(""https://docs.google.com/spreadsheets/d/1kGrh75X1cNR1D7_FcY9zMnHP8iPO4M5R"&amp;"CRjy6nZY0TY/edit#gid=1248694442"",""Subgroup 5: Tf ~ Tx!A3:A8"")),"""")"),"")</f>
        <v/>
      </c>
      <c r="M49" s="20" t="str">
        <f>IFERROR(__xludf.DUMMYFUNCTION("IFNA(FILTER(IMPORTRANGE(""https://docs.google.com/spreadsheets/d/1kGrh75X1cNR1D7_FcY9zMnHP8iPO4M5RCRjy6nZY0TY/edit#gid=1248694442"",""Subgroup 5: Tf ~ Tx!F3:F8""), $A49=IMPORTRANGE(""https://docs.google.com/spreadsheets/d/1kGrh75X1cNR1D7_FcY9zMnHP8iPO4M5R"&amp;"CRjy6nZY0TY/edit#gid=1248694442"",""Subgroup 5: Tf ~ Tx!A3:A8"")),"""")"),"")</f>
        <v/>
      </c>
      <c r="N49" s="20" t="str">
        <f>IFERROR(__xludf.DUMMYFUNCTION("IFNA(FILTER(IMPORTRANGE(""https://docs.google.com/spreadsheets/d/1kGrh75X1cNR1D7_FcY9zMnHP8iPO4M5RCRjy6nZY0TY/edit#gid=1248694442"",""Table 3: 1st-line HC!BE5:BE111""), $A49=IMPORTRANGE(""https://docs.google.com/spreadsheets/d/1kGrh75X1cNR1D7_FcY9zMnHP8iP"&amp;"O4M5RCRjy6nZY0TY/edit#gid=1248694442"",""Table 3: 1st-line HC!A5:A111"")),"""")"),"")</f>
        <v/>
      </c>
      <c r="O49" s="20" t="str">
        <f>IFERROR(__xludf.DUMMYFUNCTION("IFNA(FILTER(IMPORTRANGE(""https://docs.google.com/spreadsheets/d/1kGrh75X1cNR1D7_FcY9zMnHP8iPO4M5RCRjy6nZY0TY/edit#gid=1248694442"",""Table 3: 1st-line HC!BF5:BF111""), $A49=IMPORTRANGE(""https://docs.google.com/spreadsheets/d/1kGrh75X1cNR1D7_FcY9zMnHP8iP"&amp;"O4M5RCRjy6nZY0TY/edit#gid=1248694442"",""Table 3: 1st-line HC!A5:A111"")),"""")"),"")</f>
        <v/>
      </c>
      <c r="P49" s="20" t="str">
        <f>IFERROR(__xludf.DUMMYFUNCTION("IFNA(FILTER(IMPORTRANGE(""https://docs.google.com/spreadsheets/d/1kGrh75X1cNR1D7_FcY9zMnHP8iPO4M5RCRjy6nZY0TY/edit#gid=1248694442"",""Table 3: 1st-line HC!BG5:BG111""), $A49=IMPORTRANGE(""https://docs.google.com/spreadsheets/d/1kGrh75X1cNR1D7_FcY9zMnHP8iP"&amp;"O4M5RCRjy6nZY0TY/edit#gid=1248694442"",""Table 3: 1st-line HC!A5:A111"")),"""")"),"")</f>
        <v/>
      </c>
      <c r="Q49" s="21" t="str">
        <f>IFERROR(__xludf.DUMMYFUNCTION("IFNA(FILTER(IMPORTRANGE(""https://docs.google.com/spreadsheets/d/1kGrh75X1cNR1D7_FcY9zMnHP8iPO4M5RCRjy6nZY0TY/edit#gid=1248694442"",""Table 3: 1st-line HC!BH5:BH111""), $A49=IMPORTRANGE(""https://docs.google.com/spreadsheets/d/1kGrh75X1cNR1D7_FcY9zMnHP8iP"&amp;"O4M5RCRjy6nZY0TY/edit#gid=1248694442"",""Table 3: 1st-line HC!A5:A111"")),"""")"),"")</f>
        <v/>
      </c>
      <c r="R49" s="19" t="str">
        <f>IFERROR(__xludf.DUMMYFUNCTION("IFNA(FILTER(IMPORTRANGE(""https://docs.google.com/spreadsheets/d/1kGrh75X1cNR1D7_FcY9zMnHP8iPO4M5RCRjy6nZY0TY/edit#gid=1248694442"",""Table 3: 1st-line HC!AJ5:AJ111""), $A49=IMPORTRANGE(""https://docs.google.com/spreadsheets/d/1kGrh75X1cNR1D7_FcY9zMnHP8iP"&amp;"O4M5RCRjy6nZY0TY/edit#gid=1248694442"",""Table 3: 1st-line HC!A5:A111"")),"""")"),"")</f>
        <v/>
      </c>
      <c r="S49" s="20" t="str">
        <f>IFERROR(__xludf.DUMMYFUNCTION("IFNA(FILTER(IMPORTRANGE(""https://docs.google.com/spreadsheets/d/1kGrh75X1cNR1D7_FcY9zMnHP8iPO4M5RCRjy6nZY0TY/edit#gid=1248694442"",""Subgroup 3: Mi ~ Tx!B3:B17""), $A49=IMPORTRANGE(""https://docs.google.com/spreadsheets/d/1kGrh75X1cNR1D7_FcY9zMnHP8iPO4M5"&amp;"RCRjy6nZY0TY/edit#gid=1248694442"",""Subgroup 3: Mi ~ Tx!A3:A17"")),"""")"),"")</f>
        <v/>
      </c>
      <c r="T49" s="20" t="str">
        <f>IFERROR(__xludf.DUMMYFUNCTION("IFNA(FILTER(IMPORTRANGE(""https://docs.google.com/spreadsheets/d/1kGrh75X1cNR1D7_FcY9zMnHP8iPO4M5RCRjy6nZY0TY/edit#gid=1248694442"",""Subgroup 3: Mi ~ Tx!C3:C17""), $A49=IMPORTRANGE(""https://docs.google.com/spreadsheets/d/1kGrh75X1cNR1D7_FcY9zMnHP8iPO4M5"&amp;"RCRjy6nZY0TY/edit#gid=1248694442"",""Subgroup 3: Mi ~ Tx!A3:A17"")),"""")"),"")</f>
        <v/>
      </c>
      <c r="U49" s="20" t="str">
        <f>IFERROR(__xludf.DUMMYFUNCTION("IFNA(FILTER(IMPORTRANGE(""https://docs.google.com/spreadsheets/d/1kGrh75X1cNR1D7_FcY9zMnHP8iPO4M5RCRjy6nZY0TY/edit#gid=1248694442"",""Subgroup 3: Mi ~ Tx!D3:D17""), $A49=IMPORTRANGE(""https://docs.google.com/spreadsheets/d/1kGrh75X1cNR1D7_FcY9zMnHP8iPO4M5"&amp;"RCRjy6nZY0TY/edit#gid=1248694442"",""Subgroup 3: Mi ~ Tx!A3:A17"")),"""")"),"")</f>
        <v/>
      </c>
      <c r="V49" s="20" t="str">
        <f>IFERROR(__xludf.DUMMYFUNCTION("IFNA(FILTER(IMPORTRANGE(""https://docs.google.com/spreadsheets/d/1kGrh75X1cNR1D7_FcY9zMnHP8iPO4M5RCRjy6nZY0TY/edit#gid=1248694442"",""Subgroup 3: Mi ~ Tx!E3:E17""), $A49=IMPORTRANGE(""https://docs.google.com/spreadsheets/d/1kGrh75X1cNR1D7_FcY9zMnHP8iPO4M5"&amp;"RCRjy6nZY0TY/edit#gid=1248694442"",""Subgroup 3: Mi ~ Tx!A3:A17"")),"""")"),"")</f>
        <v/>
      </c>
      <c r="W49" s="20" t="str">
        <f>IFERROR(__xludf.DUMMYFUNCTION("IFNA(FILTER(IMPORTRANGE(""https://docs.google.com/spreadsheets/d/1kGrh75X1cNR1D7_FcY9zMnHP8iPO4M5RCRjy6nZY0TY/edit#gid=1248694442"",""Subgroup 3: Mi ~ Tx!F3:F17""), $A49=IMPORTRANGE(""https://docs.google.com/spreadsheets/d/1kGrh75X1cNR1D7_FcY9zMnHP8iPO4M5"&amp;"RCRjy6nZY0TY/edit#gid=1248694442"",""Subgroup 3: Mi ~ Tx!A3:A17"")),"""")"),"")</f>
        <v/>
      </c>
      <c r="X49" s="19" t="str">
        <f>IFERROR(__xludf.DUMMYFUNCTION("IFNA(FILTER(IMPORTRANGE(""https://docs.google.com/spreadsheets/d/1kGrh75X1cNR1D7_FcY9zMnHP8iPO4M5RCRjy6nZY0TY/edit#gid=1248694442"",""Table 3: 1st-line HC!AK5:AK111""), $A49=IMPORTRANGE(""https://docs.google.com/spreadsheets/d/1kGrh75X1cNR1D7_FcY9zMnHP8iP"&amp;"O4M5RCRjy6nZY0TY/edit#gid=1248694442"",""Table 3: 1st-line HC!A5:A111"")),"""")"),"")</f>
        <v/>
      </c>
      <c r="Y49" s="20" t="str">
        <f>IFERROR(__xludf.DUMMYFUNCTION("IFNA(FILTER(IMPORTRANGE(""https://docs.google.com/spreadsheets/d/1kGrh75X1cNR1D7_FcY9zMnHP8iPO4M5RCRjy6nZY0TY/edit#gid=1248694442"",""Subgroup 4: Mp ~ Tx!B3:B20""), $A49=IMPORTRANGE(""https://docs.google.com/spreadsheets/d/1kGrh75X1cNR1D7_FcY9zMnHP8iPO4M5"&amp;"RCRjy6nZY0TY/edit#gid=1248694442"",""Subgroup 4: Mp ~ Tx!A3:A20"")),"""")"),"")</f>
        <v/>
      </c>
      <c r="Z49" s="20" t="str">
        <f>IFERROR(__xludf.DUMMYFUNCTION("IFNA(FILTER(IMPORTRANGE(""https://docs.google.com/spreadsheets/d/1kGrh75X1cNR1D7_FcY9zMnHP8iPO4M5RCRjy6nZY0TY/edit#gid=1248694442"",""Subgroup 4: Mp ~ Tx!C3:C20""), $A49=IMPORTRANGE(""https://docs.google.com/spreadsheets/d/1kGrh75X1cNR1D7_FcY9zMnHP8iPO4M5"&amp;"RCRjy6nZY0TY/edit#gid=1248694442"",""Subgroup 4: Mp ~ Tx!A3:A20"")),"""")"),"")</f>
        <v/>
      </c>
      <c r="AA49" s="20" t="str">
        <f>IFERROR(__xludf.DUMMYFUNCTION("IFNA(FILTER(IMPORTRANGE(""https://docs.google.com/spreadsheets/d/1kGrh75X1cNR1D7_FcY9zMnHP8iPO4M5RCRjy6nZY0TY/edit#gid=1248694442"",""Subgroup 4: Mp ~ Tx!D3:D20""), $A49=IMPORTRANGE(""https://docs.google.com/spreadsheets/d/1kGrh75X1cNR1D7_FcY9zMnHP8iPO4M5"&amp;"RCRjy6nZY0TY/edit#gid=1248694442"",""Subgroup 4: Mp ~ Tx!A3:A20"")),"""")"),"")</f>
        <v/>
      </c>
      <c r="AB49" s="20" t="str">
        <f>IFERROR(__xludf.DUMMYFUNCTION("IFNA(FILTER(IMPORTRANGE(""https://docs.google.com/spreadsheets/d/1kGrh75X1cNR1D7_FcY9zMnHP8iPO4M5RCRjy6nZY0TY/edit#gid=1248694442"",""Subgroup 4: Mp ~ Tx!E3:E20""), $A49=IMPORTRANGE(""https://docs.google.com/spreadsheets/d/1kGrh75X1cNR1D7_FcY9zMnHP8iPO4M5"&amp;"RCRjy6nZY0TY/edit#gid=1248694442"",""Subgroup 4: Mp ~ Tx!A3:A20"")),"""")"),"")</f>
        <v/>
      </c>
      <c r="AC49" s="20" t="str">
        <f>IFERROR(__xludf.DUMMYFUNCTION("IFNA(FILTER(IMPORTRANGE(""https://docs.google.com/spreadsheets/d/1kGrh75X1cNR1D7_FcY9zMnHP8iPO4M5RCRjy6nZY0TY/edit#gid=1248694442"",""Subgroup 4: Mp ~ Tx!F3:F20""), $A49=IMPORTRANGE(""https://docs.google.com/spreadsheets/d/1kGrh75X1cNR1D7_FcY9zMnHP8iPO4M5"&amp;"RCRjy6nZY0TY/edit#gid=1248694442"",""Subgroup 4: Mp ~ Tx!A3:A20"")),"""")"),"")</f>
        <v/>
      </c>
      <c r="AD49" s="22" t="str">
        <f>IFERROR(__xludf.DUMMYFUNCTION("IFNA(FILTER(IMPORTRANGE(""https://docs.google.com/spreadsheets/d/1kGrh75X1cNR1D7_FcY9zMnHP8iPO4M5RCRjy6nZY0TY/edit#gid=1248694442"",""Table 3: 1st-line HC!AL5:AL111""), $A49=IMPORTRANGE(""https://docs.google.com/spreadsheets/d/1kGrh75X1cNR1D7_FcY9zMnHP8iP"&amp;"O4M5RCRjy6nZY0TY/edit#gid=1248694442"",""Table 3: 1st-line HC!A5:A111"")),"""")"),"")</f>
        <v/>
      </c>
      <c r="AE49" s="20" t="str">
        <f>IFERROR(__xludf.DUMMYFUNCTION("IFNA(FILTER(IMPORTRANGE(""https://docs.google.com/spreadsheets/d/1kGrh75X1cNR1D7_FcY9zMnHP8iPO4M5RCRjy6nZY0TY/edit#gid=1248694442"",""Table 3: 1st-line HC!BJ5:BJ111""), $A49=IMPORTRANGE(""https://docs.google.com/spreadsheets/d/1kGrh75X1cNR1D7_FcY9zMnHP8iP"&amp;"O4M5RCRjy6nZY0TY/edit#gid=1248694442"",""Table 3: 1st-line HC!A5:A111"")),"""")"),"")</f>
        <v/>
      </c>
      <c r="AF49" s="20" t="str">
        <f>IFERROR(__xludf.DUMMYFUNCTION("IFNA(FILTER(IMPORTRANGE(""https://docs.google.com/spreadsheets/d/1kGrh75X1cNR1D7_FcY9zMnHP8iPO4M5RCRjy6nZY0TY/edit#gid=1248694442"",""Subgroup 2: Cr ~ Tx!B3:B23""), $A49=IMPORTRANGE(""https://docs.google.com/spreadsheets/d/1kGrh75X1cNR1D7_FcY9zMnHP8iPO4M5"&amp;"RCRjy6nZY0TY/edit#gid=1248694442"",""Subgroup 2: Cr ~ Tx!A3:A23"")),"""")"),"")</f>
        <v/>
      </c>
      <c r="AG49" s="20" t="str">
        <f>IFERROR(__xludf.DUMMYFUNCTION("IFNA(FILTER(IMPORTRANGE(""https://docs.google.com/spreadsheets/d/1kGrh75X1cNR1D7_FcY9zMnHP8iPO4M5RCRjy6nZY0TY/edit#gid=1248694442"",""Subgroup 2: Cr ~ Tx!C3:C23""), $A49=IMPORTRANGE(""https://docs.google.com/spreadsheets/d/1kGrh75X1cNR1D7_FcY9zMnHP8iPO4M5"&amp;"RCRjy6nZY0TY/edit#gid=1248694442"",""Subgroup 2: Cr ~ Tx!A3:A23"")),"""")"),"")</f>
        <v/>
      </c>
      <c r="AH49" s="20" t="str">
        <f>IFERROR(__xludf.DUMMYFUNCTION("IFNA(FILTER(IMPORTRANGE(""https://docs.google.com/spreadsheets/d/1kGrh75X1cNR1D7_FcY9zMnHP8iPO4M5RCRjy6nZY0TY/edit#gid=1248694442"",""Subgroup 2: Cr ~ Tx!D3:D23""), $A49=IMPORTRANGE(""https://docs.google.com/spreadsheets/d/1kGrh75X1cNR1D7_FcY9zMnHP8iPO4M5"&amp;"RCRjy6nZY0TY/edit#gid=1248694442"",""Subgroup 2: Cr ~ Tx!A3:A23"")),"""")"),"")</f>
        <v/>
      </c>
      <c r="AI49" s="20" t="str">
        <f>IFERROR(__xludf.DUMMYFUNCTION("IFNA(FILTER(IMPORTRANGE(""https://docs.google.com/spreadsheets/d/1kGrh75X1cNR1D7_FcY9zMnHP8iPO4M5RCRjy6nZY0TY/edit#gid=1248694442"",""Subgroup 2: Cr ~ Tx!E3:E23""), $A49=IMPORTRANGE(""https://docs.google.com/spreadsheets/d/1kGrh75X1cNR1D7_FcY9zMnHP8iPO4M5"&amp;"RCRjy6nZY0TY/edit#gid=1248694442"",""Subgroup 2: Cr ~ Tx!A3:A23"")),"""")"),"")</f>
        <v/>
      </c>
      <c r="AJ49" s="20" t="str">
        <f>IFERROR(__xludf.DUMMYFUNCTION("IFNA(FILTER(IMPORTRANGE(""https://docs.google.com/spreadsheets/d/1kGrh75X1cNR1D7_FcY9zMnHP8iPO4M5RCRjy6nZY0TY/edit#gid=1248694442"",""Subgroup 2: Cr ~ Tx!F3:F23""), $A49=IMPORTRANGE(""https://docs.google.com/spreadsheets/d/1kGrh75X1cNR1D7_FcY9zMnHP8iPO4M5"&amp;"RCRjy6nZY0TY/edit#gid=1248694442"",""Subgroup 2: Cr ~ Tx!A3:A23"")),"""")"),"")</f>
        <v/>
      </c>
      <c r="AK49" s="14" t="str">
        <f>IFERROR(__xludf.DUMMYFUNCTION("IFNA(FILTER(IMPORTRANGE(""https://docs.google.com/spreadsheets/d/1kGrh75X1cNR1D7_FcY9zMnHP8iPO4M5RCRjy6nZY0TY/edit#gid=1248694442"",""Table 4: 2nd-line HC or more!M5:M85""), $A49=IMPORTRANGE(""https://docs.google.com/spreadsheets/d/1kGrh75X1cNR1D7_FcY9zMn"&amp;"HP8iPO4M5RCRjy6nZY0TY/edit#gid=1248694442"",""Table 4: 2nd-line HC or more!A5:A85"")),"""")"),"")</f>
        <v/>
      </c>
      <c r="AL49" s="14" t="str">
        <f>IFERROR(__xludf.DUMMYFUNCTION("IFNA(FILTER(IMPORTRANGE(""https://docs.google.com/spreadsheets/d/1kGrh75X1cNR1D7_FcY9zMnHP8iPO4M5RCRjy6nZY0TY/edit#gid=1248694442"",""Table 4: 2nd-line HC or more!N5:N85""), $A49=IMPORTRANGE(""https://docs.google.com/spreadsheets/d/1kGrh75X1cNR1D7_FcY9zMn"&amp;"HP8iPO4M5RCRjy6nZY0TY/edit#gid=1248694442"",""Table 4: 2nd-line HC or more!A5:A85"")),"""")"),"")</f>
        <v/>
      </c>
      <c r="AM49" s="14" t="str">
        <f>IFERROR(__xludf.DUMMYFUNCTION("IFNA(FILTER(IMPORTRANGE(""https://docs.google.com/spreadsheets/d/1kGrh75X1cNR1D7_FcY9zMnHP8iPO4M5RCRjy6nZY0TY/edit#gid=1248694442"",""Table 4: 2nd-line HC or more!O5:O85""), $A49=IMPORTRANGE(""https://docs.google.com/spreadsheets/d/1kGrh75X1cNR1D7_FcY9zMn"&amp;"HP8iPO4M5RCRjy6nZY0TY/edit#gid=1248694442"",""Table 4: 2nd-line HC or more!A5:A85"")),"""")"),"")</f>
        <v/>
      </c>
      <c r="AN49" s="14" t="str">
        <f>IFERROR(__xludf.DUMMYFUNCTION("IFNA(FILTER(IMPORTRANGE(""https://docs.google.com/spreadsheets/d/1kGrh75X1cNR1D7_FcY9zMnHP8iPO4M5RCRjy6nZY0TY/edit#gid=1248694442"",""Table 3: 1st-line HC!AP5:AP111""), $A49=IMPORTRANGE(""https://docs.google.com/spreadsheets/d/1kGrh75X1cNR1D7_FcY9zMnHP8iP"&amp;"O4M5RCRjy6nZY0TY/edit#gid=1248694442"",""Table 3: 1st-line HC!A5:A111"")),"""")"),"")</f>
        <v/>
      </c>
      <c r="AO49" s="14" t="str">
        <f>IFERROR(__xludf.DUMMYFUNCTION("IFNA(FILTER(IMPORTRANGE(""https://docs.google.com/spreadsheets/d/1kGrh75X1cNR1D7_FcY9zMnHP8iPO4M5RCRjy6nZY0TY/edit#gid=1248694442"",""Table 3: 1st-line HC!AO5:AO111""), $A49=IMPORTRANGE(""https://docs.google.com/spreadsheets/d/1kGrh75X1cNR1D7_FcY9zMnHP8iP"&amp;"O4M5RCRjy6nZY0TY/edit#gid=1248694442"",""Table 3: 1st-line HC!A5:A111"")),"""")"),"")</f>
        <v/>
      </c>
      <c r="AP49" s="14" t="str">
        <f>IFERROR(__xludf.DUMMYFUNCTION("IFNA(FILTER(IMPORTRANGE(""https://docs.google.com/spreadsheets/d/1kGrh75X1cNR1D7_FcY9zMnHP8iPO4M5RCRjy6nZY0TY/edit#gid=1248694442"",""Table 3: 1st-line HC!AQ5:AQ111""), $A49=IMPORTRANGE(""https://docs.google.com/spreadsheets/d/1kGrh75X1cNR1D7_FcY9zMnHP8iP"&amp;"O4M5RCRjy6nZY0TY/edit#gid=1248694442"",""Table 3: 1st-line HC!A5:A111"")),"""")"),"")</f>
        <v/>
      </c>
      <c r="AQ49" s="14" t="str">
        <f>IFERROR(__xludf.DUMMYFUNCTION("IFNA(FILTER(IMPORTRANGE(""https://docs.google.com/spreadsheets/d/1kGrh75X1cNR1D7_FcY9zMnHP8iPO4M5RCRjy6nZY0TY/edit#gid=1248694442"",""Table 2: MMC!T5:T114""), $A49=IMPORTRANGE(""https://docs.google.com/spreadsheets/d/1kGrh75X1cNR1D7_FcY9zMnHP8iPO4M5RCRjy6"&amp;"nZY0TY/edit#gid=1248694442"",""Table 2: MMC!A5:A114"")),"""")"),"")</f>
        <v/>
      </c>
      <c r="AR49" s="14" t="str">
        <f>IFERROR(__xludf.DUMMYFUNCTION("IFNA(FILTER(IMPORTRANGE(""https://docs.google.com/spreadsheets/d/1kGrh75X1cNR1D7_FcY9zMnHP8iPO4M5RCRjy6nZY0TY/edit#gid=1248694442"",""Table 2: MMC!U5:U114""), $A49=IMPORTRANGE(""https://docs.google.com/spreadsheets/d/1kGrh75X1cNR1D7_FcY9zMnHP8iPO4M5RCRjy6"&amp;"nZY0TY/edit#gid=1248694442"",""Table 2: MMC!A5:A114"")),"""")"),"")</f>
        <v/>
      </c>
      <c r="AS49" s="14" t="str">
        <f>IFERROR(__xludf.DUMMYFUNCTION("IFNA(FILTER(IMPORTRANGE(""https://docs.google.com/spreadsheets/d/1kGrh75X1cNR1D7_FcY9zMnHP8iPO4M5RCRjy6nZY0TY/edit#gid=1248694442"",""Table 2: MMC!V5:V114""), $A49=IMPORTRANGE(""https://docs.google.com/spreadsheets/d/1kGrh75X1cNR1D7_FcY9zMnHP8iPO4M5RCRjy6"&amp;"nZY0TY/edit#gid=1248694442"",""Table 2: MMC!A5:A114"")),"""")"),"")</f>
        <v/>
      </c>
      <c r="AT49" s="4" t="str">
        <f>IFERROR(__xludf.DUMMYFUNCTION("IFNA(FILTER(IMPORTRANGE(""https://docs.google.com/spreadsheets/d/1kGrh75X1cNR1D7_FcY9zMnHP8iPO4M5RCRjy6nZY0TY/edit#gid=1248694442"",""Table 2: MMC!W5:W114""), $A49=IMPORTRANGE(""https://docs.google.com/spreadsheets/d/1kGrh75X1cNR1D7_FcY9zMnHP8iPO4M5RCRjy6"&amp;"nZY0TY/edit#gid=1248694442"",""Table 2: MMC!A5:A114"")),"""")"),"")</f>
        <v/>
      </c>
    </row>
    <row r="50">
      <c r="A50" s="4" t="str">
        <f>IFERROR(__xludf.DUMMYFUNCTION("""COMPUTED_VALUE"""),"ID 98")</f>
        <v>ID 98</v>
      </c>
      <c r="B50" s="20" t="str">
        <f>IFERROR(__xludf.DUMMYFUNCTION("IFNA(FILTER(IMPORTRANGE(""https://docs.google.com/spreadsheets/d/1kGrh75X1cNR1D7_FcY9zMnHP8iPO4M5RCRjy6nZY0TY/edit#gid=1248694442"",""Table 3: 1st-line HC!BK5:BK111""), $A50=IMPORTRANGE(""https://docs.google.com/spreadsheets/d/1kGrh75X1cNR1D7_FcY9zMnHP8iP"&amp;"O4M5RCRjy6nZY0TY/edit#gid=1248694442"",""Table 3: 1st-line HC!A5:A111"")),"""")"),"")</f>
        <v/>
      </c>
      <c r="C50" s="20" t="str">
        <f>IFERROR(__xludf.DUMMYFUNCTION("IFNA(FILTER(IMPORTRANGE(""https://docs.google.com/spreadsheets/d/1kGrh75X1cNR1D7_FcY9zMnHP8iPO4M5RCRjy6nZY0TY/edit#gid=1248694442"",""Subgroup 1: Fr ~ Tx!B3:B20""), $A50=IMPORTRANGE(""https://docs.google.com/spreadsheets/d/1kGrh75X1cNR1D7_FcY9zMnHP8iPO4M5"&amp;"RCRjy6nZY0TY/edit#gid=1248694442"",""Subgroup 1: Fr ~ Tx!A3:A20"")),"""")"),"")</f>
        <v/>
      </c>
      <c r="D50" s="20" t="str">
        <f>IFERROR(__xludf.DUMMYFUNCTION("IFNA(FILTER(IMPORTRANGE(""https://docs.google.com/spreadsheets/d/1kGrh75X1cNR1D7_FcY9zMnHP8iPO4M5RCRjy6nZY0TY/edit#gid=1248694442"",""Subgroup 1: Fr ~ Tx!C3:C20""), $A50=IMPORTRANGE(""https://docs.google.com/spreadsheets/d/1kGrh75X1cNR1D7_FcY9zMnHP8iPO4M5"&amp;"RCRjy6nZY0TY/edit#gid=1248694442"",""Subgroup 1: Fr ~ Tx!A3:A20"")),"""")"),"")</f>
        <v/>
      </c>
      <c r="E50" s="20" t="str">
        <f>IFERROR(__xludf.DUMMYFUNCTION("IFNA(FILTER(IMPORTRANGE(""https://docs.google.com/spreadsheets/d/1kGrh75X1cNR1D7_FcY9zMnHP8iPO4M5RCRjy6nZY0TY/edit#gid=1248694442"",""Subgroup 1: Fr ~ Tx!D3:D20""), $A50=IMPORTRANGE(""https://docs.google.com/spreadsheets/d/1kGrh75X1cNR1D7_FcY9zMnHP8iPO4M5"&amp;"RCRjy6nZY0TY/edit#gid=1248694442"",""Subgroup 1: Fr ~ Tx!A3:A20"")),"""")"),"")</f>
        <v/>
      </c>
      <c r="F50" s="20" t="str">
        <f>IFERROR(__xludf.DUMMYFUNCTION("IFNA(FILTER(IMPORTRANGE(""https://docs.google.com/spreadsheets/d/1kGrh75X1cNR1D7_FcY9zMnHP8iPO4M5RCRjy6nZY0TY/edit#gid=1248694442"",""Subgroup 1: Fr ~ Tx!E3:E20""), $A50=IMPORTRANGE(""https://docs.google.com/spreadsheets/d/1kGrh75X1cNR1D7_FcY9zMnHP8iPO4M5"&amp;"RCRjy6nZY0TY/edit#gid=1248694442"",""Subgroup 1: Fr ~ Tx!A3:A20"")),"""")"),"")</f>
        <v/>
      </c>
      <c r="G50" s="20" t="str">
        <f>IFERROR(__xludf.DUMMYFUNCTION("IFNA(FILTER(IMPORTRANGE(""https://docs.google.com/spreadsheets/d/1kGrh75X1cNR1D7_FcY9zMnHP8iPO4M5RCRjy6nZY0TY/edit#gid=1248694442"",""Subgroup 1: Fr ~ Tx!F3:F20""), $A50=IMPORTRANGE(""https://docs.google.com/spreadsheets/d/1kGrh75X1cNR1D7_FcY9zMnHP8iPO4M5"&amp;"RCRjy6nZY0TY/edit#gid=1248694442"",""Subgroup 1: Fr ~ Tx!A3:A20"")),"""")"),"")</f>
        <v/>
      </c>
      <c r="H50" s="20" t="str">
        <f>IFERROR(__xludf.DUMMYFUNCTION("IFNA(FILTER(IMPORTRANGE(""https://docs.google.com/spreadsheets/d/1kGrh75X1cNR1D7_FcY9zMnHP8iPO4M5RCRjy6nZY0TY/edit#gid=1248694442"",""Table 3: 1st-line HC!BD5:BD111""), $A50=IMPORTRANGE(""https://docs.google.com/spreadsheets/d/1kGrh75X1cNR1D7_FcY9zMnHP8iP"&amp;"O4M5RCRjy6nZY0TY/edit#gid=1248694442"",""Table 3: 1st-line HC!A5:A111"")),"""")"),"")</f>
        <v/>
      </c>
      <c r="I50" s="20" t="str">
        <f>IFERROR(__xludf.DUMMYFUNCTION("IFNA(FILTER(IMPORTRANGE(""https://docs.google.com/spreadsheets/d/1kGrh75X1cNR1D7_FcY9zMnHP8iPO4M5RCRjy6nZY0TY/edit#gid=1248694442"",""Subgroup 5: Tf ~ Tx!B3:B8""), $A50=IMPORTRANGE(""https://docs.google.com/spreadsheets/d/1kGrh75X1cNR1D7_FcY9zMnHP8iPO4M5R"&amp;"CRjy6nZY0TY/edit#gid=1248694442"",""Subgroup 5: Tf ~ Tx!A3:A8"")),"""")"),"")</f>
        <v/>
      </c>
      <c r="J50" s="20" t="str">
        <f>IFERROR(__xludf.DUMMYFUNCTION("IFNA(FILTER(IMPORTRANGE(""https://docs.google.com/spreadsheets/d/1kGrh75X1cNR1D7_FcY9zMnHP8iPO4M5RCRjy6nZY0TY/edit#gid=1248694442"",""Subgroup 5: Tf ~ Tx!C3:C8""), $A50=IMPORTRANGE(""https://docs.google.com/spreadsheets/d/1kGrh75X1cNR1D7_FcY9zMnHP8iPO4M5R"&amp;"CRjy6nZY0TY/edit#gid=1248694442"",""Subgroup 5: Tf ~ Tx!A3:A8"")),"""")"),"")</f>
        <v/>
      </c>
      <c r="K50" s="20" t="str">
        <f>IFERROR(__xludf.DUMMYFUNCTION("IFNA(FILTER(IMPORTRANGE(""https://docs.google.com/spreadsheets/d/1kGrh75X1cNR1D7_FcY9zMnHP8iPO4M5RCRjy6nZY0TY/edit#gid=1248694442"",""Subgroup 5: Tf ~ Tx!D3:D8""), $A50=IMPORTRANGE(""https://docs.google.com/spreadsheets/d/1kGrh75X1cNR1D7_FcY9zMnHP8iPO4M5R"&amp;"CRjy6nZY0TY/edit#gid=1248694442"",""Subgroup 5: Tf ~ Tx!A3:A8"")),"""")"),"")</f>
        <v/>
      </c>
      <c r="L50" s="20" t="str">
        <f>IFERROR(__xludf.DUMMYFUNCTION("IFNA(FILTER(IMPORTRANGE(""https://docs.google.com/spreadsheets/d/1kGrh75X1cNR1D7_FcY9zMnHP8iPO4M5RCRjy6nZY0TY/edit#gid=1248694442"",""Subgroup 5: Tf ~ Tx!E3:E8""), $A50=IMPORTRANGE(""https://docs.google.com/spreadsheets/d/1kGrh75X1cNR1D7_FcY9zMnHP8iPO4M5R"&amp;"CRjy6nZY0TY/edit#gid=1248694442"",""Subgroup 5: Tf ~ Tx!A3:A8"")),"""")"),"")</f>
        <v/>
      </c>
      <c r="M50" s="20" t="str">
        <f>IFERROR(__xludf.DUMMYFUNCTION("IFNA(FILTER(IMPORTRANGE(""https://docs.google.com/spreadsheets/d/1kGrh75X1cNR1D7_FcY9zMnHP8iPO4M5RCRjy6nZY0TY/edit#gid=1248694442"",""Subgroup 5: Tf ~ Tx!F3:F8""), $A50=IMPORTRANGE(""https://docs.google.com/spreadsheets/d/1kGrh75X1cNR1D7_FcY9zMnHP8iPO4M5R"&amp;"CRjy6nZY0TY/edit#gid=1248694442"",""Subgroup 5: Tf ~ Tx!A3:A8"")),"""")"),"")</f>
        <v/>
      </c>
      <c r="N50" s="20" t="str">
        <f>IFERROR(__xludf.DUMMYFUNCTION("IFNA(FILTER(IMPORTRANGE(""https://docs.google.com/spreadsheets/d/1kGrh75X1cNR1D7_FcY9zMnHP8iPO4M5RCRjy6nZY0TY/edit#gid=1248694442"",""Table 3: 1st-line HC!BE5:BE111""), $A50=IMPORTRANGE(""https://docs.google.com/spreadsheets/d/1kGrh75X1cNR1D7_FcY9zMnHP8iP"&amp;"O4M5RCRjy6nZY0TY/edit#gid=1248694442"",""Table 3: 1st-line HC!A5:A111"")),"""")"),"")</f>
        <v/>
      </c>
      <c r="O50" s="20" t="str">
        <f>IFERROR(__xludf.DUMMYFUNCTION("IFNA(FILTER(IMPORTRANGE(""https://docs.google.com/spreadsheets/d/1kGrh75X1cNR1D7_FcY9zMnHP8iPO4M5RCRjy6nZY0TY/edit#gid=1248694442"",""Table 3: 1st-line HC!BF5:BF111""), $A50=IMPORTRANGE(""https://docs.google.com/spreadsheets/d/1kGrh75X1cNR1D7_FcY9zMnHP8iP"&amp;"O4M5RCRjy6nZY0TY/edit#gid=1248694442"",""Table 3: 1st-line HC!A5:A111"")),"""")"),"")</f>
        <v/>
      </c>
      <c r="P50" s="20" t="str">
        <f>IFERROR(__xludf.DUMMYFUNCTION("IFNA(FILTER(IMPORTRANGE(""https://docs.google.com/spreadsheets/d/1kGrh75X1cNR1D7_FcY9zMnHP8iPO4M5RCRjy6nZY0TY/edit#gid=1248694442"",""Table 3: 1st-line HC!BG5:BG111""), $A50=IMPORTRANGE(""https://docs.google.com/spreadsheets/d/1kGrh75X1cNR1D7_FcY9zMnHP8iP"&amp;"O4M5RCRjy6nZY0TY/edit#gid=1248694442"",""Table 3: 1st-line HC!A5:A111"")),"""")"),"")</f>
        <v/>
      </c>
      <c r="Q50" s="21" t="str">
        <f>IFERROR(__xludf.DUMMYFUNCTION("IFNA(FILTER(IMPORTRANGE(""https://docs.google.com/spreadsheets/d/1kGrh75X1cNR1D7_FcY9zMnHP8iPO4M5RCRjy6nZY0TY/edit#gid=1248694442"",""Table 3: 1st-line HC!BH5:BH111""), $A50=IMPORTRANGE(""https://docs.google.com/spreadsheets/d/1kGrh75X1cNR1D7_FcY9zMnHP8iP"&amp;"O4M5RCRjy6nZY0TY/edit#gid=1248694442"",""Table 3: 1st-line HC!A5:A111"")),"""")"),"")</f>
        <v/>
      </c>
      <c r="R50" s="19" t="str">
        <f>IFERROR(__xludf.DUMMYFUNCTION("IFNA(FILTER(IMPORTRANGE(""https://docs.google.com/spreadsheets/d/1kGrh75X1cNR1D7_FcY9zMnHP8iPO4M5RCRjy6nZY0TY/edit#gid=1248694442"",""Table 3: 1st-line HC!AJ5:AJ111""), $A50=IMPORTRANGE(""https://docs.google.com/spreadsheets/d/1kGrh75X1cNR1D7_FcY9zMnHP8iP"&amp;"O4M5RCRjy6nZY0TY/edit#gid=1248694442"",""Table 3: 1st-line HC!A5:A111"")),"""")"),"")</f>
        <v/>
      </c>
      <c r="S50" s="20" t="str">
        <f>IFERROR(__xludf.DUMMYFUNCTION("IFNA(FILTER(IMPORTRANGE(""https://docs.google.com/spreadsheets/d/1kGrh75X1cNR1D7_FcY9zMnHP8iPO4M5RCRjy6nZY0TY/edit#gid=1248694442"",""Subgroup 3: Mi ~ Tx!B3:B17""), $A50=IMPORTRANGE(""https://docs.google.com/spreadsheets/d/1kGrh75X1cNR1D7_FcY9zMnHP8iPO4M5"&amp;"RCRjy6nZY0TY/edit#gid=1248694442"",""Subgroup 3: Mi ~ Tx!A3:A17"")),"""")"),"")</f>
        <v/>
      </c>
      <c r="T50" s="20" t="str">
        <f>IFERROR(__xludf.DUMMYFUNCTION("IFNA(FILTER(IMPORTRANGE(""https://docs.google.com/spreadsheets/d/1kGrh75X1cNR1D7_FcY9zMnHP8iPO4M5RCRjy6nZY0TY/edit#gid=1248694442"",""Subgroup 3: Mi ~ Tx!C3:C17""), $A50=IMPORTRANGE(""https://docs.google.com/spreadsheets/d/1kGrh75X1cNR1D7_FcY9zMnHP8iPO4M5"&amp;"RCRjy6nZY0TY/edit#gid=1248694442"",""Subgroup 3: Mi ~ Tx!A3:A17"")),"""")"),"")</f>
        <v/>
      </c>
      <c r="U50" s="20" t="str">
        <f>IFERROR(__xludf.DUMMYFUNCTION("IFNA(FILTER(IMPORTRANGE(""https://docs.google.com/spreadsheets/d/1kGrh75X1cNR1D7_FcY9zMnHP8iPO4M5RCRjy6nZY0TY/edit#gid=1248694442"",""Subgroup 3: Mi ~ Tx!D3:D17""), $A50=IMPORTRANGE(""https://docs.google.com/spreadsheets/d/1kGrh75X1cNR1D7_FcY9zMnHP8iPO4M5"&amp;"RCRjy6nZY0TY/edit#gid=1248694442"",""Subgroup 3: Mi ~ Tx!A3:A17"")),"""")"),"")</f>
        <v/>
      </c>
      <c r="V50" s="20" t="str">
        <f>IFERROR(__xludf.DUMMYFUNCTION("IFNA(FILTER(IMPORTRANGE(""https://docs.google.com/spreadsheets/d/1kGrh75X1cNR1D7_FcY9zMnHP8iPO4M5RCRjy6nZY0TY/edit#gid=1248694442"",""Subgroup 3: Mi ~ Tx!E3:E17""), $A50=IMPORTRANGE(""https://docs.google.com/spreadsheets/d/1kGrh75X1cNR1D7_FcY9zMnHP8iPO4M5"&amp;"RCRjy6nZY0TY/edit#gid=1248694442"",""Subgroup 3: Mi ~ Tx!A3:A17"")),"""")"),"")</f>
        <v/>
      </c>
      <c r="W50" s="20" t="str">
        <f>IFERROR(__xludf.DUMMYFUNCTION("IFNA(FILTER(IMPORTRANGE(""https://docs.google.com/spreadsheets/d/1kGrh75X1cNR1D7_FcY9zMnHP8iPO4M5RCRjy6nZY0TY/edit#gid=1248694442"",""Subgroup 3: Mi ~ Tx!F3:F17""), $A50=IMPORTRANGE(""https://docs.google.com/spreadsheets/d/1kGrh75X1cNR1D7_FcY9zMnHP8iPO4M5"&amp;"RCRjy6nZY0TY/edit#gid=1248694442"",""Subgroup 3: Mi ~ Tx!A3:A17"")),"""")"),"")</f>
        <v/>
      </c>
      <c r="X50" s="19" t="str">
        <f>IFERROR(__xludf.DUMMYFUNCTION("IFNA(FILTER(IMPORTRANGE(""https://docs.google.com/spreadsheets/d/1kGrh75X1cNR1D7_FcY9zMnHP8iPO4M5RCRjy6nZY0TY/edit#gid=1248694442"",""Table 3: 1st-line HC!AK5:AK111""), $A50=IMPORTRANGE(""https://docs.google.com/spreadsheets/d/1kGrh75X1cNR1D7_FcY9zMnHP8iP"&amp;"O4M5RCRjy6nZY0TY/edit#gid=1248694442"",""Table 3: 1st-line HC!A5:A111"")),"""")"),"")</f>
        <v/>
      </c>
      <c r="Y50" s="20" t="str">
        <f>IFERROR(__xludf.DUMMYFUNCTION("IFNA(FILTER(IMPORTRANGE(""https://docs.google.com/spreadsheets/d/1kGrh75X1cNR1D7_FcY9zMnHP8iPO4M5RCRjy6nZY0TY/edit#gid=1248694442"",""Subgroup 4: Mp ~ Tx!B3:B20""), $A50=IMPORTRANGE(""https://docs.google.com/spreadsheets/d/1kGrh75X1cNR1D7_FcY9zMnHP8iPO4M5"&amp;"RCRjy6nZY0TY/edit#gid=1248694442"",""Subgroup 4: Mp ~ Tx!A3:A20"")),"""")"),"")</f>
        <v/>
      </c>
      <c r="Z50" s="20" t="str">
        <f>IFERROR(__xludf.DUMMYFUNCTION("IFNA(FILTER(IMPORTRANGE(""https://docs.google.com/spreadsheets/d/1kGrh75X1cNR1D7_FcY9zMnHP8iPO4M5RCRjy6nZY0TY/edit#gid=1248694442"",""Subgroup 4: Mp ~ Tx!C3:C20""), $A50=IMPORTRANGE(""https://docs.google.com/spreadsheets/d/1kGrh75X1cNR1D7_FcY9zMnHP8iPO4M5"&amp;"RCRjy6nZY0TY/edit#gid=1248694442"",""Subgroup 4: Mp ~ Tx!A3:A20"")),"""")"),"")</f>
        <v/>
      </c>
      <c r="AA50" s="20" t="str">
        <f>IFERROR(__xludf.DUMMYFUNCTION("IFNA(FILTER(IMPORTRANGE(""https://docs.google.com/spreadsheets/d/1kGrh75X1cNR1D7_FcY9zMnHP8iPO4M5RCRjy6nZY0TY/edit#gid=1248694442"",""Subgroup 4: Mp ~ Tx!D3:D20""), $A50=IMPORTRANGE(""https://docs.google.com/spreadsheets/d/1kGrh75X1cNR1D7_FcY9zMnHP8iPO4M5"&amp;"RCRjy6nZY0TY/edit#gid=1248694442"",""Subgroup 4: Mp ~ Tx!A3:A20"")),"""")"),"")</f>
        <v/>
      </c>
      <c r="AB50" s="20" t="str">
        <f>IFERROR(__xludf.DUMMYFUNCTION("IFNA(FILTER(IMPORTRANGE(""https://docs.google.com/spreadsheets/d/1kGrh75X1cNR1D7_FcY9zMnHP8iPO4M5RCRjy6nZY0TY/edit#gid=1248694442"",""Subgroup 4: Mp ~ Tx!E3:E20""), $A50=IMPORTRANGE(""https://docs.google.com/spreadsheets/d/1kGrh75X1cNR1D7_FcY9zMnHP8iPO4M5"&amp;"RCRjy6nZY0TY/edit#gid=1248694442"",""Subgroup 4: Mp ~ Tx!A3:A20"")),"""")"),"")</f>
        <v/>
      </c>
      <c r="AC50" s="20" t="str">
        <f>IFERROR(__xludf.DUMMYFUNCTION("IFNA(FILTER(IMPORTRANGE(""https://docs.google.com/spreadsheets/d/1kGrh75X1cNR1D7_FcY9zMnHP8iPO4M5RCRjy6nZY0TY/edit#gid=1248694442"",""Subgroup 4: Mp ~ Tx!F3:F20""), $A50=IMPORTRANGE(""https://docs.google.com/spreadsheets/d/1kGrh75X1cNR1D7_FcY9zMnHP8iPO4M5"&amp;"RCRjy6nZY0TY/edit#gid=1248694442"",""Subgroup 4: Mp ~ Tx!A3:A20"")),"""")"),"")</f>
        <v/>
      </c>
      <c r="AD50" s="22" t="str">
        <f>IFERROR(__xludf.DUMMYFUNCTION("IFNA(FILTER(IMPORTRANGE(""https://docs.google.com/spreadsheets/d/1kGrh75X1cNR1D7_FcY9zMnHP8iPO4M5RCRjy6nZY0TY/edit#gid=1248694442"",""Table 3: 1st-line HC!AL5:AL111""), $A50=IMPORTRANGE(""https://docs.google.com/spreadsheets/d/1kGrh75X1cNR1D7_FcY9zMnHP8iP"&amp;"O4M5RCRjy6nZY0TY/edit#gid=1248694442"",""Table 3: 1st-line HC!A5:A111"")),"""")"),"")</f>
        <v/>
      </c>
      <c r="AE50" s="20" t="str">
        <f>IFERROR(__xludf.DUMMYFUNCTION("IFNA(FILTER(IMPORTRANGE(""https://docs.google.com/spreadsheets/d/1kGrh75X1cNR1D7_FcY9zMnHP8iPO4M5RCRjy6nZY0TY/edit#gid=1248694442"",""Table 3: 1st-line HC!BJ5:BJ111""), $A50=IMPORTRANGE(""https://docs.google.com/spreadsheets/d/1kGrh75X1cNR1D7_FcY9zMnHP8iP"&amp;"O4M5RCRjy6nZY0TY/edit#gid=1248694442"",""Table 3: 1st-line HC!A5:A111"")),"""")"),"")</f>
        <v/>
      </c>
      <c r="AF50" s="20" t="str">
        <f>IFERROR(__xludf.DUMMYFUNCTION("IFNA(FILTER(IMPORTRANGE(""https://docs.google.com/spreadsheets/d/1kGrh75X1cNR1D7_FcY9zMnHP8iPO4M5RCRjy6nZY0TY/edit#gid=1248694442"",""Subgroup 2: Cr ~ Tx!B3:B23""), $A50=IMPORTRANGE(""https://docs.google.com/spreadsheets/d/1kGrh75X1cNR1D7_FcY9zMnHP8iPO4M5"&amp;"RCRjy6nZY0TY/edit#gid=1248694442"",""Subgroup 2: Cr ~ Tx!A3:A23"")),"""")"),"")</f>
        <v/>
      </c>
      <c r="AG50" s="20" t="str">
        <f>IFERROR(__xludf.DUMMYFUNCTION("IFNA(FILTER(IMPORTRANGE(""https://docs.google.com/spreadsheets/d/1kGrh75X1cNR1D7_FcY9zMnHP8iPO4M5RCRjy6nZY0TY/edit#gid=1248694442"",""Subgroup 2: Cr ~ Tx!C3:C23""), $A50=IMPORTRANGE(""https://docs.google.com/spreadsheets/d/1kGrh75X1cNR1D7_FcY9zMnHP8iPO4M5"&amp;"RCRjy6nZY0TY/edit#gid=1248694442"",""Subgroup 2: Cr ~ Tx!A3:A23"")),"""")"),"")</f>
        <v/>
      </c>
      <c r="AH50" s="20" t="str">
        <f>IFERROR(__xludf.DUMMYFUNCTION("IFNA(FILTER(IMPORTRANGE(""https://docs.google.com/spreadsheets/d/1kGrh75X1cNR1D7_FcY9zMnHP8iPO4M5RCRjy6nZY0TY/edit#gid=1248694442"",""Subgroup 2: Cr ~ Tx!D3:D23""), $A50=IMPORTRANGE(""https://docs.google.com/spreadsheets/d/1kGrh75X1cNR1D7_FcY9zMnHP8iPO4M5"&amp;"RCRjy6nZY0TY/edit#gid=1248694442"",""Subgroup 2: Cr ~ Tx!A3:A23"")),"""")"),"")</f>
        <v/>
      </c>
      <c r="AI50" s="20" t="str">
        <f>IFERROR(__xludf.DUMMYFUNCTION("IFNA(FILTER(IMPORTRANGE(""https://docs.google.com/spreadsheets/d/1kGrh75X1cNR1D7_FcY9zMnHP8iPO4M5RCRjy6nZY0TY/edit#gid=1248694442"",""Subgroup 2: Cr ~ Tx!E3:E23""), $A50=IMPORTRANGE(""https://docs.google.com/spreadsheets/d/1kGrh75X1cNR1D7_FcY9zMnHP8iPO4M5"&amp;"RCRjy6nZY0TY/edit#gid=1248694442"",""Subgroup 2: Cr ~ Tx!A3:A23"")),"""")"),"")</f>
        <v/>
      </c>
      <c r="AJ50" s="20" t="str">
        <f>IFERROR(__xludf.DUMMYFUNCTION("IFNA(FILTER(IMPORTRANGE(""https://docs.google.com/spreadsheets/d/1kGrh75X1cNR1D7_FcY9zMnHP8iPO4M5RCRjy6nZY0TY/edit#gid=1248694442"",""Subgroup 2: Cr ~ Tx!F3:F23""), $A50=IMPORTRANGE(""https://docs.google.com/spreadsheets/d/1kGrh75X1cNR1D7_FcY9zMnHP8iPO4M5"&amp;"RCRjy6nZY0TY/edit#gid=1248694442"",""Subgroup 2: Cr ~ Tx!A3:A23"")),"""")"),"")</f>
        <v/>
      </c>
      <c r="AK50" s="14" t="str">
        <f>IFERROR(__xludf.DUMMYFUNCTION("IFNA(FILTER(IMPORTRANGE(""https://docs.google.com/spreadsheets/d/1kGrh75X1cNR1D7_FcY9zMnHP8iPO4M5RCRjy6nZY0TY/edit#gid=1248694442"",""Table 4: 2nd-line HC or more!M5:M85""), $A50=IMPORTRANGE(""https://docs.google.com/spreadsheets/d/1kGrh75X1cNR1D7_FcY9zMn"&amp;"HP8iPO4M5RCRjy6nZY0TY/edit#gid=1248694442"",""Table 4: 2nd-line HC or more!A5:A85"")),"""")"),"")</f>
        <v/>
      </c>
      <c r="AL50" s="14" t="str">
        <f>IFERROR(__xludf.DUMMYFUNCTION("IFNA(FILTER(IMPORTRANGE(""https://docs.google.com/spreadsheets/d/1kGrh75X1cNR1D7_FcY9zMnHP8iPO4M5RCRjy6nZY0TY/edit#gid=1248694442"",""Table 4: 2nd-line HC or more!N5:N85""), $A50=IMPORTRANGE(""https://docs.google.com/spreadsheets/d/1kGrh75X1cNR1D7_FcY9zMn"&amp;"HP8iPO4M5RCRjy6nZY0TY/edit#gid=1248694442"",""Table 4: 2nd-line HC or more!A5:A85"")),"""")"),"")</f>
        <v/>
      </c>
      <c r="AM50" s="14" t="str">
        <f>IFERROR(__xludf.DUMMYFUNCTION("IFNA(FILTER(IMPORTRANGE(""https://docs.google.com/spreadsheets/d/1kGrh75X1cNR1D7_FcY9zMnHP8iPO4M5RCRjy6nZY0TY/edit#gid=1248694442"",""Table 4: 2nd-line HC or more!O5:O85""), $A50=IMPORTRANGE(""https://docs.google.com/spreadsheets/d/1kGrh75X1cNR1D7_FcY9zMn"&amp;"HP8iPO4M5RCRjy6nZY0TY/edit#gid=1248694442"",""Table 4: 2nd-line HC or more!A5:A85"")),"""")"),"")</f>
        <v/>
      </c>
      <c r="AN50" s="14" t="str">
        <f>IFERROR(__xludf.DUMMYFUNCTION("IFNA(FILTER(IMPORTRANGE(""https://docs.google.com/spreadsheets/d/1kGrh75X1cNR1D7_FcY9zMnHP8iPO4M5RCRjy6nZY0TY/edit#gid=1248694442"",""Table 3: 1st-line HC!AP5:AP111""), $A50=IMPORTRANGE(""https://docs.google.com/spreadsheets/d/1kGrh75X1cNR1D7_FcY9zMnHP8iP"&amp;"O4M5RCRjy6nZY0TY/edit#gid=1248694442"",""Table 3: 1st-line HC!A5:A111"")),"""")"),"")</f>
        <v/>
      </c>
      <c r="AO50" s="14" t="str">
        <f>IFERROR(__xludf.DUMMYFUNCTION("IFNA(FILTER(IMPORTRANGE(""https://docs.google.com/spreadsheets/d/1kGrh75X1cNR1D7_FcY9zMnHP8iPO4M5RCRjy6nZY0TY/edit#gid=1248694442"",""Table 3: 1st-line HC!AO5:AO111""), $A50=IMPORTRANGE(""https://docs.google.com/spreadsheets/d/1kGrh75X1cNR1D7_FcY9zMnHP8iP"&amp;"O4M5RCRjy6nZY0TY/edit#gid=1248694442"",""Table 3: 1st-line HC!A5:A111"")),"""")"),"")</f>
        <v/>
      </c>
      <c r="AP50" s="14" t="str">
        <f>IFERROR(__xludf.DUMMYFUNCTION("IFNA(FILTER(IMPORTRANGE(""https://docs.google.com/spreadsheets/d/1kGrh75X1cNR1D7_FcY9zMnHP8iPO4M5RCRjy6nZY0TY/edit#gid=1248694442"",""Table 3: 1st-line HC!AQ5:AQ111""), $A50=IMPORTRANGE(""https://docs.google.com/spreadsheets/d/1kGrh75X1cNR1D7_FcY9zMnHP8iP"&amp;"O4M5RCRjy6nZY0TY/edit#gid=1248694442"",""Table 3: 1st-line HC!A5:A111"")),"""")"),"")</f>
        <v/>
      </c>
      <c r="AQ50" s="14" t="str">
        <f>IFERROR(__xludf.DUMMYFUNCTION("IFNA(FILTER(IMPORTRANGE(""https://docs.google.com/spreadsheets/d/1kGrh75X1cNR1D7_FcY9zMnHP8iPO4M5RCRjy6nZY0TY/edit#gid=1248694442"",""Table 2: MMC!T5:T114""), $A50=IMPORTRANGE(""https://docs.google.com/spreadsheets/d/1kGrh75X1cNR1D7_FcY9zMnHP8iPO4M5RCRjy6"&amp;"nZY0TY/edit#gid=1248694442"",""Table 2: MMC!A5:A114"")),"""")"),"")</f>
        <v/>
      </c>
      <c r="AR50" s="14" t="str">
        <f>IFERROR(__xludf.DUMMYFUNCTION("IFNA(FILTER(IMPORTRANGE(""https://docs.google.com/spreadsheets/d/1kGrh75X1cNR1D7_FcY9zMnHP8iPO4M5RCRjy6nZY0TY/edit#gid=1248694442"",""Table 2: MMC!U5:U114""), $A50=IMPORTRANGE(""https://docs.google.com/spreadsheets/d/1kGrh75X1cNR1D7_FcY9zMnHP8iPO4M5RCRjy6"&amp;"nZY0TY/edit#gid=1248694442"",""Table 2: MMC!A5:A114"")),"""")"),"")</f>
        <v/>
      </c>
      <c r="AS50" s="14" t="str">
        <f>IFERROR(__xludf.DUMMYFUNCTION("IFNA(FILTER(IMPORTRANGE(""https://docs.google.com/spreadsheets/d/1kGrh75X1cNR1D7_FcY9zMnHP8iPO4M5RCRjy6nZY0TY/edit#gid=1248694442"",""Table 2: MMC!V5:V114""), $A50=IMPORTRANGE(""https://docs.google.com/spreadsheets/d/1kGrh75X1cNR1D7_FcY9zMnHP8iPO4M5RCRjy6"&amp;"nZY0TY/edit#gid=1248694442"",""Table 2: MMC!A5:A114"")),"""")"),"")</f>
        <v/>
      </c>
      <c r="AT50" s="4" t="str">
        <f>IFERROR(__xludf.DUMMYFUNCTION("IFNA(FILTER(IMPORTRANGE(""https://docs.google.com/spreadsheets/d/1kGrh75X1cNR1D7_FcY9zMnHP8iPO4M5RCRjy6nZY0TY/edit#gid=1248694442"",""Table 2: MMC!W5:W114""), $A50=IMPORTRANGE(""https://docs.google.com/spreadsheets/d/1kGrh75X1cNR1D7_FcY9zMnHP8iPO4M5RCRjy6"&amp;"nZY0TY/edit#gid=1248694442"",""Table 2: MMC!A5:A114"")),"""")"),"")</f>
        <v/>
      </c>
    </row>
    <row r="51">
      <c r="A51" s="4" t="str">
        <f>IFERROR(__xludf.DUMMYFUNCTION("""COMPUTED_VALUE"""),"ID 101")</f>
        <v>ID 101</v>
      </c>
      <c r="B51" s="20" t="str">
        <f>IFERROR(__xludf.DUMMYFUNCTION("IFNA(FILTER(IMPORTRANGE(""https://docs.google.com/spreadsheets/d/1kGrh75X1cNR1D7_FcY9zMnHP8iPO4M5RCRjy6nZY0TY/edit#gid=1248694442"",""Table 3: 1st-line HC!BK5:BK111""), $A51=IMPORTRANGE(""https://docs.google.com/spreadsheets/d/1kGrh75X1cNR1D7_FcY9zMnHP8iP"&amp;"O4M5RCRjy6nZY0TY/edit#gid=1248694442"",""Table 3: 1st-line HC!A5:A111"")),"""")"),"")</f>
        <v/>
      </c>
      <c r="C51" s="20" t="str">
        <f>IFERROR(__xludf.DUMMYFUNCTION("IFNA(FILTER(IMPORTRANGE(""https://docs.google.com/spreadsheets/d/1kGrh75X1cNR1D7_FcY9zMnHP8iPO4M5RCRjy6nZY0TY/edit#gid=1248694442"",""Subgroup 1: Fr ~ Tx!B3:B20""), $A51=IMPORTRANGE(""https://docs.google.com/spreadsheets/d/1kGrh75X1cNR1D7_FcY9zMnHP8iPO4M5"&amp;"RCRjy6nZY0TY/edit#gid=1248694442"",""Subgroup 1: Fr ~ Tx!A3:A20"")),"""")"),"")</f>
        <v/>
      </c>
      <c r="D51" s="20" t="str">
        <f>IFERROR(__xludf.DUMMYFUNCTION("IFNA(FILTER(IMPORTRANGE(""https://docs.google.com/spreadsheets/d/1kGrh75X1cNR1D7_FcY9zMnHP8iPO4M5RCRjy6nZY0TY/edit#gid=1248694442"",""Subgroup 1: Fr ~ Tx!C3:C20""), $A51=IMPORTRANGE(""https://docs.google.com/spreadsheets/d/1kGrh75X1cNR1D7_FcY9zMnHP8iPO4M5"&amp;"RCRjy6nZY0TY/edit#gid=1248694442"",""Subgroup 1: Fr ~ Tx!A3:A20"")),"""")"),"")</f>
        <v/>
      </c>
      <c r="E51" s="20" t="str">
        <f>IFERROR(__xludf.DUMMYFUNCTION("IFNA(FILTER(IMPORTRANGE(""https://docs.google.com/spreadsheets/d/1kGrh75X1cNR1D7_FcY9zMnHP8iPO4M5RCRjy6nZY0TY/edit#gid=1248694442"",""Subgroup 1: Fr ~ Tx!D3:D20""), $A51=IMPORTRANGE(""https://docs.google.com/spreadsheets/d/1kGrh75X1cNR1D7_FcY9zMnHP8iPO4M5"&amp;"RCRjy6nZY0TY/edit#gid=1248694442"",""Subgroup 1: Fr ~ Tx!A3:A20"")),"""")"),"")</f>
        <v/>
      </c>
      <c r="F51" s="20" t="str">
        <f>IFERROR(__xludf.DUMMYFUNCTION("IFNA(FILTER(IMPORTRANGE(""https://docs.google.com/spreadsheets/d/1kGrh75X1cNR1D7_FcY9zMnHP8iPO4M5RCRjy6nZY0TY/edit#gid=1248694442"",""Subgroup 1: Fr ~ Tx!E3:E20""), $A51=IMPORTRANGE(""https://docs.google.com/spreadsheets/d/1kGrh75X1cNR1D7_FcY9zMnHP8iPO4M5"&amp;"RCRjy6nZY0TY/edit#gid=1248694442"",""Subgroup 1: Fr ~ Tx!A3:A20"")),"""")"),"")</f>
        <v/>
      </c>
      <c r="G51" s="20" t="str">
        <f>IFERROR(__xludf.DUMMYFUNCTION("IFNA(FILTER(IMPORTRANGE(""https://docs.google.com/spreadsheets/d/1kGrh75X1cNR1D7_FcY9zMnHP8iPO4M5RCRjy6nZY0TY/edit#gid=1248694442"",""Subgroup 1: Fr ~ Tx!F3:F20""), $A51=IMPORTRANGE(""https://docs.google.com/spreadsheets/d/1kGrh75X1cNR1D7_FcY9zMnHP8iPO4M5"&amp;"RCRjy6nZY0TY/edit#gid=1248694442"",""Subgroup 1: Fr ~ Tx!A3:A20"")),"""")"),"")</f>
        <v/>
      </c>
      <c r="H51" s="20" t="str">
        <f>IFERROR(__xludf.DUMMYFUNCTION("IFNA(FILTER(IMPORTRANGE(""https://docs.google.com/spreadsheets/d/1kGrh75X1cNR1D7_FcY9zMnHP8iPO4M5RCRjy6nZY0TY/edit#gid=1248694442"",""Table 3: 1st-line HC!BD5:BD111""), $A51=IMPORTRANGE(""https://docs.google.com/spreadsheets/d/1kGrh75X1cNR1D7_FcY9zMnHP8iP"&amp;"O4M5RCRjy6nZY0TY/edit#gid=1248694442"",""Table 3: 1st-line HC!A5:A111"")),"""")"),"")</f>
        <v/>
      </c>
      <c r="I51" s="20" t="str">
        <f>IFERROR(__xludf.DUMMYFUNCTION("IFNA(FILTER(IMPORTRANGE(""https://docs.google.com/spreadsheets/d/1kGrh75X1cNR1D7_FcY9zMnHP8iPO4M5RCRjy6nZY0TY/edit#gid=1248694442"",""Subgroup 5: Tf ~ Tx!B3:B8""), $A51=IMPORTRANGE(""https://docs.google.com/spreadsheets/d/1kGrh75X1cNR1D7_FcY9zMnHP8iPO4M5R"&amp;"CRjy6nZY0TY/edit#gid=1248694442"",""Subgroup 5: Tf ~ Tx!A3:A8"")),"""")"),"")</f>
        <v/>
      </c>
      <c r="J51" s="20" t="str">
        <f>IFERROR(__xludf.DUMMYFUNCTION("IFNA(FILTER(IMPORTRANGE(""https://docs.google.com/spreadsheets/d/1kGrh75X1cNR1D7_FcY9zMnHP8iPO4M5RCRjy6nZY0TY/edit#gid=1248694442"",""Subgroup 5: Tf ~ Tx!C3:C8""), $A51=IMPORTRANGE(""https://docs.google.com/spreadsheets/d/1kGrh75X1cNR1D7_FcY9zMnHP8iPO4M5R"&amp;"CRjy6nZY0TY/edit#gid=1248694442"",""Subgroup 5: Tf ~ Tx!A3:A8"")),"""")"),"")</f>
        <v/>
      </c>
      <c r="K51" s="20" t="str">
        <f>IFERROR(__xludf.DUMMYFUNCTION("IFNA(FILTER(IMPORTRANGE(""https://docs.google.com/spreadsheets/d/1kGrh75X1cNR1D7_FcY9zMnHP8iPO4M5RCRjy6nZY0TY/edit#gid=1248694442"",""Subgroup 5: Tf ~ Tx!D3:D8""), $A51=IMPORTRANGE(""https://docs.google.com/spreadsheets/d/1kGrh75X1cNR1D7_FcY9zMnHP8iPO4M5R"&amp;"CRjy6nZY0TY/edit#gid=1248694442"",""Subgroup 5: Tf ~ Tx!A3:A8"")),"""")"),"")</f>
        <v/>
      </c>
      <c r="L51" s="20" t="str">
        <f>IFERROR(__xludf.DUMMYFUNCTION("IFNA(FILTER(IMPORTRANGE(""https://docs.google.com/spreadsheets/d/1kGrh75X1cNR1D7_FcY9zMnHP8iPO4M5RCRjy6nZY0TY/edit#gid=1248694442"",""Subgroup 5: Tf ~ Tx!E3:E8""), $A51=IMPORTRANGE(""https://docs.google.com/spreadsheets/d/1kGrh75X1cNR1D7_FcY9zMnHP8iPO4M5R"&amp;"CRjy6nZY0TY/edit#gid=1248694442"",""Subgroup 5: Tf ~ Tx!A3:A8"")),"""")"),"")</f>
        <v/>
      </c>
      <c r="M51" s="20" t="str">
        <f>IFERROR(__xludf.DUMMYFUNCTION("IFNA(FILTER(IMPORTRANGE(""https://docs.google.com/spreadsheets/d/1kGrh75X1cNR1D7_FcY9zMnHP8iPO4M5RCRjy6nZY0TY/edit#gid=1248694442"",""Subgroup 5: Tf ~ Tx!F3:F8""), $A51=IMPORTRANGE(""https://docs.google.com/spreadsheets/d/1kGrh75X1cNR1D7_FcY9zMnHP8iPO4M5R"&amp;"CRjy6nZY0TY/edit#gid=1248694442"",""Subgroup 5: Tf ~ Tx!A3:A8"")),"""")"),"")</f>
        <v/>
      </c>
      <c r="N51" s="20" t="str">
        <f>IFERROR(__xludf.DUMMYFUNCTION("IFNA(FILTER(IMPORTRANGE(""https://docs.google.com/spreadsheets/d/1kGrh75X1cNR1D7_FcY9zMnHP8iPO4M5RCRjy6nZY0TY/edit#gid=1248694442"",""Table 3: 1st-line HC!BE5:BE111""), $A51=IMPORTRANGE(""https://docs.google.com/spreadsheets/d/1kGrh75X1cNR1D7_FcY9zMnHP8iP"&amp;"O4M5RCRjy6nZY0TY/edit#gid=1248694442"",""Table 3: 1st-line HC!A5:A111"")),"""")"),"")</f>
        <v/>
      </c>
      <c r="O51" s="20" t="str">
        <f>IFERROR(__xludf.DUMMYFUNCTION("IFNA(FILTER(IMPORTRANGE(""https://docs.google.com/spreadsheets/d/1kGrh75X1cNR1D7_FcY9zMnHP8iPO4M5RCRjy6nZY0TY/edit#gid=1248694442"",""Table 3: 1st-line HC!BF5:BF111""), $A51=IMPORTRANGE(""https://docs.google.com/spreadsheets/d/1kGrh75X1cNR1D7_FcY9zMnHP8iP"&amp;"O4M5RCRjy6nZY0TY/edit#gid=1248694442"",""Table 3: 1st-line HC!A5:A111"")),"""")"),"")</f>
        <v/>
      </c>
      <c r="P51" s="20" t="str">
        <f>IFERROR(__xludf.DUMMYFUNCTION("IFNA(FILTER(IMPORTRANGE(""https://docs.google.com/spreadsheets/d/1kGrh75X1cNR1D7_FcY9zMnHP8iPO4M5RCRjy6nZY0TY/edit#gid=1248694442"",""Table 3: 1st-line HC!BG5:BG111""), $A51=IMPORTRANGE(""https://docs.google.com/spreadsheets/d/1kGrh75X1cNR1D7_FcY9zMnHP8iP"&amp;"O4M5RCRjy6nZY0TY/edit#gid=1248694442"",""Table 3: 1st-line HC!A5:A111"")),"""")"),"")</f>
        <v/>
      </c>
      <c r="Q51" s="21" t="str">
        <f>IFERROR(__xludf.DUMMYFUNCTION("IFNA(FILTER(IMPORTRANGE(""https://docs.google.com/spreadsheets/d/1kGrh75X1cNR1D7_FcY9zMnHP8iPO4M5RCRjy6nZY0TY/edit#gid=1248694442"",""Table 3: 1st-line HC!BH5:BH111""), $A51=IMPORTRANGE(""https://docs.google.com/spreadsheets/d/1kGrh75X1cNR1D7_FcY9zMnHP8iP"&amp;"O4M5RCRjy6nZY0TY/edit#gid=1248694442"",""Table 3: 1st-line HC!A5:A111"")),"""")"),"")</f>
        <v/>
      </c>
      <c r="R51" s="19" t="str">
        <f>IFERROR(__xludf.DUMMYFUNCTION("IFNA(FILTER(IMPORTRANGE(""https://docs.google.com/spreadsheets/d/1kGrh75X1cNR1D7_FcY9zMnHP8iPO4M5RCRjy6nZY0TY/edit#gid=1248694442"",""Table 3: 1st-line HC!AJ5:AJ111""), $A51=IMPORTRANGE(""https://docs.google.com/spreadsheets/d/1kGrh75X1cNR1D7_FcY9zMnHP8iP"&amp;"O4M5RCRjy6nZY0TY/edit#gid=1248694442"",""Table 3: 1st-line HC!A5:A111"")),"""")"),"")</f>
        <v/>
      </c>
      <c r="S51" s="20" t="str">
        <f>IFERROR(__xludf.DUMMYFUNCTION("IFNA(FILTER(IMPORTRANGE(""https://docs.google.com/spreadsheets/d/1kGrh75X1cNR1D7_FcY9zMnHP8iPO4M5RCRjy6nZY0TY/edit#gid=1248694442"",""Subgroup 3: Mi ~ Tx!B3:B17""), $A51=IMPORTRANGE(""https://docs.google.com/spreadsheets/d/1kGrh75X1cNR1D7_FcY9zMnHP8iPO4M5"&amp;"RCRjy6nZY0TY/edit#gid=1248694442"",""Subgroup 3: Mi ~ Tx!A3:A17"")),"""")"),"")</f>
        <v/>
      </c>
      <c r="T51" s="20" t="str">
        <f>IFERROR(__xludf.DUMMYFUNCTION("IFNA(FILTER(IMPORTRANGE(""https://docs.google.com/spreadsheets/d/1kGrh75X1cNR1D7_FcY9zMnHP8iPO4M5RCRjy6nZY0TY/edit#gid=1248694442"",""Subgroup 3: Mi ~ Tx!C3:C17""), $A51=IMPORTRANGE(""https://docs.google.com/spreadsheets/d/1kGrh75X1cNR1D7_FcY9zMnHP8iPO4M5"&amp;"RCRjy6nZY0TY/edit#gid=1248694442"",""Subgroup 3: Mi ~ Tx!A3:A17"")),"""")"),"")</f>
        <v/>
      </c>
      <c r="U51" s="20" t="str">
        <f>IFERROR(__xludf.DUMMYFUNCTION("IFNA(FILTER(IMPORTRANGE(""https://docs.google.com/spreadsheets/d/1kGrh75X1cNR1D7_FcY9zMnHP8iPO4M5RCRjy6nZY0TY/edit#gid=1248694442"",""Subgroup 3: Mi ~ Tx!D3:D17""), $A51=IMPORTRANGE(""https://docs.google.com/spreadsheets/d/1kGrh75X1cNR1D7_FcY9zMnHP8iPO4M5"&amp;"RCRjy6nZY0TY/edit#gid=1248694442"",""Subgroup 3: Mi ~ Tx!A3:A17"")),"""")"),"")</f>
        <v/>
      </c>
      <c r="V51" s="20" t="str">
        <f>IFERROR(__xludf.DUMMYFUNCTION("IFNA(FILTER(IMPORTRANGE(""https://docs.google.com/spreadsheets/d/1kGrh75X1cNR1D7_FcY9zMnHP8iPO4M5RCRjy6nZY0TY/edit#gid=1248694442"",""Subgroup 3: Mi ~ Tx!E3:E17""), $A51=IMPORTRANGE(""https://docs.google.com/spreadsheets/d/1kGrh75X1cNR1D7_FcY9zMnHP8iPO4M5"&amp;"RCRjy6nZY0TY/edit#gid=1248694442"",""Subgroup 3: Mi ~ Tx!A3:A17"")),"""")"),"")</f>
        <v/>
      </c>
      <c r="W51" s="20" t="str">
        <f>IFERROR(__xludf.DUMMYFUNCTION("IFNA(FILTER(IMPORTRANGE(""https://docs.google.com/spreadsheets/d/1kGrh75X1cNR1D7_FcY9zMnHP8iPO4M5RCRjy6nZY0TY/edit#gid=1248694442"",""Subgroup 3: Mi ~ Tx!F3:F17""), $A51=IMPORTRANGE(""https://docs.google.com/spreadsheets/d/1kGrh75X1cNR1D7_FcY9zMnHP8iPO4M5"&amp;"RCRjy6nZY0TY/edit#gid=1248694442"",""Subgroup 3: Mi ~ Tx!A3:A17"")),"""")"),"")</f>
        <v/>
      </c>
      <c r="X51" s="19" t="str">
        <f>IFERROR(__xludf.DUMMYFUNCTION("IFNA(FILTER(IMPORTRANGE(""https://docs.google.com/spreadsheets/d/1kGrh75X1cNR1D7_FcY9zMnHP8iPO4M5RCRjy6nZY0TY/edit#gid=1248694442"",""Table 3: 1st-line HC!AK5:AK111""), $A51=IMPORTRANGE(""https://docs.google.com/spreadsheets/d/1kGrh75X1cNR1D7_FcY9zMnHP8iP"&amp;"O4M5RCRjy6nZY0TY/edit#gid=1248694442"",""Table 3: 1st-line HC!A5:A111"")),"""")"),"")</f>
        <v/>
      </c>
      <c r="Y51" s="20" t="str">
        <f>IFERROR(__xludf.DUMMYFUNCTION("IFNA(FILTER(IMPORTRANGE(""https://docs.google.com/spreadsheets/d/1kGrh75X1cNR1D7_FcY9zMnHP8iPO4M5RCRjy6nZY0TY/edit#gid=1248694442"",""Subgroup 4: Mp ~ Tx!B3:B20""), $A51=IMPORTRANGE(""https://docs.google.com/spreadsheets/d/1kGrh75X1cNR1D7_FcY9zMnHP8iPO4M5"&amp;"RCRjy6nZY0TY/edit#gid=1248694442"",""Subgroup 4: Mp ~ Tx!A3:A20"")),"""")"),"")</f>
        <v/>
      </c>
      <c r="Z51" s="20" t="str">
        <f>IFERROR(__xludf.DUMMYFUNCTION("IFNA(FILTER(IMPORTRANGE(""https://docs.google.com/spreadsheets/d/1kGrh75X1cNR1D7_FcY9zMnHP8iPO4M5RCRjy6nZY0TY/edit#gid=1248694442"",""Subgroup 4: Mp ~ Tx!C3:C20""), $A51=IMPORTRANGE(""https://docs.google.com/spreadsheets/d/1kGrh75X1cNR1D7_FcY9zMnHP8iPO4M5"&amp;"RCRjy6nZY0TY/edit#gid=1248694442"",""Subgroup 4: Mp ~ Tx!A3:A20"")),"""")"),"")</f>
        <v/>
      </c>
      <c r="AA51" s="20" t="str">
        <f>IFERROR(__xludf.DUMMYFUNCTION("IFNA(FILTER(IMPORTRANGE(""https://docs.google.com/spreadsheets/d/1kGrh75X1cNR1D7_FcY9zMnHP8iPO4M5RCRjy6nZY0TY/edit#gid=1248694442"",""Subgroup 4: Mp ~ Tx!D3:D20""), $A51=IMPORTRANGE(""https://docs.google.com/spreadsheets/d/1kGrh75X1cNR1D7_FcY9zMnHP8iPO4M5"&amp;"RCRjy6nZY0TY/edit#gid=1248694442"",""Subgroup 4: Mp ~ Tx!A3:A20"")),"""")"),"")</f>
        <v/>
      </c>
      <c r="AB51" s="20" t="str">
        <f>IFERROR(__xludf.DUMMYFUNCTION("IFNA(FILTER(IMPORTRANGE(""https://docs.google.com/spreadsheets/d/1kGrh75X1cNR1D7_FcY9zMnHP8iPO4M5RCRjy6nZY0TY/edit#gid=1248694442"",""Subgroup 4: Mp ~ Tx!E3:E20""), $A51=IMPORTRANGE(""https://docs.google.com/spreadsheets/d/1kGrh75X1cNR1D7_FcY9zMnHP8iPO4M5"&amp;"RCRjy6nZY0TY/edit#gid=1248694442"",""Subgroup 4: Mp ~ Tx!A3:A20"")),"""")"),"")</f>
        <v/>
      </c>
      <c r="AC51" s="20" t="str">
        <f>IFERROR(__xludf.DUMMYFUNCTION("IFNA(FILTER(IMPORTRANGE(""https://docs.google.com/spreadsheets/d/1kGrh75X1cNR1D7_FcY9zMnHP8iPO4M5RCRjy6nZY0TY/edit#gid=1248694442"",""Subgroup 4: Mp ~ Tx!F3:F20""), $A51=IMPORTRANGE(""https://docs.google.com/spreadsheets/d/1kGrh75X1cNR1D7_FcY9zMnHP8iPO4M5"&amp;"RCRjy6nZY0TY/edit#gid=1248694442"",""Subgroup 4: Mp ~ Tx!A3:A20"")),"""")"),"")</f>
        <v/>
      </c>
      <c r="AD51" s="22" t="str">
        <f>IFERROR(__xludf.DUMMYFUNCTION("IFNA(FILTER(IMPORTRANGE(""https://docs.google.com/spreadsheets/d/1kGrh75X1cNR1D7_FcY9zMnHP8iPO4M5RCRjy6nZY0TY/edit#gid=1248694442"",""Table 3: 1st-line HC!AL5:AL111""), $A51=IMPORTRANGE(""https://docs.google.com/spreadsheets/d/1kGrh75X1cNR1D7_FcY9zMnHP8iP"&amp;"O4M5RCRjy6nZY0TY/edit#gid=1248694442"",""Table 3: 1st-line HC!A5:A111"")),"""")"),"11 patietns died; mortality = 22%. unsure if patient died within 30 days after procedure ")</f>
        <v>11 patietns died; mortality = 22%. unsure if patient died within 30 days after procedure </v>
      </c>
      <c r="AE51" s="20" t="str">
        <f>IFERROR(__xludf.DUMMYFUNCTION("IFNA(FILTER(IMPORTRANGE(""https://docs.google.com/spreadsheets/d/1kGrh75X1cNR1D7_FcY9zMnHP8iPO4M5RCRjy6nZY0TY/edit#gid=1248694442"",""Table 3: 1st-line HC!BJ5:BJ111""), $A51=IMPORTRANGE(""https://docs.google.com/spreadsheets/d/1kGrh75X1cNR1D7_FcY9zMnHP8iP"&amp;"O4M5RCRjy6nZY0TY/edit#gid=1248694442"",""Table 3: 1st-line HC!A5:A111"")),"""")"),"")</f>
        <v/>
      </c>
      <c r="AF51" s="20" t="str">
        <f>IFERROR(__xludf.DUMMYFUNCTION("IFNA(FILTER(IMPORTRANGE(""https://docs.google.com/spreadsheets/d/1kGrh75X1cNR1D7_FcY9zMnHP8iPO4M5RCRjy6nZY0TY/edit#gid=1248694442"",""Subgroup 2: Cr ~ Tx!B3:B23""), $A51=IMPORTRANGE(""https://docs.google.com/spreadsheets/d/1kGrh75X1cNR1D7_FcY9zMnHP8iPO4M5"&amp;"RCRjy6nZY0TY/edit#gid=1248694442"",""Subgroup 2: Cr ~ Tx!A3:A23"")),"""")"),"")</f>
        <v/>
      </c>
      <c r="AG51" s="20" t="str">
        <f>IFERROR(__xludf.DUMMYFUNCTION("IFNA(FILTER(IMPORTRANGE(""https://docs.google.com/spreadsheets/d/1kGrh75X1cNR1D7_FcY9zMnHP8iPO4M5RCRjy6nZY0TY/edit#gid=1248694442"",""Subgroup 2: Cr ~ Tx!C3:C23""), $A51=IMPORTRANGE(""https://docs.google.com/spreadsheets/d/1kGrh75X1cNR1D7_FcY9zMnHP8iPO4M5"&amp;"RCRjy6nZY0TY/edit#gid=1248694442"",""Subgroup 2: Cr ~ Tx!A3:A23"")),"""")"),"")</f>
        <v/>
      </c>
      <c r="AH51" s="20" t="str">
        <f>IFERROR(__xludf.DUMMYFUNCTION("IFNA(FILTER(IMPORTRANGE(""https://docs.google.com/spreadsheets/d/1kGrh75X1cNR1D7_FcY9zMnHP8iPO4M5RCRjy6nZY0TY/edit#gid=1248694442"",""Subgroup 2: Cr ~ Tx!D3:D23""), $A51=IMPORTRANGE(""https://docs.google.com/spreadsheets/d/1kGrh75X1cNR1D7_FcY9zMnHP8iPO4M5"&amp;"RCRjy6nZY0TY/edit#gid=1248694442"",""Subgroup 2: Cr ~ Tx!A3:A23"")),"""")"),"")</f>
        <v/>
      </c>
      <c r="AI51" s="20" t="str">
        <f>IFERROR(__xludf.DUMMYFUNCTION("IFNA(FILTER(IMPORTRANGE(""https://docs.google.com/spreadsheets/d/1kGrh75X1cNR1D7_FcY9zMnHP8iPO4M5RCRjy6nZY0TY/edit#gid=1248694442"",""Subgroup 2: Cr ~ Tx!E3:E23""), $A51=IMPORTRANGE(""https://docs.google.com/spreadsheets/d/1kGrh75X1cNR1D7_FcY9zMnHP8iPO4M5"&amp;"RCRjy6nZY0TY/edit#gid=1248694442"",""Subgroup 2: Cr ~ Tx!A3:A23"")),"""")"),"")</f>
        <v/>
      </c>
      <c r="AJ51" s="20" t="str">
        <f>IFERROR(__xludf.DUMMYFUNCTION("IFNA(FILTER(IMPORTRANGE(""https://docs.google.com/spreadsheets/d/1kGrh75X1cNR1D7_FcY9zMnHP8iPO4M5RCRjy6nZY0TY/edit#gid=1248694442"",""Subgroup 2: Cr ~ Tx!F3:F23""), $A51=IMPORTRANGE(""https://docs.google.com/spreadsheets/d/1kGrh75X1cNR1D7_FcY9zMnHP8iPO4M5"&amp;"RCRjy6nZY0TY/edit#gid=1248694442"",""Subgroup 2: Cr ~ Tx!A3:A23"")),"""")"),"")</f>
        <v/>
      </c>
      <c r="AK51" s="14" t="str">
        <f>IFERROR(__xludf.DUMMYFUNCTION("IFNA(FILTER(IMPORTRANGE(""https://docs.google.com/spreadsheets/d/1kGrh75X1cNR1D7_FcY9zMnHP8iPO4M5RCRjy6nZY0TY/edit#gid=1248694442"",""Table 4: 2nd-line HC or more!M5:M85""), $A51=IMPORTRANGE(""https://docs.google.com/spreadsheets/d/1kGrh75X1cNR1D7_FcY9zMn"&amp;"HP8iPO4M5RCRjy6nZY0TY/edit#gid=1248694442"",""Table 4: 2nd-line HC or more!A5:A85"")),"""")"),"")</f>
        <v/>
      </c>
      <c r="AL51" s="14" t="str">
        <f>IFERROR(__xludf.DUMMYFUNCTION("IFNA(FILTER(IMPORTRANGE(""https://docs.google.com/spreadsheets/d/1kGrh75X1cNR1D7_FcY9zMnHP8iPO4M5RCRjy6nZY0TY/edit#gid=1248694442"",""Table 4: 2nd-line HC or more!N5:N85""), $A51=IMPORTRANGE(""https://docs.google.com/spreadsheets/d/1kGrh75X1cNR1D7_FcY9zMn"&amp;"HP8iPO4M5RCRjy6nZY0TY/edit#gid=1248694442"",""Table 4: 2nd-line HC or more!A5:A85"")),"""")"),"")</f>
        <v/>
      </c>
      <c r="AM51" s="14" t="str">
        <f>IFERROR(__xludf.DUMMYFUNCTION("IFNA(FILTER(IMPORTRANGE(""https://docs.google.com/spreadsheets/d/1kGrh75X1cNR1D7_FcY9zMnHP8iPO4M5RCRjy6nZY0TY/edit#gid=1248694442"",""Table 4: 2nd-line HC or more!O5:O85""), $A51=IMPORTRANGE(""https://docs.google.com/spreadsheets/d/1kGrh75X1cNR1D7_FcY9zMn"&amp;"HP8iPO4M5RCRjy6nZY0TY/edit#gid=1248694442"",""Table 4: 2nd-line HC or more!A5:A85"")),"""")"),"11 patient died but dint specifiy if its within 30 days of procedure and if death occured after revision ")</f>
        <v>11 patient died but dint specifiy if its within 30 days of procedure and if death occured after revision </v>
      </c>
      <c r="AN51" s="14" t="str">
        <f>IFERROR(__xludf.DUMMYFUNCTION("IFNA(FILTER(IMPORTRANGE(""https://docs.google.com/spreadsheets/d/1kGrh75X1cNR1D7_FcY9zMnHP8iPO4M5RCRjy6nZY0TY/edit#gid=1248694442"",""Table 3: 1st-line HC!AP5:AP111""), $A51=IMPORTRANGE(""https://docs.google.com/spreadsheets/d/1kGrh75X1cNR1D7_FcY9zMnHP8iP"&amp;"O4M5RCRjy6nZY0TY/edit#gid=1248694442"",""Table 3: 1st-line HC!A5:A111"")),"""")"),"")</f>
        <v/>
      </c>
      <c r="AO51" s="14" t="str">
        <f>IFERROR(__xludf.DUMMYFUNCTION("IFNA(FILTER(IMPORTRANGE(""https://docs.google.com/spreadsheets/d/1kGrh75X1cNR1D7_FcY9zMnHP8iPO4M5RCRjy6nZY0TY/edit#gid=1248694442"",""Table 3: 1st-line HC!AO5:AO111""), $A51=IMPORTRANGE(""https://docs.google.com/spreadsheets/d/1kGrh75X1cNR1D7_FcY9zMnHP8iP"&amp;"O4M5RCRjy6nZY0TY/edit#gid=1248694442"",""Table 3: 1st-line HC!A5:A111"")),"""")"),"")</f>
        <v/>
      </c>
      <c r="AP51" s="14" t="str">
        <f>IFERROR(__xludf.DUMMYFUNCTION("IFNA(FILTER(IMPORTRANGE(""https://docs.google.com/spreadsheets/d/1kGrh75X1cNR1D7_FcY9zMnHP8iPO4M5RCRjy6nZY0TY/edit#gid=1248694442"",""Table 3: 1st-line HC!AQ5:AQ111""), $A51=IMPORTRANGE(""https://docs.google.com/spreadsheets/d/1kGrh75X1cNR1D7_FcY9zMnHP8iP"&amp;"O4M5RCRjy6nZY0TY/edit#gid=1248694442"",""Table 3: 1st-line HC!A5:A111"")),"""")"),"")</f>
        <v/>
      </c>
      <c r="AQ51" s="14" t="str">
        <f>IFERROR(__xludf.DUMMYFUNCTION("IFNA(FILTER(IMPORTRANGE(""https://docs.google.com/spreadsheets/d/1kGrh75X1cNR1D7_FcY9zMnHP8iPO4M5RCRjy6nZY0TY/edit#gid=1248694442"",""Table 2: MMC!T5:T114""), $A51=IMPORTRANGE(""https://docs.google.com/spreadsheets/d/1kGrh75X1cNR1D7_FcY9zMnHP8iPO4M5RCRjy6"&amp;"nZY0TY/edit#gid=1248694442"",""Table 2: MMC!A5:A114"")),"""")"),"")</f>
        <v/>
      </c>
      <c r="AR51" s="14" t="str">
        <f>IFERROR(__xludf.DUMMYFUNCTION("IFNA(FILTER(IMPORTRANGE(""https://docs.google.com/spreadsheets/d/1kGrh75X1cNR1D7_FcY9zMnHP8iPO4M5RCRjy6nZY0TY/edit#gid=1248694442"",""Table 2: MMC!U5:U114""), $A51=IMPORTRANGE(""https://docs.google.com/spreadsheets/d/1kGrh75X1cNR1D7_FcY9zMnHP8iPO4M5RCRjy6"&amp;"nZY0TY/edit#gid=1248694442"",""Table 2: MMC!A5:A114"")),"""")"),"")</f>
        <v/>
      </c>
      <c r="AS51" s="14" t="str">
        <f>IFERROR(__xludf.DUMMYFUNCTION("IFNA(FILTER(IMPORTRANGE(""https://docs.google.com/spreadsheets/d/1kGrh75X1cNR1D7_FcY9zMnHP8iPO4M5RCRjy6nZY0TY/edit#gid=1248694442"",""Table 2: MMC!V5:V114""), $A51=IMPORTRANGE(""https://docs.google.com/spreadsheets/d/1kGrh75X1cNR1D7_FcY9zMnHP8iPO4M5RCRjy6"&amp;"nZY0TY/edit#gid=1248694442"",""Table 2: MMC!A5:A114"")),"""")"),"")</f>
        <v/>
      </c>
      <c r="AT51" s="4" t="str">
        <f>IFERROR(__xludf.DUMMYFUNCTION("IFNA(FILTER(IMPORTRANGE(""https://docs.google.com/spreadsheets/d/1kGrh75X1cNR1D7_FcY9zMnHP8iPO4M5RCRjy6nZY0TY/edit#gid=1248694442"",""Table 2: MMC!W5:W114""), $A51=IMPORTRANGE(""https://docs.google.com/spreadsheets/d/1kGrh75X1cNR1D7_FcY9zMnHP8iPO4M5RCRjy6"&amp;"nZY0TY/edit#gid=1248694442"",""Table 2: MMC!A5:A114"")),"""")"),"")</f>
        <v/>
      </c>
    </row>
    <row r="52">
      <c r="A52" s="4" t="str">
        <f>IFERROR(__xludf.DUMMYFUNCTION("""COMPUTED_VALUE"""),"ID 102")</f>
        <v>ID 102</v>
      </c>
      <c r="B52" s="20" t="str">
        <f>IFERROR(__xludf.DUMMYFUNCTION("IFNA(FILTER(IMPORTRANGE(""https://docs.google.com/spreadsheets/d/1kGrh75X1cNR1D7_FcY9zMnHP8iPO4M5RCRjy6nZY0TY/edit#gid=1248694442"",""Table 3: 1st-line HC!BK5:BK111""), $A52=IMPORTRANGE(""https://docs.google.com/spreadsheets/d/1kGrh75X1cNR1D7_FcY9zMnHP8iP"&amp;"O4M5RCRjy6nZY0TY/edit#gid=1248694442"",""Table 3: 1st-line HC!A5:A111"")),"""")"),"")</f>
        <v/>
      </c>
      <c r="C52" s="20" t="str">
        <f>IFERROR(__xludf.DUMMYFUNCTION("IFNA(FILTER(IMPORTRANGE(""https://docs.google.com/spreadsheets/d/1kGrh75X1cNR1D7_FcY9zMnHP8iPO4M5RCRjy6nZY0TY/edit#gid=1248694442"",""Subgroup 1: Fr ~ Tx!B3:B20""), $A52=IMPORTRANGE(""https://docs.google.com/spreadsheets/d/1kGrh75X1cNR1D7_FcY9zMnHP8iPO4M5"&amp;"RCRjy6nZY0TY/edit#gid=1248694442"",""Subgroup 1: Fr ~ Tx!A3:A20"")),"""")"),"")</f>
        <v/>
      </c>
      <c r="D52" s="20" t="str">
        <f>IFERROR(__xludf.DUMMYFUNCTION("IFNA(FILTER(IMPORTRANGE(""https://docs.google.com/spreadsheets/d/1kGrh75X1cNR1D7_FcY9zMnHP8iPO4M5RCRjy6nZY0TY/edit#gid=1248694442"",""Subgroup 1: Fr ~ Tx!C3:C20""), $A52=IMPORTRANGE(""https://docs.google.com/spreadsheets/d/1kGrh75X1cNR1D7_FcY9zMnHP8iPO4M5"&amp;"RCRjy6nZY0TY/edit#gid=1248694442"",""Subgroup 1: Fr ~ Tx!A3:A20"")),"""")"),"")</f>
        <v/>
      </c>
      <c r="E52" s="20" t="str">
        <f>IFERROR(__xludf.DUMMYFUNCTION("IFNA(FILTER(IMPORTRANGE(""https://docs.google.com/spreadsheets/d/1kGrh75X1cNR1D7_FcY9zMnHP8iPO4M5RCRjy6nZY0TY/edit#gid=1248694442"",""Subgroup 1: Fr ~ Tx!D3:D20""), $A52=IMPORTRANGE(""https://docs.google.com/spreadsheets/d/1kGrh75X1cNR1D7_FcY9zMnHP8iPO4M5"&amp;"RCRjy6nZY0TY/edit#gid=1248694442"",""Subgroup 1: Fr ~ Tx!A3:A20"")),"""")"),"")</f>
        <v/>
      </c>
      <c r="F52" s="20" t="str">
        <f>IFERROR(__xludf.DUMMYFUNCTION("IFNA(FILTER(IMPORTRANGE(""https://docs.google.com/spreadsheets/d/1kGrh75X1cNR1D7_FcY9zMnHP8iPO4M5RCRjy6nZY0TY/edit#gid=1248694442"",""Subgroup 1: Fr ~ Tx!E3:E20""), $A52=IMPORTRANGE(""https://docs.google.com/spreadsheets/d/1kGrh75X1cNR1D7_FcY9zMnHP8iPO4M5"&amp;"RCRjy6nZY0TY/edit#gid=1248694442"",""Subgroup 1: Fr ~ Tx!A3:A20"")),"""")"),"")</f>
        <v/>
      </c>
      <c r="G52" s="20" t="str">
        <f>IFERROR(__xludf.DUMMYFUNCTION("IFNA(FILTER(IMPORTRANGE(""https://docs.google.com/spreadsheets/d/1kGrh75X1cNR1D7_FcY9zMnHP8iPO4M5RCRjy6nZY0TY/edit#gid=1248694442"",""Subgroup 1: Fr ~ Tx!F3:F20""), $A52=IMPORTRANGE(""https://docs.google.com/spreadsheets/d/1kGrh75X1cNR1D7_FcY9zMnHP8iPO4M5"&amp;"RCRjy6nZY0TY/edit#gid=1248694442"",""Subgroup 1: Fr ~ Tx!A3:A20"")),"""")"),"")</f>
        <v/>
      </c>
      <c r="H52" s="20" t="str">
        <f>IFERROR(__xludf.DUMMYFUNCTION("IFNA(FILTER(IMPORTRANGE(""https://docs.google.com/spreadsheets/d/1kGrh75X1cNR1D7_FcY9zMnHP8iPO4M5RCRjy6nZY0TY/edit#gid=1248694442"",""Table 3: 1st-line HC!BD5:BD111""), $A52=IMPORTRANGE(""https://docs.google.com/spreadsheets/d/1kGrh75X1cNR1D7_FcY9zMnHP8iP"&amp;"O4M5RCRjy6nZY0TY/edit#gid=1248694442"",""Table 3: 1st-line HC!A5:A111"")),"""")"),"")</f>
        <v/>
      </c>
      <c r="I52" s="20" t="str">
        <f>IFERROR(__xludf.DUMMYFUNCTION("IFNA(FILTER(IMPORTRANGE(""https://docs.google.com/spreadsheets/d/1kGrh75X1cNR1D7_FcY9zMnHP8iPO4M5RCRjy6nZY0TY/edit#gid=1248694442"",""Subgroup 5: Tf ~ Tx!B3:B8""), $A52=IMPORTRANGE(""https://docs.google.com/spreadsheets/d/1kGrh75X1cNR1D7_FcY9zMnHP8iPO4M5R"&amp;"CRjy6nZY0TY/edit#gid=1248694442"",""Subgroup 5: Tf ~ Tx!A3:A8"")),"""")"),"")</f>
        <v/>
      </c>
      <c r="J52" s="20" t="str">
        <f>IFERROR(__xludf.DUMMYFUNCTION("IFNA(FILTER(IMPORTRANGE(""https://docs.google.com/spreadsheets/d/1kGrh75X1cNR1D7_FcY9zMnHP8iPO4M5RCRjy6nZY0TY/edit#gid=1248694442"",""Subgroup 5: Tf ~ Tx!C3:C8""), $A52=IMPORTRANGE(""https://docs.google.com/spreadsheets/d/1kGrh75X1cNR1D7_FcY9zMnHP8iPO4M5R"&amp;"CRjy6nZY0TY/edit#gid=1248694442"",""Subgroup 5: Tf ~ Tx!A3:A8"")),"""")"),"")</f>
        <v/>
      </c>
      <c r="K52" s="20" t="str">
        <f>IFERROR(__xludf.DUMMYFUNCTION("IFNA(FILTER(IMPORTRANGE(""https://docs.google.com/spreadsheets/d/1kGrh75X1cNR1D7_FcY9zMnHP8iPO4M5RCRjy6nZY0TY/edit#gid=1248694442"",""Subgroup 5: Tf ~ Tx!D3:D8""), $A52=IMPORTRANGE(""https://docs.google.com/spreadsheets/d/1kGrh75X1cNR1D7_FcY9zMnHP8iPO4M5R"&amp;"CRjy6nZY0TY/edit#gid=1248694442"",""Subgroup 5: Tf ~ Tx!A3:A8"")),"""")"),"")</f>
        <v/>
      </c>
      <c r="L52" s="20" t="str">
        <f>IFERROR(__xludf.DUMMYFUNCTION("IFNA(FILTER(IMPORTRANGE(""https://docs.google.com/spreadsheets/d/1kGrh75X1cNR1D7_FcY9zMnHP8iPO4M5RCRjy6nZY0TY/edit#gid=1248694442"",""Subgroup 5: Tf ~ Tx!E3:E8""), $A52=IMPORTRANGE(""https://docs.google.com/spreadsheets/d/1kGrh75X1cNR1D7_FcY9zMnHP8iPO4M5R"&amp;"CRjy6nZY0TY/edit#gid=1248694442"",""Subgroup 5: Tf ~ Tx!A3:A8"")),"""")"),"")</f>
        <v/>
      </c>
      <c r="M52" s="20" t="str">
        <f>IFERROR(__xludf.DUMMYFUNCTION("IFNA(FILTER(IMPORTRANGE(""https://docs.google.com/spreadsheets/d/1kGrh75X1cNR1D7_FcY9zMnHP8iPO4M5RCRjy6nZY0TY/edit#gid=1248694442"",""Subgroup 5: Tf ~ Tx!F3:F8""), $A52=IMPORTRANGE(""https://docs.google.com/spreadsheets/d/1kGrh75X1cNR1D7_FcY9zMnHP8iPO4M5R"&amp;"CRjy6nZY0TY/edit#gid=1248694442"",""Subgroup 5: Tf ~ Tx!A3:A8"")),"""")"),"")</f>
        <v/>
      </c>
      <c r="N52" s="20" t="str">
        <f>IFERROR(__xludf.DUMMYFUNCTION("IFNA(FILTER(IMPORTRANGE(""https://docs.google.com/spreadsheets/d/1kGrh75X1cNR1D7_FcY9zMnHP8iPO4M5RCRjy6nZY0TY/edit#gid=1248694442"",""Table 3: 1st-line HC!BE5:BE111""), $A52=IMPORTRANGE(""https://docs.google.com/spreadsheets/d/1kGrh75X1cNR1D7_FcY9zMnHP8iP"&amp;"O4M5RCRjy6nZY0TY/edit#gid=1248694442"",""Table 3: 1st-line HC!A5:A111"")),"""")"),"")</f>
        <v/>
      </c>
      <c r="O52" s="20" t="str">
        <f>IFERROR(__xludf.DUMMYFUNCTION("IFNA(FILTER(IMPORTRANGE(""https://docs.google.com/spreadsheets/d/1kGrh75X1cNR1D7_FcY9zMnHP8iPO4M5RCRjy6nZY0TY/edit#gid=1248694442"",""Table 3: 1st-line HC!BF5:BF111""), $A52=IMPORTRANGE(""https://docs.google.com/spreadsheets/d/1kGrh75X1cNR1D7_FcY9zMnHP8iP"&amp;"O4M5RCRjy6nZY0TY/edit#gid=1248694442"",""Table 3: 1st-line HC!A5:A111"")),"""")"),"")</f>
        <v/>
      </c>
      <c r="P52" s="20" t="str">
        <f>IFERROR(__xludf.DUMMYFUNCTION("IFNA(FILTER(IMPORTRANGE(""https://docs.google.com/spreadsheets/d/1kGrh75X1cNR1D7_FcY9zMnHP8iPO4M5RCRjy6nZY0TY/edit#gid=1248694442"",""Table 3: 1st-line HC!BG5:BG111""), $A52=IMPORTRANGE(""https://docs.google.com/spreadsheets/d/1kGrh75X1cNR1D7_FcY9zMnHP8iP"&amp;"O4M5RCRjy6nZY0TY/edit#gid=1248694442"",""Table 3: 1st-line HC!A5:A111"")),"""")"),"")</f>
        <v/>
      </c>
      <c r="Q52" s="21" t="str">
        <f>IFERROR(__xludf.DUMMYFUNCTION("IFNA(FILTER(IMPORTRANGE(""https://docs.google.com/spreadsheets/d/1kGrh75X1cNR1D7_FcY9zMnHP8iPO4M5RCRjy6nZY0TY/edit#gid=1248694442"",""Table 3: 1st-line HC!BH5:BH111""), $A52=IMPORTRANGE(""https://docs.google.com/spreadsheets/d/1kGrh75X1cNR1D7_FcY9zMnHP8iP"&amp;"O4M5RCRjy6nZY0TY/edit#gid=1248694442"",""Table 3: 1st-line HC!A5:A111"")),"""")"),"")</f>
        <v/>
      </c>
      <c r="R52" s="19" t="str">
        <f>IFERROR(__xludf.DUMMYFUNCTION("IFNA(FILTER(IMPORTRANGE(""https://docs.google.com/spreadsheets/d/1kGrh75X1cNR1D7_FcY9zMnHP8iPO4M5RCRjy6nZY0TY/edit#gid=1248694442"",""Table 3: 1st-line HC!AJ5:AJ111""), $A52=IMPORTRANGE(""https://docs.google.com/spreadsheets/d/1kGrh75X1cNR1D7_FcY9zMnHP8iP"&amp;"O4M5RCRjy6nZY0TY/edit#gid=1248694442"",""Table 3: 1st-line HC!A5:A111"")),"""")"),"")</f>
        <v/>
      </c>
      <c r="S52" s="20" t="str">
        <f>IFERROR(__xludf.DUMMYFUNCTION("IFNA(FILTER(IMPORTRANGE(""https://docs.google.com/spreadsheets/d/1kGrh75X1cNR1D7_FcY9zMnHP8iPO4M5RCRjy6nZY0TY/edit#gid=1248694442"",""Subgroup 3: Mi ~ Tx!B3:B17""), $A52=IMPORTRANGE(""https://docs.google.com/spreadsheets/d/1kGrh75X1cNR1D7_FcY9zMnHP8iPO4M5"&amp;"RCRjy6nZY0TY/edit#gid=1248694442"",""Subgroup 3: Mi ~ Tx!A3:A17"")),"""")"),"")</f>
        <v/>
      </c>
      <c r="T52" s="20" t="str">
        <f>IFERROR(__xludf.DUMMYFUNCTION("IFNA(FILTER(IMPORTRANGE(""https://docs.google.com/spreadsheets/d/1kGrh75X1cNR1D7_FcY9zMnHP8iPO4M5RCRjy6nZY0TY/edit#gid=1248694442"",""Subgroup 3: Mi ~ Tx!C3:C17""), $A52=IMPORTRANGE(""https://docs.google.com/spreadsheets/d/1kGrh75X1cNR1D7_FcY9zMnHP8iPO4M5"&amp;"RCRjy6nZY0TY/edit#gid=1248694442"",""Subgroup 3: Mi ~ Tx!A3:A17"")),"""")"),"")</f>
        <v/>
      </c>
      <c r="U52" s="20" t="str">
        <f>IFERROR(__xludf.DUMMYFUNCTION("IFNA(FILTER(IMPORTRANGE(""https://docs.google.com/spreadsheets/d/1kGrh75X1cNR1D7_FcY9zMnHP8iPO4M5RCRjy6nZY0TY/edit#gid=1248694442"",""Subgroup 3: Mi ~ Tx!D3:D17""), $A52=IMPORTRANGE(""https://docs.google.com/spreadsheets/d/1kGrh75X1cNR1D7_FcY9zMnHP8iPO4M5"&amp;"RCRjy6nZY0TY/edit#gid=1248694442"",""Subgroup 3: Mi ~ Tx!A3:A17"")),"""")"),"")</f>
        <v/>
      </c>
      <c r="V52" s="20" t="str">
        <f>IFERROR(__xludf.DUMMYFUNCTION("IFNA(FILTER(IMPORTRANGE(""https://docs.google.com/spreadsheets/d/1kGrh75X1cNR1D7_FcY9zMnHP8iPO4M5RCRjy6nZY0TY/edit#gid=1248694442"",""Subgroup 3: Mi ~ Tx!E3:E17""), $A52=IMPORTRANGE(""https://docs.google.com/spreadsheets/d/1kGrh75X1cNR1D7_FcY9zMnHP8iPO4M5"&amp;"RCRjy6nZY0TY/edit#gid=1248694442"",""Subgroup 3: Mi ~ Tx!A3:A17"")),"""")"),"")</f>
        <v/>
      </c>
      <c r="W52" s="20" t="str">
        <f>IFERROR(__xludf.DUMMYFUNCTION("IFNA(FILTER(IMPORTRANGE(""https://docs.google.com/spreadsheets/d/1kGrh75X1cNR1D7_FcY9zMnHP8iPO4M5RCRjy6nZY0TY/edit#gid=1248694442"",""Subgroup 3: Mi ~ Tx!F3:F17""), $A52=IMPORTRANGE(""https://docs.google.com/spreadsheets/d/1kGrh75X1cNR1D7_FcY9zMnHP8iPO4M5"&amp;"RCRjy6nZY0TY/edit#gid=1248694442"",""Subgroup 3: Mi ~ Tx!A3:A17"")),"""")"),"")</f>
        <v/>
      </c>
      <c r="X52" s="19" t="str">
        <f>IFERROR(__xludf.DUMMYFUNCTION("IFNA(FILTER(IMPORTRANGE(""https://docs.google.com/spreadsheets/d/1kGrh75X1cNR1D7_FcY9zMnHP8iPO4M5RCRjy6nZY0TY/edit#gid=1248694442"",""Table 3: 1st-line HC!AK5:AK111""), $A52=IMPORTRANGE(""https://docs.google.com/spreadsheets/d/1kGrh75X1cNR1D7_FcY9zMnHP8iP"&amp;"O4M5RCRjy6nZY0TY/edit#gid=1248694442"",""Table 3: 1st-line HC!A5:A111"")),"""")"),"")</f>
        <v/>
      </c>
      <c r="Y52" s="20" t="str">
        <f>IFERROR(__xludf.DUMMYFUNCTION("IFNA(FILTER(IMPORTRANGE(""https://docs.google.com/spreadsheets/d/1kGrh75X1cNR1D7_FcY9zMnHP8iPO4M5RCRjy6nZY0TY/edit#gid=1248694442"",""Subgroup 4: Mp ~ Tx!B3:B20""), $A52=IMPORTRANGE(""https://docs.google.com/spreadsheets/d/1kGrh75X1cNR1D7_FcY9zMnHP8iPO4M5"&amp;"RCRjy6nZY0TY/edit#gid=1248694442"",""Subgroup 4: Mp ~ Tx!A3:A20"")),"""")"),"")</f>
        <v/>
      </c>
      <c r="Z52" s="20" t="str">
        <f>IFERROR(__xludf.DUMMYFUNCTION("IFNA(FILTER(IMPORTRANGE(""https://docs.google.com/spreadsheets/d/1kGrh75X1cNR1D7_FcY9zMnHP8iPO4M5RCRjy6nZY0TY/edit#gid=1248694442"",""Subgroup 4: Mp ~ Tx!C3:C20""), $A52=IMPORTRANGE(""https://docs.google.com/spreadsheets/d/1kGrh75X1cNR1D7_FcY9zMnHP8iPO4M5"&amp;"RCRjy6nZY0TY/edit#gid=1248694442"",""Subgroup 4: Mp ~ Tx!A3:A20"")),"""")"),"")</f>
        <v/>
      </c>
      <c r="AA52" s="20" t="str">
        <f>IFERROR(__xludf.DUMMYFUNCTION("IFNA(FILTER(IMPORTRANGE(""https://docs.google.com/spreadsheets/d/1kGrh75X1cNR1D7_FcY9zMnHP8iPO4M5RCRjy6nZY0TY/edit#gid=1248694442"",""Subgroup 4: Mp ~ Tx!D3:D20""), $A52=IMPORTRANGE(""https://docs.google.com/spreadsheets/d/1kGrh75X1cNR1D7_FcY9zMnHP8iPO4M5"&amp;"RCRjy6nZY0TY/edit#gid=1248694442"",""Subgroup 4: Mp ~ Tx!A3:A20"")),"""")"),"")</f>
        <v/>
      </c>
      <c r="AB52" s="20" t="str">
        <f>IFERROR(__xludf.DUMMYFUNCTION("IFNA(FILTER(IMPORTRANGE(""https://docs.google.com/spreadsheets/d/1kGrh75X1cNR1D7_FcY9zMnHP8iPO4M5RCRjy6nZY0TY/edit#gid=1248694442"",""Subgroup 4: Mp ~ Tx!E3:E20""), $A52=IMPORTRANGE(""https://docs.google.com/spreadsheets/d/1kGrh75X1cNR1D7_FcY9zMnHP8iPO4M5"&amp;"RCRjy6nZY0TY/edit#gid=1248694442"",""Subgroup 4: Mp ~ Tx!A3:A20"")),"""")"),"")</f>
        <v/>
      </c>
      <c r="AC52" s="20" t="str">
        <f>IFERROR(__xludf.DUMMYFUNCTION("IFNA(FILTER(IMPORTRANGE(""https://docs.google.com/spreadsheets/d/1kGrh75X1cNR1D7_FcY9zMnHP8iPO4M5RCRjy6nZY0TY/edit#gid=1248694442"",""Subgroup 4: Mp ~ Tx!F3:F20""), $A52=IMPORTRANGE(""https://docs.google.com/spreadsheets/d/1kGrh75X1cNR1D7_FcY9zMnHP8iPO4M5"&amp;"RCRjy6nZY0TY/edit#gid=1248694442"",""Subgroup 4: Mp ~ Tx!A3:A20"")),"""")"),"")</f>
        <v/>
      </c>
      <c r="AD52" s="22" t="str">
        <f>IFERROR(__xludf.DUMMYFUNCTION("IFNA(FILTER(IMPORTRANGE(""https://docs.google.com/spreadsheets/d/1kGrh75X1cNR1D7_FcY9zMnHP8iPO4M5RCRjy6nZY0TY/edit#gid=1248694442"",""Table 3: 1st-line HC!AL5:AL111""), $A52=IMPORTRANGE(""https://docs.google.com/spreadsheets/d/1kGrh75X1cNR1D7_FcY9zMnHP8iP"&amp;"O4M5RCRjy6nZY0TY/edit#gid=1248694442"",""Table 3: 1st-line HC!A5:A111"")),"""")"),"")</f>
        <v/>
      </c>
      <c r="AE52" s="20" t="str">
        <f>IFERROR(__xludf.DUMMYFUNCTION("IFNA(FILTER(IMPORTRANGE(""https://docs.google.com/spreadsheets/d/1kGrh75X1cNR1D7_FcY9zMnHP8iPO4M5RCRjy6nZY0TY/edit#gid=1248694442"",""Table 3: 1st-line HC!BJ5:BJ111""), $A52=IMPORTRANGE(""https://docs.google.com/spreadsheets/d/1kGrh75X1cNR1D7_FcY9zMnHP8iP"&amp;"O4M5RCRjy6nZY0TY/edit#gid=1248694442"",""Table 3: 1st-line HC!A5:A111"")),"""")"),"")</f>
        <v/>
      </c>
      <c r="AF52" s="20" t="str">
        <f>IFERROR(__xludf.DUMMYFUNCTION("IFNA(FILTER(IMPORTRANGE(""https://docs.google.com/spreadsheets/d/1kGrh75X1cNR1D7_FcY9zMnHP8iPO4M5RCRjy6nZY0TY/edit#gid=1248694442"",""Subgroup 2: Cr ~ Tx!B3:B23""), $A52=IMPORTRANGE(""https://docs.google.com/spreadsheets/d/1kGrh75X1cNR1D7_FcY9zMnHP8iPO4M5"&amp;"RCRjy6nZY0TY/edit#gid=1248694442"",""Subgroup 2: Cr ~ Tx!A3:A23"")),"""")"),"")</f>
        <v/>
      </c>
      <c r="AG52" s="20" t="str">
        <f>IFERROR(__xludf.DUMMYFUNCTION("IFNA(FILTER(IMPORTRANGE(""https://docs.google.com/spreadsheets/d/1kGrh75X1cNR1D7_FcY9zMnHP8iPO4M5RCRjy6nZY0TY/edit#gid=1248694442"",""Subgroup 2: Cr ~ Tx!C3:C23""), $A52=IMPORTRANGE(""https://docs.google.com/spreadsheets/d/1kGrh75X1cNR1D7_FcY9zMnHP8iPO4M5"&amp;"RCRjy6nZY0TY/edit#gid=1248694442"",""Subgroup 2: Cr ~ Tx!A3:A23"")),"""")"),"")</f>
        <v/>
      </c>
      <c r="AH52" s="20" t="str">
        <f>IFERROR(__xludf.DUMMYFUNCTION("IFNA(FILTER(IMPORTRANGE(""https://docs.google.com/spreadsheets/d/1kGrh75X1cNR1D7_FcY9zMnHP8iPO4M5RCRjy6nZY0TY/edit#gid=1248694442"",""Subgroup 2: Cr ~ Tx!D3:D23""), $A52=IMPORTRANGE(""https://docs.google.com/spreadsheets/d/1kGrh75X1cNR1D7_FcY9zMnHP8iPO4M5"&amp;"RCRjy6nZY0TY/edit#gid=1248694442"",""Subgroup 2: Cr ~ Tx!A3:A23"")),"""")"),"")</f>
        <v/>
      </c>
      <c r="AI52" s="20" t="str">
        <f>IFERROR(__xludf.DUMMYFUNCTION("IFNA(FILTER(IMPORTRANGE(""https://docs.google.com/spreadsheets/d/1kGrh75X1cNR1D7_FcY9zMnHP8iPO4M5RCRjy6nZY0TY/edit#gid=1248694442"",""Subgroup 2: Cr ~ Tx!E3:E23""), $A52=IMPORTRANGE(""https://docs.google.com/spreadsheets/d/1kGrh75X1cNR1D7_FcY9zMnHP8iPO4M5"&amp;"RCRjy6nZY0TY/edit#gid=1248694442"",""Subgroup 2: Cr ~ Tx!A3:A23"")),"""")"),"")</f>
        <v/>
      </c>
      <c r="AJ52" s="20" t="str">
        <f>IFERROR(__xludf.DUMMYFUNCTION("IFNA(FILTER(IMPORTRANGE(""https://docs.google.com/spreadsheets/d/1kGrh75X1cNR1D7_FcY9zMnHP8iPO4M5RCRjy6nZY0TY/edit#gid=1248694442"",""Subgroup 2: Cr ~ Tx!F3:F23""), $A52=IMPORTRANGE(""https://docs.google.com/spreadsheets/d/1kGrh75X1cNR1D7_FcY9zMnHP8iPO4M5"&amp;"RCRjy6nZY0TY/edit#gid=1248694442"",""Subgroup 2: Cr ~ Tx!A3:A23"")),"""")"),"")</f>
        <v/>
      </c>
      <c r="AK52" s="14" t="str">
        <f>IFERROR(__xludf.DUMMYFUNCTION("IFNA(FILTER(IMPORTRANGE(""https://docs.google.com/spreadsheets/d/1kGrh75X1cNR1D7_FcY9zMnHP8iPO4M5RCRjy6nZY0TY/edit#gid=1248694442"",""Table 4: 2nd-line HC or more!M5:M85""), $A52=IMPORTRANGE(""https://docs.google.com/spreadsheets/d/1kGrh75X1cNR1D7_FcY9zMn"&amp;"HP8iPO4M5RCRjy6nZY0TY/edit#gid=1248694442"",""Table 4: 2nd-line HC or more!A5:A85"")),"""")"),"")</f>
        <v/>
      </c>
      <c r="AL52" s="14" t="str">
        <f>IFERROR(__xludf.DUMMYFUNCTION("IFNA(FILTER(IMPORTRANGE(""https://docs.google.com/spreadsheets/d/1kGrh75X1cNR1D7_FcY9zMnHP8iPO4M5RCRjy6nZY0TY/edit#gid=1248694442"",""Table 4: 2nd-line HC or more!N5:N85""), $A52=IMPORTRANGE(""https://docs.google.com/spreadsheets/d/1kGrh75X1cNR1D7_FcY9zMn"&amp;"HP8iPO4M5RCRjy6nZY0TY/edit#gid=1248694442"",""Table 4: 2nd-line HC or more!A5:A85"")),"""")"),"")</f>
        <v/>
      </c>
      <c r="AM52" s="14" t="str">
        <f>IFERROR(__xludf.DUMMYFUNCTION("IFNA(FILTER(IMPORTRANGE(""https://docs.google.com/spreadsheets/d/1kGrh75X1cNR1D7_FcY9zMnHP8iPO4M5RCRjy6nZY0TY/edit#gid=1248694442"",""Table 4: 2nd-line HC or more!O5:O85""), $A52=IMPORTRANGE(""https://docs.google.com/spreadsheets/d/1kGrh75X1cNR1D7_FcY9zMn"&amp;"HP8iPO4M5RCRjy6nZY0TY/edit#gid=1248694442"",""Table 4: 2nd-line HC or more!A5:A85"")),"""")"),"")</f>
        <v/>
      </c>
      <c r="AN52" s="14" t="str">
        <f>IFERROR(__xludf.DUMMYFUNCTION("IFNA(FILTER(IMPORTRANGE(""https://docs.google.com/spreadsheets/d/1kGrh75X1cNR1D7_FcY9zMnHP8iPO4M5RCRjy6nZY0TY/edit#gid=1248694442"",""Table 3: 1st-line HC!AP5:AP111""), $A52=IMPORTRANGE(""https://docs.google.com/spreadsheets/d/1kGrh75X1cNR1D7_FcY9zMnHP8iP"&amp;"O4M5RCRjy6nZY0TY/edit#gid=1248694442"",""Table 3: 1st-line HC!A5:A111"")),"""")"),"")</f>
        <v/>
      </c>
      <c r="AO52" s="14" t="str">
        <f>IFERROR(__xludf.DUMMYFUNCTION("IFNA(FILTER(IMPORTRANGE(""https://docs.google.com/spreadsheets/d/1kGrh75X1cNR1D7_FcY9zMnHP8iPO4M5RCRjy6nZY0TY/edit#gid=1248694442"",""Table 3: 1st-line HC!AO5:AO111""), $A52=IMPORTRANGE(""https://docs.google.com/spreadsheets/d/1kGrh75X1cNR1D7_FcY9zMnHP8iP"&amp;"O4M5RCRjy6nZY0TY/edit#gid=1248694442"",""Table 3: 1st-line HC!A5:A111"")),"""")"),"")</f>
        <v/>
      </c>
      <c r="AP52" s="14">
        <f>IFERROR(__xludf.DUMMYFUNCTION("IFNA(FILTER(IMPORTRANGE(""https://docs.google.com/spreadsheets/d/1kGrh75X1cNR1D7_FcY9zMnHP8iPO4M5RCRjy6nZY0TY/edit#gid=1248694442"",""Table 3: 1st-line HC!AQ5:AQ111""), $A52=IMPORTRANGE(""https://docs.google.com/spreadsheets/d/1kGrh75X1cNR1D7_FcY9zMnHP8iP"&amp;"O4M5RCRjy6nZY0TY/edit#gid=1248694442"",""Table 3: 1st-line HC!A5:A111"")),"""")"),14.0)</f>
        <v>14</v>
      </c>
      <c r="AQ52" s="14" t="str">
        <f>IFERROR(__xludf.DUMMYFUNCTION("IFNA(FILTER(IMPORTRANGE(""https://docs.google.com/spreadsheets/d/1kGrh75X1cNR1D7_FcY9zMnHP8iPO4M5RCRjy6nZY0TY/edit#gid=1248694442"",""Table 2: MMC!T5:T114""), $A52=IMPORTRANGE(""https://docs.google.com/spreadsheets/d/1kGrh75X1cNR1D7_FcY9zMnHP8iPO4M5RCRjy6"&amp;"nZY0TY/edit#gid=1248694442"",""Table 2: MMC!A5:A114"")),"""")"),"")</f>
        <v/>
      </c>
      <c r="AR52" s="14" t="str">
        <f>IFERROR(__xludf.DUMMYFUNCTION("IFNA(FILTER(IMPORTRANGE(""https://docs.google.com/spreadsheets/d/1kGrh75X1cNR1D7_FcY9zMnHP8iPO4M5RCRjy6nZY0TY/edit#gid=1248694442"",""Table 2: MMC!U5:U114""), $A52=IMPORTRANGE(""https://docs.google.com/spreadsheets/d/1kGrh75X1cNR1D7_FcY9zMnHP8iPO4M5RCRjy6"&amp;"nZY0TY/edit#gid=1248694442"",""Table 2: MMC!A5:A114"")),"""")"),"")</f>
        <v/>
      </c>
      <c r="AS52" s="14" t="str">
        <f>IFERROR(__xludf.DUMMYFUNCTION("IFNA(FILTER(IMPORTRANGE(""https://docs.google.com/spreadsheets/d/1kGrh75X1cNR1D7_FcY9zMnHP8iPO4M5RCRjy6nZY0TY/edit#gid=1248694442"",""Table 2: MMC!V5:V114""), $A52=IMPORTRANGE(""https://docs.google.com/spreadsheets/d/1kGrh75X1cNR1D7_FcY9zMnHP8iPO4M5RCRjy6"&amp;"nZY0TY/edit#gid=1248694442"",""Table 2: MMC!A5:A114"")),"""")"),"")</f>
        <v/>
      </c>
      <c r="AT52" s="4" t="str">
        <f>IFERROR(__xludf.DUMMYFUNCTION("IFNA(FILTER(IMPORTRANGE(""https://docs.google.com/spreadsheets/d/1kGrh75X1cNR1D7_FcY9zMnHP8iPO4M5RCRjy6nZY0TY/edit#gid=1248694442"",""Table 2: MMC!W5:W114""), $A52=IMPORTRANGE(""https://docs.google.com/spreadsheets/d/1kGrh75X1cNR1D7_FcY9zMnHP8iPO4M5RCRjy6"&amp;"nZY0TY/edit#gid=1248694442"",""Table 2: MMC!A5:A114"")),"""")"),"")</f>
        <v/>
      </c>
    </row>
    <row r="53">
      <c r="A53" s="4" t="str">
        <f>IFERROR(__xludf.DUMMYFUNCTION("""COMPUTED_VALUE"""),"ID 104")</f>
        <v>ID 104</v>
      </c>
      <c r="B53" s="20" t="str">
        <f>IFERROR(__xludf.DUMMYFUNCTION("IFNA(FILTER(IMPORTRANGE(""https://docs.google.com/spreadsheets/d/1kGrh75X1cNR1D7_FcY9zMnHP8iPO4M5RCRjy6nZY0TY/edit#gid=1248694442"",""Table 3: 1st-line HC!BK5:BK111""), $A53=IMPORTRANGE(""https://docs.google.com/spreadsheets/d/1kGrh75X1cNR1D7_FcY9zMnHP8iP"&amp;"O4M5RCRjy6nZY0TY/edit#gid=1248694442"",""Table 3: 1st-line HC!A5:A111"")),"""")"),"")</f>
        <v/>
      </c>
      <c r="C53" s="20" t="str">
        <f>IFERROR(__xludf.DUMMYFUNCTION("IFNA(FILTER(IMPORTRANGE(""https://docs.google.com/spreadsheets/d/1kGrh75X1cNR1D7_FcY9zMnHP8iPO4M5RCRjy6nZY0TY/edit#gid=1248694442"",""Subgroup 1: Fr ~ Tx!B3:B20""), $A53=IMPORTRANGE(""https://docs.google.com/spreadsheets/d/1kGrh75X1cNR1D7_FcY9zMnHP8iPO4M5"&amp;"RCRjy6nZY0TY/edit#gid=1248694442"",""Subgroup 1: Fr ~ Tx!A3:A20"")),"""")"),"")</f>
        <v/>
      </c>
      <c r="D53" s="20" t="str">
        <f>IFERROR(__xludf.DUMMYFUNCTION("IFNA(FILTER(IMPORTRANGE(""https://docs.google.com/spreadsheets/d/1kGrh75X1cNR1D7_FcY9zMnHP8iPO4M5RCRjy6nZY0TY/edit#gid=1248694442"",""Subgroup 1: Fr ~ Tx!C3:C20""), $A53=IMPORTRANGE(""https://docs.google.com/spreadsheets/d/1kGrh75X1cNR1D7_FcY9zMnHP8iPO4M5"&amp;"RCRjy6nZY0TY/edit#gid=1248694442"",""Subgroup 1: Fr ~ Tx!A3:A20"")),"""")"),"")</f>
        <v/>
      </c>
      <c r="E53" s="20" t="str">
        <f>IFERROR(__xludf.DUMMYFUNCTION("IFNA(FILTER(IMPORTRANGE(""https://docs.google.com/spreadsheets/d/1kGrh75X1cNR1D7_FcY9zMnHP8iPO4M5RCRjy6nZY0TY/edit#gid=1248694442"",""Subgroup 1: Fr ~ Tx!D3:D20""), $A53=IMPORTRANGE(""https://docs.google.com/spreadsheets/d/1kGrh75X1cNR1D7_FcY9zMnHP8iPO4M5"&amp;"RCRjy6nZY0TY/edit#gid=1248694442"",""Subgroup 1: Fr ~ Tx!A3:A20"")),"""")"),"")</f>
        <v/>
      </c>
      <c r="F53" s="20" t="str">
        <f>IFERROR(__xludf.DUMMYFUNCTION("IFNA(FILTER(IMPORTRANGE(""https://docs.google.com/spreadsheets/d/1kGrh75X1cNR1D7_FcY9zMnHP8iPO4M5RCRjy6nZY0TY/edit#gid=1248694442"",""Subgroup 1: Fr ~ Tx!E3:E20""), $A53=IMPORTRANGE(""https://docs.google.com/spreadsheets/d/1kGrh75X1cNR1D7_FcY9zMnHP8iPO4M5"&amp;"RCRjy6nZY0TY/edit#gid=1248694442"",""Subgroup 1: Fr ~ Tx!A3:A20"")),"""")"),"")</f>
        <v/>
      </c>
      <c r="G53" s="20" t="str">
        <f>IFERROR(__xludf.DUMMYFUNCTION("IFNA(FILTER(IMPORTRANGE(""https://docs.google.com/spreadsheets/d/1kGrh75X1cNR1D7_FcY9zMnHP8iPO4M5RCRjy6nZY0TY/edit#gid=1248694442"",""Subgroup 1: Fr ~ Tx!F3:F20""), $A53=IMPORTRANGE(""https://docs.google.com/spreadsheets/d/1kGrh75X1cNR1D7_FcY9zMnHP8iPO4M5"&amp;"RCRjy6nZY0TY/edit#gid=1248694442"",""Subgroup 1: Fr ~ Tx!A3:A20"")),"""")"),"")</f>
        <v/>
      </c>
      <c r="H53" s="20" t="str">
        <f>IFERROR(__xludf.DUMMYFUNCTION("IFNA(FILTER(IMPORTRANGE(""https://docs.google.com/spreadsheets/d/1kGrh75X1cNR1D7_FcY9zMnHP8iPO4M5RCRjy6nZY0TY/edit#gid=1248694442"",""Table 3: 1st-line HC!BD5:BD111""), $A53=IMPORTRANGE(""https://docs.google.com/spreadsheets/d/1kGrh75X1cNR1D7_FcY9zMnHP8iP"&amp;"O4M5RCRjy6nZY0TY/edit#gid=1248694442"",""Table 3: 1st-line HC!A5:A111"")),"""")"),"")</f>
        <v/>
      </c>
      <c r="I53" s="20" t="str">
        <f>IFERROR(__xludf.DUMMYFUNCTION("IFNA(FILTER(IMPORTRANGE(""https://docs.google.com/spreadsheets/d/1kGrh75X1cNR1D7_FcY9zMnHP8iPO4M5RCRjy6nZY0TY/edit#gid=1248694442"",""Subgroup 5: Tf ~ Tx!B3:B8""), $A53=IMPORTRANGE(""https://docs.google.com/spreadsheets/d/1kGrh75X1cNR1D7_FcY9zMnHP8iPO4M5R"&amp;"CRjy6nZY0TY/edit#gid=1248694442"",""Subgroup 5: Tf ~ Tx!A3:A8"")),"""")"),"")</f>
        <v/>
      </c>
      <c r="J53" s="20" t="str">
        <f>IFERROR(__xludf.DUMMYFUNCTION("IFNA(FILTER(IMPORTRANGE(""https://docs.google.com/spreadsheets/d/1kGrh75X1cNR1D7_FcY9zMnHP8iPO4M5RCRjy6nZY0TY/edit#gid=1248694442"",""Subgroup 5: Tf ~ Tx!C3:C8""), $A53=IMPORTRANGE(""https://docs.google.com/spreadsheets/d/1kGrh75X1cNR1D7_FcY9zMnHP8iPO4M5R"&amp;"CRjy6nZY0TY/edit#gid=1248694442"",""Subgroup 5: Tf ~ Tx!A3:A8"")),"""")"),"")</f>
        <v/>
      </c>
      <c r="K53" s="20" t="str">
        <f>IFERROR(__xludf.DUMMYFUNCTION("IFNA(FILTER(IMPORTRANGE(""https://docs.google.com/spreadsheets/d/1kGrh75X1cNR1D7_FcY9zMnHP8iPO4M5RCRjy6nZY0TY/edit#gid=1248694442"",""Subgroup 5: Tf ~ Tx!D3:D8""), $A53=IMPORTRANGE(""https://docs.google.com/spreadsheets/d/1kGrh75X1cNR1D7_FcY9zMnHP8iPO4M5R"&amp;"CRjy6nZY0TY/edit#gid=1248694442"",""Subgroup 5: Tf ~ Tx!A3:A8"")),"""")"),"")</f>
        <v/>
      </c>
      <c r="L53" s="20" t="str">
        <f>IFERROR(__xludf.DUMMYFUNCTION("IFNA(FILTER(IMPORTRANGE(""https://docs.google.com/spreadsheets/d/1kGrh75X1cNR1D7_FcY9zMnHP8iPO4M5RCRjy6nZY0TY/edit#gid=1248694442"",""Subgroup 5: Tf ~ Tx!E3:E8""), $A53=IMPORTRANGE(""https://docs.google.com/spreadsheets/d/1kGrh75X1cNR1D7_FcY9zMnHP8iPO4M5R"&amp;"CRjy6nZY0TY/edit#gid=1248694442"",""Subgroup 5: Tf ~ Tx!A3:A8"")),"""")"),"")</f>
        <v/>
      </c>
      <c r="M53" s="20" t="str">
        <f>IFERROR(__xludf.DUMMYFUNCTION("IFNA(FILTER(IMPORTRANGE(""https://docs.google.com/spreadsheets/d/1kGrh75X1cNR1D7_FcY9zMnHP8iPO4M5RCRjy6nZY0TY/edit#gid=1248694442"",""Subgroup 5: Tf ~ Tx!F3:F8""), $A53=IMPORTRANGE(""https://docs.google.com/spreadsheets/d/1kGrh75X1cNR1D7_FcY9zMnHP8iPO4M5R"&amp;"CRjy6nZY0TY/edit#gid=1248694442"",""Subgroup 5: Tf ~ Tx!A3:A8"")),"""")"),"")</f>
        <v/>
      </c>
      <c r="N53" s="20" t="str">
        <f>IFERROR(__xludf.DUMMYFUNCTION("IFNA(FILTER(IMPORTRANGE(""https://docs.google.com/spreadsheets/d/1kGrh75X1cNR1D7_FcY9zMnHP8iPO4M5RCRjy6nZY0TY/edit#gid=1248694442"",""Table 3: 1st-line HC!BE5:BE111""), $A53=IMPORTRANGE(""https://docs.google.com/spreadsheets/d/1kGrh75X1cNR1D7_FcY9zMnHP8iP"&amp;"O4M5RCRjy6nZY0TY/edit#gid=1248694442"",""Table 3: 1st-line HC!A5:A111"")),"""")"),"")</f>
        <v/>
      </c>
      <c r="O53" s="20" t="str">
        <f>IFERROR(__xludf.DUMMYFUNCTION("IFNA(FILTER(IMPORTRANGE(""https://docs.google.com/spreadsheets/d/1kGrh75X1cNR1D7_FcY9zMnHP8iPO4M5RCRjy6nZY0TY/edit#gid=1248694442"",""Table 3: 1st-line HC!BF5:BF111""), $A53=IMPORTRANGE(""https://docs.google.com/spreadsheets/d/1kGrh75X1cNR1D7_FcY9zMnHP8iP"&amp;"O4M5RCRjy6nZY0TY/edit#gid=1248694442"",""Table 3: 1st-line HC!A5:A111"")),"""")"),"")</f>
        <v/>
      </c>
      <c r="P53" s="20" t="str">
        <f>IFERROR(__xludf.DUMMYFUNCTION("IFNA(FILTER(IMPORTRANGE(""https://docs.google.com/spreadsheets/d/1kGrh75X1cNR1D7_FcY9zMnHP8iPO4M5RCRjy6nZY0TY/edit#gid=1248694442"",""Table 3: 1st-line HC!BG5:BG111""), $A53=IMPORTRANGE(""https://docs.google.com/spreadsheets/d/1kGrh75X1cNR1D7_FcY9zMnHP8iP"&amp;"O4M5RCRjy6nZY0TY/edit#gid=1248694442"",""Table 3: 1st-line HC!A5:A111"")),"""")"),"")</f>
        <v/>
      </c>
      <c r="Q53" s="21" t="str">
        <f>IFERROR(__xludf.DUMMYFUNCTION("IFNA(FILTER(IMPORTRANGE(""https://docs.google.com/spreadsheets/d/1kGrh75X1cNR1D7_FcY9zMnHP8iPO4M5RCRjy6nZY0TY/edit#gid=1248694442"",""Table 3: 1st-line HC!BH5:BH111""), $A53=IMPORTRANGE(""https://docs.google.com/spreadsheets/d/1kGrh75X1cNR1D7_FcY9zMnHP8iP"&amp;"O4M5RCRjy6nZY0TY/edit#gid=1248694442"",""Table 3: 1st-line HC!A5:A111"")),"""")"),"")</f>
        <v/>
      </c>
      <c r="R53" s="19">
        <f>IFERROR(__xludf.DUMMYFUNCTION("IFNA(FILTER(IMPORTRANGE(""https://docs.google.com/spreadsheets/d/1kGrh75X1cNR1D7_FcY9zMnHP8iPO4M5RCRjy6nZY0TY/edit#gid=1248694442"",""Table 3: 1st-line HC!AJ5:AJ111""), $A53=IMPORTRANGE(""https://docs.google.com/spreadsheets/d/1kGrh75X1cNR1D7_FcY9zMnHP8iP"&amp;"O4M5RCRjy6nZY0TY/edit#gid=1248694442"",""Table 3: 1st-line HC!A5:A111"")),"""")"),0.0)</f>
        <v>0</v>
      </c>
      <c r="S53" s="20" t="str">
        <f>IFERROR(__xludf.DUMMYFUNCTION("IFNA(FILTER(IMPORTRANGE(""https://docs.google.com/spreadsheets/d/1kGrh75X1cNR1D7_FcY9zMnHP8iPO4M5RCRjy6nZY0TY/edit#gid=1248694442"",""Subgroup 3: Mi ~ Tx!B3:B17""), $A53=IMPORTRANGE(""https://docs.google.com/spreadsheets/d/1kGrh75X1cNR1D7_FcY9zMnHP8iPO4M5"&amp;"RCRjy6nZY0TY/edit#gid=1248694442"",""Subgroup 3: Mi ~ Tx!A3:A17"")),"""")"),"")</f>
        <v/>
      </c>
      <c r="T53" s="20">
        <f>IFERROR(__xludf.DUMMYFUNCTION("IFNA(FILTER(IMPORTRANGE(""https://docs.google.com/spreadsheets/d/1kGrh75X1cNR1D7_FcY9zMnHP8iPO4M5RCRjy6nZY0TY/edit#gid=1248694442"",""Subgroup 3: Mi ~ Tx!C3:C17""), $A53=IMPORTRANGE(""https://docs.google.com/spreadsheets/d/1kGrh75X1cNR1D7_FcY9zMnHP8iPO4M5"&amp;"RCRjy6nZY0TY/edit#gid=1248694442"",""Subgroup 3: Mi ~ Tx!A3:A17"")),"""")"),0.0)</f>
        <v>0</v>
      </c>
      <c r="U53" s="20" t="str">
        <f>IFERROR(__xludf.DUMMYFUNCTION("IFNA(FILTER(IMPORTRANGE(""https://docs.google.com/spreadsheets/d/1kGrh75X1cNR1D7_FcY9zMnHP8iPO4M5RCRjy6nZY0TY/edit#gid=1248694442"",""Subgroup 3: Mi ~ Tx!D3:D17""), $A53=IMPORTRANGE(""https://docs.google.com/spreadsheets/d/1kGrh75X1cNR1D7_FcY9zMnHP8iPO4M5"&amp;"RCRjy6nZY0TY/edit#gid=1248694442"",""Subgroup 3: Mi ~ Tx!A3:A17"")),"""")"),"")</f>
        <v/>
      </c>
      <c r="V53" s="20" t="str">
        <f>IFERROR(__xludf.DUMMYFUNCTION("IFNA(FILTER(IMPORTRANGE(""https://docs.google.com/spreadsheets/d/1kGrh75X1cNR1D7_FcY9zMnHP8iPO4M5RCRjy6nZY0TY/edit#gid=1248694442"",""Subgroup 3: Mi ~ Tx!E3:E17""), $A53=IMPORTRANGE(""https://docs.google.com/spreadsheets/d/1kGrh75X1cNR1D7_FcY9zMnHP8iPO4M5"&amp;"RCRjy6nZY0TY/edit#gid=1248694442"",""Subgroup 3: Mi ~ Tx!A3:A17"")),"""")"),"")</f>
        <v/>
      </c>
      <c r="W53" s="20" t="str">
        <f>IFERROR(__xludf.DUMMYFUNCTION("IFNA(FILTER(IMPORTRANGE(""https://docs.google.com/spreadsheets/d/1kGrh75X1cNR1D7_FcY9zMnHP8iPO4M5RCRjy6nZY0TY/edit#gid=1248694442"",""Subgroup 3: Mi ~ Tx!F3:F17""), $A53=IMPORTRANGE(""https://docs.google.com/spreadsheets/d/1kGrh75X1cNR1D7_FcY9zMnHP8iPO4M5"&amp;"RCRjy6nZY0TY/edit#gid=1248694442"",""Subgroup 3: Mi ~ Tx!A3:A17"")),"""")"),"")</f>
        <v/>
      </c>
      <c r="X53" s="19">
        <f>IFERROR(__xludf.DUMMYFUNCTION("IFNA(FILTER(IMPORTRANGE(""https://docs.google.com/spreadsheets/d/1kGrh75X1cNR1D7_FcY9zMnHP8iPO4M5RCRjy6nZY0TY/edit#gid=1248694442"",""Table 3: 1st-line HC!AK5:AK111""), $A53=IMPORTRANGE(""https://docs.google.com/spreadsheets/d/1kGrh75X1cNR1D7_FcY9zMnHP8iP"&amp;"O4M5RCRjy6nZY0TY/edit#gid=1248694442"",""Table 3: 1st-line HC!A5:A111"")),"""")"),0.0)</f>
        <v>0</v>
      </c>
      <c r="Y53" s="20" t="str">
        <f>IFERROR(__xludf.DUMMYFUNCTION("IFNA(FILTER(IMPORTRANGE(""https://docs.google.com/spreadsheets/d/1kGrh75X1cNR1D7_FcY9zMnHP8iPO4M5RCRjy6nZY0TY/edit#gid=1248694442"",""Subgroup 4: Mp ~ Tx!B3:B20""), $A53=IMPORTRANGE(""https://docs.google.com/spreadsheets/d/1kGrh75X1cNR1D7_FcY9zMnHP8iPO4M5"&amp;"RCRjy6nZY0TY/edit#gid=1248694442"",""Subgroup 4: Mp ~ Tx!A3:A20"")),"""")"),"")</f>
        <v/>
      </c>
      <c r="Z53" s="20">
        <f>IFERROR(__xludf.DUMMYFUNCTION("IFNA(FILTER(IMPORTRANGE(""https://docs.google.com/spreadsheets/d/1kGrh75X1cNR1D7_FcY9zMnHP8iPO4M5RCRjy6nZY0TY/edit#gid=1248694442"",""Subgroup 4: Mp ~ Tx!C3:C20""), $A53=IMPORTRANGE(""https://docs.google.com/spreadsheets/d/1kGrh75X1cNR1D7_FcY9zMnHP8iPO4M5"&amp;"RCRjy6nZY0TY/edit#gid=1248694442"",""Subgroup 4: Mp ~ Tx!A3:A20"")),"""")"),0.0)</f>
        <v>0</v>
      </c>
      <c r="AA53" s="20" t="str">
        <f>IFERROR(__xludf.DUMMYFUNCTION("IFNA(FILTER(IMPORTRANGE(""https://docs.google.com/spreadsheets/d/1kGrh75X1cNR1D7_FcY9zMnHP8iPO4M5RCRjy6nZY0TY/edit#gid=1248694442"",""Subgroup 4: Mp ~ Tx!D3:D20""), $A53=IMPORTRANGE(""https://docs.google.com/spreadsheets/d/1kGrh75X1cNR1D7_FcY9zMnHP8iPO4M5"&amp;"RCRjy6nZY0TY/edit#gid=1248694442"",""Subgroup 4: Mp ~ Tx!A3:A20"")),"""")"),"")</f>
        <v/>
      </c>
      <c r="AB53" s="20" t="str">
        <f>IFERROR(__xludf.DUMMYFUNCTION("IFNA(FILTER(IMPORTRANGE(""https://docs.google.com/spreadsheets/d/1kGrh75X1cNR1D7_FcY9zMnHP8iPO4M5RCRjy6nZY0TY/edit#gid=1248694442"",""Subgroup 4: Mp ~ Tx!E3:E20""), $A53=IMPORTRANGE(""https://docs.google.com/spreadsheets/d/1kGrh75X1cNR1D7_FcY9zMnHP8iPO4M5"&amp;"RCRjy6nZY0TY/edit#gid=1248694442"",""Subgroup 4: Mp ~ Tx!A3:A20"")),"""")"),"")</f>
        <v/>
      </c>
      <c r="AC53" s="20" t="str">
        <f>IFERROR(__xludf.DUMMYFUNCTION("IFNA(FILTER(IMPORTRANGE(""https://docs.google.com/spreadsheets/d/1kGrh75X1cNR1D7_FcY9zMnHP8iPO4M5RCRjy6nZY0TY/edit#gid=1248694442"",""Subgroup 4: Mp ~ Tx!F3:F20""), $A53=IMPORTRANGE(""https://docs.google.com/spreadsheets/d/1kGrh75X1cNR1D7_FcY9zMnHP8iPO4M5"&amp;"RCRjy6nZY0TY/edit#gid=1248694442"",""Subgroup 4: Mp ~ Tx!A3:A20"")),"""")"),"")</f>
        <v/>
      </c>
      <c r="AD53" s="22" t="str">
        <f>IFERROR(__xludf.DUMMYFUNCTION("IFNA(FILTER(IMPORTRANGE(""https://docs.google.com/spreadsheets/d/1kGrh75X1cNR1D7_FcY9zMnHP8iPO4M5RCRjy6nZY0TY/edit#gid=1248694442"",""Table 3: 1st-line HC!AL5:AL111""), $A53=IMPORTRANGE(""https://docs.google.com/spreadsheets/d/1kGrh75X1cNR1D7_FcY9zMnHP8iP"&amp;"O4M5RCRjy6nZY0TY/edit#gid=1248694442"",""Table 3: 1st-line HC!A5:A111"")),"""")"),"")</f>
        <v/>
      </c>
      <c r="AE53" s="20" t="str">
        <f>IFERROR(__xludf.DUMMYFUNCTION("IFNA(FILTER(IMPORTRANGE(""https://docs.google.com/spreadsheets/d/1kGrh75X1cNR1D7_FcY9zMnHP8iPO4M5RCRjy6nZY0TY/edit#gid=1248694442"",""Table 3: 1st-line HC!BJ5:BJ111""), $A53=IMPORTRANGE(""https://docs.google.com/spreadsheets/d/1kGrh75X1cNR1D7_FcY9zMnHP8iP"&amp;"O4M5RCRjy6nZY0TY/edit#gid=1248694442"",""Table 3: 1st-line HC!A5:A111"")),"""")"),"")</f>
        <v/>
      </c>
      <c r="AF53" s="20" t="str">
        <f>IFERROR(__xludf.DUMMYFUNCTION("IFNA(FILTER(IMPORTRANGE(""https://docs.google.com/spreadsheets/d/1kGrh75X1cNR1D7_FcY9zMnHP8iPO4M5RCRjy6nZY0TY/edit#gid=1248694442"",""Subgroup 2: Cr ~ Tx!B3:B23""), $A53=IMPORTRANGE(""https://docs.google.com/spreadsheets/d/1kGrh75X1cNR1D7_FcY9zMnHP8iPO4M5"&amp;"RCRjy6nZY0TY/edit#gid=1248694442"",""Subgroup 2: Cr ~ Tx!A3:A23"")),"""")"),"")</f>
        <v/>
      </c>
      <c r="AG53" s="20" t="str">
        <f>IFERROR(__xludf.DUMMYFUNCTION("IFNA(FILTER(IMPORTRANGE(""https://docs.google.com/spreadsheets/d/1kGrh75X1cNR1D7_FcY9zMnHP8iPO4M5RCRjy6nZY0TY/edit#gid=1248694442"",""Subgroup 2: Cr ~ Tx!C3:C23""), $A53=IMPORTRANGE(""https://docs.google.com/spreadsheets/d/1kGrh75X1cNR1D7_FcY9zMnHP8iPO4M5"&amp;"RCRjy6nZY0TY/edit#gid=1248694442"",""Subgroup 2: Cr ~ Tx!A3:A23"")),"""")"),"")</f>
        <v/>
      </c>
      <c r="AH53" s="20" t="str">
        <f>IFERROR(__xludf.DUMMYFUNCTION("IFNA(FILTER(IMPORTRANGE(""https://docs.google.com/spreadsheets/d/1kGrh75X1cNR1D7_FcY9zMnHP8iPO4M5RCRjy6nZY0TY/edit#gid=1248694442"",""Subgroup 2: Cr ~ Tx!D3:D23""), $A53=IMPORTRANGE(""https://docs.google.com/spreadsheets/d/1kGrh75X1cNR1D7_FcY9zMnHP8iPO4M5"&amp;"RCRjy6nZY0TY/edit#gid=1248694442"",""Subgroup 2: Cr ~ Tx!A3:A23"")),"""")"),"")</f>
        <v/>
      </c>
      <c r="AI53" s="20" t="str">
        <f>IFERROR(__xludf.DUMMYFUNCTION("IFNA(FILTER(IMPORTRANGE(""https://docs.google.com/spreadsheets/d/1kGrh75X1cNR1D7_FcY9zMnHP8iPO4M5RCRjy6nZY0TY/edit#gid=1248694442"",""Subgroup 2: Cr ~ Tx!E3:E23""), $A53=IMPORTRANGE(""https://docs.google.com/spreadsheets/d/1kGrh75X1cNR1D7_FcY9zMnHP8iPO4M5"&amp;"RCRjy6nZY0TY/edit#gid=1248694442"",""Subgroup 2: Cr ~ Tx!A3:A23"")),"""")"),"")</f>
        <v/>
      </c>
      <c r="AJ53" s="20" t="str">
        <f>IFERROR(__xludf.DUMMYFUNCTION("IFNA(FILTER(IMPORTRANGE(""https://docs.google.com/spreadsheets/d/1kGrh75X1cNR1D7_FcY9zMnHP8iPO4M5RCRjy6nZY0TY/edit#gid=1248694442"",""Subgroup 2: Cr ~ Tx!F3:F23""), $A53=IMPORTRANGE(""https://docs.google.com/spreadsheets/d/1kGrh75X1cNR1D7_FcY9zMnHP8iPO4M5"&amp;"RCRjy6nZY0TY/edit#gid=1248694442"",""Subgroup 2: Cr ~ Tx!A3:A23"")),"""")"),"")</f>
        <v/>
      </c>
      <c r="AK53" s="14" t="str">
        <f>IFERROR(__xludf.DUMMYFUNCTION("IFNA(FILTER(IMPORTRANGE(""https://docs.google.com/spreadsheets/d/1kGrh75X1cNR1D7_FcY9zMnHP8iPO4M5RCRjy6nZY0TY/edit#gid=1248694442"",""Table 4: 2nd-line HC or more!M5:M85""), $A53=IMPORTRANGE(""https://docs.google.com/spreadsheets/d/1kGrh75X1cNR1D7_FcY9zMn"&amp;"HP8iPO4M5RCRjy6nZY0TY/edit#gid=1248694442"",""Table 4: 2nd-line HC or more!A5:A85"")),"""")"),"")</f>
        <v/>
      </c>
      <c r="AL53" s="14" t="str">
        <f>IFERROR(__xludf.DUMMYFUNCTION("IFNA(FILTER(IMPORTRANGE(""https://docs.google.com/spreadsheets/d/1kGrh75X1cNR1D7_FcY9zMnHP8iPO4M5RCRjy6nZY0TY/edit#gid=1248694442"",""Table 4: 2nd-line HC or more!N5:N85""), $A53=IMPORTRANGE(""https://docs.google.com/spreadsheets/d/1kGrh75X1cNR1D7_FcY9zMn"&amp;"HP8iPO4M5RCRjy6nZY0TY/edit#gid=1248694442"",""Table 4: 2nd-line HC or more!A5:A85"")),"""")"),"")</f>
        <v/>
      </c>
      <c r="AM53" s="14" t="str">
        <f>IFERROR(__xludf.DUMMYFUNCTION("IFNA(FILTER(IMPORTRANGE(""https://docs.google.com/spreadsheets/d/1kGrh75X1cNR1D7_FcY9zMnHP8iPO4M5RCRjy6nZY0TY/edit#gid=1248694442"",""Table 4: 2nd-line HC or more!O5:O85""), $A53=IMPORTRANGE(""https://docs.google.com/spreadsheets/d/1kGrh75X1cNR1D7_FcY9zMn"&amp;"HP8iPO4M5RCRjy6nZY0TY/edit#gid=1248694442"",""Table 4: 2nd-line HC or more!A5:A85"")),"""")"),"")</f>
        <v/>
      </c>
      <c r="AN53" s="14" t="str">
        <f>IFERROR(__xludf.DUMMYFUNCTION("IFNA(FILTER(IMPORTRANGE(""https://docs.google.com/spreadsheets/d/1kGrh75X1cNR1D7_FcY9zMnHP8iPO4M5RCRjy6nZY0TY/edit#gid=1248694442"",""Table 3: 1st-line HC!AP5:AP111""), $A53=IMPORTRANGE(""https://docs.google.com/spreadsheets/d/1kGrh75X1cNR1D7_FcY9zMnHP8iP"&amp;"O4M5RCRjy6nZY0TY/edit#gid=1248694442"",""Table 3: 1st-line HC!A5:A111"")),"""")"),"")</f>
        <v/>
      </c>
      <c r="AO53" s="14" t="str">
        <f>IFERROR(__xludf.DUMMYFUNCTION("IFNA(FILTER(IMPORTRANGE(""https://docs.google.com/spreadsheets/d/1kGrh75X1cNR1D7_FcY9zMnHP8iPO4M5RCRjy6nZY0TY/edit#gid=1248694442"",""Table 3: 1st-line HC!AO5:AO111""), $A53=IMPORTRANGE(""https://docs.google.com/spreadsheets/d/1kGrh75X1cNR1D7_FcY9zMnHP8iP"&amp;"O4M5RCRjy6nZY0TY/edit#gid=1248694442"",""Table 3: 1st-line HC!A5:A111"")),"""")"),"")</f>
        <v/>
      </c>
      <c r="AP53" s="14" t="str">
        <f>IFERROR(__xludf.DUMMYFUNCTION("IFNA(FILTER(IMPORTRANGE(""https://docs.google.com/spreadsheets/d/1kGrh75X1cNR1D7_FcY9zMnHP8iPO4M5RCRjy6nZY0TY/edit#gid=1248694442"",""Table 3: 1st-line HC!AQ5:AQ111""), $A53=IMPORTRANGE(""https://docs.google.com/spreadsheets/d/1kGrh75X1cNR1D7_FcY9zMnHP8iP"&amp;"O4M5RCRjy6nZY0TY/edit#gid=1248694442"",""Table 3: 1st-line HC!A5:A111"")),"""")"),"")</f>
        <v/>
      </c>
      <c r="AQ53" s="14" t="str">
        <f>IFERROR(__xludf.DUMMYFUNCTION("IFNA(FILTER(IMPORTRANGE(""https://docs.google.com/spreadsheets/d/1kGrh75X1cNR1D7_FcY9zMnHP8iPO4M5RCRjy6nZY0TY/edit#gid=1248694442"",""Table 2: MMC!T5:T114""), $A53=IMPORTRANGE(""https://docs.google.com/spreadsheets/d/1kGrh75X1cNR1D7_FcY9zMnHP8iPO4M5RCRjy6"&amp;"nZY0TY/edit#gid=1248694442"",""Table 2: MMC!A5:A114"")),"""")"),"")</f>
        <v/>
      </c>
      <c r="AR53" s="14" t="str">
        <f>IFERROR(__xludf.DUMMYFUNCTION("IFNA(FILTER(IMPORTRANGE(""https://docs.google.com/spreadsheets/d/1kGrh75X1cNR1D7_FcY9zMnHP8iPO4M5RCRjy6nZY0TY/edit#gid=1248694442"",""Table 2: MMC!U5:U114""), $A53=IMPORTRANGE(""https://docs.google.com/spreadsheets/d/1kGrh75X1cNR1D7_FcY9zMnHP8iPO4M5RCRjy6"&amp;"nZY0TY/edit#gid=1248694442"",""Table 2: MMC!A5:A114"")),"""")"),"")</f>
        <v/>
      </c>
      <c r="AS53" s="14" t="str">
        <f>IFERROR(__xludf.DUMMYFUNCTION("IFNA(FILTER(IMPORTRANGE(""https://docs.google.com/spreadsheets/d/1kGrh75X1cNR1D7_FcY9zMnHP8iPO4M5RCRjy6nZY0TY/edit#gid=1248694442"",""Table 2: MMC!V5:V114""), $A53=IMPORTRANGE(""https://docs.google.com/spreadsheets/d/1kGrh75X1cNR1D7_FcY9zMnHP8iPO4M5RCRjy6"&amp;"nZY0TY/edit#gid=1248694442"",""Table 2: MMC!A5:A114"")),"""")"),"")</f>
        <v/>
      </c>
      <c r="AT53" s="4" t="str">
        <f>IFERROR(__xludf.DUMMYFUNCTION("IFNA(FILTER(IMPORTRANGE(""https://docs.google.com/spreadsheets/d/1kGrh75X1cNR1D7_FcY9zMnHP8iPO4M5RCRjy6nZY0TY/edit#gid=1248694442"",""Table 2: MMC!W5:W114""), $A53=IMPORTRANGE(""https://docs.google.com/spreadsheets/d/1kGrh75X1cNR1D7_FcY9zMnHP8iPO4M5RCRjy6"&amp;"nZY0TY/edit#gid=1248694442"",""Table 2: MMC!A5:A114"")),"""")"),"")</f>
        <v/>
      </c>
    </row>
    <row r="54">
      <c r="A54" s="4" t="str">
        <f>IFERROR(__xludf.DUMMYFUNCTION("""COMPUTED_VALUE"""),"ID 107")</f>
        <v>ID 107</v>
      </c>
      <c r="B54" s="20" t="str">
        <f>IFERROR(__xludf.DUMMYFUNCTION("IFNA(FILTER(IMPORTRANGE(""https://docs.google.com/spreadsheets/d/1kGrh75X1cNR1D7_FcY9zMnHP8iPO4M5RCRjy6nZY0TY/edit#gid=1248694442"",""Table 3: 1st-line HC!BK5:BK111""), $A54=IMPORTRANGE(""https://docs.google.com/spreadsheets/d/1kGrh75X1cNR1D7_FcY9zMnHP8iP"&amp;"O4M5RCRjy6nZY0TY/edit#gid=1248694442"",""Table 3: 1st-line HC!A5:A111"")),"""")"),"")</f>
        <v/>
      </c>
      <c r="C54" s="20" t="str">
        <f>IFERROR(__xludf.DUMMYFUNCTION("IFNA(FILTER(IMPORTRANGE(""https://docs.google.com/spreadsheets/d/1kGrh75X1cNR1D7_FcY9zMnHP8iPO4M5RCRjy6nZY0TY/edit#gid=1248694442"",""Subgroup 1: Fr ~ Tx!B3:B20""), $A54=IMPORTRANGE(""https://docs.google.com/spreadsheets/d/1kGrh75X1cNR1D7_FcY9zMnHP8iPO4M5"&amp;"RCRjy6nZY0TY/edit#gid=1248694442"",""Subgroup 1: Fr ~ Tx!A3:A20"")),"""")"),"")</f>
        <v/>
      </c>
      <c r="D54" s="20" t="str">
        <f>IFERROR(__xludf.DUMMYFUNCTION("IFNA(FILTER(IMPORTRANGE(""https://docs.google.com/spreadsheets/d/1kGrh75X1cNR1D7_FcY9zMnHP8iPO4M5RCRjy6nZY0TY/edit#gid=1248694442"",""Subgroup 1: Fr ~ Tx!C3:C20""), $A54=IMPORTRANGE(""https://docs.google.com/spreadsheets/d/1kGrh75X1cNR1D7_FcY9zMnHP8iPO4M5"&amp;"RCRjy6nZY0TY/edit#gid=1248694442"",""Subgroup 1: Fr ~ Tx!A3:A20"")),"""")"),"")</f>
        <v/>
      </c>
      <c r="E54" s="20" t="str">
        <f>IFERROR(__xludf.DUMMYFUNCTION("IFNA(FILTER(IMPORTRANGE(""https://docs.google.com/spreadsheets/d/1kGrh75X1cNR1D7_FcY9zMnHP8iPO4M5RCRjy6nZY0TY/edit#gid=1248694442"",""Subgroup 1: Fr ~ Tx!D3:D20""), $A54=IMPORTRANGE(""https://docs.google.com/spreadsheets/d/1kGrh75X1cNR1D7_FcY9zMnHP8iPO4M5"&amp;"RCRjy6nZY0TY/edit#gid=1248694442"",""Subgroup 1: Fr ~ Tx!A3:A20"")),"""")"),"")</f>
        <v/>
      </c>
      <c r="F54" s="20" t="str">
        <f>IFERROR(__xludf.DUMMYFUNCTION("IFNA(FILTER(IMPORTRANGE(""https://docs.google.com/spreadsheets/d/1kGrh75X1cNR1D7_FcY9zMnHP8iPO4M5RCRjy6nZY0TY/edit#gid=1248694442"",""Subgroup 1: Fr ~ Tx!E3:E20""), $A54=IMPORTRANGE(""https://docs.google.com/spreadsheets/d/1kGrh75X1cNR1D7_FcY9zMnHP8iPO4M5"&amp;"RCRjy6nZY0TY/edit#gid=1248694442"",""Subgroup 1: Fr ~ Tx!A3:A20"")),"""")"),"")</f>
        <v/>
      </c>
      <c r="G54" s="20" t="str">
        <f>IFERROR(__xludf.DUMMYFUNCTION("IFNA(FILTER(IMPORTRANGE(""https://docs.google.com/spreadsheets/d/1kGrh75X1cNR1D7_FcY9zMnHP8iPO4M5RCRjy6nZY0TY/edit#gid=1248694442"",""Subgroup 1: Fr ~ Tx!F3:F20""), $A54=IMPORTRANGE(""https://docs.google.com/spreadsheets/d/1kGrh75X1cNR1D7_FcY9zMnHP8iPO4M5"&amp;"RCRjy6nZY0TY/edit#gid=1248694442"",""Subgroup 1: Fr ~ Tx!A3:A20"")),"""")"),"")</f>
        <v/>
      </c>
      <c r="H54" s="20" t="str">
        <f>IFERROR(__xludf.DUMMYFUNCTION("IFNA(FILTER(IMPORTRANGE(""https://docs.google.com/spreadsheets/d/1kGrh75X1cNR1D7_FcY9zMnHP8iPO4M5RCRjy6nZY0TY/edit#gid=1248694442"",""Table 3: 1st-line HC!BD5:BD111""), $A54=IMPORTRANGE(""https://docs.google.com/spreadsheets/d/1kGrh75X1cNR1D7_FcY9zMnHP8iP"&amp;"O4M5RCRjy6nZY0TY/edit#gid=1248694442"",""Table 3: 1st-line HC!A5:A111"")),"""")"),"")</f>
        <v/>
      </c>
      <c r="I54" s="20" t="str">
        <f>IFERROR(__xludf.DUMMYFUNCTION("IFNA(FILTER(IMPORTRANGE(""https://docs.google.com/spreadsheets/d/1kGrh75X1cNR1D7_FcY9zMnHP8iPO4M5RCRjy6nZY0TY/edit#gid=1248694442"",""Subgroup 5: Tf ~ Tx!B3:B8""), $A54=IMPORTRANGE(""https://docs.google.com/spreadsheets/d/1kGrh75X1cNR1D7_FcY9zMnHP8iPO4M5R"&amp;"CRjy6nZY0TY/edit#gid=1248694442"",""Subgroup 5: Tf ~ Tx!A3:A8"")),"""")"),"")</f>
        <v/>
      </c>
      <c r="J54" s="20" t="str">
        <f>IFERROR(__xludf.DUMMYFUNCTION("IFNA(FILTER(IMPORTRANGE(""https://docs.google.com/spreadsheets/d/1kGrh75X1cNR1D7_FcY9zMnHP8iPO4M5RCRjy6nZY0TY/edit#gid=1248694442"",""Subgroup 5: Tf ~ Tx!C3:C8""), $A54=IMPORTRANGE(""https://docs.google.com/spreadsheets/d/1kGrh75X1cNR1D7_FcY9zMnHP8iPO4M5R"&amp;"CRjy6nZY0TY/edit#gid=1248694442"",""Subgroup 5: Tf ~ Tx!A3:A8"")),"""")"),"")</f>
        <v/>
      </c>
      <c r="K54" s="20" t="str">
        <f>IFERROR(__xludf.DUMMYFUNCTION("IFNA(FILTER(IMPORTRANGE(""https://docs.google.com/spreadsheets/d/1kGrh75X1cNR1D7_FcY9zMnHP8iPO4M5RCRjy6nZY0TY/edit#gid=1248694442"",""Subgroup 5: Tf ~ Tx!D3:D8""), $A54=IMPORTRANGE(""https://docs.google.com/spreadsheets/d/1kGrh75X1cNR1D7_FcY9zMnHP8iPO4M5R"&amp;"CRjy6nZY0TY/edit#gid=1248694442"",""Subgroup 5: Tf ~ Tx!A3:A8"")),"""")"),"")</f>
        <v/>
      </c>
      <c r="L54" s="20" t="str">
        <f>IFERROR(__xludf.DUMMYFUNCTION("IFNA(FILTER(IMPORTRANGE(""https://docs.google.com/spreadsheets/d/1kGrh75X1cNR1D7_FcY9zMnHP8iPO4M5RCRjy6nZY0TY/edit#gid=1248694442"",""Subgroup 5: Tf ~ Tx!E3:E8""), $A54=IMPORTRANGE(""https://docs.google.com/spreadsheets/d/1kGrh75X1cNR1D7_FcY9zMnHP8iPO4M5R"&amp;"CRjy6nZY0TY/edit#gid=1248694442"",""Subgroup 5: Tf ~ Tx!A3:A8"")),"""")"),"")</f>
        <v/>
      </c>
      <c r="M54" s="20" t="str">
        <f>IFERROR(__xludf.DUMMYFUNCTION("IFNA(FILTER(IMPORTRANGE(""https://docs.google.com/spreadsheets/d/1kGrh75X1cNR1D7_FcY9zMnHP8iPO4M5RCRjy6nZY0TY/edit#gid=1248694442"",""Subgroup 5: Tf ~ Tx!F3:F8""), $A54=IMPORTRANGE(""https://docs.google.com/spreadsheets/d/1kGrh75X1cNR1D7_FcY9zMnHP8iPO4M5R"&amp;"CRjy6nZY0TY/edit#gid=1248694442"",""Subgroup 5: Tf ~ Tx!A3:A8"")),"""")"),"")</f>
        <v/>
      </c>
      <c r="N54" s="20" t="str">
        <f>IFERROR(__xludf.DUMMYFUNCTION("IFNA(FILTER(IMPORTRANGE(""https://docs.google.com/spreadsheets/d/1kGrh75X1cNR1D7_FcY9zMnHP8iPO4M5RCRjy6nZY0TY/edit#gid=1248694442"",""Table 3: 1st-line HC!BE5:BE111""), $A54=IMPORTRANGE(""https://docs.google.com/spreadsheets/d/1kGrh75X1cNR1D7_FcY9zMnHP8iP"&amp;"O4M5RCRjy6nZY0TY/edit#gid=1248694442"",""Table 3: 1st-line HC!A5:A111"")),"""")"),"")</f>
        <v/>
      </c>
      <c r="O54" s="20" t="str">
        <f>IFERROR(__xludf.DUMMYFUNCTION("IFNA(FILTER(IMPORTRANGE(""https://docs.google.com/spreadsheets/d/1kGrh75X1cNR1D7_FcY9zMnHP8iPO4M5RCRjy6nZY0TY/edit#gid=1248694442"",""Table 3: 1st-line HC!BF5:BF111""), $A54=IMPORTRANGE(""https://docs.google.com/spreadsheets/d/1kGrh75X1cNR1D7_FcY9zMnHP8iP"&amp;"O4M5RCRjy6nZY0TY/edit#gid=1248694442"",""Table 3: 1st-line HC!A5:A111"")),"""")"),"")</f>
        <v/>
      </c>
      <c r="P54" s="20" t="str">
        <f>IFERROR(__xludf.DUMMYFUNCTION("IFNA(FILTER(IMPORTRANGE(""https://docs.google.com/spreadsheets/d/1kGrh75X1cNR1D7_FcY9zMnHP8iPO4M5RCRjy6nZY0TY/edit#gid=1248694442"",""Table 3: 1st-line HC!BG5:BG111""), $A54=IMPORTRANGE(""https://docs.google.com/spreadsheets/d/1kGrh75X1cNR1D7_FcY9zMnHP8iP"&amp;"O4M5RCRjy6nZY0TY/edit#gid=1248694442"",""Table 3: 1st-line HC!A5:A111"")),"""")"),"")</f>
        <v/>
      </c>
      <c r="Q54" s="21" t="str">
        <f>IFERROR(__xludf.DUMMYFUNCTION("IFNA(FILTER(IMPORTRANGE(""https://docs.google.com/spreadsheets/d/1kGrh75X1cNR1D7_FcY9zMnHP8iPO4M5RCRjy6nZY0TY/edit#gid=1248694442"",""Table 3: 1st-line HC!BH5:BH111""), $A54=IMPORTRANGE(""https://docs.google.com/spreadsheets/d/1kGrh75X1cNR1D7_FcY9zMnHP8iP"&amp;"O4M5RCRjy6nZY0TY/edit#gid=1248694442"",""Table 3: 1st-line HC!A5:A111"")),"""")"),"")</f>
        <v/>
      </c>
      <c r="R54" s="19" t="str">
        <f>IFERROR(__xludf.DUMMYFUNCTION("IFNA(FILTER(IMPORTRANGE(""https://docs.google.com/spreadsheets/d/1kGrh75X1cNR1D7_FcY9zMnHP8iPO4M5RCRjy6nZY0TY/edit#gid=1248694442"",""Table 3: 1st-line HC!AJ5:AJ111""), $A54=IMPORTRANGE(""https://docs.google.com/spreadsheets/d/1kGrh75X1cNR1D7_FcY9zMnHP8iP"&amp;"O4M5RCRjy6nZY0TY/edit#gid=1248694442"",""Table 3: 1st-line HC!A5:A111"")),"""")"),"")</f>
        <v/>
      </c>
      <c r="S54" s="20" t="str">
        <f>IFERROR(__xludf.DUMMYFUNCTION("IFNA(FILTER(IMPORTRANGE(""https://docs.google.com/spreadsheets/d/1kGrh75X1cNR1D7_FcY9zMnHP8iPO4M5RCRjy6nZY0TY/edit#gid=1248694442"",""Subgroup 3: Mi ~ Tx!B3:B17""), $A54=IMPORTRANGE(""https://docs.google.com/spreadsheets/d/1kGrh75X1cNR1D7_FcY9zMnHP8iPO4M5"&amp;"RCRjy6nZY0TY/edit#gid=1248694442"",""Subgroup 3: Mi ~ Tx!A3:A17"")),"""")"),"")</f>
        <v/>
      </c>
      <c r="T54" s="20" t="str">
        <f>IFERROR(__xludf.DUMMYFUNCTION("IFNA(FILTER(IMPORTRANGE(""https://docs.google.com/spreadsheets/d/1kGrh75X1cNR1D7_FcY9zMnHP8iPO4M5RCRjy6nZY0TY/edit#gid=1248694442"",""Subgroup 3: Mi ~ Tx!C3:C17""), $A54=IMPORTRANGE(""https://docs.google.com/spreadsheets/d/1kGrh75X1cNR1D7_FcY9zMnHP8iPO4M5"&amp;"RCRjy6nZY0TY/edit#gid=1248694442"",""Subgroup 3: Mi ~ Tx!A3:A17"")),"""")"),"")</f>
        <v/>
      </c>
      <c r="U54" s="20" t="str">
        <f>IFERROR(__xludf.DUMMYFUNCTION("IFNA(FILTER(IMPORTRANGE(""https://docs.google.com/spreadsheets/d/1kGrh75X1cNR1D7_FcY9zMnHP8iPO4M5RCRjy6nZY0TY/edit#gid=1248694442"",""Subgroup 3: Mi ~ Tx!D3:D17""), $A54=IMPORTRANGE(""https://docs.google.com/spreadsheets/d/1kGrh75X1cNR1D7_FcY9zMnHP8iPO4M5"&amp;"RCRjy6nZY0TY/edit#gid=1248694442"",""Subgroup 3: Mi ~ Tx!A3:A17"")),"""")"),"")</f>
        <v/>
      </c>
      <c r="V54" s="20" t="str">
        <f>IFERROR(__xludf.DUMMYFUNCTION("IFNA(FILTER(IMPORTRANGE(""https://docs.google.com/spreadsheets/d/1kGrh75X1cNR1D7_FcY9zMnHP8iPO4M5RCRjy6nZY0TY/edit#gid=1248694442"",""Subgroup 3: Mi ~ Tx!E3:E17""), $A54=IMPORTRANGE(""https://docs.google.com/spreadsheets/d/1kGrh75X1cNR1D7_FcY9zMnHP8iPO4M5"&amp;"RCRjy6nZY0TY/edit#gid=1248694442"",""Subgroup 3: Mi ~ Tx!A3:A17"")),"""")"),"")</f>
        <v/>
      </c>
      <c r="W54" s="20" t="str">
        <f>IFERROR(__xludf.DUMMYFUNCTION("IFNA(FILTER(IMPORTRANGE(""https://docs.google.com/spreadsheets/d/1kGrh75X1cNR1D7_FcY9zMnHP8iPO4M5RCRjy6nZY0TY/edit#gid=1248694442"",""Subgroup 3: Mi ~ Tx!F3:F17""), $A54=IMPORTRANGE(""https://docs.google.com/spreadsheets/d/1kGrh75X1cNR1D7_FcY9zMnHP8iPO4M5"&amp;"RCRjy6nZY0TY/edit#gid=1248694442"",""Subgroup 3: Mi ~ Tx!A3:A17"")),"""")"),"")</f>
        <v/>
      </c>
      <c r="X54" s="19" t="str">
        <f>IFERROR(__xludf.DUMMYFUNCTION("IFNA(FILTER(IMPORTRANGE(""https://docs.google.com/spreadsheets/d/1kGrh75X1cNR1D7_FcY9zMnHP8iPO4M5RCRjy6nZY0TY/edit#gid=1248694442"",""Table 3: 1st-line HC!AK5:AK111""), $A54=IMPORTRANGE(""https://docs.google.com/spreadsheets/d/1kGrh75X1cNR1D7_FcY9zMnHP8iP"&amp;"O4M5RCRjy6nZY0TY/edit#gid=1248694442"",""Table 3: 1st-line HC!A5:A111"")),"""")"),"")</f>
        <v/>
      </c>
      <c r="Y54" s="20" t="str">
        <f>IFERROR(__xludf.DUMMYFUNCTION("IFNA(FILTER(IMPORTRANGE(""https://docs.google.com/spreadsheets/d/1kGrh75X1cNR1D7_FcY9zMnHP8iPO4M5RCRjy6nZY0TY/edit#gid=1248694442"",""Subgroup 4: Mp ~ Tx!B3:B20""), $A54=IMPORTRANGE(""https://docs.google.com/spreadsheets/d/1kGrh75X1cNR1D7_FcY9zMnHP8iPO4M5"&amp;"RCRjy6nZY0TY/edit#gid=1248694442"",""Subgroup 4: Mp ~ Tx!A3:A20"")),"""")"),"")</f>
        <v/>
      </c>
      <c r="Z54" s="20" t="str">
        <f>IFERROR(__xludf.DUMMYFUNCTION("IFNA(FILTER(IMPORTRANGE(""https://docs.google.com/spreadsheets/d/1kGrh75X1cNR1D7_FcY9zMnHP8iPO4M5RCRjy6nZY0TY/edit#gid=1248694442"",""Subgroup 4: Mp ~ Tx!C3:C20""), $A54=IMPORTRANGE(""https://docs.google.com/spreadsheets/d/1kGrh75X1cNR1D7_FcY9zMnHP8iPO4M5"&amp;"RCRjy6nZY0TY/edit#gid=1248694442"",""Subgroup 4: Mp ~ Tx!A3:A20"")),"""")"),"")</f>
        <v/>
      </c>
      <c r="AA54" s="20" t="str">
        <f>IFERROR(__xludf.DUMMYFUNCTION("IFNA(FILTER(IMPORTRANGE(""https://docs.google.com/spreadsheets/d/1kGrh75X1cNR1D7_FcY9zMnHP8iPO4M5RCRjy6nZY0TY/edit#gid=1248694442"",""Subgroup 4: Mp ~ Tx!D3:D20""), $A54=IMPORTRANGE(""https://docs.google.com/spreadsheets/d/1kGrh75X1cNR1D7_FcY9zMnHP8iPO4M5"&amp;"RCRjy6nZY0TY/edit#gid=1248694442"",""Subgroup 4: Mp ~ Tx!A3:A20"")),"""")"),"")</f>
        <v/>
      </c>
      <c r="AB54" s="20" t="str">
        <f>IFERROR(__xludf.DUMMYFUNCTION("IFNA(FILTER(IMPORTRANGE(""https://docs.google.com/spreadsheets/d/1kGrh75X1cNR1D7_FcY9zMnHP8iPO4M5RCRjy6nZY0TY/edit#gid=1248694442"",""Subgroup 4: Mp ~ Tx!E3:E20""), $A54=IMPORTRANGE(""https://docs.google.com/spreadsheets/d/1kGrh75X1cNR1D7_FcY9zMnHP8iPO4M5"&amp;"RCRjy6nZY0TY/edit#gid=1248694442"",""Subgroup 4: Mp ~ Tx!A3:A20"")),"""")"),"")</f>
        <v/>
      </c>
      <c r="AC54" s="20" t="str">
        <f>IFERROR(__xludf.DUMMYFUNCTION("IFNA(FILTER(IMPORTRANGE(""https://docs.google.com/spreadsheets/d/1kGrh75X1cNR1D7_FcY9zMnHP8iPO4M5RCRjy6nZY0TY/edit#gid=1248694442"",""Subgroup 4: Mp ~ Tx!F3:F20""), $A54=IMPORTRANGE(""https://docs.google.com/spreadsheets/d/1kGrh75X1cNR1D7_FcY9zMnHP8iPO4M5"&amp;"RCRjy6nZY0TY/edit#gid=1248694442"",""Subgroup 4: Mp ~ Tx!A3:A20"")),"""")"),"")</f>
        <v/>
      </c>
      <c r="AD54" s="22" t="str">
        <f>IFERROR(__xludf.DUMMYFUNCTION("IFNA(FILTER(IMPORTRANGE(""https://docs.google.com/spreadsheets/d/1kGrh75X1cNR1D7_FcY9zMnHP8iPO4M5RCRjy6nZY0TY/edit#gid=1248694442"",""Table 3: 1st-line HC!AL5:AL111""), $A54=IMPORTRANGE(""https://docs.google.com/spreadsheets/d/1kGrh75X1cNR1D7_FcY9zMnHP8iP"&amp;"O4M5RCRjy6nZY0TY/edit#gid=1248694442"",""Table 3: 1st-line HC!A5:A111"")),"""")"),"")</f>
        <v/>
      </c>
      <c r="AE54" s="20">
        <f>IFERROR(__xludf.DUMMYFUNCTION("IFNA(FILTER(IMPORTRANGE(""https://docs.google.com/spreadsheets/d/1kGrh75X1cNR1D7_FcY9zMnHP8iPO4M5RCRjy6nZY0TY/edit#gid=1248694442"",""Table 3: 1st-line HC!BJ5:BJ111""), $A54=IMPORTRANGE(""https://docs.google.com/spreadsheets/d/1kGrh75X1cNR1D7_FcY9zMnHP8iP"&amp;"O4M5RCRjy6nZY0TY/edit#gid=1248694442"",""Table 3: 1st-line HC!A5:A111"")),"""")"),0.2267)</f>
        <v>0.2267</v>
      </c>
      <c r="AF54" s="20" t="str">
        <f>IFERROR(__xludf.DUMMYFUNCTION("IFNA(FILTER(IMPORTRANGE(""https://docs.google.com/spreadsheets/d/1kGrh75X1cNR1D7_FcY9zMnHP8iPO4M5RCRjy6nZY0TY/edit#gid=1248694442"",""Subgroup 2: Cr ~ Tx!B3:B23""), $A54=IMPORTRANGE(""https://docs.google.com/spreadsheets/d/1kGrh75X1cNR1D7_FcY9zMnHP8iPO4M5"&amp;"RCRjy6nZY0TY/edit#gid=1248694442"",""Subgroup 2: Cr ~ Tx!A3:A23"")),"""")"),"")</f>
        <v/>
      </c>
      <c r="AG54" s="20">
        <f>IFERROR(__xludf.DUMMYFUNCTION("IFNA(FILTER(IMPORTRANGE(""https://docs.google.com/spreadsheets/d/1kGrh75X1cNR1D7_FcY9zMnHP8iPO4M5RCRjy6nZY0TY/edit#gid=1248694442"",""Subgroup 2: Cr ~ Tx!C3:C23""), $A54=IMPORTRANGE(""https://docs.google.com/spreadsheets/d/1kGrh75X1cNR1D7_FcY9zMnHP8iPO4M5"&amp;"RCRjy6nZY0TY/edit#gid=1248694442"",""Subgroup 2: Cr ~ Tx!A3:A23"")),"""")"),0.22670025188916876)</f>
        <v>0.2267002519</v>
      </c>
      <c r="AH54" s="20" t="str">
        <f>IFERROR(__xludf.DUMMYFUNCTION("IFNA(FILTER(IMPORTRANGE(""https://docs.google.com/spreadsheets/d/1kGrh75X1cNR1D7_FcY9zMnHP8iPO4M5RCRjy6nZY0TY/edit#gid=1248694442"",""Subgroup 2: Cr ~ Tx!D3:D23""), $A54=IMPORTRANGE(""https://docs.google.com/spreadsheets/d/1kGrh75X1cNR1D7_FcY9zMnHP8iPO4M5"&amp;"RCRjy6nZY0TY/edit#gid=1248694442"",""Subgroup 2: Cr ~ Tx!A3:A23"")),"""")"),"")</f>
        <v/>
      </c>
      <c r="AI54" s="20" t="str">
        <f>IFERROR(__xludf.DUMMYFUNCTION("IFNA(FILTER(IMPORTRANGE(""https://docs.google.com/spreadsheets/d/1kGrh75X1cNR1D7_FcY9zMnHP8iPO4M5RCRjy6nZY0TY/edit#gid=1248694442"",""Subgroup 2: Cr ~ Tx!E3:E23""), $A54=IMPORTRANGE(""https://docs.google.com/spreadsheets/d/1kGrh75X1cNR1D7_FcY9zMnHP8iPO4M5"&amp;"RCRjy6nZY0TY/edit#gid=1248694442"",""Subgroup 2: Cr ~ Tx!A3:A23"")),"""")"),"")</f>
        <v/>
      </c>
      <c r="AJ54" s="20" t="str">
        <f>IFERROR(__xludf.DUMMYFUNCTION("IFNA(FILTER(IMPORTRANGE(""https://docs.google.com/spreadsheets/d/1kGrh75X1cNR1D7_FcY9zMnHP8iPO4M5RCRjy6nZY0TY/edit#gid=1248694442"",""Subgroup 2: Cr ~ Tx!F3:F23""), $A54=IMPORTRANGE(""https://docs.google.com/spreadsheets/d/1kGrh75X1cNR1D7_FcY9zMnHP8iPO4M5"&amp;"RCRjy6nZY0TY/edit#gid=1248694442"",""Subgroup 2: Cr ~ Tx!A3:A23"")),"""")"),"")</f>
        <v/>
      </c>
      <c r="AK54" s="14" t="str">
        <f>IFERROR(__xludf.DUMMYFUNCTION("IFNA(FILTER(IMPORTRANGE(""https://docs.google.com/spreadsheets/d/1kGrh75X1cNR1D7_FcY9zMnHP8iPO4M5RCRjy6nZY0TY/edit#gid=1248694442"",""Table 4: 2nd-line HC or more!M5:M85""), $A54=IMPORTRANGE(""https://docs.google.com/spreadsheets/d/1kGrh75X1cNR1D7_FcY9zMn"&amp;"HP8iPO4M5RCRjy6nZY0TY/edit#gid=1248694442"",""Table 4: 2nd-line HC or more!A5:A85"")),"""")"),"")</f>
        <v/>
      </c>
      <c r="AL54" s="14" t="str">
        <f>IFERROR(__xludf.DUMMYFUNCTION("IFNA(FILTER(IMPORTRANGE(""https://docs.google.com/spreadsheets/d/1kGrh75X1cNR1D7_FcY9zMnHP8iPO4M5RCRjy6nZY0TY/edit#gid=1248694442"",""Table 4: 2nd-line HC or more!N5:N85""), $A54=IMPORTRANGE(""https://docs.google.com/spreadsheets/d/1kGrh75X1cNR1D7_FcY9zMn"&amp;"HP8iPO4M5RCRjy6nZY0TY/edit#gid=1248694442"",""Table 4: 2nd-line HC or more!A5:A85"")),"""")"),"")</f>
        <v/>
      </c>
      <c r="AM54" s="14" t="str">
        <f>IFERROR(__xludf.DUMMYFUNCTION("IFNA(FILTER(IMPORTRANGE(""https://docs.google.com/spreadsheets/d/1kGrh75X1cNR1D7_FcY9zMnHP8iPO4M5RCRjy6nZY0TY/edit#gid=1248694442"",""Table 4: 2nd-line HC or more!O5:O85""), $A54=IMPORTRANGE(""https://docs.google.com/spreadsheets/d/1kGrh75X1cNR1D7_FcY9zMn"&amp;"HP8iPO4M5RCRjy6nZY0TY/edit#gid=1248694442"",""Table 4: 2nd-line HC or more!A5:A85"")),"""")"),"")</f>
        <v/>
      </c>
      <c r="AN54" s="14" t="str">
        <f>IFERROR(__xludf.DUMMYFUNCTION("IFNA(FILTER(IMPORTRANGE(""https://docs.google.com/spreadsheets/d/1kGrh75X1cNR1D7_FcY9zMnHP8iPO4M5RCRjy6nZY0TY/edit#gid=1248694442"",""Table 3: 1st-line HC!AP5:AP111""), $A54=IMPORTRANGE(""https://docs.google.com/spreadsheets/d/1kGrh75X1cNR1D7_FcY9zMnHP8iP"&amp;"O4M5RCRjy6nZY0TY/edit#gid=1248694442"",""Table 3: 1st-line HC!A5:A111"")),"""")"),"")</f>
        <v/>
      </c>
      <c r="AO54" s="14" t="str">
        <f>IFERROR(__xludf.DUMMYFUNCTION("IFNA(FILTER(IMPORTRANGE(""https://docs.google.com/spreadsheets/d/1kGrh75X1cNR1D7_FcY9zMnHP8iPO4M5RCRjy6nZY0TY/edit#gid=1248694442"",""Table 3: 1st-line HC!AO5:AO111""), $A54=IMPORTRANGE(""https://docs.google.com/spreadsheets/d/1kGrh75X1cNR1D7_FcY9zMnHP8iP"&amp;"O4M5RCRjy6nZY0TY/edit#gid=1248694442"",""Table 3: 1st-line HC!A5:A111"")),"""")"),"")</f>
        <v/>
      </c>
      <c r="AP54" s="14">
        <f>IFERROR(__xludf.DUMMYFUNCTION("IFNA(FILTER(IMPORTRANGE(""https://docs.google.com/spreadsheets/d/1kGrh75X1cNR1D7_FcY9zMnHP8iPO4M5RCRjy6nZY0TY/edit#gid=1248694442"",""Table 3: 1st-line HC!AQ5:AQ111""), $A54=IMPORTRANGE(""https://docs.google.com/spreadsheets/d/1kGrh75X1cNR1D7_FcY9zMnHP8iP"&amp;"O4M5RCRjy6nZY0TY/edit#gid=1248694442"",""Table 3: 1st-line HC!A5:A111"")),"""")"),180.0)</f>
        <v>180</v>
      </c>
      <c r="AQ54" s="14" t="str">
        <f>IFERROR(__xludf.DUMMYFUNCTION("IFNA(FILTER(IMPORTRANGE(""https://docs.google.com/spreadsheets/d/1kGrh75X1cNR1D7_FcY9zMnHP8iPO4M5RCRjy6nZY0TY/edit#gid=1248694442"",""Table 2: MMC!T5:T114""), $A54=IMPORTRANGE(""https://docs.google.com/spreadsheets/d/1kGrh75X1cNR1D7_FcY9zMnHP8iPO4M5RCRjy6"&amp;"nZY0TY/edit#gid=1248694442"",""Table 2: MMC!A5:A114"")),"""")"),"")</f>
        <v/>
      </c>
      <c r="AR54" s="14" t="str">
        <f>IFERROR(__xludf.DUMMYFUNCTION("IFNA(FILTER(IMPORTRANGE(""https://docs.google.com/spreadsheets/d/1kGrh75X1cNR1D7_FcY9zMnHP8iPO4M5RCRjy6nZY0TY/edit#gid=1248694442"",""Table 2: MMC!U5:U114""), $A54=IMPORTRANGE(""https://docs.google.com/spreadsheets/d/1kGrh75X1cNR1D7_FcY9zMnHP8iPO4M5RCRjy6"&amp;"nZY0TY/edit#gid=1248694442"",""Table 2: MMC!A5:A114"")),"""")"),"")</f>
        <v/>
      </c>
      <c r="AS54" s="14" t="str">
        <f>IFERROR(__xludf.DUMMYFUNCTION("IFNA(FILTER(IMPORTRANGE(""https://docs.google.com/spreadsheets/d/1kGrh75X1cNR1D7_FcY9zMnHP8iPO4M5RCRjy6nZY0TY/edit#gid=1248694442"",""Table 2: MMC!V5:V114""), $A54=IMPORTRANGE(""https://docs.google.com/spreadsheets/d/1kGrh75X1cNR1D7_FcY9zMnHP8iPO4M5RCRjy6"&amp;"nZY0TY/edit#gid=1248694442"",""Table 2: MMC!A5:A114"")),"""")"),"")</f>
        <v/>
      </c>
      <c r="AT54" s="4" t="str">
        <f>IFERROR(__xludf.DUMMYFUNCTION("IFNA(FILTER(IMPORTRANGE(""https://docs.google.com/spreadsheets/d/1kGrh75X1cNR1D7_FcY9zMnHP8iPO4M5RCRjy6nZY0TY/edit#gid=1248694442"",""Table 2: MMC!W5:W114""), $A54=IMPORTRANGE(""https://docs.google.com/spreadsheets/d/1kGrh75X1cNR1D7_FcY9zMnHP8iPO4M5RCRjy6"&amp;"nZY0TY/edit#gid=1248694442"",""Table 2: MMC!A5:A114"")),"""")"),"")</f>
        <v/>
      </c>
    </row>
    <row r="55">
      <c r="A55" s="4" t="str">
        <f>IFERROR(__xludf.DUMMYFUNCTION("""COMPUTED_VALUE"""),"ID 111")</f>
        <v>ID 111</v>
      </c>
      <c r="B55" s="20" t="str">
        <f>IFERROR(__xludf.DUMMYFUNCTION("IFNA(FILTER(IMPORTRANGE(""https://docs.google.com/spreadsheets/d/1kGrh75X1cNR1D7_FcY9zMnHP8iPO4M5RCRjy6nZY0TY/edit#gid=1248694442"",""Table 3: 1st-line HC!BK5:BK111""), $A55=IMPORTRANGE(""https://docs.google.com/spreadsheets/d/1kGrh75X1cNR1D7_FcY9zMnHP8iP"&amp;"O4M5RCRjy6nZY0TY/edit#gid=1248694442"",""Table 3: 1st-line HC!A5:A111"")),"""")"),"")</f>
        <v/>
      </c>
      <c r="C55" s="20" t="str">
        <f>IFERROR(__xludf.DUMMYFUNCTION("IFNA(FILTER(IMPORTRANGE(""https://docs.google.com/spreadsheets/d/1kGrh75X1cNR1D7_FcY9zMnHP8iPO4M5RCRjy6nZY0TY/edit#gid=1248694442"",""Subgroup 1: Fr ~ Tx!B3:B20""), $A55=IMPORTRANGE(""https://docs.google.com/spreadsheets/d/1kGrh75X1cNR1D7_FcY9zMnHP8iPO4M5"&amp;"RCRjy6nZY0TY/edit#gid=1248694442"",""Subgroup 1: Fr ~ Tx!A3:A20"")),"""")"),"")</f>
        <v/>
      </c>
      <c r="D55" s="20" t="str">
        <f>IFERROR(__xludf.DUMMYFUNCTION("IFNA(FILTER(IMPORTRANGE(""https://docs.google.com/spreadsheets/d/1kGrh75X1cNR1D7_FcY9zMnHP8iPO4M5RCRjy6nZY0TY/edit#gid=1248694442"",""Subgroup 1: Fr ~ Tx!C3:C20""), $A55=IMPORTRANGE(""https://docs.google.com/spreadsheets/d/1kGrh75X1cNR1D7_FcY9zMnHP8iPO4M5"&amp;"RCRjy6nZY0TY/edit#gid=1248694442"",""Subgroup 1: Fr ~ Tx!A3:A20"")),"""")"),"")</f>
        <v/>
      </c>
      <c r="E55" s="20" t="str">
        <f>IFERROR(__xludf.DUMMYFUNCTION("IFNA(FILTER(IMPORTRANGE(""https://docs.google.com/spreadsheets/d/1kGrh75X1cNR1D7_FcY9zMnHP8iPO4M5RCRjy6nZY0TY/edit#gid=1248694442"",""Subgroup 1: Fr ~ Tx!D3:D20""), $A55=IMPORTRANGE(""https://docs.google.com/spreadsheets/d/1kGrh75X1cNR1D7_FcY9zMnHP8iPO4M5"&amp;"RCRjy6nZY0TY/edit#gid=1248694442"",""Subgroup 1: Fr ~ Tx!A3:A20"")),"""")"),"")</f>
        <v/>
      </c>
      <c r="F55" s="20" t="str">
        <f>IFERROR(__xludf.DUMMYFUNCTION("IFNA(FILTER(IMPORTRANGE(""https://docs.google.com/spreadsheets/d/1kGrh75X1cNR1D7_FcY9zMnHP8iPO4M5RCRjy6nZY0TY/edit#gid=1248694442"",""Subgroup 1: Fr ~ Tx!E3:E20""), $A55=IMPORTRANGE(""https://docs.google.com/spreadsheets/d/1kGrh75X1cNR1D7_FcY9zMnHP8iPO4M5"&amp;"RCRjy6nZY0TY/edit#gid=1248694442"",""Subgroup 1: Fr ~ Tx!A3:A20"")),"""")"),"")</f>
        <v/>
      </c>
      <c r="G55" s="20" t="str">
        <f>IFERROR(__xludf.DUMMYFUNCTION("IFNA(FILTER(IMPORTRANGE(""https://docs.google.com/spreadsheets/d/1kGrh75X1cNR1D7_FcY9zMnHP8iPO4M5RCRjy6nZY0TY/edit#gid=1248694442"",""Subgroup 1: Fr ~ Tx!F3:F20""), $A55=IMPORTRANGE(""https://docs.google.com/spreadsheets/d/1kGrh75X1cNR1D7_FcY9zMnHP8iPO4M5"&amp;"RCRjy6nZY0TY/edit#gid=1248694442"",""Subgroup 1: Fr ~ Tx!A3:A20"")),"""")"),"")</f>
        <v/>
      </c>
      <c r="H55" s="20" t="str">
        <f>IFERROR(__xludf.DUMMYFUNCTION("IFNA(FILTER(IMPORTRANGE(""https://docs.google.com/spreadsheets/d/1kGrh75X1cNR1D7_FcY9zMnHP8iPO4M5RCRjy6nZY0TY/edit#gid=1248694442"",""Table 3: 1st-line HC!BD5:BD111""), $A55=IMPORTRANGE(""https://docs.google.com/spreadsheets/d/1kGrh75X1cNR1D7_FcY9zMnHP8iP"&amp;"O4M5RCRjy6nZY0TY/edit#gid=1248694442"",""Table 3: 1st-line HC!A5:A111"")),"""")"),"")</f>
        <v/>
      </c>
      <c r="I55" s="20" t="str">
        <f>IFERROR(__xludf.DUMMYFUNCTION("IFNA(FILTER(IMPORTRANGE(""https://docs.google.com/spreadsheets/d/1kGrh75X1cNR1D7_FcY9zMnHP8iPO4M5RCRjy6nZY0TY/edit#gid=1248694442"",""Subgroup 5: Tf ~ Tx!B3:B8""), $A55=IMPORTRANGE(""https://docs.google.com/spreadsheets/d/1kGrh75X1cNR1D7_FcY9zMnHP8iPO4M5R"&amp;"CRjy6nZY0TY/edit#gid=1248694442"",""Subgroup 5: Tf ~ Tx!A3:A8"")),"""")"),"")</f>
        <v/>
      </c>
      <c r="J55" s="20" t="str">
        <f>IFERROR(__xludf.DUMMYFUNCTION("IFNA(FILTER(IMPORTRANGE(""https://docs.google.com/spreadsheets/d/1kGrh75X1cNR1D7_FcY9zMnHP8iPO4M5RCRjy6nZY0TY/edit#gid=1248694442"",""Subgroup 5: Tf ~ Tx!C3:C8""), $A55=IMPORTRANGE(""https://docs.google.com/spreadsheets/d/1kGrh75X1cNR1D7_FcY9zMnHP8iPO4M5R"&amp;"CRjy6nZY0TY/edit#gid=1248694442"",""Subgroup 5: Tf ~ Tx!A3:A8"")),"""")"),"")</f>
        <v/>
      </c>
      <c r="K55" s="20" t="str">
        <f>IFERROR(__xludf.DUMMYFUNCTION("IFNA(FILTER(IMPORTRANGE(""https://docs.google.com/spreadsheets/d/1kGrh75X1cNR1D7_FcY9zMnHP8iPO4M5RCRjy6nZY0TY/edit#gid=1248694442"",""Subgroup 5: Tf ~ Tx!D3:D8""), $A55=IMPORTRANGE(""https://docs.google.com/spreadsheets/d/1kGrh75X1cNR1D7_FcY9zMnHP8iPO4M5R"&amp;"CRjy6nZY0TY/edit#gid=1248694442"",""Subgroup 5: Tf ~ Tx!A3:A8"")),"""")"),"")</f>
        <v/>
      </c>
      <c r="L55" s="20" t="str">
        <f>IFERROR(__xludf.DUMMYFUNCTION("IFNA(FILTER(IMPORTRANGE(""https://docs.google.com/spreadsheets/d/1kGrh75X1cNR1D7_FcY9zMnHP8iPO4M5RCRjy6nZY0TY/edit#gid=1248694442"",""Subgroup 5: Tf ~ Tx!E3:E8""), $A55=IMPORTRANGE(""https://docs.google.com/spreadsheets/d/1kGrh75X1cNR1D7_FcY9zMnHP8iPO4M5R"&amp;"CRjy6nZY0TY/edit#gid=1248694442"",""Subgroup 5: Tf ~ Tx!A3:A8"")),"""")"),"")</f>
        <v/>
      </c>
      <c r="M55" s="20" t="str">
        <f>IFERROR(__xludf.DUMMYFUNCTION("IFNA(FILTER(IMPORTRANGE(""https://docs.google.com/spreadsheets/d/1kGrh75X1cNR1D7_FcY9zMnHP8iPO4M5RCRjy6nZY0TY/edit#gid=1248694442"",""Subgroup 5: Tf ~ Tx!F3:F8""), $A55=IMPORTRANGE(""https://docs.google.com/spreadsheets/d/1kGrh75X1cNR1D7_FcY9zMnHP8iPO4M5R"&amp;"CRjy6nZY0TY/edit#gid=1248694442"",""Subgroup 5: Tf ~ Tx!A3:A8"")),"""")"),"")</f>
        <v/>
      </c>
      <c r="N55" s="20" t="str">
        <f>IFERROR(__xludf.DUMMYFUNCTION("IFNA(FILTER(IMPORTRANGE(""https://docs.google.com/spreadsheets/d/1kGrh75X1cNR1D7_FcY9zMnHP8iPO4M5RCRjy6nZY0TY/edit#gid=1248694442"",""Table 3: 1st-line HC!BE5:BE111""), $A55=IMPORTRANGE(""https://docs.google.com/spreadsheets/d/1kGrh75X1cNR1D7_FcY9zMnHP8iP"&amp;"O4M5RCRjy6nZY0TY/edit#gid=1248694442"",""Table 3: 1st-line HC!A5:A111"")),"""")"),"")</f>
        <v/>
      </c>
      <c r="O55" s="20" t="str">
        <f>IFERROR(__xludf.DUMMYFUNCTION("IFNA(FILTER(IMPORTRANGE(""https://docs.google.com/spreadsheets/d/1kGrh75X1cNR1D7_FcY9zMnHP8iPO4M5RCRjy6nZY0TY/edit#gid=1248694442"",""Table 3: 1st-line HC!BF5:BF111""), $A55=IMPORTRANGE(""https://docs.google.com/spreadsheets/d/1kGrh75X1cNR1D7_FcY9zMnHP8iP"&amp;"O4M5RCRjy6nZY0TY/edit#gid=1248694442"",""Table 3: 1st-line HC!A5:A111"")),"""")"),"")</f>
        <v/>
      </c>
      <c r="P55" s="20" t="str">
        <f>IFERROR(__xludf.DUMMYFUNCTION("IFNA(FILTER(IMPORTRANGE(""https://docs.google.com/spreadsheets/d/1kGrh75X1cNR1D7_FcY9zMnHP8iPO4M5RCRjy6nZY0TY/edit#gid=1248694442"",""Table 3: 1st-line HC!BG5:BG111""), $A55=IMPORTRANGE(""https://docs.google.com/spreadsheets/d/1kGrh75X1cNR1D7_FcY9zMnHP8iP"&amp;"O4M5RCRjy6nZY0TY/edit#gid=1248694442"",""Table 3: 1st-line HC!A5:A111"")),"""")"),"")</f>
        <v/>
      </c>
      <c r="Q55" s="21" t="str">
        <f>IFERROR(__xludf.DUMMYFUNCTION("IFNA(FILTER(IMPORTRANGE(""https://docs.google.com/spreadsheets/d/1kGrh75X1cNR1D7_FcY9zMnHP8iPO4M5RCRjy6nZY0TY/edit#gid=1248694442"",""Table 3: 1st-line HC!BH5:BH111""), $A55=IMPORTRANGE(""https://docs.google.com/spreadsheets/d/1kGrh75X1cNR1D7_FcY9zMnHP8iP"&amp;"O4M5RCRjy6nZY0TY/edit#gid=1248694442"",""Table 3: 1st-line HC!A5:A111"")),"""")"),"")</f>
        <v/>
      </c>
      <c r="R55" s="19" t="str">
        <f>IFERROR(__xludf.DUMMYFUNCTION("IFNA(FILTER(IMPORTRANGE(""https://docs.google.com/spreadsheets/d/1kGrh75X1cNR1D7_FcY9zMnHP8iPO4M5RCRjy6nZY0TY/edit#gid=1248694442"",""Table 3: 1st-line HC!AJ5:AJ111""), $A55=IMPORTRANGE(""https://docs.google.com/spreadsheets/d/1kGrh75X1cNR1D7_FcY9zMnHP8iP"&amp;"O4M5RCRjy6nZY0TY/edit#gid=1248694442"",""Table 3: 1st-line HC!A5:A111"")),"""")"),"")</f>
        <v/>
      </c>
      <c r="S55" s="20" t="str">
        <f>IFERROR(__xludf.DUMMYFUNCTION("IFNA(FILTER(IMPORTRANGE(""https://docs.google.com/spreadsheets/d/1kGrh75X1cNR1D7_FcY9zMnHP8iPO4M5RCRjy6nZY0TY/edit#gid=1248694442"",""Subgroup 3: Mi ~ Tx!B3:B17""), $A55=IMPORTRANGE(""https://docs.google.com/spreadsheets/d/1kGrh75X1cNR1D7_FcY9zMnHP8iPO4M5"&amp;"RCRjy6nZY0TY/edit#gid=1248694442"",""Subgroup 3: Mi ~ Tx!A3:A17"")),"""")"),"")</f>
        <v/>
      </c>
      <c r="T55" s="20" t="str">
        <f>IFERROR(__xludf.DUMMYFUNCTION("IFNA(FILTER(IMPORTRANGE(""https://docs.google.com/spreadsheets/d/1kGrh75X1cNR1D7_FcY9zMnHP8iPO4M5RCRjy6nZY0TY/edit#gid=1248694442"",""Subgroup 3: Mi ~ Tx!C3:C17""), $A55=IMPORTRANGE(""https://docs.google.com/spreadsheets/d/1kGrh75X1cNR1D7_FcY9zMnHP8iPO4M5"&amp;"RCRjy6nZY0TY/edit#gid=1248694442"",""Subgroup 3: Mi ~ Tx!A3:A17"")),"""")"),"")</f>
        <v/>
      </c>
      <c r="U55" s="20" t="str">
        <f>IFERROR(__xludf.DUMMYFUNCTION("IFNA(FILTER(IMPORTRANGE(""https://docs.google.com/spreadsheets/d/1kGrh75X1cNR1D7_FcY9zMnHP8iPO4M5RCRjy6nZY0TY/edit#gid=1248694442"",""Subgroup 3: Mi ~ Tx!D3:D17""), $A55=IMPORTRANGE(""https://docs.google.com/spreadsheets/d/1kGrh75X1cNR1D7_FcY9zMnHP8iPO4M5"&amp;"RCRjy6nZY0TY/edit#gid=1248694442"",""Subgroup 3: Mi ~ Tx!A3:A17"")),"""")"),"")</f>
        <v/>
      </c>
      <c r="V55" s="20" t="str">
        <f>IFERROR(__xludf.DUMMYFUNCTION("IFNA(FILTER(IMPORTRANGE(""https://docs.google.com/spreadsheets/d/1kGrh75X1cNR1D7_FcY9zMnHP8iPO4M5RCRjy6nZY0TY/edit#gid=1248694442"",""Subgroup 3: Mi ~ Tx!E3:E17""), $A55=IMPORTRANGE(""https://docs.google.com/spreadsheets/d/1kGrh75X1cNR1D7_FcY9zMnHP8iPO4M5"&amp;"RCRjy6nZY0TY/edit#gid=1248694442"",""Subgroup 3: Mi ~ Tx!A3:A17"")),"""")"),"")</f>
        <v/>
      </c>
      <c r="W55" s="20" t="str">
        <f>IFERROR(__xludf.DUMMYFUNCTION("IFNA(FILTER(IMPORTRANGE(""https://docs.google.com/spreadsheets/d/1kGrh75X1cNR1D7_FcY9zMnHP8iPO4M5RCRjy6nZY0TY/edit#gid=1248694442"",""Subgroup 3: Mi ~ Tx!F3:F17""), $A55=IMPORTRANGE(""https://docs.google.com/spreadsheets/d/1kGrh75X1cNR1D7_FcY9zMnHP8iPO4M5"&amp;"RCRjy6nZY0TY/edit#gid=1248694442"",""Subgroup 3: Mi ~ Tx!A3:A17"")),"""")"),"")</f>
        <v/>
      </c>
      <c r="X55" s="19" t="str">
        <f>IFERROR(__xludf.DUMMYFUNCTION("IFNA(FILTER(IMPORTRANGE(""https://docs.google.com/spreadsheets/d/1kGrh75X1cNR1D7_FcY9zMnHP8iPO4M5RCRjy6nZY0TY/edit#gid=1248694442"",""Table 3: 1st-line HC!AK5:AK111""), $A55=IMPORTRANGE(""https://docs.google.com/spreadsheets/d/1kGrh75X1cNR1D7_FcY9zMnHP8iP"&amp;"O4M5RCRjy6nZY0TY/edit#gid=1248694442"",""Table 3: 1st-line HC!A5:A111"")),"""")"),"")</f>
        <v/>
      </c>
      <c r="Y55" s="20" t="str">
        <f>IFERROR(__xludf.DUMMYFUNCTION("IFNA(FILTER(IMPORTRANGE(""https://docs.google.com/spreadsheets/d/1kGrh75X1cNR1D7_FcY9zMnHP8iPO4M5RCRjy6nZY0TY/edit#gid=1248694442"",""Subgroup 4: Mp ~ Tx!B3:B20""), $A55=IMPORTRANGE(""https://docs.google.com/spreadsheets/d/1kGrh75X1cNR1D7_FcY9zMnHP8iPO4M5"&amp;"RCRjy6nZY0TY/edit#gid=1248694442"",""Subgroup 4: Mp ~ Tx!A3:A20"")),"""")"),"")</f>
        <v/>
      </c>
      <c r="Z55" s="20" t="str">
        <f>IFERROR(__xludf.DUMMYFUNCTION("IFNA(FILTER(IMPORTRANGE(""https://docs.google.com/spreadsheets/d/1kGrh75X1cNR1D7_FcY9zMnHP8iPO4M5RCRjy6nZY0TY/edit#gid=1248694442"",""Subgroup 4: Mp ~ Tx!C3:C20""), $A55=IMPORTRANGE(""https://docs.google.com/spreadsheets/d/1kGrh75X1cNR1D7_FcY9zMnHP8iPO4M5"&amp;"RCRjy6nZY0TY/edit#gid=1248694442"",""Subgroup 4: Mp ~ Tx!A3:A20"")),"""")"),"")</f>
        <v/>
      </c>
      <c r="AA55" s="20" t="str">
        <f>IFERROR(__xludf.DUMMYFUNCTION("IFNA(FILTER(IMPORTRANGE(""https://docs.google.com/spreadsheets/d/1kGrh75X1cNR1D7_FcY9zMnHP8iPO4M5RCRjy6nZY0TY/edit#gid=1248694442"",""Subgroup 4: Mp ~ Tx!D3:D20""), $A55=IMPORTRANGE(""https://docs.google.com/spreadsheets/d/1kGrh75X1cNR1D7_FcY9zMnHP8iPO4M5"&amp;"RCRjy6nZY0TY/edit#gid=1248694442"",""Subgroup 4: Mp ~ Tx!A3:A20"")),"""")"),"")</f>
        <v/>
      </c>
      <c r="AB55" s="20" t="str">
        <f>IFERROR(__xludf.DUMMYFUNCTION("IFNA(FILTER(IMPORTRANGE(""https://docs.google.com/spreadsheets/d/1kGrh75X1cNR1D7_FcY9zMnHP8iPO4M5RCRjy6nZY0TY/edit#gid=1248694442"",""Subgroup 4: Mp ~ Tx!E3:E20""), $A55=IMPORTRANGE(""https://docs.google.com/spreadsheets/d/1kGrh75X1cNR1D7_FcY9zMnHP8iPO4M5"&amp;"RCRjy6nZY0TY/edit#gid=1248694442"",""Subgroup 4: Mp ~ Tx!A3:A20"")),"""")"),"")</f>
        <v/>
      </c>
      <c r="AC55" s="20" t="str">
        <f>IFERROR(__xludf.DUMMYFUNCTION("IFNA(FILTER(IMPORTRANGE(""https://docs.google.com/spreadsheets/d/1kGrh75X1cNR1D7_FcY9zMnHP8iPO4M5RCRjy6nZY0TY/edit#gid=1248694442"",""Subgroup 4: Mp ~ Tx!F3:F20""), $A55=IMPORTRANGE(""https://docs.google.com/spreadsheets/d/1kGrh75X1cNR1D7_FcY9zMnHP8iPO4M5"&amp;"RCRjy6nZY0TY/edit#gid=1248694442"",""Subgroup 4: Mp ~ Tx!A3:A20"")),"""")"),"")</f>
        <v/>
      </c>
      <c r="AD55" s="22" t="str">
        <f>IFERROR(__xludf.DUMMYFUNCTION("IFNA(FILTER(IMPORTRANGE(""https://docs.google.com/spreadsheets/d/1kGrh75X1cNR1D7_FcY9zMnHP8iPO4M5RCRjy6nZY0TY/edit#gid=1248694442"",""Table 3: 1st-line HC!AL5:AL111""), $A55=IMPORTRANGE(""https://docs.google.com/spreadsheets/d/1kGrh75X1cNR1D7_FcY9zMnHP8iP"&amp;"O4M5RCRjy6nZY0TY/edit#gid=1248694442"",""Table 3: 1st-line HC!A5:A111"")),"""")"),"")</f>
        <v/>
      </c>
      <c r="AE55" s="20" t="str">
        <f>IFERROR(__xludf.DUMMYFUNCTION("IFNA(FILTER(IMPORTRANGE(""https://docs.google.com/spreadsheets/d/1kGrh75X1cNR1D7_FcY9zMnHP8iPO4M5RCRjy6nZY0TY/edit#gid=1248694442"",""Table 3: 1st-line HC!BJ5:BJ111""), $A55=IMPORTRANGE(""https://docs.google.com/spreadsheets/d/1kGrh75X1cNR1D7_FcY9zMnHP8iP"&amp;"O4M5RCRjy6nZY0TY/edit#gid=1248694442"",""Table 3: 1st-line HC!A5:A111"")),"""")"),"")</f>
        <v/>
      </c>
      <c r="AF55" s="20" t="str">
        <f>IFERROR(__xludf.DUMMYFUNCTION("IFNA(FILTER(IMPORTRANGE(""https://docs.google.com/spreadsheets/d/1kGrh75X1cNR1D7_FcY9zMnHP8iPO4M5RCRjy6nZY0TY/edit#gid=1248694442"",""Subgroup 2: Cr ~ Tx!B3:B23""), $A55=IMPORTRANGE(""https://docs.google.com/spreadsheets/d/1kGrh75X1cNR1D7_FcY9zMnHP8iPO4M5"&amp;"RCRjy6nZY0TY/edit#gid=1248694442"",""Subgroup 2: Cr ~ Tx!A3:A23"")),"""")"),"")</f>
        <v/>
      </c>
      <c r="AG55" s="20" t="str">
        <f>IFERROR(__xludf.DUMMYFUNCTION("IFNA(FILTER(IMPORTRANGE(""https://docs.google.com/spreadsheets/d/1kGrh75X1cNR1D7_FcY9zMnHP8iPO4M5RCRjy6nZY0TY/edit#gid=1248694442"",""Subgroup 2: Cr ~ Tx!C3:C23""), $A55=IMPORTRANGE(""https://docs.google.com/spreadsheets/d/1kGrh75X1cNR1D7_FcY9zMnHP8iPO4M5"&amp;"RCRjy6nZY0TY/edit#gid=1248694442"",""Subgroup 2: Cr ~ Tx!A3:A23"")),"""")"),"")</f>
        <v/>
      </c>
      <c r="AH55" s="20" t="str">
        <f>IFERROR(__xludf.DUMMYFUNCTION("IFNA(FILTER(IMPORTRANGE(""https://docs.google.com/spreadsheets/d/1kGrh75X1cNR1D7_FcY9zMnHP8iPO4M5RCRjy6nZY0TY/edit#gid=1248694442"",""Subgroup 2: Cr ~ Tx!D3:D23""), $A55=IMPORTRANGE(""https://docs.google.com/spreadsheets/d/1kGrh75X1cNR1D7_FcY9zMnHP8iPO4M5"&amp;"RCRjy6nZY0TY/edit#gid=1248694442"",""Subgroup 2: Cr ~ Tx!A3:A23"")),"""")"),"")</f>
        <v/>
      </c>
      <c r="AI55" s="20" t="str">
        <f>IFERROR(__xludf.DUMMYFUNCTION("IFNA(FILTER(IMPORTRANGE(""https://docs.google.com/spreadsheets/d/1kGrh75X1cNR1D7_FcY9zMnHP8iPO4M5RCRjy6nZY0TY/edit#gid=1248694442"",""Subgroup 2: Cr ~ Tx!E3:E23""), $A55=IMPORTRANGE(""https://docs.google.com/spreadsheets/d/1kGrh75X1cNR1D7_FcY9zMnHP8iPO4M5"&amp;"RCRjy6nZY0TY/edit#gid=1248694442"",""Subgroup 2: Cr ~ Tx!A3:A23"")),"""")"),"")</f>
        <v/>
      </c>
      <c r="AJ55" s="20" t="str">
        <f>IFERROR(__xludf.DUMMYFUNCTION("IFNA(FILTER(IMPORTRANGE(""https://docs.google.com/spreadsheets/d/1kGrh75X1cNR1D7_FcY9zMnHP8iPO4M5RCRjy6nZY0TY/edit#gid=1248694442"",""Subgroup 2: Cr ~ Tx!F3:F23""), $A55=IMPORTRANGE(""https://docs.google.com/spreadsheets/d/1kGrh75X1cNR1D7_FcY9zMnHP8iPO4M5"&amp;"RCRjy6nZY0TY/edit#gid=1248694442"",""Subgroup 2: Cr ~ Tx!A3:A23"")),"""")"),"")</f>
        <v/>
      </c>
      <c r="AK55" s="14" t="str">
        <f>IFERROR(__xludf.DUMMYFUNCTION("IFNA(FILTER(IMPORTRANGE(""https://docs.google.com/spreadsheets/d/1kGrh75X1cNR1D7_FcY9zMnHP8iPO4M5RCRjy6nZY0TY/edit#gid=1248694442"",""Table 4: 2nd-line HC or more!M5:M85""), $A55=IMPORTRANGE(""https://docs.google.com/spreadsheets/d/1kGrh75X1cNR1D7_FcY9zMn"&amp;"HP8iPO4M5RCRjy6nZY0TY/edit#gid=1248694442"",""Table 4: 2nd-line HC or more!A5:A85"")),"""")"),"")</f>
        <v/>
      </c>
      <c r="AL55" s="14">
        <f>IFERROR(__xludf.DUMMYFUNCTION("IFNA(FILTER(IMPORTRANGE(""https://docs.google.com/spreadsheets/d/1kGrh75X1cNR1D7_FcY9zMnHP8iPO4M5RCRjy6nZY0TY/edit#gid=1248694442"",""Table 4: 2nd-line HC or more!N5:N85""), $A55=IMPORTRANGE(""https://docs.google.com/spreadsheets/d/1kGrh75X1cNR1D7_FcY9zMn"&amp;"HP8iPO4M5RCRjy6nZY0TY/edit#gid=1248694442"",""Table 4: 2nd-line HC or more!A5:A85"")),"""")"),1.0)</f>
        <v>1</v>
      </c>
      <c r="AM55" s="14" t="str">
        <f>IFERROR(__xludf.DUMMYFUNCTION("IFNA(FILTER(IMPORTRANGE(""https://docs.google.com/spreadsheets/d/1kGrh75X1cNR1D7_FcY9zMnHP8iPO4M5RCRjy6nZY0TY/edit#gid=1248694442"",""Table 4: 2nd-line HC or more!O5:O85""), $A55=IMPORTRANGE(""https://docs.google.com/spreadsheets/d/1kGrh75X1cNR1D7_FcY9zMn"&amp;"HP8iPO4M5RCRjy6nZY0TY/edit#gid=1248694442"",""Table 4: 2nd-line HC or more!A5:A85"")),"""")"),"shunt blockage")</f>
        <v>shunt blockage</v>
      </c>
      <c r="AN55" s="14" t="str">
        <f>IFERROR(__xludf.DUMMYFUNCTION("IFNA(FILTER(IMPORTRANGE(""https://docs.google.com/spreadsheets/d/1kGrh75X1cNR1D7_FcY9zMnHP8iPO4M5RCRjy6nZY0TY/edit#gid=1248694442"",""Table 3: 1st-line HC!AP5:AP111""), $A55=IMPORTRANGE(""https://docs.google.com/spreadsheets/d/1kGrh75X1cNR1D7_FcY9zMnHP8iP"&amp;"O4M5RCRjy6nZY0TY/edit#gid=1248694442"",""Table 3: 1st-line HC!A5:A111"")),"""")"),"")</f>
        <v/>
      </c>
      <c r="AO55" s="14" t="str">
        <f>IFERROR(__xludf.DUMMYFUNCTION("IFNA(FILTER(IMPORTRANGE(""https://docs.google.com/spreadsheets/d/1kGrh75X1cNR1D7_FcY9zMnHP8iPO4M5RCRjy6nZY0TY/edit#gid=1248694442"",""Table 3: 1st-line HC!AO5:AO111""), $A55=IMPORTRANGE(""https://docs.google.com/spreadsheets/d/1kGrh75X1cNR1D7_FcY9zMnHP8iP"&amp;"O4M5RCRjy6nZY0TY/edit#gid=1248694442"",""Table 3: 1st-line HC!A5:A111"")),"""")"),"")</f>
        <v/>
      </c>
      <c r="AP55" s="14" t="str">
        <f>IFERROR(__xludf.DUMMYFUNCTION("IFNA(FILTER(IMPORTRANGE(""https://docs.google.com/spreadsheets/d/1kGrh75X1cNR1D7_FcY9zMnHP8iPO4M5RCRjy6nZY0TY/edit#gid=1248694442"",""Table 3: 1st-line HC!AQ5:AQ111""), $A55=IMPORTRANGE(""https://docs.google.com/spreadsheets/d/1kGrh75X1cNR1D7_FcY9zMnHP8iP"&amp;"O4M5RCRjy6nZY0TY/edit#gid=1248694442"",""Table 3: 1st-line HC!A5:A111"")),"""")"),"")</f>
        <v/>
      </c>
      <c r="AQ55" s="14" t="str">
        <f>IFERROR(__xludf.DUMMYFUNCTION("IFNA(FILTER(IMPORTRANGE(""https://docs.google.com/spreadsheets/d/1kGrh75X1cNR1D7_FcY9zMnHP8iPO4M5RCRjy6nZY0TY/edit#gid=1248694442"",""Table 2: MMC!T5:T114""), $A55=IMPORTRANGE(""https://docs.google.com/spreadsheets/d/1kGrh75X1cNR1D7_FcY9zMnHP8iPO4M5RCRjy6"&amp;"nZY0TY/edit#gid=1248694442"",""Table 2: MMC!A5:A114"")),"""")"),"")</f>
        <v/>
      </c>
      <c r="AR55" s="14" t="str">
        <f>IFERROR(__xludf.DUMMYFUNCTION("IFNA(FILTER(IMPORTRANGE(""https://docs.google.com/spreadsheets/d/1kGrh75X1cNR1D7_FcY9zMnHP8iPO4M5RCRjy6nZY0TY/edit#gid=1248694442"",""Table 2: MMC!U5:U114""), $A55=IMPORTRANGE(""https://docs.google.com/spreadsheets/d/1kGrh75X1cNR1D7_FcY9zMnHP8iPO4M5RCRjy6"&amp;"nZY0TY/edit#gid=1248694442"",""Table 2: MMC!A5:A114"")),"""")"),"")</f>
        <v/>
      </c>
      <c r="AS55" s="14">
        <f>IFERROR(__xludf.DUMMYFUNCTION("IFNA(FILTER(IMPORTRANGE(""https://docs.google.com/spreadsheets/d/1kGrh75X1cNR1D7_FcY9zMnHP8iPO4M5RCRjy6nZY0TY/edit#gid=1248694442"",""Table 2: MMC!V5:V114""), $A55=IMPORTRANGE(""https://docs.google.com/spreadsheets/d/1kGrh75X1cNR1D7_FcY9zMnHP8iPO4M5RCRjy6"&amp;"nZY0TY/edit#gid=1248694442"",""Table 2: MMC!A5:A114"")),"""")"),1.0)</f>
        <v>1</v>
      </c>
      <c r="AT55" s="4" t="str">
        <f>IFERROR(__xludf.DUMMYFUNCTION("IFNA(FILTER(IMPORTRANGE(""https://docs.google.com/spreadsheets/d/1kGrh75X1cNR1D7_FcY9zMnHP8iPO4M5RCRjy6nZY0TY/edit#gid=1248694442"",""Table 2: MMC!W5:W114""), $A55=IMPORTRANGE(""https://docs.google.com/spreadsheets/d/1kGrh75X1cNR1D7_FcY9zMnHP8iPO4M5RCRjy6"&amp;"nZY0TY/edit#gid=1248694442"",""Table 2: MMC!A5:A114"")),"""")"),"ventriculitis=1")</f>
        <v>ventriculitis=1</v>
      </c>
    </row>
    <row r="56">
      <c r="A56" s="4" t="str">
        <f>IFERROR(__xludf.DUMMYFUNCTION("""COMPUTED_VALUE"""),"ID 112")</f>
        <v>ID 112</v>
      </c>
      <c r="B56" s="20" t="str">
        <f>IFERROR(__xludf.DUMMYFUNCTION("IFNA(FILTER(IMPORTRANGE(""https://docs.google.com/spreadsheets/d/1kGrh75X1cNR1D7_FcY9zMnHP8iPO4M5RCRjy6nZY0TY/edit#gid=1248694442"",""Table 3: 1st-line HC!BK5:BK111""), $A56=IMPORTRANGE(""https://docs.google.com/spreadsheets/d/1kGrh75X1cNR1D7_FcY9zMnHP8iP"&amp;"O4M5RCRjy6nZY0TY/edit#gid=1248694442"",""Table 3: 1st-line HC!A5:A111"")),"""")"),"")</f>
        <v/>
      </c>
      <c r="C56" s="20" t="str">
        <f>IFERROR(__xludf.DUMMYFUNCTION("IFNA(FILTER(IMPORTRANGE(""https://docs.google.com/spreadsheets/d/1kGrh75X1cNR1D7_FcY9zMnHP8iPO4M5RCRjy6nZY0TY/edit#gid=1248694442"",""Subgroup 1: Fr ~ Tx!B3:B20""), $A56=IMPORTRANGE(""https://docs.google.com/spreadsheets/d/1kGrh75X1cNR1D7_FcY9zMnHP8iPO4M5"&amp;"RCRjy6nZY0TY/edit#gid=1248694442"",""Subgroup 1: Fr ~ Tx!A3:A20"")),"""")"),"")</f>
        <v/>
      </c>
      <c r="D56" s="20" t="str">
        <f>IFERROR(__xludf.DUMMYFUNCTION("IFNA(FILTER(IMPORTRANGE(""https://docs.google.com/spreadsheets/d/1kGrh75X1cNR1D7_FcY9zMnHP8iPO4M5RCRjy6nZY0TY/edit#gid=1248694442"",""Subgroup 1: Fr ~ Tx!C3:C20""), $A56=IMPORTRANGE(""https://docs.google.com/spreadsheets/d/1kGrh75X1cNR1D7_FcY9zMnHP8iPO4M5"&amp;"RCRjy6nZY0TY/edit#gid=1248694442"",""Subgroup 1: Fr ~ Tx!A3:A20"")),"""")"),"")</f>
        <v/>
      </c>
      <c r="E56" s="20" t="str">
        <f>IFERROR(__xludf.DUMMYFUNCTION("IFNA(FILTER(IMPORTRANGE(""https://docs.google.com/spreadsheets/d/1kGrh75X1cNR1D7_FcY9zMnHP8iPO4M5RCRjy6nZY0TY/edit#gid=1248694442"",""Subgroup 1: Fr ~ Tx!D3:D20""), $A56=IMPORTRANGE(""https://docs.google.com/spreadsheets/d/1kGrh75X1cNR1D7_FcY9zMnHP8iPO4M5"&amp;"RCRjy6nZY0TY/edit#gid=1248694442"",""Subgroup 1: Fr ~ Tx!A3:A20"")),"""")"),"")</f>
        <v/>
      </c>
      <c r="F56" s="20" t="str">
        <f>IFERROR(__xludf.DUMMYFUNCTION("IFNA(FILTER(IMPORTRANGE(""https://docs.google.com/spreadsheets/d/1kGrh75X1cNR1D7_FcY9zMnHP8iPO4M5RCRjy6nZY0TY/edit#gid=1248694442"",""Subgroup 1: Fr ~ Tx!E3:E20""), $A56=IMPORTRANGE(""https://docs.google.com/spreadsheets/d/1kGrh75X1cNR1D7_FcY9zMnHP8iPO4M5"&amp;"RCRjy6nZY0TY/edit#gid=1248694442"",""Subgroup 1: Fr ~ Tx!A3:A20"")),"""")"),"")</f>
        <v/>
      </c>
      <c r="G56" s="20" t="str">
        <f>IFERROR(__xludf.DUMMYFUNCTION("IFNA(FILTER(IMPORTRANGE(""https://docs.google.com/spreadsheets/d/1kGrh75X1cNR1D7_FcY9zMnHP8iPO4M5RCRjy6nZY0TY/edit#gid=1248694442"",""Subgroup 1: Fr ~ Tx!F3:F20""), $A56=IMPORTRANGE(""https://docs.google.com/spreadsheets/d/1kGrh75X1cNR1D7_FcY9zMnHP8iPO4M5"&amp;"RCRjy6nZY0TY/edit#gid=1248694442"",""Subgroup 1: Fr ~ Tx!A3:A20"")),"""")"),"")</f>
        <v/>
      </c>
      <c r="H56" s="20" t="str">
        <f>IFERROR(__xludf.DUMMYFUNCTION("IFNA(FILTER(IMPORTRANGE(""https://docs.google.com/spreadsheets/d/1kGrh75X1cNR1D7_FcY9zMnHP8iPO4M5RCRjy6nZY0TY/edit#gid=1248694442"",""Table 3: 1st-line HC!BD5:BD111""), $A56=IMPORTRANGE(""https://docs.google.com/spreadsheets/d/1kGrh75X1cNR1D7_FcY9zMnHP8iP"&amp;"O4M5RCRjy6nZY0TY/edit#gid=1248694442"",""Table 3: 1st-line HC!A5:A111"")),"""")"),"")</f>
        <v/>
      </c>
      <c r="I56" s="20" t="str">
        <f>IFERROR(__xludf.DUMMYFUNCTION("IFNA(FILTER(IMPORTRANGE(""https://docs.google.com/spreadsheets/d/1kGrh75X1cNR1D7_FcY9zMnHP8iPO4M5RCRjy6nZY0TY/edit#gid=1248694442"",""Subgroup 5: Tf ~ Tx!B3:B8""), $A56=IMPORTRANGE(""https://docs.google.com/spreadsheets/d/1kGrh75X1cNR1D7_FcY9zMnHP8iPO4M5R"&amp;"CRjy6nZY0TY/edit#gid=1248694442"",""Subgroup 5: Tf ~ Tx!A3:A8"")),"""")"),"")</f>
        <v/>
      </c>
      <c r="J56" s="20" t="str">
        <f>IFERROR(__xludf.DUMMYFUNCTION("IFNA(FILTER(IMPORTRANGE(""https://docs.google.com/spreadsheets/d/1kGrh75X1cNR1D7_FcY9zMnHP8iPO4M5RCRjy6nZY0TY/edit#gid=1248694442"",""Subgroup 5: Tf ~ Tx!C3:C8""), $A56=IMPORTRANGE(""https://docs.google.com/spreadsheets/d/1kGrh75X1cNR1D7_FcY9zMnHP8iPO4M5R"&amp;"CRjy6nZY0TY/edit#gid=1248694442"",""Subgroup 5: Tf ~ Tx!A3:A8"")),"""")"),"")</f>
        <v/>
      </c>
      <c r="K56" s="20" t="str">
        <f>IFERROR(__xludf.DUMMYFUNCTION("IFNA(FILTER(IMPORTRANGE(""https://docs.google.com/spreadsheets/d/1kGrh75X1cNR1D7_FcY9zMnHP8iPO4M5RCRjy6nZY0TY/edit#gid=1248694442"",""Subgroup 5: Tf ~ Tx!D3:D8""), $A56=IMPORTRANGE(""https://docs.google.com/spreadsheets/d/1kGrh75X1cNR1D7_FcY9zMnHP8iPO4M5R"&amp;"CRjy6nZY0TY/edit#gid=1248694442"",""Subgroup 5: Tf ~ Tx!A3:A8"")),"""")"),"")</f>
        <v/>
      </c>
      <c r="L56" s="20" t="str">
        <f>IFERROR(__xludf.DUMMYFUNCTION("IFNA(FILTER(IMPORTRANGE(""https://docs.google.com/spreadsheets/d/1kGrh75X1cNR1D7_FcY9zMnHP8iPO4M5RCRjy6nZY0TY/edit#gid=1248694442"",""Subgroup 5: Tf ~ Tx!E3:E8""), $A56=IMPORTRANGE(""https://docs.google.com/spreadsheets/d/1kGrh75X1cNR1D7_FcY9zMnHP8iPO4M5R"&amp;"CRjy6nZY0TY/edit#gid=1248694442"",""Subgroup 5: Tf ~ Tx!A3:A8"")),"""")"),"")</f>
        <v/>
      </c>
      <c r="M56" s="20" t="str">
        <f>IFERROR(__xludf.DUMMYFUNCTION("IFNA(FILTER(IMPORTRANGE(""https://docs.google.com/spreadsheets/d/1kGrh75X1cNR1D7_FcY9zMnHP8iPO4M5RCRjy6nZY0TY/edit#gid=1248694442"",""Subgroup 5: Tf ~ Tx!F3:F8""), $A56=IMPORTRANGE(""https://docs.google.com/spreadsheets/d/1kGrh75X1cNR1D7_FcY9zMnHP8iPO4M5R"&amp;"CRjy6nZY0TY/edit#gid=1248694442"",""Subgroup 5: Tf ~ Tx!A3:A8"")),"""")"),"")</f>
        <v/>
      </c>
      <c r="N56" s="20" t="str">
        <f>IFERROR(__xludf.DUMMYFUNCTION("IFNA(FILTER(IMPORTRANGE(""https://docs.google.com/spreadsheets/d/1kGrh75X1cNR1D7_FcY9zMnHP8iPO4M5RCRjy6nZY0TY/edit#gid=1248694442"",""Table 3: 1st-line HC!BE5:BE111""), $A56=IMPORTRANGE(""https://docs.google.com/spreadsheets/d/1kGrh75X1cNR1D7_FcY9zMnHP8iP"&amp;"O4M5RCRjy6nZY0TY/edit#gid=1248694442"",""Table 3: 1st-line HC!A5:A111"")),"""")"),"")</f>
        <v/>
      </c>
      <c r="O56" s="20" t="str">
        <f>IFERROR(__xludf.DUMMYFUNCTION("IFNA(FILTER(IMPORTRANGE(""https://docs.google.com/spreadsheets/d/1kGrh75X1cNR1D7_FcY9zMnHP8iPO4M5RCRjy6nZY0TY/edit#gid=1248694442"",""Table 3: 1st-line HC!BF5:BF111""), $A56=IMPORTRANGE(""https://docs.google.com/spreadsheets/d/1kGrh75X1cNR1D7_FcY9zMnHP8iP"&amp;"O4M5RCRjy6nZY0TY/edit#gid=1248694442"",""Table 3: 1st-line HC!A5:A111"")),"""")"),"")</f>
        <v/>
      </c>
      <c r="P56" s="20" t="str">
        <f>IFERROR(__xludf.DUMMYFUNCTION("IFNA(FILTER(IMPORTRANGE(""https://docs.google.com/spreadsheets/d/1kGrh75X1cNR1D7_FcY9zMnHP8iPO4M5RCRjy6nZY0TY/edit#gid=1248694442"",""Table 3: 1st-line HC!BG5:BG111""), $A56=IMPORTRANGE(""https://docs.google.com/spreadsheets/d/1kGrh75X1cNR1D7_FcY9zMnHP8iP"&amp;"O4M5RCRjy6nZY0TY/edit#gid=1248694442"",""Table 3: 1st-line HC!A5:A111"")),"""")"),"")</f>
        <v/>
      </c>
      <c r="Q56" s="21" t="str">
        <f>IFERROR(__xludf.DUMMYFUNCTION("IFNA(FILTER(IMPORTRANGE(""https://docs.google.com/spreadsheets/d/1kGrh75X1cNR1D7_FcY9zMnHP8iPO4M5RCRjy6nZY0TY/edit#gid=1248694442"",""Table 3: 1st-line HC!BH5:BH111""), $A56=IMPORTRANGE(""https://docs.google.com/spreadsheets/d/1kGrh75X1cNR1D7_FcY9zMnHP8iP"&amp;"O4M5RCRjy6nZY0TY/edit#gid=1248694442"",""Table 3: 1st-line HC!A5:A111"")),"""")"),"")</f>
        <v/>
      </c>
      <c r="R56" s="19" t="str">
        <f>IFERROR(__xludf.DUMMYFUNCTION("IFNA(FILTER(IMPORTRANGE(""https://docs.google.com/spreadsheets/d/1kGrh75X1cNR1D7_FcY9zMnHP8iPO4M5RCRjy6nZY0TY/edit#gid=1248694442"",""Table 3: 1st-line HC!AJ5:AJ111""), $A56=IMPORTRANGE(""https://docs.google.com/spreadsheets/d/1kGrh75X1cNR1D7_FcY9zMnHP8iP"&amp;"O4M5RCRjy6nZY0TY/edit#gid=1248694442"",""Table 3: 1st-line HC!A5:A111"")),"""")"),"")</f>
        <v/>
      </c>
      <c r="S56" s="20" t="str">
        <f>IFERROR(__xludf.DUMMYFUNCTION("IFNA(FILTER(IMPORTRANGE(""https://docs.google.com/spreadsheets/d/1kGrh75X1cNR1D7_FcY9zMnHP8iPO4M5RCRjy6nZY0TY/edit#gid=1248694442"",""Subgroup 3: Mi ~ Tx!B3:B17""), $A56=IMPORTRANGE(""https://docs.google.com/spreadsheets/d/1kGrh75X1cNR1D7_FcY9zMnHP8iPO4M5"&amp;"RCRjy6nZY0TY/edit#gid=1248694442"",""Subgroup 3: Mi ~ Tx!A3:A17"")),"""")"),"")</f>
        <v/>
      </c>
      <c r="T56" s="20" t="str">
        <f>IFERROR(__xludf.DUMMYFUNCTION("IFNA(FILTER(IMPORTRANGE(""https://docs.google.com/spreadsheets/d/1kGrh75X1cNR1D7_FcY9zMnHP8iPO4M5RCRjy6nZY0TY/edit#gid=1248694442"",""Subgroup 3: Mi ~ Tx!C3:C17""), $A56=IMPORTRANGE(""https://docs.google.com/spreadsheets/d/1kGrh75X1cNR1D7_FcY9zMnHP8iPO4M5"&amp;"RCRjy6nZY0TY/edit#gid=1248694442"",""Subgroup 3: Mi ~ Tx!A3:A17"")),"""")"),"")</f>
        <v/>
      </c>
      <c r="U56" s="20" t="str">
        <f>IFERROR(__xludf.DUMMYFUNCTION("IFNA(FILTER(IMPORTRANGE(""https://docs.google.com/spreadsheets/d/1kGrh75X1cNR1D7_FcY9zMnHP8iPO4M5RCRjy6nZY0TY/edit#gid=1248694442"",""Subgroup 3: Mi ~ Tx!D3:D17""), $A56=IMPORTRANGE(""https://docs.google.com/spreadsheets/d/1kGrh75X1cNR1D7_FcY9zMnHP8iPO4M5"&amp;"RCRjy6nZY0TY/edit#gid=1248694442"",""Subgroup 3: Mi ~ Tx!A3:A17"")),"""")"),"")</f>
        <v/>
      </c>
      <c r="V56" s="20" t="str">
        <f>IFERROR(__xludf.DUMMYFUNCTION("IFNA(FILTER(IMPORTRANGE(""https://docs.google.com/spreadsheets/d/1kGrh75X1cNR1D7_FcY9zMnHP8iPO4M5RCRjy6nZY0TY/edit#gid=1248694442"",""Subgroup 3: Mi ~ Tx!E3:E17""), $A56=IMPORTRANGE(""https://docs.google.com/spreadsheets/d/1kGrh75X1cNR1D7_FcY9zMnHP8iPO4M5"&amp;"RCRjy6nZY0TY/edit#gid=1248694442"",""Subgroup 3: Mi ~ Tx!A3:A17"")),"""")"),"")</f>
        <v/>
      </c>
      <c r="W56" s="20" t="str">
        <f>IFERROR(__xludf.DUMMYFUNCTION("IFNA(FILTER(IMPORTRANGE(""https://docs.google.com/spreadsheets/d/1kGrh75X1cNR1D7_FcY9zMnHP8iPO4M5RCRjy6nZY0TY/edit#gid=1248694442"",""Subgroup 3: Mi ~ Tx!F3:F17""), $A56=IMPORTRANGE(""https://docs.google.com/spreadsheets/d/1kGrh75X1cNR1D7_FcY9zMnHP8iPO4M5"&amp;"RCRjy6nZY0TY/edit#gid=1248694442"",""Subgroup 3: Mi ~ Tx!A3:A17"")),"""")"),"")</f>
        <v/>
      </c>
      <c r="X56" s="19" t="str">
        <f>IFERROR(__xludf.DUMMYFUNCTION("IFNA(FILTER(IMPORTRANGE(""https://docs.google.com/spreadsheets/d/1kGrh75X1cNR1D7_FcY9zMnHP8iPO4M5RCRjy6nZY0TY/edit#gid=1248694442"",""Table 3: 1st-line HC!AK5:AK111""), $A56=IMPORTRANGE(""https://docs.google.com/spreadsheets/d/1kGrh75X1cNR1D7_FcY9zMnHP8iP"&amp;"O4M5RCRjy6nZY0TY/edit#gid=1248694442"",""Table 3: 1st-line HC!A5:A111"")),"""")"),"")</f>
        <v/>
      </c>
      <c r="Y56" s="20" t="str">
        <f>IFERROR(__xludf.DUMMYFUNCTION("IFNA(FILTER(IMPORTRANGE(""https://docs.google.com/spreadsheets/d/1kGrh75X1cNR1D7_FcY9zMnHP8iPO4M5RCRjy6nZY0TY/edit#gid=1248694442"",""Subgroup 4: Mp ~ Tx!B3:B20""), $A56=IMPORTRANGE(""https://docs.google.com/spreadsheets/d/1kGrh75X1cNR1D7_FcY9zMnHP8iPO4M5"&amp;"RCRjy6nZY0TY/edit#gid=1248694442"",""Subgroup 4: Mp ~ Tx!A3:A20"")),"""")"),"")</f>
        <v/>
      </c>
      <c r="Z56" s="20" t="str">
        <f>IFERROR(__xludf.DUMMYFUNCTION("IFNA(FILTER(IMPORTRANGE(""https://docs.google.com/spreadsheets/d/1kGrh75X1cNR1D7_FcY9zMnHP8iPO4M5RCRjy6nZY0TY/edit#gid=1248694442"",""Subgroup 4: Mp ~ Tx!C3:C20""), $A56=IMPORTRANGE(""https://docs.google.com/spreadsheets/d/1kGrh75X1cNR1D7_FcY9zMnHP8iPO4M5"&amp;"RCRjy6nZY0TY/edit#gid=1248694442"",""Subgroup 4: Mp ~ Tx!A3:A20"")),"""")"),"")</f>
        <v/>
      </c>
      <c r="AA56" s="20" t="str">
        <f>IFERROR(__xludf.DUMMYFUNCTION("IFNA(FILTER(IMPORTRANGE(""https://docs.google.com/spreadsheets/d/1kGrh75X1cNR1D7_FcY9zMnHP8iPO4M5RCRjy6nZY0TY/edit#gid=1248694442"",""Subgroup 4: Mp ~ Tx!D3:D20""), $A56=IMPORTRANGE(""https://docs.google.com/spreadsheets/d/1kGrh75X1cNR1D7_FcY9zMnHP8iPO4M5"&amp;"RCRjy6nZY0TY/edit#gid=1248694442"",""Subgroup 4: Mp ~ Tx!A3:A20"")),"""")"),"")</f>
        <v/>
      </c>
      <c r="AB56" s="20" t="str">
        <f>IFERROR(__xludf.DUMMYFUNCTION("IFNA(FILTER(IMPORTRANGE(""https://docs.google.com/spreadsheets/d/1kGrh75X1cNR1D7_FcY9zMnHP8iPO4M5RCRjy6nZY0TY/edit#gid=1248694442"",""Subgroup 4: Mp ~ Tx!E3:E20""), $A56=IMPORTRANGE(""https://docs.google.com/spreadsheets/d/1kGrh75X1cNR1D7_FcY9zMnHP8iPO4M5"&amp;"RCRjy6nZY0TY/edit#gid=1248694442"",""Subgroup 4: Mp ~ Tx!A3:A20"")),"""")"),"")</f>
        <v/>
      </c>
      <c r="AC56" s="20" t="str">
        <f>IFERROR(__xludf.DUMMYFUNCTION("IFNA(FILTER(IMPORTRANGE(""https://docs.google.com/spreadsheets/d/1kGrh75X1cNR1D7_FcY9zMnHP8iPO4M5RCRjy6nZY0TY/edit#gid=1248694442"",""Subgroup 4: Mp ~ Tx!F3:F20""), $A56=IMPORTRANGE(""https://docs.google.com/spreadsheets/d/1kGrh75X1cNR1D7_FcY9zMnHP8iPO4M5"&amp;"RCRjy6nZY0TY/edit#gid=1248694442"",""Subgroup 4: Mp ~ Tx!A3:A20"")),"""")"),"")</f>
        <v/>
      </c>
      <c r="AD56" s="22" t="str">
        <f>IFERROR(__xludf.DUMMYFUNCTION("IFNA(FILTER(IMPORTRANGE(""https://docs.google.com/spreadsheets/d/1kGrh75X1cNR1D7_FcY9zMnHP8iPO4M5RCRjy6nZY0TY/edit#gid=1248694442"",""Table 3: 1st-line HC!AL5:AL111""), $A56=IMPORTRANGE(""https://docs.google.com/spreadsheets/d/1kGrh75X1cNR1D7_FcY9zMnHP8iP"&amp;"O4M5RCRjy6nZY0TY/edit#gid=1248694442"",""Table 3: 1st-line HC!A5:A111"")),"""")"),"")</f>
        <v/>
      </c>
      <c r="AE56" s="20">
        <f>IFERROR(__xludf.DUMMYFUNCTION("IFNA(FILTER(IMPORTRANGE(""https://docs.google.com/spreadsheets/d/1kGrh75X1cNR1D7_FcY9zMnHP8iPO4M5RCRjy6nZY0TY/edit#gid=1248694442"",""Table 3: 1st-line HC!BJ5:BJ111""), $A56=IMPORTRANGE(""https://docs.google.com/spreadsheets/d/1kGrh75X1cNR1D7_FcY9zMnHP8iP"&amp;"O4M5RCRjy6nZY0TY/edit#gid=1248694442"",""Table 3: 1st-line HC!A5:A111"")),"""")"),0.286)</f>
        <v>0.286</v>
      </c>
      <c r="AF56" s="20" t="str">
        <f>IFERROR(__xludf.DUMMYFUNCTION("IFNA(FILTER(IMPORTRANGE(""https://docs.google.com/spreadsheets/d/1kGrh75X1cNR1D7_FcY9zMnHP8iPO4M5RCRjy6nZY0TY/edit#gid=1248694442"",""Subgroup 2: Cr ~ Tx!B3:B23""), $A56=IMPORTRANGE(""https://docs.google.com/spreadsheets/d/1kGrh75X1cNR1D7_FcY9zMnHP8iPO4M5"&amp;"RCRjy6nZY0TY/edit#gid=1248694442"",""Subgroup 2: Cr ~ Tx!A3:A23"")),"""")"),"")</f>
        <v/>
      </c>
      <c r="AG56" s="20">
        <f>IFERROR(__xludf.DUMMYFUNCTION("IFNA(FILTER(IMPORTRANGE(""https://docs.google.com/spreadsheets/d/1kGrh75X1cNR1D7_FcY9zMnHP8iPO4M5RCRjy6nZY0TY/edit#gid=1248694442"",""Subgroup 2: Cr ~ Tx!C3:C23""), $A56=IMPORTRANGE(""https://docs.google.com/spreadsheets/d/1kGrh75X1cNR1D7_FcY9zMnHP8iPO4M5"&amp;"RCRjy6nZY0TY/edit#gid=1248694442"",""Subgroup 2: Cr ~ Tx!A3:A23"")),"""")"),0.2857142857142857)</f>
        <v>0.2857142857</v>
      </c>
      <c r="AH56" s="20" t="str">
        <f>IFERROR(__xludf.DUMMYFUNCTION("IFNA(FILTER(IMPORTRANGE(""https://docs.google.com/spreadsheets/d/1kGrh75X1cNR1D7_FcY9zMnHP8iPO4M5RCRjy6nZY0TY/edit#gid=1248694442"",""Subgroup 2: Cr ~ Tx!D3:D23""), $A56=IMPORTRANGE(""https://docs.google.com/spreadsheets/d/1kGrh75X1cNR1D7_FcY9zMnHP8iPO4M5"&amp;"RCRjy6nZY0TY/edit#gid=1248694442"",""Subgroup 2: Cr ~ Tx!A3:A23"")),"""")"),"")</f>
        <v/>
      </c>
      <c r="AI56" s="20" t="str">
        <f>IFERROR(__xludf.DUMMYFUNCTION("IFNA(FILTER(IMPORTRANGE(""https://docs.google.com/spreadsheets/d/1kGrh75X1cNR1D7_FcY9zMnHP8iPO4M5RCRjy6nZY0TY/edit#gid=1248694442"",""Subgroup 2: Cr ~ Tx!E3:E23""), $A56=IMPORTRANGE(""https://docs.google.com/spreadsheets/d/1kGrh75X1cNR1D7_FcY9zMnHP8iPO4M5"&amp;"RCRjy6nZY0TY/edit#gid=1248694442"",""Subgroup 2: Cr ~ Tx!A3:A23"")),"""")"),"")</f>
        <v/>
      </c>
      <c r="AJ56" s="20" t="str">
        <f>IFERROR(__xludf.DUMMYFUNCTION("IFNA(FILTER(IMPORTRANGE(""https://docs.google.com/spreadsheets/d/1kGrh75X1cNR1D7_FcY9zMnHP8iPO4M5RCRjy6nZY0TY/edit#gid=1248694442"",""Subgroup 2: Cr ~ Tx!F3:F23""), $A56=IMPORTRANGE(""https://docs.google.com/spreadsheets/d/1kGrh75X1cNR1D7_FcY9zMnHP8iPO4M5"&amp;"RCRjy6nZY0TY/edit#gid=1248694442"",""Subgroup 2: Cr ~ Tx!A3:A23"")),"""")"),"")</f>
        <v/>
      </c>
      <c r="AK56" s="14" t="str">
        <f>IFERROR(__xludf.DUMMYFUNCTION("IFNA(FILTER(IMPORTRANGE(""https://docs.google.com/spreadsheets/d/1kGrh75X1cNR1D7_FcY9zMnHP8iPO4M5RCRjy6nZY0TY/edit#gid=1248694442"",""Table 4: 2nd-line HC or more!M5:M85""), $A56=IMPORTRANGE(""https://docs.google.com/spreadsheets/d/1kGrh75X1cNR1D7_FcY9zMn"&amp;"HP8iPO4M5RCRjy6nZY0TY/edit#gid=1248694442"",""Table 4: 2nd-line HC or more!A5:A85"")),"""")"),"")</f>
        <v/>
      </c>
      <c r="AL56" s="14" t="str">
        <f>IFERROR(__xludf.DUMMYFUNCTION("IFNA(FILTER(IMPORTRANGE(""https://docs.google.com/spreadsheets/d/1kGrh75X1cNR1D7_FcY9zMnHP8iPO4M5RCRjy6nZY0TY/edit#gid=1248694442"",""Table 4: 2nd-line HC or more!N5:N85""), $A56=IMPORTRANGE(""https://docs.google.com/spreadsheets/d/1kGrh75X1cNR1D7_FcY9zMn"&amp;"HP8iPO4M5RCRjy6nZY0TY/edit#gid=1248694442"",""Table 4: 2nd-line HC or more!A5:A85"")),"""")"),"")</f>
        <v/>
      </c>
      <c r="AM56" s="14" t="str">
        <f>IFERROR(__xludf.DUMMYFUNCTION("IFNA(FILTER(IMPORTRANGE(""https://docs.google.com/spreadsheets/d/1kGrh75X1cNR1D7_FcY9zMnHP8iPO4M5RCRjy6nZY0TY/edit#gid=1248694442"",""Table 4: 2nd-line HC or more!O5:O85""), $A56=IMPORTRANGE(""https://docs.google.com/spreadsheets/d/1kGrh75X1cNR1D7_FcY9zMn"&amp;"HP8iPO4M5RCRjy6nZY0TY/edit#gid=1248694442"",""Table 4: 2nd-line HC or more!A5:A85"")),"""")"),"")</f>
        <v/>
      </c>
      <c r="AN56" s="14" t="str">
        <f>IFERROR(__xludf.DUMMYFUNCTION("IFNA(FILTER(IMPORTRANGE(""https://docs.google.com/spreadsheets/d/1kGrh75X1cNR1D7_FcY9zMnHP8iPO4M5RCRjy6nZY0TY/edit#gid=1248694442"",""Table 3: 1st-line HC!AP5:AP111""), $A56=IMPORTRANGE(""https://docs.google.com/spreadsheets/d/1kGrh75X1cNR1D7_FcY9zMnHP8iP"&amp;"O4M5RCRjy6nZY0TY/edit#gid=1248694442"",""Table 3: 1st-line HC!A5:A111"")),"""")"),"")</f>
        <v/>
      </c>
      <c r="AO56" s="14">
        <f>IFERROR(__xludf.DUMMYFUNCTION("IFNA(FILTER(IMPORTRANGE(""https://docs.google.com/spreadsheets/d/1kGrh75X1cNR1D7_FcY9zMnHP8iPO4M5RCRjy6nZY0TY/edit#gid=1248694442"",""Table 3: 1st-line HC!AO5:AO111""), $A56=IMPORTRANGE(""https://docs.google.com/spreadsheets/d/1kGrh75X1cNR1D7_FcY9zMnHP8iP"&amp;"O4M5RCRjy6nZY0TY/edit#gid=1248694442"",""Table 3: 1st-line HC!A5:A111"")),"""")"),2.0)</f>
        <v>2</v>
      </c>
      <c r="AP56" s="14" t="str">
        <f>IFERROR(__xludf.DUMMYFUNCTION("IFNA(FILTER(IMPORTRANGE(""https://docs.google.com/spreadsheets/d/1kGrh75X1cNR1D7_FcY9zMnHP8iPO4M5RCRjy6nZY0TY/edit#gid=1248694442"",""Table 3: 1st-line HC!AQ5:AQ111""), $A56=IMPORTRANGE(""https://docs.google.com/spreadsheets/d/1kGrh75X1cNR1D7_FcY9zMnHP8iP"&amp;"O4M5RCRjy6nZY0TY/edit#gid=1248694442"",""Table 3: 1st-line HC!A5:A111"")),"""")"),"")</f>
        <v/>
      </c>
      <c r="AQ56" s="14" t="str">
        <f>IFERROR(__xludf.DUMMYFUNCTION("IFNA(FILTER(IMPORTRANGE(""https://docs.google.com/spreadsheets/d/1kGrh75X1cNR1D7_FcY9zMnHP8iPO4M5RCRjy6nZY0TY/edit#gid=1248694442"",""Table 2: MMC!T5:T114""), $A56=IMPORTRANGE(""https://docs.google.com/spreadsheets/d/1kGrh75X1cNR1D7_FcY9zMnHP8iPO4M5RCRjy6"&amp;"nZY0TY/edit#gid=1248694442"",""Table 2: MMC!A5:A114"")),"""")"),"")</f>
        <v/>
      </c>
      <c r="AR56" s="14">
        <f>IFERROR(__xludf.DUMMYFUNCTION("IFNA(FILTER(IMPORTRANGE(""https://docs.google.com/spreadsheets/d/1kGrh75X1cNR1D7_FcY9zMnHP8iPO4M5RCRjy6nZY0TY/edit#gid=1248694442"",""Table 2: MMC!U5:U114""), $A56=IMPORTRANGE(""https://docs.google.com/spreadsheets/d/1kGrh75X1cNR1D7_FcY9zMnHP8iPO4M5RCRjy6"&amp;"nZY0TY/edit#gid=1248694442"",""Table 2: MMC!A5:A114"")),"""")"),2.0)</f>
        <v>2</v>
      </c>
      <c r="AS56" s="14" t="str">
        <f>IFERROR(__xludf.DUMMYFUNCTION("IFNA(FILTER(IMPORTRANGE(""https://docs.google.com/spreadsheets/d/1kGrh75X1cNR1D7_FcY9zMnHP8iPO4M5RCRjy6nZY0TY/edit#gid=1248694442"",""Table 2: MMC!V5:V114""), $A56=IMPORTRANGE(""https://docs.google.com/spreadsheets/d/1kGrh75X1cNR1D7_FcY9zMnHP8iPO4M5RCRjy6"&amp;"nZY0TY/edit#gid=1248694442"",""Table 2: MMC!A5:A114"")),"""")"),"")</f>
        <v/>
      </c>
      <c r="AT56" s="4" t="str">
        <f>IFERROR(__xludf.DUMMYFUNCTION("IFNA(FILTER(IMPORTRANGE(""https://docs.google.com/spreadsheets/d/1kGrh75X1cNR1D7_FcY9zMnHP8iPO4M5RCRjy6nZY0TY/edit#gid=1248694442"",""Table 2: MMC!W5:W114""), $A56=IMPORTRANGE(""https://docs.google.com/spreadsheets/d/1kGrh75X1cNR1D7_FcY9zMnHP8iPO4M5RCRjy6"&amp;"nZY0TY/edit#gid=1248694442"",""Table 2: MMC!A5:A114"")),"""")"),"Voiding difficulties=1; Low IQ ataxia=1")</f>
        <v>Voiding difficulties=1; Low IQ ataxia=1</v>
      </c>
    </row>
    <row r="57">
      <c r="A57" s="4" t="str">
        <f>IFERROR(__xludf.DUMMYFUNCTION("""COMPUTED_VALUE"""),"ID 117")</f>
        <v>ID 117</v>
      </c>
      <c r="B57" s="20">
        <f>IFERROR(__xludf.DUMMYFUNCTION("IFNA(FILTER(IMPORTRANGE(""https://docs.google.com/spreadsheets/d/1kGrh75X1cNR1D7_FcY9zMnHP8iPO4M5RCRjy6nZY0TY/edit#gid=1248694442"",""Table 3: 1st-line HC!BK5:BK111""), $A57=IMPORTRANGE(""https://docs.google.com/spreadsheets/d/1kGrh75X1cNR1D7_FcY9zMnHP8iP"&amp;"O4M5RCRjy6nZY0TY/edit#gid=1248694442"",""Table 3: 1st-line HC!A5:A111"")),"""")"),0.472)</f>
        <v>0.472</v>
      </c>
      <c r="C57" s="20" t="str">
        <f>IFERROR(__xludf.DUMMYFUNCTION("IFNA(FILTER(IMPORTRANGE(""https://docs.google.com/spreadsheets/d/1kGrh75X1cNR1D7_FcY9zMnHP8iPO4M5RCRjy6nZY0TY/edit#gid=1248694442"",""Subgroup 1: Fr ~ Tx!B3:B20""), $A57=IMPORTRANGE(""https://docs.google.com/spreadsheets/d/1kGrh75X1cNR1D7_FcY9zMnHP8iPO4M5"&amp;"RCRjy6nZY0TY/edit#gid=1248694442"",""Subgroup 1: Fr ~ Tx!A3:A20"")),"""")"),"")</f>
        <v/>
      </c>
      <c r="D57" s="20">
        <f>IFERROR(__xludf.DUMMYFUNCTION("IFNA(FILTER(IMPORTRANGE(""https://docs.google.com/spreadsheets/d/1kGrh75X1cNR1D7_FcY9zMnHP8iPO4M5RCRjy6nZY0TY/edit#gid=1248694442"",""Subgroup 1: Fr ~ Tx!C3:C20""), $A57=IMPORTRANGE(""https://docs.google.com/spreadsheets/d/1kGrh75X1cNR1D7_FcY9zMnHP8iPO4M5"&amp;"RCRjy6nZY0TY/edit#gid=1248694442"",""Subgroup 1: Fr ~ Tx!A3:A20"")),"""")"),0.47150259067357514)</f>
        <v>0.4715025907</v>
      </c>
      <c r="E57" s="20">
        <f>IFERROR(__xludf.DUMMYFUNCTION("IFNA(FILTER(IMPORTRANGE(""https://docs.google.com/spreadsheets/d/1kGrh75X1cNR1D7_FcY9zMnHP8iPO4M5RCRjy6nZY0TY/edit#gid=1248694442"",""Subgroup 1: Fr ~ Tx!D3:D20""), $A57=IMPORTRANGE(""https://docs.google.com/spreadsheets/d/1kGrh75X1cNR1D7_FcY9zMnHP8iPO4M5"&amp;"RCRjy6nZY0TY/edit#gid=1248694442"",""Subgroup 1: Fr ~ Tx!A3:A20"")),"""")"),0.6)</f>
        <v>0.6</v>
      </c>
      <c r="F57" s="20" t="str">
        <f>IFERROR(__xludf.DUMMYFUNCTION("IFNA(FILTER(IMPORTRANGE(""https://docs.google.com/spreadsheets/d/1kGrh75X1cNR1D7_FcY9zMnHP8iPO4M5RCRjy6nZY0TY/edit#gid=1248694442"",""Subgroup 1: Fr ~ Tx!E3:E20""), $A57=IMPORTRANGE(""https://docs.google.com/spreadsheets/d/1kGrh75X1cNR1D7_FcY9zMnHP8iPO4M5"&amp;"RCRjy6nZY0TY/edit#gid=1248694442"",""Subgroup 1: Fr ~ Tx!A3:A20"")),"""")"),"")</f>
        <v/>
      </c>
      <c r="G57" s="20" t="str">
        <f>IFERROR(__xludf.DUMMYFUNCTION("IFNA(FILTER(IMPORTRANGE(""https://docs.google.com/spreadsheets/d/1kGrh75X1cNR1D7_FcY9zMnHP8iPO4M5RCRjy6nZY0TY/edit#gid=1248694442"",""Subgroup 1: Fr ~ Tx!F3:F20""), $A57=IMPORTRANGE(""https://docs.google.com/spreadsheets/d/1kGrh75X1cNR1D7_FcY9zMnHP8iPO4M5"&amp;"RCRjy6nZY0TY/edit#gid=1248694442"",""Subgroup 1: Fr ~ Tx!A3:A20"")),"""")"),"")</f>
        <v/>
      </c>
      <c r="H57" s="20">
        <f>IFERROR(__xludf.DUMMYFUNCTION("IFNA(FILTER(IMPORTRANGE(""https://docs.google.com/spreadsheets/d/1kGrh75X1cNR1D7_FcY9zMnHP8iPO4M5RCRjy6nZY0TY/edit#gid=1248694442"",""Table 3: 1st-line HC!BD5:BD111""), $A57=IMPORTRANGE(""https://docs.google.com/spreadsheets/d/1kGrh75X1cNR1D7_FcY9zMnHP8iP"&amp;"O4M5RCRjy6nZY0TY/edit#gid=1248694442"",""Table 3: 1st-line HC!A5:A111"")),"""")"),56.49)</f>
        <v>56.49</v>
      </c>
      <c r="I57" s="20" t="str">
        <f>IFERROR(__xludf.DUMMYFUNCTION("IFNA(FILTER(IMPORTRANGE(""https://docs.google.com/spreadsheets/d/1kGrh75X1cNR1D7_FcY9zMnHP8iPO4M5RCRjy6nZY0TY/edit#gid=1248694442"",""Subgroup 5: Tf ~ Tx!B3:B8""), $A57=IMPORTRANGE(""https://docs.google.com/spreadsheets/d/1kGrh75X1cNR1D7_FcY9zMnHP8iPO4M5R"&amp;"CRjy6nZY0TY/edit#gid=1248694442"",""Subgroup 5: Tf ~ Tx!A3:A8"")),"""")"),"")</f>
        <v/>
      </c>
      <c r="J57" s="20">
        <f>IFERROR(__xludf.DUMMYFUNCTION("IFNA(FILTER(IMPORTRANGE(""https://docs.google.com/spreadsheets/d/1kGrh75X1cNR1D7_FcY9zMnHP8iPO4M5RCRjy6nZY0TY/edit#gid=1248694442"",""Subgroup 5: Tf ~ Tx!C3:C8""), $A57=IMPORTRANGE(""https://docs.google.com/spreadsheets/d/1kGrh75X1cNR1D7_FcY9zMnHP8iPO4M5R"&amp;"CRjy6nZY0TY/edit#gid=1248694442"",""Subgroup 5: Tf ~ Tx!A3:A8"")),"""")"),245.07)</f>
        <v>245.07</v>
      </c>
      <c r="K57" s="20" t="str">
        <f>IFERROR(__xludf.DUMMYFUNCTION("IFNA(FILTER(IMPORTRANGE(""https://docs.google.com/spreadsheets/d/1kGrh75X1cNR1D7_FcY9zMnHP8iPO4M5RCRjy6nZY0TY/edit#gid=1248694442"",""Subgroup 5: Tf ~ Tx!D3:D8""), $A57=IMPORTRANGE(""https://docs.google.com/spreadsheets/d/1kGrh75X1cNR1D7_FcY9zMnHP8iPO4M5R"&amp;"CRjy6nZY0TY/edit#gid=1248694442"",""Subgroup 5: Tf ~ Tx!A3:A8"")),"""")"),"")</f>
        <v/>
      </c>
      <c r="L57" s="20" t="str">
        <f>IFERROR(__xludf.DUMMYFUNCTION("IFNA(FILTER(IMPORTRANGE(""https://docs.google.com/spreadsheets/d/1kGrh75X1cNR1D7_FcY9zMnHP8iPO4M5RCRjy6nZY0TY/edit#gid=1248694442"",""Subgroup 5: Tf ~ Tx!E3:E8""), $A57=IMPORTRANGE(""https://docs.google.com/spreadsheets/d/1kGrh75X1cNR1D7_FcY9zMnHP8iPO4M5R"&amp;"CRjy6nZY0TY/edit#gid=1248694442"",""Subgroup 5: Tf ~ Tx!A3:A8"")),"""")"),"")</f>
        <v/>
      </c>
      <c r="M57" s="20" t="str">
        <f>IFERROR(__xludf.DUMMYFUNCTION("IFNA(FILTER(IMPORTRANGE(""https://docs.google.com/spreadsheets/d/1kGrh75X1cNR1D7_FcY9zMnHP8iPO4M5RCRjy6nZY0TY/edit#gid=1248694442"",""Subgroup 5: Tf ~ Tx!F3:F8""), $A57=IMPORTRANGE(""https://docs.google.com/spreadsheets/d/1kGrh75X1cNR1D7_FcY9zMnHP8iPO4M5R"&amp;"CRjy6nZY0TY/edit#gid=1248694442"",""Subgroup 5: Tf ~ Tx!A3:A8"")),"""")"),"")</f>
        <v/>
      </c>
      <c r="N57" s="20" t="str">
        <f>IFERROR(__xludf.DUMMYFUNCTION("IFNA(FILTER(IMPORTRANGE(""https://docs.google.com/spreadsheets/d/1kGrh75X1cNR1D7_FcY9zMnHP8iPO4M5RCRjy6nZY0TY/edit#gid=1248694442"",""Table 3: 1st-line HC!BE5:BE111""), $A57=IMPORTRANGE(""https://docs.google.com/spreadsheets/d/1kGrh75X1cNR1D7_FcY9zMnHP8iP"&amp;"O4M5RCRjy6nZY0TY/edit#gid=1248694442"",""Table 3: 1st-line HC!A5:A111"")),"""")"),"")</f>
        <v/>
      </c>
      <c r="O57" s="20" t="str">
        <f>IFERROR(__xludf.DUMMYFUNCTION("IFNA(FILTER(IMPORTRANGE(""https://docs.google.com/spreadsheets/d/1kGrh75X1cNR1D7_FcY9zMnHP8iPO4M5RCRjy6nZY0TY/edit#gid=1248694442"",""Table 3: 1st-line HC!BF5:BF111""), $A57=IMPORTRANGE(""https://docs.google.com/spreadsheets/d/1kGrh75X1cNR1D7_FcY9zMnHP8iP"&amp;"O4M5RCRjy6nZY0TY/edit#gid=1248694442"",""Table 3: 1st-line HC!A5:A111"")),"""")"),"")</f>
        <v/>
      </c>
      <c r="P57" s="20" t="str">
        <f>IFERROR(__xludf.DUMMYFUNCTION("IFNA(FILTER(IMPORTRANGE(""https://docs.google.com/spreadsheets/d/1kGrh75X1cNR1D7_FcY9zMnHP8iPO4M5RCRjy6nZY0TY/edit#gid=1248694442"",""Table 3: 1st-line HC!BG5:BG111""), $A57=IMPORTRANGE(""https://docs.google.com/spreadsheets/d/1kGrh75X1cNR1D7_FcY9zMnHP8iP"&amp;"O4M5RCRjy6nZY0TY/edit#gid=1248694442"",""Table 3: 1st-line HC!A5:A111"")),"""")"),"")</f>
        <v/>
      </c>
      <c r="Q57" s="21" t="str">
        <f>IFERROR(__xludf.DUMMYFUNCTION("IFNA(FILTER(IMPORTRANGE(""https://docs.google.com/spreadsheets/d/1kGrh75X1cNR1D7_FcY9zMnHP8iPO4M5RCRjy6nZY0TY/edit#gid=1248694442"",""Table 3: 1st-line HC!BH5:BH111""), $A57=IMPORTRANGE(""https://docs.google.com/spreadsheets/d/1kGrh75X1cNR1D7_FcY9zMnHP8iP"&amp;"O4M5RCRjy6nZY0TY/edit#gid=1248694442"",""Table 3: 1st-line HC!A5:A111"")),"""")"),"")</f>
        <v/>
      </c>
      <c r="R57" s="19" t="str">
        <f>IFERROR(__xludf.DUMMYFUNCTION("IFNA(FILTER(IMPORTRANGE(""https://docs.google.com/spreadsheets/d/1kGrh75X1cNR1D7_FcY9zMnHP8iPO4M5RCRjy6nZY0TY/edit#gid=1248694442"",""Table 3: 1st-line HC!AJ5:AJ111""), $A57=IMPORTRANGE(""https://docs.google.com/spreadsheets/d/1kGrh75X1cNR1D7_FcY9zMnHP8iP"&amp;"O4M5RCRjy6nZY0TY/edit#gid=1248694442"",""Table 3: 1st-line HC!A5:A111"")),"""")"),"")</f>
        <v/>
      </c>
      <c r="S57" s="20" t="str">
        <f>IFERROR(__xludf.DUMMYFUNCTION("IFNA(FILTER(IMPORTRANGE(""https://docs.google.com/spreadsheets/d/1kGrh75X1cNR1D7_FcY9zMnHP8iPO4M5RCRjy6nZY0TY/edit#gid=1248694442"",""Subgroup 3: Mi ~ Tx!B3:B17""), $A57=IMPORTRANGE(""https://docs.google.com/spreadsheets/d/1kGrh75X1cNR1D7_FcY9zMnHP8iPO4M5"&amp;"RCRjy6nZY0TY/edit#gid=1248694442"",""Subgroup 3: Mi ~ Tx!A3:A17"")),"""")"),"")</f>
        <v/>
      </c>
      <c r="T57" s="20" t="str">
        <f>IFERROR(__xludf.DUMMYFUNCTION("IFNA(FILTER(IMPORTRANGE(""https://docs.google.com/spreadsheets/d/1kGrh75X1cNR1D7_FcY9zMnHP8iPO4M5RCRjy6nZY0TY/edit#gid=1248694442"",""Subgroup 3: Mi ~ Tx!C3:C17""), $A57=IMPORTRANGE(""https://docs.google.com/spreadsheets/d/1kGrh75X1cNR1D7_FcY9zMnHP8iPO4M5"&amp;"RCRjy6nZY0TY/edit#gid=1248694442"",""Subgroup 3: Mi ~ Tx!A3:A17"")),"""")"),"")</f>
        <v/>
      </c>
      <c r="U57" s="20" t="str">
        <f>IFERROR(__xludf.DUMMYFUNCTION("IFNA(FILTER(IMPORTRANGE(""https://docs.google.com/spreadsheets/d/1kGrh75X1cNR1D7_FcY9zMnHP8iPO4M5RCRjy6nZY0TY/edit#gid=1248694442"",""Subgroup 3: Mi ~ Tx!D3:D17""), $A57=IMPORTRANGE(""https://docs.google.com/spreadsheets/d/1kGrh75X1cNR1D7_FcY9zMnHP8iPO4M5"&amp;"RCRjy6nZY0TY/edit#gid=1248694442"",""Subgroup 3: Mi ~ Tx!A3:A17"")),"""")"),"")</f>
        <v/>
      </c>
      <c r="V57" s="20" t="str">
        <f>IFERROR(__xludf.DUMMYFUNCTION("IFNA(FILTER(IMPORTRANGE(""https://docs.google.com/spreadsheets/d/1kGrh75X1cNR1D7_FcY9zMnHP8iPO4M5RCRjy6nZY0TY/edit#gid=1248694442"",""Subgroup 3: Mi ~ Tx!E3:E17""), $A57=IMPORTRANGE(""https://docs.google.com/spreadsheets/d/1kGrh75X1cNR1D7_FcY9zMnHP8iPO4M5"&amp;"RCRjy6nZY0TY/edit#gid=1248694442"",""Subgroup 3: Mi ~ Tx!A3:A17"")),"""")"),"")</f>
        <v/>
      </c>
      <c r="W57" s="20" t="str">
        <f>IFERROR(__xludf.DUMMYFUNCTION("IFNA(FILTER(IMPORTRANGE(""https://docs.google.com/spreadsheets/d/1kGrh75X1cNR1D7_FcY9zMnHP8iPO4M5RCRjy6nZY0TY/edit#gid=1248694442"",""Subgroup 3: Mi ~ Tx!F3:F17""), $A57=IMPORTRANGE(""https://docs.google.com/spreadsheets/d/1kGrh75X1cNR1D7_FcY9zMnHP8iPO4M5"&amp;"RCRjy6nZY0TY/edit#gid=1248694442"",""Subgroup 3: Mi ~ Tx!A3:A17"")),"""")"),"")</f>
        <v/>
      </c>
      <c r="X57" s="19" t="str">
        <f>IFERROR(__xludf.DUMMYFUNCTION("IFNA(FILTER(IMPORTRANGE(""https://docs.google.com/spreadsheets/d/1kGrh75X1cNR1D7_FcY9zMnHP8iPO4M5RCRjy6nZY0TY/edit#gid=1248694442"",""Table 3: 1st-line HC!AK5:AK111""), $A57=IMPORTRANGE(""https://docs.google.com/spreadsheets/d/1kGrh75X1cNR1D7_FcY9zMnHP8iP"&amp;"O4M5RCRjy6nZY0TY/edit#gid=1248694442"",""Table 3: 1st-line HC!A5:A111"")),"""")"),"")</f>
        <v/>
      </c>
      <c r="Y57" s="20" t="str">
        <f>IFERROR(__xludf.DUMMYFUNCTION("IFNA(FILTER(IMPORTRANGE(""https://docs.google.com/spreadsheets/d/1kGrh75X1cNR1D7_FcY9zMnHP8iPO4M5RCRjy6nZY0TY/edit#gid=1248694442"",""Subgroup 4: Mp ~ Tx!B3:B20""), $A57=IMPORTRANGE(""https://docs.google.com/spreadsheets/d/1kGrh75X1cNR1D7_FcY9zMnHP8iPO4M5"&amp;"RCRjy6nZY0TY/edit#gid=1248694442"",""Subgroup 4: Mp ~ Tx!A3:A20"")),"""")"),"")</f>
        <v/>
      </c>
      <c r="Z57" s="20" t="str">
        <f>IFERROR(__xludf.DUMMYFUNCTION("IFNA(FILTER(IMPORTRANGE(""https://docs.google.com/spreadsheets/d/1kGrh75X1cNR1D7_FcY9zMnHP8iPO4M5RCRjy6nZY0TY/edit#gid=1248694442"",""Subgroup 4: Mp ~ Tx!C3:C20""), $A57=IMPORTRANGE(""https://docs.google.com/spreadsheets/d/1kGrh75X1cNR1D7_FcY9zMnHP8iPO4M5"&amp;"RCRjy6nZY0TY/edit#gid=1248694442"",""Subgroup 4: Mp ~ Tx!A3:A20"")),"""")"),"")</f>
        <v/>
      </c>
      <c r="AA57" s="20" t="str">
        <f>IFERROR(__xludf.DUMMYFUNCTION("IFNA(FILTER(IMPORTRANGE(""https://docs.google.com/spreadsheets/d/1kGrh75X1cNR1D7_FcY9zMnHP8iPO4M5RCRjy6nZY0TY/edit#gid=1248694442"",""Subgroup 4: Mp ~ Tx!D3:D20""), $A57=IMPORTRANGE(""https://docs.google.com/spreadsheets/d/1kGrh75X1cNR1D7_FcY9zMnHP8iPO4M5"&amp;"RCRjy6nZY0TY/edit#gid=1248694442"",""Subgroup 4: Mp ~ Tx!A3:A20"")),"""")"),"")</f>
        <v/>
      </c>
      <c r="AB57" s="20" t="str">
        <f>IFERROR(__xludf.DUMMYFUNCTION("IFNA(FILTER(IMPORTRANGE(""https://docs.google.com/spreadsheets/d/1kGrh75X1cNR1D7_FcY9zMnHP8iPO4M5RCRjy6nZY0TY/edit#gid=1248694442"",""Subgroup 4: Mp ~ Tx!E3:E20""), $A57=IMPORTRANGE(""https://docs.google.com/spreadsheets/d/1kGrh75X1cNR1D7_FcY9zMnHP8iPO4M5"&amp;"RCRjy6nZY0TY/edit#gid=1248694442"",""Subgroup 4: Mp ~ Tx!A3:A20"")),"""")"),"")</f>
        <v/>
      </c>
      <c r="AC57" s="20" t="str">
        <f>IFERROR(__xludf.DUMMYFUNCTION("IFNA(FILTER(IMPORTRANGE(""https://docs.google.com/spreadsheets/d/1kGrh75X1cNR1D7_FcY9zMnHP8iPO4M5RCRjy6nZY0TY/edit#gid=1248694442"",""Subgroup 4: Mp ~ Tx!F3:F20""), $A57=IMPORTRANGE(""https://docs.google.com/spreadsheets/d/1kGrh75X1cNR1D7_FcY9zMnHP8iPO4M5"&amp;"RCRjy6nZY0TY/edit#gid=1248694442"",""Subgroup 4: Mp ~ Tx!A3:A20"")),"""")"),"")</f>
        <v/>
      </c>
      <c r="AD57" s="22" t="str">
        <f>IFERROR(__xludf.DUMMYFUNCTION("IFNA(FILTER(IMPORTRANGE(""https://docs.google.com/spreadsheets/d/1kGrh75X1cNR1D7_FcY9zMnHP8iPO4M5RCRjy6nZY0TY/edit#gid=1248694442"",""Table 3: 1st-line HC!AL5:AL111""), $A57=IMPORTRANGE(""https://docs.google.com/spreadsheets/d/1kGrh75X1cNR1D7_FcY9zMnHP8iP"&amp;"O4M5RCRjy6nZY0TY/edit#gid=1248694442"",""Table 3: 1st-line HC!A5:A111"")),"""")"),"")</f>
        <v/>
      </c>
      <c r="AE57" s="20">
        <f>IFERROR(__xludf.DUMMYFUNCTION("IFNA(FILTER(IMPORTRANGE(""https://docs.google.com/spreadsheets/d/1kGrh75X1cNR1D7_FcY9zMnHP8iPO4M5RCRjy6nZY0TY/edit#gid=1248694442"",""Table 3: 1st-line HC!BJ5:BJ111""), $A57=IMPORTRANGE(""https://docs.google.com/spreadsheets/d/1kGrh75X1cNR1D7_FcY9zMnHP8iP"&amp;"O4M5RCRjy6nZY0TY/edit#gid=1248694442"",""Table 3: 1st-line HC!A5:A111"")),"""")"),0.5797)</f>
        <v>0.5797</v>
      </c>
      <c r="AF57" s="20" t="str">
        <f>IFERROR(__xludf.DUMMYFUNCTION("IFNA(FILTER(IMPORTRANGE(""https://docs.google.com/spreadsheets/d/1kGrh75X1cNR1D7_FcY9zMnHP8iPO4M5RCRjy6nZY0TY/edit#gid=1248694442"",""Subgroup 2: Cr ~ Tx!B3:B23""), $A57=IMPORTRANGE(""https://docs.google.com/spreadsheets/d/1kGrh75X1cNR1D7_FcY9zMnHP8iPO4M5"&amp;"RCRjy6nZY0TY/edit#gid=1248694442"",""Subgroup 2: Cr ~ Tx!A3:A23"")),"""")"),"")</f>
        <v/>
      </c>
      <c r="AG57" s="20">
        <f>IFERROR(__xludf.DUMMYFUNCTION("IFNA(FILTER(IMPORTRANGE(""https://docs.google.com/spreadsheets/d/1kGrh75X1cNR1D7_FcY9zMnHP8iPO4M5RCRjy6nZY0TY/edit#gid=1248694442"",""Subgroup 2: Cr ~ Tx!C3:C23""), $A57=IMPORTRANGE(""https://docs.google.com/spreadsheets/d/1kGrh75X1cNR1D7_FcY9zMnHP8iPO4M5"&amp;"RCRjy6nZY0TY/edit#gid=1248694442"",""Subgroup 2: Cr ~ Tx!A3:A23"")),"""")"),0.4)</f>
        <v>0.4</v>
      </c>
      <c r="AH57" s="20" t="str">
        <f>IFERROR(__xludf.DUMMYFUNCTION("IFNA(FILTER(IMPORTRANGE(""https://docs.google.com/spreadsheets/d/1kGrh75X1cNR1D7_FcY9zMnHP8iPO4M5RCRjy6nZY0TY/edit#gid=1248694442"",""Subgroup 2: Cr ~ Tx!D3:D23""), $A57=IMPORTRANGE(""https://docs.google.com/spreadsheets/d/1kGrh75X1cNR1D7_FcY9zMnHP8iPO4M5"&amp;"RCRjy6nZY0TY/edit#gid=1248694442"",""Subgroup 2: Cr ~ Tx!A3:A23"")),"""")"),"")</f>
        <v/>
      </c>
      <c r="AI57" s="20" t="str">
        <f>IFERROR(__xludf.DUMMYFUNCTION("IFNA(FILTER(IMPORTRANGE(""https://docs.google.com/spreadsheets/d/1kGrh75X1cNR1D7_FcY9zMnHP8iPO4M5RCRjy6nZY0TY/edit#gid=1248694442"",""Subgroup 2: Cr ~ Tx!E3:E23""), $A57=IMPORTRANGE(""https://docs.google.com/spreadsheets/d/1kGrh75X1cNR1D7_FcY9zMnHP8iPO4M5"&amp;"RCRjy6nZY0TY/edit#gid=1248694442"",""Subgroup 2: Cr ~ Tx!A3:A23"")),"""")"),"")</f>
        <v/>
      </c>
      <c r="AJ57" s="20" t="str">
        <f>IFERROR(__xludf.DUMMYFUNCTION("IFNA(FILTER(IMPORTRANGE(""https://docs.google.com/spreadsheets/d/1kGrh75X1cNR1D7_FcY9zMnHP8iPO4M5RCRjy6nZY0TY/edit#gid=1248694442"",""Subgroup 2: Cr ~ Tx!F3:F23""), $A57=IMPORTRANGE(""https://docs.google.com/spreadsheets/d/1kGrh75X1cNR1D7_FcY9zMnHP8iPO4M5"&amp;"RCRjy6nZY0TY/edit#gid=1248694442"",""Subgroup 2: Cr ~ Tx!A3:A23"")),"""")"),"")</f>
        <v/>
      </c>
      <c r="AK57" s="14" t="str">
        <f>IFERROR(__xludf.DUMMYFUNCTION("IFNA(FILTER(IMPORTRANGE(""https://docs.google.com/spreadsheets/d/1kGrh75X1cNR1D7_FcY9zMnHP8iPO4M5RCRjy6nZY0TY/edit#gid=1248694442"",""Table 4: 2nd-line HC or more!M5:M85""), $A57=IMPORTRANGE(""https://docs.google.com/spreadsheets/d/1kGrh75X1cNR1D7_FcY9zMn"&amp;"HP8iPO4M5RCRjy6nZY0TY/edit#gid=1248694442"",""Table 4: 2nd-line HC or more!A5:A85"")),"""")"),"")</f>
        <v/>
      </c>
      <c r="AL57" s="14" t="str">
        <f>IFERROR(__xludf.DUMMYFUNCTION("IFNA(FILTER(IMPORTRANGE(""https://docs.google.com/spreadsheets/d/1kGrh75X1cNR1D7_FcY9zMnHP8iPO4M5RCRjy6nZY0TY/edit#gid=1248694442"",""Table 4: 2nd-line HC or more!N5:N85""), $A57=IMPORTRANGE(""https://docs.google.com/spreadsheets/d/1kGrh75X1cNR1D7_FcY9zMn"&amp;"HP8iPO4M5RCRjy6nZY0TY/edit#gid=1248694442"",""Table 4: 2nd-line HC or more!A5:A85"")),"""")"),"")</f>
        <v/>
      </c>
      <c r="AM57" s="14" t="str">
        <f>IFERROR(__xludf.DUMMYFUNCTION("IFNA(FILTER(IMPORTRANGE(""https://docs.google.com/spreadsheets/d/1kGrh75X1cNR1D7_FcY9zMnHP8iPO4M5RCRjy6nZY0TY/edit#gid=1248694442"",""Table 4: 2nd-line HC or more!O5:O85""), $A57=IMPORTRANGE(""https://docs.google.com/spreadsheets/d/1kGrh75X1cNR1D7_FcY9zMn"&amp;"HP8iPO4M5RCRjy6nZY0TY/edit#gid=1248694442"",""Table 4: 2nd-line HC or more!A5:A85"")),"""")"),"")</f>
        <v/>
      </c>
      <c r="AN57" s="14" t="str">
        <f>IFERROR(__xludf.DUMMYFUNCTION("IFNA(FILTER(IMPORTRANGE(""https://docs.google.com/spreadsheets/d/1kGrh75X1cNR1D7_FcY9zMnHP8iPO4M5RCRjy6nZY0TY/edit#gid=1248694442"",""Table 3: 1st-line HC!AP5:AP111""), $A57=IMPORTRANGE(""https://docs.google.com/spreadsheets/d/1kGrh75X1cNR1D7_FcY9zMnHP8iP"&amp;"O4M5RCRjy6nZY0TY/edit#gid=1248694442"",""Table 3: 1st-line HC!A5:A111"")),"""")"),"")</f>
        <v/>
      </c>
      <c r="AO57" s="14" t="str">
        <f>IFERROR(__xludf.DUMMYFUNCTION("IFNA(FILTER(IMPORTRANGE(""https://docs.google.com/spreadsheets/d/1kGrh75X1cNR1D7_FcY9zMnHP8iPO4M5RCRjy6nZY0TY/edit#gid=1248694442"",""Table 3: 1st-line HC!AO5:AO111""), $A57=IMPORTRANGE(""https://docs.google.com/spreadsheets/d/1kGrh75X1cNR1D7_FcY9zMnHP8iP"&amp;"O4M5RCRjy6nZY0TY/edit#gid=1248694442"",""Table 3: 1st-line HC!A5:A111"")),"""")"),"")</f>
        <v/>
      </c>
      <c r="AP57" s="14">
        <f>IFERROR(__xludf.DUMMYFUNCTION("IFNA(FILTER(IMPORTRANGE(""https://docs.google.com/spreadsheets/d/1kGrh75X1cNR1D7_FcY9zMnHP8iPO4M5RCRjy6nZY0TY/edit#gid=1248694442"",""Table 3: 1st-line HC!AQ5:AQ111""), $A57=IMPORTRANGE(""https://docs.google.com/spreadsheets/d/1kGrh75X1cNR1D7_FcY9zMnHP8iP"&amp;"O4M5RCRjy6nZY0TY/edit#gid=1248694442"",""Table 3: 1st-line HC!A5:A111"")),"""")"),5.0)</f>
        <v>5</v>
      </c>
      <c r="AQ57" s="14" t="str">
        <f>IFERROR(__xludf.DUMMYFUNCTION("IFNA(FILTER(IMPORTRANGE(""https://docs.google.com/spreadsheets/d/1kGrh75X1cNR1D7_FcY9zMnHP8iPO4M5RCRjy6nZY0TY/edit#gid=1248694442"",""Table 2: MMC!T5:T114""), $A57=IMPORTRANGE(""https://docs.google.com/spreadsheets/d/1kGrh75X1cNR1D7_FcY9zMnHP8iPO4M5RCRjy6"&amp;"nZY0TY/edit#gid=1248694442"",""Table 2: MMC!A5:A114"")),"""")"),"")</f>
        <v/>
      </c>
      <c r="AR57" s="14" t="str">
        <f>IFERROR(__xludf.DUMMYFUNCTION("IFNA(FILTER(IMPORTRANGE(""https://docs.google.com/spreadsheets/d/1kGrh75X1cNR1D7_FcY9zMnHP8iPO4M5RCRjy6nZY0TY/edit#gid=1248694442"",""Table 2: MMC!U5:U114""), $A57=IMPORTRANGE(""https://docs.google.com/spreadsheets/d/1kGrh75X1cNR1D7_FcY9zMnHP8iPO4M5RCRjy6"&amp;"nZY0TY/edit#gid=1248694442"",""Table 2: MMC!A5:A114"")),"""")"),"")</f>
        <v/>
      </c>
      <c r="AS57" s="14" t="str">
        <f>IFERROR(__xludf.DUMMYFUNCTION("IFNA(FILTER(IMPORTRANGE(""https://docs.google.com/spreadsheets/d/1kGrh75X1cNR1D7_FcY9zMnHP8iPO4M5RCRjy6nZY0TY/edit#gid=1248694442"",""Table 2: MMC!V5:V114""), $A57=IMPORTRANGE(""https://docs.google.com/spreadsheets/d/1kGrh75X1cNR1D7_FcY9zMnHP8iPO4M5RCRjy6"&amp;"nZY0TY/edit#gid=1248694442"",""Table 2: MMC!A5:A114"")),"""")"),"")</f>
        <v/>
      </c>
      <c r="AT57" s="4" t="str">
        <f>IFERROR(__xludf.DUMMYFUNCTION("IFNA(FILTER(IMPORTRANGE(""https://docs.google.com/spreadsheets/d/1kGrh75X1cNR1D7_FcY9zMnHP8iPO4M5RCRjy6nZY0TY/edit#gid=1248694442"",""Table 2: MMC!W5:W114""), $A57=IMPORTRANGE(""https://docs.google.com/spreadsheets/d/1kGrh75X1cNR1D7_FcY9zMnHP8iPO4M5RCRjy6"&amp;"nZY0TY/edit#gid=1248694442"",""Table 2: MMC!A5:A114"")),"""")"),"")</f>
        <v/>
      </c>
    </row>
    <row r="58">
      <c r="A58" s="4" t="str">
        <f>IFERROR(__xludf.DUMMYFUNCTION("""COMPUTED_VALUE"""),"ID 120")</f>
        <v>ID 120</v>
      </c>
      <c r="B58" s="20">
        <f>IFERROR(__xludf.DUMMYFUNCTION("IFNA(FILTER(IMPORTRANGE(""https://docs.google.com/spreadsheets/d/1kGrh75X1cNR1D7_FcY9zMnHP8iPO4M5RCRjy6nZY0TY/edit#gid=1248694442"",""Table 3: 1st-line HC!BK5:BK111""), $A58=IMPORTRANGE(""https://docs.google.com/spreadsheets/d/1kGrh75X1cNR1D7_FcY9zMnHP8iP"&amp;"O4M5RCRjy6nZY0TY/edit#gid=1248694442"",""Table 3: 1st-line HC!A5:A111"")),"""")"),0.36)</f>
        <v>0.36</v>
      </c>
      <c r="C58" s="20" t="str">
        <f>IFERROR(__xludf.DUMMYFUNCTION("IFNA(FILTER(IMPORTRANGE(""https://docs.google.com/spreadsheets/d/1kGrh75X1cNR1D7_FcY9zMnHP8iPO4M5RCRjy6nZY0TY/edit#gid=1248694442"",""Subgroup 1: Fr ~ Tx!B3:B20""), $A58=IMPORTRANGE(""https://docs.google.com/spreadsheets/d/1kGrh75X1cNR1D7_FcY9zMnHP8iPO4M5"&amp;"RCRjy6nZY0TY/edit#gid=1248694442"",""Subgroup 1: Fr ~ Tx!A3:A20"")),"""")"),"")</f>
        <v/>
      </c>
      <c r="D58" s="20">
        <f>IFERROR(__xludf.DUMMYFUNCTION("IFNA(FILTER(IMPORTRANGE(""https://docs.google.com/spreadsheets/d/1kGrh75X1cNR1D7_FcY9zMnHP8iPO4M5RCRjy6nZY0TY/edit#gid=1248694442"",""Subgroup 1: Fr ~ Tx!C3:C20""), $A58=IMPORTRANGE(""https://docs.google.com/spreadsheets/d/1kGrh75X1cNR1D7_FcY9zMnHP8iPO4M5"&amp;"RCRjy6nZY0TY/edit#gid=1248694442"",""Subgroup 1: Fr ~ Tx!A3:A20"")),"""")"),0.5)</f>
        <v>0.5</v>
      </c>
      <c r="E58" s="20" t="str">
        <f>IFERROR(__xludf.DUMMYFUNCTION("IFNA(FILTER(IMPORTRANGE(""https://docs.google.com/spreadsheets/d/1kGrh75X1cNR1D7_FcY9zMnHP8iPO4M5RCRjy6nZY0TY/edit#gid=1248694442"",""Subgroup 1: Fr ~ Tx!D3:D20""), $A58=IMPORTRANGE(""https://docs.google.com/spreadsheets/d/1kGrh75X1cNR1D7_FcY9zMnHP8iPO4M5"&amp;"RCRjy6nZY0TY/edit#gid=1248694442"",""Subgroup 1: Fr ~ Tx!A3:A20"")),"""")"),"")</f>
        <v/>
      </c>
      <c r="F58" s="20">
        <f>IFERROR(__xludf.DUMMYFUNCTION("IFNA(FILTER(IMPORTRANGE(""https://docs.google.com/spreadsheets/d/1kGrh75X1cNR1D7_FcY9zMnHP8iPO4M5RCRjy6nZY0TY/edit#gid=1248694442"",""Subgroup 1: Fr ~ Tx!E3:E20""), $A58=IMPORTRANGE(""https://docs.google.com/spreadsheets/d/1kGrh75X1cNR1D7_FcY9zMnHP8iPO4M5"&amp;"RCRjy6nZY0TY/edit#gid=1248694442"",""Subgroup 1: Fr ~ Tx!A3:A20"")),"""")"),0.28125)</f>
        <v>0.28125</v>
      </c>
      <c r="G58" s="20">
        <f>IFERROR(__xludf.DUMMYFUNCTION("IFNA(FILTER(IMPORTRANGE(""https://docs.google.com/spreadsheets/d/1kGrh75X1cNR1D7_FcY9zMnHP8iPO4M5RCRjy6nZY0TY/edit#gid=1248694442"",""Subgroup 1: Fr ~ Tx!F3:F20""), $A58=IMPORTRANGE(""https://docs.google.com/spreadsheets/d/1kGrh75X1cNR1D7_FcY9zMnHP8iPO4M5"&amp;"RCRjy6nZY0TY/edit#gid=1248694442"",""Subgroup 1: Fr ~ Tx!A3:A20"")),"""")"),0.35)</f>
        <v>0.35</v>
      </c>
      <c r="H58" s="20" t="str">
        <f>IFERROR(__xludf.DUMMYFUNCTION("IFNA(FILTER(IMPORTRANGE(""https://docs.google.com/spreadsheets/d/1kGrh75X1cNR1D7_FcY9zMnHP8iPO4M5RCRjy6nZY0TY/edit#gid=1248694442"",""Table 3: 1st-line HC!BD5:BD111""), $A58=IMPORTRANGE(""https://docs.google.com/spreadsheets/d/1kGrh75X1cNR1D7_FcY9zMnHP8iP"&amp;"O4M5RCRjy6nZY0TY/edit#gid=1248694442"",""Table 3: 1st-line HC!A5:A111"")),"""")"),"")</f>
        <v/>
      </c>
      <c r="I58" s="20" t="str">
        <f>IFERROR(__xludf.DUMMYFUNCTION("IFNA(FILTER(IMPORTRANGE(""https://docs.google.com/spreadsheets/d/1kGrh75X1cNR1D7_FcY9zMnHP8iPO4M5RCRjy6nZY0TY/edit#gid=1248694442"",""Subgroup 5: Tf ~ Tx!B3:B8""), $A58=IMPORTRANGE(""https://docs.google.com/spreadsheets/d/1kGrh75X1cNR1D7_FcY9zMnHP8iPO4M5R"&amp;"CRjy6nZY0TY/edit#gid=1248694442"",""Subgroup 5: Tf ~ Tx!A3:A8"")),"""")"),"")</f>
        <v/>
      </c>
      <c r="J58" s="20" t="str">
        <f>IFERROR(__xludf.DUMMYFUNCTION("IFNA(FILTER(IMPORTRANGE(""https://docs.google.com/spreadsheets/d/1kGrh75X1cNR1D7_FcY9zMnHP8iPO4M5RCRjy6nZY0TY/edit#gid=1248694442"",""Subgroup 5: Tf ~ Tx!C3:C8""), $A58=IMPORTRANGE(""https://docs.google.com/spreadsheets/d/1kGrh75X1cNR1D7_FcY9zMnHP8iPO4M5R"&amp;"CRjy6nZY0TY/edit#gid=1248694442"",""Subgroup 5: Tf ~ Tx!A3:A8"")),"""")"),"")</f>
        <v/>
      </c>
      <c r="K58" s="20" t="str">
        <f>IFERROR(__xludf.DUMMYFUNCTION("IFNA(FILTER(IMPORTRANGE(""https://docs.google.com/spreadsheets/d/1kGrh75X1cNR1D7_FcY9zMnHP8iPO4M5RCRjy6nZY0TY/edit#gid=1248694442"",""Subgroup 5: Tf ~ Tx!D3:D8""), $A58=IMPORTRANGE(""https://docs.google.com/spreadsheets/d/1kGrh75X1cNR1D7_FcY9zMnHP8iPO4M5R"&amp;"CRjy6nZY0TY/edit#gid=1248694442"",""Subgroup 5: Tf ~ Tx!A3:A8"")),"""")"),"")</f>
        <v/>
      </c>
      <c r="L58" s="20" t="str">
        <f>IFERROR(__xludf.DUMMYFUNCTION("IFNA(FILTER(IMPORTRANGE(""https://docs.google.com/spreadsheets/d/1kGrh75X1cNR1D7_FcY9zMnHP8iPO4M5RCRjy6nZY0TY/edit#gid=1248694442"",""Subgroup 5: Tf ~ Tx!E3:E8""), $A58=IMPORTRANGE(""https://docs.google.com/spreadsheets/d/1kGrh75X1cNR1D7_FcY9zMnHP8iPO4M5R"&amp;"CRjy6nZY0TY/edit#gid=1248694442"",""Subgroup 5: Tf ~ Tx!A3:A8"")),"""")"),"")</f>
        <v/>
      </c>
      <c r="M58" s="20" t="str">
        <f>IFERROR(__xludf.DUMMYFUNCTION("IFNA(FILTER(IMPORTRANGE(""https://docs.google.com/spreadsheets/d/1kGrh75X1cNR1D7_FcY9zMnHP8iPO4M5RCRjy6nZY0TY/edit#gid=1248694442"",""Subgroup 5: Tf ~ Tx!F3:F8""), $A58=IMPORTRANGE(""https://docs.google.com/spreadsheets/d/1kGrh75X1cNR1D7_FcY9zMnHP8iPO4M5R"&amp;"CRjy6nZY0TY/edit#gid=1248694442"",""Subgroup 5: Tf ~ Tx!A3:A8"")),"""")"),"")</f>
        <v/>
      </c>
      <c r="N58" s="20" t="str">
        <f>IFERROR(__xludf.DUMMYFUNCTION("IFNA(FILTER(IMPORTRANGE(""https://docs.google.com/spreadsheets/d/1kGrh75X1cNR1D7_FcY9zMnHP8iPO4M5RCRjy6nZY0TY/edit#gid=1248694442"",""Table 3: 1st-line HC!BE5:BE111""), $A58=IMPORTRANGE(""https://docs.google.com/spreadsheets/d/1kGrh75X1cNR1D7_FcY9zMnHP8iP"&amp;"O4M5RCRjy6nZY0TY/edit#gid=1248694442"",""Table 3: 1st-line HC!A5:A111"")),"""")"),"")</f>
        <v/>
      </c>
      <c r="O58" s="20" t="str">
        <f>IFERROR(__xludf.DUMMYFUNCTION("IFNA(FILTER(IMPORTRANGE(""https://docs.google.com/spreadsheets/d/1kGrh75X1cNR1D7_FcY9zMnHP8iPO4M5RCRjy6nZY0TY/edit#gid=1248694442"",""Table 3: 1st-line HC!BF5:BF111""), $A58=IMPORTRANGE(""https://docs.google.com/spreadsheets/d/1kGrh75X1cNR1D7_FcY9zMnHP8iP"&amp;"O4M5RCRjy6nZY0TY/edit#gid=1248694442"",""Table 3: 1st-line HC!A5:A111"")),"""")"),"")</f>
        <v/>
      </c>
      <c r="P58" s="20" t="str">
        <f>IFERROR(__xludf.DUMMYFUNCTION("IFNA(FILTER(IMPORTRANGE(""https://docs.google.com/spreadsheets/d/1kGrh75X1cNR1D7_FcY9zMnHP8iPO4M5RCRjy6nZY0TY/edit#gid=1248694442"",""Table 3: 1st-line HC!BG5:BG111""), $A58=IMPORTRANGE(""https://docs.google.com/spreadsheets/d/1kGrh75X1cNR1D7_FcY9zMnHP8iP"&amp;"O4M5RCRjy6nZY0TY/edit#gid=1248694442"",""Table 3: 1st-line HC!A5:A111"")),"""")"),"")</f>
        <v/>
      </c>
      <c r="Q58" s="21" t="str">
        <f>IFERROR(__xludf.DUMMYFUNCTION("IFNA(FILTER(IMPORTRANGE(""https://docs.google.com/spreadsheets/d/1kGrh75X1cNR1D7_FcY9zMnHP8iPO4M5RCRjy6nZY0TY/edit#gid=1248694442"",""Table 3: 1st-line HC!BH5:BH111""), $A58=IMPORTRANGE(""https://docs.google.com/spreadsheets/d/1kGrh75X1cNR1D7_FcY9zMnHP8iP"&amp;"O4M5RCRjy6nZY0TY/edit#gid=1248694442"",""Table 3: 1st-line HC!A5:A111"")),"""")"),"")</f>
        <v/>
      </c>
      <c r="R58" s="19">
        <f>IFERROR(__xludf.DUMMYFUNCTION("IFNA(FILTER(IMPORTRANGE(""https://docs.google.com/spreadsheets/d/1kGrh75X1cNR1D7_FcY9zMnHP8iPO4M5RCRjy6nZY0TY/edit#gid=1248694442"",""Table 3: 1st-line HC!AJ5:AJ111""), $A58=IMPORTRANGE(""https://docs.google.com/spreadsheets/d/1kGrh75X1cNR1D7_FcY9zMnHP8iP"&amp;"O4M5RCRjy6nZY0TY/edit#gid=1248694442"",""Table 3: 1st-line HC!A5:A111"")),"""")"),0.0)</f>
        <v>0</v>
      </c>
      <c r="S58" s="20" t="str">
        <f>IFERROR(__xludf.DUMMYFUNCTION("IFNA(FILTER(IMPORTRANGE(""https://docs.google.com/spreadsheets/d/1kGrh75X1cNR1D7_FcY9zMnHP8iPO4M5RCRjy6nZY0TY/edit#gid=1248694442"",""Subgroup 3: Mi ~ Tx!B3:B17""), $A58=IMPORTRANGE(""https://docs.google.com/spreadsheets/d/1kGrh75X1cNR1D7_FcY9zMnHP8iPO4M5"&amp;"RCRjy6nZY0TY/edit#gid=1248694442"",""Subgroup 3: Mi ~ Tx!A3:A17"")),"""")"),"")</f>
        <v/>
      </c>
      <c r="T58" s="20" t="str">
        <f>IFERROR(__xludf.DUMMYFUNCTION("IFNA(FILTER(IMPORTRANGE(""https://docs.google.com/spreadsheets/d/1kGrh75X1cNR1D7_FcY9zMnHP8iPO4M5RCRjy6nZY0TY/edit#gid=1248694442"",""Subgroup 3: Mi ~ Tx!C3:C17""), $A58=IMPORTRANGE(""https://docs.google.com/spreadsheets/d/1kGrh75X1cNR1D7_FcY9zMnHP8iPO4M5"&amp;"RCRjy6nZY0TY/edit#gid=1248694442"",""Subgroup 3: Mi ~ Tx!A3:A17"")),"""")"),"")</f>
        <v/>
      </c>
      <c r="U58" s="20" t="str">
        <f>IFERROR(__xludf.DUMMYFUNCTION("IFNA(FILTER(IMPORTRANGE(""https://docs.google.com/spreadsheets/d/1kGrh75X1cNR1D7_FcY9zMnHP8iPO4M5RCRjy6nZY0TY/edit#gid=1248694442"",""Subgroup 3: Mi ~ Tx!D3:D17""), $A58=IMPORTRANGE(""https://docs.google.com/spreadsheets/d/1kGrh75X1cNR1D7_FcY9zMnHP8iPO4M5"&amp;"RCRjy6nZY0TY/edit#gid=1248694442"",""Subgroup 3: Mi ~ Tx!A3:A17"")),"""")"),"")</f>
        <v/>
      </c>
      <c r="V58" s="20" t="str">
        <f>IFERROR(__xludf.DUMMYFUNCTION("IFNA(FILTER(IMPORTRANGE(""https://docs.google.com/spreadsheets/d/1kGrh75X1cNR1D7_FcY9zMnHP8iPO4M5RCRjy6nZY0TY/edit#gid=1248694442"",""Subgroup 3: Mi ~ Tx!E3:E17""), $A58=IMPORTRANGE(""https://docs.google.com/spreadsheets/d/1kGrh75X1cNR1D7_FcY9zMnHP8iPO4M5"&amp;"RCRjy6nZY0TY/edit#gid=1248694442"",""Subgroup 3: Mi ~ Tx!A3:A17"")),"""")"),"")</f>
        <v/>
      </c>
      <c r="W58" s="20" t="str">
        <f>IFERROR(__xludf.DUMMYFUNCTION("IFNA(FILTER(IMPORTRANGE(""https://docs.google.com/spreadsheets/d/1kGrh75X1cNR1D7_FcY9zMnHP8iPO4M5RCRjy6nZY0TY/edit#gid=1248694442"",""Subgroup 3: Mi ~ Tx!F3:F17""), $A58=IMPORTRANGE(""https://docs.google.com/spreadsheets/d/1kGrh75X1cNR1D7_FcY9zMnHP8iPO4M5"&amp;"RCRjy6nZY0TY/edit#gid=1248694442"",""Subgroup 3: Mi ~ Tx!A3:A17"")),"""")"),"")</f>
        <v/>
      </c>
      <c r="X58" s="19">
        <f>IFERROR(__xludf.DUMMYFUNCTION("IFNA(FILTER(IMPORTRANGE(""https://docs.google.com/spreadsheets/d/1kGrh75X1cNR1D7_FcY9zMnHP8iPO4M5RCRjy6nZY0TY/edit#gid=1248694442"",""Table 3: 1st-line HC!AK5:AK111""), $A58=IMPORTRANGE(""https://docs.google.com/spreadsheets/d/1kGrh75X1cNR1D7_FcY9zMnHP8iP"&amp;"O4M5RCRjy6nZY0TY/edit#gid=1248694442"",""Table 3: 1st-line HC!A5:A111"")),"""")"),0.0)</f>
        <v>0</v>
      </c>
      <c r="Y58" s="20" t="str">
        <f>IFERROR(__xludf.DUMMYFUNCTION("IFNA(FILTER(IMPORTRANGE(""https://docs.google.com/spreadsheets/d/1kGrh75X1cNR1D7_FcY9zMnHP8iPO4M5RCRjy6nZY0TY/edit#gid=1248694442"",""Subgroup 4: Mp ~ Tx!B3:B20""), $A58=IMPORTRANGE(""https://docs.google.com/spreadsheets/d/1kGrh75X1cNR1D7_FcY9zMnHP8iPO4M5"&amp;"RCRjy6nZY0TY/edit#gid=1248694442"",""Subgroup 4: Mp ~ Tx!A3:A20"")),"""")"),"")</f>
        <v/>
      </c>
      <c r="Z58" s="20">
        <f>IFERROR(__xludf.DUMMYFUNCTION("IFNA(FILTER(IMPORTRANGE(""https://docs.google.com/spreadsheets/d/1kGrh75X1cNR1D7_FcY9zMnHP8iPO4M5RCRjy6nZY0TY/edit#gid=1248694442"",""Subgroup 4: Mp ~ Tx!C3:C20""), $A58=IMPORTRANGE(""https://docs.google.com/spreadsheets/d/1kGrh75X1cNR1D7_FcY9zMnHP8iPO4M5"&amp;"RCRjy6nZY0TY/edit#gid=1248694442"",""Subgroup 4: Mp ~ Tx!A3:A20"")),"""")"),0.0)</f>
        <v>0</v>
      </c>
      <c r="AA58" s="20">
        <f>IFERROR(__xludf.DUMMYFUNCTION("IFNA(FILTER(IMPORTRANGE(""https://docs.google.com/spreadsheets/d/1kGrh75X1cNR1D7_FcY9zMnHP8iPO4M5RCRjy6nZY0TY/edit#gid=1248694442"",""Subgroup 4: Mp ~ Tx!D3:D20""), $A58=IMPORTRANGE(""https://docs.google.com/spreadsheets/d/1kGrh75X1cNR1D7_FcY9zMnHP8iPO4M5"&amp;"RCRjy6nZY0TY/edit#gid=1248694442"",""Subgroup 4: Mp ~ Tx!A3:A20"")),"""")"),0.0)</f>
        <v>0</v>
      </c>
      <c r="AB58" s="20" t="str">
        <f>IFERROR(__xludf.DUMMYFUNCTION("IFNA(FILTER(IMPORTRANGE(""https://docs.google.com/spreadsheets/d/1kGrh75X1cNR1D7_FcY9zMnHP8iPO4M5RCRjy6nZY0TY/edit#gid=1248694442"",""Subgroup 4: Mp ~ Tx!E3:E20""), $A58=IMPORTRANGE(""https://docs.google.com/spreadsheets/d/1kGrh75X1cNR1D7_FcY9zMnHP8iPO4M5"&amp;"RCRjy6nZY0TY/edit#gid=1248694442"",""Subgroup 4: Mp ~ Tx!A3:A20"")),"""")"),"")</f>
        <v/>
      </c>
      <c r="AC58" s="20">
        <f>IFERROR(__xludf.DUMMYFUNCTION("IFNA(FILTER(IMPORTRANGE(""https://docs.google.com/spreadsheets/d/1kGrh75X1cNR1D7_FcY9zMnHP8iPO4M5RCRjy6nZY0TY/edit#gid=1248694442"",""Subgroup 4: Mp ~ Tx!F3:F20""), $A58=IMPORTRANGE(""https://docs.google.com/spreadsheets/d/1kGrh75X1cNR1D7_FcY9zMnHP8iPO4M5"&amp;"RCRjy6nZY0TY/edit#gid=1248694442"",""Subgroup 4: Mp ~ Tx!A3:A20"")),"""")"),0.0)</f>
        <v>0</v>
      </c>
      <c r="AD58" s="22" t="str">
        <f>IFERROR(__xludf.DUMMYFUNCTION("IFNA(FILTER(IMPORTRANGE(""https://docs.google.com/spreadsheets/d/1kGrh75X1cNR1D7_FcY9zMnHP8iPO4M5RCRjy6nZY0TY/edit#gid=1248694442"",""Table 3: 1st-line HC!AL5:AL111""), $A58=IMPORTRANGE(""https://docs.google.com/spreadsheets/d/1kGrh75X1cNR1D7_FcY9zMnHP8iP"&amp;"O4M5RCRjy6nZY0TY/edit#gid=1248694442"",""Table 3: 1st-line HC!A5:A111"")),"""")"),"")</f>
        <v/>
      </c>
      <c r="AE58" s="20">
        <f>IFERROR(__xludf.DUMMYFUNCTION("IFNA(FILTER(IMPORTRANGE(""https://docs.google.com/spreadsheets/d/1kGrh75X1cNR1D7_FcY9zMnHP8iPO4M5RCRjy6nZY0TY/edit#gid=1248694442"",""Table 3: 1st-line HC!BJ5:BJ111""), $A58=IMPORTRANGE(""https://docs.google.com/spreadsheets/d/1kGrh75X1cNR1D7_FcY9zMnHP8iP"&amp;"O4M5RCRjy6nZY0TY/edit#gid=1248694442"",""Table 3: 1st-line HC!A5:A111"")),"""")"),0.36)</f>
        <v>0.36</v>
      </c>
      <c r="AF58" s="20" t="str">
        <f>IFERROR(__xludf.DUMMYFUNCTION("IFNA(FILTER(IMPORTRANGE(""https://docs.google.com/spreadsheets/d/1kGrh75X1cNR1D7_FcY9zMnHP8iPO4M5RCRjy6nZY0TY/edit#gid=1248694442"",""Subgroup 2: Cr ~ Tx!B3:B23""), $A58=IMPORTRANGE(""https://docs.google.com/spreadsheets/d/1kGrh75X1cNR1D7_FcY9zMnHP8iPO4M5"&amp;"RCRjy6nZY0TY/edit#gid=1248694442"",""Subgroup 2: Cr ~ Tx!A3:A23"")),"""")"),"")</f>
        <v/>
      </c>
      <c r="AG58" s="20">
        <f>IFERROR(__xludf.DUMMYFUNCTION("IFNA(FILTER(IMPORTRANGE(""https://docs.google.com/spreadsheets/d/1kGrh75X1cNR1D7_FcY9zMnHP8iPO4M5RCRjy6nZY0TY/edit#gid=1248694442"",""Subgroup 2: Cr ~ Tx!C3:C23""), $A58=IMPORTRANGE(""https://docs.google.com/spreadsheets/d/1kGrh75X1cNR1D7_FcY9zMnHP8iPO4M5"&amp;"RCRjy6nZY0TY/edit#gid=1248694442"",""Subgroup 2: Cr ~ Tx!A3:A23"")),"""")"),0.16666666666666666)</f>
        <v>0.1666666667</v>
      </c>
      <c r="AH58" s="20">
        <f>IFERROR(__xludf.DUMMYFUNCTION("IFNA(FILTER(IMPORTRANGE(""https://docs.google.com/spreadsheets/d/1kGrh75X1cNR1D7_FcY9zMnHP8iPO4M5RCRjy6nZY0TY/edit#gid=1248694442"",""Subgroup 2: Cr ~ Tx!D3:D23""), $A58=IMPORTRANGE(""https://docs.google.com/spreadsheets/d/1kGrh75X1cNR1D7_FcY9zMnHP8iPO4M5"&amp;"RCRjy6nZY0TY/edit#gid=1248694442"",""Subgroup 2: Cr ~ Tx!A3:A23"")),"""")"),0.25)</f>
        <v>0.25</v>
      </c>
      <c r="AI58" s="20" t="str">
        <f>IFERROR(__xludf.DUMMYFUNCTION("IFNA(FILTER(IMPORTRANGE(""https://docs.google.com/spreadsheets/d/1kGrh75X1cNR1D7_FcY9zMnHP8iPO4M5RCRjy6nZY0TY/edit#gid=1248694442"",""Subgroup 2: Cr ~ Tx!E3:E23""), $A58=IMPORTRANGE(""https://docs.google.com/spreadsheets/d/1kGrh75X1cNR1D7_FcY9zMnHP8iPO4M5"&amp;"RCRjy6nZY0TY/edit#gid=1248694442"",""Subgroup 2: Cr ~ Tx!A3:A23"")),"""")"),"")</f>
        <v/>
      </c>
      <c r="AJ58" s="20">
        <f>IFERROR(__xludf.DUMMYFUNCTION("IFNA(FILTER(IMPORTRANGE(""https://docs.google.com/spreadsheets/d/1kGrh75X1cNR1D7_FcY9zMnHP8iPO4M5RCRjy6nZY0TY/edit#gid=1248694442"",""Subgroup 2: Cr ~ Tx!F3:F23""), $A58=IMPORTRANGE(""https://docs.google.com/spreadsheets/d/1kGrh75X1cNR1D7_FcY9zMnHP8iPO4M5"&amp;"RCRjy6nZY0TY/edit#gid=1248694442"",""Subgroup 2: Cr ~ Tx!A3:A23"")),"""")"),0.15)</f>
        <v>0.15</v>
      </c>
      <c r="AK58" s="14" t="str">
        <f>IFERROR(__xludf.DUMMYFUNCTION("IFNA(FILTER(IMPORTRANGE(""https://docs.google.com/spreadsheets/d/1kGrh75X1cNR1D7_FcY9zMnHP8iPO4M5RCRjy6nZY0TY/edit#gid=1248694442"",""Table 4: 2nd-line HC or more!M5:M85""), $A58=IMPORTRANGE(""https://docs.google.com/spreadsheets/d/1kGrh75X1cNR1D7_FcY9zMn"&amp;"HP8iPO4M5RCRjy6nZY0TY/edit#gid=1248694442"",""Table 4: 2nd-line HC or more!A5:A85"")),"""")"),"")</f>
        <v/>
      </c>
      <c r="AL58" s="14" t="str">
        <f>IFERROR(__xludf.DUMMYFUNCTION("IFNA(FILTER(IMPORTRANGE(""https://docs.google.com/spreadsheets/d/1kGrh75X1cNR1D7_FcY9zMnHP8iPO4M5RCRjy6nZY0TY/edit#gid=1248694442"",""Table 4: 2nd-line HC or more!N5:N85""), $A58=IMPORTRANGE(""https://docs.google.com/spreadsheets/d/1kGrh75X1cNR1D7_FcY9zMn"&amp;"HP8iPO4M5RCRjy6nZY0TY/edit#gid=1248694442"",""Table 4: 2nd-line HC or more!A5:A85"")),"""")"),"")</f>
        <v/>
      </c>
      <c r="AM58" s="14" t="str">
        <f>IFERROR(__xludf.DUMMYFUNCTION("IFNA(FILTER(IMPORTRANGE(""https://docs.google.com/spreadsheets/d/1kGrh75X1cNR1D7_FcY9zMnHP8iPO4M5RCRjy6nZY0TY/edit#gid=1248694442"",""Table 4: 2nd-line HC or more!O5:O85""), $A58=IMPORTRANGE(""https://docs.google.com/spreadsheets/d/1kGrh75X1cNR1D7_FcY9zMn"&amp;"HP8iPO4M5RCRjy6nZY0TY/edit#gid=1248694442"",""Table 4: 2nd-line HC or more!A5:A85"")),"""")"),"")</f>
        <v/>
      </c>
      <c r="AN58" s="14" t="str">
        <f>IFERROR(__xludf.DUMMYFUNCTION("IFNA(FILTER(IMPORTRANGE(""https://docs.google.com/spreadsheets/d/1kGrh75X1cNR1D7_FcY9zMnHP8iPO4M5RCRjy6nZY0TY/edit#gid=1248694442"",""Table 3: 1st-line HC!AP5:AP111""), $A58=IMPORTRANGE(""https://docs.google.com/spreadsheets/d/1kGrh75X1cNR1D7_FcY9zMnHP8iP"&amp;"O4M5RCRjy6nZY0TY/edit#gid=1248694442"",""Table 3: 1st-line HC!A5:A111"")),"""")"),"")</f>
        <v/>
      </c>
      <c r="AO58" s="14" t="str">
        <f>IFERROR(__xludf.DUMMYFUNCTION("IFNA(FILTER(IMPORTRANGE(""https://docs.google.com/spreadsheets/d/1kGrh75X1cNR1D7_FcY9zMnHP8iPO4M5RCRjy6nZY0TY/edit#gid=1248694442"",""Table 3: 1st-line HC!AO5:AO111""), $A58=IMPORTRANGE(""https://docs.google.com/spreadsheets/d/1kGrh75X1cNR1D7_FcY9zMnHP8iP"&amp;"O4M5RCRjy6nZY0TY/edit#gid=1248694442"",""Table 3: 1st-line HC!A5:A111"")),"""")"),"")</f>
        <v/>
      </c>
      <c r="AP58" s="14" t="str">
        <f>IFERROR(__xludf.DUMMYFUNCTION("IFNA(FILTER(IMPORTRANGE(""https://docs.google.com/spreadsheets/d/1kGrh75X1cNR1D7_FcY9zMnHP8iPO4M5RCRjy6nZY0TY/edit#gid=1248694442"",""Table 3: 1st-line HC!AQ5:AQ111""), $A58=IMPORTRANGE(""https://docs.google.com/spreadsheets/d/1kGrh75X1cNR1D7_FcY9zMnHP8iP"&amp;"O4M5RCRjy6nZY0TY/edit#gid=1248694442"",""Table 3: 1st-line HC!A5:A111"")),"""")"),"")</f>
        <v/>
      </c>
      <c r="AQ58" s="14" t="str">
        <f>IFERROR(__xludf.DUMMYFUNCTION("IFNA(FILTER(IMPORTRANGE(""https://docs.google.com/spreadsheets/d/1kGrh75X1cNR1D7_FcY9zMnHP8iPO4M5RCRjy6nZY0TY/edit#gid=1248694442"",""Table 2: MMC!T5:T114""), $A58=IMPORTRANGE(""https://docs.google.com/spreadsheets/d/1kGrh75X1cNR1D7_FcY9zMnHP8iPO4M5RCRjy6"&amp;"nZY0TY/edit#gid=1248694442"",""Table 2: MMC!A5:A114"")),"""")"),"")</f>
        <v/>
      </c>
      <c r="AR58" s="14" t="str">
        <f>IFERROR(__xludf.DUMMYFUNCTION("IFNA(FILTER(IMPORTRANGE(""https://docs.google.com/spreadsheets/d/1kGrh75X1cNR1D7_FcY9zMnHP8iPO4M5RCRjy6nZY0TY/edit#gid=1248694442"",""Table 2: MMC!U5:U114""), $A58=IMPORTRANGE(""https://docs.google.com/spreadsheets/d/1kGrh75X1cNR1D7_FcY9zMnHP8iPO4M5RCRjy6"&amp;"nZY0TY/edit#gid=1248694442"",""Table 2: MMC!A5:A114"")),"""")"),"")</f>
        <v/>
      </c>
      <c r="AS58" s="14" t="str">
        <f>IFERROR(__xludf.DUMMYFUNCTION("IFNA(FILTER(IMPORTRANGE(""https://docs.google.com/spreadsheets/d/1kGrh75X1cNR1D7_FcY9zMnHP8iPO4M5RCRjy6nZY0TY/edit#gid=1248694442"",""Table 2: MMC!V5:V114""), $A58=IMPORTRANGE(""https://docs.google.com/spreadsheets/d/1kGrh75X1cNR1D7_FcY9zMnHP8iPO4M5RCRjy6"&amp;"nZY0TY/edit#gid=1248694442"",""Table 2: MMC!A5:A114"")),"""")"),"")</f>
        <v/>
      </c>
      <c r="AT58" s="4" t="str">
        <f>IFERROR(__xludf.DUMMYFUNCTION("IFNA(FILTER(IMPORTRANGE(""https://docs.google.com/spreadsheets/d/1kGrh75X1cNR1D7_FcY9zMnHP8iPO4M5RCRjy6nZY0TY/edit#gid=1248694442"",""Table 2: MMC!W5:W114""), $A58=IMPORTRANGE(""https://docs.google.com/spreadsheets/d/1kGrh75X1cNR1D7_FcY9zMnHP8iPO4M5RCRjy6"&amp;"nZY0TY/edit#gid=1248694442"",""Table 2: MMC!A5:A114"")),"""")"),"")</f>
        <v/>
      </c>
    </row>
    <row r="59">
      <c r="A59" s="4" t="str">
        <f>IFERROR(__xludf.DUMMYFUNCTION("""COMPUTED_VALUE"""),"ID 123")</f>
        <v>ID 123</v>
      </c>
      <c r="B59" s="20">
        <f>IFERROR(__xludf.DUMMYFUNCTION("IFNA(FILTER(IMPORTRANGE(""https://docs.google.com/spreadsheets/d/1kGrh75X1cNR1D7_FcY9zMnHP8iPO4M5RCRjy6nZY0TY/edit#gid=1248694442"",""Table 3: 1st-line HC!BK5:BK111""), $A59=IMPORTRANGE(""https://docs.google.com/spreadsheets/d/1kGrh75X1cNR1D7_FcY9zMnHP8iP"&amp;"O4M5RCRjy6nZY0TY/edit#gid=1248694442"",""Table 3: 1st-line HC!A5:A111"")),"""")"),0.25)</f>
        <v>0.25</v>
      </c>
      <c r="C59" s="20" t="str">
        <f>IFERROR(__xludf.DUMMYFUNCTION("IFNA(FILTER(IMPORTRANGE(""https://docs.google.com/spreadsheets/d/1kGrh75X1cNR1D7_FcY9zMnHP8iPO4M5RCRjy6nZY0TY/edit#gid=1248694442"",""Subgroup 1: Fr ~ Tx!B3:B20""), $A59=IMPORTRANGE(""https://docs.google.com/spreadsheets/d/1kGrh75X1cNR1D7_FcY9zMnHP8iPO4M5"&amp;"RCRjy6nZY0TY/edit#gid=1248694442"",""Subgroup 1: Fr ~ Tx!A3:A20"")),"""")"),"")</f>
        <v/>
      </c>
      <c r="D59" s="20">
        <f>IFERROR(__xludf.DUMMYFUNCTION("IFNA(FILTER(IMPORTRANGE(""https://docs.google.com/spreadsheets/d/1kGrh75X1cNR1D7_FcY9zMnHP8iPO4M5RCRjy6nZY0TY/edit#gid=1248694442"",""Subgroup 1: Fr ~ Tx!C3:C20""), $A59=IMPORTRANGE(""https://docs.google.com/spreadsheets/d/1kGrh75X1cNR1D7_FcY9zMnHP8iPO4M5"&amp;"RCRjy6nZY0TY/edit#gid=1248694442"",""Subgroup 1: Fr ~ Tx!A3:A20"")),"""")"),0.25)</f>
        <v>0.25</v>
      </c>
      <c r="E59" s="20" t="str">
        <f>IFERROR(__xludf.DUMMYFUNCTION("IFNA(FILTER(IMPORTRANGE(""https://docs.google.com/spreadsheets/d/1kGrh75X1cNR1D7_FcY9zMnHP8iPO4M5RCRjy6nZY0TY/edit#gid=1248694442"",""Subgroup 1: Fr ~ Tx!D3:D20""), $A59=IMPORTRANGE(""https://docs.google.com/spreadsheets/d/1kGrh75X1cNR1D7_FcY9zMnHP8iPO4M5"&amp;"RCRjy6nZY0TY/edit#gid=1248694442"",""Subgroup 1: Fr ~ Tx!A3:A20"")),"""")"),"")</f>
        <v/>
      </c>
      <c r="F59" s="20" t="str">
        <f>IFERROR(__xludf.DUMMYFUNCTION("IFNA(FILTER(IMPORTRANGE(""https://docs.google.com/spreadsheets/d/1kGrh75X1cNR1D7_FcY9zMnHP8iPO4M5RCRjy6nZY0TY/edit#gid=1248694442"",""Subgroup 1: Fr ~ Tx!E3:E20""), $A59=IMPORTRANGE(""https://docs.google.com/spreadsheets/d/1kGrh75X1cNR1D7_FcY9zMnHP8iPO4M5"&amp;"RCRjy6nZY0TY/edit#gid=1248694442"",""Subgroup 1: Fr ~ Tx!A3:A20"")),"""")"),"")</f>
        <v/>
      </c>
      <c r="G59" s="20" t="str">
        <f>IFERROR(__xludf.DUMMYFUNCTION("IFNA(FILTER(IMPORTRANGE(""https://docs.google.com/spreadsheets/d/1kGrh75X1cNR1D7_FcY9zMnHP8iPO4M5RCRjy6nZY0TY/edit#gid=1248694442"",""Subgroup 1: Fr ~ Tx!F3:F20""), $A59=IMPORTRANGE(""https://docs.google.com/spreadsheets/d/1kGrh75X1cNR1D7_FcY9zMnHP8iPO4M5"&amp;"RCRjy6nZY0TY/edit#gid=1248694442"",""Subgroup 1: Fr ~ Tx!A3:A20"")),"""")"),"")</f>
        <v/>
      </c>
      <c r="H59" s="20" t="str">
        <f>IFERROR(__xludf.DUMMYFUNCTION("IFNA(FILTER(IMPORTRANGE(""https://docs.google.com/spreadsheets/d/1kGrh75X1cNR1D7_FcY9zMnHP8iPO4M5RCRjy6nZY0TY/edit#gid=1248694442"",""Table 3: 1st-line HC!BD5:BD111""), $A59=IMPORTRANGE(""https://docs.google.com/spreadsheets/d/1kGrh75X1cNR1D7_FcY9zMnHP8iP"&amp;"O4M5RCRjy6nZY0TY/edit#gid=1248694442"",""Table 3: 1st-line HC!A5:A111"")),"""")"),"")</f>
        <v/>
      </c>
      <c r="I59" s="20" t="str">
        <f>IFERROR(__xludf.DUMMYFUNCTION("IFNA(FILTER(IMPORTRANGE(""https://docs.google.com/spreadsheets/d/1kGrh75X1cNR1D7_FcY9zMnHP8iPO4M5RCRjy6nZY0TY/edit#gid=1248694442"",""Subgroup 5: Tf ~ Tx!B3:B8""), $A59=IMPORTRANGE(""https://docs.google.com/spreadsheets/d/1kGrh75X1cNR1D7_FcY9zMnHP8iPO4M5R"&amp;"CRjy6nZY0TY/edit#gid=1248694442"",""Subgroup 5: Tf ~ Tx!A3:A8"")),"""")"),"")</f>
        <v/>
      </c>
      <c r="J59" s="20" t="str">
        <f>IFERROR(__xludf.DUMMYFUNCTION("IFNA(FILTER(IMPORTRANGE(""https://docs.google.com/spreadsheets/d/1kGrh75X1cNR1D7_FcY9zMnHP8iPO4M5RCRjy6nZY0TY/edit#gid=1248694442"",""Subgroup 5: Tf ~ Tx!C3:C8""), $A59=IMPORTRANGE(""https://docs.google.com/spreadsheets/d/1kGrh75X1cNR1D7_FcY9zMnHP8iPO4M5R"&amp;"CRjy6nZY0TY/edit#gid=1248694442"",""Subgroup 5: Tf ~ Tx!A3:A8"")),"""")"),"")</f>
        <v/>
      </c>
      <c r="K59" s="20" t="str">
        <f>IFERROR(__xludf.DUMMYFUNCTION("IFNA(FILTER(IMPORTRANGE(""https://docs.google.com/spreadsheets/d/1kGrh75X1cNR1D7_FcY9zMnHP8iPO4M5RCRjy6nZY0TY/edit#gid=1248694442"",""Subgroup 5: Tf ~ Tx!D3:D8""), $A59=IMPORTRANGE(""https://docs.google.com/spreadsheets/d/1kGrh75X1cNR1D7_FcY9zMnHP8iPO4M5R"&amp;"CRjy6nZY0TY/edit#gid=1248694442"",""Subgroup 5: Tf ~ Tx!A3:A8"")),"""")"),"")</f>
        <v/>
      </c>
      <c r="L59" s="20" t="str">
        <f>IFERROR(__xludf.DUMMYFUNCTION("IFNA(FILTER(IMPORTRANGE(""https://docs.google.com/spreadsheets/d/1kGrh75X1cNR1D7_FcY9zMnHP8iPO4M5RCRjy6nZY0TY/edit#gid=1248694442"",""Subgroup 5: Tf ~ Tx!E3:E8""), $A59=IMPORTRANGE(""https://docs.google.com/spreadsheets/d/1kGrh75X1cNR1D7_FcY9zMnHP8iPO4M5R"&amp;"CRjy6nZY0TY/edit#gid=1248694442"",""Subgroup 5: Tf ~ Tx!A3:A8"")),"""")"),"")</f>
        <v/>
      </c>
      <c r="M59" s="20" t="str">
        <f>IFERROR(__xludf.DUMMYFUNCTION("IFNA(FILTER(IMPORTRANGE(""https://docs.google.com/spreadsheets/d/1kGrh75X1cNR1D7_FcY9zMnHP8iPO4M5RCRjy6nZY0TY/edit#gid=1248694442"",""Subgroup 5: Tf ~ Tx!F3:F8""), $A59=IMPORTRANGE(""https://docs.google.com/spreadsheets/d/1kGrh75X1cNR1D7_FcY9zMnHP8iPO4M5R"&amp;"CRjy6nZY0TY/edit#gid=1248694442"",""Subgroup 5: Tf ~ Tx!A3:A8"")),"""")"),"")</f>
        <v/>
      </c>
      <c r="N59" s="20" t="str">
        <f>IFERROR(__xludf.DUMMYFUNCTION("IFNA(FILTER(IMPORTRANGE(""https://docs.google.com/spreadsheets/d/1kGrh75X1cNR1D7_FcY9zMnHP8iPO4M5RCRjy6nZY0TY/edit#gid=1248694442"",""Table 3: 1st-line HC!BE5:BE111""), $A59=IMPORTRANGE(""https://docs.google.com/spreadsheets/d/1kGrh75X1cNR1D7_FcY9zMnHP8iP"&amp;"O4M5RCRjy6nZY0TY/edit#gid=1248694442"",""Table 3: 1st-line HC!A5:A111"")),"""")"),"")</f>
        <v/>
      </c>
      <c r="O59" s="20" t="str">
        <f>IFERROR(__xludf.DUMMYFUNCTION("IFNA(FILTER(IMPORTRANGE(""https://docs.google.com/spreadsheets/d/1kGrh75X1cNR1D7_FcY9zMnHP8iPO4M5RCRjy6nZY0TY/edit#gid=1248694442"",""Table 3: 1st-line HC!BF5:BF111""), $A59=IMPORTRANGE(""https://docs.google.com/spreadsheets/d/1kGrh75X1cNR1D7_FcY9zMnHP8iP"&amp;"O4M5RCRjy6nZY0TY/edit#gid=1248694442"",""Table 3: 1st-line HC!A5:A111"")),"""")"),"")</f>
        <v/>
      </c>
      <c r="P59" s="20" t="str">
        <f>IFERROR(__xludf.DUMMYFUNCTION("IFNA(FILTER(IMPORTRANGE(""https://docs.google.com/spreadsheets/d/1kGrh75X1cNR1D7_FcY9zMnHP8iPO4M5RCRjy6nZY0TY/edit#gid=1248694442"",""Table 3: 1st-line HC!BG5:BG111""), $A59=IMPORTRANGE(""https://docs.google.com/spreadsheets/d/1kGrh75X1cNR1D7_FcY9zMnHP8iP"&amp;"O4M5RCRjy6nZY0TY/edit#gid=1248694442"",""Table 3: 1st-line HC!A5:A111"")),"""")"),"")</f>
        <v/>
      </c>
      <c r="Q59" s="21" t="str">
        <f>IFERROR(__xludf.DUMMYFUNCTION("IFNA(FILTER(IMPORTRANGE(""https://docs.google.com/spreadsheets/d/1kGrh75X1cNR1D7_FcY9zMnHP8iPO4M5RCRjy6nZY0TY/edit#gid=1248694442"",""Table 3: 1st-line HC!BH5:BH111""), $A59=IMPORTRANGE(""https://docs.google.com/spreadsheets/d/1kGrh75X1cNR1D7_FcY9zMnHP8iP"&amp;"O4M5RCRjy6nZY0TY/edit#gid=1248694442"",""Table 3: 1st-line HC!A5:A111"")),"""")"),"")</f>
        <v/>
      </c>
      <c r="R59" s="19" t="str">
        <f>IFERROR(__xludf.DUMMYFUNCTION("IFNA(FILTER(IMPORTRANGE(""https://docs.google.com/spreadsheets/d/1kGrh75X1cNR1D7_FcY9zMnHP8iPO4M5RCRjy6nZY0TY/edit#gid=1248694442"",""Table 3: 1st-line HC!AJ5:AJ111""), $A59=IMPORTRANGE(""https://docs.google.com/spreadsheets/d/1kGrh75X1cNR1D7_FcY9zMnHP8iP"&amp;"O4M5RCRjy6nZY0TY/edit#gid=1248694442"",""Table 3: 1st-line HC!A5:A111"")),"""")"),"")</f>
        <v/>
      </c>
      <c r="S59" s="20" t="str">
        <f>IFERROR(__xludf.DUMMYFUNCTION("IFNA(FILTER(IMPORTRANGE(""https://docs.google.com/spreadsheets/d/1kGrh75X1cNR1D7_FcY9zMnHP8iPO4M5RCRjy6nZY0TY/edit#gid=1248694442"",""Subgroup 3: Mi ~ Tx!B3:B17""), $A59=IMPORTRANGE(""https://docs.google.com/spreadsheets/d/1kGrh75X1cNR1D7_FcY9zMnHP8iPO4M5"&amp;"RCRjy6nZY0TY/edit#gid=1248694442"",""Subgroup 3: Mi ~ Tx!A3:A17"")),"""")"),"")</f>
        <v/>
      </c>
      <c r="T59" s="20" t="str">
        <f>IFERROR(__xludf.DUMMYFUNCTION("IFNA(FILTER(IMPORTRANGE(""https://docs.google.com/spreadsheets/d/1kGrh75X1cNR1D7_FcY9zMnHP8iPO4M5RCRjy6nZY0TY/edit#gid=1248694442"",""Subgroup 3: Mi ~ Tx!C3:C17""), $A59=IMPORTRANGE(""https://docs.google.com/spreadsheets/d/1kGrh75X1cNR1D7_FcY9zMnHP8iPO4M5"&amp;"RCRjy6nZY0TY/edit#gid=1248694442"",""Subgroup 3: Mi ~ Tx!A3:A17"")),"""")"),"")</f>
        <v/>
      </c>
      <c r="U59" s="20" t="str">
        <f>IFERROR(__xludf.DUMMYFUNCTION("IFNA(FILTER(IMPORTRANGE(""https://docs.google.com/spreadsheets/d/1kGrh75X1cNR1D7_FcY9zMnHP8iPO4M5RCRjy6nZY0TY/edit#gid=1248694442"",""Subgroup 3: Mi ~ Tx!D3:D17""), $A59=IMPORTRANGE(""https://docs.google.com/spreadsheets/d/1kGrh75X1cNR1D7_FcY9zMnHP8iPO4M5"&amp;"RCRjy6nZY0TY/edit#gid=1248694442"",""Subgroup 3: Mi ~ Tx!A3:A17"")),"""")"),"")</f>
        <v/>
      </c>
      <c r="V59" s="20" t="str">
        <f>IFERROR(__xludf.DUMMYFUNCTION("IFNA(FILTER(IMPORTRANGE(""https://docs.google.com/spreadsheets/d/1kGrh75X1cNR1D7_FcY9zMnHP8iPO4M5RCRjy6nZY0TY/edit#gid=1248694442"",""Subgroup 3: Mi ~ Tx!E3:E17""), $A59=IMPORTRANGE(""https://docs.google.com/spreadsheets/d/1kGrh75X1cNR1D7_FcY9zMnHP8iPO4M5"&amp;"RCRjy6nZY0TY/edit#gid=1248694442"",""Subgroup 3: Mi ~ Tx!A3:A17"")),"""")"),"")</f>
        <v/>
      </c>
      <c r="W59" s="20" t="str">
        <f>IFERROR(__xludf.DUMMYFUNCTION("IFNA(FILTER(IMPORTRANGE(""https://docs.google.com/spreadsheets/d/1kGrh75X1cNR1D7_FcY9zMnHP8iPO4M5RCRjy6nZY0TY/edit#gid=1248694442"",""Subgroup 3: Mi ~ Tx!F3:F17""), $A59=IMPORTRANGE(""https://docs.google.com/spreadsheets/d/1kGrh75X1cNR1D7_FcY9zMnHP8iPO4M5"&amp;"RCRjy6nZY0TY/edit#gid=1248694442"",""Subgroup 3: Mi ~ Tx!A3:A17"")),"""")"),"")</f>
        <v/>
      </c>
      <c r="X59" s="19" t="str">
        <f>IFERROR(__xludf.DUMMYFUNCTION("IFNA(FILTER(IMPORTRANGE(""https://docs.google.com/spreadsheets/d/1kGrh75X1cNR1D7_FcY9zMnHP8iPO4M5RCRjy6nZY0TY/edit#gid=1248694442"",""Table 3: 1st-line HC!AK5:AK111""), $A59=IMPORTRANGE(""https://docs.google.com/spreadsheets/d/1kGrh75X1cNR1D7_FcY9zMnHP8iP"&amp;"O4M5RCRjy6nZY0TY/edit#gid=1248694442"",""Table 3: 1st-line HC!A5:A111"")),"""")"),"")</f>
        <v/>
      </c>
      <c r="Y59" s="20" t="str">
        <f>IFERROR(__xludf.DUMMYFUNCTION("IFNA(FILTER(IMPORTRANGE(""https://docs.google.com/spreadsheets/d/1kGrh75X1cNR1D7_FcY9zMnHP8iPO4M5RCRjy6nZY0TY/edit#gid=1248694442"",""Subgroup 4: Mp ~ Tx!B3:B20""), $A59=IMPORTRANGE(""https://docs.google.com/spreadsheets/d/1kGrh75X1cNR1D7_FcY9zMnHP8iPO4M5"&amp;"RCRjy6nZY0TY/edit#gid=1248694442"",""Subgroup 4: Mp ~ Tx!A3:A20"")),"""")"),"")</f>
        <v/>
      </c>
      <c r="Z59" s="20" t="str">
        <f>IFERROR(__xludf.DUMMYFUNCTION("IFNA(FILTER(IMPORTRANGE(""https://docs.google.com/spreadsheets/d/1kGrh75X1cNR1D7_FcY9zMnHP8iPO4M5RCRjy6nZY0TY/edit#gid=1248694442"",""Subgroup 4: Mp ~ Tx!C3:C20""), $A59=IMPORTRANGE(""https://docs.google.com/spreadsheets/d/1kGrh75X1cNR1D7_FcY9zMnHP8iPO4M5"&amp;"RCRjy6nZY0TY/edit#gid=1248694442"",""Subgroup 4: Mp ~ Tx!A3:A20"")),"""")"),"")</f>
        <v/>
      </c>
      <c r="AA59" s="20" t="str">
        <f>IFERROR(__xludf.DUMMYFUNCTION("IFNA(FILTER(IMPORTRANGE(""https://docs.google.com/spreadsheets/d/1kGrh75X1cNR1D7_FcY9zMnHP8iPO4M5RCRjy6nZY0TY/edit#gid=1248694442"",""Subgroup 4: Mp ~ Tx!D3:D20""), $A59=IMPORTRANGE(""https://docs.google.com/spreadsheets/d/1kGrh75X1cNR1D7_FcY9zMnHP8iPO4M5"&amp;"RCRjy6nZY0TY/edit#gid=1248694442"",""Subgroup 4: Mp ~ Tx!A3:A20"")),"""")"),"")</f>
        <v/>
      </c>
      <c r="AB59" s="20" t="str">
        <f>IFERROR(__xludf.DUMMYFUNCTION("IFNA(FILTER(IMPORTRANGE(""https://docs.google.com/spreadsheets/d/1kGrh75X1cNR1D7_FcY9zMnHP8iPO4M5RCRjy6nZY0TY/edit#gid=1248694442"",""Subgroup 4: Mp ~ Tx!E3:E20""), $A59=IMPORTRANGE(""https://docs.google.com/spreadsheets/d/1kGrh75X1cNR1D7_FcY9zMnHP8iPO4M5"&amp;"RCRjy6nZY0TY/edit#gid=1248694442"",""Subgroup 4: Mp ~ Tx!A3:A20"")),"""")"),"")</f>
        <v/>
      </c>
      <c r="AC59" s="20" t="str">
        <f>IFERROR(__xludf.DUMMYFUNCTION("IFNA(FILTER(IMPORTRANGE(""https://docs.google.com/spreadsheets/d/1kGrh75X1cNR1D7_FcY9zMnHP8iPO4M5RCRjy6nZY0TY/edit#gid=1248694442"",""Subgroup 4: Mp ~ Tx!F3:F20""), $A59=IMPORTRANGE(""https://docs.google.com/spreadsheets/d/1kGrh75X1cNR1D7_FcY9zMnHP8iPO4M5"&amp;"RCRjy6nZY0TY/edit#gid=1248694442"",""Subgroup 4: Mp ~ Tx!A3:A20"")),"""")"),"")</f>
        <v/>
      </c>
      <c r="AD59" s="22" t="str">
        <f>IFERROR(__xludf.DUMMYFUNCTION("IFNA(FILTER(IMPORTRANGE(""https://docs.google.com/spreadsheets/d/1kGrh75X1cNR1D7_FcY9zMnHP8iPO4M5RCRjy6nZY0TY/edit#gid=1248694442"",""Table 3: 1st-line HC!AL5:AL111""), $A59=IMPORTRANGE(""https://docs.google.com/spreadsheets/d/1kGrh75X1cNR1D7_FcY9zMnHP8iP"&amp;"O4M5RCRjy6nZY0TY/edit#gid=1248694442"",""Table 3: 1st-line HC!A5:A111"")),"""")"),"")</f>
        <v/>
      </c>
      <c r="AE59" s="20">
        <f>IFERROR(__xludf.DUMMYFUNCTION("IFNA(FILTER(IMPORTRANGE(""https://docs.google.com/spreadsheets/d/1kGrh75X1cNR1D7_FcY9zMnHP8iPO4M5RCRjy6nZY0TY/edit#gid=1248694442"",""Table 3: 1st-line HC!BJ5:BJ111""), $A59=IMPORTRANGE(""https://docs.google.com/spreadsheets/d/1kGrh75X1cNR1D7_FcY9zMnHP8iP"&amp;"O4M5RCRjy6nZY0TY/edit#gid=1248694442"",""Table 3: 1st-line HC!A5:A111"")),"""")"),0.25)</f>
        <v>0.25</v>
      </c>
      <c r="AF59" s="20" t="str">
        <f>IFERROR(__xludf.DUMMYFUNCTION("IFNA(FILTER(IMPORTRANGE(""https://docs.google.com/spreadsheets/d/1kGrh75X1cNR1D7_FcY9zMnHP8iPO4M5RCRjy6nZY0TY/edit#gid=1248694442"",""Subgroup 2: Cr ~ Tx!B3:B23""), $A59=IMPORTRANGE(""https://docs.google.com/spreadsheets/d/1kGrh75X1cNR1D7_FcY9zMnHP8iPO4M5"&amp;"RCRjy6nZY0TY/edit#gid=1248694442"",""Subgroup 2: Cr ~ Tx!A3:A23"")),"""")"),"")</f>
        <v/>
      </c>
      <c r="AG59" s="20">
        <f>IFERROR(__xludf.DUMMYFUNCTION("IFNA(FILTER(IMPORTRANGE(""https://docs.google.com/spreadsheets/d/1kGrh75X1cNR1D7_FcY9zMnHP8iPO4M5RCRjy6nZY0TY/edit#gid=1248694442"",""Subgroup 2: Cr ~ Tx!C3:C23""), $A59=IMPORTRANGE(""https://docs.google.com/spreadsheets/d/1kGrh75X1cNR1D7_FcY9zMnHP8iPO4M5"&amp;"RCRjy6nZY0TY/edit#gid=1248694442"",""Subgroup 2: Cr ~ Tx!A3:A23"")),"""")"),0.25)</f>
        <v>0.25</v>
      </c>
      <c r="AH59" s="20" t="str">
        <f>IFERROR(__xludf.DUMMYFUNCTION("IFNA(FILTER(IMPORTRANGE(""https://docs.google.com/spreadsheets/d/1kGrh75X1cNR1D7_FcY9zMnHP8iPO4M5RCRjy6nZY0TY/edit#gid=1248694442"",""Subgroup 2: Cr ~ Tx!D3:D23""), $A59=IMPORTRANGE(""https://docs.google.com/spreadsheets/d/1kGrh75X1cNR1D7_FcY9zMnHP8iPO4M5"&amp;"RCRjy6nZY0TY/edit#gid=1248694442"",""Subgroup 2: Cr ~ Tx!A3:A23"")),"""")"),"")</f>
        <v/>
      </c>
      <c r="AI59" s="20" t="str">
        <f>IFERROR(__xludf.DUMMYFUNCTION("IFNA(FILTER(IMPORTRANGE(""https://docs.google.com/spreadsheets/d/1kGrh75X1cNR1D7_FcY9zMnHP8iPO4M5RCRjy6nZY0TY/edit#gid=1248694442"",""Subgroup 2: Cr ~ Tx!E3:E23""), $A59=IMPORTRANGE(""https://docs.google.com/spreadsheets/d/1kGrh75X1cNR1D7_FcY9zMnHP8iPO4M5"&amp;"RCRjy6nZY0TY/edit#gid=1248694442"",""Subgroup 2: Cr ~ Tx!A3:A23"")),"""")"),"")</f>
        <v/>
      </c>
      <c r="AJ59" s="20" t="str">
        <f>IFERROR(__xludf.DUMMYFUNCTION("IFNA(FILTER(IMPORTRANGE(""https://docs.google.com/spreadsheets/d/1kGrh75X1cNR1D7_FcY9zMnHP8iPO4M5RCRjy6nZY0TY/edit#gid=1248694442"",""Subgroup 2: Cr ~ Tx!F3:F23""), $A59=IMPORTRANGE(""https://docs.google.com/spreadsheets/d/1kGrh75X1cNR1D7_FcY9zMnHP8iPO4M5"&amp;"RCRjy6nZY0TY/edit#gid=1248694442"",""Subgroup 2: Cr ~ Tx!A3:A23"")),"""")"),"")</f>
        <v/>
      </c>
      <c r="AK59" s="14" t="str">
        <f>IFERROR(__xludf.DUMMYFUNCTION("IFNA(FILTER(IMPORTRANGE(""https://docs.google.com/spreadsheets/d/1kGrh75X1cNR1D7_FcY9zMnHP8iPO4M5RCRjy6nZY0TY/edit#gid=1248694442"",""Table 4: 2nd-line HC or more!M5:M85""), $A59=IMPORTRANGE(""https://docs.google.com/spreadsheets/d/1kGrh75X1cNR1D7_FcY9zMn"&amp;"HP8iPO4M5RCRjy6nZY0TY/edit#gid=1248694442"",""Table 4: 2nd-line HC or more!A5:A85"")),"""")"),"")</f>
        <v/>
      </c>
      <c r="AL59" s="14" t="str">
        <f>IFERROR(__xludf.DUMMYFUNCTION("IFNA(FILTER(IMPORTRANGE(""https://docs.google.com/spreadsheets/d/1kGrh75X1cNR1D7_FcY9zMnHP8iPO4M5RCRjy6nZY0TY/edit#gid=1248694442"",""Table 4: 2nd-line HC or more!N5:N85""), $A59=IMPORTRANGE(""https://docs.google.com/spreadsheets/d/1kGrh75X1cNR1D7_FcY9zMn"&amp;"HP8iPO4M5RCRjy6nZY0TY/edit#gid=1248694442"",""Table 4: 2nd-line HC or more!A5:A85"")),"""")"),"")</f>
        <v/>
      </c>
      <c r="AM59" s="14" t="str">
        <f>IFERROR(__xludf.DUMMYFUNCTION("IFNA(FILTER(IMPORTRANGE(""https://docs.google.com/spreadsheets/d/1kGrh75X1cNR1D7_FcY9zMnHP8iPO4M5RCRjy6nZY0TY/edit#gid=1248694442"",""Table 4: 2nd-line HC or more!O5:O85""), $A59=IMPORTRANGE(""https://docs.google.com/spreadsheets/d/1kGrh75X1cNR1D7_FcY9zMn"&amp;"HP8iPO4M5RCRjy6nZY0TY/edit#gid=1248694442"",""Table 4: 2nd-line HC or more!A5:A85"")),"""")"),"")</f>
        <v/>
      </c>
      <c r="AN59" s="14" t="str">
        <f>IFERROR(__xludf.DUMMYFUNCTION("IFNA(FILTER(IMPORTRANGE(""https://docs.google.com/spreadsheets/d/1kGrh75X1cNR1D7_FcY9zMnHP8iPO4M5RCRjy6nZY0TY/edit#gid=1248694442"",""Table 3: 1st-line HC!AP5:AP111""), $A59=IMPORTRANGE(""https://docs.google.com/spreadsheets/d/1kGrh75X1cNR1D7_FcY9zMnHP8iP"&amp;"O4M5RCRjy6nZY0TY/edit#gid=1248694442"",""Table 3: 1st-line HC!A5:A111"")),"""")"),"")</f>
        <v/>
      </c>
      <c r="AO59" s="14" t="str">
        <f>IFERROR(__xludf.DUMMYFUNCTION("IFNA(FILTER(IMPORTRANGE(""https://docs.google.com/spreadsheets/d/1kGrh75X1cNR1D7_FcY9zMnHP8iPO4M5RCRjy6nZY0TY/edit#gid=1248694442"",""Table 3: 1st-line HC!AO5:AO111""), $A59=IMPORTRANGE(""https://docs.google.com/spreadsheets/d/1kGrh75X1cNR1D7_FcY9zMnHP8iP"&amp;"O4M5RCRjy6nZY0TY/edit#gid=1248694442"",""Table 3: 1st-line HC!A5:A111"")),"""")"),"")</f>
        <v/>
      </c>
      <c r="AP59" s="14" t="str">
        <f>IFERROR(__xludf.DUMMYFUNCTION("IFNA(FILTER(IMPORTRANGE(""https://docs.google.com/spreadsheets/d/1kGrh75X1cNR1D7_FcY9zMnHP8iPO4M5RCRjy6nZY0TY/edit#gid=1248694442"",""Table 3: 1st-line HC!AQ5:AQ111""), $A59=IMPORTRANGE(""https://docs.google.com/spreadsheets/d/1kGrh75X1cNR1D7_FcY9zMnHP8iP"&amp;"O4M5RCRjy6nZY0TY/edit#gid=1248694442"",""Table 3: 1st-line HC!A5:A111"")),"""")"),"")</f>
        <v/>
      </c>
      <c r="AQ59" s="14" t="str">
        <f>IFERROR(__xludf.DUMMYFUNCTION("IFNA(FILTER(IMPORTRANGE(""https://docs.google.com/spreadsheets/d/1kGrh75X1cNR1D7_FcY9zMnHP8iPO4M5RCRjy6nZY0TY/edit#gid=1248694442"",""Table 2: MMC!T5:T114""), $A59=IMPORTRANGE(""https://docs.google.com/spreadsheets/d/1kGrh75X1cNR1D7_FcY9zMnHP8iPO4M5RCRjy6"&amp;"nZY0TY/edit#gid=1248694442"",""Table 2: MMC!A5:A114"")),"""")"),"")</f>
        <v/>
      </c>
      <c r="AR59" s="14" t="str">
        <f>IFERROR(__xludf.DUMMYFUNCTION("IFNA(FILTER(IMPORTRANGE(""https://docs.google.com/spreadsheets/d/1kGrh75X1cNR1D7_FcY9zMnHP8iPO4M5RCRjy6nZY0TY/edit#gid=1248694442"",""Table 2: MMC!U5:U114""), $A59=IMPORTRANGE(""https://docs.google.com/spreadsheets/d/1kGrh75X1cNR1D7_FcY9zMnHP8iPO4M5RCRjy6"&amp;"nZY0TY/edit#gid=1248694442"",""Table 2: MMC!A5:A114"")),"""")"),"")</f>
        <v/>
      </c>
      <c r="AS59" s="14" t="str">
        <f>IFERROR(__xludf.DUMMYFUNCTION("IFNA(FILTER(IMPORTRANGE(""https://docs.google.com/spreadsheets/d/1kGrh75X1cNR1D7_FcY9zMnHP8iPO4M5RCRjy6nZY0TY/edit#gid=1248694442"",""Table 2: MMC!V5:V114""), $A59=IMPORTRANGE(""https://docs.google.com/spreadsheets/d/1kGrh75X1cNR1D7_FcY9zMnHP8iPO4M5RCRjy6"&amp;"nZY0TY/edit#gid=1248694442"",""Table 2: MMC!A5:A114"")),"""")"),"")</f>
        <v/>
      </c>
      <c r="AT59" s="4" t="str">
        <f>IFERROR(__xludf.DUMMYFUNCTION("IFNA(FILTER(IMPORTRANGE(""https://docs.google.com/spreadsheets/d/1kGrh75X1cNR1D7_FcY9zMnHP8iPO4M5RCRjy6nZY0TY/edit#gid=1248694442"",""Table 2: MMC!W5:W114""), $A59=IMPORTRANGE(""https://docs.google.com/spreadsheets/d/1kGrh75X1cNR1D7_FcY9zMnHP8iPO4M5RCRjy6"&amp;"nZY0TY/edit#gid=1248694442"",""Table 2: MMC!A5:A114"")),"""")"),"")</f>
        <v/>
      </c>
    </row>
    <row r="60">
      <c r="A60" s="4" t="str">
        <f>IFERROR(__xludf.DUMMYFUNCTION("""COMPUTED_VALUE"""),"ID 126")</f>
        <v>ID 126</v>
      </c>
      <c r="B60" s="20">
        <f>IFERROR(__xludf.DUMMYFUNCTION("IFNA(FILTER(IMPORTRANGE(""https://docs.google.com/spreadsheets/d/1kGrh75X1cNR1D7_FcY9zMnHP8iPO4M5RCRjy6nZY0TY/edit#gid=1248694442"",""Table 3: 1st-line HC!BK5:BK111""), $A60=IMPORTRANGE(""https://docs.google.com/spreadsheets/d/1kGrh75X1cNR1D7_FcY9zMnHP8iP"&amp;"O4M5RCRjy6nZY0TY/edit#gid=1248694442"",""Table 3: 1st-line HC!A5:A111"")),"""")"),0.46)</f>
        <v>0.46</v>
      </c>
      <c r="C60" s="20" t="str">
        <f>IFERROR(__xludf.DUMMYFUNCTION("IFNA(FILTER(IMPORTRANGE(""https://docs.google.com/spreadsheets/d/1kGrh75X1cNR1D7_FcY9zMnHP8iPO4M5RCRjy6nZY0TY/edit#gid=1248694442"",""Subgroup 1: Fr ~ Tx!B3:B20""), $A60=IMPORTRANGE(""https://docs.google.com/spreadsheets/d/1kGrh75X1cNR1D7_FcY9zMnHP8iPO4M5"&amp;"RCRjy6nZY0TY/edit#gid=1248694442"",""Subgroup 1: Fr ~ Tx!A3:A20"")),"""")"),"")</f>
        <v/>
      </c>
      <c r="D60" s="20">
        <f>IFERROR(__xludf.DUMMYFUNCTION("IFNA(FILTER(IMPORTRANGE(""https://docs.google.com/spreadsheets/d/1kGrh75X1cNR1D7_FcY9zMnHP8iPO4M5RCRjy6nZY0TY/edit#gid=1248694442"",""Subgroup 1: Fr ~ Tx!C3:C20""), $A60=IMPORTRANGE(""https://docs.google.com/spreadsheets/d/1kGrh75X1cNR1D7_FcY9zMnHP8iPO4M5"&amp;"RCRjy6nZY0TY/edit#gid=1248694442"",""Subgroup 1: Fr ~ Tx!A3:A20"")),"""")"),0.458823529411764)</f>
        <v>0.4588235294</v>
      </c>
      <c r="E60" s="20" t="str">
        <f>IFERROR(__xludf.DUMMYFUNCTION("IFNA(FILTER(IMPORTRANGE(""https://docs.google.com/spreadsheets/d/1kGrh75X1cNR1D7_FcY9zMnHP8iPO4M5RCRjy6nZY0TY/edit#gid=1248694442"",""Subgroup 1: Fr ~ Tx!D3:D20""), $A60=IMPORTRANGE(""https://docs.google.com/spreadsheets/d/1kGrh75X1cNR1D7_FcY9zMnHP8iPO4M5"&amp;"RCRjy6nZY0TY/edit#gid=1248694442"",""Subgroup 1: Fr ~ Tx!A3:A20"")),"""")"),"")</f>
        <v/>
      </c>
      <c r="F60" s="20" t="str">
        <f>IFERROR(__xludf.DUMMYFUNCTION("IFNA(FILTER(IMPORTRANGE(""https://docs.google.com/spreadsheets/d/1kGrh75X1cNR1D7_FcY9zMnHP8iPO4M5RCRjy6nZY0TY/edit#gid=1248694442"",""Subgroup 1: Fr ~ Tx!E3:E20""), $A60=IMPORTRANGE(""https://docs.google.com/spreadsheets/d/1kGrh75X1cNR1D7_FcY9zMnHP8iPO4M5"&amp;"RCRjy6nZY0TY/edit#gid=1248694442"",""Subgroup 1: Fr ~ Tx!A3:A20"")),"""")"),"")</f>
        <v/>
      </c>
      <c r="G60" s="20" t="str">
        <f>IFERROR(__xludf.DUMMYFUNCTION("IFNA(FILTER(IMPORTRANGE(""https://docs.google.com/spreadsheets/d/1kGrh75X1cNR1D7_FcY9zMnHP8iPO4M5RCRjy6nZY0TY/edit#gid=1248694442"",""Subgroup 1: Fr ~ Tx!F3:F20""), $A60=IMPORTRANGE(""https://docs.google.com/spreadsheets/d/1kGrh75X1cNR1D7_FcY9zMnHP8iPO4M5"&amp;"RCRjy6nZY0TY/edit#gid=1248694442"",""Subgroup 1: Fr ~ Tx!A3:A20"")),"""")"),"")</f>
        <v/>
      </c>
      <c r="H60" s="20" t="str">
        <f>IFERROR(__xludf.DUMMYFUNCTION("IFNA(FILTER(IMPORTRANGE(""https://docs.google.com/spreadsheets/d/1kGrh75X1cNR1D7_FcY9zMnHP8iPO4M5RCRjy6nZY0TY/edit#gid=1248694442"",""Table 3: 1st-line HC!BD5:BD111""), $A60=IMPORTRANGE(""https://docs.google.com/spreadsheets/d/1kGrh75X1cNR1D7_FcY9zMnHP8iP"&amp;"O4M5RCRjy6nZY0TY/edit#gid=1248694442"",""Table 3: 1st-line HC!A5:A111"")),"""")"),"")</f>
        <v/>
      </c>
      <c r="I60" s="20" t="str">
        <f>IFERROR(__xludf.DUMMYFUNCTION("IFNA(FILTER(IMPORTRANGE(""https://docs.google.com/spreadsheets/d/1kGrh75X1cNR1D7_FcY9zMnHP8iPO4M5RCRjy6nZY0TY/edit#gid=1248694442"",""Subgroup 5: Tf ~ Tx!B3:B8""), $A60=IMPORTRANGE(""https://docs.google.com/spreadsheets/d/1kGrh75X1cNR1D7_FcY9zMnHP8iPO4M5R"&amp;"CRjy6nZY0TY/edit#gid=1248694442"",""Subgroup 5: Tf ~ Tx!A3:A8"")),"""")"),"")</f>
        <v/>
      </c>
      <c r="J60" s="20" t="str">
        <f>IFERROR(__xludf.DUMMYFUNCTION("IFNA(FILTER(IMPORTRANGE(""https://docs.google.com/spreadsheets/d/1kGrh75X1cNR1D7_FcY9zMnHP8iPO4M5RCRjy6nZY0TY/edit#gid=1248694442"",""Subgroup 5: Tf ~ Tx!C3:C8""), $A60=IMPORTRANGE(""https://docs.google.com/spreadsheets/d/1kGrh75X1cNR1D7_FcY9zMnHP8iPO4M5R"&amp;"CRjy6nZY0TY/edit#gid=1248694442"",""Subgroup 5: Tf ~ Tx!A3:A8"")),"""")"),"")</f>
        <v/>
      </c>
      <c r="K60" s="20" t="str">
        <f>IFERROR(__xludf.DUMMYFUNCTION("IFNA(FILTER(IMPORTRANGE(""https://docs.google.com/spreadsheets/d/1kGrh75X1cNR1D7_FcY9zMnHP8iPO4M5RCRjy6nZY0TY/edit#gid=1248694442"",""Subgroup 5: Tf ~ Tx!D3:D8""), $A60=IMPORTRANGE(""https://docs.google.com/spreadsheets/d/1kGrh75X1cNR1D7_FcY9zMnHP8iPO4M5R"&amp;"CRjy6nZY0TY/edit#gid=1248694442"",""Subgroup 5: Tf ~ Tx!A3:A8"")),"""")"),"")</f>
        <v/>
      </c>
      <c r="L60" s="20" t="str">
        <f>IFERROR(__xludf.DUMMYFUNCTION("IFNA(FILTER(IMPORTRANGE(""https://docs.google.com/spreadsheets/d/1kGrh75X1cNR1D7_FcY9zMnHP8iPO4M5RCRjy6nZY0TY/edit#gid=1248694442"",""Subgroup 5: Tf ~ Tx!E3:E8""), $A60=IMPORTRANGE(""https://docs.google.com/spreadsheets/d/1kGrh75X1cNR1D7_FcY9zMnHP8iPO4M5R"&amp;"CRjy6nZY0TY/edit#gid=1248694442"",""Subgroup 5: Tf ~ Tx!A3:A8"")),"""")"),"")</f>
        <v/>
      </c>
      <c r="M60" s="20" t="str">
        <f>IFERROR(__xludf.DUMMYFUNCTION("IFNA(FILTER(IMPORTRANGE(""https://docs.google.com/spreadsheets/d/1kGrh75X1cNR1D7_FcY9zMnHP8iPO4M5RCRjy6nZY0TY/edit#gid=1248694442"",""Subgroup 5: Tf ~ Tx!F3:F8""), $A60=IMPORTRANGE(""https://docs.google.com/spreadsheets/d/1kGrh75X1cNR1D7_FcY9zMnHP8iPO4M5R"&amp;"CRjy6nZY0TY/edit#gid=1248694442"",""Subgroup 5: Tf ~ Tx!A3:A8"")),"""")"),"")</f>
        <v/>
      </c>
      <c r="N60" s="20" t="str">
        <f>IFERROR(__xludf.DUMMYFUNCTION("IFNA(FILTER(IMPORTRANGE(""https://docs.google.com/spreadsheets/d/1kGrh75X1cNR1D7_FcY9zMnHP8iPO4M5RCRjy6nZY0TY/edit#gid=1248694442"",""Table 3: 1st-line HC!BE5:BE111""), $A60=IMPORTRANGE(""https://docs.google.com/spreadsheets/d/1kGrh75X1cNR1D7_FcY9zMnHP8iP"&amp;"O4M5RCRjy6nZY0TY/edit#gid=1248694442"",""Table 3: 1st-line HC!A5:A111"")),"""")"),"")</f>
        <v/>
      </c>
      <c r="O60" s="20" t="str">
        <f>IFERROR(__xludf.DUMMYFUNCTION("IFNA(FILTER(IMPORTRANGE(""https://docs.google.com/spreadsheets/d/1kGrh75X1cNR1D7_FcY9zMnHP8iPO4M5RCRjy6nZY0TY/edit#gid=1248694442"",""Table 3: 1st-line HC!BF5:BF111""), $A60=IMPORTRANGE(""https://docs.google.com/spreadsheets/d/1kGrh75X1cNR1D7_FcY9zMnHP8iP"&amp;"O4M5RCRjy6nZY0TY/edit#gid=1248694442"",""Table 3: 1st-line HC!A5:A111"")),"""")"),"")</f>
        <v/>
      </c>
      <c r="P60" s="20" t="str">
        <f>IFERROR(__xludf.DUMMYFUNCTION("IFNA(FILTER(IMPORTRANGE(""https://docs.google.com/spreadsheets/d/1kGrh75X1cNR1D7_FcY9zMnHP8iPO4M5RCRjy6nZY0TY/edit#gid=1248694442"",""Table 3: 1st-line HC!BG5:BG111""), $A60=IMPORTRANGE(""https://docs.google.com/spreadsheets/d/1kGrh75X1cNR1D7_FcY9zMnHP8iP"&amp;"O4M5RCRjy6nZY0TY/edit#gid=1248694442"",""Table 3: 1st-line HC!A5:A111"")),"""")"),"")</f>
        <v/>
      </c>
      <c r="Q60" s="21" t="str">
        <f>IFERROR(__xludf.DUMMYFUNCTION("IFNA(FILTER(IMPORTRANGE(""https://docs.google.com/spreadsheets/d/1kGrh75X1cNR1D7_FcY9zMnHP8iPO4M5RCRjy6nZY0TY/edit#gid=1248694442"",""Table 3: 1st-line HC!BH5:BH111""), $A60=IMPORTRANGE(""https://docs.google.com/spreadsheets/d/1kGrh75X1cNR1D7_FcY9zMnHP8iP"&amp;"O4M5RCRjy6nZY0TY/edit#gid=1248694442"",""Table 3: 1st-line HC!A5:A111"")),"""")"),"Shunt mechanical dysfunction = 57; Shunt infection=21")</f>
        <v>Shunt mechanical dysfunction = 57; Shunt infection=21</v>
      </c>
      <c r="R60" s="19">
        <f>IFERROR(__xludf.DUMMYFUNCTION("IFNA(FILTER(IMPORTRANGE(""https://docs.google.com/spreadsheets/d/1kGrh75X1cNR1D7_FcY9zMnHP8iPO4M5RCRjy6nZY0TY/edit#gid=1248694442"",""Table 3: 1st-line HC!AJ5:AJ111""), $A60=IMPORTRANGE(""https://docs.google.com/spreadsheets/d/1kGrh75X1cNR1D7_FcY9zMnHP8iP"&amp;"O4M5RCRjy6nZY0TY/edit#gid=1248694442"",""Table 3: 1st-line HC!A5:A111"")),"""")"),0.0)</f>
        <v>0</v>
      </c>
      <c r="S60" s="20" t="str">
        <f>IFERROR(__xludf.DUMMYFUNCTION("IFNA(FILTER(IMPORTRANGE(""https://docs.google.com/spreadsheets/d/1kGrh75X1cNR1D7_FcY9zMnHP8iPO4M5RCRjy6nZY0TY/edit#gid=1248694442"",""Subgroup 3: Mi ~ Tx!B3:B17""), $A60=IMPORTRANGE(""https://docs.google.com/spreadsheets/d/1kGrh75X1cNR1D7_FcY9zMnHP8iPO4M5"&amp;"RCRjy6nZY0TY/edit#gid=1248694442"",""Subgroup 3: Mi ~ Tx!A3:A17"")),"""")"),"")</f>
        <v/>
      </c>
      <c r="T60" s="20">
        <f>IFERROR(__xludf.DUMMYFUNCTION("IFNA(FILTER(IMPORTRANGE(""https://docs.google.com/spreadsheets/d/1kGrh75X1cNR1D7_FcY9zMnHP8iPO4M5RCRjy6nZY0TY/edit#gid=1248694442"",""Subgroup 3: Mi ~ Tx!C3:C17""), $A60=IMPORTRANGE(""https://docs.google.com/spreadsheets/d/1kGrh75X1cNR1D7_FcY9zMnHP8iPO4M5"&amp;"RCRjy6nZY0TY/edit#gid=1248694442"",""Subgroup 3: Mi ~ Tx!A3:A17"")),"""")"),0.0)</f>
        <v>0</v>
      </c>
      <c r="U60" s="20" t="str">
        <f>IFERROR(__xludf.DUMMYFUNCTION("IFNA(FILTER(IMPORTRANGE(""https://docs.google.com/spreadsheets/d/1kGrh75X1cNR1D7_FcY9zMnHP8iPO4M5RCRjy6nZY0TY/edit#gid=1248694442"",""Subgroup 3: Mi ~ Tx!D3:D17""), $A60=IMPORTRANGE(""https://docs.google.com/spreadsheets/d/1kGrh75X1cNR1D7_FcY9zMnHP8iPO4M5"&amp;"RCRjy6nZY0TY/edit#gid=1248694442"",""Subgroup 3: Mi ~ Tx!A3:A17"")),"""")"),"")</f>
        <v/>
      </c>
      <c r="V60" s="20" t="str">
        <f>IFERROR(__xludf.DUMMYFUNCTION("IFNA(FILTER(IMPORTRANGE(""https://docs.google.com/spreadsheets/d/1kGrh75X1cNR1D7_FcY9zMnHP8iPO4M5RCRjy6nZY0TY/edit#gid=1248694442"",""Subgroup 3: Mi ~ Tx!E3:E17""), $A60=IMPORTRANGE(""https://docs.google.com/spreadsheets/d/1kGrh75X1cNR1D7_FcY9zMnHP8iPO4M5"&amp;"RCRjy6nZY0TY/edit#gid=1248694442"",""Subgroup 3: Mi ~ Tx!A3:A17"")),"""")"),"")</f>
        <v/>
      </c>
      <c r="W60" s="20" t="str">
        <f>IFERROR(__xludf.DUMMYFUNCTION("IFNA(FILTER(IMPORTRANGE(""https://docs.google.com/spreadsheets/d/1kGrh75X1cNR1D7_FcY9zMnHP8iPO4M5RCRjy6nZY0TY/edit#gid=1248694442"",""Subgroup 3: Mi ~ Tx!F3:F17""), $A60=IMPORTRANGE(""https://docs.google.com/spreadsheets/d/1kGrh75X1cNR1D7_FcY9zMnHP8iPO4M5"&amp;"RCRjy6nZY0TY/edit#gid=1248694442"",""Subgroup 3: Mi ~ Tx!A3:A17"")),"""")"),"")</f>
        <v/>
      </c>
      <c r="X60" s="19">
        <f>IFERROR(__xludf.DUMMYFUNCTION("IFNA(FILTER(IMPORTRANGE(""https://docs.google.com/spreadsheets/d/1kGrh75X1cNR1D7_FcY9zMnHP8iPO4M5RCRjy6nZY0TY/edit#gid=1248694442"",""Table 3: 1st-line HC!AK5:AK111""), $A60=IMPORTRANGE(""https://docs.google.com/spreadsheets/d/1kGrh75X1cNR1D7_FcY9zMnHP8iP"&amp;"O4M5RCRjy6nZY0TY/edit#gid=1248694442"",""Table 3: 1st-line HC!A5:A111"")),"""")"),0.0)</f>
        <v>0</v>
      </c>
      <c r="Y60" s="20" t="str">
        <f>IFERROR(__xludf.DUMMYFUNCTION("IFNA(FILTER(IMPORTRANGE(""https://docs.google.com/spreadsheets/d/1kGrh75X1cNR1D7_FcY9zMnHP8iPO4M5RCRjy6nZY0TY/edit#gid=1248694442"",""Subgroup 4: Mp ~ Tx!B3:B20""), $A60=IMPORTRANGE(""https://docs.google.com/spreadsheets/d/1kGrh75X1cNR1D7_FcY9zMnHP8iPO4M5"&amp;"RCRjy6nZY0TY/edit#gid=1248694442"",""Subgroup 4: Mp ~ Tx!A3:A20"")),"""")"),"")</f>
        <v/>
      </c>
      <c r="Z60" s="20">
        <f>IFERROR(__xludf.DUMMYFUNCTION("IFNA(FILTER(IMPORTRANGE(""https://docs.google.com/spreadsheets/d/1kGrh75X1cNR1D7_FcY9zMnHP8iPO4M5RCRjy6nZY0TY/edit#gid=1248694442"",""Subgroup 4: Mp ~ Tx!C3:C20""), $A60=IMPORTRANGE(""https://docs.google.com/spreadsheets/d/1kGrh75X1cNR1D7_FcY9zMnHP8iPO4M5"&amp;"RCRjy6nZY0TY/edit#gid=1248694442"",""Subgroup 4: Mp ~ Tx!A3:A20"")),"""")"),0.0)</f>
        <v>0</v>
      </c>
      <c r="AA60" s="20" t="str">
        <f>IFERROR(__xludf.DUMMYFUNCTION("IFNA(FILTER(IMPORTRANGE(""https://docs.google.com/spreadsheets/d/1kGrh75X1cNR1D7_FcY9zMnHP8iPO4M5RCRjy6nZY0TY/edit#gid=1248694442"",""Subgroup 4: Mp ~ Tx!D3:D20""), $A60=IMPORTRANGE(""https://docs.google.com/spreadsheets/d/1kGrh75X1cNR1D7_FcY9zMnHP8iPO4M5"&amp;"RCRjy6nZY0TY/edit#gid=1248694442"",""Subgroup 4: Mp ~ Tx!A3:A20"")),"""")"),"")</f>
        <v/>
      </c>
      <c r="AB60" s="20" t="str">
        <f>IFERROR(__xludf.DUMMYFUNCTION("IFNA(FILTER(IMPORTRANGE(""https://docs.google.com/spreadsheets/d/1kGrh75X1cNR1D7_FcY9zMnHP8iPO4M5RCRjy6nZY0TY/edit#gid=1248694442"",""Subgroup 4: Mp ~ Tx!E3:E20""), $A60=IMPORTRANGE(""https://docs.google.com/spreadsheets/d/1kGrh75X1cNR1D7_FcY9zMnHP8iPO4M5"&amp;"RCRjy6nZY0TY/edit#gid=1248694442"",""Subgroup 4: Mp ~ Tx!A3:A20"")),"""")"),"")</f>
        <v/>
      </c>
      <c r="AC60" s="20" t="str">
        <f>IFERROR(__xludf.DUMMYFUNCTION("IFNA(FILTER(IMPORTRANGE(""https://docs.google.com/spreadsheets/d/1kGrh75X1cNR1D7_FcY9zMnHP8iPO4M5RCRjy6nZY0TY/edit#gid=1248694442"",""Subgroup 4: Mp ~ Tx!F3:F20""), $A60=IMPORTRANGE(""https://docs.google.com/spreadsheets/d/1kGrh75X1cNR1D7_FcY9zMnHP8iPO4M5"&amp;"RCRjy6nZY0TY/edit#gid=1248694442"",""Subgroup 4: Mp ~ Tx!A3:A20"")),"""")"),"")</f>
        <v/>
      </c>
      <c r="AD60" s="22" t="str">
        <f>IFERROR(__xludf.DUMMYFUNCTION("IFNA(FILTER(IMPORTRANGE(""https://docs.google.com/spreadsheets/d/1kGrh75X1cNR1D7_FcY9zMnHP8iPO4M5RCRjy6nZY0TY/edit#gid=1248694442"",""Table 3: 1st-line HC!AL5:AL111""), $A60=IMPORTRANGE(""https://docs.google.com/spreadsheets/d/1kGrh75X1cNR1D7_FcY9zMnHP8iP"&amp;"O4M5RCRjy6nZY0TY/edit#gid=1248694442"",""Table 3: 1st-line HC!A5:A111"")),"""")"),"")</f>
        <v/>
      </c>
      <c r="AE60" s="20">
        <f>IFERROR(__xludf.DUMMYFUNCTION("IFNA(FILTER(IMPORTRANGE(""https://docs.google.com/spreadsheets/d/1kGrh75X1cNR1D7_FcY9zMnHP8iPO4M5RCRjy6nZY0TY/edit#gid=1248694442"",""Table 3: 1st-line HC!BJ5:BJ111""), $A60=IMPORTRANGE(""https://docs.google.com/spreadsheets/d/1kGrh75X1cNR1D7_FcY9zMnHP8iP"&amp;"O4M5RCRjy6nZY0TY/edit#gid=1248694442"",""Table 3: 1st-line HC!A5:A111"")),"""")"),0.15)</f>
        <v>0.15</v>
      </c>
      <c r="AF60" s="20" t="str">
        <f>IFERROR(__xludf.DUMMYFUNCTION("IFNA(FILTER(IMPORTRANGE(""https://docs.google.com/spreadsheets/d/1kGrh75X1cNR1D7_FcY9zMnHP8iPO4M5RCRjy6nZY0TY/edit#gid=1248694442"",""Subgroup 2: Cr ~ Tx!B3:B23""), $A60=IMPORTRANGE(""https://docs.google.com/spreadsheets/d/1kGrh75X1cNR1D7_FcY9zMnHP8iPO4M5"&amp;"RCRjy6nZY0TY/edit#gid=1248694442"",""Subgroup 2: Cr ~ Tx!A3:A23"")),"""")"),"")</f>
        <v/>
      </c>
      <c r="AG60" s="20">
        <f>IFERROR(__xludf.DUMMYFUNCTION("IFNA(FILTER(IMPORTRANGE(""https://docs.google.com/spreadsheets/d/1kGrh75X1cNR1D7_FcY9zMnHP8iPO4M5RCRjy6nZY0TY/edit#gid=1248694442"",""Subgroup 2: Cr ~ Tx!C3:C23""), $A60=IMPORTRANGE(""https://docs.google.com/spreadsheets/d/1kGrh75X1cNR1D7_FcY9zMnHP8iPO4M5"&amp;"RCRjy6nZY0TY/edit#gid=1248694442"",""Subgroup 2: Cr ~ Tx!A3:A23"")),"""")"),0.147058823529411)</f>
        <v>0.1470588235</v>
      </c>
      <c r="AH60" s="20" t="str">
        <f>IFERROR(__xludf.DUMMYFUNCTION("IFNA(FILTER(IMPORTRANGE(""https://docs.google.com/spreadsheets/d/1kGrh75X1cNR1D7_FcY9zMnHP8iPO4M5RCRjy6nZY0TY/edit#gid=1248694442"",""Subgroup 2: Cr ~ Tx!D3:D23""), $A60=IMPORTRANGE(""https://docs.google.com/spreadsheets/d/1kGrh75X1cNR1D7_FcY9zMnHP8iPO4M5"&amp;"RCRjy6nZY0TY/edit#gid=1248694442"",""Subgroup 2: Cr ~ Tx!A3:A23"")),"""")"),"")</f>
        <v/>
      </c>
      <c r="AI60" s="20" t="str">
        <f>IFERROR(__xludf.DUMMYFUNCTION("IFNA(FILTER(IMPORTRANGE(""https://docs.google.com/spreadsheets/d/1kGrh75X1cNR1D7_FcY9zMnHP8iPO4M5RCRjy6nZY0TY/edit#gid=1248694442"",""Subgroup 2: Cr ~ Tx!E3:E23""), $A60=IMPORTRANGE(""https://docs.google.com/spreadsheets/d/1kGrh75X1cNR1D7_FcY9zMnHP8iPO4M5"&amp;"RCRjy6nZY0TY/edit#gid=1248694442"",""Subgroup 2: Cr ~ Tx!A3:A23"")),"""")"),"")</f>
        <v/>
      </c>
      <c r="AJ60" s="20" t="str">
        <f>IFERROR(__xludf.DUMMYFUNCTION("IFNA(FILTER(IMPORTRANGE(""https://docs.google.com/spreadsheets/d/1kGrh75X1cNR1D7_FcY9zMnHP8iPO4M5RCRjy6nZY0TY/edit#gid=1248694442"",""Subgroup 2: Cr ~ Tx!F3:F23""), $A60=IMPORTRANGE(""https://docs.google.com/spreadsheets/d/1kGrh75X1cNR1D7_FcY9zMnHP8iPO4M5"&amp;"RCRjy6nZY0TY/edit#gid=1248694442"",""Subgroup 2: Cr ~ Tx!A3:A23"")),"""")"),"")</f>
        <v/>
      </c>
      <c r="AK60" s="14" t="str">
        <f>IFERROR(__xludf.DUMMYFUNCTION("IFNA(FILTER(IMPORTRANGE(""https://docs.google.com/spreadsheets/d/1kGrh75X1cNR1D7_FcY9zMnHP8iPO4M5RCRjy6nZY0TY/edit#gid=1248694442"",""Table 4: 2nd-line HC or more!M5:M85""), $A60=IMPORTRANGE(""https://docs.google.com/spreadsheets/d/1kGrh75X1cNR1D7_FcY9zMn"&amp;"HP8iPO4M5RCRjy6nZY0TY/edit#gid=1248694442"",""Table 4: 2nd-line HC or more!A5:A85"")),"""")"),"")</f>
        <v/>
      </c>
      <c r="AL60" s="14" t="str">
        <f>IFERROR(__xludf.DUMMYFUNCTION("IFNA(FILTER(IMPORTRANGE(""https://docs.google.com/spreadsheets/d/1kGrh75X1cNR1D7_FcY9zMnHP8iPO4M5RCRjy6nZY0TY/edit#gid=1248694442"",""Table 4: 2nd-line HC or more!N5:N85""), $A60=IMPORTRANGE(""https://docs.google.com/spreadsheets/d/1kGrh75X1cNR1D7_FcY9zMn"&amp;"HP8iPO4M5RCRjy6nZY0TY/edit#gid=1248694442"",""Table 4: 2nd-line HC or more!A5:A85"")),"""")"),"")</f>
        <v/>
      </c>
      <c r="AM60" s="14" t="str">
        <f>IFERROR(__xludf.DUMMYFUNCTION("IFNA(FILTER(IMPORTRANGE(""https://docs.google.com/spreadsheets/d/1kGrh75X1cNR1D7_FcY9zMnHP8iPO4M5RCRjy6nZY0TY/edit#gid=1248694442"",""Table 4: 2nd-line HC or more!O5:O85""), $A60=IMPORTRANGE(""https://docs.google.com/spreadsheets/d/1kGrh75X1cNR1D7_FcY9zMn"&amp;"HP8iPO4M5RCRjy6nZY0TY/edit#gid=1248694442"",""Table 4: 2nd-line HC or more!A5:A85"")),"""")"),"")</f>
        <v/>
      </c>
      <c r="AN60" s="14" t="str">
        <f>IFERROR(__xludf.DUMMYFUNCTION("IFNA(FILTER(IMPORTRANGE(""https://docs.google.com/spreadsheets/d/1kGrh75X1cNR1D7_FcY9zMnHP8iPO4M5RCRjy6nZY0TY/edit#gid=1248694442"",""Table 3: 1st-line HC!AP5:AP111""), $A60=IMPORTRANGE(""https://docs.google.com/spreadsheets/d/1kGrh75X1cNR1D7_FcY9zMnHP8iP"&amp;"O4M5RCRjy6nZY0TY/edit#gid=1248694442"",""Table 3: 1st-line HC!A5:A111"")),"""")"),"")</f>
        <v/>
      </c>
      <c r="AO60" s="14" t="str">
        <f>IFERROR(__xludf.DUMMYFUNCTION("IFNA(FILTER(IMPORTRANGE(""https://docs.google.com/spreadsheets/d/1kGrh75X1cNR1D7_FcY9zMnHP8iPO4M5RCRjy6nZY0TY/edit#gid=1248694442"",""Table 3: 1st-line HC!AO5:AO111""), $A60=IMPORTRANGE(""https://docs.google.com/spreadsheets/d/1kGrh75X1cNR1D7_FcY9zMnHP8iP"&amp;"O4M5RCRjy6nZY0TY/edit#gid=1248694442"",""Table 3: 1st-line HC!A5:A111"")),"""")"),"")</f>
        <v/>
      </c>
      <c r="AP60" s="14">
        <f>IFERROR(__xludf.DUMMYFUNCTION("IFNA(FILTER(IMPORTRANGE(""https://docs.google.com/spreadsheets/d/1kGrh75X1cNR1D7_FcY9zMnHP8iPO4M5RCRjy6nZY0TY/edit#gid=1248694442"",""Table 3: 1st-line HC!AQ5:AQ111""), $A60=IMPORTRANGE(""https://docs.google.com/spreadsheets/d/1kGrh75X1cNR1D7_FcY9zMnHP8iP"&amp;"O4M5RCRjy6nZY0TY/edit#gid=1248694442"",""Table 3: 1st-line HC!A5:A111"")),"""")"),21.0)</f>
        <v>21</v>
      </c>
      <c r="AQ60" s="14" t="str">
        <f>IFERROR(__xludf.DUMMYFUNCTION("IFNA(FILTER(IMPORTRANGE(""https://docs.google.com/spreadsheets/d/1kGrh75X1cNR1D7_FcY9zMnHP8iPO4M5RCRjy6nZY0TY/edit#gid=1248694442"",""Table 2: MMC!T5:T114""), $A60=IMPORTRANGE(""https://docs.google.com/spreadsheets/d/1kGrh75X1cNR1D7_FcY9zMnHP8iPO4M5RCRjy6"&amp;"nZY0TY/edit#gid=1248694442"",""Table 2: MMC!A5:A114"")),"""")"),"")</f>
        <v/>
      </c>
      <c r="AR60" s="14" t="str">
        <f>IFERROR(__xludf.DUMMYFUNCTION("IFNA(FILTER(IMPORTRANGE(""https://docs.google.com/spreadsheets/d/1kGrh75X1cNR1D7_FcY9zMnHP8iPO4M5RCRjy6nZY0TY/edit#gid=1248694442"",""Table 2: MMC!U5:U114""), $A60=IMPORTRANGE(""https://docs.google.com/spreadsheets/d/1kGrh75X1cNR1D7_FcY9zMnHP8iPO4M5RCRjy6"&amp;"nZY0TY/edit#gid=1248694442"",""Table 2: MMC!A5:A114"")),"""")"),"")</f>
        <v/>
      </c>
      <c r="AS60" s="14" t="str">
        <f>IFERROR(__xludf.DUMMYFUNCTION("IFNA(FILTER(IMPORTRANGE(""https://docs.google.com/spreadsheets/d/1kGrh75X1cNR1D7_FcY9zMnHP8iPO4M5RCRjy6nZY0TY/edit#gid=1248694442"",""Table 2: MMC!V5:V114""), $A60=IMPORTRANGE(""https://docs.google.com/spreadsheets/d/1kGrh75X1cNR1D7_FcY9zMnHP8iPO4M5RCRjy6"&amp;"nZY0TY/edit#gid=1248694442"",""Table 2: MMC!A5:A114"")),"""")"),"")</f>
        <v/>
      </c>
      <c r="AT60" s="4" t="str">
        <f>IFERROR(__xludf.DUMMYFUNCTION("IFNA(FILTER(IMPORTRANGE(""https://docs.google.com/spreadsheets/d/1kGrh75X1cNR1D7_FcY9zMnHP8iPO4M5RCRjy6nZY0TY/edit#gid=1248694442"",""Table 2: MMC!W5:W114""), $A60=IMPORTRANGE(""https://docs.google.com/spreadsheets/d/1kGrh75X1cNR1D7_FcY9zMnHP8iPO4M5RCRjy6"&amp;"nZY0TY/edit#gid=1248694442"",""Table 2: MMC!A5:A114"")),"""")"),"")</f>
        <v/>
      </c>
    </row>
    <row r="61">
      <c r="A61" s="4" t="str">
        <f>IFERROR(__xludf.DUMMYFUNCTION("""COMPUTED_VALUE"""),"ID 129")</f>
        <v>ID 129</v>
      </c>
      <c r="B61" s="20" t="str">
        <f>IFERROR(__xludf.DUMMYFUNCTION("IFNA(FILTER(IMPORTRANGE(""https://docs.google.com/spreadsheets/d/1kGrh75X1cNR1D7_FcY9zMnHP8iPO4M5RCRjy6nZY0TY/edit#gid=1248694442"",""Table 3: 1st-line HC!BK5:BK111""), $A61=IMPORTRANGE(""https://docs.google.com/spreadsheets/d/1kGrh75X1cNR1D7_FcY9zMnHP8iP"&amp;"O4M5RCRjy6nZY0TY/edit#gid=1248694442"",""Table 3: 1st-line HC!A5:A111"")),"""")"),"")</f>
        <v/>
      </c>
      <c r="C61" s="20" t="str">
        <f>IFERROR(__xludf.DUMMYFUNCTION("IFNA(FILTER(IMPORTRANGE(""https://docs.google.com/spreadsheets/d/1kGrh75X1cNR1D7_FcY9zMnHP8iPO4M5RCRjy6nZY0TY/edit#gid=1248694442"",""Subgroup 1: Fr ~ Tx!B3:B20""), $A61=IMPORTRANGE(""https://docs.google.com/spreadsheets/d/1kGrh75X1cNR1D7_FcY9zMnHP8iPO4M5"&amp;"RCRjy6nZY0TY/edit#gid=1248694442"",""Subgroup 1: Fr ~ Tx!A3:A20"")),"""")"),"")</f>
        <v/>
      </c>
      <c r="D61" s="20" t="str">
        <f>IFERROR(__xludf.DUMMYFUNCTION("IFNA(FILTER(IMPORTRANGE(""https://docs.google.com/spreadsheets/d/1kGrh75X1cNR1D7_FcY9zMnHP8iPO4M5RCRjy6nZY0TY/edit#gid=1248694442"",""Subgroup 1: Fr ~ Tx!C3:C20""), $A61=IMPORTRANGE(""https://docs.google.com/spreadsheets/d/1kGrh75X1cNR1D7_FcY9zMnHP8iPO4M5"&amp;"RCRjy6nZY0TY/edit#gid=1248694442"",""Subgroup 1: Fr ~ Tx!A3:A20"")),"""")"),"")</f>
        <v/>
      </c>
      <c r="E61" s="20" t="str">
        <f>IFERROR(__xludf.DUMMYFUNCTION("IFNA(FILTER(IMPORTRANGE(""https://docs.google.com/spreadsheets/d/1kGrh75X1cNR1D7_FcY9zMnHP8iPO4M5RCRjy6nZY0TY/edit#gid=1248694442"",""Subgroup 1: Fr ~ Tx!D3:D20""), $A61=IMPORTRANGE(""https://docs.google.com/spreadsheets/d/1kGrh75X1cNR1D7_FcY9zMnHP8iPO4M5"&amp;"RCRjy6nZY0TY/edit#gid=1248694442"",""Subgroup 1: Fr ~ Tx!A3:A20"")),"""")"),"")</f>
        <v/>
      </c>
      <c r="F61" s="20" t="str">
        <f>IFERROR(__xludf.DUMMYFUNCTION("IFNA(FILTER(IMPORTRANGE(""https://docs.google.com/spreadsheets/d/1kGrh75X1cNR1D7_FcY9zMnHP8iPO4M5RCRjy6nZY0TY/edit#gid=1248694442"",""Subgroup 1: Fr ~ Tx!E3:E20""), $A61=IMPORTRANGE(""https://docs.google.com/spreadsheets/d/1kGrh75X1cNR1D7_FcY9zMnHP8iPO4M5"&amp;"RCRjy6nZY0TY/edit#gid=1248694442"",""Subgroup 1: Fr ~ Tx!A3:A20"")),"""")"),"")</f>
        <v/>
      </c>
      <c r="G61" s="20" t="str">
        <f>IFERROR(__xludf.DUMMYFUNCTION("IFNA(FILTER(IMPORTRANGE(""https://docs.google.com/spreadsheets/d/1kGrh75X1cNR1D7_FcY9zMnHP8iPO4M5RCRjy6nZY0TY/edit#gid=1248694442"",""Subgroup 1: Fr ~ Tx!F3:F20""), $A61=IMPORTRANGE(""https://docs.google.com/spreadsheets/d/1kGrh75X1cNR1D7_FcY9zMnHP8iPO4M5"&amp;"RCRjy6nZY0TY/edit#gid=1248694442"",""Subgroup 1: Fr ~ Tx!A3:A20"")),"""")"),"")</f>
        <v/>
      </c>
      <c r="H61" s="20" t="str">
        <f>IFERROR(__xludf.DUMMYFUNCTION("IFNA(FILTER(IMPORTRANGE(""https://docs.google.com/spreadsheets/d/1kGrh75X1cNR1D7_FcY9zMnHP8iPO4M5RCRjy6nZY0TY/edit#gid=1248694442"",""Table 3: 1st-line HC!BD5:BD111""), $A61=IMPORTRANGE(""https://docs.google.com/spreadsheets/d/1kGrh75X1cNR1D7_FcY9zMnHP8iP"&amp;"O4M5RCRjy6nZY0TY/edit#gid=1248694442"",""Table 3: 1st-line HC!A5:A111"")),"""")"),"")</f>
        <v/>
      </c>
      <c r="I61" s="20" t="str">
        <f>IFERROR(__xludf.DUMMYFUNCTION("IFNA(FILTER(IMPORTRANGE(""https://docs.google.com/spreadsheets/d/1kGrh75X1cNR1D7_FcY9zMnHP8iPO4M5RCRjy6nZY0TY/edit#gid=1248694442"",""Subgroup 5: Tf ~ Tx!B3:B8""), $A61=IMPORTRANGE(""https://docs.google.com/spreadsheets/d/1kGrh75X1cNR1D7_FcY9zMnHP8iPO4M5R"&amp;"CRjy6nZY0TY/edit#gid=1248694442"",""Subgroup 5: Tf ~ Tx!A3:A8"")),"""")"),"")</f>
        <v/>
      </c>
      <c r="J61" s="20" t="str">
        <f>IFERROR(__xludf.DUMMYFUNCTION("IFNA(FILTER(IMPORTRANGE(""https://docs.google.com/spreadsheets/d/1kGrh75X1cNR1D7_FcY9zMnHP8iPO4M5RCRjy6nZY0TY/edit#gid=1248694442"",""Subgroup 5: Tf ~ Tx!C3:C8""), $A61=IMPORTRANGE(""https://docs.google.com/spreadsheets/d/1kGrh75X1cNR1D7_FcY9zMnHP8iPO4M5R"&amp;"CRjy6nZY0TY/edit#gid=1248694442"",""Subgroup 5: Tf ~ Tx!A3:A8"")),"""")"),"")</f>
        <v/>
      </c>
      <c r="K61" s="20" t="str">
        <f>IFERROR(__xludf.DUMMYFUNCTION("IFNA(FILTER(IMPORTRANGE(""https://docs.google.com/spreadsheets/d/1kGrh75X1cNR1D7_FcY9zMnHP8iPO4M5RCRjy6nZY0TY/edit#gid=1248694442"",""Subgroup 5: Tf ~ Tx!D3:D8""), $A61=IMPORTRANGE(""https://docs.google.com/spreadsheets/d/1kGrh75X1cNR1D7_FcY9zMnHP8iPO4M5R"&amp;"CRjy6nZY0TY/edit#gid=1248694442"",""Subgroup 5: Tf ~ Tx!A3:A8"")),"""")"),"")</f>
        <v/>
      </c>
      <c r="L61" s="20" t="str">
        <f>IFERROR(__xludf.DUMMYFUNCTION("IFNA(FILTER(IMPORTRANGE(""https://docs.google.com/spreadsheets/d/1kGrh75X1cNR1D7_FcY9zMnHP8iPO4M5RCRjy6nZY0TY/edit#gid=1248694442"",""Subgroup 5: Tf ~ Tx!E3:E8""), $A61=IMPORTRANGE(""https://docs.google.com/spreadsheets/d/1kGrh75X1cNR1D7_FcY9zMnHP8iPO4M5R"&amp;"CRjy6nZY0TY/edit#gid=1248694442"",""Subgroup 5: Tf ~ Tx!A3:A8"")),"""")"),"")</f>
        <v/>
      </c>
      <c r="M61" s="20" t="str">
        <f>IFERROR(__xludf.DUMMYFUNCTION("IFNA(FILTER(IMPORTRANGE(""https://docs.google.com/spreadsheets/d/1kGrh75X1cNR1D7_FcY9zMnHP8iPO4M5RCRjy6nZY0TY/edit#gid=1248694442"",""Subgroup 5: Tf ~ Tx!F3:F8""), $A61=IMPORTRANGE(""https://docs.google.com/spreadsheets/d/1kGrh75X1cNR1D7_FcY9zMnHP8iPO4M5R"&amp;"CRjy6nZY0TY/edit#gid=1248694442"",""Subgroup 5: Tf ~ Tx!A3:A8"")),"""")"),"")</f>
        <v/>
      </c>
      <c r="N61" s="20" t="str">
        <f>IFERROR(__xludf.DUMMYFUNCTION("IFNA(FILTER(IMPORTRANGE(""https://docs.google.com/spreadsheets/d/1kGrh75X1cNR1D7_FcY9zMnHP8iPO4M5RCRjy6nZY0TY/edit#gid=1248694442"",""Table 3: 1st-line HC!BE5:BE111""), $A61=IMPORTRANGE(""https://docs.google.com/spreadsheets/d/1kGrh75X1cNR1D7_FcY9zMnHP8iP"&amp;"O4M5RCRjy6nZY0TY/edit#gid=1248694442"",""Table 3: 1st-line HC!A5:A111"")),"""")"),"")</f>
        <v/>
      </c>
      <c r="O61" s="20" t="str">
        <f>IFERROR(__xludf.DUMMYFUNCTION("IFNA(FILTER(IMPORTRANGE(""https://docs.google.com/spreadsheets/d/1kGrh75X1cNR1D7_FcY9zMnHP8iPO4M5RCRjy6nZY0TY/edit#gid=1248694442"",""Table 3: 1st-line HC!BF5:BF111""), $A61=IMPORTRANGE(""https://docs.google.com/spreadsheets/d/1kGrh75X1cNR1D7_FcY9zMnHP8iP"&amp;"O4M5RCRjy6nZY0TY/edit#gid=1248694442"",""Table 3: 1st-line HC!A5:A111"")),"""")"),"")</f>
        <v/>
      </c>
      <c r="P61" s="20" t="str">
        <f>IFERROR(__xludf.DUMMYFUNCTION("IFNA(FILTER(IMPORTRANGE(""https://docs.google.com/spreadsheets/d/1kGrh75X1cNR1D7_FcY9zMnHP8iPO4M5RCRjy6nZY0TY/edit#gid=1248694442"",""Table 3: 1st-line HC!BG5:BG111""), $A61=IMPORTRANGE(""https://docs.google.com/spreadsheets/d/1kGrh75X1cNR1D7_FcY9zMnHP8iP"&amp;"O4M5RCRjy6nZY0TY/edit#gid=1248694442"",""Table 3: 1st-line HC!A5:A111"")),"""")"),"")</f>
        <v/>
      </c>
      <c r="Q61" s="21" t="str">
        <f>IFERROR(__xludf.DUMMYFUNCTION("IFNA(FILTER(IMPORTRANGE(""https://docs.google.com/spreadsheets/d/1kGrh75X1cNR1D7_FcY9zMnHP8iPO4M5RCRjy6nZY0TY/edit#gid=1248694442"",""Table 3: 1st-line HC!BH5:BH111""), $A61=IMPORTRANGE(""https://docs.google.com/spreadsheets/d/1kGrh75X1cNR1D7_FcY9zMnHP8iP"&amp;"O4M5RCRjy6nZY0TY/edit#gid=1248694442"",""Table 3: 1st-line HC!A5:A111"")),"""")"),"")</f>
        <v/>
      </c>
      <c r="R61" s="19" t="str">
        <f>IFERROR(__xludf.DUMMYFUNCTION("IFNA(FILTER(IMPORTRANGE(""https://docs.google.com/spreadsheets/d/1kGrh75X1cNR1D7_FcY9zMnHP8iPO4M5RCRjy6nZY0TY/edit#gid=1248694442"",""Table 3: 1st-line HC!AJ5:AJ111""), $A61=IMPORTRANGE(""https://docs.google.com/spreadsheets/d/1kGrh75X1cNR1D7_FcY9zMnHP8iP"&amp;"O4M5RCRjy6nZY0TY/edit#gid=1248694442"",""Table 3: 1st-line HC!A5:A111"")),"""")"),"")</f>
        <v/>
      </c>
      <c r="S61" s="20" t="str">
        <f>IFERROR(__xludf.DUMMYFUNCTION("IFNA(FILTER(IMPORTRANGE(""https://docs.google.com/spreadsheets/d/1kGrh75X1cNR1D7_FcY9zMnHP8iPO4M5RCRjy6nZY0TY/edit#gid=1248694442"",""Subgroup 3: Mi ~ Tx!B3:B17""), $A61=IMPORTRANGE(""https://docs.google.com/spreadsheets/d/1kGrh75X1cNR1D7_FcY9zMnHP8iPO4M5"&amp;"RCRjy6nZY0TY/edit#gid=1248694442"",""Subgroup 3: Mi ~ Tx!A3:A17"")),"""")"),"")</f>
        <v/>
      </c>
      <c r="T61" s="20" t="str">
        <f>IFERROR(__xludf.DUMMYFUNCTION("IFNA(FILTER(IMPORTRANGE(""https://docs.google.com/spreadsheets/d/1kGrh75X1cNR1D7_FcY9zMnHP8iPO4M5RCRjy6nZY0TY/edit#gid=1248694442"",""Subgroup 3: Mi ~ Tx!C3:C17""), $A61=IMPORTRANGE(""https://docs.google.com/spreadsheets/d/1kGrh75X1cNR1D7_FcY9zMnHP8iPO4M5"&amp;"RCRjy6nZY0TY/edit#gid=1248694442"",""Subgroup 3: Mi ~ Tx!A3:A17"")),"""")"),"")</f>
        <v/>
      </c>
      <c r="U61" s="20" t="str">
        <f>IFERROR(__xludf.DUMMYFUNCTION("IFNA(FILTER(IMPORTRANGE(""https://docs.google.com/spreadsheets/d/1kGrh75X1cNR1D7_FcY9zMnHP8iPO4M5RCRjy6nZY0TY/edit#gid=1248694442"",""Subgroup 3: Mi ~ Tx!D3:D17""), $A61=IMPORTRANGE(""https://docs.google.com/spreadsheets/d/1kGrh75X1cNR1D7_FcY9zMnHP8iPO4M5"&amp;"RCRjy6nZY0TY/edit#gid=1248694442"",""Subgroup 3: Mi ~ Tx!A3:A17"")),"""")"),"")</f>
        <v/>
      </c>
      <c r="V61" s="20" t="str">
        <f>IFERROR(__xludf.DUMMYFUNCTION("IFNA(FILTER(IMPORTRANGE(""https://docs.google.com/spreadsheets/d/1kGrh75X1cNR1D7_FcY9zMnHP8iPO4M5RCRjy6nZY0TY/edit#gid=1248694442"",""Subgroup 3: Mi ~ Tx!E3:E17""), $A61=IMPORTRANGE(""https://docs.google.com/spreadsheets/d/1kGrh75X1cNR1D7_FcY9zMnHP8iPO4M5"&amp;"RCRjy6nZY0TY/edit#gid=1248694442"",""Subgroup 3: Mi ~ Tx!A3:A17"")),"""")"),"")</f>
        <v/>
      </c>
      <c r="W61" s="20" t="str">
        <f>IFERROR(__xludf.DUMMYFUNCTION("IFNA(FILTER(IMPORTRANGE(""https://docs.google.com/spreadsheets/d/1kGrh75X1cNR1D7_FcY9zMnHP8iPO4M5RCRjy6nZY0TY/edit#gid=1248694442"",""Subgroup 3: Mi ~ Tx!F3:F17""), $A61=IMPORTRANGE(""https://docs.google.com/spreadsheets/d/1kGrh75X1cNR1D7_FcY9zMnHP8iPO4M5"&amp;"RCRjy6nZY0TY/edit#gid=1248694442"",""Subgroup 3: Mi ~ Tx!A3:A17"")),"""")"),"")</f>
        <v/>
      </c>
      <c r="X61" s="19" t="str">
        <f>IFERROR(__xludf.DUMMYFUNCTION("IFNA(FILTER(IMPORTRANGE(""https://docs.google.com/spreadsheets/d/1kGrh75X1cNR1D7_FcY9zMnHP8iPO4M5RCRjy6nZY0TY/edit#gid=1248694442"",""Table 3: 1st-line HC!AK5:AK111""), $A61=IMPORTRANGE(""https://docs.google.com/spreadsheets/d/1kGrh75X1cNR1D7_FcY9zMnHP8iP"&amp;"O4M5RCRjy6nZY0TY/edit#gid=1248694442"",""Table 3: 1st-line HC!A5:A111"")),"""")"),"")</f>
        <v/>
      </c>
      <c r="Y61" s="20" t="str">
        <f>IFERROR(__xludf.DUMMYFUNCTION("IFNA(FILTER(IMPORTRANGE(""https://docs.google.com/spreadsheets/d/1kGrh75X1cNR1D7_FcY9zMnHP8iPO4M5RCRjy6nZY0TY/edit#gid=1248694442"",""Subgroup 4: Mp ~ Tx!B3:B20""), $A61=IMPORTRANGE(""https://docs.google.com/spreadsheets/d/1kGrh75X1cNR1D7_FcY9zMnHP8iPO4M5"&amp;"RCRjy6nZY0TY/edit#gid=1248694442"",""Subgroup 4: Mp ~ Tx!A3:A20"")),"""")"),"")</f>
        <v/>
      </c>
      <c r="Z61" s="20" t="str">
        <f>IFERROR(__xludf.DUMMYFUNCTION("IFNA(FILTER(IMPORTRANGE(""https://docs.google.com/spreadsheets/d/1kGrh75X1cNR1D7_FcY9zMnHP8iPO4M5RCRjy6nZY0TY/edit#gid=1248694442"",""Subgroup 4: Mp ~ Tx!C3:C20""), $A61=IMPORTRANGE(""https://docs.google.com/spreadsheets/d/1kGrh75X1cNR1D7_FcY9zMnHP8iPO4M5"&amp;"RCRjy6nZY0TY/edit#gid=1248694442"",""Subgroup 4: Mp ~ Tx!A3:A20"")),"""")"),"")</f>
        <v/>
      </c>
      <c r="AA61" s="20" t="str">
        <f>IFERROR(__xludf.DUMMYFUNCTION("IFNA(FILTER(IMPORTRANGE(""https://docs.google.com/spreadsheets/d/1kGrh75X1cNR1D7_FcY9zMnHP8iPO4M5RCRjy6nZY0TY/edit#gid=1248694442"",""Subgroup 4: Mp ~ Tx!D3:D20""), $A61=IMPORTRANGE(""https://docs.google.com/spreadsheets/d/1kGrh75X1cNR1D7_FcY9zMnHP8iPO4M5"&amp;"RCRjy6nZY0TY/edit#gid=1248694442"",""Subgroup 4: Mp ~ Tx!A3:A20"")),"""")"),"")</f>
        <v/>
      </c>
      <c r="AB61" s="20" t="str">
        <f>IFERROR(__xludf.DUMMYFUNCTION("IFNA(FILTER(IMPORTRANGE(""https://docs.google.com/spreadsheets/d/1kGrh75X1cNR1D7_FcY9zMnHP8iPO4M5RCRjy6nZY0TY/edit#gid=1248694442"",""Subgroup 4: Mp ~ Tx!E3:E20""), $A61=IMPORTRANGE(""https://docs.google.com/spreadsheets/d/1kGrh75X1cNR1D7_FcY9zMnHP8iPO4M5"&amp;"RCRjy6nZY0TY/edit#gid=1248694442"",""Subgroup 4: Mp ~ Tx!A3:A20"")),"""")"),"")</f>
        <v/>
      </c>
      <c r="AC61" s="20" t="str">
        <f>IFERROR(__xludf.DUMMYFUNCTION("IFNA(FILTER(IMPORTRANGE(""https://docs.google.com/spreadsheets/d/1kGrh75X1cNR1D7_FcY9zMnHP8iPO4M5RCRjy6nZY0TY/edit#gid=1248694442"",""Subgroup 4: Mp ~ Tx!F3:F20""), $A61=IMPORTRANGE(""https://docs.google.com/spreadsheets/d/1kGrh75X1cNR1D7_FcY9zMnHP8iPO4M5"&amp;"RCRjy6nZY0TY/edit#gid=1248694442"",""Subgroup 4: Mp ~ Tx!A3:A20"")),"""")"),"")</f>
        <v/>
      </c>
      <c r="AD61" s="22" t="str">
        <f>IFERROR(__xludf.DUMMYFUNCTION("IFNA(FILTER(IMPORTRANGE(""https://docs.google.com/spreadsheets/d/1kGrh75X1cNR1D7_FcY9zMnHP8iPO4M5RCRjy6nZY0TY/edit#gid=1248694442"",""Table 3: 1st-line HC!AL5:AL111""), $A61=IMPORTRANGE(""https://docs.google.com/spreadsheets/d/1kGrh75X1cNR1D7_FcY9zMnHP8iP"&amp;"O4M5RCRjy6nZY0TY/edit#gid=1248694442"",""Table 3: 1st-line HC!A5:A111"")),"""")"),"")</f>
        <v/>
      </c>
      <c r="AE61" s="20" t="str">
        <f>IFERROR(__xludf.DUMMYFUNCTION("IFNA(FILTER(IMPORTRANGE(""https://docs.google.com/spreadsheets/d/1kGrh75X1cNR1D7_FcY9zMnHP8iPO4M5RCRjy6nZY0TY/edit#gid=1248694442"",""Table 3: 1st-line HC!BJ5:BJ111""), $A61=IMPORTRANGE(""https://docs.google.com/spreadsheets/d/1kGrh75X1cNR1D7_FcY9zMnHP8iP"&amp;"O4M5RCRjy6nZY0TY/edit#gid=1248694442"",""Table 3: 1st-line HC!A5:A111"")),"""")"),"")</f>
        <v/>
      </c>
      <c r="AF61" s="20" t="str">
        <f>IFERROR(__xludf.DUMMYFUNCTION("IFNA(FILTER(IMPORTRANGE(""https://docs.google.com/spreadsheets/d/1kGrh75X1cNR1D7_FcY9zMnHP8iPO4M5RCRjy6nZY0TY/edit#gid=1248694442"",""Subgroup 2: Cr ~ Tx!B3:B23""), $A61=IMPORTRANGE(""https://docs.google.com/spreadsheets/d/1kGrh75X1cNR1D7_FcY9zMnHP8iPO4M5"&amp;"RCRjy6nZY0TY/edit#gid=1248694442"",""Subgroup 2: Cr ~ Tx!A3:A23"")),"""")"),"")</f>
        <v/>
      </c>
      <c r="AG61" s="20" t="str">
        <f>IFERROR(__xludf.DUMMYFUNCTION("IFNA(FILTER(IMPORTRANGE(""https://docs.google.com/spreadsheets/d/1kGrh75X1cNR1D7_FcY9zMnHP8iPO4M5RCRjy6nZY0TY/edit#gid=1248694442"",""Subgroup 2: Cr ~ Tx!C3:C23""), $A61=IMPORTRANGE(""https://docs.google.com/spreadsheets/d/1kGrh75X1cNR1D7_FcY9zMnHP8iPO4M5"&amp;"RCRjy6nZY0TY/edit#gid=1248694442"",""Subgroup 2: Cr ~ Tx!A3:A23"")),"""")"),"")</f>
        <v/>
      </c>
      <c r="AH61" s="20" t="str">
        <f>IFERROR(__xludf.DUMMYFUNCTION("IFNA(FILTER(IMPORTRANGE(""https://docs.google.com/spreadsheets/d/1kGrh75X1cNR1D7_FcY9zMnHP8iPO4M5RCRjy6nZY0TY/edit#gid=1248694442"",""Subgroup 2: Cr ~ Tx!D3:D23""), $A61=IMPORTRANGE(""https://docs.google.com/spreadsheets/d/1kGrh75X1cNR1D7_FcY9zMnHP8iPO4M5"&amp;"RCRjy6nZY0TY/edit#gid=1248694442"",""Subgroup 2: Cr ~ Tx!A3:A23"")),"""")"),"")</f>
        <v/>
      </c>
      <c r="AI61" s="20" t="str">
        <f>IFERROR(__xludf.DUMMYFUNCTION("IFNA(FILTER(IMPORTRANGE(""https://docs.google.com/spreadsheets/d/1kGrh75X1cNR1D7_FcY9zMnHP8iPO4M5RCRjy6nZY0TY/edit#gid=1248694442"",""Subgroup 2: Cr ~ Tx!E3:E23""), $A61=IMPORTRANGE(""https://docs.google.com/spreadsheets/d/1kGrh75X1cNR1D7_FcY9zMnHP8iPO4M5"&amp;"RCRjy6nZY0TY/edit#gid=1248694442"",""Subgroup 2: Cr ~ Tx!A3:A23"")),"""")"),"")</f>
        <v/>
      </c>
      <c r="AJ61" s="20" t="str">
        <f>IFERROR(__xludf.DUMMYFUNCTION("IFNA(FILTER(IMPORTRANGE(""https://docs.google.com/spreadsheets/d/1kGrh75X1cNR1D7_FcY9zMnHP8iPO4M5RCRjy6nZY0TY/edit#gid=1248694442"",""Subgroup 2: Cr ~ Tx!F3:F23""), $A61=IMPORTRANGE(""https://docs.google.com/spreadsheets/d/1kGrh75X1cNR1D7_FcY9zMnHP8iPO4M5"&amp;"RCRjy6nZY0TY/edit#gid=1248694442"",""Subgroup 2: Cr ~ Tx!A3:A23"")),"""")"),"")</f>
        <v/>
      </c>
      <c r="AK61" s="14" t="str">
        <f>IFERROR(__xludf.DUMMYFUNCTION("IFNA(FILTER(IMPORTRANGE(""https://docs.google.com/spreadsheets/d/1kGrh75X1cNR1D7_FcY9zMnHP8iPO4M5RCRjy6nZY0TY/edit#gid=1248694442"",""Table 4: 2nd-line HC or more!M5:M85""), $A61=IMPORTRANGE(""https://docs.google.com/spreadsheets/d/1kGrh75X1cNR1D7_FcY9zMn"&amp;"HP8iPO4M5RCRjy6nZY0TY/edit#gid=1248694442"",""Table 4: 2nd-line HC or more!A5:A85"")),"""")"),"")</f>
        <v/>
      </c>
      <c r="AL61" s="14" t="str">
        <f>IFERROR(__xludf.DUMMYFUNCTION("IFNA(FILTER(IMPORTRANGE(""https://docs.google.com/spreadsheets/d/1kGrh75X1cNR1D7_FcY9zMnHP8iPO4M5RCRjy6nZY0TY/edit#gid=1248694442"",""Table 4: 2nd-line HC or more!N5:N85""), $A61=IMPORTRANGE(""https://docs.google.com/spreadsheets/d/1kGrh75X1cNR1D7_FcY9zMn"&amp;"HP8iPO4M5RCRjy6nZY0TY/edit#gid=1248694442"",""Table 4: 2nd-line HC or more!A5:A85"")),"""")"),"")</f>
        <v/>
      </c>
      <c r="AM61" s="14" t="str">
        <f>IFERROR(__xludf.DUMMYFUNCTION("IFNA(FILTER(IMPORTRANGE(""https://docs.google.com/spreadsheets/d/1kGrh75X1cNR1D7_FcY9zMnHP8iPO4M5RCRjy6nZY0TY/edit#gid=1248694442"",""Table 4: 2nd-line HC or more!O5:O85""), $A61=IMPORTRANGE(""https://docs.google.com/spreadsheets/d/1kGrh75X1cNR1D7_FcY9zMn"&amp;"HP8iPO4M5RCRjy6nZY0TY/edit#gid=1248694442"",""Table 4: 2nd-line HC or more!A5:A85"")),"""")"),"")</f>
        <v/>
      </c>
      <c r="AN61" s="14" t="str">
        <f>IFERROR(__xludf.DUMMYFUNCTION("IFNA(FILTER(IMPORTRANGE(""https://docs.google.com/spreadsheets/d/1kGrh75X1cNR1D7_FcY9zMnHP8iPO4M5RCRjy6nZY0TY/edit#gid=1248694442"",""Table 3: 1st-line HC!AP5:AP111""), $A61=IMPORTRANGE(""https://docs.google.com/spreadsheets/d/1kGrh75X1cNR1D7_FcY9zMnHP8iP"&amp;"O4M5RCRjy6nZY0TY/edit#gid=1248694442"",""Table 3: 1st-line HC!A5:A111"")),"""")"),"")</f>
        <v/>
      </c>
      <c r="AO61" s="14" t="str">
        <f>IFERROR(__xludf.DUMMYFUNCTION("IFNA(FILTER(IMPORTRANGE(""https://docs.google.com/spreadsheets/d/1kGrh75X1cNR1D7_FcY9zMnHP8iPO4M5RCRjy6nZY0TY/edit#gid=1248694442"",""Table 3: 1st-line HC!AO5:AO111""), $A61=IMPORTRANGE(""https://docs.google.com/spreadsheets/d/1kGrh75X1cNR1D7_FcY9zMnHP8iP"&amp;"O4M5RCRjy6nZY0TY/edit#gid=1248694442"",""Table 3: 1st-line HC!A5:A111"")),"""")"),"")</f>
        <v/>
      </c>
      <c r="AP61" s="14" t="str">
        <f>IFERROR(__xludf.DUMMYFUNCTION("IFNA(FILTER(IMPORTRANGE(""https://docs.google.com/spreadsheets/d/1kGrh75X1cNR1D7_FcY9zMnHP8iPO4M5RCRjy6nZY0TY/edit#gid=1248694442"",""Table 3: 1st-line HC!AQ5:AQ111""), $A61=IMPORTRANGE(""https://docs.google.com/spreadsheets/d/1kGrh75X1cNR1D7_FcY9zMnHP8iP"&amp;"O4M5RCRjy6nZY0TY/edit#gid=1248694442"",""Table 3: 1st-line HC!A5:A111"")),"""")"),"")</f>
        <v/>
      </c>
      <c r="AQ61" s="14" t="str">
        <f>IFERROR(__xludf.DUMMYFUNCTION("IFNA(FILTER(IMPORTRANGE(""https://docs.google.com/spreadsheets/d/1kGrh75X1cNR1D7_FcY9zMnHP8iPO4M5RCRjy6nZY0TY/edit#gid=1248694442"",""Table 2: MMC!T5:T114""), $A61=IMPORTRANGE(""https://docs.google.com/spreadsheets/d/1kGrh75X1cNR1D7_FcY9zMnHP8iPO4M5RCRjy6"&amp;"nZY0TY/edit#gid=1248694442"",""Table 2: MMC!A5:A114"")),"""")"),"")</f>
        <v/>
      </c>
      <c r="AR61" s="14" t="str">
        <f>IFERROR(__xludf.DUMMYFUNCTION("IFNA(FILTER(IMPORTRANGE(""https://docs.google.com/spreadsheets/d/1kGrh75X1cNR1D7_FcY9zMnHP8iPO4M5RCRjy6nZY0TY/edit#gid=1248694442"",""Table 2: MMC!U5:U114""), $A61=IMPORTRANGE(""https://docs.google.com/spreadsheets/d/1kGrh75X1cNR1D7_FcY9zMnHP8iPO4M5RCRjy6"&amp;"nZY0TY/edit#gid=1248694442"",""Table 2: MMC!A5:A114"")),"""")"),"")</f>
        <v/>
      </c>
      <c r="AS61" s="14" t="str">
        <f>IFERROR(__xludf.DUMMYFUNCTION("IFNA(FILTER(IMPORTRANGE(""https://docs.google.com/spreadsheets/d/1kGrh75X1cNR1D7_FcY9zMnHP8iPO4M5RCRjy6nZY0TY/edit#gid=1248694442"",""Table 2: MMC!V5:V114""), $A61=IMPORTRANGE(""https://docs.google.com/spreadsheets/d/1kGrh75X1cNR1D7_FcY9zMnHP8iPO4M5RCRjy6"&amp;"nZY0TY/edit#gid=1248694442"",""Table 2: MMC!A5:A114"")),"""")"),"")</f>
        <v/>
      </c>
      <c r="AT61" s="4" t="str">
        <f>IFERROR(__xludf.DUMMYFUNCTION("IFNA(FILTER(IMPORTRANGE(""https://docs.google.com/spreadsheets/d/1kGrh75X1cNR1D7_FcY9zMnHP8iPO4M5RCRjy6nZY0TY/edit#gid=1248694442"",""Table 2: MMC!W5:W114""), $A61=IMPORTRANGE(""https://docs.google.com/spreadsheets/d/1kGrh75X1cNR1D7_FcY9zMnHP8iPO4M5RCRjy6"&amp;"nZY0TY/edit#gid=1248694442"",""Table 2: MMC!A5:A114"")),"""")"),"")</f>
        <v/>
      </c>
    </row>
    <row r="62">
      <c r="A62" s="4" t="str">
        <f>IFERROR(__xludf.DUMMYFUNCTION("""COMPUTED_VALUE"""),"ID 130")</f>
        <v>ID 130</v>
      </c>
      <c r="B62" s="20" t="str">
        <f>IFERROR(__xludf.DUMMYFUNCTION("IFNA(FILTER(IMPORTRANGE(""https://docs.google.com/spreadsheets/d/1kGrh75X1cNR1D7_FcY9zMnHP8iPO4M5RCRjy6nZY0TY/edit#gid=1248694442"",""Table 3: 1st-line HC!BK5:BK111""), $A62=IMPORTRANGE(""https://docs.google.com/spreadsheets/d/1kGrh75X1cNR1D7_FcY9zMnHP8iP"&amp;"O4M5RCRjy6nZY0TY/edit#gid=1248694442"",""Table 3: 1st-line HC!A5:A111"")),"""")"),"")</f>
        <v/>
      </c>
      <c r="C62" s="20" t="str">
        <f>IFERROR(__xludf.DUMMYFUNCTION("IFNA(FILTER(IMPORTRANGE(""https://docs.google.com/spreadsheets/d/1kGrh75X1cNR1D7_FcY9zMnHP8iPO4M5RCRjy6nZY0TY/edit#gid=1248694442"",""Subgroup 1: Fr ~ Tx!B3:B20""), $A62=IMPORTRANGE(""https://docs.google.com/spreadsheets/d/1kGrh75X1cNR1D7_FcY9zMnHP8iPO4M5"&amp;"RCRjy6nZY0TY/edit#gid=1248694442"",""Subgroup 1: Fr ~ Tx!A3:A20"")),"""")"),"")</f>
        <v/>
      </c>
      <c r="D62" s="20" t="str">
        <f>IFERROR(__xludf.DUMMYFUNCTION("IFNA(FILTER(IMPORTRANGE(""https://docs.google.com/spreadsheets/d/1kGrh75X1cNR1D7_FcY9zMnHP8iPO4M5RCRjy6nZY0TY/edit#gid=1248694442"",""Subgroup 1: Fr ~ Tx!C3:C20""), $A62=IMPORTRANGE(""https://docs.google.com/spreadsheets/d/1kGrh75X1cNR1D7_FcY9zMnHP8iPO4M5"&amp;"RCRjy6nZY0TY/edit#gid=1248694442"",""Subgroup 1: Fr ~ Tx!A3:A20"")),"""")"),"")</f>
        <v/>
      </c>
      <c r="E62" s="20" t="str">
        <f>IFERROR(__xludf.DUMMYFUNCTION("IFNA(FILTER(IMPORTRANGE(""https://docs.google.com/spreadsheets/d/1kGrh75X1cNR1D7_FcY9zMnHP8iPO4M5RCRjy6nZY0TY/edit#gid=1248694442"",""Subgroup 1: Fr ~ Tx!D3:D20""), $A62=IMPORTRANGE(""https://docs.google.com/spreadsheets/d/1kGrh75X1cNR1D7_FcY9zMnHP8iPO4M5"&amp;"RCRjy6nZY0TY/edit#gid=1248694442"",""Subgroup 1: Fr ~ Tx!A3:A20"")),"""")"),"")</f>
        <v/>
      </c>
      <c r="F62" s="20" t="str">
        <f>IFERROR(__xludf.DUMMYFUNCTION("IFNA(FILTER(IMPORTRANGE(""https://docs.google.com/spreadsheets/d/1kGrh75X1cNR1D7_FcY9zMnHP8iPO4M5RCRjy6nZY0TY/edit#gid=1248694442"",""Subgroup 1: Fr ~ Tx!E3:E20""), $A62=IMPORTRANGE(""https://docs.google.com/spreadsheets/d/1kGrh75X1cNR1D7_FcY9zMnHP8iPO4M5"&amp;"RCRjy6nZY0TY/edit#gid=1248694442"",""Subgroup 1: Fr ~ Tx!A3:A20"")),"""")"),"")</f>
        <v/>
      </c>
      <c r="G62" s="20" t="str">
        <f>IFERROR(__xludf.DUMMYFUNCTION("IFNA(FILTER(IMPORTRANGE(""https://docs.google.com/spreadsheets/d/1kGrh75X1cNR1D7_FcY9zMnHP8iPO4M5RCRjy6nZY0TY/edit#gid=1248694442"",""Subgroup 1: Fr ~ Tx!F3:F20""), $A62=IMPORTRANGE(""https://docs.google.com/spreadsheets/d/1kGrh75X1cNR1D7_FcY9zMnHP8iPO4M5"&amp;"RCRjy6nZY0TY/edit#gid=1248694442"",""Subgroup 1: Fr ~ Tx!A3:A20"")),"""")"),"")</f>
        <v/>
      </c>
      <c r="H62" s="20" t="str">
        <f>IFERROR(__xludf.DUMMYFUNCTION("IFNA(FILTER(IMPORTRANGE(""https://docs.google.com/spreadsheets/d/1kGrh75X1cNR1D7_FcY9zMnHP8iPO4M5RCRjy6nZY0TY/edit#gid=1248694442"",""Table 3: 1st-line HC!BD5:BD111""), $A62=IMPORTRANGE(""https://docs.google.com/spreadsheets/d/1kGrh75X1cNR1D7_FcY9zMnHP8iP"&amp;"O4M5RCRjy6nZY0TY/edit#gid=1248694442"",""Table 3: 1st-line HC!A5:A111"")),"""")"),"")</f>
        <v/>
      </c>
      <c r="I62" s="20" t="str">
        <f>IFERROR(__xludf.DUMMYFUNCTION("IFNA(FILTER(IMPORTRANGE(""https://docs.google.com/spreadsheets/d/1kGrh75X1cNR1D7_FcY9zMnHP8iPO4M5RCRjy6nZY0TY/edit#gid=1248694442"",""Subgroup 5: Tf ~ Tx!B3:B8""), $A62=IMPORTRANGE(""https://docs.google.com/spreadsheets/d/1kGrh75X1cNR1D7_FcY9zMnHP8iPO4M5R"&amp;"CRjy6nZY0TY/edit#gid=1248694442"",""Subgroup 5: Tf ~ Tx!A3:A8"")),"""")"),"")</f>
        <v/>
      </c>
      <c r="J62" s="20" t="str">
        <f>IFERROR(__xludf.DUMMYFUNCTION("IFNA(FILTER(IMPORTRANGE(""https://docs.google.com/spreadsheets/d/1kGrh75X1cNR1D7_FcY9zMnHP8iPO4M5RCRjy6nZY0TY/edit#gid=1248694442"",""Subgroup 5: Tf ~ Tx!C3:C8""), $A62=IMPORTRANGE(""https://docs.google.com/spreadsheets/d/1kGrh75X1cNR1D7_FcY9zMnHP8iPO4M5R"&amp;"CRjy6nZY0TY/edit#gid=1248694442"",""Subgroup 5: Tf ~ Tx!A3:A8"")),"""")"),"")</f>
        <v/>
      </c>
      <c r="K62" s="20" t="str">
        <f>IFERROR(__xludf.DUMMYFUNCTION("IFNA(FILTER(IMPORTRANGE(""https://docs.google.com/spreadsheets/d/1kGrh75X1cNR1D7_FcY9zMnHP8iPO4M5RCRjy6nZY0TY/edit#gid=1248694442"",""Subgroup 5: Tf ~ Tx!D3:D8""), $A62=IMPORTRANGE(""https://docs.google.com/spreadsheets/d/1kGrh75X1cNR1D7_FcY9zMnHP8iPO4M5R"&amp;"CRjy6nZY0TY/edit#gid=1248694442"",""Subgroup 5: Tf ~ Tx!A3:A8"")),"""")"),"")</f>
        <v/>
      </c>
      <c r="L62" s="20" t="str">
        <f>IFERROR(__xludf.DUMMYFUNCTION("IFNA(FILTER(IMPORTRANGE(""https://docs.google.com/spreadsheets/d/1kGrh75X1cNR1D7_FcY9zMnHP8iPO4M5RCRjy6nZY0TY/edit#gid=1248694442"",""Subgroup 5: Tf ~ Tx!E3:E8""), $A62=IMPORTRANGE(""https://docs.google.com/spreadsheets/d/1kGrh75X1cNR1D7_FcY9zMnHP8iPO4M5R"&amp;"CRjy6nZY0TY/edit#gid=1248694442"",""Subgroup 5: Tf ~ Tx!A3:A8"")),"""")"),"")</f>
        <v/>
      </c>
      <c r="M62" s="20" t="str">
        <f>IFERROR(__xludf.DUMMYFUNCTION("IFNA(FILTER(IMPORTRANGE(""https://docs.google.com/spreadsheets/d/1kGrh75X1cNR1D7_FcY9zMnHP8iPO4M5RCRjy6nZY0TY/edit#gid=1248694442"",""Subgroup 5: Tf ~ Tx!F3:F8""), $A62=IMPORTRANGE(""https://docs.google.com/spreadsheets/d/1kGrh75X1cNR1D7_FcY9zMnHP8iPO4M5R"&amp;"CRjy6nZY0TY/edit#gid=1248694442"",""Subgroup 5: Tf ~ Tx!A3:A8"")),"""")"),"")</f>
        <v/>
      </c>
      <c r="N62" s="20" t="str">
        <f>IFERROR(__xludf.DUMMYFUNCTION("IFNA(FILTER(IMPORTRANGE(""https://docs.google.com/spreadsheets/d/1kGrh75X1cNR1D7_FcY9zMnHP8iPO4M5RCRjy6nZY0TY/edit#gid=1248694442"",""Table 3: 1st-line HC!BE5:BE111""), $A62=IMPORTRANGE(""https://docs.google.com/spreadsheets/d/1kGrh75X1cNR1D7_FcY9zMnHP8iP"&amp;"O4M5RCRjy6nZY0TY/edit#gid=1248694442"",""Table 3: 1st-line HC!A5:A111"")),"""")"),"")</f>
        <v/>
      </c>
      <c r="O62" s="20" t="str">
        <f>IFERROR(__xludf.DUMMYFUNCTION("IFNA(FILTER(IMPORTRANGE(""https://docs.google.com/spreadsheets/d/1kGrh75X1cNR1D7_FcY9zMnHP8iPO4M5RCRjy6nZY0TY/edit#gid=1248694442"",""Table 3: 1st-line HC!BF5:BF111""), $A62=IMPORTRANGE(""https://docs.google.com/spreadsheets/d/1kGrh75X1cNR1D7_FcY9zMnHP8iP"&amp;"O4M5RCRjy6nZY0TY/edit#gid=1248694442"",""Table 3: 1st-line HC!A5:A111"")),"""")"),"")</f>
        <v/>
      </c>
      <c r="P62" s="20" t="str">
        <f>IFERROR(__xludf.DUMMYFUNCTION("IFNA(FILTER(IMPORTRANGE(""https://docs.google.com/spreadsheets/d/1kGrh75X1cNR1D7_FcY9zMnHP8iPO4M5RCRjy6nZY0TY/edit#gid=1248694442"",""Table 3: 1st-line HC!BG5:BG111""), $A62=IMPORTRANGE(""https://docs.google.com/spreadsheets/d/1kGrh75X1cNR1D7_FcY9zMnHP8iP"&amp;"O4M5RCRjy6nZY0TY/edit#gid=1248694442"",""Table 3: 1st-line HC!A5:A111"")),"""")"),"")</f>
        <v/>
      </c>
      <c r="Q62" s="21" t="str">
        <f>IFERROR(__xludf.DUMMYFUNCTION("IFNA(FILTER(IMPORTRANGE(""https://docs.google.com/spreadsheets/d/1kGrh75X1cNR1D7_FcY9zMnHP8iPO4M5RCRjy6nZY0TY/edit#gid=1248694442"",""Table 3: 1st-line HC!BH5:BH111""), $A62=IMPORTRANGE(""https://docs.google.com/spreadsheets/d/1kGrh75X1cNR1D7_FcY9zMnHP8iP"&amp;"O4M5RCRjy6nZY0TY/edit#gid=1248694442"",""Table 3: 1st-line HC!A5:A111"")),"""")"),"")</f>
        <v/>
      </c>
      <c r="R62" s="19" t="str">
        <f>IFERROR(__xludf.DUMMYFUNCTION("IFNA(FILTER(IMPORTRANGE(""https://docs.google.com/spreadsheets/d/1kGrh75X1cNR1D7_FcY9zMnHP8iPO4M5RCRjy6nZY0TY/edit#gid=1248694442"",""Table 3: 1st-line HC!AJ5:AJ111""), $A62=IMPORTRANGE(""https://docs.google.com/spreadsheets/d/1kGrh75X1cNR1D7_FcY9zMnHP8iP"&amp;"O4M5RCRjy6nZY0TY/edit#gid=1248694442"",""Table 3: 1st-line HC!A5:A111"")),"""")"),"")</f>
        <v/>
      </c>
      <c r="S62" s="20" t="str">
        <f>IFERROR(__xludf.DUMMYFUNCTION("IFNA(FILTER(IMPORTRANGE(""https://docs.google.com/spreadsheets/d/1kGrh75X1cNR1D7_FcY9zMnHP8iPO4M5RCRjy6nZY0TY/edit#gid=1248694442"",""Subgroup 3: Mi ~ Tx!B3:B17""), $A62=IMPORTRANGE(""https://docs.google.com/spreadsheets/d/1kGrh75X1cNR1D7_FcY9zMnHP8iPO4M5"&amp;"RCRjy6nZY0TY/edit#gid=1248694442"",""Subgroup 3: Mi ~ Tx!A3:A17"")),"""")"),"")</f>
        <v/>
      </c>
      <c r="T62" s="20" t="str">
        <f>IFERROR(__xludf.DUMMYFUNCTION("IFNA(FILTER(IMPORTRANGE(""https://docs.google.com/spreadsheets/d/1kGrh75X1cNR1D7_FcY9zMnHP8iPO4M5RCRjy6nZY0TY/edit#gid=1248694442"",""Subgroup 3: Mi ~ Tx!C3:C17""), $A62=IMPORTRANGE(""https://docs.google.com/spreadsheets/d/1kGrh75X1cNR1D7_FcY9zMnHP8iPO4M5"&amp;"RCRjy6nZY0TY/edit#gid=1248694442"",""Subgroup 3: Mi ~ Tx!A3:A17"")),"""")"),"")</f>
        <v/>
      </c>
      <c r="U62" s="20" t="str">
        <f>IFERROR(__xludf.DUMMYFUNCTION("IFNA(FILTER(IMPORTRANGE(""https://docs.google.com/spreadsheets/d/1kGrh75X1cNR1D7_FcY9zMnHP8iPO4M5RCRjy6nZY0TY/edit#gid=1248694442"",""Subgroup 3: Mi ~ Tx!D3:D17""), $A62=IMPORTRANGE(""https://docs.google.com/spreadsheets/d/1kGrh75X1cNR1D7_FcY9zMnHP8iPO4M5"&amp;"RCRjy6nZY0TY/edit#gid=1248694442"",""Subgroup 3: Mi ~ Tx!A3:A17"")),"""")"),"")</f>
        <v/>
      </c>
      <c r="V62" s="20" t="str">
        <f>IFERROR(__xludf.DUMMYFUNCTION("IFNA(FILTER(IMPORTRANGE(""https://docs.google.com/spreadsheets/d/1kGrh75X1cNR1D7_FcY9zMnHP8iPO4M5RCRjy6nZY0TY/edit#gid=1248694442"",""Subgroup 3: Mi ~ Tx!E3:E17""), $A62=IMPORTRANGE(""https://docs.google.com/spreadsheets/d/1kGrh75X1cNR1D7_FcY9zMnHP8iPO4M5"&amp;"RCRjy6nZY0TY/edit#gid=1248694442"",""Subgroup 3: Mi ~ Tx!A3:A17"")),"""")"),"")</f>
        <v/>
      </c>
      <c r="W62" s="20" t="str">
        <f>IFERROR(__xludf.DUMMYFUNCTION("IFNA(FILTER(IMPORTRANGE(""https://docs.google.com/spreadsheets/d/1kGrh75X1cNR1D7_FcY9zMnHP8iPO4M5RCRjy6nZY0TY/edit#gid=1248694442"",""Subgroup 3: Mi ~ Tx!F3:F17""), $A62=IMPORTRANGE(""https://docs.google.com/spreadsheets/d/1kGrh75X1cNR1D7_FcY9zMnHP8iPO4M5"&amp;"RCRjy6nZY0TY/edit#gid=1248694442"",""Subgroup 3: Mi ~ Tx!A3:A17"")),"""")"),"")</f>
        <v/>
      </c>
      <c r="X62" s="19" t="str">
        <f>IFERROR(__xludf.DUMMYFUNCTION("IFNA(FILTER(IMPORTRANGE(""https://docs.google.com/spreadsheets/d/1kGrh75X1cNR1D7_FcY9zMnHP8iPO4M5RCRjy6nZY0TY/edit#gid=1248694442"",""Table 3: 1st-line HC!AK5:AK111""), $A62=IMPORTRANGE(""https://docs.google.com/spreadsheets/d/1kGrh75X1cNR1D7_FcY9zMnHP8iP"&amp;"O4M5RCRjy6nZY0TY/edit#gid=1248694442"",""Table 3: 1st-line HC!A5:A111"")),"""")"),"")</f>
        <v/>
      </c>
      <c r="Y62" s="20" t="str">
        <f>IFERROR(__xludf.DUMMYFUNCTION("IFNA(FILTER(IMPORTRANGE(""https://docs.google.com/spreadsheets/d/1kGrh75X1cNR1D7_FcY9zMnHP8iPO4M5RCRjy6nZY0TY/edit#gid=1248694442"",""Subgroup 4: Mp ~ Tx!B3:B20""), $A62=IMPORTRANGE(""https://docs.google.com/spreadsheets/d/1kGrh75X1cNR1D7_FcY9zMnHP8iPO4M5"&amp;"RCRjy6nZY0TY/edit#gid=1248694442"",""Subgroup 4: Mp ~ Tx!A3:A20"")),"""")"),"")</f>
        <v/>
      </c>
      <c r="Z62" s="20" t="str">
        <f>IFERROR(__xludf.DUMMYFUNCTION("IFNA(FILTER(IMPORTRANGE(""https://docs.google.com/spreadsheets/d/1kGrh75X1cNR1D7_FcY9zMnHP8iPO4M5RCRjy6nZY0TY/edit#gid=1248694442"",""Subgroup 4: Mp ~ Tx!C3:C20""), $A62=IMPORTRANGE(""https://docs.google.com/spreadsheets/d/1kGrh75X1cNR1D7_FcY9zMnHP8iPO4M5"&amp;"RCRjy6nZY0TY/edit#gid=1248694442"",""Subgroup 4: Mp ~ Tx!A3:A20"")),"""")"),"")</f>
        <v/>
      </c>
      <c r="AA62" s="20" t="str">
        <f>IFERROR(__xludf.DUMMYFUNCTION("IFNA(FILTER(IMPORTRANGE(""https://docs.google.com/spreadsheets/d/1kGrh75X1cNR1D7_FcY9zMnHP8iPO4M5RCRjy6nZY0TY/edit#gid=1248694442"",""Subgroup 4: Mp ~ Tx!D3:D20""), $A62=IMPORTRANGE(""https://docs.google.com/spreadsheets/d/1kGrh75X1cNR1D7_FcY9zMnHP8iPO4M5"&amp;"RCRjy6nZY0TY/edit#gid=1248694442"",""Subgroup 4: Mp ~ Tx!A3:A20"")),"""")"),"")</f>
        <v/>
      </c>
      <c r="AB62" s="20" t="str">
        <f>IFERROR(__xludf.DUMMYFUNCTION("IFNA(FILTER(IMPORTRANGE(""https://docs.google.com/spreadsheets/d/1kGrh75X1cNR1D7_FcY9zMnHP8iPO4M5RCRjy6nZY0TY/edit#gid=1248694442"",""Subgroup 4: Mp ~ Tx!E3:E20""), $A62=IMPORTRANGE(""https://docs.google.com/spreadsheets/d/1kGrh75X1cNR1D7_FcY9zMnHP8iPO4M5"&amp;"RCRjy6nZY0TY/edit#gid=1248694442"",""Subgroup 4: Mp ~ Tx!A3:A20"")),"""")"),"")</f>
        <v/>
      </c>
      <c r="AC62" s="20" t="str">
        <f>IFERROR(__xludf.DUMMYFUNCTION("IFNA(FILTER(IMPORTRANGE(""https://docs.google.com/spreadsheets/d/1kGrh75X1cNR1D7_FcY9zMnHP8iPO4M5RCRjy6nZY0TY/edit#gid=1248694442"",""Subgroup 4: Mp ~ Tx!F3:F20""), $A62=IMPORTRANGE(""https://docs.google.com/spreadsheets/d/1kGrh75X1cNR1D7_FcY9zMnHP8iPO4M5"&amp;"RCRjy6nZY0TY/edit#gid=1248694442"",""Subgroup 4: Mp ~ Tx!A3:A20"")),"""")"),"")</f>
        <v/>
      </c>
      <c r="AD62" s="22" t="str">
        <f>IFERROR(__xludf.DUMMYFUNCTION("IFNA(FILTER(IMPORTRANGE(""https://docs.google.com/spreadsheets/d/1kGrh75X1cNR1D7_FcY9zMnHP8iPO4M5RCRjy6nZY0TY/edit#gid=1248694442"",""Table 3: 1st-line HC!AL5:AL111""), $A62=IMPORTRANGE(""https://docs.google.com/spreadsheets/d/1kGrh75X1cNR1D7_FcY9zMnHP8iP"&amp;"O4M5RCRjy6nZY0TY/edit#gid=1248694442"",""Table 3: 1st-line HC!A5:A111"")),"""")"),"")</f>
        <v/>
      </c>
      <c r="AE62" s="20" t="str">
        <f>IFERROR(__xludf.DUMMYFUNCTION("IFNA(FILTER(IMPORTRANGE(""https://docs.google.com/spreadsheets/d/1kGrh75X1cNR1D7_FcY9zMnHP8iPO4M5RCRjy6nZY0TY/edit#gid=1248694442"",""Table 3: 1st-line HC!BJ5:BJ111""), $A62=IMPORTRANGE(""https://docs.google.com/spreadsheets/d/1kGrh75X1cNR1D7_FcY9zMnHP8iP"&amp;"O4M5RCRjy6nZY0TY/edit#gid=1248694442"",""Table 3: 1st-line HC!A5:A111"")),"""")"),"")</f>
        <v/>
      </c>
      <c r="AF62" s="20" t="str">
        <f>IFERROR(__xludf.DUMMYFUNCTION("IFNA(FILTER(IMPORTRANGE(""https://docs.google.com/spreadsheets/d/1kGrh75X1cNR1D7_FcY9zMnHP8iPO4M5RCRjy6nZY0TY/edit#gid=1248694442"",""Subgroup 2: Cr ~ Tx!B3:B23""), $A62=IMPORTRANGE(""https://docs.google.com/spreadsheets/d/1kGrh75X1cNR1D7_FcY9zMnHP8iPO4M5"&amp;"RCRjy6nZY0TY/edit#gid=1248694442"",""Subgroup 2: Cr ~ Tx!A3:A23"")),"""")"),"")</f>
        <v/>
      </c>
      <c r="AG62" s="20" t="str">
        <f>IFERROR(__xludf.DUMMYFUNCTION("IFNA(FILTER(IMPORTRANGE(""https://docs.google.com/spreadsheets/d/1kGrh75X1cNR1D7_FcY9zMnHP8iPO4M5RCRjy6nZY0TY/edit#gid=1248694442"",""Subgroup 2: Cr ~ Tx!C3:C23""), $A62=IMPORTRANGE(""https://docs.google.com/spreadsheets/d/1kGrh75X1cNR1D7_FcY9zMnHP8iPO4M5"&amp;"RCRjy6nZY0TY/edit#gid=1248694442"",""Subgroup 2: Cr ~ Tx!A3:A23"")),"""")"),"")</f>
        <v/>
      </c>
      <c r="AH62" s="20" t="str">
        <f>IFERROR(__xludf.DUMMYFUNCTION("IFNA(FILTER(IMPORTRANGE(""https://docs.google.com/spreadsheets/d/1kGrh75X1cNR1D7_FcY9zMnHP8iPO4M5RCRjy6nZY0TY/edit#gid=1248694442"",""Subgroup 2: Cr ~ Tx!D3:D23""), $A62=IMPORTRANGE(""https://docs.google.com/spreadsheets/d/1kGrh75X1cNR1D7_FcY9zMnHP8iPO4M5"&amp;"RCRjy6nZY0TY/edit#gid=1248694442"",""Subgroup 2: Cr ~ Tx!A3:A23"")),"""")"),"")</f>
        <v/>
      </c>
      <c r="AI62" s="20" t="str">
        <f>IFERROR(__xludf.DUMMYFUNCTION("IFNA(FILTER(IMPORTRANGE(""https://docs.google.com/spreadsheets/d/1kGrh75X1cNR1D7_FcY9zMnHP8iPO4M5RCRjy6nZY0TY/edit#gid=1248694442"",""Subgroup 2: Cr ~ Tx!E3:E23""), $A62=IMPORTRANGE(""https://docs.google.com/spreadsheets/d/1kGrh75X1cNR1D7_FcY9zMnHP8iPO4M5"&amp;"RCRjy6nZY0TY/edit#gid=1248694442"",""Subgroup 2: Cr ~ Tx!A3:A23"")),"""")"),"")</f>
        <v/>
      </c>
      <c r="AJ62" s="20" t="str">
        <f>IFERROR(__xludf.DUMMYFUNCTION("IFNA(FILTER(IMPORTRANGE(""https://docs.google.com/spreadsheets/d/1kGrh75X1cNR1D7_FcY9zMnHP8iPO4M5RCRjy6nZY0TY/edit#gid=1248694442"",""Subgroup 2: Cr ~ Tx!F3:F23""), $A62=IMPORTRANGE(""https://docs.google.com/spreadsheets/d/1kGrh75X1cNR1D7_FcY9zMnHP8iPO4M5"&amp;"RCRjy6nZY0TY/edit#gid=1248694442"",""Subgroup 2: Cr ~ Tx!A3:A23"")),"""")"),"")</f>
        <v/>
      </c>
      <c r="AK62" s="14" t="str">
        <f>IFERROR(__xludf.DUMMYFUNCTION("IFNA(FILTER(IMPORTRANGE(""https://docs.google.com/spreadsheets/d/1kGrh75X1cNR1D7_FcY9zMnHP8iPO4M5RCRjy6nZY0TY/edit#gid=1248694442"",""Table 4: 2nd-line HC or more!M5:M85""), $A62=IMPORTRANGE(""https://docs.google.com/spreadsheets/d/1kGrh75X1cNR1D7_FcY9zMn"&amp;"HP8iPO4M5RCRjy6nZY0TY/edit#gid=1248694442"",""Table 4: 2nd-line HC or more!A5:A85"")),"""")"),"")</f>
        <v/>
      </c>
      <c r="AL62" s="14" t="str">
        <f>IFERROR(__xludf.DUMMYFUNCTION("IFNA(FILTER(IMPORTRANGE(""https://docs.google.com/spreadsheets/d/1kGrh75X1cNR1D7_FcY9zMnHP8iPO4M5RCRjy6nZY0TY/edit#gid=1248694442"",""Table 4: 2nd-line HC or more!N5:N85""), $A62=IMPORTRANGE(""https://docs.google.com/spreadsheets/d/1kGrh75X1cNR1D7_FcY9zMn"&amp;"HP8iPO4M5RCRjy6nZY0TY/edit#gid=1248694442"",""Table 4: 2nd-line HC or more!A5:A85"")),"""")"),"")</f>
        <v/>
      </c>
      <c r="AM62" s="14" t="str">
        <f>IFERROR(__xludf.DUMMYFUNCTION("IFNA(FILTER(IMPORTRANGE(""https://docs.google.com/spreadsheets/d/1kGrh75X1cNR1D7_FcY9zMnHP8iPO4M5RCRjy6nZY0TY/edit#gid=1248694442"",""Table 4: 2nd-line HC or more!O5:O85""), $A62=IMPORTRANGE(""https://docs.google.com/spreadsheets/d/1kGrh75X1cNR1D7_FcY9zMn"&amp;"HP8iPO4M5RCRjy6nZY0TY/edit#gid=1248694442"",""Table 4: 2nd-line HC or more!A5:A85"")),"""")"),"")</f>
        <v/>
      </c>
      <c r="AN62" s="14" t="str">
        <f>IFERROR(__xludf.DUMMYFUNCTION("IFNA(FILTER(IMPORTRANGE(""https://docs.google.com/spreadsheets/d/1kGrh75X1cNR1D7_FcY9zMnHP8iPO4M5RCRjy6nZY0TY/edit#gid=1248694442"",""Table 3: 1st-line HC!AP5:AP111""), $A62=IMPORTRANGE(""https://docs.google.com/spreadsheets/d/1kGrh75X1cNR1D7_FcY9zMnHP8iP"&amp;"O4M5RCRjy6nZY0TY/edit#gid=1248694442"",""Table 3: 1st-line HC!A5:A111"")),"""")"),"")</f>
        <v/>
      </c>
      <c r="AO62" s="14" t="str">
        <f>IFERROR(__xludf.DUMMYFUNCTION("IFNA(FILTER(IMPORTRANGE(""https://docs.google.com/spreadsheets/d/1kGrh75X1cNR1D7_FcY9zMnHP8iPO4M5RCRjy6nZY0TY/edit#gid=1248694442"",""Table 3: 1st-line HC!AO5:AO111""), $A62=IMPORTRANGE(""https://docs.google.com/spreadsheets/d/1kGrh75X1cNR1D7_FcY9zMnHP8iP"&amp;"O4M5RCRjy6nZY0TY/edit#gid=1248694442"",""Table 3: 1st-line HC!A5:A111"")),"""")"),"")</f>
        <v/>
      </c>
      <c r="AP62" s="14" t="str">
        <f>IFERROR(__xludf.DUMMYFUNCTION("IFNA(FILTER(IMPORTRANGE(""https://docs.google.com/spreadsheets/d/1kGrh75X1cNR1D7_FcY9zMnHP8iPO4M5RCRjy6nZY0TY/edit#gid=1248694442"",""Table 3: 1st-line HC!AQ5:AQ111""), $A62=IMPORTRANGE(""https://docs.google.com/spreadsheets/d/1kGrh75X1cNR1D7_FcY9zMnHP8iP"&amp;"O4M5RCRjy6nZY0TY/edit#gid=1248694442"",""Table 3: 1st-line HC!A5:A111"")),"""")"),"")</f>
        <v/>
      </c>
      <c r="AQ62" s="14" t="str">
        <f>IFERROR(__xludf.DUMMYFUNCTION("IFNA(FILTER(IMPORTRANGE(""https://docs.google.com/spreadsheets/d/1kGrh75X1cNR1D7_FcY9zMnHP8iPO4M5RCRjy6nZY0TY/edit#gid=1248694442"",""Table 2: MMC!T5:T114""), $A62=IMPORTRANGE(""https://docs.google.com/spreadsheets/d/1kGrh75X1cNR1D7_FcY9zMnHP8iPO4M5RCRjy6"&amp;"nZY0TY/edit#gid=1248694442"",""Table 2: MMC!A5:A114"")),"""")"),"")</f>
        <v/>
      </c>
      <c r="AR62" s="14" t="str">
        <f>IFERROR(__xludf.DUMMYFUNCTION("IFNA(FILTER(IMPORTRANGE(""https://docs.google.com/spreadsheets/d/1kGrh75X1cNR1D7_FcY9zMnHP8iPO4M5RCRjy6nZY0TY/edit#gid=1248694442"",""Table 2: MMC!U5:U114""), $A62=IMPORTRANGE(""https://docs.google.com/spreadsheets/d/1kGrh75X1cNR1D7_FcY9zMnHP8iPO4M5RCRjy6"&amp;"nZY0TY/edit#gid=1248694442"",""Table 2: MMC!A5:A114"")),"""")"),"")</f>
        <v/>
      </c>
      <c r="AS62" s="14" t="str">
        <f>IFERROR(__xludf.DUMMYFUNCTION("IFNA(FILTER(IMPORTRANGE(""https://docs.google.com/spreadsheets/d/1kGrh75X1cNR1D7_FcY9zMnHP8iPO4M5RCRjy6nZY0TY/edit#gid=1248694442"",""Table 2: MMC!V5:V114""), $A62=IMPORTRANGE(""https://docs.google.com/spreadsheets/d/1kGrh75X1cNR1D7_FcY9zMnHP8iPO4M5RCRjy6"&amp;"nZY0TY/edit#gid=1248694442"",""Table 2: MMC!A5:A114"")),"""")"),"")</f>
        <v/>
      </c>
      <c r="AT62" s="4" t="str">
        <f>IFERROR(__xludf.DUMMYFUNCTION("IFNA(FILTER(IMPORTRANGE(""https://docs.google.com/spreadsheets/d/1kGrh75X1cNR1D7_FcY9zMnHP8iPO4M5RCRjy6nZY0TY/edit#gid=1248694442"",""Table 2: MMC!W5:W114""), $A62=IMPORTRANGE(""https://docs.google.com/spreadsheets/d/1kGrh75X1cNR1D7_FcY9zMnHP8iPO4M5RCRjy6"&amp;"nZY0TY/edit#gid=1248694442"",""Table 2: MMC!A5:A114"")),"""")"),"")</f>
        <v/>
      </c>
    </row>
    <row r="63">
      <c r="A63" s="4" t="str">
        <f>IFERROR(__xludf.DUMMYFUNCTION("""COMPUTED_VALUE"""),"ID 131")</f>
        <v>ID 131</v>
      </c>
      <c r="B63" s="20" t="str">
        <f>IFERROR(__xludf.DUMMYFUNCTION("IFNA(FILTER(IMPORTRANGE(""https://docs.google.com/spreadsheets/d/1kGrh75X1cNR1D7_FcY9zMnHP8iPO4M5RCRjy6nZY0TY/edit#gid=1248694442"",""Table 3: 1st-line HC!BK5:BK111""), $A63=IMPORTRANGE(""https://docs.google.com/spreadsheets/d/1kGrh75X1cNR1D7_FcY9zMnHP8iP"&amp;"O4M5RCRjy6nZY0TY/edit#gid=1248694442"",""Table 3: 1st-line HC!A5:A111"")),"""")"),"")</f>
        <v/>
      </c>
      <c r="C63" s="20" t="str">
        <f>IFERROR(__xludf.DUMMYFUNCTION("IFNA(FILTER(IMPORTRANGE(""https://docs.google.com/spreadsheets/d/1kGrh75X1cNR1D7_FcY9zMnHP8iPO4M5RCRjy6nZY0TY/edit#gid=1248694442"",""Subgroup 1: Fr ~ Tx!B3:B20""), $A63=IMPORTRANGE(""https://docs.google.com/spreadsheets/d/1kGrh75X1cNR1D7_FcY9zMnHP8iPO4M5"&amp;"RCRjy6nZY0TY/edit#gid=1248694442"",""Subgroup 1: Fr ~ Tx!A3:A20"")),"""")"),"")</f>
        <v/>
      </c>
      <c r="D63" s="20" t="str">
        <f>IFERROR(__xludf.DUMMYFUNCTION("IFNA(FILTER(IMPORTRANGE(""https://docs.google.com/spreadsheets/d/1kGrh75X1cNR1D7_FcY9zMnHP8iPO4M5RCRjy6nZY0TY/edit#gid=1248694442"",""Subgroup 1: Fr ~ Tx!C3:C20""), $A63=IMPORTRANGE(""https://docs.google.com/spreadsheets/d/1kGrh75X1cNR1D7_FcY9zMnHP8iPO4M5"&amp;"RCRjy6nZY0TY/edit#gid=1248694442"",""Subgroup 1: Fr ~ Tx!A3:A20"")),"""")"),"")</f>
        <v/>
      </c>
      <c r="E63" s="20" t="str">
        <f>IFERROR(__xludf.DUMMYFUNCTION("IFNA(FILTER(IMPORTRANGE(""https://docs.google.com/spreadsheets/d/1kGrh75X1cNR1D7_FcY9zMnHP8iPO4M5RCRjy6nZY0TY/edit#gid=1248694442"",""Subgroup 1: Fr ~ Tx!D3:D20""), $A63=IMPORTRANGE(""https://docs.google.com/spreadsheets/d/1kGrh75X1cNR1D7_FcY9zMnHP8iPO4M5"&amp;"RCRjy6nZY0TY/edit#gid=1248694442"",""Subgroup 1: Fr ~ Tx!A3:A20"")),"""")"),"")</f>
        <v/>
      </c>
      <c r="F63" s="20" t="str">
        <f>IFERROR(__xludf.DUMMYFUNCTION("IFNA(FILTER(IMPORTRANGE(""https://docs.google.com/spreadsheets/d/1kGrh75X1cNR1D7_FcY9zMnHP8iPO4M5RCRjy6nZY0TY/edit#gid=1248694442"",""Subgroup 1: Fr ~ Tx!E3:E20""), $A63=IMPORTRANGE(""https://docs.google.com/spreadsheets/d/1kGrh75X1cNR1D7_FcY9zMnHP8iPO4M5"&amp;"RCRjy6nZY0TY/edit#gid=1248694442"",""Subgroup 1: Fr ~ Tx!A3:A20"")),"""")"),"")</f>
        <v/>
      </c>
      <c r="G63" s="20" t="str">
        <f>IFERROR(__xludf.DUMMYFUNCTION("IFNA(FILTER(IMPORTRANGE(""https://docs.google.com/spreadsheets/d/1kGrh75X1cNR1D7_FcY9zMnHP8iPO4M5RCRjy6nZY0TY/edit#gid=1248694442"",""Subgroup 1: Fr ~ Tx!F3:F20""), $A63=IMPORTRANGE(""https://docs.google.com/spreadsheets/d/1kGrh75X1cNR1D7_FcY9zMnHP8iPO4M5"&amp;"RCRjy6nZY0TY/edit#gid=1248694442"",""Subgroup 1: Fr ~ Tx!A3:A20"")),"""")"),"")</f>
        <v/>
      </c>
      <c r="H63" s="20" t="str">
        <f>IFERROR(__xludf.DUMMYFUNCTION("IFNA(FILTER(IMPORTRANGE(""https://docs.google.com/spreadsheets/d/1kGrh75X1cNR1D7_FcY9zMnHP8iPO4M5RCRjy6nZY0TY/edit#gid=1248694442"",""Table 3: 1st-line HC!BD5:BD111""), $A63=IMPORTRANGE(""https://docs.google.com/spreadsheets/d/1kGrh75X1cNR1D7_FcY9zMnHP8iP"&amp;"O4M5RCRjy6nZY0TY/edit#gid=1248694442"",""Table 3: 1st-line HC!A5:A111"")),"""")"),"")</f>
        <v/>
      </c>
      <c r="I63" s="20" t="str">
        <f>IFERROR(__xludf.DUMMYFUNCTION("IFNA(FILTER(IMPORTRANGE(""https://docs.google.com/spreadsheets/d/1kGrh75X1cNR1D7_FcY9zMnHP8iPO4M5RCRjy6nZY0TY/edit#gid=1248694442"",""Subgroup 5: Tf ~ Tx!B3:B8""), $A63=IMPORTRANGE(""https://docs.google.com/spreadsheets/d/1kGrh75X1cNR1D7_FcY9zMnHP8iPO4M5R"&amp;"CRjy6nZY0TY/edit#gid=1248694442"",""Subgroup 5: Tf ~ Tx!A3:A8"")),"""")"),"")</f>
        <v/>
      </c>
      <c r="J63" s="20" t="str">
        <f>IFERROR(__xludf.DUMMYFUNCTION("IFNA(FILTER(IMPORTRANGE(""https://docs.google.com/spreadsheets/d/1kGrh75X1cNR1D7_FcY9zMnHP8iPO4M5RCRjy6nZY0TY/edit#gid=1248694442"",""Subgroup 5: Tf ~ Tx!C3:C8""), $A63=IMPORTRANGE(""https://docs.google.com/spreadsheets/d/1kGrh75X1cNR1D7_FcY9zMnHP8iPO4M5R"&amp;"CRjy6nZY0TY/edit#gid=1248694442"",""Subgroup 5: Tf ~ Tx!A3:A8"")),"""")"),"")</f>
        <v/>
      </c>
      <c r="K63" s="20" t="str">
        <f>IFERROR(__xludf.DUMMYFUNCTION("IFNA(FILTER(IMPORTRANGE(""https://docs.google.com/spreadsheets/d/1kGrh75X1cNR1D7_FcY9zMnHP8iPO4M5RCRjy6nZY0TY/edit#gid=1248694442"",""Subgroup 5: Tf ~ Tx!D3:D8""), $A63=IMPORTRANGE(""https://docs.google.com/spreadsheets/d/1kGrh75X1cNR1D7_FcY9zMnHP8iPO4M5R"&amp;"CRjy6nZY0TY/edit#gid=1248694442"",""Subgroup 5: Tf ~ Tx!A3:A8"")),"""")"),"")</f>
        <v/>
      </c>
      <c r="L63" s="20" t="str">
        <f>IFERROR(__xludf.DUMMYFUNCTION("IFNA(FILTER(IMPORTRANGE(""https://docs.google.com/spreadsheets/d/1kGrh75X1cNR1D7_FcY9zMnHP8iPO4M5RCRjy6nZY0TY/edit#gid=1248694442"",""Subgroup 5: Tf ~ Tx!E3:E8""), $A63=IMPORTRANGE(""https://docs.google.com/spreadsheets/d/1kGrh75X1cNR1D7_FcY9zMnHP8iPO4M5R"&amp;"CRjy6nZY0TY/edit#gid=1248694442"",""Subgroup 5: Tf ~ Tx!A3:A8"")),"""")"),"")</f>
        <v/>
      </c>
      <c r="M63" s="20" t="str">
        <f>IFERROR(__xludf.DUMMYFUNCTION("IFNA(FILTER(IMPORTRANGE(""https://docs.google.com/spreadsheets/d/1kGrh75X1cNR1D7_FcY9zMnHP8iPO4M5RCRjy6nZY0TY/edit#gid=1248694442"",""Subgroup 5: Tf ~ Tx!F3:F8""), $A63=IMPORTRANGE(""https://docs.google.com/spreadsheets/d/1kGrh75X1cNR1D7_FcY9zMnHP8iPO4M5R"&amp;"CRjy6nZY0TY/edit#gid=1248694442"",""Subgroup 5: Tf ~ Tx!A3:A8"")),"""")"),"")</f>
        <v/>
      </c>
      <c r="N63" s="20" t="str">
        <f>IFERROR(__xludf.DUMMYFUNCTION("IFNA(FILTER(IMPORTRANGE(""https://docs.google.com/spreadsheets/d/1kGrh75X1cNR1D7_FcY9zMnHP8iPO4M5RCRjy6nZY0TY/edit#gid=1248694442"",""Table 3: 1st-line HC!BE5:BE111""), $A63=IMPORTRANGE(""https://docs.google.com/spreadsheets/d/1kGrh75X1cNR1D7_FcY9zMnHP8iP"&amp;"O4M5RCRjy6nZY0TY/edit#gid=1248694442"",""Table 3: 1st-line HC!A5:A111"")),"""")"),"")</f>
        <v/>
      </c>
      <c r="O63" s="20" t="str">
        <f>IFERROR(__xludf.DUMMYFUNCTION("IFNA(FILTER(IMPORTRANGE(""https://docs.google.com/spreadsheets/d/1kGrh75X1cNR1D7_FcY9zMnHP8iPO4M5RCRjy6nZY0TY/edit#gid=1248694442"",""Table 3: 1st-line HC!BF5:BF111""), $A63=IMPORTRANGE(""https://docs.google.com/spreadsheets/d/1kGrh75X1cNR1D7_FcY9zMnHP8iP"&amp;"O4M5RCRjy6nZY0TY/edit#gid=1248694442"",""Table 3: 1st-line HC!A5:A111"")),"""")"),"")</f>
        <v/>
      </c>
      <c r="P63" s="20" t="str">
        <f>IFERROR(__xludf.DUMMYFUNCTION("IFNA(FILTER(IMPORTRANGE(""https://docs.google.com/spreadsheets/d/1kGrh75X1cNR1D7_FcY9zMnHP8iPO4M5RCRjy6nZY0TY/edit#gid=1248694442"",""Table 3: 1st-line HC!BG5:BG111""), $A63=IMPORTRANGE(""https://docs.google.com/spreadsheets/d/1kGrh75X1cNR1D7_FcY9zMnHP8iP"&amp;"O4M5RCRjy6nZY0TY/edit#gid=1248694442"",""Table 3: 1st-line HC!A5:A111"")),"""")"),"")</f>
        <v/>
      </c>
      <c r="Q63" s="21" t="str">
        <f>IFERROR(__xludf.DUMMYFUNCTION("IFNA(FILTER(IMPORTRANGE(""https://docs.google.com/spreadsheets/d/1kGrh75X1cNR1D7_FcY9zMnHP8iPO4M5RCRjy6nZY0TY/edit#gid=1248694442"",""Table 3: 1st-line HC!BH5:BH111""), $A63=IMPORTRANGE(""https://docs.google.com/spreadsheets/d/1kGrh75X1cNR1D7_FcY9zMnHP8iP"&amp;"O4M5RCRjy6nZY0TY/edit#gid=1248694442"",""Table 3: 1st-line HC!A5:A111"")),"""")"),"")</f>
        <v/>
      </c>
      <c r="R63" s="19" t="str">
        <f>IFERROR(__xludf.DUMMYFUNCTION("IFNA(FILTER(IMPORTRANGE(""https://docs.google.com/spreadsheets/d/1kGrh75X1cNR1D7_FcY9zMnHP8iPO4M5RCRjy6nZY0TY/edit#gid=1248694442"",""Table 3: 1st-line HC!AJ5:AJ111""), $A63=IMPORTRANGE(""https://docs.google.com/spreadsheets/d/1kGrh75X1cNR1D7_FcY9zMnHP8iP"&amp;"O4M5RCRjy6nZY0TY/edit#gid=1248694442"",""Table 3: 1st-line HC!A5:A111"")),"""")"),"")</f>
        <v/>
      </c>
      <c r="S63" s="20" t="str">
        <f>IFERROR(__xludf.DUMMYFUNCTION("IFNA(FILTER(IMPORTRANGE(""https://docs.google.com/spreadsheets/d/1kGrh75X1cNR1D7_FcY9zMnHP8iPO4M5RCRjy6nZY0TY/edit#gid=1248694442"",""Subgroup 3: Mi ~ Tx!B3:B17""), $A63=IMPORTRANGE(""https://docs.google.com/spreadsheets/d/1kGrh75X1cNR1D7_FcY9zMnHP8iPO4M5"&amp;"RCRjy6nZY0TY/edit#gid=1248694442"",""Subgroup 3: Mi ~ Tx!A3:A17"")),"""")"),"")</f>
        <v/>
      </c>
      <c r="T63" s="20" t="str">
        <f>IFERROR(__xludf.DUMMYFUNCTION("IFNA(FILTER(IMPORTRANGE(""https://docs.google.com/spreadsheets/d/1kGrh75X1cNR1D7_FcY9zMnHP8iPO4M5RCRjy6nZY0TY/edit#gid=1248694442"",""Subgroup 3: Mi ~ Tx!C3:C17""), $A63=IMPORTRANGE(""https://docs.google.com/spreadsheets/d/1kGrh75X1cNR1D7_FcY9zMnHP8iPO4M5"&amp;"RCRjy6nZY0TY/edit#gid=1248694442"",""Subgroup 3: Mi ~ Tx!A3:A17"")),"""")"),"")</f>
        <v/>
      </c>
      <c r="U63" s="20" t="str">
        <f>IFERROR(__xludf.DUMMYFUNCTION("IFNA(FILTER(IMPORTRANGE(""https://docs.google.com/spreadsheets/d/1kGrh75X1cNR1D7_FcY9zMnHP8iPO4M5RCRjy6nZY0TY/edit#gid=1248694442"",""Subgroup 3: Mi ~ Tx!D3:D17""), $A63=IMPORTRANGE(""https://docs.google.com/spreadsheets/d/1kGrh75X1cNR1D7_FcY9zMnHP8iPO4M5"&amp;"RCRjy6nZY0TY/edit#gid=1248694442"",""Subgroup 3: Mi ~ Tx!A3:A17"")),"""")"),"")</f>
        <v/>
      </c>
      <c r="V63" s="20" t="str">
        <f>IFERROR(__xludf.DUMMYFUNCTION("IFNA(FILTER(IMPORTRANGE(""https://docs.google.com/spreadsheets/d/1kGrh75X1cNR1D7_FcY9zMnHP8iPO4M5RCRjy6nZY0TY/edit#gid=1248694442"",""Subgroup 3: Mi ~ Tx!E3:E17""), $A63=IMPORTRANGE(""https://docs.google.com/spreadsheets/d/1kGrh75X1cNR1D7_FcY9zMnHP8iPO4M5"&amp;"RCRjy6nZY0TY/edit#gid=1248694442"",""Subgroup 3: Mi ~ Tx!A3:A17"")),"""")"),"")</f>
        <v/>
      </c>
      <c r="W63" s="20" t="str">
        <f>IFERROR(__xludf.DUMMYFUNCTION("IFNA(FILTER(IMPORTRANGE(""https://docs.google.com/spreadsheets/d/1kGrh75X1cNR1D7_FcY9zMnHP8iPO4M5RCRjy6nZY0TY/edit#gid=1248694442"",""Subgroup 3: Mi ~ Tx!F3:F17""), $A63=IMPORTRANGE(""https://docs.google.com/spreadsheets/d/1kGrh75X1cNR1D7_FcY9zMnHP8iPO4M5"&amp;"RCRjy6nZY0TY/edit#gid=1248694442"",""Subgroup 3: Mi ~ Tx!A3:A17"")),"""")"),"")</f>
        <v/>
      </c>
      <c r="X63" s="19" t="str">
        <f>IFERROR(__xludf.DUMMYFUNCTION("IFNA(FILTER(IMPORTRANGE(""https://docs.google.com/spreadsheets/d/1kGrh75X1cNR1D7_FcY9zMnHP8iPO4M5RCRjy6nZY0TY/edit#gid=1248694442"",""Table 3: 1st-line HC!AK5:AK111""), $A63=IMPORTRANGE(""https://docs.google.com/spreadsheets/d/1kGrh75X1cNR1D7_FcY9zMnHP8iP"&amp;"O4M5RCRjy6nZY0TY/edit#gid=1248694442"",""Table 3: 1st-line HC!A5:A111"")),"""")"),"")</f>
        <v/>
      </c>
      <c r="Y63" s="20" t="str">
        <f>IFERROR(__xludf.DUMMYFUNCTION("IFNA(FILTER(IMPORTRANGE(""https://docs.google.com/spreadsheets/d/1kGrh75X1cNR1D7_FcY9zMnHP8iPO4M5RCRjy6nZY0TY/edit#gid=1248694442"",""Subgroup 4: Mp ~ Tx!B3:B20""), $A63=IMPORTRANGE(""https://docs.google.com/spreadsheets/d/1kGrh75X1cNR1D7_FcY9zMnHP8iPO4M5"&amp;"RCRjy6nZY0TY/edit#gid=1248694442"",""Subgroup 4: Mp ~ Tx!A3:A20"")),"""")"),"")</f>
        <v/>
      </c>
      <c r="Z63" s="20" t="str">
        <f>IFERROR(__xludf.DUMMYFUNCTION("IFNA(FILTER(IMPORTRANGE(""https://docs.google.com/spreadsheets/d/1kGrh75X1cNR1D7_FcY9zMnHP8iPO4M5RCRjy6nZY0TY/edit#gid=1248694442"",""Subgroup 4: Mp ~ Tx!C3:C20""), $A63=IMPORTRANGE(""https://docs.google.com/spreadsheets/d/1kGrh75X1cNR1D7_FcY9zMnHP8iPO4M5"&amp;"RCRjy6nZY0TY/edit#gid=1248694442"",""Subgroup 4: Mp ~ Tx!A3:A20"")),"""")"),"")</f>
        <v/>
      </c>
      <c r="AA63" s="20" t="str">
        <f>IFERROR(__xludf.DUMMYFUNCTION("IFNA(FILTER(IMPORTRANGE(""https://docs.google.com/spreadsheets/d/1kGrh75X1cNR1D7_FcY9zMnHP8iPO4M5RCRjy6nZY0TY/edit#gid=1248694442"",""Subgroup 4: Mp ~ Tx!D3:D20""), $A63=IMPORTRANGE(""https://docs.google.com/spreadsheets/d/1kGrh75X1cNR1D7_FcY9zMnHP8iPO4M5"&amp;"RCRjy6nZY0TY/edit#gid=1248694442"",""Subgroup 4: Mp ~ Tx!A3:A20"")),"""")"),"")</f>
        <v/>
      </c>
      <c r="AB63" s="20" t="str">
        <f>IFERROR(__xludf.DUMMYFUNCTION("IFNA(FILTER(IMPORTRANGE(""https://docs.google.com/spreadsheets/d/1kGrh75X1cNR1D7_FcY9zMnHP8iPO4M5RCRjy6nZY0TY/edit#gid=1248694442"",""Subgroup 4: Mp ~ Tx!E3:E20""), $A63=IMPORTRANGE(""https://docs.google.com/spreadsheets/d/1kGrh75X1cNR1D7_FcY9zMnHP8iPO4M5"&amp;"RCRjy6nZY0TY/edit#gid=1248694442"",""Subgroup 4: Mp ~ Tx!A3:A20"")),"""")"),"")</f>
        <v/>
      </c>
      <c r="AC63" s="20" t="str">
        <f>IFERROR(__xludf.DUMMYFUNCTION("IFNA(FILTER(IMPORTRANGE(""https://docs.google.com/spreadsheets/d/1kGrh75X1cNR1D7_FcY9zMnHP8iPO4M5RCRjy6nZY0TY/edit#gid=1248694442"",""Subgroup 4: Mp ~ Tx!F3:F20""), $A63=IMPORTRANGE(""https://docs.google.com/spreadsheets/d/1kGrh75X1cNR1D7_FcY9zMnHP8iPO4M5"&amp;"RCRjy6nZY0TY/edit#gid=1248694442"",""Subgroup 4: Mp ~ Tx!A3:A20"")),"""")"),"")</f>
        <v/>
      </c>
      <c r="AD63" s="22" t="str">
        <f>IFERROR(__xludf.DUMMYFUNCTION("IFNA(FILTER(IMPORTRANGE(""https://docs.google.com/spreadsheets/d/1kGrh75X1cNR1D7_FcY9zMnHP8iPO4M5RCRjy6nZY0TY/edit#gid=1248694442"",""Table 3: 1st-line HC!AL5:AL111""), $A63=IMPORTRANGE(""https://docs.google.com/spreadsheets/d/1kGrh75X1cNR1D7_FcY9zMnHP8iP"&amp;"O4M5RCRjy6nZY0TY/edit#gid=1248694442"",""Table 3: 1st-line HC!A5:A111"")),"""")"),"")</f>
        <v/>
      </c>
      <c r="AE63" s="20" t="str">
        <f>IFERROR(__xludf.DUMMYFUNCTION("IFNA(FILTER(IMPORTRANGE(""https://docs.google.com/spreadsheets/d/1kGrh75X1cNR1D7_FcY9zMnHP8iPO4M5RCRjy6nZY0TY/edit#gid=1248694442"",""Table 3: 1st-line HC!BJ5:BJ111""), $A63=IMPORTRANGE(""https://docs.google.com/spreadsheets/d/1kGrh75X1cNR1D7_FcY9zMnHP8iP"&amp;"O4M5RCRjy6nZY0TY/edit#gid=1248694442"",""Table 3: 1st-line HC!A5:A111"")),"""")"),"")</f>
        <v/>
      </c>
      <c r="AF63" s="20" t="str">
        <f>IFERROR(__xludf.DUMMYFUNCTION("IFNA(FILTER(IMPORTRANGE(""https://docs.google.com/spreadsheets/d/1kGrh75X1cNR1D7_FcY9zMnHP8iPO4M5RCRjy6nZY0TY/edit#gid=1248694442"",""Subgroup 2: Cr ~ Tx!B3:B23""), $A63=IMPORTRANGE(""https://docs.google.com/spreadsheets/d/1kGrh75X1cNR1D7_FcY9zMnHP8iPO4M5"&amp;"RCRjy6nZY0TY/edit#gid=1248694442"",""Subgroup 2: Cr ~ Tx!A3:A23"")),"""")"),"")</f>
        <v/>
      </c>
      <c r="AG63" s="20" t="str">
        <f>IFERROR(__xludf.DUMMYFUNCTION("IFNA(FILTER(IMPORTRANGE(""https://docs.google.com/spreadsheets/d/1kGrh75X1cNR1D7_FcY9zMnHP8iPO4M5RCRjy6nZY0TY/edit#gid=1248694442"",""Subgroup 2: Cr ~ Tx!C3:C23""), $A63=IMPORTRANGE(""https://docs.google.com/spreadsheets/d/1kGrh75X1cNR1D7_FcY9zMnHP8iPO4M5"&amp;"RCRjy6nZY0TY/edit#gid=1248694442"",""Subgroup 2: Cr ~ Tx!A3:A23"")),"""")"),"")</f>
        <v/>
      </c>
      <c r="AH63" s="20" t="str">
        <f>IFERROR(__xludf.DUMMYFUNCTION("IFNA(FILTER(IMPORTRANGE(""https://docs.google.com/spreadsheets/d/1kGrh75X1cNR1D7_FcY9zMnHP8iPO4M5RCRjy6nZY0TY/edit#gid=1248694442"",""Subgroup 2: Cr ~ Tx!D3:D23""), $A63=IMPORTRANGE(""https://docs.google.com/spreadsheets/d/1kGrh75X1cNR1D7_FcY9zMnHP8iPO4M5"&amp;"RCRjy6nZY0TY/edit#gid=1248694442"",""Subgroup 2: Cr ~ Tx!A3:A23"")),"""")"),"")</f>
        <v/>
      </c>
      <c r="AI63" s="20" t="str">
        <f>IFERROR(__xludf.DUMMYFUNCTION("IFNA(FILTER(IMPORTRANGE(""https://docs.google.com/spreadsheets/d/1kGrh75X1cNR1D7_FcY9zMnHP8iPO4M5RCRjy6nZY0TY/edit#gid=1248694442"",""Subgroup 2: Cr ~ Tx!E3:E23""), $A63=IMPORTRANGE(""https://docs.google.com/spreadsheets/d/1kGrh75X1cNR1D7_FcY9zMnHP8iPO4M5"&amp;"RCRjy6nZY0TY/edit#gid=1248694442"",""Subgroup 2: Cr ~ Tx!A3:A23"")),"""")"),"")</f>
        <v/>
      </c>
      <c r="AJ63" s="20" t="str">
        <f>IFERROR(__xludf.DUMMYFUNCTION("IFNA(FILTER(IMPORTRANGE(""https://docs.google.com/spreadsheets/d/1kGrh75X1cNR1D7_FcY9zMnHP8iPO4M5RCRjy6nZY0TY/edit#gid=1248694442"",""Subgroup 2: Cr ~ Tx!F3:F23""), $A63=IMPORTRANGE(""https://docs.google.com/spreadsheets/d/1kGrh75X1cNR1D7_FcY9zMnHP8iPO4M5"&amp;"RCRjy6nZY0TY/edit#gid=1248694442"",""Subgroup 2: Cr ~ Tx!A3:A23"")),"""")"),"")</f>
        <v/>
      </c>
      <c r="AK63" s="14" t="str">
        <f>IFERROR(__xludf.DUMMYFUNCTION("IFNA(FILTER(IMPORTRANGE(""https://docs.google.com/spreadsheets/d/1kGrh75X1cNR1D7_FcY9zMnHP8iPO4M5RCRjy6nZY0TY/edit#gid=1248694442"",""Table 4: 2nd-line HC or more!M5:M85""), $A63=IMPORTRANGE(""https://docs.google.com/spreadsheets/d/1kGrh75X1cNR1D7_FcY9zMn"&amp;"HP8iPO4M5RCRjy6nZY0TY/edit#gid=1248694442"",""Table 4: 2nd-line HC or more!A5:A85"")),"""")"),"")</f>
        <v/>
      </c>
      <c r="AL63" s="14" t="str">
        <f>IFERROR(__xludf.DUMMYFUNCTION("IFNA(FILTER(IMPORTRANGE(""https://docs.google.com/spreadsheets/d/1kGrh75X1cNR1D7_FcY9zMnHP8iPO4M5RCRjy6nZY0TY/edit#gid=1248694442"",""Table 4: 2nd-line HC or more!N5:N85""), $A63=IMPORTRANGE(""https://docs.google.com/spreadsheets/d/1kGrh75X1cNR1D7_FcY9zMn"&amp;"HP8iPO4M5RCRjy6nZY0TY/edit#gid=1248694442"",""Table 4: 2nd-line HC or more!A5:A85"")),"""")"),"")</f>
        <v/>
      </c>
      <c r="AM63" s="14" t="str">
        <f>IFERROR(__xludf.DUMMYFUNCTION("IFNA(FILTER(IMPORTRANGE(""https://docs.google.com/spreadsheets/d/1kGrh75X1cNR1D7_FcY9zMnHP8iPO4M5RCRjy6nZY0TY/edit#gid=1248694442"",""Table 4: 2nd-line HC or more!O5:O85""), $A63=IMPORTRANGE(""https://docs.google.com/spreadsheets/d/1kGrh75X1cNR1D7_FcY9zMn"&amp;"HP8iPO4M5RCRjy6nZY0TY/edit#gid=1248694442"",""Table 4: 2nd-line HC or more!A5:A85"")),"""")"),"")</f>
        <v/>
      </c>
      <c r="AN63" s="14" t="str">
        <f>IFERROR(__xludf.DUMMYFUNCTION("IFNA(FILTER(IMPORTRANGE(""https://docs.google.com/spreadsheets/d/1kGrh75X1cNR1D7_FcY9zMnHP8iPO4M5RCRjy6nZY0TY/edit#gid=1248694442"",""Table 3: 1st-line HC!AP5:AP111""), $A63=IMPORTRANGE(""https://docs.google.com/spreadsheets/d/1kGrh75X1cNR1D7_FcY9zMnHP8iP"&amp;"O4M5RCRjy6nZY0TY/edit#gid=1248694442"",""Table 3: 1st-line HC!A5:A111"")),"""")"),"")</f>
        <v/>
      </c>
      <c r="AO63" s="14" t="str">
        <f>IFERROR(__xludf.DUMMYFUNCTION("IFNA(FILTER(IMPORTRANGE(""https://docs.google.com/spreadsheets/d/1kGrh75X1cNR1D7_FcY9zMnHP8iPO4M5RCRjy6nZY0TY/edit#gid=1248694442"",""Table 3: 1st-line HC!AO5:AO111""), $A63=IMPORTRANGE(""https://docs.google.com/spreadsheets/d/1kGrh75X1cNR1D7_FcY9zMnHP8iP"&amp;"O4M5RCRjy6nZY0TY/edit#gid=1248694442"",""Table 3: 1st-line HC!A5:A111"")),"""")"),"")</f>
        <v/>
      </c>
      <c r="AP63" s="14" t="str">
        <f>IFERROR(__xludf.DUMMYFUNCTION("IFNA(FILTER(IMPORTRANGE(""https://docs.google.com/spreadsheets/d/1kGrh75X1cNR1D7_FcY9zMnHP8iPO4M5RCRjy6nZY0TY/edit#gid=1248694442"",""Table 3: 1st-line HC!AQ5:AQ111""), $A63=IMPORTRANGE(""https://docs.google.com/spreadsheets/d/1kGrh75X1cNR1D7_FcY9zMnHP8iP"&amp;"O4M5RCRjy6nZY0TY/edit#gid=1248694442"",""Table 3: 1st-line HC!A5:A111"")),"""")"),"")</f>
        <v/>
      </c>
      <c r="AQ63" s="14" t="str">
        <f>IFERROR(__xludf.DUMMYFUNCTION("IFNA(FILTER(IMPORTRANGE(""https://docs.google.com/spreadsheets/d/1kGrh75X1cNR1D7_FcY9zMnHP8iPO4M5RCRjy6nZY0TY/edit#gid=1248694442"",""Table 2: MMC!T5:T114""), $A63=IMPORTRANGE(""https://docs.google.com/spreadsheets/d/1kGrh75X1cNR1D7_FcY9zMnHP8iPO4M5RCRjy6"&amp;"nZY0TY/edit#gid=1248694442"",""Table 2: MMC!A5:A114"")),"""")"),"")</f>
        <v/>
      </c>
      <c r="AR63" s="14" t="str">
        <f>IFERROR(__xludf.DUMMYFUNCTION("IFNA(FILTER(IMPORTRANGE(""https://docs.google.com/spreadsheets/d/1kGrh75X1cNR1D7_FcY9zMnHP8iPO4M5RCRjy6nZY0TY/edit#gid=1248694442"",""Table 2: MMC!U5:U114""), $A63=IMPORTRANGE(""https://docs.google.com/spreadsheets/d/1kGrh75X1cNR1D7_FcY9zMnHP8iPO4M5RCRjy6"&amp;"nZY0TY/edit#gid=1248694442"",""Table 2: MMC!A5:A114"")),"""")"),"")</f>
        <v/>
      </c>
      <c r="AS63" s="14" t="str">
        <f>IFERROR(__xludf.DUMMYFUNCTION("IFNA(FILTER(IMPORTRANGE(""https://docs.google.com/spreadsheets/d/1kGrh75X1cNR1D7_FcY9zMnHP8iPO4M5RCRjy6nZY0TY/edit#gid=1248694442"",""Table 2: MMC!V5:V114""), $A63=IMPORTRANGE(""https://docs.google.com/spreadsheets/d/1kGrh75X1cNR1D7_FcY9zMnHP8iPO4M5RCRjy6"&amp;"nZY0TY/edit#gid=1248694442"",""Table 2: MMC!A5:A114"")),"""")"),"")</f>
        <v/>
      </c>
      <c r="AT63" s="4" t="str">
        <f>IFERROR(__xludf.DUMMYFUNCTION("IFNA(FILTER(IMPORTRANGE(""https://docs.google.com/spreadsheets/d/1kGrh75X1cNR1D7_FcY9zMnHP8iPO4M5RCRjy6nZY0TY/edit#gid=1248694442"",""Table 2: MMC!W5:W114""), $A63=IMPORTRANGE(""https://docs.google.com/spreadsheets/d/1kGrh75X1cNR1D7_FcY9zMnHP8iPO4M5RCRjy6"&amp;"nZY0TY/edit#gid=1248694442"",""Table 2: MMC!A5:A114"")),"""")"),"")</f>
        <v/>
      </c>
    </row>
    <row r="64">
      <c r="A64" s="4" t="str">
        <f>IFERROR(__xludf.DUMMYFUNCTION("""COMPUTED_VALUE"""),"ID 132")</f>
        <v>ID 132</v>
      </c>
      <c r="B64" s="20" t="str">
        <f>IFERROR(__xludf.DUMMYFUNCTION("IFNA(FILTER(IMPORTRANGE(""https://docs.google.com/spreadsheets/d/1kGrh75X1cNR1D7_FcY9zMnHP8iPO4M5RCRjy6nZY0TY/edit#gid=1248694442"",""Table 3: 1st-line HC!BK5:BK111""), $A64=IMPORTRANGE(""https://docs.google.com/spreadsheets/d/1kGrh75X1cNR1D7_FcY9zMnHP8iP"&amp;"O4M5RCRjy6nZY0TY/edit#gid=1248694442"",""Table 3: 1st-line HC!A5:A111"")),"""")"),"")</f>
        <v/>
      </c>
      <c r="C64" s="20" t="str">
        <f>IFERROR(__xludf.DUMMYFUNCTION("IFNA(FILTER(IMPORTRANGE(""https://docs.google.com/spreadsheets/d/1kGrh75X1cNR1D7_FcY9zMnHP8iPO4M5RCRjy6nZY0TY/edit#gid=1248694442"",""Subgroup 1: Fr ~ Tx!B3:B20""), $A64=IMPORTRANGE(""https://docs.google.com/spreadsheets/d/1kGrh75X1cNR1D7_FcY9zMnHP8iPO4M5"&amp;"RCRjy6nZY0TY/edit#gid=1248694442"",""Subgroup 1: Fr ~ Tx!A3:A20"")),"""")"),"")</f>
        <v/>
      </c>
      <c r="D64" s="20" t="str">
        <f>IFERROR(__xludf.DUMMYFUNCTION("IFNA(FILTER(IMPORTRANGE(""https://docs.google.com/spreadsheets/d/1kGrh75X1cNR1D7_FcY9zMnHP8iPO4M5RCRjy6nZY0TY/edit#gid=1248694442"",""Subgroup 1: Fr ~ Tx!C3:C20""), $A64=IMPORTRANGE(""https://docs.google.com/spreadsheets/d/1kGrh75X1cNR1D7_FcY9zMnHP8iPO4M5"&amp;"RCRjy6nZY0TY/edit#gid=1248694442"",""Subgroup 1: Fr ~ Tx!A3:A20"")),"""")"),"")</f>
        <v/>
      </c>
      <c r="E64" s="20" t="str">
        <f>IFERROR(__xludf.DUMMYFUNCTION("IFNA(FILTER(IMPORTRANGE(""https://docs.google.com/spreadsheets/d/1kGrh75X1cNR1D7_FcY9zMnHP8iPO4M5RCRjy6nZY0TY/edit#gid=1248694442"",""Subgroup 1: Fr ~ Tx!D3:D20""), $A64=IMPORTRANGE(""https://docs.google.com/spreadsheets/d/1kGrh75X1cNR1D7_FcY9zMnHP8iPO4M5"&amp;"RCRjy6nZY0TY/edit#gid=1248694442"",""Subgroup 1: Fr ~ Tx!A3:A20"")),"""")"),"")</f>
        <v/>
      </c>
      <c r="F64" s="20" t="str">
        <f>IFERROR(__xludf.DUMMYFUNCTION("IFNA(FILTER(IMPORTRANGE(""https://docs.google.com/spreadsheets/d/1kGrh75X1cNR1D7_FcY9zMnHP8iPO4M5RCRjy6nZY0TY/edit#gid=1248694442"",""Subgroup 1: Fr ~ Tx!E3:E20""), $A64=IMPORTRANGE(""https://docs.google.com/spreadsheets/d/1kGrh75X1cNR1D7_FcY9zMnHP8iPO4M5"&amp;"RCRjy6nZY0TY/edit#gid=1248694442"",""Subgroup 1: Fr ~ Tx!A3:A20"")),"""")"),"")</f>
        <v/>
      </c>
      <c r="G64" s="20" t="str">
        <f>IFERROR(__xludf.DUMMYFUNCTION("IFNA(FILTER(IMPORTRANGE(""https://docs.google.com/spreadsheets/d/1kGrh75X1cNR1D7_FcY9zMnHP8iPO4M5RCRjy6nZY0TY/edit#gid=1248694442"",""Subgroup 1: Fr ~ Tx!F3:F20""), $A64=IMPORTRANGE(""https://docs.google.com/spreadsheets/d/1kGrh75X1cNR1D7_FcY9zMnHP8iPO4M5"&amp;"RCRjy6nZY0TY/edit#gid=1248694442"",""Subgroup 1: Fr ~ Tx!A3:A20"")),"""")"),"")</f>
        <v/>
      </c>
      <c r="H64" s="20" t="str">
        <f>IFERROR(__xludf.DUMMYFUNCTION("IFNA(FILTER(IMPORTRANGE(""https://docs.google.com/spreadsheets/d/1kGrh75X1cNR1D7_FcY9zMnHP8iPO4M5RCRjy6nZY0TY/edit#gid=1248694442"",""Table 3: 1st-line HC!BD5:BD111""), $A64=IMPORTRANGE(""https://docs.google.com/spreadsheets/d/1kGrh75X1cNR1D7_FcY9zMnHP8iP"&amp;"O4M5RCRjy6nZY0TY/edit#gid=1248694442"",""Table 3: 1st-line HC!A5:A111"")),"""")"),"")</f>
        <v/>
      </c>
      <c r="I64" s="20" t="str">
        <f>IFERROR(__xludf.DUMMYFUNCTION("IFNA(FILTER(IMPORTRANGE(""https://docs.google.com/spreadsheets/d/1kGrh75X1cNR1D7_FcY9zMnHP8iPO4M5RCRjy6nZY0TY/edit#gid=1248694442"",""Subgroup 5: Tf ~ Tx!B3:B8""), $A64=IMPORTRANGE(""https://docs.google.com/spreadsheets/d/1kGrh75X1cNR1D7_FcY9zMnHP8iPO4M5R"&amp;"CRjy6nZY0TY/edit#gid=1248694442"",""Subgroup 5: Tf ~ Tx!A3:A8"")),"""")"),"")</f>
        <v/>
      </c>
      <c r="J64" s="20" t="str">
        <f>IFERROR(__xludf.DUMMYFUNCTION("IFNA(FILTER(IMPORTRANGE(""https://docs.google.com/spreadsheets/d/1kGrh75X1cNR1D7_FcY9zMnHP8iPO4M5RCRjy6nZY0TY/edit#gid=1248694442"",""Subgroup 5: Tf ~ Tx!C3:C8""), $A64=IMPORTRANGE(""https://docs.google.com/spreadsheets/d/1kGrh75X1cNR1D7_FcY9zMnHP8iPO4M5R"&amp;"CRjy6nZY0TY/edit#gid=1248694442"",""Subgroup 5: Tf ~ Tx!A3:A8"")),"""")"),"")</f>
        <v/>
      </c>
      <c r="K64" s="20" t="str">
        <f>IFERROR(__xludf.DUMMYFUNCTION("IFNA(FILTER(IMPORTRANGE(""https://docs.google.com/spreadsheets/d/1kGrh75X1cNR1D7_FcY9zMnHP8iPO4M5RCRjy6nZY0TY/edit#gid=1248694442"",""Subgroup 5: Tf ~ Tx!D3:D8""), $A64=IMPORTRANGE(""https://docs.google.com/spreadsheets/d/1kGrh75X1cNR1D7_FcY9zMnHP8iPO4M5R"&amp;"CRjy6nZY0TY/edit#gid=1248694442"",""Subgroup 5: Tf ~ Tx!A3:A8"")),"""")"),"")</f>
        <v/>
      </c>
      <c r="L64" s="20" t="str">
        <f>IFERROR(__xludf.DUMMYFUNCTION("IFNA(FILTER(IMPORTRANGE(""https://docs.google.com/spreadsheets/d/1kGrh75X1cNR1D7_FcY9zMnHP8iPO4M5RCRjy6nZY0TY/edit#gid=1248694442"",""Subgroup 5: Tf ~ Tx!E3:E8""), $A64=IMPORTRANGE(""https://docs.google.com/spreadsheets/d/1kGrh75X1cNR1D7_FcY9zMnHP8iPO4M5R"&amp;"CRjy6nZY0TY/edit#gid=1248694442"",""Subgroup 5: Tf ~ Tx!A3:A8"")),"""")"),"")</f>
        <v/>
      </c>
      <c r="M64" s="20" t="str">
        <f>IFERROR(__xludf.DUMMYFUNCTION("IFNA(FILTER(IMPORTRANGE(""https://docs.google.com/spreadsheets/d/1kGrh75X1cNR1D7_FcY9zMnHP8iPO4M5RCRjy6nZY0TY/edit#gid=1248694442"",""Subgroup 5: Tf ~ Tx!F3:F8""), $A64=IMPORTRANGE(""https://docs.google.com/spreadsheets/d/1kGrh75X1cNR1D7_FcY9zMnHP8iPO4M5R"&amp;"CRjy6nZY0TY/edit#gid=1248694442"",""Subgroup 5: Tf ~ Tx!A3:A8"")),"""")"),"")</f>
        <v/>
      </c>
      <c r="N64" s="20" t="str">
        <f>IFERROR(__xludf.DUMMYFUNCTION("IFNA(FILTER(IMPORTRANGE(""https://docs.google.com/spreadsheets/d/1kGrh75X1cNR1D7_FcY9zMnHP8iPO4M5RCRjy6nZY0TY/edit#gid=1248694442"",""Table 3: 1st-line HC!BE5:BE111""), $A64=IMPORTRANGE(""https://docs.google.com/spreadsheets/d/1kGrh75X1cNR1D7_FcY9zMnHP8iP"&amp;"O4M5RCRjy6nZY0TY/edit#gid=1248694442"",""Table 3: 1st-line HC!A5:A111"")),"""")"),"")</f>
        <v/>
      </c>
      <c r="O64" s="20" t="str">
        <f>IFERROR(__xludf.DUMMYFUNCTION("IFNA(FILTER(IMPORTRANGE(""https://docs.google.com/spreadsheets/d/1kGrh75X1cNR1D7_FcY9zMnHP8iPO4M5RCRjy6nZY0TY/edit#gid=1248694442"",""Table 3: 1st-line HC!BF5:BF111""), $A64=IMPORTRANGE(""https://docs.google.com/spreadsheets/d/1kGrh75X1cNR1D7_FcY9zMnHP8iP"&amp;"O4M5RCRjy6nZY0TY/edit#gid=1248694442"",""Table 3: 1st-line HC!A5:A111"")),"""")"),"")</f>
        <v/>
      </c>
      <c r="P64" s="20" t="str">
        <f>IFERROR(__xludf.DUMMYFUNCTION("IFNA(FILTER(IMPORTRANGE(""https://docs.google.com/spreadsheets/d/1kGrh75X1cNR1D7_FcY9zMnHP8iPO4M5RCRjy6nZY0TY/edit#gid=1248694442"",""Table 3: 1st-line HC!BG5:BG111""), $A64=IMPORTRANGE(""https://docs.google.com/spreadsheets/d/1kGrh75X1cNR1D7_FcY9zMnHP8iP"&amp;"O4M5RCRjy6nZY0TY/edit#gid=1248694442"",""Table 3: 1st-line HC!A5:A111"")),"""")"),"")</f>
        <v/>
      </c>
      <c r="Q64" s="21" t="str">
        <f>IFERROR(__xludf.DUMMYFUNCTION("IFNA(FILTER(IMPORTRANGE(""https://docs.google.com/spreadsheets/d/1kGrh75X1cNR1D7_FcY9zMnHP8iPO4M5RCRjy6nZY0TY/edit#gid=1248694442"",""Table 3: 1st-line HC!BH5:BH111""), $A64=IMPORTRANGE(""https://docs.google.com/spreadsheets/d/1kGrh75X1cNR1D7_FcY9zMnHP8iP"&amp;"O4M5RCRjy6nZY0TY/edit#gid=1248694442"",""Table 3: 1st-line HC!A5:A111"")),"""")"),"")</f>
        <v/>
      </c>
      <c r="R64" s="19" t="str">
        <f>IFERROR(__xludf.DUMMYFUNCTION("IFNA(FILTER(IMPORTRANGE(""https://docs.google.com/spreadsheets/d/1kGrh75X1cNR1D7_FcY9zMnHP8iPO4M5RCRjy6nZY0TY/edit#gid=1248694442"",""Table 3: 1st-line HC!AJ5:AJ111""), $A64=IMPORTRANGE(""https://docs.google.com/spreadsheets/d/1kGrh75X1cNR1D7_FcY9zMnHP8iP"&amp;"O4M5RCRjy6nZY0TY/edit#gid=1248694442"",""Table 3: 1st-line HC!A5:A111"")),"""")"),"")</f>
        <v/>
      </c>
      <c r="S64" s="20" t="str">
        <f>IFERROR(__xludf.DUMMYFUNCTION("IFNA(FILTER(IMPORTRANGE(""https://docs.google.com/spreadsheets/d/1kGrh75X1cNR1D7_FcY9zMnHP8iPO4M5RCRjy6nZY0TY/edit#gid=1248694442"",""Subgroup 3: Mi ~ Tx!B3:B17""), $A64=IMPORTRANGE(""https://docs.google.com/spreadsheets/d/1kGrh75X1cNR1D7_FcY9zMnHP8iPO4M5"&amp;"RCRjy6nZY0TY/edit#gid=1248694442"",""Subgroup 3: Mi ~ Tx!A3:A17"")),"""")"),"")</f>
        <v/>
      </c>
      <c r="T64" s="20" t="str">
        <f>IFERROR(__xludf.DUMMYFUNCTION("IFNA(FILTER(IMPORTRANGE(""https://docs.google.com/spreadsheets/d/1kGrh75X1cNR1D7_FcY9zMnHP8iPO4M5RCRjy6nZY0TY/edit#gid=1248694442"",""Subgroup 3: Mi ~ Tx!C3:C17""), $A64=IMPORTRANGE(""https://docs.google.com/spreadsheets/d/1kGrh75X1cNR1D7_FcY9zMnHP8iPO4M5"&amp;"RCRjy6nZY0TY/edit#gid=1248694442"",""Subgroup 3: Mi ~ Tx!A3:A17"")),"""")"),"")</f>
        <v/>
      </c>
      <c r="U64" s="20" t="str">
        <f>IFERROR(__xludf.DUMMYFUNCTION("IFNA(FILTER(IMPORTRANGE(""https://docs.google.com/spreadsheets/d/1kGrh75X1cNR1D7_FcY9zMnHP8iPO4M5RCRjy6nZY0TY/edit#gid=1248694442"",""Subgroup 3: Mi ~ Tx!D3:D17""), $A64=IMPORTRANGE(""https://docs.google.com/spreadsheets/d/1kGrh75X1cNR1D7_FcY9zMnHP8iPO4M5"&amp;"RCRjy6nZY0TY/edit#gid=1248694442"",""Subgroup 3: Mi ~ Tx!A3:A17"")),"""")"),"")</f>
        <v/>
      </c>
      <c r="V64" s="20" t="str">
        <f>IFERROR(__xludf.DUMMYFUNCTION("IFNA(FILTER(IMPORTRANGE(""https://docs.google.com/spreadsheets/d/1kGrh75X1cNR1D7_FcY9zMnHP8iPO4M5RCRjy6nZY0TY/edit#gid=1248694442"",""Subgroup 3: Mi ~ Tx!E3:E17""), $A64=IMPORTRANGE(""https://docs.google.com/spreadsheets/d/1kGrh75X1cNR1D7_FcY9zMnHP8iPO4M5"&amp;"RCRjy6nZY0TY/edit#gid=1248694442"",""Subgroup 3: Mi ~ Tx!A3:A17"")),"""")"),"")</f>
        <v/>
      </c>
      <c r="W64" s="20" t="str">
        <f>IFERROR(__xludf.DUMMYFUNCTION("IFNA(FILTER(IMPORTRANGE(""https://docs.google.com/spreadsheets/d/1kGrh75X1cNR1D7_FcY9zMnHP8iPO4M5RCRjy6nZY0TY/edit#gid=1248694442"",""Subgroup 3: Mi ~ Tx!F3:F17""), $A64=IMPORTRANGE(""https://docs.google.com/spreadsheets/d/1kGrh75X1cNR1D7_FcY9zMnHP8iPO4M5"&amp;"RCRjy6nZY0TY/edit#gid=1248694442"",""Subgroup 3: Mi ~ Tx!A3:A17"")),"""")"),"")</f>
        <v/>
      </c>
      <c r="X64" s="19">
        <f>IFERROR(__xludf.DUMMYFUNCTION("IFNA(FILTER(IMPORTRANGE(""https://docs.google.com/spreadsheets/d/1kGrh75X1cNR1D7_FcY9zMnHP8iPO4M5RCRjy6nZY0TY/edit#gid=1248694442"",""Table 3: 1st-line HC!AK5:AK111""), $A64=IMPORTRANGE(""https://docs.google.com/spreadsheets/d/1kGrh75X1cNR1D7_FcY9zMnHP8iP"&amp;"O4M5RCRjy6nZY0TY/edit#gid=1248694442"",""Table 3: 1st-line HC!A5:A111"")),"""")"),14.0)</f>
        <v>14</v>
      </c>
      <c r="Y64" s="20" t="str">
        <f>IFERROR(__xludf.DUMMYFUNCTION("IFNA(FILTER(IMPORTRANGE(""https://docs.google.com/spreadsheets/d/1kGrh75X1cNR1D7_FcY9zMnHP8iPO4M5RCRjy6nZY0TY/edit#gid=1248694442"",""Subgroup 4: Mp ~ Tx!B3:B20""), $A64=IMPORTRANGE(""https://docs.google.com/spreadsheets/d/1kGrh75X1cNR1D7_FcY9zMnHP8iPO4M5"&amp;"RCRjy6nZY0TY/edit#gid=1248694442"",""Subgroup 4: Mp ~ Tx!A3:A20"")),"""")"),"")</f>
        <v/>
      </c>
      <c r="Z64" s="20">
        <f>IFERROR(__xludf.DUMMYFUNCTION("IFNA(FILTER(IMPORTRANGE(""https://docs.google.com/spreadsheets/d/1kGrh75X1cNR1D7_FcY9zMnHP8iPO4M5RCRjy6nZY0TY/edit#gid=1248694442"",""Subgroup 4: Mp ~ Tx!C3:C20""), $A64=IMPORTRANGE(""https://docs.google.com/spreadsheets/d/1kGrh75X1cNR1D7_FcY9zMnHP8iPO4M5"&amp;"RCRjy6nZY0TY/edit#gid=1248694442"",""Subgroup 4: Mp ~ Tx!A3:A20"")),"""")"),0.0)</f>
        <v>0</v>
      </c>
      <c r="AA64" s="20" t="str">
        <f>IFERROR(__xludf.DUMMYFUNCTION("IFNA(FILTER(IMPORTRANGE(""https://docs.google.com/spreadsheets/d/1kGrh75X1cNR1D7_FcY9zMnHP8iPO4M5RCRjy6nZY0TY/edit#gid=1248694442"",""Subgroup 4: Mp ~ Tx!D3:D20""), $A64=IMPORTRANGE(""https://docs.google.com/spreadsheets/d/1kGrh75X1cNR1D7_FcY9zMnHP8iPO4M5"&amp;"RCRjy6nZY0TY/edit#gid=1248694442"",""Subgroup 4: Mp ~ Tx!A3:A20"")),"""")"),"")</f>
        <v/>
      </c>
      <c r="AB64" s="20" t="str">
        <f>IFERROR(__xludf.DUMMYFUNCTION("IFNA(FILTER(IMPORTRANGE(""https://docs.google.com/spreadsheets/d/1kGrh75X1cNR1D7_FcY9zMnHP8iPO4M5RCRjy6nZY0TY/edit#gid=1248694442"",""Subgroup 4: Mp ~ Tx!E3:E20""), $A64=IMPORTRANGE(""https://docs.google.com/spreadsheets/d/1kGrh75X1cNR1D7_FcY9zMnHP8iPO4M5"&amp;"RCRjy6nZY0TY/edit#gid=1248694442"",""Subgroup 4: Mp ~ Tx!A3:A20"")),"""")"),"")</f>
        <v/>
      </c>
      <c r="AC64" s="20" t="str">
        <f>IFERROR(__xludf.DUMMYFUNCTION("IFNA(FILTER(IMPORTRANGE(""https://docs.google.com/spreadsheets/d/1kGrh75X1cNR1D7_FcY9zMnHP8iPO4M5RCRjy6nZY0TY/edit#gid=1248694442"",""Subgroup 4: Mp ~ Tx!F3:F20""), $A64=IMPORTRANGE(""https://docs.google.com/spreadsheets/d/1kGrh75X1cNR1D7_FcY9zMnHP8iPO4M5"&amp;"RCRjy6nZY0TY/edit#gid=1248694442"",""Subgroup 4: Mp ~ Tx!A3:A20"")),"""")"),"")</f>
        <v/>
      </c>
      <c r="AD64" s="22" t="str">
        <f>IFERROR(__xludf.DUMMYFUNCTION("IFNA(FILTER(IMPORTRANGE(""https://docs.google.com/spreadsheets/d/1kGrh75X1cNR1D7_FcY9zMnHP8iPO4M5RCRjy6nZY0TY/edit#gid=1248694442"",""Table 3: 1st-line HC!AL5:AL111""), $A64=IMPORTRANGE(""https://docs.google.com/spreadsheets/d/1kGrh75X1cNR1D7_FcY9zMnHP8iP"&amp;"O4M5RCRjy6nZY0TY/edit#gid=1248694442"",""Table 3: 1st-line HC!A5:A111"")),"""")"),"")</f>
        <v/>
      </c>
      <c r="AE64" s="20" t="str">
        <f>IFERROR(__xludf.DUMMYFUNCTION("IFNA(FILTER(IMPORTRANGE(""https://docs.google.com/spreadsheets/d/1kGrh75X1cNR1D7_FcY9zMnHP8iPO4M5RCRjy6nZY0TY/edit#gid=1248694442"",""Table 3: 1st-line HC!BJ5:BJ111""), $A64=IMPORTRANGE(""https://docs.google.com/spreadsheets/d/1kGrh75X1cNR1D7_FcY9zMnHP8iP"&amp;"O4M5RCRjy6nZY0TY/edit#gid=1248694442"",""Table 3: 1st-line HC!A5:A111"")),"""")"),"")</f>
        <v/>
      </c>
      <c r="AF64" s="20" t="str">
        <f>IFERROR(__xludf.DUMMYFUNCTION("IFNA(FILTER(IMPORTRANGE(""https://docs.google.com/spreadsheets/d/1kGrh75X1cNR1D7_FcY9zMnHP8iPO4M5RCRjy6nZY0TY/edit#gid=1248694442"",""Subgroup 2: Cr ~ Tx!B3:B23""), $A64=IMPORTRANGE(""https://docs.google.com/spreadsheets/d/1kGrh75X1cNR1D7_FcY9zMnHP8iPO4M5"&amp;"RCRjy6nZY0TY/edit#gid=1248694442"",""Subgroup 2: Cr ~ Tx!A3:A23"")),"""")"),"")</f>
        <v/>
      </c>
      <c r="AG64" s="20" t="str">
        <f>IFERROR(__xludf.DUMMYFUNCTION("IFNA(FILTER(IMPORTRANGE(""https://docs.google.com/spreadsheets/d/1kGrh75X1cNR1D7_FcY9zMnHP8iPO4M5RCRjy6nZY0TY/edit#gid=1248694442"",""Subgroup 2: Cr ~ Tx!C3:C23""), $A64=IMPORTRANGE(""https://docs.google.com/spreadsheets/d/1kGrh75X1cNR1D7_FcY9zMnHP8iPO4M5"&amp;"RCRjy6nZY0TY/edit#gid=1248694442"",""Subgroup 2: Cr ~ Tx!A3:A23"")),"""")"),"")</f>
        <v/>
      </c>
      <c r="AH64" s="20" t="str">
        <f>IFERROR(__xludf.DUMMYFUNCTION("IFNA(FILTER(IMPORTRANGE(""https://docs.google.com/spreadsheets/d/1kGrh75X1cNR1D7_FcY9zMnHP8iPO4M5RCRjy6nZY0TY/edit#gid=1248694442"",""Subgroup 2: Cr ~ Tx!D3:D23""), $A64=IMPORTRANGE(""https://docs.google.com/spreadsheets/d/1kGrh75X1cNR1D7_FcY9zMnHP8iPO4M5"&amp;"RCRjy6nZY0TY/edit#gid=1248694442"",""Subgroup 2: Cr ~ Tx!A3:A23"")),"""")"),"")</f>
        <v/>
      </c>
      <c r="AI64" s="20" t="str">
        <f>IFERROR(__xludf.DUMMYFUNCTION("IFNA(FILTER(IMPORTRANGE(""https://docs.google.com/spreadsheets/d/1kGrh75X1cNR1D7_FcY9zMnHP8iPO4M5RCRjy6nZY0TY/edit#gid=1248694442"",""Subgroup 2: Cr ~ Tx!E3:E23""), $A64=IMPORTRANGE(""https://docs.google.com/spreadsheets/d/1kGrh75X1cNR1D7_FcY9zMnHP8iPO4M5"&amp;"RCRjy6nZY0TY/edit#gid=1248694442"",""Subgroup 2: Cr ~ Tx!A3:A23"")),"""")"),"")</f>
        <v/>
      </c>
      <c r="AJ64" s="20" t="str">
        <f>IFERROR(__xludf.DUMMYFUNCTION("IFNA(FILTER(IMPORTRANGE(""https://docs.google.com/spreadsheets/d/1kGrh75X1cNR1D7_FcY9zMnHP8iPO4M5RCRjy6nZY0TY/edit#gid=1248694442"",""Subgroup 2: Cr ~ Tx!F3:F23""), $A64=IMPORTRANGE(""https://docs.google.com/spreadsheets/d/1kGrh75X1cNR1D7_FcY9zMnHP8iPO4M5"&amp;"RCRjy6nZY0TY/edit#gid=1248694442"",""Subgroup 2: Cr ~ Tx!A3:A23"")),"""")"),"")</f>
        <v/>
      </c>
      <c r="AK64" s="14" t="str">
        <f>IFERROR(__xludf.DUMMYFUNCTION("IFNA(FILTER(IMPORTRANGE(""https://docs.google.com/spreadsheets/d/1kGrh75X1cNR1D7_FcY9zMnHP8iPO4M5RCRjy6nZY0TY/edit#gid=1248694442"",""Table 4: 2nd-line HC or more!M5:M85""), $A64=IMPORTRANGE(""https://docs.google.com/spreadsheets/d/1kGrh75X1cNR1D7_FcY9zMn"&amp;"HP8iPO4M5RCRjy6nZY0TY/edit#gid=1248694442"",""Table 4: 2nd-line HC or more!A5:A85"")),"""")"),"")</f>
        <v/>
      </c>
      <c r="AL64" s="14" t="str">
        <f>IFERROR(__xludf.DUMMYFUNCTION("IFNA(FILTER(IMPORTRANGE(""https://docs.google.com/spreadsheets/d/1kGrh75X1cNR1D7_FcY9zMnHP8iPO4M5RCRjy6nZY0TY/edit#gid=1248694442"",""Table 4: 2nd-line HC or more!N5:N85""), $A64=IMPORTRANGE(""https://docs.google.com/spreadsheets/d/1kGrh75X1cNR1D7_FcY9zMn"&amp;"HP8iPO4M5RCRjy6nZY0TY/edit#gid=1248694442"",""Table 4: 2nd-line HC or more!A5:A85"")),"""")"),"")</f>
        <v/>
      </c>
      <c r="AM64" s="14" t="str">
        <f>IFERROR(__xludf.DUMMYFUNCTION("IFNA(FILTER(IMPORTRANGE(""https://docs.google.com/spreadsheets/d/1kGrh75X1cNR1D7_FcY9zMnHP8iPO4M5RCRjy6nZY0TY/edit#gid=1248694442"",""Table 4: 2nd-line HC or more!O5:O85""), $A64=IMPORTRANGE(""https://docs.google.com/spreadsheets/d/1kGrh75X1cNR1D7_FcY9zMn"&amp;"HP8iPO4M5RCRjy6nZY0TY/edit#gid=1248694442"",""Table 4: 2nd-line HC or more!A5:A85"")),"""")"),"")</f>
        <v/>
      </c>
      <c r="AN64" s="14" t="str">
        <f>IFERROR(__xludf.DUMMYFUNCTION("IFNA(FILTER(IMPORTRANGE(""https://docs.google.com/spreadsheets/d/1kGrh75X1cNR1D7_FcY9zMnHP8iPO4M5RCRjy6nZY0TY/edit#gid=1248694442"",""Table 3: 1st-line HC!AP5:AP111""), $A64=IMPORTRANGE(""https://docs.google.com/spreadsheets/d/1kGrh75X1cNR1D7_FcY9zMnHP8iP"&amp;"O4M5RCRjy6nZY0TY/edit#gid=1248694442"",""Table 3: 1st-line HC!A5:A111"")),"""")"),"")</f>
        <v/>
      </c>
      <c r="AO64" s="14">
        <f>IFERROR(__xludf.DUMMYFUNCTION("IFNA(FILTER(IMPORTRANGE(""https://docs.google.com/spreadsheets/d/1kGrh75X1cNR1D7_FcY9zMnHP8iPO4M5RCRjy6nZY0TY/edit#gid=1248694442"",""Table 3: 1st-line HC!AO5:AO111""), $A64=IMPORTRANGE(""https://docs.google.com/spreadsheets/d/1kGrh75X1cNR1D7_FcY9zMnHP8iP"&amp;"O4M5RCRjy6nZY0TY/edit#gid=1248694442"",""Table 3: 1st-line HC!A5:A111"")),"""")"),3.0)</f>
        <v>3</v>
      </c>
      <c r="AP64" s="14" t="str">
        <f>IFERROR(__xludf.DUMMYFUNCTION("IFNA(FILTER(IMPORTRANGE(""https://docs.google.com/spreadsheets/d/1kGrh75X1cNR1D7_FcY9zMnHP8iPO4M5RCRjy6nZY0TY/edit#gid=1248694442"",""Table 3: 1st-line HC!AQ5:AQ111""), $A64=IMPORTRANGE(""https://docs.google.com/spreadsheets/d/1kGrh75X1cNR1D7_FcY9zMnHP8iP"&amp;"O4M5RCRjy6nZY0TY/edit#gid=1248694442"",""Table 3: 1st-line HC!A5:A111"")),"""")"),"")</f>
        <v/>
      </c>
      <c r="AQ64" s="14">
        <f>IFERROR(__xludf.DUMMYFUNCTION("IFNA(FILTER(IMPORTRANGE(""https://docs.google.com/spreadsheets/d/1kGrh75X1cNR1D7_FcY9zMnHP8iPO4M5RCRjy6nZY0TY/edit#gid=1248694442"",""Table 2: MMC!T5:T114""), $A64=IMPORTRANGE(""https://docs.google.com/spreadsheets/d/1kGrh75X1cNR1D7_FcY9zMnHP8iPO4M5RCRjy6"&amp;"nZY0TY/edit#gid=1248694442"",""Table 2: MMC!A5:A114"")),"""")"),3.0)</f>
        <v>3</v>
      </c>
      <c r="AR64" s="14">
        <f>IFERROR(__xludf.DUMMYFUNCTION("IFNA(FILTER(IMPORTRANGE(""https://docs.google.com/spreadsheets/d/1kGrh75X1cNR1D7_FcY9zMnHP8iPO4M5RCRjy6nZY0TY/edit#gid=1248694442"",""Table 2: MMC!U5:U114""), $A64=IMPORTRANGE(""https://docs.google.com/spreadsheets/d/1kGrh75X1cNR1D7_FcY9zMnHP8iPO4M5RCRjy6"&amp;"nZY0TY/edit#gid=1248694442"",""Table 2: MMC!A5:A114"")),"""")"),3.0)</f>
        <v>3</v>
      </c>
      <c r="AS64" s="14" t="str">
        <f>IFERROR(__xludf.DUMMYFUNCTION("IFNA(FILTER(IMPORTRANGE(""https://docs.google.com/spreadsheets/d/1kGrh75X1cNR1D7_FcY9zMnHP8iPO4M5RCRjy6nZY0TY/edit#gid=1248694442"",""Table 2: MMC!V5:V114""), $A64=IMPORTRANGE(""https://docs.google.com/spreadsheets/d/1kGrh75X1cNR1D7_FcY9zMnHP8iPO4M5RCRjy6"&amp;"nZY0TY/edit#gid=1248694442"",""Table 2: MMC!A5:A114"")),"""")"),"")</f>
        <v/>
      </c>
      <c r="AT64" s="4" t="str">
        <f>IFERROR(__xludf.DUMMYFUNCTION("IFNA(FILTER(IMPORTRANGE(""https://docs.google.com/spreadsheets/d/1kGrh75X1cNR1D7_FcY9zMnHP8iPO4M5RCRjy6nZY0TY/edit#gid=1248694442"",""Table 2: MMC!W5:W114""), $A64=IMPORTRANGE(""https://docs.google.com/spreadsheets/d/1kGrh75X1cNR1D7_FcY9zMnHP8iPO4M5RCRjy6"&amp;"nZY0TY/edit#gid=1248694442"",""Table 2: MMC!A5:A114"")),"""")"),"")</f>
        <v/>
      </c>
    </row>
    <row r="65">
      <c r="A65" s="4" t="str">
        <f>IFERROR(__xludf.DUMMYFUNCTION("""COMPUTED_VALUE"""),"ID 135")</f>
        <v>ID 135</v>
      </c>
      <c r="B65" s="20" t="str">
        <f>IFERROR(__xludf.DUMMYFUNCTION("IFNA(FILTER(IMPORTRANGE(""https://docs.google.com/spreadsheets/d/1kGrh75X1cNR1D7_FcY9zMnHP8iPO4M5RCRjy6nZY0TY/edit#gid=1248694442"",""Table 3: 1st-line HC!BK5:BK111""), $A65=IMPORTRANGE(""https://docs.google.com/spreadsheets/d/1kGrh75X1cNR1D7_FcY9zMnHP8iP"&amp;"O4M5RCRjy6nZY0TY/edit#gid=1248694442"",""Table 3: 1st-line HC!A5:A111"")),"""")"),"")</f>
        <v/>
      </c>
      <c r="C65" s="20" t="str">
        <f>IFERROR(__xludf.DUMMYFUNCTION("IFNA(FILTER(IMPORTRANGE(""https://docs.google.com/spreadsheets/d/1kGrh75X1cNR1D7_FcY9zMnHP8iPO4M5RCRjy6nZY0TY/edit#gid=1248694442"",""Subgroup 1: Fr ~ Tx!B3:B20""), $A65=IMPORTRANGE(""https://docs.google.com/spreadsheets/d/1kGrh75X1cNR1D7_FcY9zMnHP8iPO4M5"&amp;"RCRjy6nZY0TY/edit#gid=1248694442"",""Subgroup 1: Fr ~ Tx!A3:A20"")),"""")"),"")</f>
        <v/>
      </c>
      <c r="D65" s="20" t="str">
        <f>IFERROR(__xludf.DUMMYFUNCTION("IFNA(FILTER(IMPORTRANGE(""https://docs.google.com/spreadsheets/d/1kGrh75X1cNR1D7_FcY9zMnHP8iPO4M5RCRjy6nZY0TY/edit#gid=1248694442"",""Subgroup 1: Fr ~ Tx!C3:C20""), $A65=IMPORTRANGE(""https://docs.google.com/spreadsheets/d/1kGrh75X1cNR1D7_FcY9zMnHP8iPO4M5"&amp;"RCRjy6nZY0TY/edit#gid=1248694442"",""Subgroup 1: Fr ~ Tx!A3:A20"")),"""")"),"")</f>
        <v/>
      </c>
      <c r="E65" s="20" t="str">
        <f>IFERROR(__xludf.DUMMYFUNCTION("IFNA(FILTER(IMPORTRANGE(""https://docs.google.com/spreadsheets/d/1kGrh75X1cNR1D7_FcY9zMnHP8iPO4M5RCRjy6nZY0TY/edit#gid=1248694442"",""Subgroup 1: Fr ~ Tx!D3:D20""), $A65=IMPORTRANGE(""https://docs.google.com/spreadsheets/d/1kGrh75X1cNR1D7_FcY9zMnHP8iPO4M5"&amp;"RCRjy6nZY0TY/edit#gid=1248694442"",""Subgroup 1: Fr ~ Tx!A3:A20"")),"""")"),"")</f>
        <v/>
      </c>
      <c r="F65" s="20" t="str">
        <f>IFERROR(__xludf.DUMMYFUNCTION("IFNA(FILTER(IMPORTRANGE(""https://docs.google.com/spreadsheets/d/1kGrh75X1cNR1D7_FcY9zMnHP8iPO4M5RCRjy6nZY0TY/edit#gid=1248694442"",""Subgroup 1: Fr ~ Tx!E3:E20""), $A65=IMPORTRANGE(""https://docs.google.com/spreadsheets/d/1kGrh75X1cNR1D7_FcY9zMnHP8iPO4M5"&amp;"RCRjy6nZY0TY/edit#gid=1248694442"",""Subgroup 1: Fr ~ Tx!A3:A20"")),"""")"),"")</f>
        <v/>
      </c>
      <c r="G65" s="20" t="str">
        <f>IFERROR(__xludf.DUMMYFUNCTION("IFNA(FILTER(IMPORTRANGE(""https://docs.google.com/spreadsheets/d/1kGrh75X1cNR1D7_FcY9zMnHP8iPO4M5RCRjy6nZY0TY/edit#gid=1248694442"",""Subgroup 1: Fr ~ Tx!F3:F20""), $A65=IMPORTRANGE(""https://docs.google.com/spreadsheets/d/1kGrh75X1cNR1D7_FcY9zMnHP8iPO4M5"&amp;"RCRjy6nZY0TY/edit#gid=1248694442"",""Subgroup 1: Fr ~ Tx!A3:A20"")),"""")"),"")</f>
        <v/>
      </c>
      <c r="H65" s="20" t="str">
        <f>IFERROR(__xludf.DUMMYFUNCTION("IFNA(FILTER(IMPORTRANGE(""https://docs.google.com/spreadsheets/d/1kGrh75X1cNR1D7_FcY9zMnHP8iPO4M5RCRjy6nZY0TY/edit#gid=1248694442"",""Table 3: 1st-line HC!BD5:BD111""), $A65=IMPORTRANGE(""https://docs.google.com/spreadsheets/d/1kGrh75X1cNR1D7_FcY9zMnHP8iP"&amp;"O4M5RCRjy6nZY0TY/edit#gid=1248694442"",""Table 3: 1st-line HC!A5:A111"")),"""")"),"")</f>
        <v/>
      </c>
      <c r="I65" s="20" t="str">
        <f>IFERROR(__xludf.DUMMYFUNCTION("IFNA(FILTER(IMPORTRANGE(""https://docs.google.com/spreadsheets/d/1kGrh75X1cNR1D7_FcY9zMnHP8iPO4M5RCRjy6nZY0TY/edit#gid=1248694442"",""Subgroup 5: Tf ~ Tx!B3:B8""), $A65=IMPORTRANGE(""https://docs.google.com/spreadsheets/d/1kGrh75X1cNR1D7_FcY9zMnHP8iPO4M5R"&amp;"CRjy6nZY0TY/edit#gid=1248694442"",""Subgroup 5: Tf ~ Tx!A3:A8"")),"""")"),"")</f>
        <v/>
      </c>
      <c r="J65" s="20" t="str">
        <f>IFERROR(__xludf.DUMMYFUNCTION("IFNA(FILTER(IMPORTRANGE(""https://docs.google.com/spreadsheets/d/1kGrh75X1cNR1D7_FcY9zMnHP8iPO4M5RCRjy6nZY0TY/edit#gid=1248694442"",""Subgroup 5: Tf ~ Tx!C3:C8""), $A65=IMPORTRANGE(""https://docs.google.com/spreadsheets/d/1kGrh75X1cNR1D7_FcY9zMnHP8iPO4M5R"&amp;"CRjy6nZY0TY/edit#gid=1248694442"",""Subgroup 5: Tf ~ Tx!A3:A8"")),"""")"),"")</f>
        <v/>
      </c>
      <c r="K65" s="20" t="str">
        <f>IFERROR(__xludf.DUMMYFUNCTION("IFNA(FILTER(IMPORTRANGE(""https://docs.google.com/spreadsheets/d/1kGrh75X1cNR1D7_FcY9zMnHP8iPO4M5RCRjy6nZY0TY/edit#gid=1248694442"",""Subgroup 5: Tf ~ Tx!D3:D8""), $A65=IMPORTRANGE(""https://docs.google.com/spreadsheets/d/1kGrh75X1cNR1D7_FcY9zMnHP8iPO4M5R"&amp;"CRjy6nZY0TY/edit#gid=1248694442"",""Subgroup 5: Tf ~ Tx!A3:A8"")),"""")"),"")</f>
        <v/>
      </c>
      <c r="L65" s="20" t="str">
        <f>IFERROR(__xludf.DUMMYFUNCTION("IFNA(FILTER(IMPORTRANGE(""https://docs.google.com/spreadsheets/d/1kGrh75X1cNR1D7_FcY9zMnHP8iPO4M5RCRjy6nZY0TY/edit#gid=1248694442"",""Subgroup 5: Tf ~ Tx!E3:E8""), $A65=IMPORTRANGE(""https://docs.google.com/spreadsheets/d/1kGrh75X1cNR1D7_FcY9zMnHP8iPO4M5R"&amp;"CRjy6nZY0TY/edit#gid=1248694442"",""Subgroup 5: Tf ~ Tx!A3:A8"")),"""")"),"")</f>
        <v/>
      </c>
      <c r="M65" s="20" t="str">
        <f>IFERROR(__xludf.DUMMYFUNCTION("IFNA(FILTER(IMPORTRANGE(""https://docs.google.com/spreadsheets/d/1kGrh75X1cNR1D7_FcY9zMnHP8iPO4M5RCRjy6nZY0TY/edit#gid=1248694442"",""Subgroup 5: Tf ~ Tx!F3:F8""), $A65=IMPORTRANGE(""https://docs.google.com/spreadsheets/d/1kGrh75X1cNR1D7_FcY9zMnHP8iPO4M5R"&amp;"CRjy6nZY0TY/edit#gid=1248694442"",""Subgroup 5: Tf ~ Tx!A3:A8"")),"""")"),"")</f>
        <v/>
      </c>
      <c r="N65" s="20" t="str">
        <f>IFERROR(__xludf.DUMMYFUNCTION("IFNA(FILTER(IMPORTRANGE(""https://docs.google.com/spreadsheets/d/1kGrh75X1cNR1D7_FcY9zMnHP8iPO4M5RCRjy6nZY0TY/edit#gid=1248694442"",""Table 3: 1st-line HC!BE5:BE111""), $A65=IMPORTRANGE(""https://docs.google.com/spreadsheets/d/1kGrh75X1cNR1D7_FcY9zMnHP8iP"&amp;"O4M5RCRjy6nZY0TY/edit#gid=1248694442"",""Table 3: 1st-line HC!A5:A111"")),"""")"),"")</f>
        <v/>
      </c>
      <c r="O65" s="20" t="str">
        <f>IFERROR(__xludf.DUMMYFUNCTION("IFNA(FILTER(IMPORTRANGE(""https://docs.google.com/spreadsheets/d/1kGrh75X1cNR1D7_FcY9zMnHP8iPO4M5RCRjy6nZY0TY/edit#gid=1248694442"",""Table 3: 1st-line HC!BF5:BF111""), $A65=IMPORTRANGE(""https://docs.google.com/spreadsheets/d/1kGrh75X1cNR1D7_FcY9zMnHP8iP"&amp;"O4M5RCRjy6nZY0TY/edit#gid=1248694442"",""Table 3: 1st-line HC!A5:A111"")),"""")"),"")</f>
        <v/>
      </c>
      <c r="P65" s="20" t="str">
        <f>IFERROR(__xludf.DUMMYFUNCTION("IFNA(FILTER(IMPORTRANGE(""https://docs.google.com/spreadsheets/d/1kGrh75X1cNR1D7_FcY9zMnHP8iPO4M5RCRjy6nZY0TY/edit#gid=1248694442"",""Table 3: 1st-line HC!BG5:BG111""), $A65=IMPORTRANGE(""https://docs.google.com/spreadsheets/d/1kGrh75X1cNR1D7_FcY9zMnHP8iP"&amp;"O4M5RCRjy6nZY0TY/edit#gid=1248694442"",""Table 3: 1st-line HC!A5:A111"")),"""")"),"")</f>
        <v/>
      </c>
      <c r="Q65" s="21" t="str">
        <f>IFERROR(__xludf.DUMMYFUNCTION("IFNA(FILTER(IMPORTRANGE(""https://docs.google.com/spreadsheets/d/1kGrh75X1cNR1D7_FcY9zMnHP8iPO4M5RCRjy6nZY0TY/edit#gid=1248694442"",""Table 3: 1st-line HC!BH5:BH111""), $A65=IMPORTRANGE(""https://docs.google.com/spreadsheets/d/1kGrh75X1cNR1D7_FcY9zMnHP8iP"&amp;"O4M5RCRjy6nZY0TY/edit#gid=1248694442"",""Table 3: 1st-line HC!A5:A111"")),"""")"),"")</f>
        <v/>
      </c>
      <c r="R65" s="19" t="str">
        <f>IFERROR(__xludf.DUMMYFUNCTION("IFNA(FILTER(IMPORTRANGE(""https://docs.google.com/spreadsheets/d/1kGrh75X1cNR1D7_FcY9zMnHP8iPO4M5RCRjy6nZY0TY/edit#gid=1248694442"",""Table 3: 1st-line HC!AJ5:AJ111""), $A65=IMPORTRANGE(""https://docs.google.com/spreadsheets/d/1kGrh75X1cNR1D7_FcY9zMnHP8iP"&amp;"O4M5RCRjy6nZY0TY/edit#gid=1248694442"",""Table 3: 1st-line HC!A5:A111"")),"""")"),"")</f>
        <v/>
      </c>
      <c r="S65" s="20" t="str">
        <f>IFERROR(__xludf.DUMMYFUNCTION("IFNA(FILTER(IMPORTRANGE(""https://docs.google.com/spreadsheets/d/1kGrh75X1cNR1D7_FcY9zMnHP8iPO4M5RCRjy6nZY0TY/edit#gid=1248694442"",""Subgroup 3: Mi ~ Tx!B3:B17""), $A65=IMPORTRANGE(""https://docs.google.com/spreadsheets/d/1kGrh75X1cNR1D7_FcY9zMnHP8iPO4M5"&amp;"RCRjy6nZY0TY/edit#gid=1248694442"",""Subgroup 3: Mi ~ Tx!A3:A17"")),"""")"),"")</f>
        <v/>
      </c>
      <c r="T65" s="20" t="str">
        <f>IFERROR(__xludf.DUMMYFUNCTION("IFNA(FILTER(IMPORTRANGE(""https://docs.google.com/spreadsheets/d/1kGrh75X1cNR1D7_FcY9zMnHP8iPO4M5RCRjy6nZY0TY/edit#gid=1248694442"",""Subgroup 3: Mi ~ Tx!C3:C17""), $A65=IMPORTRANGE(""https://docs.google.com/spreadsheets/d/1kGrh75X1cNR1D7_FcY9zMnHP8iPO4M5"&amp;"RCRjy6nZY0TY/edit#gid=1248694442"",""Subgroup 3: Mi ~ Tx!A3:A17"")),"""")"),"")</f>
        <v/>
      </c>
      <c r="U65" s="20" t="str">
        <f>IFERROR(__xludf.DUMMYFUNCTION("IFNA(FILTER(IMPORTRANGE(""https://docs.google.com/spreadsheets/d/1kGrh75X1cNR1D7_FcY9zMnHP8iPO4M5RCRjy6nZY0TY/edit#gid=1248694442"",""Subgroup 3: Mi ~ Tx!D3:D17""), $A65=IMPORTRANGE(""https://docs.google.com/spreadsheets/d/1kGrh75X1cNR1D7_FcY9zMnHP8iPO4M5"&amp;"RCRjy6nZY0TY/edit#gid=1248694442"",""Subgroup 3: Mi ~ Tx!A3:A17"")),"""")"),"")</f>
        <v/>
      </c>
      <c r="V65" s="20" t="str">
        <f>IFERROR(__xludf.DUMMYFUNCTION("IFNA(FILTER(IMPORTRANGE(""https://docs.google.com/spreadsheets/d/1kGrh75X1cNR1D7_FcY9zMnHP8iPO4M5RCRjy6nZY0TY/edit#gid=1248694442"",""Subgroup 3: Mi ~ Tx!E3:E17""), $A65=IMPORTRANGE(""https://docs.google.com/spreadsheets/d/1kGrh75X1cNR1D7_FcY9zMnHP8iPO4M5"&amp;"RCRjy6nZY0TY/edit#gid=1248694442"",""Subgroup 3: Mi ~ Tx!A3:A17"")),"""")"),"")</f>
        <v/>
      </c>
      <c r="W65" s="20" t="str">
        <f>IFERROR(__xludf.DUMMYFUNCTION("IFNA(FILTER(IMPORTRANGE(""https://docs.google.com/spreadsheets/d/1kGrh75X1cNR1D7_FcY9zMnHP8iPO4M5RCRjy6nZY0TY/edit#gid=1248694442"",""Subgroup 3: Mi ~ Tx!F3:F17""), $A65=IMPORTRANGE(""https://docs.google.com/spreadsheets/d/1kGrh75X1cNR1D7_FcY9zMnHP8iPO4M5"&amp;"RCRjy6nZY0TY/edit#gid=1248694442"",""Subgroup 3: Mi ~ Tx!A3:A17"")),"""")"),"")</f>
        <v/>
      </c>
      <c r="X65" s="19" t="str">
        <f>IFERROR(__xludf.DUMMYFUNCTION("IFNA(FILTER(IMPORTRANGE(""https://docs.google.com/spreadsheets/d/1kGrh75X1cNR1D7_FcY9zMnHP8iPO4M5RCRjy6nZY0TY/edit#gid=1248694442"",""Table 3: 1st-line HC!AK5:AK111""), $A65=IMPORTRANGE(""https://docs.google.com/spreadsheets/d/1kGrh75X1cNR1D7_FcY9zMnHP8iP"&amp;"O4M5RCRjy6nZY0TY/edit#gid=1248694442"",""Table 3: 1st-line HC!A5:A111"")),"""")"),"")</f>
        <v/>
      </c>
      <c r="Y65" s="20" t="str">
        <f>IFERROR(__xludf.DUMMYFUNCTION("IFNA(FILTER(IMPORTRANGE(""https://docs.google.com/spreadsheets/d/1kGrh75X1cNR1D7_FcY9zMnHP8iPO4M5RCRjy6nZY0TY/edit#gid=1248694442"",""Subgroup 4: Mp ~ Tx!B3:B20""), $A65=IMPORTRANGE(""https://docs.google.com/spreadsheets/d/1kGrh75X1cNR1D7_FcY9zMnHP8iPO4M5"&amp;"RCRjy6nZY0TY/edit#gid=1248694442"",""Subgroup 4: Mp ~ Tx!A3:A20"")),"""")"),"")</f>
        <v/>
      </c>
      <c r="Z65" s="20" t="str">
        <f>IFERROR(__xludf.DUMMYFUNCTION("IFNA(FILTER(IMPORTRANGE(""https://docs.google.com/spreadsheets/d/1kGrh75X1cNR1D7_FcY9zMnHP8iPO4M5RCRjy6nZY0TY/edit#gid=1248694442"",""Subgroup 4: Mp ~ Tx!C3:C20""), $A65=IMPORTRANGE(""https://docs.google.com/spreadsheets/d/1kGrh75X1cNR1D7_FcY9zMnHP8iPO4M5"&amp;"RCRjy6nZY0TY/edit#gid=1248694442"",""Subgroup 4: Mp ~ Tx!A3:A20"")),"""")"),"")</f>
        <v/>
      </c>
      <c r="AA65" s="20" t="str">
        <f>IFERROR(__xludf.DUMMYFUNCTION("IFNA(FILTER(IMPORTRANGE(""https://docs.google.com/spreadsheets/d/1kGrh75X1cNR1D7_FcY9zMnHP8iPO4M5RCRjy6nZY0TY/edit#gid=1248694442"",""Subgroup 4: Mp ~ Tx!D3:D20""), $A65=IMPORTRANGE(""https://docs.google.com/spreadsheets/d/1kGrh75X1cNR1D7_FcY9zMnHP8iPO4M5"&amp;"RCRjy6nZY0TY/edit#gid=1248694442"",""Subgroup 4: Mp ~ Tx!A3:A20"")),"""")"),"")</f>
        <v/>
      </c>
      <c r="AB65" s="20" t="str">
        <f>IFERROR(__xludf.DUMMYFUNCTION("IFNA(FILTER(IMPORTRANGE(""https://docs.google.com/spreadsheets/d/1kGrh75X1cNR1D7_FcY9zMnHP8iPO4M5RCRjy6nZY0TY/edit#gid=1248694442"",""Subgroup 4: Mp ~ Tx!E3:E20""), $A65=IMPORTRANGE(""https://docs.google.com/spreadsheets/d/1kGrh75X1cNR1D7_FcY9zMnHP8iPO4M5"&amp;"RCRjy6nZY0TY/edit#gid=1248694442"",""Subgroup 4: Mp ~ Tx!A3:A20"")),"""")"),"")</f>
        <v/>
      </c>
      <c r="AC65" s="20" t="str">
        <f>IFERROR(__xludf.DUMMYFUNCTION("IFNA(FILTER(IMPORTRANGE(""https://docs.google.com/spreadsheets/d/1kGrh75X1cNR1D7_FcY9zMnHP8iPO4M5RCRjy6nZY0TY/edit#gid=1248694442"",""Subgroup 4: Mp ~ Tx!F3:F20""), $A65=IMPORTRANGE(""https://docs.google.com/spreadsheets/d/1kGrh75X1cNR1D7_FcY9zMnHP8iPO4M5"&amp;"RCRjy6nZY0TY/edit#gid=1248694442"",""Subgroup 4: Mp ~ Tx!A3:A20"")),"""")"),"")</f>
        <v/>
      </c>
      <c r="AD65" s="22" t="str">
        <f>IFERROR(__xludf.DUMMYFUNCTION("IFNA(FILTER(IMPORTRANGE(""https://docs.google.com/spreadsheets/d/1kGrh75X1cNR1D7_FcY9zMnHP8iPO4M5RCRjy6nZY0TY/edit#gid=1248694442"",""Table 3: 1st-line HC!AL5:AL111""), $A65=IMPORTRANGE(""https://docs.google.com/spreadsheets/d/1kGrh75X1cNR1D7_FcY9zMnHP8iP"&amp;"O4M5RCRjy6nZY0TY/edit#gid=1248694442"",""Table 3: 1st-line HC!A5:A111"")),"""")"),"")</f>
        <v/>
      </c>
      <c r="AE65" s="20" t="str">
        <f>IFERROR(__xludf.DUMMYFUNCTION("IFNA(FILTER(IMPORTRANGE(""https://docs.google.com/spreadsheets/d/1kGrh75X1cNR1D7_FcY9zMnHP8iPO4M5RCRjy6nZY0TY/edit#gid=1248694442"",""Table 3: 1st-line HC!BJ5:BJ111""), $A65=IMPORTRANGE(""https://docs.google.com/spreadsheets/d/1kGrh75X1cNR1D7_FcY9zMnHP8iP"&amp;"O4M5RCRjy6nZY0TY/edit#gid=1248694442"",""Table 3: 1st-line HC!A5:A111"")),"""")"),"")</f>
        <v/>
      </c>
      <c r="AF65" s="20" t="str">
        <f>IFERROR(__xludf.DUMMYFUNCTION("IFNA(FILTER(IMPORTRANGE(""https://docs.google.com/spreadsheets/d/1kGrh75X1cNR1D7_FcY9zMnHP8iPO4M5RCRjy6nZY0TY/edit#gid=1248694442"",""Subgroup 2: Cr ~ Tx!B3:B23""), $A65=IMPORTRANGE(""https://docs.google.com/spreadsheets/d/1kGrh75X1cNR1D7_FcY9zMnHP8iPO4M5"&amp;"RCRjy6nZY0TY/edit#gid=1248694442"",""Subgroup 2: Cr ~ Tx!A3:A23"")),"""")"),"")</f>
        <v/>
      </c>
      <c r="AG65" s="20" t="str">
        <f>IFERROR(__xludf.DUMMYFUNCTION("IFNA(FILTER(IMPORTRANGE(""https://docs.google.com/spreadsheets/d/1kGrh75X1cNR1D7_FcY9zMnHP8iPO4M5RCRjy6nZY0TY/edit#gid=1248694442"",""Subgroup 2: Cr ~ Tx!C3:C23""), $A65=IMPORTRANGE(""https://docs.google.com/spreadsheets/d/1kGrh75X1cNR1D7_FcY9zMnHP8iPO4M5"&amp;"RCRjy6nZY0TY/edit#gid=1248694442"",""Subgroup 2: Cr ~ Tx!A3:A23"")),"""")"),"")</f>
        <v/>
      </c>
      <c r="AH65" s="20" t="str">
        <f>IFERROR(__xludf.DUMMYFUNCTION("IFNA(FILTER(IMPORTRANGE(""https://docs.google.com/spreadsheets/d/1kGrh75X1cNR1D7_FcY9zMnHP8iPO4M5RCRjy6nZY0TY/edit#gid=1248694442"",""Subgroup 2: Cr ~ Tx!D3:D23""), $A65=IMPORTRANGE(""https://docs.google.com/spreadsheets/d/1kGrh75X1cNR1D7_FcY9zMnHP8iPO4M5"&amp;"RCRjy6nZY0TY/edit#gid=1248694442"",""Subgroup 2: Cr ~ Tx!A3:A23"")),"""")"),"")</f>
        <v/>
      </c>
      <c r="AI65" s="20" t="str">
        <f>IFERROR(__xludf.DUMMYFUNCTION("IFNA(FILTER(IMPORTRANGE(""https://docs.google.com/spreadsheets/d/1kGrh75X1cNR1D7_FcY9zMnHP8iPO4M5RCRjy6nZY0TY/edit#gid=1248694442"",""Subgroup 2: Cr ~ Tx!E3:E23""), $A65=IMPORTRANGE(""https://docs.google.com/spreadsheets/d/1kGrh75X1cNR1D7_FcY9zMnHP8iPO4M5"&amp;"RCRjy6nZY0TY/edit#gid=1248694442"",""Subgroup 2: Cr ~ Tx!A3:A23"")),"""")"),"")</f>
        <v/>
      </c>
      <c r="AJ65" s="20" t="str">
        <f>IFERROR(__xludf.DUMMYFUNCTION("IFNA(FILTER(IMPORTRANGE(""https://docs.google.com/spreadsheets/d/1kGrh75X1cNR1D7_FcY9zMnHP8iPO4M5RCRjy6nZY0TY/edit#gid=1248694442"",""Subgroup 2: Cr ~ Tx!F3:F23""), $A65=IMPORTRANGE(""https://docs.google.com/spreadsheets/d/1kGrh75X1cNR1D7_FcY9zMnHP8iPO4M5"&amp;"RCRjy6nZY0TY/edit#gid=1248694442"",""Subgroup 2: Cr ~ Tx!A3:A23"")),"""")"),"")</f>
        <v/>
      </c>
      <c r="AK65" s="14" t="str">
        <f>IFERROR(__xludf.DUMMYFUNCTION("IFNA(FILTER(IMPORTRANGE(""https://docs.google.com/spreadsheets/d/1kGrh75X1cNR1D7_FcY9zMnHP8iPO4M5RCRjy6nZY0TY/edit#gid=1248694442"",""Table 4: 2nd-line HC or more!M5:M85""), $A65=IMPORTRANGE(""https://docs.google.com/spreadsheets/d/1kGrh75X1cNR1D7_FcY9zMn"&amp;"HP8iPO4M5RCRjy6nZY0TY/edit#gid=1248694442"",""Table 4: 2nd-line HC or more!A5:A85"")),"""")"),"")</f>
        <v/>
      </c>
      <c r="AL65" s="14" t="str">
        <f>IFERROR(__xludf.DUMMYFUNCTION("IFNA(FILTER(IMPORTRANGE(""https://docs.google.com/spreadsheets/d/1kGrh75X1cNR1D7_FcY9zMnHP8iPO4M5RCRjy6nZY0TY/edit#gid=1248694442"",""Table 4: 2nd-line HC or more!N5:N85""), $A65=IMPORTRANGE(""https://docs.google.com/spreadsheets/d/1kGrh75X1cNR1D7_FcY9zMn"&amp;"HP8iPO4M5RCRjy6nZY0TY/edit#gid=1248694442"",""Table 4: 2nd-line HC or more!A5:A85"")),"""")"),"")</f>
        <v/>
      </c>
      <c r="AM65" s="14" t="str">
        <f>IFERROR(__xludf.DUMMYFUNCTION("IFNA(FILTER(IMPORTRANGE(""https://docs.google.com/spreadsheets/d/1kGrh75X1cNR1D7_FcY9zMnHP8iPO4M5RCRjy6nZY0TY/edit#gid=1248694442"",""Table 4: 2nd-line HC or more!O5:O85""), $A65=IMPORTRANGE(""https://docs.google.com/spreadsheets/d/1kGrh75X1cNR1D7_FcY9zMn"&amp;"HP8iPO4M5RCRjy6nZY0TY/edit#gid=1248694442"",""Table 4: 2nd-line HC or more!A5:A85"")),"""")"),"")</f>
        <v/>
      </c>
      <c r="AN65" s="14" t="str">
        <f>IFERROR(__xludf.DUMMYFUNCTION("IFNA(FILTER(IMPORTRANGE(""https://docs.google.com/spreadsheets/d/1kGrh75X1cNR1D7_FcY9zMnHP8iPO4M5RCRjy6nZY0TY/edit#gid=1248694442"",""Table 3: 1st-line HC!AP5:AP111""), $A65=IMPORTRANGE(""https://docs.google.com/spreadsheets/d/1kGrh75X1cNR1D7_FcY9zMnHP8iP"&amp;"O4M5RCRjy6nZY0TY/edit#gid=1248694442"",""Table 3: 1st-line HC!A5:A111"")),"""")"),"")</f>
        <v/>
      </c>
      <c r="AO65" s="14" t="str">
        <f>IFERROR(__xludf.DUMMYFUNCTION("IFNA(FILTER(IMPORTRANGE(""https://docs.google.com/spreadsheets/d/1kGrh75X1cNR1D7_FcY9zMnHP8iPO4M5RCRjy6nZY0TY/edit#gid=1248694442"",""Table 3: 1st-line HC!AO5:AO111""), $A65=IMPORTRANGE(""https://docs.google.com/spreadsheets/d/1kGrh75X1cNR1D7_FcY9zMnHP8iP"&amp;"O4M5RCRjy6nZY0TY/edit#gid=1248694442"",""Table 3: 1st-line HC!A5:A111"")),"""")"),"")</f>
        <v/>
      </c>
      <c r="AP65" s="14" t="str">
        <f>IFERROR(__xludf.DUMMYFUNCTION("IFNA(FILTER(IMPORTRANGE(""https://docs.google.com/spreadsheets/d/1kGrh75X1cNR1D7_FcY9zMnHP8iPO4M5RCRjy6nZY0TY/edit#gid=1248694442"",""Table 3: 1st-line HC!AQ5:AQ111""), $A65=IMPORTRANGE(""https://docs.google.com/spreadsheets/d/1kGrh75X1cNR1D7_FcY9zMnHP8iP"&amp;"O4M5RCRjy6nZY0TY/edit#gid=1248694442"",""Table 3: 1st-line HC!A5:A111"")),"""")"),"")</f>
        <v/>
      </c>
      <c r="AQ65" s="14" t="str">
        <f>IFERROR(__xludf.DUMMYFUNCTION("IFNA(FILTER(IMPORTRANGE(""https://docs.google.com/spreadsheets/d/1kGrh75X1cNR1D7_FcY9zMnHP8iPO4M5RCRjy6nZY0TY/edit#gid=1248694442"",""Table 2: MMC!T5:T114""), $A65=IMPORTRANGE(""https://docs.google.com/spreadsheets/d/1kGrh75X1cNR1D7_FcY9zMnHP8iPO4M5RCRjy6"&amp;"nZY0TY/edit#gid=1248694442"",""Table 2: MMC!A5:A114"")),"""")"),"")</f>
        <v/>
      </c>
      <c r="AR65" s="14" t="str">
        <f>IFERROR(__xludf.DUMMYFUNCTION("IFNA(FILTER(IMPORTRANGE(""https://docs.google.com/spreadsheets/d/1kGrh75X1cNR1D7_FcY9zMnHP8iPO4M5RCRjy6nZY0TY/edit#gid=1248694442"",""Table 2: MMC!U5:U114""), $A65=IMPORTRANGE(""https://docs.google.com/spreadsheets/d/1kGrh75X1cNR1D7_FcY9zMnHP8iPO4M5RCRjy6"&amp;"nZY0TY/edit#gid=1248694442"",""Table 2: MMC!A5:A114"")),"""")"),"")</f>
        <v/>
      </c>
      <c r="AS65" s="14" t="str">
        <f>IFERROR(__xludf.DUMMYFUNCTION("IFNA(FILTER(IMPORTRANGE(""https://docs.google.com/spreadsheets/d/1kGrh75X1cNR1D7_FcY9zMnHP8iPO4M5RCRjy6nZY0TY/edit#gid=1248694442"",""Table 2: MMC!V5:V114""), $A65=IMPORTRANGE(""https://docs.google.com/spreadsheets/d/1kGrh75X1cNR1D7_FcY9zMnHP8iPO4M5RCRjy6"&amp;"nZY0TY/edit#gid=1248694442"",""Table 2: MMC!A5:A114"")),"""")"),"")</f>
        <v/>
      </c>
      <c r="AT65" s="4" t="str">
        <f>IFERROR(__xludf.DUMMYFUNCTION("IFNA(FILTER(IMPORTRANGE(""https://docs.google.com/spreadsheets/d/1kGrh75X1cNR1D7_FcY9zMnHP8iPO4M5RCRjy6nZY0TY/edit#gid=1248694442"",""Table 2: MMC!W5:W114""), $A65=IMPORTRANGE(""https://docs.google.com/spreadsheets/d/1kGrh75X1cNR1D7_FcY9zMnHP8iPO4M5RCRjy6"&amp;"nZY0TY/edit#gid=1248694442"",""Table 2: MMC!A5:A114"")),"""")"),"")</f>
        <v/>
      </c>
    </row>
    <row r="66">
      <c r="A66" s="4" t="str">
        <f>IFERROR(__xludf.DUMMYFUNCTION("""COMPUTED_VALUE"""),"ID 146")</f>
        <v>ID 146</v>
      </c>
      <c r="B66" s="20">
        <f>IFERROR(__xludf.DUMMYFUNCTION("IFNA(FILTER(IMPORTRANGE(""https://docs.google.com/spreadsheets/d/1kGrh75X1cNR1D7_FcY9zMnHP8iPO4M5RCRjy6nZY0TY/edit#gid=1248694442"",""Table 3: 1st-line HC!BK5:BK111""), $A66=IMPORTRANGE(""https://docs.google.com/spreadsheets/d/1kGrh75X1cNR1D7_FcY9zMnHP8iP"&amp;"O4M5RCRjy6nZY0TY/edit#gid=1248694442"",""Table 3: 1st-line HC!A5:A111"")),"""")"),0.222)</f>
        <v>0.222</v>
      </c>
      <c r="C66" s="20" t="str">
        <f>IFERROR(__xludf.DUMMYFUNCTION("IFNA(FILTER(IMPORTRANGE(""https://docs.google.com/spreadsheets/d/1kGrh75X1cNR1D7_FcY9zMnHP8iPO4M5RCRjy6nZY0TY/edit#gid=1248694442"",""Subgroup 1: Fr ~ Tx!B3:B20""), $A66=IMPORTRANGE(""https://docs.google.com/spreadsheets/d/1kGrh75X1cNR1D7_FcY9zMnHP8iPO4M5"&amp;"RCRjy6nZY0TY/edit#gid=1248694442"",""Subgroup 1: Fr ~ Tx!A3:A20"")),"""")"),"")</f>
        <v/>
      </c>
      <c r="D66" s="20">
        <f>IFERROR(__xludf.DUMMYFUNCTION("IFNA(FILTER(IMPORTRANGE(""https://docs.google.com/spreadsheets/d/1kGrh75X1cNR1D7_FcY9zMnHP8iPO4M5RCRjy6nZY0TY/edit#gid=1248694442"",""Subgroup 1: Fr ~ Tx!C3:C20""), $A66=IMPORTRANGE(""https://docs.google.com/spreadsheets/d/1kGrh75X1cNR1D7_FcY9zMnHP8iPO4M5"&amp;"RCRjy6nZY0TY/edit#gid=1248694442"",""Subgroup 1: Fr ~ Tx!A3:A20"")),"""")"),0.0)</f>
        <v>0</v>
      </c>
      <c r="E66" s="20">
        <f>IFERROR(__xludf.DUMMYFUNCTION("IFNA(FILTER(IMPORTRANGE(""https://docs.google.com/spreadsheets/d/1kGrh75X1cNR1D7_FcY9zMnHP8iPO4M5RCRjy6nZY0TY/edit#gid=1248694442"",""Subgroup 1: Fr ~ Tx!D3:D20""), $A66=IMPORTRANGE(""https://docs.google.com/spreadsheets/d/1kGrh75X1cNR1D7_FcY9zMnHP8iPO4M5"&amp;"RCRjy6nZY0TY/edit#gid=1248694442"",""Subgroup 1: Fr ~ Tx!A3:A20"")),"""")"),0.55)</f>
        <v>0.55</v>
      </c>
      <c r="F66" s="20" t="str">
        <f>IFERROR(__xludf.DUMMYFUNCTION("IFNA(FILTER(IMPORTRANGE(""https://docs.google.com/spreadsheets/d/1kGrh75X1cNR1D7_FcY9zMnHP8iPO4M5RCRjy6nZY0TY/edit#gid=1248694442"",""Subgroup 1: Fr ~ Tx!E3:E20""), $A66=IMPORTRANGE(""https://docs.google.com/spreadsheets/d/1kGrh75X1cNR1D7_FcY9zMnHP8iPO4M5"&amp;"RCRjy6nZY0TY/edit#gid=1248694442"",""Subgroup 1: Fr ~ Tx!A3:A20"")),"""")"),"")</f>
        <v/>
      </c>
      <c r="G66" s="20">
        <f>IFERROR(__xludf.DUMMYFUNCTION("IFNA(FILTER(IMPORTRANGE(""https://docs.google.com/spreadsheets/d/1kGrh75X1cNR1D7_FcY9zMnHP8iPO4M5RCRjy6nZY0TY/edit#gid=1248694442"",""Subgroup 1: Fr ~ Tx!F3:F20""), $A66=IMPORTRANGE(""https://docs.google.com/spreadsheets/d/1kGrh75X1cNR1D7_FcY9zMnHP8iPO4M5"&amp;"RCRjy6nZY0TY/edit#gid=1248694442"",""Subgroup 1: Fr ~ Tx!A3:A20"")),"""")"),0.0)</f>
        <v>0</v>
      </c>
      <c r="H66" s="20" t="str">
        <f>IFERROR(__xludf.DUMMYFUNCTION("IFNA(FILTER(IMPORTRANGE(""https://docs.google.com/spreadsheets/d/1kGrh75X1cNR1D7_FcY9zMnHP8iPO4M5RCRjy6nZY0TY/edit#gid=1248694442"",""Table 3: 1st-line HC!BD5:BD111""), $A66=IMPORTRANGE(""https://docs.google.com/spreadsheets/d/1kGrh75X1cNR1D7_FcY9zMnHP8iP"&amp;"O4M5RCRjy6nZY0TY/edit#gid=1248694442"",""Table 3: 1st-line HC!A5:A111"")),"""")"),"")</f>
        <v/>
      </c>
      <c r="I66" s="20" t="str">
        <f>IFERROR(__xludf.DUMMYFUNCTION("IFNA(FILTER(IMPORTRANGE(""https://docs.google.com/spreadsheets/d/1kGrh75X1cNR1D7_FcY9zMnHP8iPO4M5RCRjy6nZY0TY/edit#gid=1248694442"",""Subgroup 5: Tf ~ Tx!B3:B8""), $A66=IMPORTRANGE(""https://docs.google.com/spreadsheets/d/1kGrh75X1cNR1D7_FcY9zMnHP8iPO4M5R"&amp;"CRjy6nZY0TY/edit#gid=1248694442"",""Subgroup 5: Tf ~ Tx!A3:A8"")),"""")"),"")</f>
        <v/>
      </c>
      <c r="J66" s="20" t="str">
        <f>IFERROR(__xludf.DUMMYFUNCTION("IFNA(FILTER(IMPORTRANGE(""https://docs.google.com/spreadsheets/d/1kGrh75X1cNR1D7_FcY9zMnHP8iPO4M5RCRjy6nZY0TY/edit#gid=1248694442"",""Subgroup 5: Tf ~ Tx!C3:C8""), $A66=IMPORTRANGE(""https://docs.google.com/spreadsheets/d/1kGrh75X1cNR1D7_FcY9zMnHP8iPO4M5R"&amp;"CRjy6nZY0TY/edit#gid=1248694442"",""Subgroup 5: Tf ~ Tx!A3:A8"")),"""")"),"")</f>
        <v/>
      </c>
      <c r="K66" s="20" t="str">
        <f>IFERROR(__xludf.DUMMYFUNCTION("IFNA(FILTER(IMPORTRANGE(""https://docs.google.com/spreadsheets/d/1kGrh75X1cNR1D7_FcY9zMnHP8iPO4M5RCRjy6nZY0TY/edit#gid=1248694442"",""Subgroup 5: Tf ~ Tx!D3:D8""), $A66=IMPORTRANGE(""https://docs.google.com/spreadsheets/d/1kGrh75X1cNR1D7_FcY9zMnHP8iPO4M5R"&amp;"CRjy6nZY0TY/edit#gid=1248694442"",""Subgroup 5: Tf ~ Tx!A3:A8"")),"""")"),"")</f>
        <v/>
      </c>
      <c r="L66" s="20" t="str">
        <f>IFERROR(__xludf.DUMMYFUNCTION("IFNA(FILTER(IMPORTRANGE(""https://docs.google.com/spreadsheets/d/1kGrh75X1cNR1D7_FcY9zMnHP8iPO4M5RCRjy6nZY0TY/edit#gid=1248694442"",""Subgroup 5: Tf ~ Tx!E3:E8""), $A66=IMPORTRANGE(""https://docs.google.com/spreadsheets/d/1kGrh75X1cNR1D7_FcY9zMnHP8iPO4M5R"&amp;"CRjy6nZY0TY/edit#gid=1248694442"",""Subgroup 5: Tf ~ Tx!A3:A8"")),"""")"),"")</f>
        <v/>
      </c>
      <c r="M66" s="20" t="str">
        <f>IFERROR(__xludf.DUMMYFUNCTION("IFNA(FILTER(IMPORTRANGE(""https://docs.google.com/spreadsheets/d/1kGrh75X1cNR1D7_FcY9zMnHP8iPO4M5RCRjy6nZY0TY/edit#gid=1248694442"",""Subgroup 5: Tf ~ Tx!F3:F8""), $A66=IMPORTRANGE(""https://docs.google.com/spreadsheets/d/1kGrh75X1cNR1D7_FcY9zMnHP8iPO4M5R"&amp;"CRjy6nZY0TY/edit#gid=1248694442"",""Subgroup 5: Tf ~ Tx!A3:A8"")),"""")"),"")</f>
        <v/>
      </c>
      <c r="N66" s="20" t="str">
        <f>IFERROR(__xludf.DUMMYFUNCTION("IFNA(FILTER(IMPORTRANGE(""https://docs.google.com/spreadsheets/d/1kGrh75X1cNR1D7_FcY9zMnHP8iPO4M5RCRjy6nZY0TY/edit#gid=1248694442"",""Table 3: 1st-line HC!BE5:BE111""), $A66=IMPORTRANGE(""https://docs.google.com/spreadsheets/d/1kGrh75X1cNR1D7_FcY9zMnHP8iP"&amp;"O4M5RCRjy6nZY0TY/edit#gid=1248694442"",""Table 3: 1st-line HC!A5:A111"")),"""")"),"")</f>
        <v/>
      </c>
      <c r="O66" s="20" t="str">
        <f>IFERROR(__xludf.DUMMYFUNCTION("IFNA(FILTER(IMPORTRANGE(""https://docs.google.com/spreadsheets/d/1kGrh75X1cNR1D7_FcY9zMnHP8iPO4M5RCRjy6nZY0TY/edit#gid=1248694442"",""Table 3: 1st-line HC!BF5:BF111""), $A66=IMPORTRANGE(""https://docs.google.com/spreadsheets/d/1kGrh75X1cNR1D7_FcY9zMnHP8iP"&amp;"O4M5RCRjy6nZY0TY/edit#gid=1248694442"",""Table 3: 1st-line HC!A5:A111"")),"""")"),"")</f>
        <v/>
      </c>
      <c r="P66" s="20" t="str">
        <f>IFERROR(__xludf.DUMMYFUNCTION("IFNA(FILTER(IMPORTRANGE(""https://docs.google.com/spreadsheets/d/1kGrh75X1cNR1D7_FcY9zMnHP8iPO4M5RCRjy6nZY0TY/edit#gid=1248694442"",""Table 3: 1st-line HC!BG5:BG111""), $A66=IMPORTRANGE(""https://docs.google.com/spreadsheets/d/1kGrh75X1cNR1D7_FcY9zMnHP8iP"&amp;"O4M5RCRjy6nZY0TY/edit#gid=1248694442"",""Table 3: 1st-line HC!A5:A111"")),"""")"),"")</f>
        <v/>
      </c>
      <c r="Q66" s="21" t="str">
        <f>IFERROR(__xludf.DUMMYFUNCTION("IFNA(FILTER(IMPORTRANGE(""https://docs.google.com/spreadsheets/d/1kGrh75X1cNR1D7_FcY9zMnHP8iPO4M5RCRjy6nZY0TY/edit#gid=1248694442"",""Table 3: 1st-line HC!BH5:BH111""), $A66=IMPORTRANGE(""https://docs.google.com/spreadsheets/d/1kGrh75X1cNR1D7_FcY9zMnHP8iP"&amp;"O4M5RCRjy6nZY0TY/edit#gid=1248694442"",""Table 3: 1st-line HC!A5:A111"")),"""")"),"")</f>
        <v/>
      </c>
      <c r="R66" s="19">
        <f>IFERROR(__xludf.DUMMYFUNCTION("IFNA(FILTER(IMPORTRANGE(""https://docs.google.com/spreadsheets/d/1kGrh75X1cNR1D7_FcY9zMnHP8iPO4M5RCRjy6nZY0TY/edit#gid=1248694442"",""Table 3: 1st-line HC!AJ5:AJ111""), $A66=IMPORTRANGE(""https://docs.google.com/spreadsheets/d/1kGrh75X1cNR1D7_FcY9zMnHP8iP"&amp;"O4M5RCRjy6nZY0TY/edit#gid=1248694442"",""Table 3: 1st-line HC!A5:A111"")),"""")"),0.0)</f>
        <v>0</v>
      </c>
      <c r="S66" s="20" t="str">
        <f>IFERROR(__xludf.DUMMYFUNCTION("IFNA(FILTER(IMPORTRANGE(""https://docs.google.com/spreadsheets/d/1kGrh75X1cNR1D7_FcY9zMnHP8iPO4M5RCRjy6nZY0TY/edit#gid=1248694442"",""Subgroup 3: Mi ~ Tx!B3:B17""), $A66=IMPORTRANGE(""https://docs.google.com/spreadsheets/d/1kGrh75X1cNR1D7_FcY9zMnHP8iPO4M5"&amp;"RCRjy6nZY0TY/edit#gid=1248694442"",""Subgroup 3: Mi ~ Tx!A3:A17"")),"""")"),"")</f>
        <v/>
      </c>
      <c r="T66" s="20">
        <f>IFERROR(__xludf.DUMMYFUNCTION("IFNA(FILTER(IMPORTRANGE(""https://docs.google.com/spreadsheets/d/1kGrh75X1cNR1D7_FcY9zMnHP8iPO4M5RCRjy6nZY0TY/edit#gid=1248694442"",""Subgroup 3: Mi ~ Tx!C3:C17""), $A66=IMPORTRANGE(""https://docs.google.com/spreadsheets/d/1kGrh75X1cNR1D7_FcY9zMnHP8iPO4M5"&amp;"RCRjy6nZY0TY/edit#gid=1248694442"",""Subgroup 3: Mi ~ Tx!A3:A17"")),"""")"),0.0)</f>
        <v>0</v>
      </c>
      <c r="U66" s="20" t="str">
        <f>IFERROR(__xludf.DUMMYFUNCTION("IFNA(FILTER(IMPORTRANGE(""https://docs.google.com/spreadsheets/d/1kGrh75X1cNR1D7_FcY9zMnHP8iPO4M5RCRjy6nZY0TY/edit#gid=1248694442"",""Subgroup 3: Mi ~ Tx!D3:D17""), $A66=IMPORTRANGE(""https://docs.google.com/spreadsheets/d/1kGrh75X1cNR1D7_FcY9zMnHP8iPO4M5"&amp;"RCRjy6nZY0TY/edit#gid=1248694442"",""Subgroup 3: Mi ~ Tx!A3:A17"")),"""")"),"")</f>
        <v/>
      </c>
      <c r="V66" s="20" t="str">
        <f>IFERROR(__xludf.DUMMYFUNCTION("IFNA(FILTER(IMPORTRANGE(""https://docs.google.com/spreadsheets/d/1kGrh75X1cNR1D7_FcY9zMnHP8iPO4M5RCRjy6nZY0TY/edit#gid=1248694442"",""Subgroup 3: Mi ~ Tx!E3:E17""), $A66=IMPORTRANGE(""https://docs.google.com/spreadsheets/d/1kGrh75X1cNR1D7_FcY9zMnHP8iPO4M5"&amp;"RCRjy6nZY0TY/edit#gid=1248694442"",""Subgroup 3: Mi ~ Tx!A3:A17"")),"""")"),"")</f>
        <v/>
      </c>
      <c r="W66" s="20" t="str">
        <f>IFERROR(__xludf.DUMMYFUNCTION("IFNA(FILTER(IMPORTRANGE(""https://docs.google.com/spreadsheets/d/1kGrh75X1cNR1D7_FcY9zMnHP8iPO4M5RCRjy6nZY0TY/edit#gid=1248694442"",""Subgroup 3: Mi ~ Tx!F3:F17""), $A66=IMPORTRANGE(""https://docs.google.com/spreadsheets/d/1kGrh75X1cNR1D7_FcY9zMnHP8iPO4M5"&amp;"RCRjy6nZY0TY/edit#gid=1248694442"",""Subgroup 3: Mi ~ Tx!A3:A17"")),"""")"),"")</f>
        <v/>
      </c>
      <c r="X66" s="19">
        <f>IFERROR(__xludf.DUMMYFUNCTION("IFNA(FILTER(IMPORTRANGE(""https://docs.google.com/spreadsheets/d/1kGrh75X1cNR1D7_FcY9zMnHP8iPO4M5RCRjy6nZY0TY/edit#gid=1248694442"",""Table 3: 1st-line HC!AK5:AK111""), $A66=IMPORTRANGE(""https://docs.google.com/spreadsheets/d/1kGrh75X1cNR1D7_FcY9zMnHP8iP"&amp;"O4M5RCRjy6nZY0TY/edit#gid=1248694442"",""Table 3: 1st-line HC!A5:A111"")),"""")"),0.0)</f>
        <v>0</v>
      </c>
      <c r="Y66" s="20" t="str">
        <f>IFERROR(__xludf.DUMMYFUNCTION("IFNA(FILTER(IMPORTRANGE(""https://docs.google.com/spreadsheets/d/1kGrh75X1cNR1D7_FcY9zMnHP8iPO4M5RCRjy6nZY0TY/edit#gid=1248694442"",""Subgroup 4: Mp ~ Tx!B3:B20""), $A66=IMPORTRANGE(""https://docs.google.com/spreadsheets/d/1kGrh75X1cNR1D7_FcY9zMnHP8iPO4M5"&amp;"RCRjy6nZY0TY/edit#gid=1248694442"",""Subgroup 4: Mp ~ Tx!A3:A20"")),"""")"),"")</f>
        <v/>
      </c>
      <c r="Z66" s="20">
        <f>IFERROR(__xludf.DUMMYFUNCTION("IFNA(FILTER(IMPORTRANGE(""https://docs.google.com/spreadsheets/d/1kGrh75X1cNR1D7_FcY9zMnHP8iPO4M5RCRjy6nZY0TY/edit#gid=1248694442"",""Subgroup 4: Mp ~ Tx!C3:C20""), $A66=IMPORTRANGE(""https://docs.google.com/spreadsheets/d/1kGrh75X1cNR1D7_FcY9zMnHP8iPO4M5"&amp;"RCRjy6nZY0TY/edit#gid=1248694442"",""Subgroup 4: Mp ~ Tx!A3:A20"")),"""")"),0.0)</f>
        <v>0</v>
      </c>
      <c r="AA66" s="20" t="str">
        <f>IFERROR(__xludf.DUMMYFUNCTION("IFNA(FILTER(IMPORTRANGE(""https://docs.google.com/spreadsheets/d/1kGrh75X1cNR1D7_FcY9zMnHP8iPO4M5RCRjy6nZY0TY/edit#gid=1248694442"",""Subgroup 4: Mp ~ Tx!D3:D20""), $A66=IMPORTRANGE(""https://docs.google.com/spreadsheets/d/1kGrh75X1cNR1D7_FcY9zMnHP8iPO4M5"&amp;"RCRjy6nZY0TY/edit#gid=1248694442"",""Subgroup 4: Mp ~ Tx!A3:A20"")),"""")"),"")</f>
        <v/>
      </c>
      <c r="AB66" s="20" t="str">
        <f>IFERROR(__xludf.DUMMYFUNCTION("IFNA(FILTER(IMPORTRANGE(""https://docs.google.com/spreadsheets/d/1kGrh75X1cNR1D7_FcY9zMnHP8iPO4M5RCRjy6nZY0TY/edit#gid=1248694442"",""Subgroup 4: Mp ~ Tx!E3:E20""), $A66=IMPORTRANGE(""https://docs.google.com/spreadsheets/d/1kGrh75X1cNR1D7_FcY9zMnHP8iPO4M5"&amp;"RCRjy6nZY0TY/edit#gid=1248694442"",""Subgroup 4: Mp ~ Tx!A3:A20"")),"""")"),"")</f>
        <v/>
      </c>
      <c r="AC66" s="20" t="str">
        <f>IFERROR(__xludf.DUMMYFUNCTION("IFNA(FILTER(IMPORTRANGE(""https://docs.google.com/spreadsheets/d/1kGrh75X1cNR1D7_FcY9zMnHP8iPO4M5RCRjy6nZY0TY/edit#gid=1248694442"",""Subgroup 4: Mp ~ Tx!F3:F20""), $A66=IMPORTRANGE(""https://docs.google.com/spreadsheets/d/1kGrh75X1cNR1D7_FcY9zMnHP8iPO4M5"&amp;"RCRjy6nZY0TY/edit#gid=1248694442"",""Subgroup 4: Mp ~ Tx!A3:A20"")),"""")"),"")</f>
        <v/>
      </c>
      <c r="AD66" s="22" t="str">
        <f>IFERROR(__xludf.DUMMYFUNCTION("IFNA(FILTER(IMPORTRANGE(""https://docs.google.com/spreadsheets/d/1kGrh75X1cNR1D7_FcY9zMnHP8iPO4M5RCRjy6nZY0TY/edit#gid=1248694442"",""Table 3: 1st-line HC!AL5:AL111""), $A66=IMPORTRANGE(""https://docs.google.com/spreadsheets/d/1kGrh75X1cNR1D7_FcY9zMnHP8iP"&amp;"O4M5RCRjy6nZY0TY/edit#gid=1248694442"",""Table 3: 1st-line HC!A5:A111"")),"""")"),"")</f>
        <v/>
      </c>
      <c r="AE66" s="20" t="str">
        <f>IFERROR(__xludf.DUMMYFUNCTION("IFNA(FILTER(IMPORTRANGE(""https://docs.google.com/spreadsheets/d/1kGrh75X1cNR1D7_FcY9zMnHP8iPO4M5RCRjy6nZY0TY/edit#gid=1248694442"",""Table 3: 1st-line HC!BJ5:BJ111""), $A66=IMPORTRANGE(""https://docs.google.com/spreadsheets/d/1kGrh75X1cNR1D7_FcY9zMnHP8iP"&amp;"O4M5RCRjy6nZY0TY/edit#gid=1248694442"",""Table 3: 1st-line HC!A5:A111"")),"""")"),"")</f>
        <v/>
      </c>
      <c r="AF66" s="20" t="str">
        <f>IFERROR(__xludf.DUMMYFUNCTION("IFNA(FILTER(IMPORTRANGE(""https://docs.google.com/spreadsheets/d/1kGrh75X1cNR1D7_FcY9zMnHP8iPO4M5RCRjy6nZY0TY/edit#gid=1248694442"",""Subgroup 2: Cr ~ Tx!B3:B23""), $A66=IMPORTRANGE(""https://docs.google.com/spreadsheets/d/1kGrh75X1cNR1D7_FcY9zMnHP8iPO4M5"&amp;"RCRjy6nZY0TY/edit#gid=1248694442"",""Subgroup 2: Cr ~ Tx!A3:A23"")),"""")"),"")</f>
        <v/>
      </c>
      <c r="AG66" s="20" t="str">
        <f>IFERROR(__xludf.DUMMYFUNCTION("IFNA(FILTER(IMPORTRANGE(""https://docs.google.com/spreadsheets/d/1kGrh75X1cNR1D7_FcY9zMnHP8iPO4M5RCRjy6nZY0TY/edit#gid=1248694442"",""Subgroup 2: Cr ~ Tx!C3:C23""), $A66=IMPORTRANGE(""https://docs.google.com/spreadsheets/d/1kGrh75X1cNR1D7_FcY9zMnHP8iPO4M5"&amp;"RCRjy6nZY0TY/edit#gid=1248694442"",""Subgroup 2: Cr ~ Tx!A3:A23"")),"""")"),"")</f>
        <v/>
      </c>
      <c r="AH66" s="20" t="str">
        <f>IFERROR(__xludf.DUMMYFUNCTION("IFNA(FILTER(IMPORTRANGE(""https://docs.google.com/spreadsheets/d/1kGrh75X1cNR1D7_FcY9zMnHP8iPO4M5RCRjy6nZY0TY/edit#gid=1248694442"",""Subgroup 2: Cr ~ Tx!D3:D23""), $A66=IMPORTRANGE(""https://docs.google.com/spreadsheets/d/1kGrh75X1cNR1D7_FcY9zMnHP8iPO4M5"&amp;"RCRjy6nZY0TY/edit#gid=1248694442"",""Subgroup 2: Cr ~ Tx!A3:A23"")),"""")"),"")</f>
        <v/>
      </c>
      <c r="AI66" s="20" t="str">
        <f>IFERROR(__xludf.DUMMYFUNCTION("IFNA(FILTER(IMPORTRANGE(""https://docs.google.com/spreadsheets/d/1kGrh75X1cNR1D7_FcY9zMnHP8iPO4M5RCRjy6nZY0TY/edit#gid=1248694442"",""Subgroup 2: Cr ~ Tx!E3:E23""), $A66=IMPORTRANGE(""https://docs.google.com/spreadsheets/d/1kGrh75X1cNR1D7_FcY9zMnHP8iPO4M5"&amp;"RCRjy6nZY0TY/edit#gid=1248694442"",""Subgroup 2: Cr ~ Tx!A3:A23"")),"""")"),"")</f>
        <v/>
      </c>
      <c r="AJ66" s="20" t="str">
        <f>IFERROR(__xludf.DUMMYFUNCTION("IFNA(FILTER(IMPORTRANGE(""https://docs.google.com/spreadsheets/d/1kGrh75X1cNR1D7_FcY9zMnHP8iPO4M5RCRjy6nZY0TY/edit#gid=1248694442"",""Subgroup 2: Cr ~ Tx!F3:F23""), $A66=IMPORTRANGE(""https://docs.google.com/spreadsheets/d/1kGrh75X1cNR1D7_FcY9zMnHP8iPO4M5"&amp;"RCRjy6nZY0TY/edit#gid=1248694442"",""Subgroup 2: Cr ~ Tx!A3:A23"")),"""")"),"")</f>
        <v/>
      </c>
      <c r="AK66" s="14" t="str">
        <f>IFERROR(__xludf.DUMMYFUNCTION("IFNA(FILTER(IMPORTRANGE(""https://docs.google.com/spreadsheets/d/1kGrh75X1cNR1D7_FcY9zMnHP8iPO4M5RCRjy6nZY0TY/edit#gid=1248694442"",""Table 4: 2nd-line HC or more!M5:M85""), $A66=IMPORTRANGE(""https://docs.google.com/spreadsheets/d/1kGrh75X1cNR1D7_FcY9zMn"&amp;"HP8iPO4M5RCRjy6nZY0TY/edit#gid=1248694442"",""Table 4: 2nd-line HC or more!A5:A85"")),"""")"),"")</f>
        <v/>
      </c>
      <c r="AL66" s="14" t="str">
        <f>IFERROR(__xludf.DUMMYFUNCTION("IFNA(FILTER(IMPORTRANGE(""https://docs.google.com/spreadsheets/d/1kGrh75X1cNR1D7_FcY9zMnHP8iPO4M5RCRjy6nZY0TY/edit#gid=1248694442"",""Table 4: 2nd-line HC or more!N5:N85""), $A66=IMPORTRANGE(""https://docs.google.com/spreadsheets/d/1kGrh75X1cNR1D7_FcY9zMn"&amp;"HP8iPO4M5RCRjy6nZY0TY/edit#gid=1248694442"",""Table 4: 2nd-line HC or more!A5:A85"")),"""")"),"")</f>
        <v/>
      </c>
      <c r="AM66" s="14" t="str">
        <f>IFERROR(__xludf.DUMMYFUNCTION("IFNA(FILTER(IMPORTRANGE(""https://docs.google.com/spreadsheets/d/1kGrh75X1cNR1D7_FcY9zMnHP8iPO4M5RCRjy6nZY0TY/edit#gid=1248694442"",""Table 4: 2nd-line HC or more!O5:O85""), $A66=IMPORTRANGE(""https://docs.google.com/spreadsheets/d/1kGrh75X1cNR1D7_FcY9zMn"&amp;"HP8iPO4M5RCRjy6nZY0TY/edit#gid=1248694442"",""Table 4: 2nd-line HC or more!A5:A85"")),"""")"),"")</f>
        <v/>
      </c>
      <c r="AN66" s="14" t="str">
        <f>IFERROR(__xludf.DUMMYFUNCTION("IFNA(FILTER(IMPORTRANGE(""https://docs.google.com/spreadsheets/d/1kGrh75X1cNR1D7_FcY9zMnHP8iPO4M5RCRjy6nZY0TY/edit#gid=1248694442"",""Table 3: 1st-line HC!AP5:AP111""), $A66=IMPORTRANGE(""https://docs.google.com/spreadsheets/d/1kGrh75X1cNR1D7_FcY9zMnHP8iP"&amp;"O4M5RCRjy6nZY0TY/edit#gid=1248694442"",""Table 3: 1st-line HC!A5:A111"")),"""")"),"")</f>
        <v/>
      </c>
      <c r="AO66" s="14" t="str">
        <f>IFERROR(__xludf.DUMMYFUNCTION("IFNA(FILTER(IMPORTRANGE(""https://docs.google.com/spreadsheets/d/1kGrh75X1cNR1D7_FcY9zMnHP8iPO4M5RCRjy6nZY0TY/edit#gid=1248694442"",""Table 3: 1st-line HC!AO5:AO111""), $A66=IMPORTRANGE(""https://docs.google.com/spreadsheets/d/1kGrh75X1cNR1D7_FcY9zMnHP8iP"&amp;"O4M5RCRjy6nZY0TY/edit#gid=1248694442"",""Table 3: 1st-line HC!A5:A111"")),"""")"),"")</f>
        <v/>
      </c>
      <c r="AP66" s="14" t="str">
        <f>IFERROR(__xludf.DUMMYFUNCTION("IFNA(FILTER(IMPORTRANGE(""https://docs.google.com/spreadsheets/d/1kGrh75X1cNR1D7_FcY9zMnHP8iPO4M5RCRjy6nZY0TY/edit#gid=1248694442"",""Table 3: 1st-line HC!AQ5:AQ111""), $A66=IMPORTRANGE(""https://docs.google.com/spreadsheets/d/1kGrh75X1cNR1D7_FcY9zMnHP8iP"&amp;"O4M5RCRjy6nZY0TY/edit#gid=1248694442"",""Table 3: 1st-line HC!A5:A111"")),"""")"),"")</f>
        <v/>
      </c>
      <c r="AQ66" s="14" t="str">
        <f>IFERROR(__xludf.DUMMYFUNCTION("IFNA(FILTER(IMPORTRANGE(""https://docs.google.com/spreadsheets/d/1kGrh75X1cNR1D7_FcY9zMnHP8iPO4M5RCRjy6nZY0TY/edit#gid=1248694442"",""Table 2: MMC!T5:T114""), $A66=IMPORTRANGE(""https://docs.google.com/spreadsheets/d/1kGrh75X1cNR1D7_FcY9zMnHP8iPO4M5RCRjy6"&amp;"nZY0TY/edit#gid=1248694442"",""Table 2: MMC!A5:A114"")),"""")"),"")</f>
        <v/>
      </c>
      <c r="AR66" s="14" t="str">
        <f>IFERROR(__xludf.DUMMYFUNCTION("IFNA(FILTER(IMPORTRANGE(""https://docs.google.com/spreadsheets/d/1kGrh75X1cNR1D7_FcY9zMnHP8iPO4M5RCRjy6nZY0TY/edit#gid=1248694442"",""Table 2: MMC!U5:U114""), $A66=IMPORTRANGE(""https://docs.google.com/spreadsheets/d/1kGrh75X1cNR1D7_FcY9zMnHP8iPO4M5RCRjy6"&amp;"nZY0TY/edit#gid=1248694442"",""Table 2: MMC!A5:A114"")),"""")"),"")</f>
        <v/>
      </c>
      <c r="AS66" s="14" t="str">
        <f>IFERROR(__xludf.DUMMYFUNCTION("IFNA(FILTER(IMPORTRANGE(""https://docs.google.com/spreadsheets/d/1kGrh75X1cNR1D7_FcY9zMnHP8iPO4M5RCRjy6nZY0TY/edit#gid=1248694442"",""Table 2: MMC!V5:V114""), $A66=IMPORTRANGE(""https://docs.google.com/spreadsheets/d/1kGrh75X1cNR1D7_FcY9zMnHP8iPO4M5RCRjy6"&amp;"nZY0TY/edit#gid=1248694442"",""Table 2: MMC!A5:A114"")),"""")"),"")</f>
        <v/>
      </c>
      <c r="AT66" s="4" t="str">
        <f>IFERROR(__xludf.DUMMYFUNCTION("IFNA(FILTER(IMPORTRANGE(""https://docs.google.com/spreadsheets/d/1kGrh75X1cNR1D7_FcY9zMnHP8iPO4M5RCRjy6nZY0TY/edit#gid=1248694442"",""Table 2: MMC!W5:W114""), $A66=IMPORTRANGE(""https://docs.google.com/spreadsheets/d/1kGrh75X1cNR1D7_FcY9zMnHP8iPO4M5RCRjy6"&amp;"nZY0TY/edit#gid=1248694442"",""Table 2: MMC!A5:A114"")),"""")"),"")</f>
        <v/>
      </c>
    </row>
    <row r="67">
      <c r="A67" s="4" t="str">
        <f>IFERROR(__xludf.DUMMYFUNCTION("""COMPUTED_VALUE"""),"ID 149")</f>
        <v>ID 149</v>
      </c>
      <c r="B67" s="20">
        <f>IFERROR(__xludf.DUMMYFUNCTION("IFNA(FILTER(IMPORTRANGE(""https://docs.google.com/spreadsheets/d/1kGrh75X1cNR1D7_FcY9zMnHP8iPO4M5RCRjy6nZY0TY/edit#gid=1248694442"",""Table 3: 1st-line HC!BK5:BK111""), $A67=IMPORTRANGE(""https://docs.google.com/spreadsheets/d/1kGrh75X1cNR1D7_FcY9zMnHP8iP"&amp;"O4M5RCRjy6nZY0TY/edit#gid=1248694442"",""Table 3: 1st-line HC!A5:A111"")),"""")"),0.268)</f>
        <v>0.268</v>
      </c>
      <c r="C67" s="20" t="str">
        <f>IFERROR(__xludf.DUMMYFUNCTION("IFNA(FILTER(IMPORTRANGE(""https://docs.google.com/spreadsheets/d/1kGrh75X1cNR1D7_FcY9zMnHP8iPO4M5RCRjy6nZY0TY/edit#gid=1248694442"",""Subgroup 1: Fr ~ Tx!B3:B20""), $A67=IMPORTRANGE(""https://docs.google.com/spreadsheets/d/1kGrh75X1cNR1D7_FcY9zMnHP8iPO4M5"&amp;"RCRjy6nZY0TY/edit#gid=1248694442"",""Subgroup 1: Fr ~ Tx!A3:A20"")),"""")"),"")</f>
        <v/>
      </c>
      <c r="D67" s="20">
        <f>IFERROR(__xludf.DUMMYFUNCTION("IFNA(FILTER(IMPORTRANGE(""https://docs.google.com/spreadsheets/d/1kGrh75X1cNR1D7_FcY9zMnHP8iPO4M5RCRjy6nZY0TY/edit#gid=1248694442"",""Subgroup 1: Fr ~ Tx!C3:C20""), $A67=IMPORTRANGE(""https://docs.google.com/spreadsheets/d/1kGrh75X1cNR1D7_FcY9zMnHP8iPO4M5"&amp;"RCRjy6nZY0TY/edit#gid=1248694442"",""Subgroup 1: Fr ~ Tx!A3:A20"")),"""")"),0.07)</f>
        <v>0.07</v>
      </c>
      <c r="E67" s="20" t="str">
        <f>IFERROR(__xludf.DUMMYFUNCTION("IFNA(FILTER(IMPORTRANGE(""https://docs.google.com/spreadsheets/d/1kGrh75X1cNR1D7_FcY9zMnHP8iPO4M5RCRjy6nZY0TY/edit#gid=1248694442"",""Subgroup 1: Fr ~ Tx!D3:D20""), $A67=IMPORTRANGE(""https://docs.google.com/spreadsheets/d/1kGrh75X1cNR1D7_FcY9zMnHP8iPO4M5"&amp;"RCRjy6nZY0TY/edit#gid=1248694442"",""Subgroup 1: Fr ~ Tx!A3:A20"")),"""")"),"")</f>
        <v/>
      </c>
      <c r="F67" s="20" t="str">
        <f>IFERROR(__xludf.DUMMYFUNCTION("IFNA(FILTER(IMPORTRANGE(""https://docs.google.com/spreadsheets/d/1kGrh75X1cNR1D7_FcY9zMnHP8iPO4M5RCRjy6nZY0TY/edit#gid=1248694442"",""Subgroup 1: Fr ~ Tx!E3:E20""), $A67=IMPORTRANGE(""https://docs.google.com/spreadsheets/d/1kGrh75X1cNR1D7_FcY9zMnHP8iPO4M5"&amp;"RCRjy6nZY0TY/edit#gid=1248694442"",""Subgroup 1: Fr ~ Tx!A3:A20"")),"""")"),"")</f>
        <v/>
      </c>
      <c r="G67" s="20" t="str">
        <f>IFERROR(__xludf.DUMMYFUNCTION("IFNA(FILTER(IMPORTRANGE(""https://docs.google.com/spreadsheets/d/1kGrh75X1cNR1D7_FcY9zMnHP8iPO4M5RCRjy6nZY0TY/edit#gid=1248694442"",""Subgroup 1: Fr ~ Tx!F3:F20""), $A67=IMPORTRANGE(""https://docs.google.com/spreadsheets/d/1kGrh75X1cNR1D7_FcY9zMnHP8iPO4M5"&amp;"RCRjy6nZY0TY/edit#gid=1248694442"",""Subgroup 1: Fr ~ Tx!A3:A20"")),"""")"),"")</f>
        <v/>
      </c>
      <c r="H67" s="20" t="str">
        <f>IFERROR(__xludf.DUMMYFUNCTION("IFNA(FILTER(IMPORTRANGE(""https://docs.google.com/spreadsheets/d/1kGrh75X1cNR1D7_FcY9zMnHP8iPO4M5RCRjy6nZY0TY/edit#gid=1248694442"",""Table 3: 1st-line HC!BD5:BD111""), $A67=IMPORTRANGE(""https://docs.google.com/spreadsheets/d/1kGrh75X1cNR1D7_FcY9zMnHP8iP"&amp;"O4M5RCRjy6nZY0TY/edit#gid=1248694442"",""Table 3: 1st-line HC!A5:A111"")),"""")"),"")</f>
        <v/>
      </c>
      <c r="I67" s="20" t="str">
        <f>IFERROR(__xludf.DUMMYFUNCTION("IFNA(FILTER(IMPORTRANGE(""https://docs.google.com/spreadsheets/d/1kGrh75X1cNR1D7_FcY9zMnHP8iPO4M5RCRjy6nZY0TY/edit#gid=1248694442"",""Subgroup 5: Tf ~ Tx!B3:B8""), $A67=IMPORTRANGE(""https://docs.google.com/spreadsheets/d/1kGrh75X1cNR1D7_FcY9zMnHP8iPO4M5R"&amp;"CRjy6nZY0TY/edit#gid=1248694442"",""Subgroup 5: Tf ~ Tx!A3:A8"")),"""")"),"")</f>
        <v/>
      </c>
      <c r="J67" s="20" t="str">
        <f>IFERROR(__xludf.DUMMYFUNCTION("IFNA(FILTER(IMPORTRANGE(""https://docs.google.com/spreadsheets/d/1kGrh75X1cNR1D7_FcY9zMnHP8iPO4M5RCRjy6nZY0TY/edit#gid=1248694442"",""Subgroup 5: Tf ~ Tx!C3:C8""), $A67=IMPORTRANGE(""https://docs.google.com/spreadsheets/d/1kGrh75X1cNR1D7_FcY9zMnHP8iPO4M5R"&amp;"CRjy6nZY0TY/edit#gid=1248694442"",""Subgroup 5: Tf ~ Tx!A3:A8"")),"""")"),"")</f>
        <v/>
      </c>
      <c r="K67" s="20" t="str">
        <f>IFERROR(__xludf.DUMMYFUNCTION("IFNA(FILTER(IMPORTRANGE(""https://docs.google.com/spreadsheets/d/1kGrh75X1cNR1D7_FcY9zMnHP8iPO4M5RCRjy6nZY0TY/edit#gid=1248694442"",""Subgroup 5: Tf ~ Tx!D3:D8""), $A67=IMPORTRANGE(""https://docs.google.com/spreadsheets/d/1kGrh75X1cNR1D7_FcY9zMnHP8iPO4M5R"&amp;"CRjy6nZY0TY/edit#gid=1248694442"",""Subgroup 5: Tf ~ Tx!A3:A8"")),"""")"),"")</f>
        <v/>
      </c>
      <c r="L67" s="20" t="str">
        <f>IFERROR(__xludf.DUMMYFUNCTION("IFNA(FILTER(IMPORTRANGE(""https://docs.google.com/spreadsheets/d/1kGrh75X1cNR1D7_FcY9zMnHP8iPO4M5RCRjy6nZY0TY/edit#gid=1248694442"",""Subgroup 5: Tf ~ Tx!E3:E8""), $A67=IMPORTRANGE(""https://docs.google.com/spreadsheets/d/1kGrh75X1cNR1D7_FcY9zMnHP8iPO4M5R"&amp;"CRjy6nZY0TY/edit#gid=1248694442"",""Subgroup 5: Tf ~ Tx!A3:A8"")),"""")"),"")</f>
        <v/>
      </c>
      <c r="M67" s="20" t="str">
        <f>IFERROR(__xludf.DUMMYFUNCTION("IFNA(FILTER(IMPORTRANGE(""https://docs.google.com/spreadsheets/d/1kGrh75X1cNR1D7_FcY9zMnHP8iPO4M5RCRjy6nZY0TY/edit#gid=1248694442"",""Subgroup 5: Tf ~ Tx!F3:F8""), $A67=IMPORTRANGE(""https://docs.google.com/spreadsheets/d/1kGrh75X1cNR1D7_FcY9zMnHP8iPO4M5R"&amp;"CRjy6nZY0TY/edit#gid=1248694442"",""Subgroup 5: Tf ~ Tx!A3:A8"")),"""")"),"")</f>
        <v/>
      </c>
      <c r="N67" s="20" t="str">
        <f>IFERROR(__xludf.DUMMYFUNCTION("IFNA(FILTER(IMPORTRANGE(""https://docs.google.com/spreadsheets/d/1kGrh75X1cNR1D7_FcY9zMnHP8iPO4M5RCRjy6nZY0TY/edit#gid=1248694442"",""Table 3: 1st-line HC!BE5:BE111""), $A67=IMPORTRANGE(""https://docs.google.com/spreadsheets/d/1kGrh75X1cNR1D7_FcY9zMnHP8iP"&amp;"O4M5RCRjy6nZY0TY/edit#gid=1248694442"",""Table 3: 1st-line HC!A5:A111"")),"""")"),"")</f>
        <v/>
      </c>
      <c r="O67" s="20" t="str">
        <f>IFERROR(__xludf.DUMMYFUNCTION("IFNA(FILTER(IMPORTRANGE(""https://docs.google.com/spreadsheets/d/1kGrh75X1cNR1D7_FcY9zMnHP8iPO4M5RCRjy6nZY0TY/edit#gid=1248694442"",""Table 3: 1st-line HC!BF5:BF111""), $A67=IMPORTRANGE(""https://docs.google.com/spreadsheets/d/1kGrh75X1cNR1D7_FcY9zMnHP8iP"&amp;"O4M5RCRjy6nZY0TY/edit#gid=1248694442"",""Table 3: 1st-line HC!A5:A111"")),"""")"),"")</f>
        <v/>
      </c>
      <c r="P67" s="20" t="str">
        <f>IFERROR(__xludf.DUMMYFUNCTION("IFNA(FILTER(IMPORTRANGE(""https://docs.google.com/spreadsheets/d/1kGrh75X1cNR1D7_FcY9zMnHP8iPO4M5RCRjy6nZY0TY/edit#gid=1248694442"",""Table 3: 1st-line HC!BG5:BG111""), $A67=IMPORTRANGE(""https://docs.google.com/spreadsheets/d/1kGrh75X1cNR1D7_FcY9zMnHP8iP"&amp;"O4M5RCRjy6nZY0TY/edit#gid=1248694442"",""Table 3: 1st-line HC!A5:A111"")),"""")"),"")</f>
        <v/>
      </c>
      <c r="Q67" s="21" t="str">
        <f>IFERROR(__xludf.DUMMYFUNCTION("IFNA(FILTER(IMPORTRANGE(""https://docs.google.com/spreadsheets/d/1kGrh75X1cNR1D7_FcY9zMnHP8iPO4M5RCRjy6nZY0TY/edit#gid=1248694442"",""Table 3: 1st-line HC!BH5:BH111""), $A67=IMPORTRANGE(""https://docs.google.com/spreadsheets/d/1kGrh75X1cNR1D7_FcY9zMnHP8iP"&amp;"O4M5RCRjy6nZY0TY/edit#gid=1248694442"",""Table 3: 1st-line HC!A5:A111"")),"""")"),"")</f>
        <v/>
      </c>
      <c r="R67" s="19" t="str">
        <f>IFERROR(__xludf.DUMMYFUNCTION("IFNA(FILTER(IMPORTRANGE(""https://docs.google.com/spreadsheets/d/1kGrh75X1cNR1D7_FcY9zMnHP8iPO4M5RCRjy6nZY0TY/edit#gid=1248694442"",""Table 3: 1st-line HC!AJ5:AJ111""), $A67=IMPORTRANGE(""https://docs.google.com/spreadsheets/d/1kGrh75X1cNR1D7_FcY9zMnHP8iP"&amp;"O4M5RCRjy6nZY0TY/edit#gid=1248694442"",""Table 3: 1st-line HC!A5:A111"")),"""")"),"")</f>
        <v/>
      </c>
      <c r="S67" s="20" t="str">
        <f>IFERROR(__xludf.DUMMYFUNCTION("IFNA(FILTER(IMPORTRANGE(""https://docs.google.com/spreadsheets/d/1kGrh75X1cNR1D7_FcY9zMnHP8iPO4M5RCRjy6nZY0TY/edit#gid=1248694442"",""Subgroup 3: Mi ~ Tx!B3:B17""), $A67=IMPORTRANGE(""https://docs.google.com/spreadsheets/d/1kGrh75X1cNR1D7_FcY9zMnHP8iPO4M5"&amp;"RCRjy6nZY0TY/edit#gid=1248694442"",""Subgroup 3: Mi ~ Tx!A3:A17"")),"""")"),"")</f>
        <v/>
      </c>
      <c r="T67" s="20" t="str">
        <f>IFERROR(__xludf.DUMMYFUNCTION("IFNA(FILTER(IMPORTRANGE(""https://docs.google.com/spreadsheets/d/1kGrh75X1cNR1D7_FcY9zMnHP8iPO4M5RCRjy6nZY0TY/edit#gid=1248694442"",""Subgroup 3: Mi ~ Tx!C3:C17""), $A67=IMPORTRANGE(""https://docs.google.com/spreadsheets/d/1kGrh75X1cNR1D7_FcY9zMnHP8iPO4M5"&amp;"RCRjy6nZY0TY/edit#gid=1248694442"",""Subgroup 3: Mi ~ Tx!A3:A17"")),"""")"),"")</f>
        <v/>
      </c>
      <c r="U67" s="20" t="str">
        <f>IFERROR(__xludf.DUMMYFUNCTION("IFNA(FILTER(IMPORTRANGE(""https://docs.google.com/spreadsheets/d/1kGrh75X1cNR1D7_FcY9zMnHP8iPO4M5RCRjy6nZY0TY/edit#gid=1248694442"",""Subgroup 3: Mi ~ Tx!D3:D17""), $A67=IMPORTRANGE(""https://docs.google.com/spreadsheets/d/1kGrh75X1cNR1D7_FcY9zMnHP8iPO4M5"&amp;"RCRjy6nZY0TY/edit#gid=1248694442"",""Subgroup 3: Mi ~ Tx!A3:A17"")),"""")"),"")</f>
        <v/>
      </c>
      <c r="V67" s="20" t="str">
        <f>IFERROR(__xludf.DUMMYFUNCTION("IFNA(FILTER(IMPORTRANGE(""https://docs.google.com/spreadsheets/d/1kGrh75X1cNR1D7_FcY9zMnHP8iPO4M5RCRjy6nZY0TY/edit#gid=1248694442"",""Subgroup 3: Mi ~ Tx!E3:E17""), $A67=IMPORTRANGE(""https://docs.google.com/spreadsheets/d/1kGrh75X1cNR1D7_FcY9zMnHP8iPO4M5"&amp;"RCRjy6nZY0TY/edit#gid=1248694442"",""Subgroup 3: Mi ~ Tx!A3:A17"")),"""")"),"")</f>
        <v/>
      </c>
      <c r="W67" s="20" t="str">
        <f>IFERROR(__xludf.DUMMYFUNCTION("IFNA(FILTER(IMPORTRANGE(""https://docs.google.com/spreadsheets/d/1kGrh75X1cNR1D7_FcY9zMnHP8iPO4M5RCRjy6nZY0TY/edit#gid=1248694442"",""Subgroup 3: Mi ~ Tx!F3:F17""), $A67=IMPORTRANGE(""https://docs.google.com/spreadsheets/d/1kGrh75X1cNR1D7_FcY9zMnHP8iPO4M5"&amp;"RCRjy6nZY0TY/edit#gid=1248694442"",""Subgroup 3: Mi ~ Tx!A3:A17"")),"""")"),"")</f>
        <v/>
      </c>
      <c r="X67" s="19" t="str">
        <f>IFERROR(__xludf.DUMMYFUNCTION("IFNA(FILTER(IMPORTRANGE(""https://docs.google.com/spreadsheets/d/1kGrh75X1cNR1D7_FcY9zMnHP8iPO4M5RCRjy6nZY0TY/edit#gid=1248694442"",""Table 3: 1st-line HC!AK5:AK111""), $A67=IMPORTRANGE(""https://docs.google.com/spreadsheets/d/1kGrh75X1cNR1D7_FcY9zMnHP8iP"&amp;"O4M5RCRjy6nZY0TY/edit#gid=1248694442"",""Table 3: 1st-line HC!A5:A111"")),"""")"),"")</f>
        <v/>
      </c>
      <c r="Y67" s="20" t="str">
        <f>IFERROR(__xludf.DUMMYFUNCTION("IFNA(FILTER(IMPORTRANGE(""https://docs.google.com/spreadsheets/d/1kGrh75X1cNR1D7_FcY9zMnHP8iPO4M5RCRjy6nZY0TY/edit#gid=1248694442"",""Subgroup 4: Mp ~ Tx!B3:B20""), $A67=IMPORTRANGE(""https://docs.google.com/spreadsheets/d/1kGrh75X1cNR1D7_FcY9zMnHP8iPO4M5"&amp;"RCRjy6nZY0TY/edit#gid=1248694442"",""Subgroup 4: Mp ~ Tx!A3:A20"")),"""")"),"")</f>
        <v/>
      </c>
      <c r="Z67" s="20" t="str">
        <f>IFERROR(__xludf.DUMMYFUNCTION("IFNA(FILTER(IMPORTRANGE(""https://docs.google.com/spreadsheets/d/1kGrh75X1cNR1D7_FcY9zMnHP8iPO4M5RCRjy6nZY0TY/edit#gid=1248694442"",""Subgroup 4: Mp ~ Tx!C3:C20""), $A67=IMPORTRANGE(""https://docs.google.com/spreadsheets/d/1kGrh75X1cNR1D7_FcY9zMnHP8iPO4M5"&amp;"RCRjy6nZY0TY/edit#gid=1248694442"",""Subgroup 4: Mp ~ Tx!A3:A20"")),"""")"),"")</f>
        <v/>
      </c>
      <c r="AA67" s="20" t="str">
        <f>IFERROR(__xludf.DUMMYFUNCTION("IFNA(FILTER(IMPORTRANGE(""https://docs.google.com/spreadsheets/d/1kGrh75X1cNR1D7_FcY9zMnHP8iPO4M5RCRjy6nZY0TY/edit#gid=1248694442"",""Subgroup 4: Mp ~ Tx!D3:D20""), $A67=IMPORTRANGE(""https://docs.google.com/spreadsheets/d/1kGrh75X1cNR1D7_FcY9zMnHP8iPO4M5"&amp;"RCRjy6nZY0TY/edit#gid=1248694442"",""Subgroup 4: Mp ~ Tx!A3:A20"")),"""")"),"")</f>
        <v/>
      </c>
      <c r="AB67" s="20" t="str">
        <f>IFERROR(__xludf.DUMMYFUNCTION("IFNA(FILTER(IMPORTRANGE(""https://docs.google.com/spreadsheets/d/1kGrh75X1cNR1D7_FcY9zMnHP8iPO4M5RCRjy6nZY0TY/edit#gid=1248694442"",""Subgroup 4: Mp ~ Tx!E3:E20""), $A67=IMPORTRANGE(""https://docs.google.com/spreadsheets/d/1kGrh75X1cNR1D7_FcY9zMnHP8iPO4M5"&amp;"RCRjy6nZY0TY/edit#gid=1248694442"",""Subgroup 4: Mp ~ Tx!A3:A20"")),"""")"),"")</f>
        <v/>
      </c>
      <c r="AC67" s="20" t="str">
        <f>IFERROR(__xludf.DUMMYFUNCTION("IFNA(FILTER(IMPORTRANGE(""https://docs.google.com/spreadsheets/d/1kGrh75X1cNR1D7_FcY9zMnHP8iPO4M5RCRjy6nZY0TY/edit#gid=1248694442"",""Subgroup 4: Mp ~ Tx!F3:F20""), $A67=IMPORTRANGE(""https://docs.google.com/spreadsheets/d/1kGrh75X1cNR1D7_FcY9zMnHP8iPO4M5"&amp;"RCRjy6nZY0TY/edit#gid=1248694442"",""Subgroup 4: Mp ~ Tx!A3:A20"")),"""")"),"")</f>
        <v/>
      </c>
      <c r="AD67" s="22" t="str">
        <f>IFERROR(__xludf.DUMMYFUNCTION("IFNA(FILTER(IMPORTRANGE(""https://docs.google.com/spreadsheets/d/1kGrh75X1cNR1D7_FcY9zMnHP8iPO4M5RCRjy6nZY0TY/edit#gid=1248694442"",""Table 3: 1st-line HC!AL5:AL111""), $A67=IMPORTRANGE(""https://docs.google.com/spreadsheets/d/1kGrh75X1cNR1D7_FcY9zMnHP8iP"&amp;"O4M5RCRjy6nZY0TY/edit#gid=1248694442"",""Table 3: 1st-line HC!A5:A111"")),"""")"),"")</f>
        <v/>
      </c>
      <c r="AE67" s="20" t="str">
        <f>IFERROR(__xludf.DUMMYFUNCTION("IFNA(FILTER(IMPORTRANGE(""https://docs.google.com/spreadsheets/d/1kGrh75X1cNR1D7_FcY9zMnHP8iPO4M5RCRjy6nZY0TY/edit#gid=1248694442"",""Table 3: 1st-line HC!BJ5:BJ111""), $A67=IMPORTRANGE(""https://docs.google.com/spreadsheets/d/1kGrh75X1cNR1D7_FcY9zMnHP8iP"&amp;"O4M5RCRjy6nZY0TY/edit#gid=1248694442"",""Table 3: 1st-line HC!A5:A111"")),"""")"),"")</f>
        <v/>
      </c>
      <c r="AF67" s="20" t="str">
        <f>IFERROR(__xludf.DUMMYFUNCTION("IFNA(FILTER(IMPORTRANGE(""https://docs.google.com/spreadsheets/d/1kGrh75X1cNR1D7_FcY9zMnHP8iPO4M5RCRjy6nZY0TY/edit#gid=1248694442"",""Subgroup 2: Cr ~ Tx!B3:B23""), $A67=IMPORTRANGE(""https://docs.google.com/spreadsheets/d/1kGrh75X1cNR1D7_FcY9zMnHP8iPO4M5"&amp;"RCRjy6nZY0TY/edit#gid=1248694442"",""Subgroup 2: Cr ~ Tx!A3:A23"")),"""")"),"")</f>
        <v/>
      </c>
      <c r="AG67" s="20" t="str">
        <f>IFERROR(__xludf.DUMMYFUNCTION("IFNA(FILTER(IMPORTRANGE(""https://docs.google.com/spreadsheets/d/1kGrh75X1cNR1D7_FcY9zMnHP8iPO4M5RCRjy6nZY0TY/edit#gid=1248694442"",""Subgroup 2: Cr ~ Tx!C3:C23""), $A67=IMPORTRANGE(""https://docs.google.com/spreadsheets/d/1kGrh75X1cNR1D7_FcY9zMnHP8iPO4M5"&amp;"RCRjy6nZY0TY/edit#gid=1248694442"",""Subgroup 2: Cr ~ Tx!A3:A23"")),"""")"),"")</f>
        <v/>
      </c>
      <c r="AH67" s="20" t="str">
        <f>IFERROR(__xludf.DUMMYFUNCTION("IFNA(FILTER(IMPORTRANGE(""https://docs.google.com/spreadsheets/d/1kGrh75X1cNR1D7_FcY9zMnHP8iPO4M5RCRjy6nZY0TY/edit#gid=1248694442"",""Subgroup 2: Cr ~ Tx!D3:D23""), $A67=IMPORTRANGE(""https://docs.google.com/spreadsheets/d/1kGrh75X1cNR1D7_FcY9zMnHP8iPO4M5"&amp;"RCRjy6nZY0TY/edit#gid=1248694442"",""Subgroup 2: Cr ~ Tx!A3:A23"")),"""")"),"")</f>
        <v/>
      </c>
      <c r="AI67" s="20" t="str">
        <f>IFERROR(__xludf.DUMMYFUNCTION("IFNA(FILTER(IMPORTRANGE(""https://docs.google.com/spreadsheets/d/1kGrh75X1cNR1D7_FcY9zMnHP8iPO4M5RCRjy6nZY0TY/edit#gid=1248694442"",""Subgroup 2: Cr ~ Tx!E3:E23""), $A67=IMPORTRANGE(""https://docs.google.com/spreadsheets/d/1kGrh75X1cNR1D7_FcY9zMnHP8iPO4M5"&amp;"RCRjy6nZY0TY/edit#gid=1248694442"",""Subgroup 2: Cr ~ Tx!A3:A23"")),"""")"),"")</f>
        <v/>
      </c>
      <c r="AJ67" s="20" t="str">
        <f>IFERROR(__xludf.DUMMYFUNCTION("IFNA(FILTER(IMPORTRANGE(""https://docs.google.com/spreadsheets/d/1kGrh75X1cNR1D7_FcY9zMnHP8iPO4M5RCRjy6nZY0TY/edit#gid=1248694442"",""Subgroup 2: Cr ~ Tx!F3:F23""), $A67=IMPORTRANGE(""https://docs.google.com/spreadsheets/d/1kGrh75X1cNR1D7_FcY9zMnHP8iPO4M5"&amp;"RCRjy6nZY0TY/edit#gid=1248694442"",""Subgroup 2: Cr ~ Tx!A3:A23"")),"""")"),"")</f>
        <v/>
      </c>
      <c r="AK67" s="14" t="str">
        <f>IFERROR(__xludf.DUMMYFUNCTION("IFNA(FILTER(IMPORTRANGE(""https://docs.google.com/spreadsheets/d/1kGrh75X1cNR1D7_FcY9zMnHP8iPO4M5RCRjy6nZY0TY/edit#gid=1248694442"",""Table 4: 2nd-line HC or more!M5:M85""), $A67=IMPORTRANGE(""https://docs.google.com/spreadsheets/d/1kGrh75X1cNR1D7_FcY9zMn"&amp;"HP8iPO4M5RCRjy6nZY0TY/edit#gid=1248694442"",""Table 4: 2nd-line HC or more!A5:A85"")),"""")"),"")</f>
        <v/>
      </c>
      <c r="AL67" s="14" t="str">
        <f>IFERROR(__xludf.DUMMYFUNCTION("IFNA(FILTER(IMPORTRANGE(""https://docs.google.com/spreadsheets/d/1kGrh75X1cNR1D7_FcY9zMnHP8iPO4M5RCRjy6nZY0TY/edit#gid=1248694442"",""Table 4: 2nd-line HC or more!N5:N85""), $A67=IMPORTRANGE(""https://docs.google.com/spreadsheets/d/1kGrh75X1cNR1D7_FcY9zMn"&amp;"HP8iPO4M5RCRjy6nZY0TY/edit#gid=1248694442"",""Table 4: 2nd-line HC or more!A5:A85"")),"""")"),"")</f>
        <v/>
      </c>
      <c r="AM67" s="14" t="str">
        <f>IFERROR(__xludf.DUMMYFUNCTION("IFNA(FILTER(IMPORTRANGE(""https://docs.google.com/spreadsheets/d/1kGrh75X1cNR1D7_FcY9zMnHP8iPO4M5RCRjy6nZY0TY/edit#gid=1248694442"",""Table 4: 2nd-line HC or more!O5:O85""), $A67=IMPORTRANGE(""https://docs.google.com/spreadsheets/d/1kGrh75X1cNR1D7_FcY9zMn"&amp;"HP8iPO4M5RCRjy6nZY0TY/edit#gid=1248694442"",""Table 4: 2nd-line HC or more!A5:A85"")),"""")"),"")</f>
        <v/>
      </c>
      <c r="AN67" s="14">
        <f>IFERROR(__xludf.DUMMYFUNCTION("IFNA(FILTER(IMPORTRANGE(""https://docs.google.com/spreadsheets/d/1kGrh75X1cNR1D7_FcY9zMnHP8iPO4M5RCRjy6nZY0TY/edit#gid=1248694442"",""Table 3: 1st-line HC!AP5:AP111""), $A67=IMPORTRANGE(""https://docs.google.com/spreadsheets/d/1kGrh75X1cNR1D7_FcY9zMnHP8iP"&amp;"O4M5RCRjy6nZY0TY/edit#gid=1248694442"",""Table 3: 1st-line HC!A5:A111"")),"""")"),15.0)</f>
        <v>15</v>
      </c>
      <c r="AO67" s="14">
        <f>IFERROR(__xludf.DUMMYFUNCTION("IFNA(FILTER(IMPORTRANGE(""https://docs.google.com/spreadsheets/d/1kGrh75X1cNR1D7_FcY9zMnHP8iPO4M5RCRjy6nZY0TY/edit#gid=1248694442"",""Table 3: 1st-line HC!AO5:AO111""), $A67=IMPORTRANGE(""https://docs.google.com/spreadsheets/d/1kGrh75X1cNR1D7_FcY9zMnHP8iP"&amp;"O4M5RCRjy6nZY0TY/edit#gid=1248694442"",""Table 3: 1st-line HC!A5:A111"")),"""")"),4.0)</f>
        <v>4</v>
      </c>
      <c r="AP67" s="14" t="str">
        <f>IFERROR(__xludf.DUMMYFUNCTION("IFNA(FILTER(IMPORTRANGE(""https://docs.google.com/spreadsheets/d/1kGrh75X1cNR1D7_FcY9zMnHP8iPO4M5RCRjy6nZY0TY/edit#gid=1248694442"",""Table 3: 1st-line HC!AQ5:AQ111""), $A67=IMPORTRANGE(""https://docs.google.com/spreadsheets/d/1kGrh75X1cNR1D7_FcY9zMnHP8iP"&amp;"O4M5RCRjy6nZY0TY/edit#gid=1248694442"",""Table 3: 1st-line HC!A5:A111"")),"""")"),"")</f>
        <v/>
      </c>
      <c r="AQ67" s="14">
        <f>IFERROR(__xludf.DUMMYFUNCTION("IFNA(FILTER(IMPORTRANGE(""https://docs.google.com/spreadsheets/d/1kGrh75X1cNR1D7_FcY9zMnHP8iPO4M5RCRjy6nZY0TY/edit#gid=1248694442"",""Table 2: MMC!T5:T114""), $A67=IMPORTRANGE(""https://docs.google.com/spreadsheets/d/1kGrh75X1cNR1D7_FcY9zMnHP8iPO4M5RCRjy6"&amp;"nZY0TY/edit#gid=1248694442"",""Table 2: MMC!A5:A114"")),"""")"),15.0)</f>
        <v>15</v>
      </c>
      <c r="AR67" s="14" t="str">
        <f>IFERROR(__xludf.DUMMYFUNCTION("IFNA(FILTER(IMPORTRANGE(""https://docs.google.com/spreadsheets/d/1kGrh75X1cNR1D7_FcY9zMnHP8iPO4M5RCRjy6nZY0TY/edit#gid=1248694442"",""Table 2: MMC!U5:U114""), $A67=IMPORTRANGE(""https://docs.google.com/spreadsheets/d/1kGrh75X1cNR1D7_FcY9zMnHP8iPO4M5RCRjy6"&amp;"nZY0TY/edit#gid=1248694442"",""Table 2: MMC!A5:A114"")),"""")"),"")</f>
        <v/>
      </c>
      <c r="AS67" s="14">
        <f>IFERROR(__xludf.DUMMYFUNCTION("IFNA(FILTER(IMPORTRANGE(""https://docs.google.com/spreadsheets/d/1kGrh75X1cNR1D7_FcY9zMnHP8iPO4M5RCRjy6nZY0TY/edit#gid=1248694442"",""Table 2: MMC!V5:V114""), $A67=IMPORTRANGE(""https://docs.google.com/spreadsheets/d/1kGrh75X1cNR1D7_FcY9zMnHP8iPO4M5RCRjy6"&amp;"nZY0TY/edit#gid=1248694442"",""Table 2: MMC!A5:A114"")),"""")"),4.0)</f>
        <v>4</v>
      </c>
      <c r="AT67" s="4" t="str">
        <f>IFERROR(__xludf.DUMMYFUNCTION("IFNA(FILTER(IMPORTRANGE(""https://docs.google.com/spreadsheets/d/1kGrh75X1cNR1D7_FcY9zMnHP8iPO4M5RCRjy6nZY0TY/edit#gid=1248694442"",""Table 2: MMC!W5:W114""), $A67=IMPORTRANGE(""https://docs.google.com/spreadsheets/d/1kGrh75X1cNR1D7_FcY9zMnHP8iPO4M5RCRjy6"&amp;"nZY0TY/edit#gid=1248694442"",""Table 2: MMC!A5:A114"")),"""")"),"CSF leak =6")</f>
        <v>CSF leak =6</v>
      </c>
    </row>
    <row r="68">
      <c r="A68" s="4" t="str">
        <f>IFERROR(__xludf.DUMMYFUNCTION("""COMPUTED_VALUE"""),"ID 151")</f>
        <v>ID 151</v>
      </c>
      <c r="B68" s="20" t="str">
        <f>IFERROR(__xludf.DUMMYFUNCTION("IFNA(FILTER(IMPORTRANGE(""https://docs.google.com/spreadsheets/d/1kGrh75X1cNR1D7_FcY9zMnHP8iPO4M5RCRjy6nZY0TY/edit#gid=1248694442"",""Table 3: 1st-line HC!BK5:BK111""), $A68=IMPORTRANGE(""https://docs.google.com/spreadsheets/d/1kGrh75X1cNR1D7_FcY9zMnHP8iP"&amp;"O4M5RCRjy6nZY0TY/edit#gid=1248694442"",""Table 3: 1st-line HC!A5:A111"")),"""")"),"")</f>
        <v/>
      </c>
      <c r="C68" s="20" t="str">
        <f>IFERROR(__xludf.DUMMYFUNCTION("IFNA(FILTER(IMPORTRANGE(""https://docs.google.com/spreadsheets/d/1kGrh75X1cNR1D7_FcY9zMnHP8iPO4M5RCRjy6nZY0TY/edit#gid=1248694442"",""Subgroup 1: Fr ~ Tx!B3:B20""), $A68=IMPORTRANGE(""https://docs.google.com/spreadsheets/d/1kGrh75X1cNR1D7_FcY9zMnHP8iPO4M5"&amp;"RCRjy6nZY0TY/edit#gid=1248694442"",""Subgroup 1: Fr ~ Tx!A3:A20"")),"""")"),"")</f>
        <v/>
      </c>
      <c r="D68" s="20" t="str">
        <f>IFERROR(__xludf.DUMMYFUNCTION("IFNA(FILTER(IMPORTRANGE(""https://docs.google.com/spreadsheets/d/1kGrh75X1cNR1D7_FcY9zMnHP8iPO4M5RCRjy6nZY0TY/edit#gid=1248694442"",""Subgroup 1: Fr ~ Tx!C3:C20""), $A68=IMPORTRANGE(""https://docs.google.com/spreadsheets/d/1kGrh75X1cNR1D7_FcY9zMnHP8iPO4M5"&amp;"RCRjy6nZY0TY/edit#gid=1248694442"",""Subgroup 1: Fr ~ Tx!A3:A20"")),"""")"),"")</f>
        <v/>
      </c>
      <c r="E68" s="20" t="str">
        <f>IFERROR(__xludf.DUMMYFUNCTION("IFNA(FILTER(IMPORTRANGE(""https://docs.google.com/spreadsheets/d/1kGrh75X1cNR1D7_FcY9zMnHP8iPO4M5RCRjy6nZY0TY/edit#gid=1248694442"",""Subgroup 1: Fr ~ Tx!D3:D20""), $A68=IMPORTRANGE(""https://docs.google.com/spreadsheets/d/1kGrh75X1cNR1D7_FcY9zMnHP8iPO4M5"&amp;"RCRjy6nZY0TY/edit#gid=1248694442"",""Subgroup 1: Fr ~ Tx!A3:A20"")),"""")"),"")</f>
        <v/>
      </c>
      <c r="F68" s="20" t="str">
        <f>IFERROR(__xludf.DUMMYFUNCTION("IFNA(FILTER(IMPORTRANGE(""https://docs.google.com/spreadsheets/d/1kGrh75X1cNR1D7_FcY9zMnHP8iPO4M5RCRjy6nZY0TY/edit#gid=1248694442"",""Subgroup 1: Fr ~ Tx!E3:E20""), $A68=IMPORTRANGE(""https://docs.google.com/spreadsheets/d/1kGrh75X1cNR1D7_FcY9zMnHP8iPO4M5"&amp;"RCRjy6nZY0TY/edit#gid=1248694442"",""Subgroup 1: Fr ~ Tx!A3:A20"")),"""")"),"")</f>
        <v/>
      </c>
      <c r="G68" s="20" t="str">
        <f>IFERROR(__xludf.DUMMYFUNCTION("IFNA(FILTER(IMPORTRANGE(""https://docs.google.com/spreadsheets/d/1kGrh75X1cNR1D7_FcY9zMnHP8iPO4M5RCRjy6nZY0TY/edit#gid=1248694442"",""Subgroup 1: Fr ~ Tx!F3:F20""), $A68=IMPORTRANGE(""https://docs.google.com/spreadsheets/d/1kGrh75X1cNR1D7_FcY9zMnHP8iPO4M5"&amp;"RCRjy6nZY0TY/edit#gid=1248694442"",""Subgroup 1: Fr ~ Tx!A3:A20"")),"""")"),"")</f>
        <v/>
      </c>
      <c r="H68" s="20" t="str">
        <f>IFERROR(__xludf.DUMMYFUNCTION("IFNA(FILTER(IMPORTRANGE(""https://docs.google.com/spreadsheets/d/1kGrh75X1cNR1D7_FcY9zMnHP8iPO4M5RCRjy6nZY0TY/edit#gid=1248694442"",""Table 3: 1st-line HC!BD5:BD111""), $A68=IMPORTRANGE(""https://docs.google.com/spreadsheets/d/1kGrh75X1cNR1D7_FcY9zMnHP8iP"&amp;"O4M5RCRjy6nZY0TY/edit#gid=1248694442"",""Table 3: 1st-line HC!A5:A111"")),"""")"),"")</f>
        <v/>
      </c>
      <c r="I68" s="20" t="str">
        <f>IFERROR(__xludf.DUMMYFUNCTION("IFNA(FILTER(IMPORTRANGE(""https://docs.google.com/spreadsheets/d/1kGrh75X1cNR1D7_FcY9zMnHP8iPO4M5RCRjy6nZY0TY/edit#gid=1248694442"",""Subgroup 5: Tf ~ Tx!B3:B8""), $A68=IMPORTRANGE(""https://docs.google.com/spreadsheets/d/1kGrh75X1cNR1D7_FcY9zMnHP8iPO4M5R"&amp;"CRjy6nZY0TY/edit#gid=1248694442"",""Subgroup 5: Tf ~ Tx!A3:A8"")),"""")"),"")</f>
        <v/>
      </c>
      <c r="J68" s="20" t="str">
        <f>IFERROR(__xludf.DUMMYFUNCTION("IFNA(FILTER(IMPORTRANGE(""https://docs.google.com/spreadsheets/d/1kGrh75X1cNR1D7_FcY9zMnHP8iPO4M5RCRjy6nZY0TY/edit#gid=1248694442"",""Subgroup 5: Tf ~ Tx!C3:C8""), $A68=IMPORTRANGE(""https://docs.google.com/spreadsheets/d/1kGrh75X1cNR1D7_FcY9zMnHP8iPO4M5R"&amp;"CRjy6nZY0TY/edit#gid=1248694442"",""Subgroup 5: Tf ~ Tx!A3:A8"")),"""")"),"")</f>
        <v/>
      </c>
      <c r="K68" s="20" t="str">
        <f>IFERROR(__xludf.DUMMYFUNCTION("IFNA(FILTER(IMPORTRANGE(""https://docs.google.com/spreadsheets/d/1kGrh75X1cNR1D7_FcY9zMnHP8iPO4M5RCRjy6nZY0TY/edit#gid=1248694442"",""Subgroup 5: Tf ~ Tx!D3:D8""), $A68=IMPORTRANGE(""https://docs.google.com/spreadsheets/d/1kGrh75X1cNR1D7_FcY9zMnHP8iPO4M5R"&amp;"CRjy6nZY0TY/edit#gid=1248694442"",""Subgroup 5: Tf ~ Tx!A3:A8"")),"""")"),"")</f>
        <v/>
      </c>
      <c r="L68" s="20" t="str">
        <f>IFERROR(__xludf.DUMMYFUNCTION("IFNA(FILTER(IMPORTRANGE(""https://docs.google.com/spreadsheets/d/1kGrh75X1cNR1D7_FcY9zMnHP8iPO4M5RCRjy6nZY0TY/edit#gid=1248694442"",""Subgroup 5: Tf ~ Tx!E3:E8""), $A68=IMPORTRANGE(""https://docs.google.com/spreadsheets/d/1kGrh75X1cNR1D7_FcY9zMnHP8iPO4M5R"&amp;"CRjy6nZY0TY/edit#gid=1248694442"",""Subgroup 5: Tf ~ Tx!A3:A8"")),"""")"),"")</f>
        <v/>
      </c>
      <c r="M68" s="20" t="str">
        <f>IFERROR(__xludf.DUMMYFUNCTION("IFNA(FILTER(IMPORTRANGE(""https://docs.google.com/spreadsheets/d/1kGrh75X1cNR1D7_FcY9zMnHP8iPO4M5RCRjy6nZY0TY/edit#gid=1248694442"",""Subgroup 5: Tf ~ Tx!F3:F8""), $A68=IMPORTRANGE(""https://docs.google.com/spreadsheets/d/1kGrh75X1cNR1D7_FcY9zMnHP8iPO4M5R"&amp;"CRjy6nZY0TY/edit#gid=1248694442"",""Subgroup 5: Tf ~ Tx!A3:A8"")),"""")"),"")</f>
        <v/>
      </c>
      <c r="N68" s="20" t="str">
        <f>IFERROR(__xludf.DUMMYFUNCTION("IFNA(FILTER(IMPORTRANGE(""https://docs.google.com/spreadsheets/d/1kGrh75X1cNR1D7_FcY9zMnHP8iPO4M5RCRjy6nZY0TY/edit#gid=1248694442"",""Table 3: 1st-line HC!BE5:BE111""), $A68=IMPORTRANGE(""https://docs.google.com/spreadsheets/d/1kGrh75X1cNR1D7_FcY9zMnHP8iP"&amp;"O4M5RCRjy6nZY0TY/edit#gid=1248694442"",""Table 3: 1st-line HC!A5:A111"")),"""")"),"")</f>
        <v/>
      </c>
      <c r="O68" s="20" t="str">
        <f>IFERROR(__xludf.DUMMYFUNCTION("IFNA(FILTER(IMPORTRANGE(""https://docs.google.com/spreadsheets/d/1kGrh75X1cNR1D7_FcY9zMnHP8iPO4M5RCRjy6nZY0TY/edit#gid=1248694442"",""Table 3: 1st-line HC!BF5:BF111""), $A68=IMPORTRANGE(""https://docs.google.com/spreadsheets/d/1kGrh75X1cNR1D7_FcY9zMnHP8iP"&amp;"O4M5RCRjy6nZY0TY/edit#gid=1248694442"",""Table 3: 1st-line HC!A5:A111"")),"""")"),"")</f>
        <v/>
      </c>
      <c r="P68" s="20" t="str">
        <f>IFERROR(__xludf.DUMMYFUNCTION("IFNA(FILTER(IMPORTRANGE(""https://docs.google.com/spreadsheets/d/1kGrh75X1cNR1D7_FcY9zMnHP8iPO4M5RCRjy6nZY0TY/edit#gid=1248694442"",""Table 3: 1st-line HC!BG5:BG111""), $A68=IMPORTRANGE(""https://docs.google.com/spreadsheets/d/1kGrh75X1cNR1D7_FcY9zMnHP8iP"&amp;"O4M5RCRjy6nZY0TY/edit#gid=1248694442"",""Table 3: 1st-line HC!A5:A111"")),"""")"),"")</f>
        <v/>
      </c>
      <c r="Q68" s="21" t="str">
        <f>IFERROR(__xludf.DUMMYFUNCTION("IFNA(FILTER(IMPORTRANGE(""https://docs.google.com/spreadsheets/d/1kGrh75X1cNR1D7_FcY9zMnHP8iPO4M5RCRjy6nZY0TY/edit#gid=1248694442"",""Table 3: 1st-line HC!BH5:BH111""), $A68=IMPORTRANGE(""https://docs.google.com/spreadsheets/d/1kGrh75X1cNR1D7_FcY9zMnHP8iP"&amp;"O4M5RCRjy6nZY0TY/edit#gid=1248694442"",""Table 3: 1st-line HC!A5:A111"")),"""")"),"")</f>
        <v/>
      </c>
      <c r="R68" s="19" t="str">
        <f>IFERROR(__xludf.DUMMYFUNCTION("IFNA(FILTER(IMPORTRANGE(""https://docs.google.com/spreadsheets/d/1kGrh75X1cNR1D7_FcY9zMnHP8iPO4M5RCRjy6nZY0TY/edit#gid=1248694442"",""Table 3: 1st-line HC!AJ5:AJ111""), $A68=IMPORTRANGE(""https://docs.google.com/spreadsheets/d/1kGrh75X1cNR1D7_FcY9zMnHP8iP"&amp;"O4M5RCRjy6nZY0TY/edit#gid=1248694442"",""Table 3: 1st-line HC!A5:A111"")),"""")"),"")</f>
        <v/>
      </c>
      <c r="S68" s="20" t="str">
        <f>IFERROR(__xludf.DUMMYFUNCTION("IFNA(FILTER(IMPORTRANGE(""https://docs.google.com/spreadsheets/d/1kGrh75X1cNR1D7_FcY9zMnHP8iPO4M5RCRjy6nZY0TY/edit#gid=1248694442"",""Subgroup 3: Mi ~ Tx!B3:B17""), $A68=IMPORTRANGE(""https://docs.google.com/spreadsheets/d/1kGrh75X1cNR1D7_FcY9zMnHP8iPO4M5"&amp;"RCRjy6nZY0TY/edit#gid=1248694442"",""Subgroup 3: Mi ~ Tx!A3:A17"")),"""")"),"")</f>
        <v/>
      </c>
      <c r="T68" s="20" t="str">
        <f>IFERROR(__xludf.DUMMYFUNCTION("IFNA(FILTER(IMPORTRANGE(""https://docs.google.com/spreadsheets/d/1kGrh75X1cNR1D7_FcY9zMnHP8iPO4M5RCRjy6nZY0TY/edit#gid=1248694442"",""Subgroup 3: Mi ~ Tx!C3:C17""), $A68=IMPORTRANGE(""https://docs.google.com/spreadsheets/d/1kGrh75X1cNR1D7_FcY9zMnHP8iPO4M5"&amp;"RCRjy6nZY0TY/edit#gid=1248694442"",""Subgroup 3: Mi ~ Tx!A3:A17"")),"""")"),"")</f>
        <v/>
      </c>
      <c r="U68" s="20" t="str">
        <f>IFERROR(__xludf.DUMMYFUNCTION("IFNA(FILTER(IMPORTRANGE(""https://docs.google.com/spreadsheets/d/1kGrh75X1cNR1D7_FcY9zMnHP8iPO4M5RCRjy6nZY0TY/edit#gid=1248694442"",""Subgroup 3: Mi ~ Tx!D3:D17""), $A68=IMPORTRANGE(""https://docs.google.com/spreadsheets/d/1kGrh75X1cNR1D7_FcY9zMnHP8iPO4M5"&amp;"RCRjy6nZY0TY/edit#gid=1248694442"",""Subgroup 3: Mi ~ Tx!A3:A17"")),"""")"),"")</f>
        <v/>
      </c>
      <c r="V68" s="20" t="str">
        <f>IFERROR(__xludf.DUMMYFUNCTION("IFNA(FILTER(IMPORTRANGE(""https://docs.google.com/spreadsheets/d/1kGrh75X1cNR1D7_FcY9zMnHP8iPO4M5RCRjy6nZY0TY/edit#gid=1248694442"",""Subgroup 3: Mi ~ Tx!E3:E17""), $A68=IMPORTRANGE(""https://docs.google.com/spreadsheets/d/1kGrh75X1cNR1D7_FcY9zMnHP8iPO4M5"&amp;"RCRjy6nZY0TY/edit#gid=1248694442"",""Subgroup 3: Mi ~ Tx!A3:A17"")),"""")"),"")</f>
        <v/>
      </c>
      <c r="W68" s="20" t="str">
        <f>IFERROR(__xludf.DUMMYFUNCTION("IFNA(FILTER(IMPORTRANGE(""https://docs.google.com/spreadsheets/d/1kGrh75X1cNR1D7_FcY9zMnHP8iPO4M5RCRjy6nZY0TY/edit#gid=1248694442"",""Subgroup 3: Mi ~ Tx!F3:F17""), $A68=IMPORTRANGE(""https://docs.google.com/spreadsheets/d/1kGrh75X1cNR1D7_FcY9zMnHP8iPO4M5"&amp;"RCRjy6nZY0TY/edit#gid=1248694442"",""Subgroup 3: Mi ~ Tx!A3:A17"")),"""")"),"")</f>
        <v/>
      </c>
      <c r="X68" s="19" t="str">
        <f>IFERROR(__xludf.DUMMYFUNCTION("IFNA(FILTER(IMPORTRANGE(""https://docs.google.com/spreadsheets/d/1kGrh75X1cNR1D7_FcY9zMnHP8iPO4M5RCRjy6nZY0TY/edit#gid=1248694442"",""Table 3: 1st-line HC!AK5:AK111""), $A68=IMPORTRANGE(""https://docs.google.com/spreadsheets/d/1kGrh75X1cNR1D7_FcY9zMnHP8iP"&amp;"O4M5RCRjy6nZY0TY/edit#gid=1248694442"",""Table 3: 1st-line HC!A5:A111"")),"""")"),"")</f>
        <v/>
      </c>
      <c r="Y68" s="20" t="str">
        <f>IFERROR(__xludf.DUMMYFUNCTION("IFNA(FILTER(IMPORTRANGE(""https://docs.google.com/spreadsheets/d/1kGrh75X1cNR1D7_FcY9zMnHP8iPO4M5RCRjy6nZY0TY/edit#gid=1248694442"",""Subgroup 4: Mp ~ Tx!B3:B20""), $A68=IMPORTRANGE(""https://docs.google.com/spreadsheets/d/1kGrh75X1cNR1D7_FcY9zMnHP8iPO4M5"&amp;"RCRjy6nZY0TY/edit#gid=1248694442"",""Subgroup 4: Mp ~ Tx!A3:A20"")),"""")"),"")</f>
        <v/>
      </c>
      <c r="Z68" s="20" t="str">
        <f>IFERROR(__xludf.DUMMYFUNCTION("IFNA(FILTER(IMPORTRANGE(""https://docs.google.com/spreadsheets/d/1kGrh75X1cNR1D7_FcY9zMnHP8iPO4M5RCRjy6nZY0TY/edit#gid=1248694442"",""Subgroup 4: Mp ~ Tx!C3:C20""), $A68=IMPORTRANGE(""https://docs.google.com/spreadsheets/d/1kGrh75X1cNR1D7_FcY9zMnHP8iPO4M5"&amp;"RCRjy6nZY0TY/edit#gid=1248694442"",""Subgroup 4: Mp ~ Tx!A3:A20"")),"""")"),"")</f>
        <v/>
      </c>
      <c r="AA68" s="20" t="str">
        <f>IFERROR(__xludf.DUMMYFUNCTION("IFNA(FILTER(IMPORTRANGE(""https://docs.google.com/spreadsheets/d/1kGrh75X1cNR1D7_FcY9zMnHP8iPO4M5RCRjy6nZY0TY/edit#gid=1248694442"",""Subgroup 4: Mp ~ Tx!D3:D20""), $A68=IMPORTRANGE(""https://docs.google.com/spreadsheets/d/1kGrh75X1cNR1D7_FcY9zMnHP8iPO4M5"&amp;"RCRjy6nZY0TY/edit#gid=1248694442"",""Subgroup 4: Mp ~ Tx!A3:A20"")),"""")"),"")</f>
        <v/>
      </c>
      <c r="AB68" s="20" t="str">
        <f>IFERROR(__xludf.DUMMYFUNCTION("IFNA(FILTER(IMPORTRANGE(""https://docs.google.com/spreadsheets/d/1kGrh75X1cNR1D7_FcY9zMnHP8iPO4M5RCRjy6nZY0TY/edit#gid=1248694442"",""Subgroup 4: Mp ~ Tx!E3:E20""), $A68=IMPORTRANGE(""https://docs.google.com/spreadsheets/d/1kGrh75X1cNR1D7_FcY9zMnHP8iPO4M5"&amp;"RCRjy6nZY0TY/edit#gid=1248694442"",""Subgroup 4: Mp ~ Tx!A3:A20"")),"""")"),"")</f>
        <v/>
      </c>
      <c r="AC68" s="20" t="str">
        <f>IFERROR(__xludf.DUMMYFUNCTION("IFNA(FILTER(IMPORTRANGE(""https://docs.google.com/spreadsheets/d/1kGrh75X1cNR1D7_FcY9zMnHP8iPO4M5RCRjy6nZY0TY/edit#gid=1248694442"",""Subgroup 4: Mp ~ Tx!F3:F20""), $A68=IMPORTRANGE(""https://docs.google.com/spreadsheets/d/1kGrh75X1cNR1D7_FcY9zMnHP8iPO4M5"&amp;"RCRjy6nZY0TY/edit#gid=1248694442"",""Subgroup 4: Mp ~ Tx!A3:A20"")),"""")"),"")</f>
        <v/>
      </c>
      <c r="AD68" s="22" t="str">
        <f>IFERROR(__xludf.DUMMYFUNCTION("IFNA(FILTER(IMPORTRANGE(""https://docs.google.com/spreadsheets/d/1kGrh75X1cNR1D7_FcY9zMnHP8iPO4M5RCRjy6nZY0TY/edit#gid=1248694442"",""Table 3: 1st-line HC!AL5:AL111""), $A68=IMPORTRANGE(""https://docs.google.com/spreadsheets/d/1kGrh75X1cNR1D7_FcY9zMnHP8iP"&amp;"O4M5RCRjy6nZY0TY/edit#gid=1248694442"",""Table 3: 1st-line HC!A5:A111"")),"""")"),"")</f>
        <v/>
      </c>
      <c r="AE68" s="20" t="str">
        <f>IFERROR(__xludf.DUMMYFUNCTION("IFNA(FILTER(IMPORTRANGE(""https://docs.google.com/spreadsheets/d/1kGrh75X1cNR1D7_FcY9zMnHP8iPO4M5RCRjy6nZY0TY/edit#gid=1248694442"",""Table 3: 1st-line HC!BJ5:BJ111""), $A68=IMPORTRANGE(""https://docs.google.com/spreadsheets/d/1kGrh75X1cNR1D7_FcY9zMnHP8iP"&amp;"O4M5RCRjy6nZY0TY/edit#gid=1248694442"",""Table 3: 1st-line HC!A5:A111"")),"""")"),"")</f>
        <v/>
      </c>
      <c r="AF68" s="20" t="str">
        <f>IFERROR(__xludf.DUMMYFUNCTION("IFNA(FILTER(IMPORTRANGE(""https://docs.google.com/spreadsheets/d/1kGrh75X1cNR1D7_FcY9zMnHP8iPO4M5RCRjy6nZY0TY/edit#gid=1248694442"",""Subgroup 2: Cr ~ Tx!B3:B23""), $A68=IMPORTRANGE(""https://docs.google.com/spreadsheets/d/1kGrh75X1cNR1D7_FcY9zMnHP8iPO4M5"&amp;"RCRjy6nZY0TY/edit#gid=1248694442"",""Subgroup 2: Cr ~ Tx!A3:A23"")),"""")"),"")</f>
        <v/>
      </c>
      <c r="AG68" s="20" t="str">
        <f>IFERROR(__xludf.DUMMYFUNCTION("IFNA(FILTER(IMPORTRANGE(""https://docs.google.com/spreadsheets/d/1kGrh75X1cNR1D7_FcY9zMnHP8iPO4M5RCRjy6nZY0TY/edit#gid=1248694442"",""Subgroup 2: Cr ~ Tx!C3:C23""), $A68=IMPORTRANGE(""https://docs.google.com/spreadsheets/d/1kGrh75X1cNR1D7_FcY9zMnHP8iPO4M5"&amp;"RCRjy6nZY0TY/edit#gid=1248694442"",""Subgroup 2: Cr ~ Tx!A3:A23"")),"""")"),"")</f>
        <v/>
      </c>
      <c r="AH68" s="20" t="str">
        <f>IFERROR(__xludf.DUMMYFUNCTION("IFNA(FILTER(IMPORTRANGE(""https://docs.google.com/spreadsheets/d/1kGrh75X1cNR1D7_FcY9zMnHP8iPO4M5RCRjy6nZY0TY/edit#gid=1248694442"",""Subgroup 2: Cr ~ Tx!D3:D23""), $A68=IMPORTRANGE(""https://docs.google.com/spreadsheets/d/1kGrh75X1cNR1D7_FcY9zMnHP8iPO4M5"&amp;"RCRjy6nZY0TY/edit#gid=1248694442"",""Subgroup 2: Cr ~ Tx!A3:A23"")),"""")"),"")</f>
        <v/>
      </c>
      <c r="AI68" s="20" t="str">
        <f>IFERROR(__xludf.DUMMYFUNCTION("IFNA(FILTER(IMPORTRANGE(""https://docs.google.com/spreadsheets/d/1kGrh75X1cNR1D7_FcY9zMnHP8iPO4M5RCRjy6nZY0TY/edit#gid=1248694442"",""Subgroup 2: Cr ~ Tx!E3:E23""), $A68=IMPORTRANGE(""https://docs.google.com/spreadsheets/d/1kGrh75X1cNR1D7_FcY9zMnHP8iPO4M5"&amp;"RCRjy6nZY0TY/edit#gid=1248694442"",""Subgroup 2: Cr ~ Tx!A3:A23"")),"""")"),"")</f>
        <v/>
      </c>
      <c r="AJ68" s="20" t="str">
        <f>IFERROR(__xludf.DUMMYFUNCTION("IFNA(FILTER(IMPORTRANGE(""https://docs.google.com/spreadsheets/d/1kGrh75X1cNR1D7_FcY9zMnHP8iPO4M5RCRjy6nZY0TY/edit#gid=1248694442"",""Subgroup 2: Cr ~ Tx!F3:F23""), $A68=IMPORTRANGE(""https://docs.google.com/spreadsheets/d/1kGrh75X1cNR1D7_FcY9zMnHP8iPO4M5"&amp;"RCRjy6nZY0TY/edit#gid=1248694442"",""Subgroup 2: Cr ~ Tx!A3:A23"")),"""")"),"")</f>
        <v/>
      </c>
      <c r="AK68" s="14" t="str">
        <f>IFERROR(__xludf.DUMMYFUNCTION("IFNA(FILTER(IMPORTRANGE(""https://docs.google.com/spreadsheets/d/1kGrh75X1cNR1D7_FcY9zMnHP8iPO4M5RCRjy6nZY0TY/edit#gid=1248694442"",""Table 4: 2nd-line HC or more!M5:M85""), $A68=IMPORTRANGE(""https://docs.google.com/spreadsheets/d/1kGrh75X1cNR1D7_FcY9zMn"&amp;"HP8iPO4M5RCRjy6nZY0TY/edit#gid=1248694442"",""Table 4: 2nd-line HC or more!A5:A85"")),"""")"),"")</f>
        <v/>
      </c>
      <c r="AL68" s="14" t="str">
        <f>IFERROR(__xludf.DUMMYFUNCTION("IFNA(FILTER(IMPORTRANGE(""https://docs.google.com/spreadsheets/d/1kGrh75X1cNR1D7_FcY9zMnHP8iPO4M5RCRjy6nZY0TY/edit#gid=1248694442"",""Table 4: 2nd-line HC or more!N5:N85""), $A68=IMPORTRANGE(""https://docs.google.com/spreadsheets/d/1kGrh75X1cNR1D7_FcY9zMn"&amp;"HP8iPO4M5RCRjy6nZY0TY/edit#gid=1248694442"",""Table 4: 2nd-line HC or more!A5:A85"")),"""")"),"")</f>
        <v/>
      </c>
      <c r="AM68" s="14" t="str">
        <f>IFERROR(__xludf.DUMMYFUNCTION("IFNA(FILTER(IMPORTRANGE(""https://docs.google.com/spreadsheets/d/1kGrh75X1cNR1D7_FcY9zMnHP8iPO4M5RCRjy6nZY0TY/edit#gid=1248694442"",""Table 4: 2nd-line HC or more!O5:O85""), $A68=IMPORTRANGE(""https://docs.google.com/spreadsheets/d/1kGrh75X1cNR1D7_FcY9zMn"&amp;"HP8iPO4M5RCRjy6nZY0TY/edit#gid=1248694442"",""Table 4: 2nd-line HC or more!A5:A85"")),"""")"),"")</f>
        <v/>
      </c>
      <c r="AN68" s="14" t="str">
        <f>IFERROR(__xludf.DUMMYFUNCTION("IFNA(FILTER(IMPORTRANGE(""https://docs.google.com/spreadsheets/d/1kGrh75X1cNR1D7_FcY9zMnHP8iPO4M5RCRjy6nZY0TY/edit#gid=1248694442"",""Table 3: 1st-line HC!AP5:AP111""), $A68=IMPORTRANGE(""https://docs.google.com/spreadsheets/d/1kGrh75X1cNR1D7_FcY9zMnHP8iP"&amp;"O4M5RCRjy6nZY0TY/edit#gid=1248694442"",""Table 3: 1st-line HC!A5:A111"")),"""")"),"")</f>
        <v/>
      </c>
      <c r="AO68" s="14" t="str">
        <f>IFERROR(__xludf.DUMMYFUNCTION("IFNA(FILTER(IMPORTRANGE(""https://docs.google.com/spreadsheets/d/1kGrh75X1cNR1D7_FcY9zMnHP8iPO4M5RCRjy6nZY0TY/edit#gid=1248694442"",""Table 3: 1st-line HC!AO5:AO111""), $A68=IMPORTRANGE(""https://docs.google.com/spreadsheets/d/1kGrh75X1cNR1D7_FcY9zMnHP8iP"&amp;"O4M5RCRjy6nZY0TY/edit#gid=1248694442"",""Table 3: 1st-line HC!A5:A111"")),"""")"),"")</f>
        <v/>
      </c>
      <c r="AP68" s="14" t="str">
        <f>IFERROR(__xludf.DUMMYFUNCTION("IFNA(FILTER(IMPORTRANGE(""https://docs.google.com/spreadsheets/d/1kGrh75X1cNR1D7_FcY9zMnHP8iPO4M5RCRjy6nZY0TY/edit#gid=1248694442"",""Table 3: 1st-line HC!AQ5:AQ111""), $A68=IMPORTRANGE(""https://docs.google.com/spreadsheets/d/1kGrh75X1cNR1D7_FcY9zMnHP8iP"&amp;"O4M5RCRjy6nZY0TY/edit#gid=1248694442"",""Table 3: 1st-line HC!A5:A111"")),"""")"),"")</f>
        <v/>
      </c>
      <c r="AQ68" s="14" t="str">
        <f>IFERROR(__xludf.DUMMYFUNCTION("IFNA(FILTER(IMPORTRANGE(""https://docs.google.com/spreadsheets/d/1kGrh75X1cNR1D7_FcY9zMnHP8iPO4M5RCRjy6nZY0TY/edit#gid=1248694442"",""Table 2: MMC!T5:T114""), $A68=IMPORTRANGE(""https://docs.google.com/spreadsheets/d/1kGrh75X1cNR1D7_FcY9zMnHP8iPO4M5RCRjy6"&amp;"nZY0TY/edit#gid=1248694442"",""Table 2: MMC!A5:A114"")),"""")"),"")</f>
        <v/>
      </c>
      <c r="AR68" s="14" t="str">
        <f>IFERROR(__xludf.DUMMYFUNCTION("IFNA(FILTER(IMPORTRANGE(""https://docs.google.com/spreadsheets/d/1kGrh75X1cNR1D7_FcY9zMnHP8iPO4M5RCRjy6nZY0TY/edit#gid=1248694442"",""Table 2: MMC!U5:U114""), $A68=IMPORTRANGE(""https://docs.google.com/spreadsheets/d/1kGrh75X1cNR1D7_FcY9zMnHP8iPO4M5RCRjy6"&amp;"nZY0TY/edit#gid=1248694442"",""Table 2: MMC!A5:A114"")),"""")"),"")</f>
        <v/>
      </c>
      <c r="AS68" s="14" t="str">
        <f>IFERROR(__xludf.DUMMYFUNCTION("IFNA(FILTER(IMPORTRANGE(""https://docs.google.com/spreadsheets/d/1kGrh75X1cNR1D7_FcY9zMnHP8iPO4M5RCRjy6nZY0TY/edit#gid=1248694442"",""Table 2: MMC!V5:V114""), $A68=IMPORTRANGE(""https://docs.google.com/spreadsheets/d/1kGrh75X1cNR1D7_FcY9zMnHP8iPO4M5RCRjy6"&amp;"nZY0TY/edit#gid=1248694442"",""Table 2: MMC!A5:A114"")),"""")"),"")</f>
        <v/>
      </c>
      <c r="AT68" s="4" t="str">
        <f>IFERROR(__xludf.DUMMYFUNCTION("IFNA(FILTER(IMPORTRANGE(""https://docs.google.com/spreadsheets/d/1kGrh75X1cNR1D7_FcY9zMnHP8iPO4M5RCRjy6nZY0TY/edit#gid=1248694442"",""Table 2: MMC!W5:W114""), $A68=IMPORTRANGE(""https://docs.google.com/spreadsheets/d/1kGrh75X1cNR1D7_FcY9zMnHP8iPO4M5RCRjy6"&amp;"nZY0TY/edit#gid=1248694442"",""Table 2: MMC!A5:A114"")),"""")"),"")</f>
        <v/>
      </c>
    </row>
    <row r="69">
      <c r="A69" s="4" t="str">
        <f>IFERROR(__xludf.DUMMYFUNCTION("""COMPUTED_VALUE"""),"ID 152")</f>
        <v>ID 152</v>
      </c>
      <c r="B69" s="20" t="str">
        <f>IFERROR(__xludf.DUMMYFUNCTION("IFNA(FILTER(IMPORTRANGE(""https://docs.google.com/spreadsheets/d/1kGrh75X1cNR1D7_FcY9zMnHP8iPO4M5RCRjy6nZY0TY/edit#gid=1248694442"",""Table 3: 1st-line HC!BK5:BK111""), $A69=IMPORTRANGE(""https://docs.google.com/spreadsheets/d/1kGrh75X1cNR1D7_FcY9zMnHP8iP"&amp;"O4M5RCRjy6nZY0TY/edit#gid=1248694442"",""Table 3: 1st-line HC!A5:A111"")),"""")"),"")</f>
        <v/>
      </c>
      <c r="C69" s="20" t="str">
        <f>IFERROR(__xludf.DUMMYFUNCTION("IFNA(FILTER(IMPORTRANGE(""https://docs.google.com/spreadsheets/d/1kGrh75X1cNR1D7_FcY9zMnHP8iPO4M5RCRjy6nZY0TY/edit#gid=1248694442"",""Subgroup 1: Fr ~ Tx!B3:B20""), $A69=IMPORTRANGE(""https://docs.google.com/spreadsheets/d/1kGrh75X1cNR1D7_FcY9zMnHP8iPO4M5"&amp;"RCRjy6nZY0TY/edit#gid=1248694442"",""Subgroup 1: Fr ~ Tx!A3:A20"")),"""")"),"")</f>
        <v/>
      </c>
      <c r="D69" s="20" t="str">
        <f>IFERROR(__xludf.DUMMYFUNCTION("IFNA(FILTER(IMPORTRANGE(""https://docs.google.com/spreadsheets/d/1kGrh75X1cNR1D7_FcY9zMnHP8iPO4M5RCRjy6nZY0TY/edit#gid=1248694442"",""Subgroup 1: Fr ~ Tx!C3:C20""), $A69=IMPORTRANGE(""https://docs.google.com/spreadsheets/d/1kGrh75X1cNR1D7_FcY9zMnHP8iPO4M5"&amp;"RCRjy6nZY0TY/edit#gid=1248694442"",""Subgroup 1: Fr ~ Tx!A3:A20"")),"""")"),"")</f>
        <v/>
      </c>
      <c r="E69" s="20" t="str">
        <f>IFERROR(__xludf.DUMMYFUNCTION("IFNA(FILTER(IMPORTRANGE(""https://docs.google.com/spreadsheets/d/1kGrh75X1cNR1D7_FcY9zMnHP8iPO4M5RCRjy6nZY0TY/edit#gid=1248694442"",""Subgroup 1: Fr ~ Tx!D3:D20""), $A69=IMPORTRANGE(""https://docs.google.com/spreadsheets/d/1kGrh75X1cNR1D7_FcY9zMnHP8iPO4M5"&amp;"RCRjy6nZY0TY/edit#gid=1248694442"",""Subgroup 1: Fr ~ Tx!A3:A20"")),"""")"),"")</f>
        <v/>
      </c>
      <c r="F69" s="20" t="str">
        <f>IFERROR(__xludf.DUMMYFUNCTION("IFNA(FILTER(IMPORTRANGE(""https://docs.google.com/spreadsheets/d/1kGrh75X1cNR1D7_FcY9zMnHP8iPO4M5RCRjy6nZY0TY/edit#gid=1248694442"",""Subgroup 1: Fr ~ Tx!E3:E20""), $A69=IMPORTRANGE(""https://docs.google.com/spreadsheets/d/1kGrh75X1cNR1D7_FcY9zMnHP8iPO4M5"&amp;"RCRjy6nZY0TY/edit#gid=1248694442"",""Subgroup 1: Fr ~ Tx!A3:A20"")),"""")"),"")</f>
        <v/>
      </c>
      <c r="G69" s="20" t="str">
        <f>IFERROR(__xludf.DUMMYFUNCTION("IFNA(FILTER(IMPORTRANGE(""https://docs.google.com/spreadsheets/d/1kGrh75X1cNR1D7_FcY9zMnHP8iPO4M5RCRjy6nZY0TY/edit#gid=1248694442"",""Subgroup 1: Fr ~ Tx!F3:F20""), $A69=IMPORTRANGE(""https://docs.google.com/spreadsheets/d/1kGrh75X1cNR1D7_FcY9zMnHP8iPO4M5"&amp;"RCRjy6nZY0TY/edit#gid=1248694442"",""Subgroup 1: Fr ~ Tx!A3:A20"")),"""")"),"")</f>
        <v/>
      </c>
      <c r="H69" s="20" t="str">
        <f>IFERROR(__xludf.DUMMYFUNCTION("IFNA(FILTER(IMPORTRANGE(""https://docs.google.com/spreadsheets/d/1kGrh75X1cNR1D7_FcY9zMnHP8iPO4M5RCRjy6nZY0TY/edit#gid=1248694442"",""Table 3: 1st-line HC!BD5:BD111""), $A69=IMPORTRANGE(""https://docs.google.com/spreadsheets/d/1kGrh75X1cNR1D7_FcY9zMnHP8iP"&amp;"O4M5RCRjy6nZY0TY/edit#gid=1248694442"",""Table 3: 1st-line HC!A5:A111"")),"""")"),"")</f>
        <v/>
      </c>
      <c r="I69" s="20" t="str">
        <f>IFERROR(__xludf.DUMMYFUNCTION("IFNA(FILTER(IMPORTRANGE(""https://docs.google.com/spreadsheets/d/1kGrh75X1cNR1D7_FcY9zMnHP8iPO4M5RCRjy6nZY0TY/edit#gid=1248694442"",""Subgroup 5: Tf ~ Tx!B3:B8""), $A69=IMPORTRANGE(""https://docs.google.com/spreadsheets/d/1kGrh75X1cNR1D7_FcY9zMnHP8iPO4M5R"&amp;"CRjy6nZY0TY/edit#gid=1248694442"",""Subgroup 5: Tf ~ Tx!A3:A8"")),"""")"),"")</f>
        <v/>
      </c>
      <c r="J69" s="20" t="str">
        <f>IFERROR(__xludf.DUMMYFUNCTION("IFNA(FILTER(IMPORTRANGE(""https://docs.google.com/spreadsheets/d/1kGrh75X1cNR1D7_FcY9zMnHP8iPO4M5RCRjy6nZY0TY/edit#gid=1248694442"",""Subgroup 5: Tf ~ Tx!C3:C8""), $A69=IMPORTRANGE(""https://docs.google.com/spreadsheets/d/1kGrh75X1cNR1D7_FcY9zMnHP8iPO4M5R"&amp;"CRjy6nZY0TY/edit#gid=1248694442"",""Subgroup 5: Tf ~ Tx!A3:A8"")),"""")"),"")</f>
        <v/>
      </c>
      <c r="K69" s="20" t="str">
        <f>IFERROR(__xludf.DUMMYFUNCTION("IFNA(FILTER(IMPORTRANGE(""https://docs.google.com/spreadsheets/d/1kGrh75X1cNR1D7_FcY9zMnHP8iPO4M5RCRjy6nZY0TY/edit#gid=1248694442"",""Subgroup 5: Tf ~ Tx!D3:D8""), $A69=IMPORTRANGE(""https://docs.google.com/spreadsheets/d/1kGrh75X1cNR1D7_FcY9zMnHP8iPO4M5R"&amp;"CRjy6nZY0TY/edit#gid=1248694442"",""Subgroup 5: Tf ~ Tx!A3:A8"")),"""")"),"")</f>
        <v/>
      </c>
      <c r="L69" s="20" t="str">
        <f>IFERROR(__xludf.DUMMYFUNCTION("IFNA(FILTER(IMPORTRANGE(""https://docs.google.com/spreadsheets/d/1kGrh75X1cNR1D7_FcY9zMnHP8iPO4M5RCRjy6nZY0TY/edit#gid=1248694442"",""Subgroup 5: Tf ~ Tx!E3:E8""), $A69=IMPORTRANGE(""https://docs.google.com/spreadsheets/d/1kGrh75X1cNR1D7_FcY9zMnHP8iPO4M5R"&amp;"CRjy6nZY0TY/edit#gid=1248694442"",""Subgroup 5: Tf ~ Tx!A3:A8"")),"""")"),"")</f>
        <v/>
      </c>
      <c r="M69" s="20" t="str">
        <f>IFERROR(__xludf.DUMMYFUNCTION("IFNA(FILTER(IMPORTRANGE(""https://docs.google.com/spreadsheets/d/1kGrh75X1cNR1D7_FcY9zMnHP8iPO4M5RCRjy6nZY0TY/edit#gid=1248694442"",""Subgroup 5: Tf ~ Tx!F3:F8""), $A69=IMPORTRANGE(""https://docs.google.com/spreadsheets/d/1kGrh75X1cNR1D7_FcY9zMnHP8iPO4M5R"&amp;"CRjy6nZY0TY/edit#gid=1248694442"",""Subgroup 5: Tf ~ Tx!A3:A8"")),"""")"),"")</f>
        <v/>
      </c>
      <c r="N69" s="20" t="str">
        <f>IFERROR(__xludf.DUMMYFUNCTION("IFNA(FILTER(IMPORTRANGE(""https://docs.google.com/spreadsheets/d/1kGrh75X1cNR1D7_FcY9zMnHP8iPO4M5RCRjy6nZY0TY/edit#gid=1248694442"",""Table 3: 1st-line HC!BE5:BE111""), $A69=IMPORTRANGE(""https://docs.google.com/spreadsheets/d/1kGrh75X1cNR1D7_FcY9zMnHP8iP"&amp;"O4M5RCRjy6nZY0TY/edit#gid=1248694442"",""Table 3: 1st-line HC!A5:A111"")),"""")"),"")</f>
        <v/>
      </c>
      <c r="O69" s="20" t="str">
        <f>IFERROR(__xludf.DUMMYFUNCTION("IFNA(FILTER(IMPORTRANGE(""https://docs.google.com/spreadsheets/d/1kGrh75X1cNR1D7_FcY9zMnHP8iPO4M5RCRjy6nZY0TY/edit#gid=1248694442"",""Table 3: 1st-line HC!BF5:BF111""), $A69=IMPORTRANGE(""https://docs.google.com/spreadsheets/d/1kGrh75X1cNR1D7_FcY9zMnHP8iP"&amp;"O4M5RCRjy6nZY0TY/edit#gid=1248694442"",""Table 3: 1st-line HC!A5:A111"")),"""")"),"")</f>
        <v/>
      </c>
      <c r="P69" s="20" t="str">
        <f>IFERROR(__xludf.DUMMYFUNCTION("IFNA(FILTER(IMPORTRANGE(""https://docs.google.com/spreadsheets/d/1kGrh75X1cNR1D7_FcY9zMnHP8iPO4M5RCRjy6nZY0TY/edit#gid=1248694442"",""Table 3: 1st-line HC!BG5:BG111""), $A69=IMPORTRANGE(""https://docs.google.com/spreadsheets/d/1kGrh75X1cNR1D7_FcY9zMnHP8iP"&amp;"O4M5RCRjy6nZY0TY/edit#gid=1248694442"",""Table 3: 1st-line HC!A5:A111"")),"""")"),"")</f>
        <v/>
      </c>
      <c r="Q69" s="21" t="str">
        <f>IFERROR(__xludf.DUMMYFUNCTION("IFNA(FILTER(IMPORTRANGE(""https://docs.google.com/spreadsheets/d/1kGrh75X1cNR1D7_FcY9zMnHP8iPO4M5RCRjy6nZY0TY/edit#gid=1248694442"",""Table 3: 1st-line HC!BH5:BH111""), $A69=IMPORTRANGE(""https://docs.google.com/spreadsheets/d/1kGrh75X1cNR1D7_FcY9zMnHP8iP"&amp;"O4M5RCRjy6nZY0TY/edit#gid=1248694442"",""Table 3: 1st-line HC!A5:A111"")),"""")"),"")</f>
        <v/>
      </c>
      <c r="R69" s="19" t="str">
        <f>IFERROR(__xludf.DUMMYFUNCTION("IFNA(FILTER(IMPORTRANGE(""https://docs.google.com/spreadsheets/d/1kGrh75X1cNR1D7_FcY9zMnHP8iPO4M5RCRjy6nZY0TY/edit#gid=1248694442"",""Table 3: 1st-line HC!AJ5:AJ111""), $A69=IMPORTRANGE(""https://docs.google.com/spreadsheets/d/1kGrh75X1cNR1D7_FcY9zMnHP8iP"&amp;"O4M5RCRjy6nZY0TY/edit#gid=1248694442"",""Table 3: 1st-line HC!A5:A111"")),"""")"),"")</f>
        <v/>
      </c>
      <c r="S69" s="20" t="str">
        <f>IFERROR(__xludf.DUMMYFUNCTION("IFNA(FILTER(IMPORTRANGE(""https://docs.google.com/spreadsheets/d/1kGrh75X1cNR1D7_FcY9zMnHP8iPO4M5RCRjy6nZY0TY/edit#gid=1248694442"",""Subgroup 3: Mi ~ Tx!B3:B17""), $A69=IMPORTRANGE(""https://docs.google.com/spreadsheets/d/1kGrh75X1cNR1D7_FcY9zMnHP8iPO4M5"&amp;"RCRjy6nZY0TY/edit#gid=1248694442"",""Subgroup 3: Mi ~ Tx!A3:A17"")),"""")"),"")</f>
        <v/>
      </c>
      <c r="T69" s="20" t="str">
        <f>IFERROR(__xludf.DUMMYFUNCTION("IFNA(FILTER(IMPORTRANGE(""https://docs.google.com/spreadsheets/d/1kGrh75X1cNR1D7_FcY9zMnHP8iPO4M5RCRjy6nZY0TY/edit#gid=1248694442"",""Subgroup 3: Mi ~ Tx!C3:C17""), $A69=IMPORTRANGE(""https://docs.google.com/spreadsheets/d/1kGrh75X1cNR1D7_FcY9zMnHP8iPO4M5"&amp;"RCRjy6nZY0TY/edit#gid=1248694442"",""Subgroup 3: Mi ~ Tx!A3:A17"")),"""")"),"")</f>
        <v/>
      </c>
      <c r="U69" s="20" t="str">
        <f>IFERROR(__xludf.DUMMYFUNCTION("IFNA(FILTER(IMPORTRANGE(""https://docs.google.com/spreadsheets/d/1kGrh75X1cNR1D7_FcY9zMnHP8iPO4M5RCRjy6nZY0TY/edit#gid=1248694442"",""Subgroup 3: Mi ~ Tx!D3:D17""), $A69=IMPORTRANGE(""https://docs.google.com/spreadsheets/d/1kGrh75X1cNR1D7_FcY9zMnHP8iPO4M5"&amp;"RCRjy6nZY0TY/edit#gid=1248694442"",""Subgroup 3: Mi ~ Tx!A3:A17"")),"""")"),"")</f>
        <v/>
      </c>
      <c r="V69" s="20" t="str">
        <f>IFERROR(__xludf.DUMMYFUNCTION("IFNA(FILTER(IMPORTRANGE(""https://docs.google.com/spreadsheets/d/1kGrh75X1cNR1D7_FcY9zMnHP8iPO4M5RCRjy6nZY0TY/edit#gid=1248694442"",""Subgroup 3: Mi ~ Tx!E3:E17""), $A69=IMPORTRANGE(""https://docs.google.com/spreadsheets/d/1kGrh75X1cNR1D7_FcY9zMnHP8iPO4M5"&amp;"RCRjy6nZY0TY/edit#gid=1248694442"",""Subgroup 3: Mi ~ Tx!A3:A17"")),"""")"),"")</f>
        <v/>
      </c>
      <c r="W69" s="20" t="str">
        <f>IFERROR(__xludf.DUMMYFUNCTION("IFNA(FILTER(IMPORTRANGE(""https://docs.google.com/spreadsheets/d/1kGrh75X1cNR1D7_FcY9zMnHP8iPO4M5RCRjy6nZY0TY/edit#gid=1248694442"",""Subgroup 3: Mi ~ Tx!F3:F17""), $A69=IMPORTRANGE(""https://docs.google.com/spreadsheets/d/1kGrh75X1cNR1D7_FcY9zMnHP8iPO4M5"&amp;"RCRjy6nZY0TY/edit#gid=1248694442"",""Subgroup 3: Mi ~ Tx!A3:A17"")),"""")"),"")</f>
        <v/>
      </c>
      <c r="X69" s="19" t="str">
        <f>IFERROR(__xludf.DUMMYFUNCTION("IFNA(FILTER(IMPORTRANGE(""https://docs.google.com/spreadsheets/d/1kGrh75X1cNR1D7_FcY9zMnHP8iPO4M5RCRjy6nZY0TY/edit#gid=1248694442"",""Table 3: 1st-line HC!AK5:AK111""), $A69=IMPORTRANGE(""https://docs.google.com/spreadsheets/d/1kGrh75X1cNR1D7_FcY9zMnHP8iP"&amp;"O4M5RCRjy6nZY0TY/edit#gid=1248694442"",""Table 3: 1st-line HC!A5:A111"")),"""")"),"")</f>
        <v/>
      </c>
      <c r="Y69" s="20" t="str">
        <f>IFERROR(__xludf.DUMMYFUNCTION("IFNA(FILTER(IMPORTRANGE(""https://docs.google.com/spreadsheets/d/1kGrh75X1cNR1D7_FcY9zMnHP8iPO4M5RCRjy6nZY0TY/edit#gid=1248694442"",""Subgroup 4: Mp ~ Tx!B3:B20""), $A69=IMPORTRANGE(""https://docs.google.com/spreadsheets/d/1kGrh75X1cNR1D7_FcY9zMnHP8iPO4M5"&amp;"RCRjy6nZY0TY/edit#gid=1248694442"",""Subgroup 4: Mp ~ Tx!A3:A20"")),"""")"),"")</f>
        <v/>
      </c>
      <c r="Z69" s="20" t="str">
        <f>IFERROR(__xludf.DUMMYFUNCTION("IFNA(FILTER(IMPORTRANGE(""https://docs.google.com/spreadsheets/d/1kGrh75X1cNR1D7_FcY9zMnHP8iPO4M5RCRjy6nZY0TY/edit#gid=1248694442"",""Subgroup 4: Mp ~ Tx!C3:C20""), $A69=IMPORTRANGE(""https://docs.google.com/spreadsheets/d/1kGrh75X1cNR1D7_FcY9zMnHP8iPO4M5"&amp;"RCRjy6nZY0TY/edit#gid=1248694442"",""Subgroup 4: Mp ~ Tx!A3:A20"")),"""")"),"")</f>
        <v/>
      </c>
      <c r="AA69" s="20" t="str">
        <f>IFERROR(__xludf.DUMMYFUNCTION("IFNA(FILTER(IMPORTRANGE(""https://docs.google.com/spreadsheets/d/1kGrh75X1cNR1D7_FcY9zMnHP8iPO4M5RCRjy6nZY0TY/edit#gid=1248694442"",""Subgroup 4: Mp ~ Tx!D3:D20""), $A69=IMPORTRANGE(""https://docs.google.com/spreadsheets/d/1kGrh75X1cNR1D7_FcY9zMnHP8iPO4M5"&amp;"RCRjy6nZY0TY/edit#gid=1248694442"",""Subgroup 4: Mp ~ Tx!A3:A20"")),"""")"),"")</f>
        <v/>
      </c>
      <c r="AB69" s="20" t="str">
        <f>IFERROR(__xludf.DUMMYFUNCTION("IFNA(FILTER(IMPORTRANGE(""https://docs.google.com/spreadsheets/d/1kGrh75X1cNR1D7_FcY9zMnHP8iPO4M5RCRjy6nZY0TY/edit#gid=1248694442"",""Subgroup 4: Mp ~ Tx!E3:E20""), $A69=IMPORTRANGE(""https://docs.google.com/spreadsheets/d/1kGrh75X1cNR1D7_FcY9zMnHP8iPO4M5"&amp;"RCRjy6nZY0TY/edit#gid=1248694442"",""Subgroup 4: Mp ~ Tx!A3:A20"")),"""")"),"")</f>
        <v/>
      </c>
      <c r="AC69" s="20" t="str">
        <f>IFERROR(__xludf.DUMMYFUNCTION("IFNA(FILTER(IMPORTRANGE(""https://docs.google.com/spreadsheets/d/1kGrh75X1cNR1D7_FcY9zMnHP8iPO4M5RCRjy6nZY0TY/edit#gid=1248694442"",""Subgroup 4: Mp ~ Tx!F3:F20""), $A69=IMPORTRANGE(""https://docs.google.com/spreadsheets/d/1kGrh75X1cNR1D7_FcY9zMnHP8iPO4M5"&amp;"RCRjy6nZY0TY/edit#gid=1248694442"",""Subgroup 4: Mp ~ Tx!A3:A20"")),"""")"),"")</f>
        <v/>
      </c>
      <c r="AD69" s="22" t="str">
        <f>IFERROR(__xludf.DUMMYFUNCTION("IFNA(FILTER(IMPORTRANGE(""https://docs.google.com/spreadsheets/d/1kGrh75X1cNR1D7_FcY9zMnHP8iPO4M5RCRjy6nZY0TY/edit#gid=1248694442"",""Table 3: 1st-line HC!AL5:AL111""), $A69=IMPORTRANGE(""https://docs.google.com/spreadsheets/d/1kGrh75X1cNR1D7_FcY9zMnHP8iP"&amp;"O4M5RCRjy6nZY0TY/edit#gid=1248694442"",""Table 3: 1st-line HC!A5:A111"")),"""")"),"")</f>
        <v/>
      </c>
      <c r="AE69" s="20" t="str">
        <f>IFERROR(__xludf.DUMMYFUNCTION("IFNA(FILTER(IMPORTRANGE(""https://docs.google.com/spreadsheets/d/1kGrh75X1cNR1D7_FcY9zMnHP8iPO4M5RCRjy6nZY0TY/edit#gid=1248694442"",""Table 3: 1st-line HC!BJ5:BJ111""), $A69=IMPORTRANGE(""https://docs.google.com/spreadsheets/d/1kGrh75X1cNR1D7_FcY9zMnHP8iP"&amp;"O4M5RCRjy6nZY0TY/edit#gid=1248694442"",""Table 3: 1st-line HC!A5:A111"")),"""")"),"")</f>
        <v/>
      </c>
      <c r="AF69" s="20" t="str">
        <f>IFERROR(__xludf.DUMMYFUNCTION("IFNA(FILTER(IMPORTRANGE(""https://docs.google.com/spreadsheets/d/1kGrh75X1cNR1D7_FcY9zMnHP8iPO4M5RCRjy6nZY0TY/edit#gid=1248694442"",""Subgroup 2: Cr ~ Tx!B3:B23""), $A69=IMPORTRANGE(""https://docs.google.com/spreadsheets/d/1kGrh75X1cNR1D7_FcY9zMnHP8iPO4M5"&amp;"RCRjy6nZY0TY/edit#gid=1248694442"",""Subgroup 2: Cr ~ Tx!A3:A23"")),"""")"),"")</f>
        <v/>
      </c>
      <c r="AG69" s="20" t="str">
        <f>IFERROR(__xludf.DUMMYFUNCTION("IFNA(FILTER(IMPORTRANGE(""https://docs.google.com/spreadsheets/d/1kGrh75X1cNR1D7_FcY9zMnHP8iPO4M5RCRjy6nZY0TY/edit#gid=1248694442"",""Subgroup 2: Cr ~ Tx!C3:C23""), $A69=IMPORTRANGE(""https://docs.google.com/spreadsheets/d/1kGrh75X1cNR1D7_FcY9zMnHP8iPO4M5"&amp;"RCRjy6nZY0TY/edit#gid=1248694442"",""Subgroup 2: Cr ~ Tx!A3:A23"")),"""")"),"")</f>
        <v/>
      </c>
      <c r="AH69" s="20" t="str">
        <f>IFERROR(__xludf.DUMMYFUNCTION("IFNA(FILTER(IMPORTRANGE(""https://docs.google.com/spreadsheets/d/1kGrh75X1cNR1D7_FcY9zMnHP8iPO4M5RCRjy6nZY0TY/edit#gid=1248694442"",""Subgroup 2: Cr ~ Tx!D3:D23""), $A69=IMPORTRANGE(""https://docs.google.com/spreadsheets/d/1kGrh75X1cNR1D7_FcY9zMnHP8iPO4M5"&amp;"RCRjy6nZY0TY/edit#gid=1248694442"",""Subgroup 2: Cr ~ Tx!A3:A23"")),"""")"),"")</f>
        <v/>
      </c>
      <c r="AI69" s="20" t="str">
        <f>IFERROR(__xludf.DUMMYFUNCTION("IFNA(FILTER(IMPORTRANGE(""https://docs.google.com/spreadsheets/d/1kGrh75X1cNR1D7_FcY9zMnHP8iPO4M5RCRjy6nZY0TY/edit#gid=1248694442"",""Subgroup 2: Cr ~ Tx!E3:E23""), $A69=IMPORTRANGE(""https://docs.google.com/spreadsheets/d/1kGrh75X1cNR1D7_FcY9zMnHP8iPO4M5"&amp;"RCRjy6nZY0TY/edit#gid=1248694442"",""Subgroup 2: Cr ~ Tx!A3:A23"")),"""")"),"")</f>
        <v/>
      </c>
      <c r="AJ69" s="20" t="str">
        <f>IFERROR(__xludf.DUMMYFUNCTION("IFNA(FILTER(IMPORTRANGE(""https://docs.google.com/spreadsheets/d/1kGrh75X1cNR1D7_FcY9zMnHP8iPO4M5RCRjy6nZY0TY/edit#gid=1248694442"",""Subgroup 2: Cr ~ Tx!F3:F23""), $A69=IMPORTRANGE(""https://docs.google.com/spreadsheets/d/1kGrh75X1cNR1D7_FcY9zMnHP8iPO4M5"&amp;"RCRjy6nZY0TY/edit#gid=1248694442"",""Subgroup 2: Cr ~ Tx!A3:A23"")),"""")"),"")</f>
        <v/>
      </c>
      <c r="AK69" s="14" t="str">
        <f>IFERROR(__xludf.DUMMYFUNCTION("IFNA(FILTER(IMPORTRANGE(""https://docs.google.com/spreadsheets/d/1kGrh75X1cNR1D7_FcY9zMnHP8iPO4M5RCRjy6nZY0TY/edit#gid=1248694442"",""Table 4: 2nd-line HC or more!M5:M85""), $A69=IMPORTRANGE(""https://docs.google.com/spreadsheets/d/1kGrh75X1cNR1D7_FcY9zMn"&amp;"HP8iPO4M5RCRjy6nZY0TY/edit#gid=1248694442"",""Table 4: 2nd-line HC or more!A5:A85"")),"""")"),"")</f>
        <v/>
      </c>
      <c r="AL69" s="14" t="str">
        <f>IFERROR(__xludf.DUMMYFUNCTION("IFNA(FILTER(IMPORTRANGE(""https://docs.google.com/spreadsheets/d/1kGrh75X1cNR1D7_FcY9zMnHP8iPO4M5RCRjy6nZY0TY/edit#gid=1248694442"",""Table 4: 2nd-line HC or more!N5:N85""), $A69=IMPORTRANGE(""https://docs.google.com/spreadsheets/d/1kGrh75X1cNR1D7_FcY9zMn"&amp;"HP8iPO4M5RCRjy6nZY0TY/edit#gid=1248694442"",""Table 4: 2nd-line HC or more!A5:A85"")),"""")"),"")</f>
        <v/>
      </c>
      <c r="AM69" s="14" t="str">
        <f>IFERROR(__xludf.DUMMYFUNCTION("IFNA(FILTER(IMPORTRANGE(""https://docs.google.com/spreadsheets/d/1kGrh75X1cNR1D7_FcY9zMnHP8iPO4M5RCRjy6nZY0TY/edit#gid=1248694442"",""Table 4: 2nd-line HC or more!O5:O85""), $A69=IMPORTRANGE(""https://docs.google.com/spreadsheets/d/1kGrh75X1cNR1D7_FcY9zMn"&amp;"HP8iPO4M5RCRjy6nZY0TY/edit#gid=1248694442"",""Table 4: 2nd-line HC or more!A5:A85"")),"""")"),"")</f>
        <v/>
      </c>
      <c r="AN69" s="14" t="str">
        <f>IFERROR(__xludf.DUMMYFUNCTION("IFNA(FILTER(IMPORTRANGE(""https://docs.google.com/spreadsheets/d/1kGrh75X1cNR1D7_FcY9zMnHP8iPO4M5RCRjy6nZY0TY/edit#gid=1248694442"",""Table 3: 1st-line HC!AP5:AP111""), $A69=IMPORTRANGE(""https://docs.google.com/spreadsheets/d/1kGrh75X1cNR1D7_FcY9zMnHP8iP"&amp;"O4M5RCRjy6nZY0TY/edit#gid=1248694442"",""Table 3: 1st-line HC!A5:A111"")),"""")"),"")</f>
        <v/>
      </c>
      <c r="AO69" s="14" t="str">
        <f>IFERROR(__xludf.DUMMYFUNCTION("IFNA(FILTER(IMPORTRANGE(""https://docs.google.com/spreadsheets/d/1kGrh75X1cNR1D7_FcY9zMnHP8iPO4M5RCRjy6nZY0TY/edit#gid=1248694442"",""Table 3: 1st-line HC!AO5:AO111""), $A69=IMPORTRANGE(""https://docs.google.com/spreadsheets/d/1kGrh75X1cNR1D7_FcY9zMnHP8iP"&amp;"O4M5RCRjy6nZY0TY/edit#gid=1248694442"",""Table 3: 1st-line HC!A5:A111"")),"""")"),"")</f>
        <v/>
      </c>
      <c r="AP69" s="14" t="str">
        <f>IFERROR(__xludf.DUMMYFUNCTION("IFNA(FILTER(IMPORTRANGE(""https://docs.google.com/spreadsheets/d/1kGrh75X1cNR1D7_FcY9zMnHP8iPO4M5RCRjy6nZY0TY/edit#gid=1248694442"",""Table 3: 1st-line HC!AQ5:AQ111""), $A69=IMPORTRANGE(""https://docs.google.com/spreadsheets/d/1kGrh75X1cNR1D7_FcY9zMnHP8iP"&amp;"O4M5RCRjy6nZY0TY/edit#gid=1248694442"",""Table 3: 1st-line HC!A5:A111"")),"""")"),"")</f>
        <v/>
      </c>
      <c r="AQ69" s="14" t="str">
        <f>IFERROR(__xludf.DUMMYFUNCTION("IFNA(FILTER(IMPORTRANGE(""https://docs.google.com/spreadsheets/d/1kGrh75X1cNR1D7_FcY9zMnHP8iPO4M5RCRjy6nZY0TY/edit#gid=1248694442"",""Table 2: MMC!T5:T114""), $A69=IMPORTRANGE(""https://docs.google.com/spreadsheets/d/1kGrh75X1cNR1D7_FcY9zMnHP8iPO4M5RCRjy6"&amp;"nZY0TY/edit#gid=1248694442"",""Table 2: MMC!A5:A114"")),"""")"),"")</f>
        <v/>
      </c>
      <c r="AR69" s="14" t="str">
        <f>IFERROR(__xludf.DUMMYFUNCTION("IFNA(FILTER(IMPORTRANGE(""https://docs.google.com/spreadsheets/d/1kGrh75X1cNR1D7_FcY9zMnHP8iPO4M5RCRjy6nZY0TY/edit#gid=1248694442"",""Table 2: MMC!U5:U114""), $A69=IMPORTRANGE(""https://docs.google.com/spreadsheets/d/1kGrh75X1cNR1D7_FcY9zMnHP8iPO4M5RCRjy6"&amp;"nZY0TY/edit#gid=1248694442"",""Table 2: MMC!A5:A114"")),"""")"),"")</f>
        <v/>
      </c>
      <c r="AS69" s="14" t="str">
        <f>IFERROR(__xludf.DUMMYFUNCTION("IFNA(FILTER(IMPORTRANGE(""https://docs.google.com/spreadsheets/d/1kGrh75X1cNR1D7_FcY9zMnHP8iPO4M5RCRjy6nZY0TY/edit#gid=1248694442"",""Table 2: MMC!V5:V114""), $A69=IMPORTRANGE(""https://docs.google.com/spreadsheets/d/1kGrh75X1cNR1D7_FcY9zMnHP8iPO4M5RCRjy6"&amp;"nZY0TY/edit#gid=1248694442"",""Table 2: MMC!A5:A114"")),"""")"),"")</f>
        <v/>
      </c>
      <c r="AT69" s="4" t="str">
        <f>IFERROR(__xludf.DUMMYFUNCTION("IFNA(FILTER(IMPORTRANGE(""https://docs.google.com/spreadsheets/d/1kGrh75X1cNR1D7_FcY9zMnHP8iPO4M5RCRjy6nZY0TY/edit#gid=1248694442"",""Table 2: MMC!W5:W114""), $A69=IMPORTRANGE(""https://docs.google.com/spreadsheets/d/1kGrh75X1cNR1D7_FcY9zMnHP8iPO4M5RCRjy6"&amp;"nZY0TY/edit#gid=1248694442"",""Table 2: MMC!A5:A114"")),"""")"),"")</f>
        <v/>
      </c>
    </row>
    <row r="70">
      <c r="A70" s="4" t="str">
        <f>IFERROR(__xludf.DUMMYFUNCTION("""COMPUTED_VALUE"""),"ID 153")</f>
        <v>ID 153</v>
      </c>
      <c r="B70" s="20" t="str">
        <f>IFERROR(__xludf.DUMMYFUNCTION("IFNA(FILTER(IMPORTRANGE(""https://docs.google.com/spreadsheets/d/1kGrh75X1cNR1D7_FcY9zMnHP8iPO4M5RCRjy6nZY0TY/edit#gid=1248694442"",""Table 3: 1st-line HC!BK5:BK111""), $A70=IMPORTRANGE(""https://docs.google.com/spreadsheets/d/1kGrh75X1cNR1D7_FcY9zMnHP8iP"&amp;"O4M5RCRjy6nZY0TY/edit#gid=1248694442"",""Table 3: 1st-line HC!A5:A111"")),"""")"),"")</f>
        <v/>
      </c>
      <c r="C70" s="20" t="str">
        <f>IFERROR(__xludf.DUMMYFUNCTION("IFNA(FILTER(IMPORTRANGE(""https://docs.google.com/spreadsheets/d/1kGrh75X1cNR1D7_FcY9zMnHP8iPO4M5RCRjy6nZY0TY/edit#gid=1248694442"",""Subgroup 1: Fr ~ Tx!B3:B20""), $A70=IMPORTRANGE(""https://docs.google.com/spreadsheets/d/1kGrh75X1cNR1D7_FcY9zMnHP8iPO4M5"&amp;"RCRjy6nZY0TY/edit#gid=1248694442"",""Subgroup 1: Fr ~ Tx!A3:A20"")),"""")"),"")</f>
        <v/>
      </c>
      <c r="D70" s="20" t="str">
        <f>IFERROR(__xludf.DUMMYFUNCTION("IFNA(FILTER(IMPORTRANGE(""https://docs.google.com/spreadsheets/d/1kGrh75X1cNR1D7_FcY9zMnHP8iPO4M5RCRjy6nZY0TY/edit#gid=1248694442"",""Subgroup 1: Fr ~ Tx!C3:C20""), $A70=IMPORTRANGE(""https://docs.google.com/spreadsheets/d/1kGrh75X1cNR1D7_FcY9zMnHP8iPO4M5"&amp;"RCRjy6nZY0TY/edit#gid=1248694442"",""Subgroup 1: Fr ~ Tx!A3:A20"")),"""")"),"")</f>
        <v/>
      </c>
      <c r="E70" s="20" t="str">
        <f>IFERROR(__xludf.DUMMYFUNCTION("IFNA(FILTER(IMPORTRANGE(""https://docs.google.com/spreadsheets/d/1kGrh75X1cNR1D7_FcY9zMnHP8iPO4M5RCRjy6nZY0TY/edit#gid=1248694442"",""Subgroup 1: Fr ~ Tx!D3:D20""), $A70=IMPORTRANGE(""https://docs.google.com/spreadsheets/d/1kGrh75X1cNR1D7_FcY9zMnHP8iPO4M5"&amp;"RCRjy6nZY0TY/edit#gid=1248694442"",""Subgroup 1: Fr ~ Tx!A3:A20"")),"""")"),"")</f>
        <v/>
      </c>
      <c r="F70" s="20" t="str">
        <f>IFERROR(__xludf.DUMMYFUNCTION("IFNA(FILTER(IMPORTRANGE(""https://docs.google.com/spreadsheets/d/1kGrh75X1cNR1D7_FcY9zMnHP8iPO4M5RCRjy6nZY0TY/edit#gid=1248694442"",""Subgroup 1: Fr ~ Tx!E3:E20""), $A70=IMPORTRANGE(""https://docs.google.com/spreadsheets/d/1kGrh75X1cNR1D7_FcY9zMnHP8iPO4M5"&amp;"RCRjy6nZY0TY/edit#gid=1248694442"",""Subgroup 1: Fr ~ Tx!A3:A20"")),"""")"),"")</f>
        <v/>
      </c>
      <c r="G70" s="20" t="str">
        <f>IFERROR(__xludf.DUMMYFUNCTION("IFNA(FILTER(IMPORTRANGE(""https://docs.google.com/spreadsheets/d/1kGrh75X1cNR1D7_FcY9zMnHP8iPO4M5RCRjy6nZY0TY/edit#gid=1248694442"",""Subgroup 1: Fr ~ Tx!F3:F20""), $A70=IMPORTRANGE(""https://docs.google.com/spreadsheets/d/1kGrh75X1cNR1D7_FcY9zMnHP8iPO4M5"&amp;"RCRjy6nZY0TY/edit#gid=1248694442"",""Subgroup 1: Fr ~ Tx!A3:A20"")),"""")"),"")</f>
        <v/>
      </c>
      <c r="H70" s="20" t="str">
        <f>IFERROR(__xludf.DUMMYFUNCTION("IFNA(FILTER(IMPORTRANGE(""https://docs.google.com/spreadsheets/d/1kGrh75X1cNR1D7_FcY9zMnHP8iPO4M5RCRjy6nZY0TY/edit#gid=1248694442"",""Table 3: 1st-line HC!BD5:BD111""), $A70=IMPORTRANGE(""https://docs.google.com/spreadsheets/d/1kGrh75X1cNR1D7_FcY9zMnHP8iP"&amp;"O4M5RCRjy6nZY0TY/edit#gid=1248694442"",""Table 3: 1st-line HC!A5:A111"")),"""")"),"")</f>
        <v/>
      </c>
      <c r="I70" s="20" t="str">
        <f>IFERROR(__xludf.DUMMYFUNCTION("IFNA(FILTER(IMPORTRANGE(""https://docs.google.com/spreadsheets/d/1kGrh75X1cNR1D7_FcY9zMnHP8iPO4M5RCRjy6nZY0TY/edit#gid=1248694442"",""Subgroup 5: Tf ~ Tx!B3:B8""), $A70=IMPORTRANGE(""https://docs.google.com/spreadsheets/d/1kGrh75X1cNR1D7_FcY9zMnHP8iPO4M5R"&amp;"CRjy6nZY0TY/edit#gid=1248694442"",""Subgroup 5: Tf ~ Tx!A3:A8"")),"""")"),"")</f>
        <v/>
      </c>
      <c r="J70" s="20" t="str">
        <f>IFERROR(__xludf.DUMMYFUNCTION("IFNA(FILTER(IMPORTRANGE(""https://docs.google.com/spreadsheets/d/1kGrh75X1cNR1D7_FcY9zMnHP8iPO4M5RCRjy6nZY0TY/edit#gid=1248694442"",""Subgroup 5: Tf ~ Tx!C3:C8""), $A70=IMPORTRANGE(""https://docs.google.com/spreadsheets/d/1kGrh75X1cNR1D7_FcY9zMnHP8iPO4M5R"&amp;"CRjy6nZY0TY/edit#gid=1248694442"",""Subgroup 5: Tf ~ Tx!A3:A8"")),"""")"),"")</f>
        <v/>
      </c>
      <c r="K70" s="20" t="str">
        <f>IFERROR(__xludf.DUMMYFUNCTION("IFNA(FILTER(IMPORTRANGE(""https://docs.google.com/spreadsheets/d/1kGrh75X1cNR1D7_FcY9zMnHP8iPO4M5RCRjy6nZY0TY/edit#gid=1248694442"",""Subgroup 5: Tf ~ Tx!D3:D8""), $A70=IMPORTRANGE(""https://docs.google.com/spreadsheets/d/1kGrh75X1cNR1D7_FcY9zMnHP8iPO4M5R"&amp;"CRjy6nZY0TY/edit#gid=1248694442"",""Subgroup 5: Tf ~ Tx!A3:A8"")),"""")"),"")</f>
        <v/>
      </c>
      <c r="L70" s="20" t="str">
        <f>IFERROR(__xludf.DUMMYFUNCTION("IFNA(FILTER(IMPORTRANGE(""https://docs.google.com/spreadsheets/d/1kGrh75X1cNR1D7_FcY9zMnHP8iPO4M5RCRjy6nZY0TY/edit#gid=1248694442"",""Subgroup 5: Tf ~ Tx!E3:E8""), $A70=IMPORTRANGE(""https://docs.google.com/spreadsheets/d/1kGrh75X1cNR1D7_FcY9zMnHP8iPO4M5R"&amp;"CRjy6nZY0TY/edit#gid=1248694442"",""Subgroup 5: Tf ~ Tx!A3:A8"")),"""")"),"")</f>
        <v/>
      </c>
      <c r="M70" s="20" t="str">
        <f>IFERROR(__xludf.DUMMYFUNCTION("IFNA(FILTER(IMPORTRANGE(""https://docs.google.com/spreadsheets/d/1kGrh75X1cNR1D7_FcY9zMnHP8iPO4M5RCRjy6nZY0TY/edit#gid=1248694442"",""Subgroup 5: Tf ~ Tx!F3:F8""), $A70=IMPORTRANGE(""https://docs.google.com/spreadsheets/d/1kGrh75X1cNR1D7_FcY9zMnHP8iPO4M5R"&amp;"CRjy6nZY0TY/edit#gid=1248694442"",""Subgroup 5: Tf ~ Tx!A3:A8"")),"""")"),"")</f>
        <v/>
      </c>
      <c r="N70" s="20" t="str">
        <f>IFERROR(__xludf.DUMMYFUNCTION("IFNA(FILTER(IMPORTRANGE(""https://docs.google.com/spreadsheets/d/1kGrh75X1cNR1D7_FcY9zMnHP8iPO4M5RCRjy6nZY0TY/edit#gid=1248694442"",""Table 3: 1st-line HC!BE5:BE111""), $A70=IMPORTRANGE(""https://docs.google.com/spreadsheets/d/1kGrh75X1cNR1D7_FcY9zMnHP8iP"&amp;"O4M5RCRjy6nZY0TY/edit#gid=1248694442"",""Table 3: 1st-line HC!A5:A111"")),"""")"),"")</f>
        <v/>
      </c>
      <c r="O70" s="20" t="str">
        <f>IFERROR(__xludf.DUMMYFUNCTION("IFNA(FILTER(IMPORTRANGE(""https://docs.google.com/spreadsheets/d/1kGrh75X1cNR1D7_FcY9zMnHP8iPO4M5RCRjy6nZY0TY/edit#gid=1248694442"",""Table 3: 1st-line HC!BF5:BF111""), $A70=IMPORTRANGE(""https://docs.google.com/spreadsheets/d/1kGrh75X1cNR1D7_FcY9zMnHP8iP"&amp;"O4M5RCRjy6nZY0TY/edit#gid=1248694442"",""Table 3: 1st-line HC!A5:A111"")),"""")"),"")</f>
        <v/>
      </c>
      <c r="P70" s="20" t="str">
        <f>IFERROR(__xludf.DUMMYFUNCTION("IFNA(FILTER(IMPORTRANGE(""https://docs.google.com/spreadsheets/d/1kGrh75X1cNR1D7_FcY9zMnHP8iPO4M5RCRjy6nZY0TY/edit#gid=1248694442"",""Table 3: 1st-line HC!BG5:BG111""), $A70=IMPORTRANGE(""https://docs.google.com/spreadsheets/d/1kGrh75X1cNR1D7_FcY9zMnHP8iP"&amp;"O4M5RCRjy6nZY0TY/edit#gid=1248694442"",""Table 3: 1st-line HC!A5:A111"")),"""")"),"")</f>
        <v/>
      </c>
      <c r="Q70" s="21" t="str">
        <f>IFERROR(__xludf.DUMMYFUNCTION("IFNA(FILTER(IMPORTRANGE(""https://docs.google.com/spreadsheets/d/1kGrh75X1cNR1D7_FcY9zMnHP8iPO4M5RCRjy6nZY0TY/edit#gid=1248694442"",""Table 3: 1st-line HC!BH5:BH111""), $A70=IMPORTRANGE(""https://docs.google.com/spreadsheets/d/1kGrh75X1cNR1D7_FcY9zMnHP8iP"&amp;"O4M5RCRjy6nZY0TY/edit#gid=1248694442"",""Table 3: 1st-line HC!A5:A111"")),"""")"),"")</f>
        <v/>
      </c>
      <c r="R70" s="19" t="str">
        <f>IFERROR(__xludf.DUMMYFUNCTION("IFNA(FILTER(IMPORTRANGE(""https://docs.google.com/spreadsheets/d/1kGrh75X1cNR1D7_FcY9zMnHP8iPO4M5RCRjy6nZY0TY/edit#gid=1248694442"",""Table 3: 1st-line HC!AJ5:AJ111""), $A70=IMPORTRANGE(""https://docs.google.com/spreadsheets/d/1kGrh75X1cNR1D7_FcY9zMnHP8iP"&amp;"O4M5RCRjy6nZY0TY/edit#gid=1248694442"",""Table 3: 1st-line HC!A5:A111"")),"""")"),"")</f>
        <v/>
      </c>
      <c r="S70" s="20" t="str">
        <f>IFERROR(__xludf.DUMMYFUNCTION("IFNA(FILTER(IMPORTRANGE(""https://docs.google.com/spreadsheets/d/1kGrh75X1cNR1D7_FcY9zMnHP8iPO4M5RCRjy6nZY0TY/edit#gid=1248694442"",""Subgroup 3: Mi ~ Tx!B3:B17""), $A70=IMPORTRANGE(""https://docs.google.com/spreadsheets/d/1kGrh75X1cNR1D7_FcY9zMnHP8iPO4M5"&amp;"RCRjy6nZY0TY/edit#gid=1248694442"",""Subgroup 3: Mi ~ Tx!A3:A17"")),"""")"),"")</f>
        <v/>
      </c>
      <c r="T70" s="20" t="str">
        <f>IFERROR(__xludf.DUMMYFUNCTION("IFNA(FILTER(IMPORTRANGE(""https://docs.google.com/spreadsheets/d/1kGrh75X1cNR1D7_FcY9zMnHP8iPO4M5RCRjy6nZY0TY/edit#gid=1248694442"",""Subgroup 3: Mi ~ Tx!C3:C17""), $A70=IMPORTRANGE(""https://docs.google.com/spreadsheets/d/1kGrh75X1cNR1D7_FcY9zMnHP8iPO4M5"&amp;"RCRjy6nZY0TY/edit#gid=1248694442"",""Subgroup 3: Mi ~ Tx!A3:A17"")),"""")"),"")</f>
        <v/>
      </c>
      <c r="U70" s="20" t="str">
        <f>IFERROR(__xludf.DUMMYFUNCTION("IFNA(FILTER(IMPORTRANGE(""https://docs.google.com/spreadsheets/d/1kGrh75X1cNR1D7_FcY9zMnHP8iPO4M5RCRjy6nZY0TY/edit#gid=1248694442"",""Subgroup 3: Mi ~ Tx!D3:D17""), $A70=IMPORTRANGE(""https://docs.google.com/spreadsheets/d/1kGrh75X1cNR1D7_FcY9zMnHP8iPO4M5"&amp;"RCRjy6nZY0TY/edit#gid=1248694442"",""Subgroup 3: Mi ~ Tx!A3:A17"")),"""")"),"")</f>
        <v/>
      </c>
      <c r="V70" s="20" t="str">
        <f>IFERROR(__xludf.DUMMYFUNCTION("IFNA(FILTER(IMPORTRANGE(""https://docs.google.com/spreadsheets/d/1kGrh75X1cNR1D7_FcY9zMnHP8iPO4M5RCRjy6nZY0TY/edit#gid=1248694442"",""Subgroup 3: Mi ~ Tx!E3:E17""), $A70=IMPORTRANGE(""https://docs.google.com/spreadsheets/d/1kGrh75X1cNR1D7_FcY9zMnHP8iPO4M5"&amp;"RCRjy6nZY0TY/edit#gid=1248694442"",""Subgroup 3: Mi ~ Tx!A3:A17"")),"""")"),"")</f>
        <v/>
      </c>
      <c r="W70" s="20" t="str">
        <f>IFERROR(__xludf.DUMMYFUNCTION("IFNA(FILTER(IMPORTRANGE(""https://docs.google.com/spreadsheets/d/1kGrh75X1cNR1D7_FcY9zMnHP8iPO4M5RCRjy6nZY0TY/edit#gid=1248694442"",""Subgroup 3: Mi ~ Tx!F3:F17""), $A70=IMPORTRANGE(""https://docs.google.com/spreadsheets/d/1kGrh75X1cNR1D7_FcY9zMnHP8iPO4M5"&amp;"RCRjy6nZY0TY/edit#gid=1248694442"",""Subgroup 3: Mi ~ Tx!A3:A17"")),"""")"),"")</f>
        <v/>
      </c>
      <c r="X70" s="19" t="str">
        <f>IFERROR(__xludf.DUMMYFUNCTION("IFNA(FILTER(IMPORTRANGE(""https://docs.google.com/spreadsheets/d/1kGrh75X1cNR1D7_FcY9zMnHP8iPO4M5RCRjy6nZY0TY/edit#gid=1248694442"",""Table 3: 1st-line HC!AK5:AK111""), $A70=IMPORTRANGE(""https://docs.google.com/spreadsheets/d/1kGrh75X1cNR1D7_FcY9zMnHP8iP"&amp;"O4M5RCRjy6nZY0TY/edit#gid=1248694442"",""Table 3: 1st-line HC!A5:A111"")),"""")"),"")</f>
        <v/>
      </c>
      <c r="Y70" s="20" t="str">
        <f>IFERROR(__xludf.DUMMYFUNCTION("IFNA(FILTER(IMPORTRANGE(""https://docs.google.com/spreadsheets/d/1kGrh75X1cNR1D7_FcY9zMnHP8iPO4M5RCRjy6nZY0TY/edit#gid=1248694442"",""Subgroup 4: Mp ~ Tx!B3:B20""), $A70=IMPORTRANGE(""https://docs.google.com/spreadsheets/d/1kGrh75X1cNR1D7_FcY9zMnHP8iPO4M5"&amp;"RCRjy6nZY0TY/edit#gid=1248694442"",""Subgroup 4: Mp ~ Tx!A3:A20"")),"""")"),"")</f>
        <v/>
      </c>
      <c r="Z70" s="20" t="str">
        <f>IFERROR(__xludf.DUMMYFUNCTION("IFNA(FILTER(IMPORTRANGE(""https://docs.google.com/spreadsheets/d/1kGrh75X1cNR1D7_FcY9zMnHP8iPO4M5RCRjy6nZY0TY/edit#gid=1248694442"",""Subgroup 4: Mp ~ Tx!C3:C20""), $A70=IMPORTRANGE(""https://docs.google.com/spreadsheets/d/1kGrh75X1cNR1D7_FcY9zMnHP8iPO4M5"&amp;"RCRjy6nZY0TY/edit#gid=1248694442"",""Subgroup 4: Mp ~ Tx!A3:A20"")),"""")"),"")</f>
        <v/>
      </c>
      <c r="AA70" s="20" t="str">
        <f>IFERROR(__xludf.DUMMYFUNCTION("IFNA(FILTER(IMPORTRANGE(""https://docs.google.com/spreadsheets/d/1kGrh75X1cNR1D7_FcY9zMnHP8iPO4M5RCRjy6nZY0TY/edit#gid=1248694442"",""Subgroup 4: Mp ~ Tx!D3:D20""), $A70=IMPORTRANGE(""https://docs.google.com/spreadsheets/d/1kGrh75X1cNR1D7_FcY9zMnHP8iPO4M5"&amp;"RCRjy6nZY0TY/edit#gid=1248694442"",""Subgroup 4: Mp ~ Tx!A3:A20"")),"""")"),"")</f>
        <v/>
      </c>
      <c r="AB70" s="20" t="str">
        <f>IFERROR(__xludf.DUMMYFUNCTION("IFNA(FILTER(IMPORTRANGE(""https://docs.google.com/spreadsheets/d/1kGrh75X1cNR1D7_FcY9zMnHP8iPO4M5RCRjy6nZY0TY/edit#gid=1248694442"",""Subgroup 4: Mp ~ Tx!E3:E20""), $A70=IMPORTRANGE(""https://docs.google.com/spreadsheets/d/1kGrh75X1cNR1D7_FcY9zMnHP8iPO4M5"&amp;"RCRjy6nZY0TY/edit#gid=1248694442"",""Subgroup 4: Mp ~ Tx!A3:A20"")),"""")"),"")</f>
        <v/>
      </c>
      <c r="AC70" s="20" t="str">
        <f>IFERROR(__xludf.DUMMYFUNCTION("IFNA(FILTER(IMPORTRANGE(""https://docs.google.com/spreadsheets/d/1kGrh75X1cNR1D7_FcY9zMnHP8iPO4M5RCRjy6nZY0TY/edit#gid=1248694442"",""Subgroup 4: Mp ~ Tx!F3:F20""), $A70=IMPORTRANGE(""https://docs.google.com/spreadsheets/d/1kGrh75X1cNR1D7_FcY9zMnHP8iPO4M5"&amp;"RCRjy6nZY0TY/edit#gid=1248694442"",""Subgroup 4: Mp ~ Tx!A3:A20"")),"""")"),"")</f>
        <v/>
      </c>
      <c r="AD70" s="22" t="str">
        <f>IFERROR(__xludf.DUMMYFUNCTION("IFNA(FILTER(IMPORTRANGE(""https://docs.google.com/spreadsheets/d/1kGrh75X1cNR1D7_FcY9zMnHP8iPO4M5RCRjy6nZY0TY/edit#gid=1248694442"",""Table 3: 1st-line HC!AL5:AL111""), $A70=IMPORTRANGE(""https://docs.google.com/spreadsheets/d/1kGrh75X1cNR1D7_FcY9zMnHP8iP"&amp;"O4M5RCRjy6nZY0TY/edit#gid=1248694442"",""Table 3: 1st-line HC!A5:A111"")),"""")"),"")</f>
        <v/>
      </c>
      <c r="AE70" s="20" t="str">
        <f>IFERROR(__xludf.DUMMYFUNCTION("IFNA(FILTER(IMPORTRANGE(""https://docs.google.com/spreadsheets/d/1kGrh75X1cNR1D7_FcY9zMnHP8iPO4M5RCRjy6nZY0TY/edit#gid=1248694442"",""Table 3: 1st-line HC!BJ5:BJ111""), $A70=IMPORTRANGE(""https://docs.google.com/spreadsheets/d/1kGrh75X1cNR1D7_FcY9zMnHP8iP"&amp;"O4M5RCRjy6nZY0TY/edit#gid=1248694442"",""Table 3: 1st-line HC!A5:A111"")),"""")"),"")</f>
        <v/>
      </c>
      <c r="AF70" s="20" t="str">
        <f>IFERROR(__xludf.DUMMYFUNCTION("IFNA(FILTER(IMPORTRANGE(""https://docs.google.com/spreadsheets/d/1kGrh75X1cNR1D7_FcY9zMnHP8iPO4M5RCRjy6nZY0TY/edit#gid=1248694442"",""Subgroup 2: Cr ~ Tx!B3:B23""), $A70=IMPORTRANGE(""https://docs.google.com/spreadsheets/d/1kGrh75X1cNR1D7_FcY9zMnHP8iPO4M5"&amp;"RCRjy6nZY0TY/edit#gid=1248694442"",""Subgroup 2: Cr ~ Tx!A3:A23"")),"""")"),"")</f>
        <v/>
      </c>
      <c r="AG70" s="20" t="str">
        <f>IFERROR(__xludf.DUMMYFUNCTION("IFNA(FILTER(IMPORTRANGE(""https://docs.google.com/spreadsheets/d/1kGrh75X1cNR1D7_FcY9zMnHP8iPO4M5RCRjy6nZY0TY/edit#gid=1248694442"",""Subgroup 2: Cr ~ Tx!C3:C23""), $A70=IMPORTRANGE(""https://docs.google.com/spreadsheets/d/1kGrh75X1cNR1D7_FcY9zMnHP8iPO4M5"&amp;"RCRjy6nZY0TY/edit#gid=1248694442"",""Subgroup 2: Cr ~ Tx!A3:A23"")),"""")"),"")</f>
        <v/>
      </c>
      <c r="AH70" s="20" t="str">
        <f>IFERROR(__xludf.DUMMYFUNCTION("IFNA(FILTER(IMPORTRANGE(""https://docs.google.com/spreadsheets/d/1kGrh75X1cNR1D7_FcY9zMnHP8iPO4M5RCRjy6nZY0TY/edit#gid=1248694442"",""Subgroup 2: Cr ~ Tx!D3:D23""), $A70=IMPORTRANGE(""https://docs.google.com/spreadsheets/d/1kGrh75X1cNR1D7_FcY9zMnHP8iPO4M5"&amp;"RCRjy6nZY0TY/edit#gid=1248694442"",""Subgroup 2: Cr ~ Tx!A3:A23"")),"""")"),"")</f>
        <v/>
      </c>
      <c r="AI70" s="20" t="str">
        <f>IFERROR(__xludf.DUMMYFUNCTION("IFNA(FILTER(IMPORTRANGE(""https://docs.google.com/spreadsheets/d/1kGrh75X1cNR1D7_FcY9zMnHP8iPO4M5RCRjy6nZY0TY/edit#gid=1248694442"",""Subgroup 2: Cr ~ Tx!E3:E23""), $A70=IMPORTRANGE(""https://docs.google.com/spreadsheets/d/1kGrh75X1cNR1D7_FcY9zMnHP8iPO4M5"&amp;"RCRjy6nZY0TY/edit#gid=1248694442"",""Subgroup 2: Cr ~ Tx!A3:A23"")),"""")"),"")</f>
        <v/>
      </c>
      <c r="AJ70" s="20" t="str">
        <f>IFERROR(__xludf.DUMMYFUNCTION("IFNA(FILTER(IMPORTRANGE(""https://docs.google.com/spreadsheets/d/1kGrh75X1cNR1D7_FcY9zMnHP8iPO4M5RCRjy6nZY0TY/edit#gid=1248694442"",""Subgroup 2: Cr ~ Tx!F3:F23""), $A70=IMPORTRANGE(""https://docs.google.com/spreadsheets/d/1kGrh75X1cNR1D7_FcY9zMnHP8iPO4M5"&amp;"RCRjy6nZY0TY/edit#gid=1248694442"",""Subgroup 2: Cr ~ Tx!A3:A23"")),"""")"),"")</f>
        <v/>
      </c>
      <c r="AK70" s="14" t="str">
        <f>IFERROR(__xludf.DUMMYFUNCTION("IFNA(FILTER(IMPORTRANGE(""https://docs.google.com/spreadsheets/d/1kGrh75X1cNR1D7_FcY9zMnHP8iPO4M5RCRjy6nZY0TY/edit#gid=1248694442"",""Table 4: 2nd-line HC or more!M5:M85""), $A70=IMPORTRANGE(""https://docs.google.com/spreadsheets/d/1kGrh75X1cNR1D7_FcY9zMn"&amp;"HP8iPO4M5RCRjy6nZY0TY/edit#gid=1248694442"",""Table 4: 2nd-line HC or more!A5:A85"")),"""")"),"")</f>
        <v/>
      </c>
      <c r="AL70" s="14" t="str">
        <f>IFERROR(__xludf.DUMMYFUNCTION("IFNA(FILTER(IMPORTRANGE(""https://docs.google.com/spreadsheets/d/1kGrh75X1cNR1D7_FcY9zMnHP8iPO4M5RCRjy6nZY0TY/edit#gid=1248694442"",""Table 4: 2nd-line HC or more!N5:N85""), $A70=IMPORTRANGE(""https://docs.google.com/spreadsheets/d/1kGrh75X1cNR1D7_FcY9zMn"&amp;"HP8iPO4M5RCRjy6nZY0TY/edit#gid=1248694442"",""Table 4: 2nd-line HC or more!A5:A85"")),"""")"),"")</f>
        <v/>
      </c>
      <c r="AM70" s="14" t="str">
        <f>IFERROR(__xludf.DUMMYFUNCTION("IFNA(FILTER(IMPORTRANGE(""https://docs.google.com/spreadsheets/d/1kGrh75X1cNR1D7_FcY9zMnHP8iPO4M5RCRjy6nZY0TY/edit#gid=1248694442"",""Table 4: 2nd-line HC or more!O5:O85""), $A70=IMPORTRANGE(""https://docs.google.com/spreadsheets/d/1kGrh75X1cNR1D7_FcY9zMn"&amp;"HP8iPO4M5RCRjy6nZY0TY/edit#gid=1248694442"",""Table 4: 2nd-line HC or more!A5:A85"")),"""")"),"")</f>
        <v/>
      </c>
      <c r="AN70" s="14" t="str">
        <f>IFERROR(__xludf.DUMMYFUNCTION("IFNA(FILTER(IMPORTRANGE(""https://docs.google.com/spreadsheets/d/1kGrh75X1cNR1D7_FcY9zMnHP8iPO4M5RCRjy6nZY0TY/edit#gid=1248694442"",""Table 3: 1st-line HC!AP5:AP111""), $A70=IMPORTRANGE(""https://docs.google.com/spreadsheets/d/1kGrh75X1cNR1D7_FcY9zMnHP8iP"&amp;"O4M5RCRjy6nZY0TY/edit#gid=1248694442"",""Table 3: 1st-line HC!A5:A111"")),"""")"),"")</f>
        <v/>
      </c>
      <c r="AO70" s="14" t="str">
        <f>IFERROR(__xludf.DUMMYFUNCTION("IFNA(FILTER(IMPORTRANGE(""https://docs.google.com/spreadsheets/d/1kGrh75X1cNR1D7_FcY9zMnHP8iPO4M5RCRjy6nZY0TY/edit#gid=1248694442"",""Table 3: 1st-line HC!AO5:AO111""), $A70=IMPORTRANGE(""https://docs.google.com/spreadsheets/d/1kGrh75X1cNR1D7_FcY9zMnHP8iP"&amp;"O4M5RCRjy6nZY0TY/edit#gid=1248694442"",""Table 3: 1st-line HC!A5:A111"")),"""")"),"")</f>
        <v/>
      </c>
      <c r="AP70" s="14" t="str">
        <f>IFERROR(__xludf.DUMMYFUNCTION("IFNA(FILTER(IMPORTRANGE(""https://docs.google.com/spreadsheets/d/1kGrh75X1cNR1D7_FcY9zMnHP8iPO4M5RCRjy6nZY0TY/edit#gid=1248694442"",""Table 3: 1st-line HC!AQ5:AQ111""), $A70=IMPORTRANGE(""https://docs.google.com/spreadsheets/d/1kGrh75X1cNR1D7_FcY9zMnHP8iP"&amp;"O4M5RCRjy6nZY0TY/edit#gid=1248694442"",""Table 3: 1st-line HC!A5:A111"")),"""")"),"")</f>
        <v/>
      </c>
      <c r="AQ70" s="14" t="str">
        <f>IFERROR(__xludf.DUMMYFUNCTION("IFNA(FILTER(IMPORTRANGE(""https://docs.google.com/spreadsheets/d/1kGrh75X1cNR1D7_FcY9zMnHP8iPO4M5RCRjy6nZY0TY/edit#gid=1248694442"",""Table 2: MMC!T5:T114""), $A70=IMPORTRANGE(""https://docs.google.com/spreadsheets/d/1kGrh75X1cNR1D7_FcY9zMnHP8iPO4M5RCRjy6"&amp;"nZY0TY/edit#gid=1248694442"",""Table 2: MMC!A5:A114"")),"""")"),"")</f>
        <v/>
      </c>
      <c r="AR70" s="14" t="str">
        <f>IFERROR(__xludf.DUMMYFUNCTION("IFNA(FILTER(IMPORTRANGE(""https://docs.google.com/spreadsheets/d/1kGrh75X1cNR1D7_FcY9zMnHP8iPO4M5RCRjy6nZY0TY/edit#gid=1248694442"",""Table 2: MMC!U5:U114""), $A70=IMPORTRANGE(""https://docs.google.com/spreadsheets/d/1kGrh75X1cNR1D7_FcY9zMnHP8iPO4M5RCRjy6"&amp;"nZY0TY/edit#gid=1248694442"",""Table 2: MMC!A5:A114"")),"""")"),"")</f>
        <v/>
      </c>
      <c r="AS70" s="14" t="str">
        <f>IFERROR(__xludf.DUMMYFUNCTION("IFNA(FILTER(IMPORTRANGE(""https://docs.google.com/spreadsheets/d/1kGrh75X1cNR1D7_FcY9zMnHP8iPO4M5RCRjy6nZY0TY/edit#gid=1248694442"",""Table 2: MMC!V5:V114""), $A70=IMPORTRANGE(""https://docs.google.com/spreadsheets/d/1kGrh75X1cNR1D7_FcY9zMnHP8iPO4M5RCRjy6"&amp;"nZY0TY/edit#gid=1248694442"",""Table 2: MMC!A5:A114"")),"""")"),"")</f>
        <v/>
      </c>
      <c r="AT70" s="4" t="str">
        <f>IFERROR(__xludf.DUMMYFUNCTION("IFNA(FILTER(IMPORTRANGE(""https://docs.google.com/spreadsheets/d/1kGrh75X1cNR1D7_FcY9zMnHP8iPO4M5RCRjy6nZY0TY/edit#gid=1248694442"",""Table 2: MMC!W5:W114""), $A70=IMPORTRANGE(""https://docs.google.com/spreadsheets/d/1kGrh75X1cNR1D7_FcY9zMnHP8iPO4M5RCRjy6"&amp;"nZY0TY/edit#gid=1248694442"",""Table 2: MMC!A5:A114"")),"""")"),"")</f>
        <v/>
      </c>
    </row>
    <row r="71">
      <c r="A71" s="4" t="str">
        <f>IFERROR(__xludf.DUMMYFUNCTION("""COMPUTED_VALUE"""),"ID 154")</f>
        <v>ID 154</v>
      </c>
      <c r="B71" s="20" t="str">
        <f>IFERROR(__xludf.DUMMYFUNCTION("IFNA(FILTER(IMPORTRANGE(""https://docs.google.com/spreadsheets/d/1kGrh75X1cNR1D7_FcY9zMnHP8iPO4M5RCRjy6nZY0TY/edit#gid=1248694442"",""Table 3: 1st-line HC!BK5:BK111""), $A71=IMPORTRANGE(""https://docs.google.com/spreadsheets/d/1kGrh75X1cNR1D7_FcY9zMnHP8iP"&amp;"O4M5RCRjy6nZY0TY/edit#gid=1248694442"",""Table 3: 1st-line HC!A5:A111"")),"""")"),"")</f>
        <v/>
      </c>
      <c r="C71" s="20" t="str">
        <f>IFERROR(__xludf.DUMMYFUNCTION("IFNA(FILTER(IMPORTRANGE(""https://docs.google.com/spreadsheets/d/1kGrh75X1cNR1D7_FcY9zMnHP8iPO4M5RCRjy6nZY0TY/edit#gid=1248694442"",""Subgroup 1: Fr ~ Tx!B3:B20""), $A71=IMPORTRANGE(""https://docs.google.com/spreadsheets/d/1kGrh75X1cNR1D7_FcY9zMnHP8iPO4M5"&amp;"RCRjy6nZY0TY/edit#gid=1248694442"",""Subgroup 1: Fr ~ Tx!A3:A20"")),"""")"),"")</f>
        <v/>
      </c>
      <c r="D71" s="20" t="str">
        <f>IFERROR(__xludf.DUMMYFUNCTION("IFNA(FILTER(IMPORTRANGE(""https://docs.google.com/spreadsheets/d/1kGrh75X1cNR1D7_FcY9zMnHP8iPO4M5RCRjy6nZY0TY/edit#gid=1248694442"",""Subgroup 1: Fr ~ Tx!C3:C20""), $A71=IMPORTRANGE(""https://docs.google.com/spreadsheets/d/1kGrh75X1cNR1D7_FcY9zMnHP8iPO4M5"&amp;"RCRjy6nZY0TY/edit#gid=1248694442"",""Subgroup 1: Fr ~ Tx!A3:A20"")),"""")"),"")</f>
        <v/>
      </c>
      <c r="E71" s="20" t="str">
        <f>IFERROR(__xludf.DUMMYFUNCTION("IFNA(FILTER(IMPORTRANGE(""https://docs.google.com/spreadsheets/d/1kGrh75X1cNR1D7_FcY9zMnHP8iPO4M5RCRjy6nZY0TY/edit#gid=1248694442"",""Subgroup 1: Fr ~ Tx!D3:D20""), $A71=IMPORTRANGE(""https://docs.google.com/spreadsheets/d/1kGrh75X1cNR1D7_FcY9zMnHP8iPO4M5"&amp;"RCRjy6nZY0TY/edit#gid=1248694442"",""Subgroup 1: Fr ~ Tx!A3:A20"")),"""")"),"")</f>
        <v/>
      </c>
      <c r="F71" s="20" t="str">
        <f>IFERROR(__xludf.DUMMYFUNCTION("IFNA(FILTER(IMPORTRANGE(""https://docs.google.com/spreadsheets/d/1kGrh75X1cNR1D7_FcY9zMnHP8iPO4M5RCRjy6nZY0TY/edit#gid=1248694442"",""Subgroup 1: Fr ~ Tx!E3:E20""), $A71=IMPORTRANGE(""https://docs.google.com/spreadsheets/d/1kGrh75X1cNR1D7_FcY9zMnHP8iPO4M5"&amp;"RCRjy6nZY0TY/edit#gid=1248694442"",""Subgroup 1: Fr ~ Tx!A3:A20"")),"""")"),"")</f>
        <v/>
      </c>
      <c r="G71" s="20" t="str">
        <f>IFERROR(__xludf.DUMMYFUNCTION("IFNA(FILTER(IMPORTRANGE(""https://docs.google.com/spreadsheets/d/1kGrh75X1cNR1D7_FcY9zMnHP8iPO4M5RCRjy6nZY0TY/edit#gid=1248694442"",""Subgroup 1: Fr ~ Tx!F3:F20""), $A71=IMPORTRANGE(""https://docs.google.com/spreadsheets/d/1kGrh75X1cNR1D7_FcY9zMnHP8iPO4M5"&amp;"RCRjy6nZY0TY/edit#gid=1248694442"",""Subgroup 1: Fr ~ Tx!A3:A20"")),"""")"),"")</f>
        <v/>
      </c>
      <c r="H71" s="20" t="str">
        <f>IFERROR(__xludf.DUMMYFUNCTION("IFNA(FILTER(IMPORTRANGE(""https://docs.google.com/spreadsheets/d/1kGrh75X1cNR1D7_FcY9zMnHP8iPO4M5RCRjy6nZY0TY/edit#gid=1248694442"",""Table 3: 1st-line HC!BD5:BD111""), $A71=IMPORTRANGE(""https://docs.google.com/spreadsheets/d/1kGrh75X1cNR1D7_FcY9zMnHP8iP"&amp;"O4M5RCRjy6nZY0TY/edit#gid=1248694442"",""Table 3: 1st-line HC!A5:A111"")),"""")"),"")</f>
        <v/>
      </c>
      <c r="I71" s="20" t="str">
        <f>IFERROR(__xludf.DUMMYFUNCTION("IFNA(FILTER(IMPORTRANGE(""https://docs.google.com/spreadsheets/d/1kGrh75X1cNR1D7_FcY9zMnHP8iPO4M5RCRjy6nZY0TY/edit#gid=1248694442"",""Subgroup 5: Tf ~ Tx!B3:B8""), $A71=IMPORTRANGE(""https://docs.google.com/spreadsheets/d/1kGrh75X1cNR1D7_FcY9zMnHP8iPO4M5R"&amp;"CRjy6nZY0TY/edit#gid=1248694442"",""Subgroup 5: Tf ~ Tx!A3:A8"")),"""")"),"")</f>
        <v/>
      </c>
      <c r="J71" s="20" t="str">
        <f>IFERROR(__xludf.DUMMYFUNCTION("IFNA(FILTER(IMPORTRANGE(""https://docs.google.com/spreadsheets/d/1kGrh75X1cNR1D7_FcY9zMnHP8iPO4M5RCRjy6nZY0TY/edit#gid=1248694442"",""Subgroup 5: Tf ~ Tx!C3:C8""), $A71=IMPORTRANGE(""https://docs.google.com/spreadsheets/d/1kGrh75X1cNR1D7_FcY9zMnHP8iPO4M5R"&amp;"CRjy6nZY0TY/edit#gid=1248694442"",""Subgroup 5: Tf ~ Tx!A3:A8"")),"""")"),"")</f>
        <v/>
      </c>
      <c r="K71" s="20" t="str">
        <f>IFERROR(__xludf.DUMMYFUNCTION("IFNA(FILTER(IMPORTRANGE(""https://docs.google.com/spreadsheets/d/1kGrh75X1cNR1D7_FcY9zMnHP8iPO4M5RCRjy6nZY0TY/edit#gid=1248694442"",""Subgroup 5: Tf ~ Tx!D3:D8""), $A71=IMPORTRANGE(""https://docs.google.com/spreadsheets/d/1kGrh75X1cNR1D7_FcY9zMnHP8iPO4M5R"&amp;"CRjy6nZY0TY/edit#gid=1248694442"",""Subgroup 5: Tf ~ Tx!A3:A8"")),"""")"),"")</f>
        <v/>
      </c>
      <c r="L71" s="20" t="str">
        <f>IFERROR(__xludf.DUMMYFUNCTION("IFNA(FILTER(IMPORTRANGE(""https://docs.google.com/spreadsheets/d/1kGrh75X1cNR1D7_FcY9zMnHP8iPO4M5RCRjy6nZY0TY/edit#gid=1248694442"",""Subgroup 5: Tf ~ Tx!E3:E8""), $A71=IMPORTRANGE(""https://docs.google.com/spreadsheets/d/1kGrh75X1cNR1D7_FcY9zMnHP8iPO4M5R"&amp;"CRjy6nZY0TY/edit#gid=1248694442"",""Subgroup 5: Tf ~ Tx!A3:A8"")),"""")"),"")</f>
        <v/>
      </c>
      <c r="M71" s="20" t="str">
        <f>IFERROR(__xludf.DUMMYFUNCTION("IFNA(FILTER(IMPORTRANGE(""https://docs.google.com/spreadsheets/d/1kGrh75X1cNR1D7_FcY9zMnHP8iPO4M5RCRjy6nZY0TY/edit#gid=1248694442"",""Subgroup 5: Tf ~ Tx!F3:F8""), $A71=IMPORTRANGE(""https://docs.google.com/spreadsheets/d/1kGrh75X1cNR1D7_FcY9zMnHP8iPO4M5R"&amp;"CRjy6nZY0TY/edit#gid=1248694442"",""Subgroup 5: Tf ~ Tx!A3:A8"")),"""")"),"")</f>
        <v/>
      </c>
      <c r="N71" s="20" t="str">
        <f>IFERROR(__xludf.DUMMYFUNCTION("IFNA(FILTER(IMPORTRANGE(""https://docs.google.com/spreadsheets/d/1kGrh75X1cNR1D7_FcY9zMnHP8iPO4M5RCRjy6nZY0TY/edit#gid=1248694442"",""Table 3: 1st-line HC!BE5:BE111""), $A71=IMPORTRANGE(""https://docs.google.com/spreadsheets/d/1kGrh75X1cNR1D7_FcY9zMnHP8iP"&amp;"O4M5RCRjy6nZY0TY/edit#gid=1248694442"",""Table 3: 1st-line HC!A5:A111"")),"""")"),"")</f>
        <v/>
      </c>
      <c r="O71" s="20" t="str">
        <f>IFERROR(__xludf.DUMMYFUNCTION("IFNA(FILTER(IMPORTRANGE(""https://docs.google.com/spreadsheets/d/1kGrh75X1cNR1D7_FcY9zMnHP8iPO4M5RCRjy6nZY0TY/edit#gid=1248694442"",""Table 3: 1st-line HC!BF5:BF111""), $A71=IMPORTRANGE(""https://docs.google.com/spreadsheets/d/1kGrh75X1cNR1D7_FcY9zMnHP8iP"&amp;"O4M5RCRjy6nZY0TY/edit#gid=1248694442"",""Table 3: 1st-line HC!A5:A111"")),"""")"),"")</f>
        <v/>
      </c>
      <c r="P71" s="20" t="str">
        <f>IFERROR(__xludf.DUMMYFUNCTION("IFNA(FILTER(IMPORTRANGE(""https://docs.google.com/spreadsheets/d/1kGrh75X1cNR1D7_FcY9zMnHP8iPO4M5RCRjy6nZY0TY/edit#gid=1248694442"",""Table 3: 1st-line HC!BG5:BG111""), $A71=IMPORTRANGE(""https://docs.google.com/spreadsheets/d/1kGrh75X1cNR1D7_FcY9zMnHP8iP"&amp;"O4M5RCRjy6nZY0TY/edit#gid=1248694442"",""Table 3: 1st-line HC!A5:A111"")),"""")"),"")</f>
        <v/>
      </c>
      <c r="Q71" s="21" t="str">
        <f>IFERROR(__xludf.DUMMYFUNCTION("IFNA(FILTER(IMPORTRANGE(""https://docs.google.com/spreadsheets/d/1kGrh75X1cNR1D7_FcY9zMnHP8iPO4M5RCRjy6nZY0TY/edit#gid=1248694442"",""Table 3: 1st-line HC!BH5:BH111""), $A71=IMPORTRANGE(""https://docs.google.com/spreadsheets/d/1kGrh75X1cNR1D7_FcY9zMnHP8iP"&amp;"O4M5RCRjy6nZY0TY/edit#gid=1248694442"",""Table 3: 1st-line HC!A5:A111"")),"""")"),"")</f>
        <v/>
      </c>
      <c r="R71" s="19" t="str">
        <f>IFERROR(__xludf.DUMMYFUNCTION("IFNA(FILTER(IMPORTRANGE(""https://docs.google.com/spreadsheets/d/1kGrh75X1cNR1D7_FcY9zMnHP8iPO4M5RCRjy6nZY0TY/edit#gid=1248694442"",""Table 3: 1st-line HC!AJ5:AJ111""), $A71=IMPORTRANGE(""https://docs.google.com/spreadsheets/d/1kGrh75X1cNR1D7_FcY9zMnHP8iP"&amp;"O4M5RCRjy6nZY0TY/edit#gid=1248694442"",""Table 3: 1st-line HC!A5:A111"")),"""")"),"")</f>
        <v/>
      </c>
      <c r="S71" s="20" t="str">
        <f>IFERROR(__xludf.DUMMYFUNCTION("IFNA(FILTER(IMPORTRANGE(""https://docs.google.com/spreadsheets/d/1kGrh75X1cNR1D7_FcY9zMnHP8iPO4M5RCRjy6nZY0TY/edit#gid=1248694442"",""Subgroup 3: Mi ~ Tx!B3:B17""), $A71=IMPORTRANGE(""https://docs.google.com/spreadsheets/d/1kGrh75X1cNR1D7_FcY9zMnHP8iPO4M5"&amp;"RCRjy6nZY0TY/edit#gid=1248694442"",""Subgroup 3: Mi ~ Tx!A3:A17"")),"""")"),"")</f>
        <v/>
      </c>
      <c r="T71" s="20" t="str">
        <f>IFERROR(__xludf.DUMMYFUNCTION("IFNA(FILTER(IMPORTRANGE(""https://docs.google.com/spreadsheets/d/1kGrh75X1cNR1D7_FcY9zMnHP8iPO4M5RCRjy6nZY0TY/edit#gid=1248694442"",""Subgroup 3: Mi ~ Tx!C3:C17""), $A71=IMPORTRANGE(""https://docs.google.com/spreadsheets/d/1kGrh75X1cNR1D7_FcY9zMnHP8iPO4M5"&amp;"RCRjy6nZY0TY/edit#gid=1248694442"",""Subgroup 3: Mi ~ Tx!A3:A17"")),"""")"),"")</f>
        <v/>
      </c>
      <c r="U71" s="20" t="str">
        <f>IFERROR(__xludf.DUMMYFUNCTION("IFNA(FILTER(IMPORTRANGE(""https://docs.google.com/spreadsheets/d/1kGrh75X1cNR1D7_FcY9zMnHP8iPO4M5RCRjy6nZY0TY/edit#gid=1248694442"",""Subgroup 3: Mi ~ Tx!D3:D17""), $A71=IMPORTRANGE(""https://docs.google.com/spreadsheets/d/1kGrh75X1cNR1D7_FcY9zMnHP8iPO4M5"&amp;"RCRjy6nZY0TY/edit#gid=1248694442"",""Subgroup 3: Mi ~ Tx!A3:A17"")),"""")"),"")</f>
        <v/>
      </c>
      <c r="V71" s="20" t="str">
        <f>IFERROR(__xludf.DUMMYFUNCTION("IFNA(FILTER(IMPORTRANGE(""https://docs.google.com/spreadsheets/d/1kGrh75X1cNR1D7_FcY9zMnHP8iPO4M5RCRjy6nZY0TY/edit#gid=1248694442"",""Subgroup 3: Mi ~ Tx!E3:E17""), $A71=IMPORTRANGE(""https://docs.google.com/spreadsheets/d/1kGrh75X1cNR1D7_FcY9zMnHP8iPO4M5"&amp;"RCRjy6nZY0TY/edit#gid=1248694442"",""Subgroup 3: Mi ~ Tx!A3:A17"")),"""")"),"")</f>
        <v/>
      </c>
      <c r="W71" s="20" t="str">
        <f>IFERROR(__xludf.DUMMYFUNCTION("IFNA(FILTER(IMPORTRANGE(""https://docs.google.com/spreadsheets/d/1kGrh75X1cNR1D7_FcY9zMnHP8iPO4M5RCRjy6nZY0TY/edit#gid=1248694442"",""Subgroup 3: Mi ~ Tx!F3:F17""), $A71=IMPORTRANGE(""https://docs.google.com/spreadsheets/d/1kGrh75X1cNR1D7_FcY9zMnHP8iPO4M5"&amp;"RCRjy6nZY0TY/edit#gid=1248694442"",""Subgroup 3: Mi ~ Tx!A3:A17"")),"""")"),"")</f>
        <v/>
      </c>
      <c r="X71" s="19" t="str">
        <f>IFERROR(__xludf.DUMMYFUNCTION("IFNA(FILTER(IMPORTRANGE(""https://docs.google.com/spreadsheets/d/1kGrh75X1cNR1D7_FcY9zMnHP8iPO4M5RCRjy6nZY0TY/edit#gid=1248694442"",""Table 3: 1st-line HC!AK5:AK111""), $A71=IMPORTRANGE(""https://docs.google.com/spreadsheets/d/1kGrh75X1cNR1D7_FcY9zMnHP8iP"&amp;"O4M5RCRjy6nZY0TY/edit#gid=1248694442"",""Table 3: 1st-line HC!A5:A111"")),"""")"),"")</f>
        <v/>
      </c>
      <c r="Y71" s="20" t="str">
        <f>IFERROR(__xludf.DUMMYFUNCTION("IFNA(FILTER(IMPORTRANGE(""https://docs.google.com/spreadsheets/d/1kGrh75X1cNR1D7_FcY9zMnHP8iPO4M5RCRjy6nZY0TY/edit#gid=1248694442"",""Subgroup 4: Mp ~ Tx!B3:B20""), $A71=IMPORTRANGE(""https://docs.google.com/spreadsheets/d/1kGrh75X1cNR1D7_FcY9zMnHP8iPO4M5"&amp;"RCRjy6nZY0TY/edit#gid=1248694442"",""Subgroup 4: Mp ~ Tx!A3:A20"")),"""")"),"")</f>
        <v/>
      </c>
      <c r="Z71" s="20" t="str">
        <f>IFERROR(__xludf.DUMMYFUNCTION("IFNA(FILTER(IMPORTRANGE(""https://docs.google.com/spreadsheets/d/1kGrh75X1cNR1D7_FcY9zMnHP8iPO4M5RCRjy6nZY0TY/edit#gid=1248694442"",""Subgroup 4: Mp ~ Tx!C3:C20""), $A71=IMPORTRANGE(""https://docs.google.com/spreadsheets/d/1kGrh75X1cNR1D7_FcY9zMnHP8iPO4M5"&amp;"RCRjy6nZY0TY/edit#gid=1248694442"",""Subgroup 4: Mp ~ Tx!A3:A20"")),"""")"),"")</f>
        <v/>
      </c>
      <c r="AA71" s="20" t="str">
        <f>IFERROR(__xludf.DUMMYFUNCTION("IFNA(FILTER(IMPORTRANGE(""https://docs.google.com/spreadsheets/d/1kGrh75X1cNR1D7_FcY9zMnHP8iPO4M5RCRjy6nZY0TY/edit#gid=1248694442"",""Subgroup 4: Mp ~ Tx!D3:D20""), $A71=IMPORTRANGE(""https://docs.google.com/spreadsheets/d/1kGrh75X1cNR1D7_FcY9zMnHP8iPO4M5"&amp;"RCRjy6nZY0TY/edit#gid=1248694442"",""Subgroup 4: Mp ~ Tx!A3:A20"")),"""")"),"")</f>
        <v/>
      </c>
      <c r="AB71" s="20" t="str">
        <f>IFERROR(__xludf.DUMMYFUNCTION("IFNA(FILTER(IMPORTRANGE(""https://docs.google.com/spreadsheets/d/1kGrh75X1cNR1D7_FcY9zMnHP8iPO4M5RCRjy6nZY0TY/edit#gid=1248694442"",""Subgroup 4: Mp ~ Tx!E3:E20""), $A71=IMPORTRANGE(""https://docs.google.com/spreadsheets/d/1kGrh75X1cNR1D7_FcY9zMnHP8iPO4M5"&amp;"RCRjy6nZY0TY/edit#gid=1248694442"",""Subgroup 4: Mp ~ Tx!A3:A20"")),"""")"),"")</f>
        <v/>
      </c>
      <c r="AC71" s="20" t="str">
        <f>IFERROR(__xludf.DUMMYFUNCTION("IFNA(FILTER(IMPORTRANGE(""https://docs.google.com/spreadsheets/d/1kGrh75X1cNR1D7_FcY9zMnHP8iPO4M5RCRjy6nZY0TY/edit#gid=1248694442"",""Subgroup 4: Mp ~ Tx!F3:F20""), $A71=IMPORTRANGE(""https://docs.google.com/spreadsheets/d/1kGrh75X1cNR1D7_FcY9zMnHP8iPO4M5"&amp;"RCRjy6nZY0TY/edit#gid=1248694442"",""Subgroup 4: Mp ~ Tx!A3:A20"")),"""")"),"")</f>
        <v/>
      </c>
      <c r="AD71" s="22" t="str">
        <f>IFERROR(__xludf.DUMMYFUNCTION("IFNA(FILTER(IMPORTRANGE(""https://docs.google.com/spreadsheets/d/1kGrh75X1cNR1D7_FcY9zMnHP8iPO4M5RCRjy6nZY0TY/edit#gid=1248694442"",""Table 3: 1st-line HC!AL5:AL111""), $A71=IMPORTRANGE(""https://docs.google.com/spreadsheets/d/1kGrh75X1cNR1D7_FcY9zMnHP8iP"&amp;"O4M5RCRjy6nZY0TY/edit#gid=1248694442"",""Table 3: 1st-line HC!A5:A111"")),"""")"),"")</f>
        <v/>
      </c>
      <c r="AE71" s="20" t="str">
        <f>IFERROR(__xludf.DUMMYFUNCTION("IFNA(FILTER(IMPORTRANGE(""https://docs.google.com/spreadsheets/d/1kGrh75X1cNR1D7_FcY9zMnHP8iPO4M5RCRjy6nZY0TY/edit#gid=1248694442"",""Table 3: 1st-line HC!BJ5:BJ111""), $A71=IMPORTRANGE(""https://docs.google.com/spreadsheets/d/1kGrh75X1cNR1D7_FcY9zMnHP8iP"&amp;"O4M5RCRjy6nZY0TY/edit#gid=1248694442"",""Table 3: 1st-line HC!A5:A111"")),"""")"),"")</f>
        <v/>
      </c>
      <c r="AF71" s="20" t="str">
        <f>IFERROR(__xludf.DUMMYFUNCTION("IFNA(FILTER(IMPORTRANGE(""https://docs.google.com/spreadsheets/d/1kGrh75X1cNR1D7_FcY9zMnHP8iPO4M5RCRjy6nZY0TY/edit#gid=1248694442"",""Subgroup 2: Cr ~ Tx!B3:B23""), $A71=IMPORTRANGE(""https://docs.google.com/spreadsheets/d/1kGrh75X1cNR1D7_FcY9zMnHP8iPO4M5"&amp;"RCRjy6nZY0TY/edit#gid=1248694442"",""Subgroup 2: Cr ~ Tx!A3:A23"")),"""")"),"")</f>
        <v/>
      </c>
      <c r="AG71" s="20" t="str">
        <f>IFERROR(__xludf.DUMMYFUNCTION("IFNA(FILTER(IMPORTRANGE(""https://docs.google.com/spreadsheets/d/1kGrh75X1cNR1D7_FcY9zMnHP8iPO4M5RCRjy6nZY0TY/edit#gid=1248694442"",""Subgroup 2: Cr ~ Tx!C3:C23""), $A71=IMPORTRANGE(""https://docs.google.com/spreadsheets/d/1kGrh75X1cNR1D7_FcY9zMnHP8iPO4M5"&amp;"RCRjy6nZY0TY/edit#gid=1248694442"",""Subgroup 2: Cr ~ Tx!A3:A23"")),"""")"),"")</f>
        <v/>
      </c>
      <c r="AH71" s="20" t="str">
        <f>IFERROR(__xludf.DUMMYFUNCTION("IFNA(FILTER(IMPORTRANGE(""https://docs.google.com/spreadsheets/d/1kGrh75X1cNR1D7_FcY9zMnHP8iPO4M5RCRjy6nZY0TY/edit#gid=1248694442"",""Subgroup 2: Cr ~ Tx!D3:D23""), $A71=IMPORTRANGE(""https://docs.google.com/spreadsheets/d/1kGrh75X1cNR1D7_FcY9zMnHP8iPO4M5"&amp;"RCRjy6nZY0TY/edit#gid=1248694442"",""Subgroup 2: Cr ~ Tx!A3:A23"")),"""")"),"")</f>
        <v/>
      </c>
      <c r="AI71" s="20" t="str">
        <f>IFERROR(__xludf.DUMMYFUNCTION("IFNA(FILTER(IMPORTRANGE(""https://docs.google.com/spreadsheets/d/1kGrh75X1cNR1D7_FcY9zMnHP8iPO4M5RCRjy6nZY0TY/edit#gid=1248694442"",""Subgroup 2: Cr ~ Tx!E3:E23""), $A71=IMPORTRANGE(""https://docs.google.com/spreadsheets/d/1kGrh75X1cNR1D7_FcY9zMnHP8iPO4M5"&amp;"RCRjy6nZY0TY/edit#gid=1248694442"",""Subgroup 2: Cr ~ Tx!A3:A23"")),"""")"),"")</f>
        <v/>
      </c>
      <c r="AJ71" s="20" t="str">
        <f>IFERROR(__xludf.DUMMYFUNCTION("IFNA(FILTER(IMPORTRANGE(""https://docs.google.com/spreadsheets/d/1kGrh75X1cNR1D7_FcY9zMnHP8iPO4M5RCRjy6nZY0TY/edit#gid=1248694442"",""Subgroup 2: Cr ~ Tx!F3:F23""), $A71=IMPORTRANGE(""https://docs.google.com/spreadsheets/d/1kGrh75X1cNR1D7_FcY9zMnHP8iPO4M5"&amp;"RCRjy6nZY0TY/edit#gid=1248694442"",""Subgroup 2: Cr ~ Tx!A3:A23"")),"""")"),"")</f>
        <v/>
      </c>
      <c r="AK71" s="14" t="str">
        <f>IFERROR(__xludf.DUMMYFUNCTION("IFNA(FILTER(IMPORTRANGE(""https://docs.google.com/spreadsheets/d/1kGrh75X1cNR1D7_FcY9zMnHP8iPO4M5RCRjy6nZY0TY/edit#gid=1248694442"",""Table 4: 2nd-line HC or more!M5:M85""), $A71=IMPORTRANGE(""https://docs.google.com/spreadsheets/d/1kGrh75X1cNR1D7_FcY9zMn"&amp;"HP8iPO4M5RCRjy6nZY0TY/edit#gid=1248694442"",""Table 4: 2nd-line HC or more!A5:A85"")),"""")"),"")</f>
        <v/>
      </c>
      <c r="AL71" s="14" t="str">
        <f>IFERROR(__xludf.DUMMYFUNCTION("IFNA(FILTER(IMPORTRANGE(""https://docs.google.com/spreadsheets/d/1kGrh75X1cNR1D7_FcY9zMnHP8iPO4M5RCRjy6nZY0TY/edit#gid=1248694442"",""Table 4: 2nd-line HC or more!N5:N85""), $A71=IMPORTRANGE(""https://docs.google.com/spreadsheets/d/1kGrh75X1cNR1D7_FcY9zMn"&amp;"HP8iPO4M5RCRjy6nZY0TY/edit#gid=1248694442"",""Table 4: 2nd-line HC or more!A5:A85"")),"""")"),"")</f>
        <v/>
      </c>
      <c r="AM71" s="14" t="str">
        <f>IFERROR(__xludf.DUMMYFUNCTION("IFNA(FILTER(IMPORTRANGE(""https://docs.google.com/spreadsheets/d/1kGrh75X1cNR1D7_FcY9zMnHP8iPO4M5RCRjy6nZY0TY/edit#gid=1248694442"",""Table 4: 2nd-line HC or more!O5:O85""), $A71=IMPORTRANGE(""https://docs.google.com/spreadsheets/d/1kGrh75X1cNR1D7_FcY9zMn"&amp;"HP8iPO4M5RCRjy6nZY0TY/edit#gid=1248694442"",""Table 4: 2nd-line HC or more!A5:A85"")),"""")"),"")</f>
        <v/>
      </c>
      <c r="AN71" s="14" t="str">
        <f>IFERROR(__xludf.DUMMYFUNCTION("IFNA(FILTER(IMPORTRANGE(""https://docs.google.com/spreadsheets/d/1kGrh75X1cNR1D7_FcY9zMnHP8iPO4M5RCRjy6nZY0TY/edit#gid=1248694442"",""Table 3: 1st-line HC!AP5:AP111""), $A71=IMPORTRANGE(""https://docs.google.com/spreadsheets/d/1kGrh75X1cNR1D7_FcY9zMnHP8iP"&amp;"O4M5RCRjy6nZY0TY/edit#gid=1248694442"",""Table 3: 1st-line HC!A5:A111"")),"""")"),"")</f>
        <v/>
      </c>
      <c r="AO71" s="14" t="str">
        <f>IFERROR(__xludf.DUMMYFUNCTION("IFNA(FILTER(IMPORTRANGE(""https://docs.google.com/spreadsheets/d/1kGrh75X1cNR1D7_FcY9zMnHP8iPO4M5RCRjy6nZY0TY/edit#gid=1248694442"",""Table 3: 1st-line HC!AO5:AO111""), $A71=IMPORTRANGE(""https://docs.google.com/spreadsheets/d/1kGrh75X1cNR1D7_FcY9zMnHP8iP"&amp;"O4M5RCRjy6nZY0TY/edit#gid=1248694442"",""Table 3: 1st-line HC!A5:A111"")),"""")"),"")</f>
        <v/>
      </c>
      <c r="AP71" s="14" t="str">
        <f>IFERROR(__xludf.DUMMYFUNCTION("IFNA(FILTER(IMPORTRANGE(""https://docs.google.com/spreadsheets/d/1kGrh75X1cNR1D7_FcY9zMnHP8iPO4M5RCRjy6nZY0TY/edit#gid=1248694442"",""Table 3: 1st-line HC!AQ5:AQ111""), $A71=IMPORTRANGE(""https://docs.google.com/spreadsheets/d/1kGrh75X1cNR1D7_FcY9zMnHP8iP"&amp;"O4M5RCRjy6nZY0TY/edit#gid=1248694442"",""Table 3: 1st-line HC!A5:A111"")),"""")"),"")</f>
        <v/>
      </c>
      <c r="AQ71" s="14" t="str">
        <f>IFERROR(__xludf.DUMMYFUNCTION("IFNA(FILTER(IMPORTRANGE(""https://docs.google.com/spreadsheets/d/1kGrh75X1cNR1D7_FcY9zMnHP8iPO4M5RCRjy6nZY0TY/edit#gid=1248694442"",""Table 2: MMC!T5:T114""), $A71=IMPORTRANGE(""https://docs.google.com/spreadsheets/d/1kGrh75X1cNR1D7_FcY9zMnHP8iPO4M5RCRjy6"&amp;"nZY0TY/edit#gid=1248694442"",""Table 2: MMC!A5:A114"")),"""")"),"")</f>
        <v/>
      </c>
      <c r="AR71" s="14" t="str">
        <f>IFERROR(__xludf.DUMMYFUNCTION("IFNA(FILTER(IMPORTRANGE(""https://docs.google.com/spreadsheets/d/1kGrh75X1cNR1D7_FcY9zMnHP8iPO4M5RCRjy6nZY0TY/edit#gid=1248694442"",""Table 2: MMC!U5:U114""), $A71=IMPORTRANGE(""https://docs.google.com/spreadsheets/d/1kGrh75X1cNR1D7_FcY9zMnHP8iPO4M5RCRjy6"&amp;"nZY0TY/edit#gid=1248694442"",""Table 2: MMC!A5:A114"")),"""")"),"")</f>
        <v/>
      </c>
      <c r="AS71" s="14" t="str">
        <f>IFERROR(__xludf.DUMMYFUNCTION("IFNA(FILTER(IMPORTRANGE(""https://docs.google.com/spreadsheets/d/1kGrh75X1cNR1D7_FcY9zMnHP8iPO4M5RCRjy6nZY0TY/edit#gid=1248694442"",""Table 2: MMC!V5:V114""), $A71=IMPORTRANGE(""https://docs.google.com/spreadsheets/d/1kGrh75X1cNR1D7_FcY9zMnHP8iPO4M5RCRjy6"&amp;"nZY0TY/edit#gid=1248694442"",""Table 2: MMC!A5:A114"")),"""")"),"")</f>
        <v/>
      </c>
      <c r="AT71" s="4" t="str">
        <f>IFERROR(__xludf.DUMMYFUNCTION("IFNA(FILTER(IMPORTRANGE(""https://docs.google.com/spreadsheets/d/1kGrh75X1cNR1D7_FcY9zMnHP8iPO4M5RCRjy6nZY0TY/edit#gid=1248694442"",""Table 2: MMC!W5:W114""), $A71=IMPORTRANGE(""https://docs.google.com/spreadsheets/d/1kGrh75X1cNR1D7_FcY9zMnHP8iPO4M5RCRjy6"&amp;"nZY0TY/edit#gid=1248694442"",""Table 2: MMC!A5:A114"")),"""")"),"")</f>
        <v/>
      </c>
    </row>
    <row r="72">
      <c r="A72" s="4" t="str">
        <f>IFERROR(__xludf.DUMMYFUNCTION("""COMPUTED_VALUE"""),"ID 157")</f>
        <v>ID 157</v>
      </c>
      <c r="B72" s="20" t="str">
        <f>IFERROR(__xludf.DUMMYFUNCTION("IFNA(FILTER(IMPORTRANGE(""https://docs.google.com/spreadsheets/d/1kGrh75X1cNR1D7_FcY9zMnHP8iPO4M5RCRjy6nZY0TY/edit#gid=1248694442"",""Table 3: 1st-line HC!BK5:BK111""), $A72=IMPORTRANGE(""https://docs.google.com/spreadsheets/d/1kGrh75X1cNR1D7_FcY9zMnHP8iP"&amp;"O4M5RCRjy6nZY0TY/edit#gid=1248694442"",""Table 3: 1st-line HC!A5:A111"")),"""")"),"")</f>
        <v/>
      </c>
      <c r="C72" s="20" t="str">
        <f>IFERROR(__xludf.DUMMYFUNCTION("IFNA(FILTER(IMPORTRANGE(""https://docs.google.com/spreadsheets/d/1kGrh75X1cNR1D7_FcY9zMnHP8iPO4M5RCRjy6nZY0TY/edit#gid=1248694442"",""Subgroup 1: Fr ~ Tx!B3:B20""), $A72=IMPORTRANGE(""https://docs.google.com/spreadsheets/d/1kGrh75X1cNR1D7_FcY9zMnHP8iPO4M5"&amp;"RCRjy6nZY0TY/edit#gid=1248694442"",""Subgroup 1: Fr ~ Tx!A3:A20"")),"""")"),"")</f>
        <v/>
      </c>
      <c r="D72" s="20" t="str">
        <f>IFERROR(__xludf.DUMMYFUNCTION("IFNA(FILTER(IMPORTRANGE(""https://docs.google.com/spreadsheets/d/1kGrh75X1cNR1D7_FcY9zMnHP8iPO4M5RCRjy6nZY0TY/edit#gid=1248694442"",""Subgroup 1: Fr ~ Tx!C3:C20""), $A72=IMPORTRANGE(""https://docs.google.com/spreadsheets/d/1kGrh75X1cNR1D7_FcY9zMnHP8iPO4M5"&amp;"RCRjy6nZY0TY/edit#gid=1248694442"",""Subgroup 1: Fr ~ Tx!A3:A20"")),"""")"),"")</f>
        <v/>
      </c>
      <c r="E72" s="20" t="str">
        <f>IFERROR(__xludf.DUMMYFUNCTION("IFNA(FILTER(IMPORTRANGE(""https://docs.google.com/spreadsheets/d/1kGrh75X1cNR1D7_FcY9zMnHP8iPO4M5RCRjy6nZY0TY/edit#gid=1248694442"",""Subgroup 1: Fr ~ Tx!D3:D20""), $A72=IMPORTRANGE(""https://docs.google.com/spreadsheets/d/1kGrh75X1cNR1D7_FcY9zMnHP8iPO4M5"&amp;"RCRjy6nZY0TY/edit#gid=1248694442"",""Subgroup 1: Fr ~ Tx!A3:A20"")),"""")"),"")</f>
        <v/>
      </c>
      <c r="F72" s="20" t="str">
        <f>IFERROR(__xludf.DUMMYFUNCTION("IFNA(FILTER(IMPORTRANGE(""https://docs.google.com/spreadsheets/d/1kGrh75X1cNR1D7_FcY9zMnHP8iPO4M5RCRjy6nZY0TY/edit#gid=1248694442"",""Subgroup 1: Fr ~ Tx!E3:E20""), $A72=IMPORTRANGE(""https://docs.google.com/spreadsheets/d/1kGrh75X1cNR1D7_FcY9zMnHP8iPO4M5"&amp;"RCRjy6nZY0TY/edit#gid=1248694442"",""Subgroup 1: Fr ~ Tx!A3:A20"")),"""")"),"")</f>
        <v/>
      </c>
      <c r="G72" s="20" t="str">
        <f>IFERROR(__xludf.DUMMYFUNCTION("IFNA(FILTER(IMPORTRANGE(""https://docs.google.com/spreadsheets/d/1kGrh75X1cNR1D7_FcY9zMnHP8iPO4M5RCRjy6nZY0TY/edit#gid=1248694442"",""Subgroup 1: Fr ~ Tx!F3:F20""), $A72=IMPORTRANGE(""https://docs.google.com/spreadsheets/d/1kGrh75X1cNR1D7_FcY9zMnHP8iPO4M5"&amp;"RCRjy6nZY0TY/edit#gid=1248694442"",""Subgroup 1: Fr ~ Tx!A3:A20"")),"""")"),"")</f>
        <v/>
      </c>
      <c r="H72" s="20" t="str">
        <f>IFERROR(__xludf.DUMMYFUNCTION("IFNA(FILTER(IMPORTRANGE(""https://docs.google.com/spreadsheets/d/1kGrh75X1cNR1D7_FcY9zMnHP8iPO4M5RCRjy6nZY0TY/edit#gid=1248694442"",""Table 3: 1st-line HC!BD5:BD111""), $A72=IMPORTRANGE(""https://docs.google.com/spreadsheets/d/1kGrh75X1cNR1D7_FcY9zMnHP8iP"&amp;"O4M5RCRjy6nZY0TY/edit#gid=1248694442"",""Table 3: 1st-line HC!A5:A111"")),"""")"),"")</f>
        <v/>
      </c>
      <c r="I72" s="20" t="str">
        <f>IFERROR(__xludf.DUMMYFUNCTION("IFNA(FILTER(IMPORTRANGE(""https://docs.google.com/spreadsheets/d/1kGrh75X1cNR1D7_FcY9zMnHP8iPO4M5RCRjy6nZY0TY/edit#gid=1248694442"",""Subgroup 5: Tf ~ Tx!B3:B8""), $A72=IMPORTRANGE(""https://docs.google.com/spreadsheets/d/1kGrh75X1cNR1D7_FcY9zMnHP8iPO4M5R"&amp;"CRjy6nZY0TY/edit#gid=1248694442"",""Subgroup 5: Tf ~ Tx!A3:A8"")),"""")"),"")</f>
        <v/>
      </c>
      <c r="J72" s="20" t="str">
        <f>IFERROR(__xludf.DUMMYFUNCTION("IFNA(FILTER(IMPORTRANGE(""https://docs.google.com/spreadsheets/d/1kGrh75X1cNR1D7_FcY9zMnHP8iPO4M5RCRjy6nZY0TY/edit#gid=1248694442"",""Subgroup 5: Tf ~ Tx!C3:C8""), $A72=IMPORTRANGE(""https://docs.google.com/spreadsheets/d/1kGrh75X1cNR1D7_FcY9zMnHP8iPO4M5R"&amp;"CRjy6nZY0TY/edit#gid=1248694442"",""Subgroup 5: Tf ~ Tx!A3:A8"")),"""")"),"")</f>
        <v/>
      </c>
      <c r="K72" s="20" t="str">
        <f>IFERROR(__xludf.DUMMYFUNCTION("IFNA(FILTER(IMPORTRANGE(""https://docs.google.com/spreadsheets/d/1kGrh75X1cNR1D7_FcY9zMnHP8iPO4M5RCRjy6nZY0TY/edit#gid=1248694442"",""Subgroup 5: Tf ~ Tx!D3:D8""), $A72=IMPORTRANGE(""https://docs.google.com/spreadsheets/d/1kGrh75X1cNR1D7_FcY9zMnHP8iPO4M5R"&amp;"CRjy6nZY0TY/edit#gid=1248694442"",""Subgroup 5: Tf ~ Tx!A3:A8"")),"""")"),"")</f>
        <v/>
      </c>
      <c r="L72" s="20" t="str">
        <f>IFERROR(__xludf.DUMMYFUNCTION("IFNA(FILTER(IMPORTRANGE(""https://docs.google.com/spreadsheets/d/1kGrh75X1cNR1D7_FcY9zMnHP8iPO4M5RCRjy6nZY0TY/edit#gid=1248694442"",""Subgroup 5: Tf ~ Tx!E3:E8""), $A72=IMPORTRANGE(""https://docs.google.com/spreadsheets/d/1kGrh75X1cNR1D7_FcY9zMnHP8iPO4M5R"&amp;"CRjy6nZY0TY/edit#gid=1248694442"",""Subgroup 5: Tf ~ Tx!A3:A8"")),"""")"),"")</f>
        <v/>
      </c>
      <c r="M72" s="20" t="str">
        <f>IFERROR(__xludf.DUMMYFUNCTION("IFNA(FILTER(IMPORTRANGE(""https://docs.google.com/spreadsheets/d/1kGrh75X1cNR1D7_FcY9zMnHP8iPO4M5RCRjy6nZY0TY/edit#gid=1248694442"",""Subgroup 5: Tf ~ Tx!F3:F8""), $A72=IMPORTRANGE(""https://docs.google.com/spreadsheets/d/1kGrh75X1cNR1D7_FcY9zMnHP8iPO4M5R"&amp;"CRjy6nZY0TY/edit#gid=1248694442"",""Subgroup 5: Tf ~ Tx!A3:A8"")),"""")"),"")</f>
        <v/>
      </c>
      <c r="N72" s="20" t="str">
        <f>IFERROR(__xludf.DUMMYFUNCTION("IFNA(FILTER(IMPORTRANGE(""https://docs.google.com/spreadsheets/d/1kGrh75X1cNR1D7_FcY9zMnHP8iPO4M5RCRjy6nZY0TY/edit#gid=1248694442"",""Table 3: 1st-line HC!BE5:BE111""), $A72=IMPORTRANGE(""https://docs.google.com/spreadsheets/d/1kGrh75X1cNR1D7_FcY9zMnHP8iP"&amp;"O4M5RCRjy6nZY0TY/edit#gid=1248694442"",""Table 3: 1st-line HC!A5:A111"")),"""")"),"")</f>
        <v/>
      </c>
      <c r="O72" s="20" t="str">
        <f>IFERROR(__xludf.DUMMYFUNCTION("IFNA(FILTER(IMPORTRANGE(""https://docs.google.com/spreadsheets/d/1kGrh75X1cNR1D7_FcY9zMnHP8iPO4M5RCRjy6nZY0TY/edit#gid=1248694442"",""Table 3: 1st-line HC!BF5:BF111""), $A72=IMPORTRANGE(""https://docs.google.com/spreadsheets/d/1kGrh75X1cNR1D7_FcY9zMnHP8iP"&amp;"O4M5RCRjy6nZY0TY/edit#gid=1248694442"",""Table 3: 1st-line HC!A5:A111"")),"""")"),"")</f>
        <v/>
      </c>
      <c r="P72" s="20" t="str">
        <f>IFERROR(__xludf.DUMMYFUNCTION("IFNA(FILTER(IMPORTRANGE(""https://docs.google.com/spreadsheets/d/1kGrh75X1cNR1D7_FcY9zMnHP8iPO4M5RCRjy6nZY0TY/edit#gid=1248694442"",""Table 3: 1st-line HC!BG5:BG111""), $A72=IMPORTRANGE(""https://docs.google.com/spreadsheets/d/1kGrh75X1cNR1D7_FcY9zMnHP8iP"&amp;"O4M5RCRjy6nZY0TY/edit#gid=1248694442"",""Table 3: 1st-line HC!A5:A111"")),"""")"),"")</f>
        <v/>
      </c>
      <c r="Q72" s="21" t="str">
        <f>IFERROR(__xludf.DUMMYFUNCTION("IFNA(FILTER(IMPORTRANGE(""https://docs.google.com/spreadsheets/d/1kGrh75X1cNR1D7_FcY9zMnHP8iPO4M5RCRjy6nZY0TY/edit#gid=1248694442"",""Table 3: 1st-line HC!BH5:BH111""), $A72=IMPORTRANGE(""https://docs.google.com/spreadsheets/d/1kGrh75X1cNR1D7_FcY9zMnHP8iP"&amp;"O4M5RCRjy6nZY0TY/edit#gid=1248694442"",""Table 3: 1st-line HC!A5:A111"")),"""")"),"")</f>
        <v/>
      </c>
      <c r="R72" s="19" t="str">
        <f>IFERROR(__xludf.DUMMYFUNCTION("IFNA(FILTER(IMPORTRANGE(""https://docs.google.com/spreadsheets/d/1kGrh75X1cNR1D7_FcY9zMnHP8iPO4M5RCRjy6nZY0TY/edit#gid=1248694442"",""Table 3: 1st-line HC!AJ5:AJ111""), $A72=IMPORTRANGE(""https://docs.google.com/spreadsheets/d/1kGrh75X1cNR1D7_FcY9zMnHP8iP"&amp;"O4M5RCRjy6nZY0TY/edit#gid=1248694442"",""Table 3: 1st-line HC!A5:A111"")),"""")"),"")</f>
        <v/>
      </c>
      <c r="S72" s="20" t="str">
        <f>IFERROR(__xludf.DUMMYFUNCTION("IFNA(FILTER(IMPORTRANGE(""https://docs.google.com/spreadsheets/d/1kGrh75X1cNR1D7_FcY9zMnHP8iPO4M5RCRjy6nZY0TY/edit#gid=1248694442"",""Subgroup 3: Mi ~ Tx!B3:B17""), $A72=IMPORTRANGE(""https://docs.google.com/spreadsheets/d/1kGrh75X1cNR1D7_FcY9zMnHP8iPO4M5"&amp;"RCRjy6nZY0TY/edit#gid=1248694442"",""Subgroup 3: Mi ~ Tx!A3:A17"")),"""")"),"")</f>
        <v/>
      </c>
      <c r="T72" s="20" t="str">
        <f>IFERROR(__xludf.DUMMYFUNCTION("IFNA(FILTER(IMPORTRANGE(""https://docs.google.com/spreadsheets/d/1kGrh75X1cNR1D7_FcY9zMnHP8iPO4M5RCRjy6nZY0TY/edit#gid=1248694442"",""Subgroup 3: Mi ~ Tx!C3:C17""), $A72=IMPORTRANGE(""https://docs.google.com/spreadsheets/d/1kGrh75X1cNR1D7_FcY9zMnHP8iPO4M5"&amp;"RCRjy6nZY0TY/edit#gid=1248694442"",""Subgroup 3: Mi ~ Tx!A3:A17"")),"""")"),"")</f>
        <v/>
      </c>
      <c r="U72" s="20" t="str">
        <f>IFERROR(__xludf.DUMMYFUNCTION("IFNA(FILTER(IMPORTRANGE(""https://docs.google.com/spreadsheets/d/1kGrh75X1cNR1D7_FcY9zMnHP8iPO4M5RCRjy6nZY0TY/edit#gid=1248694442"",""Subgroup 3: Mi ~ Tx!D3:D17""), $A72=IMPORTRANGE(""https://docs.google.com/spreadsheets/d/1kGrh75X1cNR1D7_FcY9zMnHP8iPO4M5"&amp;"RCRjy6nZY0TY/edit#gid=1248694442"",""Subgroup 3: Mi ~ Tx!A3:A17"")),"""")"),"")</f>
        <v/>
      </c>
      <c r="V72" s="20" t="str">
        <f>IFERROR(__xludf.DUMMYFUNCTION("IFNA(FILTER(IMPORTRANGE(""https://docs.google.com/spreadsheets/d/1kGrh75X1cNR1D7_FcY9zMnHP8iPO4M5RCRjy6nZY0TY/edit#gid=1248694442"",""Subgroup 3: Mi ~ Tx!E3:E17""), $A72=IMPORTRANGE(""https://docs.google.com/spreadsheets/d/1kGrh75X1cNR1D7_FcY9zMnHP8iPO4M5"&amp;"RCRjy6nZY0TY/edit#gid=1248694442"",""Subgroup 3: Mi ~ Tx!A3:A17"")),"""")"),"")</f>
        <v/>
      </c>
      <c r="W72" s="20" t="str">
        <f>IFERROR(__xludf.DUMMYFUNCTION("IFNA(FILTER(IMPORTRANGE(""https://docs.google.com/spreadsheets/d/1kGrh75X1cNR1D7_FcY9zMnHP8iPO4M5RCRjy6nZY0TY/edit#gid=1248694442"",""Subgroup 3: Mi ~ Tx!F3:F17""), $A72=IMPORTRANGE(""https://docs.google.com/spreadsheets/d/1kGrh75X1cNR1D7_FcY9zMnHP8iPO4M5"&amp;"RCRjy6nZY0TY/edit#gid=1248694442"",""Subgroup 3: Mi ~ Tx!A3:A17"")),"""")"),"")</f>
        <v/>
      </c>
      <c r="X72" s="19" t="str">
        <f>IFERROR(__xludf.DUMMYFUNCTION("IFNA(FILTER(IMPORTRANGE(""https://docs.google.com/spreadsheets/d/1kGrh75X1cNR1D7_FcY9zMnHP8iPO4M5RCRjy6nZY0TY/edit#gid=1248694442"",""Table 3: 1st-line HC!AK5:AK111""), $A72=IMPORTRANGE(""https://docs.google.com/spreadsheets/d/1kGrh75X1cNR1D7_FcY9zMnHP8iP"&amp;"O4M5RCRjy6nZY0TY/edit#gid=1248694442"",""Table 3: 1st-line HC!A5:A111"")),"""")"),"")</f>
        <v/>
      </c>
      <c r="Y72" s="20" t="str">
        <f>IFERROR(__xludf.DUMMYFUNCTION("IFNA(FILTER(IMPORTRANGE(""https://docs.google.com/spreadsheets/d/1kGrh75X1cNR1D7_FcY9zMnHP8iPO4M5RCRjy6nZY0TY/edit#gid=1248694442"",""Subgroup 4: Mp ~ Tx!B3:B20""), $A72=IMPORTRANGE(""https://docs.google.com/spreadsheets/d/1kGrh75X1cNR1D7_FcY9zMnHP8iPO4M5"&amp;"RCRjy6nZY0TY/edit#gid=1248694442"",""Subgroup 4: Mp ~ Tx!A3:A20"")),"""")"),"")</f>
        <v/>
      </c>
      <c r="Z72" s="20" t="str">
        <f>IFERROR(__xludf.DUMMYFUNCTION("IFNA(FILTER(IMPORTRANGE(""https://docs.google.com/spreadsheets/d/1kGrh75X1cNR1D7_FcY9zMnHP8iPO4M5RCRjy6nZY0TY/edit#gid=1248694442"",""Subgroup 4: Mp ~ Tx!C3:C20""), $A72=IMPORTRANGE(""https://docs.google.com/spreadsheets/d/1kGrh75X1cNR1D7_FcY9zMnHP8iPO4M5"&amp;"RCRjy6nZY0TY/edit#gid=1248694442"",""Subgroup 4: Mp ~ Tx!A3:A20"")),"""")"),"")</f>
        <v/>
      </c>
      <c r="AA72" s="20" t="str">
        <f>IFERROR(__xludf.DUMMYFUNCTION("IFNA(FILTER(IMPORTRANGE(""https://docs.google.com/spreadsheets/d/1kGrh75X1cNR1D7_FcY9zMnHP8iPO4M5RCRjy6nZY0TY/edit#gid=1248694442"",""Subgroup 4: Mp ~ Tx!D3:D20""), $A72=IMPORTRANGE(""https://docs.google.com/spreadsheets/d/1kGrh75X1cNR1D7_FcY9zMnHP8iPO4M5"&amp;"RCRjy6nZY0TY/edit#gid=1248694442"",""Subgroup 4: Mp ~ Tx!A3:A20"")),"""")"),"")</f>
        <v/>
      </c>
      <c r="AB72" s="20" t="str">
        <f>IFERROR(__xludf.DUMMYFUNCTION("IFNA(FILTER(IMPORTRANGE(""https://docs.google.com/spreadsheets/d/1kGrh75X1cNR1D7_FcY9zMnHP8iPO4M5RCRjy6nZY0TY/edit#gid=1248694442"",""Subgroup 4: Mp ~ Tx!E3:E20""), $A72=IMPORTRANGE(""https://docs.google.com/spreadsheets/d/1kGrh75X1cNR1D7_FcY9zMnHP8iPO4M5"&amp;"RCRjy6nZY0TY/edit#gid=1248694442"",""Subgroup 4: Mp ~ Tx!A3:A20"")),"""")"),"")</f>
        <v/>
      </c>
      <c r="AC72" s="20" t="str">
        <f>IFERROR(__xludf.DUMMYFUNCTION("IFNA(FILTER(IMPORTRANGE(""https://docs.google.com/spreadsheets/d/1kGrh75X1cNR1D7_FcY9zMnHP8iPO4M5RCRjy6nZY0TY/edit#gid=1248694442"",""Subgroup 4: Mp ~ Tx!F3:F20""), $A72=IMPORTRANGE(""https://docs.google.com/spreadsheets/d/1kGrh75X1cNR1D7_FcY9zMnHP8iPO4M5"&amp;"RCRjy6nZY0TY/edit#gid=1248694442"",""Subgroup 4: Mp ~ Tx!A3:A20"")),"""")"),"")</f>
        <v/>
      </c>
      <c r="AD72" s="22" t="str">
        <f>IFERROR(__xludf.DUMMYFUNCTION("IFNA(FILTER(IMPORTRANGE(""https://docs.google.com/spreadsheets/d/1kGrh75X1cNR1D7_FcY9zMnHP8iPO4M5RCRjy6nZY0TY/edit#gid=1248694442"",""Table 3: 1st-line HC!AL5:AL111""), $A72=IMPORTRANGE(""https://docs.google.com/spreadsheets/d/1kGrh75X1cNR1D7_FcY9zMnHP8iP"&amp;"O4M5RCRjy6nZY0TY/edit#gid=1248694442"",""Table 3: 1st-line HC!A5:A111"")),"""")"),"")</f>
        <v/>
      </c>
      <c r="AE72" s="20" t="str">
        <f>IFERROR(__xludf.DUMMYFUNCTION("IFNA(FILTER(IMPORTRANGE(""https://docs.google.com/spreadsheets/d/1kGrh75X1cNR1D7_FcY9zMnHP8iPO4M5RCRjy6nZY0TY/edit#gid=1248694442"",""Table 3: 1st-line HC!BJ5:BJ111""), $A72=IMPORTRANGE(""https://docs.google.com/spreadsheets/d/1kGrh75X1cNR1D7_FcY9zMnHP8iP"&amp;"O4M5RCRjy6nZY0TY/edit#gid=1248694442"",""Table 3: 1st-line HC!A5:A111"")),"""")"),"")</f>
        <v/>
      </c>
      <c r="AF72" s="20" t="str">
        <f>IFERROR(__xludf.DUMMYFUNCTION("IFNA(FILTER(IMPORTRANGE(""https://docs.google.com/spreadsheets/d/1kGrh75X1cNR1D7_FcY9zMnHP8iPO4M5RCRjy6nZY0TY/edit#gid=1248694442"",""Subgroup 2: Cr ~ Tx!B3:B23""), $A72=IMPORTRANGE(""https://docs.google.com/spreadsheets/d/1kGrh75X1cNR1D7_FcY9zMnHP8iPO4M5"&amp;"RCRjy6nZY0TY/edit#gid=1248694442"",""Subgroup 2: Cr ~ Tx!A3:A23"")),"""")"),"")</f>
        <v/>
      </c>
      <c r="AG72" s="20" t="str">
        <f>IFERROR(__xludf.DUMMYFUNCTION("IFNA(FILTER(IMPORTRANGE(""https://docs.google.com/spreadsheets/d/1kGrh75X1cNR1D7_FcY9zMnHP8iPO4M5RCRjy6nZY0TY/edit#gid=1248694442"",""Subgroup 2: Cr ~ Tx!C3:C23""), $A72=IMPORTRANGE(""https://docs.google.com/spreadsheets/d/1kGrh75X1cNR1D7_FcY9zMnHP8iPO4M5"&amp;"RCRjy6nZY0TY/edit#gid=1248694442"",""Subgroup 2: Cr ~ Tx!A3:A23"")),"""")"),"")</f>
        <v/>
      </c>
      <c r="AH72" s="20" t="str">
        <f>IFERROR(__xludf.DUMMYFUNCTION("IFNA(FILTER(IMPORTRANGE(""https://docs.google.com/spreadsheets/d/1kGrh75X1cNR1D7_FcY9zMnHP8iPO4M5RCRjy6nZY0TY/edit#gid=1248694442"",""Subgroup 2: Cr ~ Tx!D3:D23""), $A72=IMPORTRANGE(""https://docs.google.com/spreadsheets/d/1kGrh75X1cNR1D7_FcY9zMnHP8iPO4M5"&amp;"RCRjy6nZY0TY/edit#gid=1248694442"",""Subgroup 2: Cr ~ Tx!A3:A23"")),"""")"),"")</f>
        <v/>
      </c>
      <c r="AI72" s="20" t="str">
        <f>IFERROR(__xludf.DUMMYFUNCTION("IFNA(FILTER(IMPORTRANGE(""https://docs.google.com/spreadsheets/d/1kGrh75X1cNR1D7_FcY9zMnHP8iPO4M5RCRjy6nZY0TY/edit#gid=1248694442"",""Subgroup 2: Cr ~ Tx!E3:E23""), $A72=IMPORTRANGE(""https://docs.google.com/spreadsheets/d/1kGrh75X1cNR1D7_FcY9zMnHP8iPO4M5"&amp;"RCRjy6nZY0TY/edit#gid=1248694442"",""Subgroup 2: Cr ~ Tx!A3:A23"")),"""")"),"")</f>
        <v/>
      </c>
      <c r="AJ72" s="20" t="str">
        <f>IFERROR(__xludf.DUMMYFUNCTION("IFNA(FILTER(IMPORTRANGE(""https://docs.google.com/spreadsheets/d/1kGrh75X1cNR1D7_FcY9zMnHP8iPO4M5RCRjy6nZY0TY/edit#gid=1248694442"",""Subgroup 2: Cr ~ Tx!F3:F23""), $A72=IMPORTRANGE(""https://docs.google.com/spreadsheets/d/1kGrh75X1cNR1D7_FcY9zMnHP8iPO4M5"&amp;"RCRjy6nZY0TY/edit#gid=1248694442"",""Subgroup 2: Cr ~ Tx!A3:A23"")),"""")"),"")</f>
        <v/>
      </c>
      <c r="AK72" s="14" t="str">
        <f>IFERROR(__xludf.DUMMYFUNCTION("IFNA(FILTER(IMPORTRANGE(""https://docs.google.com/spreadsheets/d/1kGrh75X1cNR1D7_FcY9zMnHP8iPO4M5RCRjy6nZY0TY/edit#gid=1248694442"",""Table 4: 2nd-line HC or more!M5:M85""), $A72=IMPORTRANGE(""https://docs.google.com/spreadsheets/d/1kGrh75X1cNR1D7_FcY9zMn"&amp;"HP8iPO4M5RCRjy6nZY0TY/edit#gid=1248694442"",""Table 4: 2nd-line HC or more!A5:A85"")),"""")"),"")</f>
        <v/>
      </c>
      <c r="AL72" s="14" t="str">
        <f>IFERROR(__xludf.DUMMYFUNCTION("IFNA(FILTER(IMPORTRANGE(""https://docs.google.com/spreadsheets/d/1kGrh75X1cNR1D7_FcY9zMnHP8iPO4M5RCRjy6nZY0TY/edit#gid=1248694442"",""Table 4: 2nd-line HC or more!N5:N85""), $A72=IMPORTRANGE(""https://docs.google.com/spreadsheets/d/1kGrh75X1cNR1D7_FcY9zMn"&amp;"HP8iPO4M5RCRjy6nZY0TY/edit#gid=1248694442"",""Table 4: 2nd-line HC or more!A5:A85"")),"""")"),"")</f>
        <v/>
      </c>
      <c r="AM72" s="14" t="str">
        <f>IFERROR(__xludf.DUMMYFUNCTION("IFNA(FILTER(IMPORTRANGE(""https://docs.google.com/spreadsheets/d/1kGrh75X1cNR1D7_FcY9zMnHP8iPO4M5RCRjy6nZY0TY/edit#gid=1248694442"",""Table 4: 2nd-line HC or more!O5:O85""), $A72=IMPORTRANGE(""https://docs.google.com/spreadsheets/d/1kGrh75X1cNR1D7_FcY9zMn"&amp;"HP8iPO4M5RCRjy6nZY0TY/edit#gid=1248694442"",""Table 4: 2nd-line HC or more!A5:A85"")),"""")"),"")</f>
        <v/>
      </c>
      <c r="AN72" s="14" t="str">
        <f>IFERROR(__xludf.DUMMYFUNCTION("IFNA(FILTER(IMPORTRANGE(""https://docs.google.com/spreadsheets/d/1kGrh75X1cNR1D7_FcY9zMnHP8iPO4M5RCRjy6nZY0TY/edit#gid=1248694442"",""Table 3: 1st-line HC!AP5:AP111""), $A72=IMPORTRANGE(""https://docs.google.com/spreadsheets/d/1kGrh75X1cNR1D7_FcY9zMnHP8iP"&amp;"O4M5RCRjy6nZY0TY/edit#gid=1248694442"",""Table 3: 1st-line HC!A5:A111"")),"""")"),"")</f>
        <v/>
      </c>
      <c r="AO72" s="14" t="str">
        <f>IFERROR(__xludf.DUMMYFUNCTION("IFNA(FILTER(IMPORTRANGE(""https://docs.google.com/spreadsheets/d/1kGrh75X1cNR1D7_FcY9zMnHP8iPO4M5RCRjy6nZY0TY/edit#gid=1248694442"",""Table 3: 1st-line HC!AO5:AO111""), $A72=IMPORTRANGE(""https://docs.google.com/spreadsheets/d/1kGrh75X1cNR1D7_FcY9zMnHP8iP"&amp;"O4M5RCRjy6nZY0TY/edit#gid=1248694442"",""Table 3: 1st-line HC!A5:A111"")),"""")"),"")</f>
        <v/>
      </c>
      <c r="AP72" s="14" t="str">
        <f>IFERROR(__xludf.DUMMYFUNCTION("IFNA(FILTER(IMPORTRANGE(""https://docs.google.com/spreadsheets/d/1kGrh75X1cNR1D7_FcY9zMnHP8iPO4M5RCRjy6nZY0TY/edit#gid=1248694442"",""Table 3: 1st-line HC!AQ5:AQ111""), $A72=IMPORTRANGE(""https://docs.google.com/spreadsheets/d/1kGrh75X1cNR1D7_FcY9zMnHP8iP"&amp;"O4M5RCRjy6nZY0TY/edit#gid=1248694442"",""Table 3: 1st-line HC!A5:A111"")),"""")"),"")</f>
        <v/>
      </c>
      <c r="AQ72" s="14" t="str">
        <f>IFERROR(__xludf.DUMMYFUNCTION("IFNA(FILTER(IMPORTRANGE(""https://docs.google.com/spreadsheets/d/1kGrh75X1cNR1D7_FcY9zMnHP8iPO4M5RCRjy6nZY0TY/edit#gid=1248694442"",""Table 2: MMC!T5:T114""), $A72=IMPORTRANGE(""https://docs.google.com/spreadsheets/d/1kGrh75X1cNR1D7_FcY9zMnHP8iPO4M5RCRjy6"&amp;"nZY0TY/edit#gid=1248694442"",""Table 2: MMC!A5:A114"")),"""")"),"")</f>
        <v/>
      </c>
      <c r="AR72" s="14" t="str">
        <f>IFERROR(__xludf.DUMMYFUNCTION("IFNA(FILTER(IMPORTRANGE(""https://docs.google.com/spreadsheets/d/1kGrh75X1cNR1D7_FcY9zMnHP8iPO4M5RCRjy6nZY0TY/edit#gid=1248694442"",""Table 2: MMC!U5:U114""), $A72=IMPORTRANGE(""https://docs.google.com/spreadsheets/d/1kGrh75X1cNR1D7_FcY9zMnHP8iPO4M5RCRjy6"&amp;"nZY0TY/edit#gid=1248694442"",""Table 2: MMC!A5:A114"")),"""")"),"")</f>
        <v/>
      </c>
      <c r="AS72" s="14" t="str">
        <f>IFERROR(__xludf.DUMMYFUNCTION("IFNA(FILTER(IMPORTRANGE(""https://docs.google.com/spreadsheets/d/1kGrh75X1cNR1D7_FcY9zMnHP8iPO4M5RCRjy6nZY0TY/edit#gid=1248694442"",""Table 2: MMC!V5:V114""), $A72=IMPORTRANGE(""https://docs.google.com/spreadsheets/d/1kGrh75X1cNR1D7_FcY9zMnHP8iPO4M5RCRjy6"&amp;"nZY0TY/edit#gid=1248694442"",""Table 2: MMC!A5:A114"")),"""")"),"")</f>
        <v/>
      </c>
      <c r="AT72" s="4" t="str">
        <f>IFERROR(__xludf.DUMMYFUNCTION("IFNA(FILTER(IMPORTRANGE(""https://docs.google.com/spreadsheets/d/1kGrh75X1cNR1D7_FcY9zMnHP8iPO4M5RCRjy6nZY0TY/edit#gid=1248694442"",""Table 2: MMC!W5:W114""), $A72=IMPORTRANGE(""https://docs.google.com/spreadsheets/d/1kGrh75X1cNR1D7_FcY9zMnHP8iPO4M5RCRjy6"&amp;"nZY0TY/edit#gid=1248694442"",""Table 2: MMC!A5:A114"")),"""")"),"")</f>
        <v/>
      </c>
    </row>
    <row r="73">
      <c r="A73" s="4" t="str">
        <f>IFERROR(__xludf.DUMMYFUNCTION("""COMPUTED_VALUE"""),"ID 159")</f>
        <v>ID 159</v>
      </c>
      <c r="B73" s="20" t="str">
        <f>IFERROR(__xludf.DUMMYFUNCTION("IFNA(FILTER(IMPORTRANGE(""https://docs.google.com/spreadsheets/d/1kGrh75X1cNR1D7_FcY9zMnHP8iPO4M5RCRjy6nZY0TY/edit#gid=1248694442"",""Table 3: 1st-line HC!BK5:BK111""), $A73=IMPORTRANGE(""https://docs.google.com/spreadsheets/d/1kGrh75X1cNR1D7_FcY9zMnHP8iP"&amp;"O4M5RCRjy6nZY0TY/edit#gid=1248694442"",""Table 3: 1st-line HC!A5:A111"")),"""")"),"")</f>
        <v/>
      </c>
      <c r="C73" s="20" t="str">
        <f>IFERROR(__xludf.DUMMYFUNCTION("IFNA(FILTER(IMPORTRANGE(""https://docs.google.com/spreadsheets/d/1kGrh75X1cNR1D7_FcY9zMnHP8iPO4M5RCRjy6nZY0TY/edit#gid=1248694442"",""Subgroup 1: Fr ~ Tx!B3:B20""), $A73=IMPORTRANGE(""https://docs.google.com/spreadsheets/d/1kGrh75X1cNR1D7_FcY9zMnHP8iPO4M5"&amp;"RCRjy6nZY0TY/edit#gid=1248694442"",""Subgroup 1: Fr ~ Tx!A3:A20"")),"""")"),"")</f>
        <v/>
      </c>
      <c r="D73" s="20" t="str">
        <f>IFERROR(__xludf.DUMMYFUNCTION("IFNA(FILTER(IMPORTRANGE(""https://docs.google.com/spreadsheets/d/1kGrh75X1cNR1D7_FcY9zMnHP8iPO4M5RCRjy6nZY0TY/edit#gid=1248694442"",""Subgroup 1: Fr ~ Tx!C3:C20""), $A73=IMPORTRANGE(""https://docs.google.com/spreadsheets/d/1kGrh75X1cNR1D7_FcY9zMnHP8iPO4M5"&amp;"RCRjy6nZY0TY/edit#gid=1248694442"",""Subgroup 1: Fr ~ Tx!A3:A20"")),"""")"),"")</f>
        <v/>
      </c>
      <c r="E73" s="20" t="str">
        <f>IFERROR(__xludf.DUMMYFUNCTION("IFNA(FILTER(IMPORTRANGE(""https://docs.google.com/spreadsheets/d/1kGrh75X1cNR1D7_FcY9zMnHP8iPO4M5RCRjy6nZY0TY/edit#gid=1248694442"",""Subgroup 1: Fr ~ Tx!D3:D20""), $A73=IMPORTRANGE(""https://docs.google.com/spreadsheets/d/1kGrh75X1cNR1D7_FcY9zMnHP8iPO4M5"&amp;"RCRjy6nZY0TY/edit#gid=1248694442"",""Subgroup 1: Fr ~ Tx!A3:A20"")),"""")"),"")</f>
        <v/>
      </c>
      <c r="F73" s="20" t="str">
        <f>IFERROR(__xludf.DUMMYFUNCTION("IFNA(FILTER(IMPORTRANGE(""https://docs.google.com/spreadsheets/d/1kGrh75X1cNR1D7_FcY9zMnHP8iPO4M5RCRjy6nZY0TY/edit#gid=1248694442"",""Subgroup 1: Fr ~ Tx!E3:E20""), $A73=IMPORTRANGE(""https://docs.google.com/spreadsheets/d/1kGrh75X1cNR1D7_FcY9zMnHP8iPO4M5"&amp;"RCRjy6nZY0TY/edit#gid=1248694442"",""Subgroup 1: Fr ~ Tx!A3:A20"")),"""")"),"")</f>
        <v/>
      </c>
      <c r="G73" s="20" t="str">
        <f>IFERROR(__xludf.DUMMYFUNCTION("IFNA(FILTER(IMPORTRANGE(""https://docs.google.com/spreadsheets/d/1kGrh75X1cNR1D7_FcY9zMnHP8iPO4M5RCRjy6nZY0TY/edit#gid=1248694442"",""Subgroup 1: Fr ~ Tx!F3:F20""), $A73=IMPORTRANGE(""https://docs.google.com/spreadsheets/d/1kGrh75X1cNR1D7_FcY9zMnHP8iPO4M5"&amp;"RCRjy6nZY0TY/edit#gid=1248694442"",""Subgroup 1: Fr ~ Tx!A3:A20"")),"""")"),"")</f>
        <v/>
      </c>
      <c r="H73" s="20" t="str">
        <f>IFERROR(__xludf.DUMMYFUNCTION("IFNA(FILTER(IMPORTRANGE(""https://docs.google.com/spreadsheets/d/1kGrh75X1cNR1D7_FcY9zMnHP8iPO4M5RCRjy6nZY0TY/edit#gid=1248694442"",""Table 3: 1st-line HC!BD5:BD111""), $A73=IMPORTRANGE(""https://docs.google.com/spreadsheets/d/1kGrh75X1cNR1D7_FcY9zMnHP8iP"&amp;"O4M5RCRjy6nZY0TY/edit#gid=1248694442"",""Table 3: 1st-line HC!A5:A111"")),"""")"),"")</f>
        <v/>
      </c>
      <c r="I73" s="20" t="str">
        <f>IFERROR(__xludf.DUMMYFUNCTION("IFNA(FILTER(IMPORTRANGE(""https://docs.google.com/spreadsheets/d/1kGrh75X1cNR1D7_FcY9zMnHP8iPO4M5RCRjy6nZY0TY/edit#gid=1248694442"",""Subgroup 5: Tf ~ Tx!B3:B8""), $A73=IMPORTRANGE(""https://docs.google.com/spreadsheets/d/1kGrh75X1cNR1D7_FcY9zMnHP8iPO4M5R"&amp;"CRjy6nZY0TY/edit#gid=1248694442"",""Subgroup 5: Tf ~ Tx!A3:A8"")),"""")"),"")</f>
        <v/>
      </c>
      <c r="J73" s="20" t="str">
        <f>IFERROR(__xludf.DUMMYFUNCTION("IFNA(FILTER(IMPORTRANGE(""https://docs.google.com/spreadsheets/d/1kGrh75X1cNR1D7_FcY9zMnHP8iPO4M5RCRjy6nZY0TY/edit#gid=1248694442"",""Subgroup 5: Tf ~ Tx!C3:C8""), $A73=IMPORTRANGE(""https://docs.google.com/spreadsheets/d/1kGrh75X1cNR1D7_FcY9zMnHP8iPO4M5R"&amp;"CRjy6nZY0TY/edit#gid=1248694442"",""Subgroup 5: Tf ~ Tx!A3:A8"")),"""")"),"")</f>
        <v/>
      </c>
      <c r="K73" s="20" t="str">
        <f>IFERROR(__xludf.DUMMYFUNCTION("IFNA(FILTER(IMPORTRANGE(""https://docs.google.com/spreadsheets/d/1kGrh75X1cNR1D7_FcY9zMnHP8iPO4M5RCRjy6nZY0TY/edit#gid=1248694442"",""Subgroup 5: Tf ~ Tx!D3:D8""), $A73=IMPORTRANGE(""https://docs.google.com/spreadsheets/d/1kGrh75X1cNR1D7_FcY9zMnHP8iPO4M5R"&amp;"CRjy6nZY0TY/edit#gid=1248694442"",""Subgroup 5: Tf ~ Tx!A3:A8"")),"""")"),"")</f>
        <v/>
      </c>
      <c r="L73" s="20" t="str">
        <f>IFERROR(__xludf.DUMMYFUNCTION("IFNA(FILTER(IMPORTRANGE(""https://docs.google.com/spreadsheets/d/1kGrh75X1cNR1D7_FcY9zMnHP8iPO4M5RCRjy6nZY0TY/edit#gid=1248694442"",""Subgroup 5: Tf ~ Tx!E3:E8""), $A73=IMPORTRANGE(""https://docs.google.com/spreadsheets/d/1kGrh75X1cNR1D7_FcY9zMnHP8iPO4M5R"&amp;"CRjy6nZY0TY/edit#gid=1248694442"",""Subgroup 5: Tf ~ Tx!A3:A8"")),"""")"),"")</f>
        <v/>
      </c>
      <c r="M73" s="20" t="str">
        <f>IFERROR(__xludf.DUMMYFUNCTION("IFNA(FILTER(IMPORTRANGE(""https://docs.google.com/spreadsheets/d/1kGrh75X1cNR1D7_FcY9zMnHP8iPO4M5RCRjy6nZY0TY/edit#gid=1248694442"",""Subgroup 5: Tf ~ Tx!F3:F8""), $A73=IMPORTRANGE(""https://docs.google.com/spreadsheets/d/1kGrh75X1cNR1D7_FcY9zMnHP8iPO4M5R"&amp;"CRjy6nZY0TY/edit#gid=1248694442"",""Subgroup 5: Tf ~ Tx!A3:A8"")),"""")"),"")</f>
        <v/>
      </c>
      <c r="N73" s="20" t="str">
        <f>IFERROR(__xludf.DUMMYFUNCTION("IFNA(FILTER(IMPORTRANGE(""https://docs.google.com/spreadsheets/d/1kGrh75X1cNR1D7_FcY9zMnHP8iPO4M5RCRjy6nZY0TY/edit#gid=1248694442"",""Table 3: 1st-line HC!BE5:BE111""), $A73=IMPORTRANGE(""https://docs.google.com/spreadsheets/d/1kGrh75X1cNR1D7_FcY9zMnHP8iP"&amp;"O4M5RCRjy6nZY0TY/edit#gid=1248694442"",""Table 3: 1st-line HC!A5:A111"")),"""")"),"")</f>
        <v/>
      </c>
      <c r="O73" s="20" t="str">
        <f>IFERROR(__xludf.DUMMYFUNCTION("IFNA(FILTER(IMPORTRANGE(""https://docs.google.com/spreadsheets/d/1kGrh75X1cNR1D7_FcY9zMnHP8iPO4M5RCRjy6nZY0TY/edit#gid=1248694442"",""Table 3: 1st-line HC!BF5:BF111""), $A73=IMPORTRANGE(""https://docs.google.com/spreadsheets/d/1kGrh75X1cNR1D7_FcY9zMnHP8iP"&amp;"O4M5RCRjy6nZY0TY/edit#gid=1248694442"",""Table 3: 1st-line HC!A5:A111"")),"""")"),"")</f>
        <v/>
      </c>
      <c r="P73" s="20" t="str">
        <f>IFERROR(__xludf.DUMMYFUNCTION("IFNA(FILTER(IMPORTRANGE(""https://docs.google.com/spreadsheets/d/1kGrh75X1cNR1D7_FcY9zMnHP8iPO4M5RCRjy6nZY0TY/edit#gid=1248694442"",""Table 3: 1st-line HC!BG5:BG111""), $A73=IMPORTRANGE(""https://docs.google.com/spreadsheets/d/1kGrh75X1cNR1D7_FcY9zMnHP8iP"&amp;"O4M5RCRjy6nZY0TY/edit#gid=1248694442"",""Table 3: 1st-line HC!A5:A111"")),"""")"),"")</f>
        <v/>
      </c>
      <c r="Q73" s="21" t="str">
        <f>IFERROR(__xludf.DUMMYFUNCTION("IFNA(FILTER(IMPORTRANGE(""https://docs.google.com/spreadsheets/d/1kGrh75X1cNR1D7_FcY9zMnHP8iPO4M5RCRjy6nZY0TY/edit#gid=1248694442"",""Table 3: 1st-line HC!BH5:BH111""), $A73=IMPORTRANGE(""https://docs.google.com/spreadsheets/d/1kGrh75X1cNR1D7_FcY9zMnHP8iP"&amp;"O4M5RCRjy6nZY0TY/edit#gid=1248694442"",""Table 3: 1st-line HC!A5:A111"")),"""")"),"Wound dehiscence=2, CSF leak=2")</f>
        <v>Wound dehiscence=2, CSF leak=2</v>
      </c>
      <c r="R73" s="19" t="str">
        <f>IFERROR(__xludf.DUMMYFUNCTION("IFNA(FILTER(IMPORTRANGE(""https://docs.google.com/spreadsheets/d/1kGrh75X1cNR1D7_FcY9zMnHP8iPO4M5RCRjy6nZY0TY/edit#gid=1248694442"",""Table 3: 1st-line HC!AJ5:AJ111""), $A73=IMPORTRANGE(""https://docs.google.com/spreadsheets/d/1kGrh75X1cNR1D7_FcY9zMnHP8iP"&amp;"O4M5RCRjy6nZY0TY/edit#gid=1248694442"",""Table 3: 1st-line HC!A5:A111"")),"""")"),"")</f>
        <v/>
      </c>
      <c r="S73" s="20" t="str">
        <f>IFERROR(__xludf.DUMMYFUNCTION("IFNA(FILTER(IMPORTRANGE(""https://docs.google.com/spreadsheets/d/1kGrh75X1cNR1D7_FcY9zMnHP8iPO4M5RCRjy6nZY0TY/edit#gid=1248694442"",""Subgroup 3: Mi ~ Tx!B3:B17""), $A73=IMPORTRANGE(""https://docs.google.com/spreadsheets/d/1kGrh75X1cNR1D7_FcY9zMnHP8iPO4M5"&amp;"RCRjy6nZY0TY/edit#gid=1248694442"",""Subgroup 3: Mi ~ Tx!A3:A17"")),"""")"),"")</f>
        <v/>
      </c>
      <c r="T73" s="20" t="str">
        <f>IFERROR(__xludf.DUMMYFUNCTION("IFNA(FILTER(IMPORTRANGE(""https://docs.google.com/spreadsheets/d/1kGrh75X1cNR1D7_FcY9zMnHP8iPO4M5RCRjy6nZY0TY/edit#gid=1248694442"",""Subgroup 3: Mi ~ Tx!C3:C17""), $A73=IMPORTRANGE(""https://docs.google.com/spreadsheets/d/1kGrh75X1cNR1D7_FcY9zMnHP8iPO4M5"&amp;"RCRjy6nZY0TY/edit#gid=1248694442"",""Subgroup 3: Mi ~ Tx!A3:A17"")),"""")"),"")</f>
        <v/>
      </c>
      <c r="U73" s="20" t="str">
        <f>IFERROR(__xludf.DUMMYFUNCTION("IFNA(FILTER(IMPORTRANGE(""https://docs.google.com/spreadsheets/d/1kGrh75X1cNR1D7_FcY9zMnHP8iPO4M5RCRjy6nZY0TY/edit#gid=1248694442"",""Subgroup 3: Mi ~ Tx!D3:D17""), $A73=IMPORTRANGE(""https://docs.google.com/spreadsheets/d/1kGrh75X1cNR1D7_FcY9zMnHP8iPO4M5"&amp;"RCRjy6nZY0TY/edit#gid=1248694442"",""Subgroup 3: Mi ~ Tx!A3:A17"")),"""")"),"")</f>
        <v/>
      </c>
      <c r="V73" s="20" t="str">
        <f>IFERROR(__xludf.DUMMYFUNCTION("IFNA(FILTER(IMPORTRANGE(""https://docs.google.com/spreadsheets/d/1kGrh75X1cNR1D7_FcY9zMnHP8iPO4M5RCRjy6nZY0TY/edit#gid=1248694442"",""Subgroup 3: Mi ~ Tx!E3:E17""), $A73=IMPORTRANGE(""https://docs.google.com/spreadsheets/d/1kGrh75X1cNR1D7_FcY9zMnHP8iPO4M5"&amp;"RCRjy6nZY0TY/edit#gid=1248694442"",""Subgroup 3: Mi ~ Tx!A3:A17"")),"""")"),"")</f>
        <v/>
      </c>
      <c r="W73" s="20" t="str">
        <f>IFERROR(__xludf.DUMMYFUNCTION("IFNA(FILTER(IMPORTRANGE(""https://docs.google.com/spreadsheets/d/1kGrh75X1cNR1D7_FcY9zMnHP8iPO4M5RCRjy6nZY0TY/edit#gid=1248694442"",""Subgroup 3: Mi ~ Tx!F3:F17""), $A73=IMPORTRANGE(""https://docs.google.com/spreadsheets/d/1kGrh75X1cNR1D7_FcY9zMnHP8iPO4M5"&amp;"RCRjy6nZY0TY/edit#gid=1248694442"",""Subgroup 3: Mi ~ Tx!A3:A17"")),"""")"),"")</f>
        <v/>
      </c>
      <c r="X73" s="19" t="str">
        <f>IFERROR(__xludf.DUMMYFUNCTION("IFNA(FILTER(IMPORTRANGE(""https://docs.google.com/spreadsheets/d/1kGrh75X1cNR1D7_FcY9zMnHP8iPO4M5RCRjy6nZY0TY/edit#gid=1248694442"",""Table 3: 1st-line HC!AK5:AK111""), $A73=IMPORTRANGE(""https://docs.google.com/spreadsheets/d/1kGrh75X1cNR1D7_FcY9zMnHP8iP"&amp;"O4M5RCRjy6nZY0TY/edit#gid=1248694442"",""Table 3: 1st-line HC!A5:A111"")),"""")"),"")</f>
        <v/>
      </c>
      <c r="Y73" s="20" t="str">
        <f>IFERROR(__xludf.DUMMYFUNCTION("IFNA(FILTER(IMPORTRANGE(""https://docs.google.com/spreadsheets/d/1kGrh75X1cNR1D7_FcY9zMnHP8iPO4M5RCRjy6nZY0TY/edit#gid=1248694442"",""Subgroup 4: Mp ~ Tx!B3:B20""), $A73=IMPORTRANGE(""https://docs.google.com/spreadsheets/d/1kGrh75X1cNR1D7_FcY9zMnHP8iPO4M5"&amp;"RCRjy6nZY0TY/edit#gid=1248694442"",""Subgroup 4: Mp ~ Tx!A3:A20"")),"""")"),"")</f>
        <v/>
      </c>
      <c r="Z73" s="20" t="str">
        <f>IFERROR(__xludf.DUMMYFUNCTION("IFNA(FILTER(IMPORTRANGE(""https://docs.google.com/spreadsheets/d/1kGrh75X1cNR1D7_FcY9zMnHP8iPO4M5RCRjy6nZY0TY/edit#gid=1248694442"",""Subgroup 4: Mp ~ Tx!C3:C20""), $A73=IMPORTRANGE(""https://docs.google.com/spreadsheets/d/1kGrh75X1cNR1D7_FcY9zMnHP8iPO4M5"&amp;"RCRjy6nZY0TY/edit#gid=1248694442"",""Subgroup 4: Mp ~ Tx!A3:A20"")),"""")"),"")</f>
        <v/>
      </c>
      <c r="AA73" s="20" t="str">
        <f>IFERROR(__xludf.DUMMYFUNCTION("IFNA(FILTER(IMPORTRANGE(""https://docs.google.com/spreadsheets/d/1kGrh75X1cNR1D7_FcY9zMnHP8iPO4M5RCRjy6nZY0TY/edit#gid=1248694442"",""Subgroup 4: Mp ~ Tx!D3:D20""), $A73=IMPORTRANGE(""https://docs.google.com/spreadsheets/d/1kGrh75X1cNR1D7_FcY9zMnHP8iPO4M5"&amp;"RCRjy6nZY0TY/edit#gid=1248694442"",""Subgroup 4: Mp ~ Tx!A3:A20"")),"""")"),"")</f>
        <v/>
      </c>
      <c r="AB73" s="20" t="str">
        <f>IFERROR(__xludf.DUMMYFUNCTION("IFNA(FILTER(IMPORTRANGE(""https://docs.google.com/spreadsheets/d/1kGrh75X1cNR1D7_FcY9zMnHP8iPO4M5RCRjy6nZY0TY/edit#gid=1248694442"",""Subgroup 4: Mp ~ Tx!E3:E20""), $A73=IMPORTRANGE(""https://docs.google.com/spreadsheets/d/1kGrh75X1cNR1D7_FcY9zMnHP8iPO4M5"&amp;"RCRjy6nZY0TY/edit#gid=1248694442"",""Subgroup 4: Mp ~ Tx!A3:A20"")),"""")"),"")</f>
        <v/>
      </c>
      <c r="AC73" s="20" t="str">
        <f>IFERROR(__xludf.DUMMYFUNCTION("IFNA(FILTER(IMPORTRANGE(""https://docs.google.com/spreadsheets/d/1kGrh75X1cNR1D7_FcY9zMnHP8iPO4M5RCRjy6nZY0TY/edit#gid=1248694442"",""Subgroup 4: Mp ~ Tx!F3:F20""), $A73=IMPORTRANGE(""https://docs.google.com/spreadsheets/d/1kGrh75X1cNR1D7_FcY9zMnHP8iPO4M5"&amp;"RCRjy6nZY0TY/edit#gid=1248694442"",""Subgroup 4: Mp ~ Tx!A3:A20"")),"""")"),"")</f>
        <v/>
      </c>
      <c r="AD73" s="22" t="str">
        <f>IFERROR(__xludf.DUMMYFUNCTION("IFNA(FILTER(IMPORTRANGE(""https://docs.google.com/spreadsheets/d/1kGrh75X1cNR1D7_FcY9zMnHP8iPO4M5RCRjy6nZY0TY/edit#gid=1248694442"",""Table 3: 1st-line HC!AL5:AL111""), $A73=IMPORTRANGE(""https://docs.google.com/spreadsheets/d/1kGrh75X1cNR1D7_FcY9zMnHP8iP"&amp;"O4M5RCRjy6nZY0TY/edit#gid=1248694442"",""Table 3: 1st-line HC!A5:A111"")),"""")"),"")</f>
        <v/>
      </c>
      <c r="AE73" s="20" t="str">
        <f>IFERROR(__xludf.DUMMYFUNCTION("IFNA(FILTER(IMPORTRANGE(""https://docs.google.com/spreadsheets/d/1kGrh75X1cNR1D7_FcY9zMnHP8iPO4M5RCRjy6nZY0TY/edit#gid=1248694442"",""Table 3: 1st-line HC!BJ5:BJ111""), $A73=IMPORTRANGE(""https://docs.google.com/spreadsheets/d/1kGrh75X1cNR1D7_FcY9zMnHP8iP"&amp;"O4M5RCRjy6nZY0TY/edit#gid=1248694442"",""Table 3: 1st-line HC!A5:A111"")),"""")"),"")</f>
        <v/>
      </c>
      <c r="AF73" s="20" t="str">
        <f>IFERROR(__xludf.DUMMYFUNCTION("IFNA(FILTER(IMPORTRANGE(""https://docs.google.com/spreadsheets/d/1kGrh75X1cNR1D7_FcY9zMnHP8iPO4M5RCRjy6nZY0TY/edit#gid=1248694442"",""Subgroup 2: Cr ~ Tx!B3:B23""), $A73=IMPORTRANGE(""https://docs.google.com/spreadsheets/d/1kGrh75X1cNR1D7_FcY9zMnHP8iPO4M5"&amp;"RCRjy6nZY0TY/edit#gid=1248694442"",""Subgroup 2: Cr ~ Tx!A3:A23"")),"""")"),"")</f>
        <v/>
      </c>
      <c r="AG73" s="20" t="str">
        <f>IFERROR(__xludf.DUMMYFUNCTION("IFNA(FILTER(IMPORTRANGE(""https://docs.google.com/spreadsheets/d/1kGrh75X1cNR1D7_FcY9zMnHP8iPO4M5RCRjy6nZY0TY/edit#gid=1248694442"",""Subgroup 2: Cr ~ Tx!C3:C23""), $A73=IMPORTRANGE(""https://docs.google.com/spreadsheets/d/1kGrh75X1cNR1D7_FcY9zMnHP8iPO4M5"&amp;"RCRjy6nZY0TY/edit#gid=1248694442"",""Subgroup 2: Cr ~ Tx!A3:A23"")),"""")"),"")</f>
        <v/>
      </c>
      <c r="AH73" s="20" t="str">
        <f>IFERROR(__xludf.DUMMYFUNCTION("IFNA(FILTER(IMPORTRANGE(""https://docs.google.com/spreadsheets/d/1kGrh75X1cNR1D7_FcY9zMnHP8iPO4M5RCRjy6nZY0TY/edit#gid=1248694442"",""Subgroup 2: Cr ~ Tx!D3:D23""), $A73=IMPORTRANGE(""https://docs.google.com/spreadsheets/d/1kGrh75X1cNR1D7_FcY9zMnHP8iPO4M5"&amp;"RCRjy6nZY0TY/edit#gid=1248694442"",""Subgroup 2: Cr ~ Tx!A3:A23"")),"""")"),"")</f>
        <v/>
      </c>
      <c r="AI73" s="20" t="str">
        <f>IFERROR(__xludf.DUMMYFUNCTION("IFNA(FILTER(IMPORTRANGE(""https://docs.google.com/spreadsheets/d/1kGrh75X1cNR1D7_FcY9zMnHP8iPO4M5RCRjy6nZY0TY/edit#gid=1248694442"",""Subgroup 2: Cr ~ Tx!E3:E23""), $A73=IMPORTRANGE(""https://docs.google.com/spreadsheets/d/1kGrh75X1cNR1D7_FcY9zMnHP8iPO4M5"&amp;"RCRjy6nZY0TY/edit#gid=1248694442"",""Subgroup 2: Cr ~ Tx!A3:A23"")),"""")"),"")</f>
        <v/>
      </c>
      <c r="AJ73" s="20" t="str">
        <f>IFERROR(__xludf.DUMMYFUNCTION("IFNA(FILTER(IMPORTRANGE(""https://docs.google.com/spreadsheets/d/1kGrh75X1cNR1D7_FcY9zMnHP8iPO4M5RCRjy6nZY0TY/edit#gid=1248694442"",""Subgroup 2: Cr ~ Tx!F3:F23""), $A73=IMPORTRANGE(""https://docs.google.com/spreadsheets/d/1kGrh75X1cNR1D7_FcY9zMnHP8iPO4M5"&amp;"RCRjy6nZY0TY/edit#gid=1248694442"",""Subgroup 2: Cr ~ Tx!A3:A23"")),"""")"),"")</f>
        <v/>
      </c>
      <c r="AK73" s="14" t="str">
        <f>IFERROR(__xludf.DUMMYFUNCTION("IFNA(FILTER(IMPORTRANGE(""https://docs.google.com/spreadsheets/d/1kGrh75X1cNR1D7_FcY9zMnHP8iPO4M5RCRjy6nZY0TY/edit#gid=1248694442"",""Table 4: 2nd-line HC or more!M5:M85""), $A73=IMPORTRANGE(""https://docs.google.com/spreadsheets/d/1kGrh75X1cNR1D7_FcY9zMn"&amp;"HP8iPO4M5RCRjy6nZY0TY/edit#gid=1248694442"",""Table 4: 2nd-line HC or more!A5:A85"")),"""")"),"")</f>
        <v/>
      </c>
      <c r="AL73" s="14" t="str">
        <f>IFERROR(__xludf.DUMMYFUNCTION("IFNA(FILTER(IMPORTRANGE(""https://docs.google.com/spreadsheets/d/1kGrh75X1cNR1D7_FcY9zMnHP8iPO4M5RCRjy6nZY0TY/edit#gid=1248694442"",""Table 4: 2nd-line HC or more!N5:N85""), $A73=IMPORTRANGE(""https://docs.google.com/spreadsheets/d/1kGrh75X1cNR1D7_FcY9zMn"&amp;"HP8iPO4M5RCRjy6nZY0TY/edit#gid=1248694442"",""Table 4: 2nd-line HC or more!A5:A85"")),"""")"),"")</f>
        <v/>
      </c>
      <c r="AM73" s="14" t="str">
        <f>IFERROR(__xludf.DUMMYFUNCTION("IFNA(FILTER(IMPORTRANGE(""https://docs.google.com/spreadsheets/d/1kGrh75X1cNR1D7_FcY9zMnHP8iPO4M5RCRjy6nZY0TY/edit#gid=1248694442"",""Table 4: 2nd-line HC or more!O5:O85""), $A73=IMPORTRANGE(""https://docs.google.com/spreadsheets/d/1kGrh75X1cNR1D7_FcY9zMn"&amp;"HP8iPO4M5RCRjy6nZY0TY/edit#gid=1248694442"",""Table 4: 2nd-line HC or more!A5:A85"")),"""")"),"")</f>
        <v/>
      </c>
      <c r="AN73" s="14" t="str">
        <f>IFERROR(__xludf.DUMMYFUNCTION("IFNA(FILTER(IMPORTRANGE(""https://docs.google.com/spreadsheets/d/1kGrh75X1cNR1D7_FcY9zMnHP8iPO4M5RCRjy6nZY0TY/edit#gid=1248694442"",""Table 3: 1st-line HC!AP5:AP111""), $A73=IMPORTRANGE(""https://docs.google.com/spreadsheets/d/1kGrh75X1cNR1D7_FcY9zMnHP8iP"&amp;"O4M5RCRjy6nZY0TY/edit#gid=1248694442"",""Table 3: 1st-line HC!A5:A111"")),"""")"),"")</f>
        <v/>
      </c>
      <c r="AO73" s="14" t="str">
        <f>IFERROR(__xludf.DUMMYFUNCTION("IFNA(FILTER(IMPORTRANGE(""https://docs.google.com/spreadsheets/d/1kGrh75X1cNR1D7_FcY9zMnHP8iPO4M5RCRjy6nZY0TY/edit#gid=1248694442"",""Table 3: 1st-line HC!AO5:AO111""), $A73=IMPORTRANGE(""https://docs.google.com/spreadsheets/d/1kGrh75X1cNR1D7_FcY9zMnHP8iP"&amp;"O4M5RCRjy6nZY0TY/edit#gid=1248694442"",""Table 3: 1st-line HC!A5:A111"")),"""")"),"")</f>
        <v/>
      </c>
      <c r="AP73" s="14">
        <f>IFERROR(__xludf.DUMMYFUNCTION("IFNA(FILTER(IMPORTRANGE(""https://docs.google.com/spreadsheets/d/1kGrh75X1cNR1D7_FcY9zMnHP8iPO4M5RCRjy6nZY0TY/edit#gid=1248694442"",""Table 3: 1st-line HC!AQ5:AQ111""), $A73=IMPORTRANGE(""https://docs.google.com/spreadsheets/d/1kGrh75X1cNR1D7_FcY9zMnHP8iP"&amp;"O4M5RCRjy6nZY0TY/edit#gid=1248694442"",""Table 3: 1st-line HC!A5:A111"")),"""")"),9.0)</f>
        <v>9</v>
      </c>
      <c r="AQ73" s="14" t="str">
        <f>IFERROR(__xludf.DUMMYFUNCTION("IFNA(FILTER(IMPORTRANGE(""https://docs.google.com/spreadsheets/d/1kGrh75X1cNR1D7_FcY9zMnHP8iPO4M5RCRjy6nZY0TY/edit#gid=1248694442"",""Table 2: MMC!T5:T114""), $A73=IMPORTRANGE(""https://docs.google.com/spreadsheets/d/1kGrh75X1cNR1D7_FcY9zMnHP8iPO4M5RCRjy6"&amp;"nZY0TY/edit#gid=1248694442"",""Table 2: MMC!A5:A114"")),"""")"),"")</f>
        <v/>
      </c>
      <c r="AR73" s="14" t="str">
        <f>IFERROR(__xludf.DUMMYFUNCTION("IFNA(FILTER(IMPORTRANGE(""https://docs.google.com/spreadsheets/d/1kGrh75X1cNR1D7_FcY9zMnHP8iPO4M5RCRjy6nZY0TY/edit#gid=1248694442"",""Table 2: MMC!U5:U114""), $A73=IMPORTRANGE(""https://docs.google.com/spreadsheets/d/1kGrh75X1cNR1D7_FcY9zMnHP8iPO4M5RCRjy6"&amp;"nZY0TY/edit#gid=1248694442"",""Table 2: MMC!A5:A114"")),"""")"),"")</f>
        <v/>
      </c>
      <c r="AS73" s="14" t="str">
        <f>IFERROR(__xludf.DUMMYFUNCTION("IFNA(FILTER(IMPORTRANGE(""https://docs.google.com/spreadsheets/d/1kGrh75X1cNR1D7_FcY9zMnHP8iPO4M5RCRjy6nZY0TY/edit#gid=1248694442"",""Table 2: MMC!V5:V114""), $A73=IMPORTRANGE(""https://docs.google.com/spreadsheets/d/1kGrh75X1cNR1D7_FcY9zMnHP8iPO4M5RCRjy6"&amp;"nZY0TY/edit#gid=1248694442"",""Table 2: MMC!A5:A114"")),"""")"),"")</f>
        <v/>
      </c>
      <c r="AT73" s="4" t="str">
        <f>IFERROR(__xludf.DUMMYFUNCTION("IFNA(FILTER(IMPORTRANGE(""https://docs.google.com/spreadsheets/d/1kGrh75X1cNR1D7_FcY9zMnHP8iPO4M5RCRjy6nZY0TY/edit#gid=1248694442"",""Table 2: MMC!W5:W114""), $A73=IMPORTRANGE(""https://docs.google.com/spreadsheets/d/1kGrh75X1cNR1D7_FcY9zMnHP8iPO4M5RCRjy6"&amp;"nZY0TY/edit#gid=1248694442"",""Table 2: MMC!A5:A114"")),"""")"),"")</f>
        <v/>
      </c>
    </row>
    <row r="74">
      <c r="A74" s="4" t="str">
        <f>IFERROR(__xludf.DUMMYFUNCTION("""COMPUTED_VALUE"""),"ID 160")</f>
        <v>ID 160</v>
      </c>
      <c r="B74" s="20" t="str">
        <f>IFERROR(__xludf.DUMMYFUNCTION("IFNA(FILTER(IMPORTRANGE(""https://docs.google.com/spreadsheets/d/1kGrh75X1cNR1D7_FcY9zMnHP8iPO4M5RCRjy6nZY0TY/edit#gid=1248694442"",""Table 3: 1st-line HC!BK5:BK111""), $A74=IMPORTRANGE(""https://docs.google.com/spreadsheets/d/1kGrh75X1cNR1D7_FcY9zMnHP8iP"&amp;"O4M5RCRjy6nZY0TY/edit#gid=1248694442"",""Table 3: 1st-line HC!A5:A111"")),"""")"),"")</f>
        <v/>
      </c>
      <c r="C74" s="20" t="str">
        <f>IFERROR(__xludf.DUMMYFUNCTION("IFNA(FILTER(IMPORTRANGE(""https://docs.google.com/spreadsheets/d/1kGrh75X1cNR1D7_FcY9zMnHP8iPO4M5RCRjy6nZY0TY/edit#gid=1248694442"",""Subgroup 1: Fr ~ Tx!B3:B20""), $A74=IMPORTRANGE(""https://docs.google.com/spreadsheets/d/1kGrh75X1cNR1D7_FcY9zMnHP8iPO4M5"&amp;"RCRjy6nZY0TY/edit#gid=1248694442"",""Subgroup 1: Fr ~ Tx!A3:A20"")),"""")"),"")</f>
        <v/>
      </c>
      <c r="D74" s="20" t="str">
        <f>IFERROR(__xludf.DUMMYFUNCTION("IFNA(FILTER(IMPORTRANGE(""https://docs.google.com/spreadsheets/d/1kGrh75X1cNR1D7_FcY9zMnHP8iPO4M5RCRjy6nZY0TY/edit#gid=1248694442"",""Subgroup 1: Fr ~ Tx!C3:C20""), $A74=IMPORTRANGE(""https://docs.google.com/spreadsheets/d/1kGrh75X1cNR1D7_FcY9zMnHP8iPO4M5"&amp;"RCRjy6nZY0TY/edit#gid=1248694442"",""Subgroup 1: Fr ~ Tx!A3:A20"")),"""")"),"")</f>
        <v/>
      </c>
      <c r="E74" s="20" t="str">
        <f>IFERROR(__xludf.DUMMYFUNCTION("IFNA(FILTER(IMPORTRANGE(""https://docs.google.com/spreadsheets/d/1kGrh75X1cNR1D7_FcY9zMnHP8iPO4M5RCRjy6nZY0TY/edit#gid=1248694442"",""Subgroup 1: Fr ~ Tx!D3:D20""), $A74=IMPORTRANGE(""https://docs.google.com/spreadsheets/d/1kGrh75X1cNR1D7_FcY9zMnHP8iPO4M5"&amp;"RCRjy6nZY0TY/edit#gid=1248694442"",""Subgroup 1: Fr ~ Tx!A3:A20"")),"""")"),"")</f>
        <v/>
      </c>
      <c r="F74" s="20" t="str">
        <f>IFERROR(__xludf.DUMMYFUNCTION("IFNA(FILTER(IMPORTRANGE(""https://docs.google.com/spreadsheets/d/1kGrh75X1cNR1D7_FcY9zMnHP8iPO4M5RCRjy6nZY0TY/edit#gid=1248694442"",""Subgroup 1: Fr ~ Tx!E3:E20""), $A74=IMPORTRANGE(""https://docs.google.com/spreadsheets/d/1kGrh75X1cNR1D7_FcY9zMnHP8iPO4M5"&amp;"RCRjy6nZY0TY/edit#gid=1248694442"",""Subgroup 1: Fr ~ Tx!A3:A20"")),"""")"),"")</f>
        <v/>
      </c>
      <c r="G74" s="20" t="str">
        <f>IFERROR(__xludf.DUMMYFUNCTION("IFNA(FILTER(IMPORTRANGE(""https://docs.google.com/spreadsheets/d/1kGrh75X1cNR1D7_FcY9zMnHP8iPO4M5RCRjy6nZY0TY/edit#gid=1248694442"",""Subgroup 1: Fr ~ Tx!F3:F20""), $A74=IMPORTRANGE(""https://docs.google.com/spreadsheets/d/1kGrh75X1cNR1D7_FcY9zMnHP8iPO4M5"&amp;"RCRjy6nZY0TY/edit#gid=1248694442"",""Subgroup 1: Fr ~ Tx!A3:A20"")),"""")"),"")</f>
        <v/>
      </c>
      <c r="H74" s="20" t="str">
        <f>IFERROR(__xludf.DUMMYFUNCTION("IFNA(FILTER(IMPORTRANGE(""https://docs.google.com/spreadsheets/d/1kGrh75X1cNR1D7_FcY9zMnHP8iPO4M5RCRjy6nZY0TY/edit#gid=1248694442"",""Table 3: 1st-line HC!BD5:BD111""), $A74=IMPORTRANGE(""https://docs.google.com/spreadsheets/d/1kGrh75X1cNR1D7_FcY9zMnHP8iP"&amp;"O4M5RCRjy6nZY0TY/edit#gid=1248694442"",""Table 3: 1st-line HC!A5:A111"")),"""")"),"")</f>
        <v/>
      </c>
      <c r="I74" s="20" t="str">
        <f>IFERROR(__xludf.DUMMYFUNCTION("IFNA(FILTER(IMPORTRANGE(""https://docs.google.com/spreadsheets/d/1kGrh75X1cNR1D7_FcY9zMnHP8iPO4M5RCRjy6nZY0TY/edit#gid=1248694442"",""Subgroup 5: Tf ~ Tx!B3:B8""), $A74=IMPORTRANGE(""https://docs.google.com/spreadsheets/d/1kGrh75X1cNR1D7_FcY9zMnHP8iPO4M5R"&amp;"CRjy6nZY0TY/edit#gid=1248694442"",""Subgroup 5: Tf ~ Tx!A3:A8"")),"""")"),"")</f>
        <v/>
      </c>
      <c r="J74" s="20" t="str">
        <f>IFERROR(__xludf.DUMMYFUNCTION("IFNA(FILTER(IMPORTRANGE(""https://docs.google.com/spreadsheets/d/1kGrh75X1cNR1D7_FcY9zMnHP8iPO4M5RCRjy6nZY0TY/edit#gid=1248694442"",""Subgroup 5: Tf ~ Tx!C3:C8""), $A74=IMPORTRANGE(""https://docs.google.com/spreadsheets/d/1kGrh75X1cNR1D7_FcY9zMnHP8iPO4M5R"&amp;"CRjy6nZY0TY/edit#gid=1248694442"",""Subgroup 5: Tf ~ Tx!A3:A8"")),"""")"),"")</f>
        <v/>
      </c>
      <c r="K74" s="20" t="str">
        <f>IFERROR(__xludf.DUMMYFUNCTION("IFNA(FILTER(IMPORTRANGE(""https://docs.google.com/spreadsheets/d/1kGrh75X1cNR1D7_FcY9zMnHP8iPO4M5RCRjy6nZY0TY/edit#gid=1248694442"",""Subgroup 5: Tf ~ Tx!D3:D8""), $A74=IMPORTRANGE(""https://docs.google.com/spreadsheets/d/1kGrh75X1cNR1D7_FcY9zMnHP8iPO4M5R"&amp;"CRjy6nZY0TY/edit#gid=1248694442"",""Subgroup 5: Tf ~ Tx!A3:A8"")),"""")"),"")</f>
        <v/>
      </c>
      <c r="L74" s="20" t="str">
        <f>IFERROR(__xludf.DUMMYFUNCTION("IFNA(FILTER(IMPORTRANGE(""https://docs.google.com/spreadsheets/d/1kGrh75X1cNR1D7_FcY9zMnHP8iPO4M5RCRjy6nZY0TY/edit#gid=1248694442"",""Subgroup 5: Tf ~ Tx!E3:E8""), $A74=IMPORTRANGE(""https://docs.google.com/spreadsheets/d/1kGrh75X1cNR1D7_FcY9zMnHP8iPO4M5R"&amp;"CRjy6nZY0TY/edit#gid=1248694442"",""Subgroup 5: Tf ~ Tx!A3:A8"")),"""")"),"")</f>
        <v/>
      </c>
      <c r="M74" s="20" t="str">
        <f>IFERROR(__xludf.DUMMYFUNCTION("IFNA(FILTER(IMPORTRANGE(""https://docs.google.com/spreadsheets/d/1kGrh75X1cNR1D7_FcY9zMnHP8iPO4M5RCRjy6nZY0TY/edit#gid=1248694442"",""Subgroup 5: Tf ~ Tx!F3:F8""), $A74=IMPORTRANGE(""https://docs.google.com/spreadsheets/d/1kGrh75X1cNR1D7_FcY9zMnHP8iPO4M5R"&amp;"CRjy6nZY0TY/edit#gid=1248694442"",""Subgroup 5: Tf ~ Tx!A3:A8"")),"""")"),"")</f>
        <v/>
      </c>
      <c r="N74" s="20" t="str">
        <f>IFERROR(__xludf.DUMMYFUNCTION("IFNA(FILTER(IMPORTRANGE(""https://docs.google.com/spreadsheets/d/1kGrh75X1cNR1D7_FcY9zMnHP8iPO4M5RCRjy6nZY0TY/edit#gid=1248694442"",""Table 3: 1st-line HC!BE5:BE111""), $A74=IMPORTRANGE(""https://docs.google.com/spreadsheets/d/1kGrh75X1cNR1D7_FcY9zMnHP8iP"&amp;"O4M5RCRjy6nZY0TY/edit#gid=1248694442"",""Table 3: 1st-line HC!A5:A111"")),"""")"),"")</f>
        <v/>
      </c>
      <c r="O74" s="20" t="str">
        <f>IFERROR(__xludf.DUMMYFUNCTION("IFNA(FILTER(IMPORTRANGE(""https://docs.google.com/spreadsheets/d/1kGrh75X1cNR1D7_FcY9zMnHP8iPO4M5RCRjy6nZY0TY/edit#gid=1248694442"",""Table 3: 1st-line HC!BF5:BF111""), $A74=IMPORTRANGE(""https://docs.google.com/spreadsheets/d/1kGrh75X1cNR1D7_FcY9zMnHP8iP"&amp;"O4M5RCRjy6nZY0TY/edit#gid=1248694442"",""Table 3: 1st-line HC!A5:A111"")),"""")"),"")</f>
        <v/>
      </c>
      <c r="P74" s="20" t="str">
        <f>IFERROR(__xludf.DUMMYFUNCTION("IFNA(FILTER(IMPORTRANGE(""https://docs.google.com/spreadsheets/d/1kGrh75X1cNR1D7_FcY9zMnHP8iPO4M5RCRjy6nZY0TY/edit#gid=1248694442"",""Table 3: 1st-line HC!BG5:BG111""), $A74=IMPORTRANGE(""https://docs.google.com/spreadsheets/d/1kGrh75X1cNR1D7_FcY9zMnHP8iP"&amp;"O4M5RCRjy6nZY0TY/edit#gid=1248694442"",""Table 3: 1st-line HC!A5:A111"")),"""")"),"")</f>
        <v/>
      </c>
      <c r="Q74" s="21" t="str">
        <f>IFERROR(__xludf.DUMMYFUNCTION("IFNA(FILTER(IMPORTRANGE(""https://docs.google.com/spreadsheets/d/1kGrh75X1cNR1D7_FcY9zMnHP8iPO4M5RCRjy6nZY0TY/edit#gid=1248694442"",""Table 3: 1st-line HC!BH5:BH111""), $A74=IMPORTRANGE(""https://docs.google.com/spreadsheets/d/1kGrh75X1cNR1D7_FcY9zMnHP8iP"&amp;"O4M5RCRjy6nZY0TY/edit#gid=1248694442"",""Table 3: 1st-line HC!A5:A111"")),"""")"),"")</f>
        <v/>
      </c>
      <c r="R74" s="19" t="str">
        <f>IFERROR(__xludf.DUMMYFUNCTION("IFNA(FILTER(IMPORTRANGE(""https://docs.google.com/spreadsheets/d/1kGrh75X1cNR1D7_FcY9zMnHP8iPO4M5RCRjy6nZY0TY/edit#gid=1248694442"",""Table 3: 1st-line HC!AJ5:AJ111""), $A74=IMPORTRANGE(""https://docs.google.com/spreadsheets/d/1kGrh75X1cNR1D7_FcY9zMnHP8iP"&amp;"O4M5RCRjy6nZY0TY/edit#gid=1248694442"",""Table 3: 1st-line HC!A5:A111"")),"""")"),"")</f>
        <v/>
      </c>
      <c r="S74" s="20" t="str">
        <f>IFERROR(__xludf.DUMMYFUNCTION("IFNA(FILTER(IMPORTRANGE(""https://docs.google.com/spreadsheets/d/1kGrh75X1cNR1D7_FcY9zMnHP8iPO4M5RCRjy6nZY0TY/edit#gid=1248694442"",""Subgroup 3: Mi ~ Tx!B3:B17""), $A74=IMPORTRANGE(""https://docs.google.com/spreadsheets/d/1kGrh75X1cNR1D7_FcY9zMnHP8iPO4M5"&amp;"RCRjy6nZY0TY/edit#gid=1248694442"",""Subgroup 3: Mi ~ Tx!A3:A17"")),"""")"),"")</f>
        <v/>
      </c>
      <c r="T74" s="20" t="str">
        <f>IFERROR(__xludf.DUMMYFUNCTION("IFNA(FILTER(IMPORTRANGE(""https://docs.google.com/spreadsheets/d/1kGrh75X1cNR1D7_FcY9zMnHP8iPO4M5RCRjy6nZY0TY/edit#gid=1248694442"",""Subgroup 3: Mi ~ Tx!C3:C17""), $A74=IMPORTRANGE(""https://docs.google.com/spreadsheets/d/1kGrh75X1cNR1D7_FcY9zMnHP8iPO4M5"&amp;"RCRjy6nZY0TY/edit#gid=1248694442"",""Subgroup 3: Mi ~ Tx!A3:A17"")),"""")"),"")</f>
        <v/>
      </c>
      <c r="U74" s="20" t="str">
        <f>IFERROR(__xludf.DUMMYFUNCTION("IFNA(FILTER(IMPORTRANGE(""https://docs.google.com/spreadsheets/d/1kGrh75X1cNR1D7_FcY9zMnHP8iPO4M5RCRjy6nZY0TY/edit#gid=1248694442"",""Subgroup 3: Mi ~ Tx!D3:D17""), $A74=IMPORTRANGE(""https://docs.google.com/spreadsheets/d/1kGrh75X1cNR1D7_FcY9zMnHP8iPO4M5"&amp;"RCRjy6nZY0TY/edit#gid=1248694442"",""Subgroup 3: Mi ~ Tx!A3:A17"")),"""")"),"")</f>
        <v/>
      </c>
      <c r="V74" s="20" t="str">
        <f>IFERROR(__xludf.DUMMYFUNCTION("IFNA(FILTER(IMPORTRANGE(""https://docs.google.com/spreadsheets/d/1kGrh75X1cNR1D7_FcY9zMnHP8iPO4M5RCRjy6nZY0TY/edit#gid=1248694442"",""Subgroup 3: Mi ~ Tx!E3:E17""), $A74=IMPORTRANGE(""https://docs.google.com/spreadsheets/d/1kGrh75X1cNR1D7_FcY9zMnHP8iPO4M5"&amp;"RCRjy6nZY0TY/edit#gid=1248694442"",""Subgroup 3: Mi ~ Tx!A3:A17"")),"""")"),"")</f>
        <v/>
      </c>
      <c r="W74" s="20" t="str">
        <f>IFERROR(__xludf.DUMMYFUNCTION("IFNA(FILTER(IMPORTRANGE(""https://docs.google.com/spreadsheets/d/1kGrh75X1cNR1D7_FcY9zMnHP8iPO4M5RCRjy6nZY0TY/edit#gid=1248694442"",""Subgroup 3: Mi ~ Tx!F3:F17""), $A74=IMPORTRANGE(""https://docs.google.com/spreadsheets/d/1kGrh75X1cNR1D7_FcY9zMnHP8iPO4M5"&amp;"RCRjy6nZY0TY/edit#gid=1248694442"",""Subgroup 3: Mi ~ Tx!A3:A17"")),"""")"),"")</f>
        <v/>
      </c>
      <c r="X74" s="19" t="str">
        <f>IFERROR(__xludf.DUMMYFUNCTION("IFNA(FILTER(IMPORTRANGE(""https://docs.google.com/spreadsheets/d/1kGrh75X1cNR1D7_FcY9zMnHP8iPO4M5RCRjy6nZY0TY/edit#gid=1248694442"",""Table 3: 1st-line HC!AK5:AK111""), $A74=IMPORTRANGE(""https://docs.google.com/spreadsheets/d/1kGrh75X1cNR1D7_FcY9zMnHP8iP"&amp;"O4M5RCRjy6nZY0TY/edit#gid=1248694442"",""Table 3: 1st-line HC!A5:A111"")),"""")"),"")</f>
        <v/>
      </c>
      <c r="Y74" s="20" t="str">
        <f>IFERROR(__xludf.DUMMYFUNCTION("IFNA(FILTER(IMPORTRANGE(""https://docs.google.com/spreadsheets/d/1kGrh75X1cNR1D7_FcY9zMnHP8iPO4M5RCRjy6nZY0TY/edit#gid=1248694442"",""Subgroup 4: Mp ~ Tx!B3:B20""), $A74=IMPORTRANGE(""https://docs.google.com/spreadsheets/d/1kGrh75X1cNR1D7_FcY9zMnHP8iPO4M5"&amp;"RCRjy6nZY0TY/edit#gid=1248694442"",""Subgroup 4: Mp ~ Tx!A3:A20"")),"""")"),"")</f>
        <v/>
      </c>
      <c r="Z74" s="20" t="str">
        <f>IFERROR(__xludf.DUMMYFUNCTION("IFNA(FILTER(IMPORTRANGE(""https://docs.google.com/spreadsheets/d/1kGrh75X1cNR1D7_FcY9zMnHP8iPO4M5RCRjy6nZY0TY/edit#gid=1248694442"",""Subgroup 4: Mp ~ Tx!C3:C20""), $A74=IMPORTRANGE(""https://docs.google.com/spreadsheets/d/1kGrh75X1cNR1D7_FcY9zMnHP8iPO4M5"&amp;"RCRjy6nZY0TY/edit#gid=1248694442"",""Subgroup 4: Mp ~ Tx!A3:A20"")),"""")"),"")</f>
        <v/>
      </c>
      <c r="AA74" s="20" t="str">
        <f>IFERROR(__xludf.DUMMYFUNCTION("IFNA(FILTER(IMPORTRANGE(""https://docs.google.com/spreadsheets/d/1kGrh75X1cNR1D7_FcY9zMnHP8iPO4M5RCRjy6nZY0TY/edit#gid=1248694442"",""Subgroup 4: Mp ~ Tx!D3:D20""), $A74=IMPORTRANGE(""https://docs.google.com/spreadsheets/d/1kGrh75X1cNR1D7_FcY9zMnHP8iPO4M5"&amp;"RCRjy6nZY0TY/edit#gid=1248694442"",""Subgroup 4: Mp ~ Tx!A3:A20"")),"""")"),"")</f>
        <v/>
      </c>
      <c r="AB74" s="20" t="str">
        <f>IFERROR(__xludf.DUMMYFUNCTION("IFNA(FILTER(IMPORTRANGE(""https://docs.google.com/spreadsheets/d/1kGrh75X1cNR1D7_FcY9zMnHP8iPO4M5RCRjy6nZY0TY/edit#gid=1248694442"",""Subgroup 4: Mp ~ Tx!E3:E20""), $A74=IMPORTRANGE(""https://docs.google.com/spreadsheets/d/1kGrh75X1cNR1D7_FcY9zMnHP8iPO4M5"&amp;"RCRjy6nZY0TY/edit#gid=1248694442"",""Subgroup 4: Mp ~ Tx!A3:A20"")),"""")"),"")</f>
        <v/>
      </c>
      <c r="AC74" s="20" t="str">
        <f>IFERROR(__xludf.DUMMYFUNCTION("IFNA(FILTER(IMPORTRANGE(""https://docs.google.com/spreadsheets/d/1kGrh75X1cNR1D7_FcY9zMnHP8iPO4M5RCRjy6nZY0TY/edit#gid=1248694442"",""Subgroup 4: Mp ~ Tx!F3:F20""), $A74=IMPORTRANGE(""https://docs.google.com/spreadsheets/d/1kGrh75X1cNR1D7_FcY9zMnHP8iPO4M5"&amp;"RCRjy6nZY0TY/edit#gid=1248694442"",""Subgroup 4: Mp ~ Tx!A3:A20"")),"""")"),"")</f>
        <v/>
      </c>
      <c r="AD74" s="22" t="str">
        <f>IFERROR(__xludf.DUMMYFUNCTION("IFNA(FILTER(IMPORTRANGE(""https://docs.google.com/spreadsheets/d/1kGrh75X1cNR1D7_FcY9zMnHP8iPO4M5RCRjy6nZY0TY/edit#gid=1248694442"",""Table 3: 1st-line HC!AL5:AL111""), $A74=IMPORTRANGE(""https://docs.google.com/spreadsheets/d/1kGrh75X1cNR1D7_FcY9zMnHP8iP"&amp;"O4M5RCRjy6nZY0TY/edit#gid=1248694442"",""Table 3: 1st-line HC!A5:A111"")),"""")"),"")</f>
        <v/>
      </c>
      <c r="AE74" s="20" t="str">
        <f>IFERROR(__xludf.DUMMYFUNCTION("IFNA(FILTER(IMPORTRANGE(""https://docs.google.com/spreadsheets/d/1kGrh75X1cNR1D7_FcY9zMnHP8iPO4M5RCRjy6nZY0TY/edit#gid=1248694442"",""Table 3: 1st-line HC!BJ5:BJ111""), $A74=IMPORTRANGE(""https://docs.google.com/spreadsheets/d/1kGrh75X1cNR1D7_FcY9zMnHP8iP"&amp;"O4M5RCRjy6nZY0TY/edit#gid=1248694442"",""Table 3: 1st-line HC!A5:A111"")),"""")"),"")</f>
        <v/>
      </c>
      <c r="AF74" s="20" t="str">
        <f>IFERROR(__xludf.DUMMYFUNCTION("IFNA(FILTER(IMPORTRANGE(""https://docs.google.com/spreadsheets/d/1kGrh75X1cNR1D7_FcY9zMnHP8iPO4M5RCRjy6nZY0TY/edit#gid=1248694442"",""Subgroup 2: Cr ~ Tx!B3:B23""), $A74=IMPORTRANGE(""https://docs.google.com/spreadsheets/d/1kGrh75X1cNR1D7_FcY9zMnHP8iPO4M5"&amp;"RCRjy6nZY0TY/edit#gid=1248694442"",""Subgroup 2: Cr ~ Tx!A3:A23"")),"""")"),"")</f>
        <v/>
      </c>
      <c r="AG74" s="20" t="str">
        <f>IFERROR(__xludf.DUMMYFUNCTION("IFNA(FILTER(IMPORTRANGE(""https://docs.google.com/spreadsheets/d/1kGrh75X1cNR1D7_FcY9zMnHP8iPO4M5RCRjy6nZY0TY/edit#gid=1248694442"",""Subgroup 2: Cr ~ Tx!C3:C23""), $A74=IMPORTRANGE(""https://docs.google.com/spreadsheets/d/1kGrh75X1cNR1D7_FcY9zMnHP8iPO4M5"&amp;"RCRjy6nZY0TY/edit#gid=1248694442"",""Subgroup 2: Cr ~ Tx!A3:A23"")),"""")"),"")</f>
        <v/>
      </c>
      <c r="AH74" s="20" t="str">
        <f>IFERROR(__xludf.DUMMYFUNCTION("IFNA(FILTER(IMPORTRANGE(""https://docs.google.com/spreadsheets/d/1kGrh75X1cNR1D7_FcY9zMnHP8iPO4M5RCRjy6nZY0TY/edit#gid=1248694442"",""Subgroup 2: Cr ~ Tx!D3:D23""), $A74=IMPORTRANGE(""https://docs.google.com/spreadsheets/d/1kGrh75X1cNR1D7_FcY9zMnHP8iPO4M5"&amp;"RCRjy6nZY0TY/edit#gid=1248694442"",""Subgroup 2: Cr ~ Tx!A3:A23"")),"""")"),"")</f>
        <v/>
      </c>
      <c r="AI74" s="20" t="str">
        <f>IFERROR(__xludf.DUMMYFUNCTION("IFNA(FILTER(IMPORTRANGE(""https://docs.google.com/spreadsheets/d/1kGrh75X1cNR1D7_FcY9zMnHP8iPO4M5RCRjy6nZY0TY/edit#gid=1248694442"",""Subgroup 2: Cr ~ Tx!E3:E23""), $A74=IMPORTRANGE(""https://docs.google.com/spreadsheets/d/1kGrh75X1cNR1D7_FcY9zMnHP8iPO4M5"&amp;"RCRjy6nZY0TY/edit#gid=1248694442"",""Subgroup 2: Cr ~ Tx!A3:A23"")),"""")"),"")</f>
        <v/>
      </c>
      <c r="AJ74" s="20" t="str">
        <f>IFERROR(__xludf.DUMMYFUNCTION("IFNA(FILTER(IMPORTRANGE(""https://docs.google.com/spreadsheets/d/1kGrh75X1cNR1D7_FcY9zMnHP8iPO4M5RCRjy6nZY0TY/edit#gid=1248694442"",""Subgroup 2: Cr ~ Tx!F3:F23""), $A74=IMPORTRANGE(""https://docs.google.com/spreadsheets/d/1kGrh75X1cNR1D7_FcY9zMnHP8iPO4M5"&amp;"RCRjy6nZY0TY/edit#gid=1248694442"",""Subgroup 2: Cr ~ Tx!A3:A23"")),"""")"),"")</f>
        <v/>
      </c>
      <c r="AK74" s="14" t="str">
        <f>IFERROR(__xludf.DUMMYFUNCTION("IFNA(FILTER(IMPORTRANGE(""https://docs.google.com/spreadsheets/d/1kGrh75X1cNR1D7_FcY9zMnHP8iPO4M5RCRjy6nZY0TY/edit#gid=1248694442"",""Table 4: 2nd-line HC or more!M5:M85""), $A74=IMPORTRANGE(""https://docs.google.com/spreadsheets/d/1kGrh75X1cNR1D7_FcY9zMn"&amp;"HP8iPO4M5RCRjy6nZY0TY/edit#gid=1248694442"",""Table 4: 2nd-line HC or more!A5:A85"")),"""")"),"")</f>
        <v/>
      </c>
      <c r="AL74" s="14" t="str">
        <f>IFERROR(__xludf.DUMMYFUNCTION("IFNA(FILTER(IMPORTRANGE(""https://docs.google.com/spreadsheets/d/1kGrh75X1cNR1D7_FcY9zMnHP8iPO4M5RCRjy6nZY0TY/edit#gid=1248694442"",""Table 4: 2nd-line HC or more!N5:N85""), $A74=IMPORTRANGE(""https://docs.google.com/spreadsheets/d/1kGrh75X1cNR1D7_FcY9zMn"&amp;"HP8iPO4M5RCRjy6nZY0TY/edit#gid=1248694442"",""Table 4: 2nd-line HC or more!A5:A85"")),"""")"),"")</f>
        <v/>
      </c>
      <c r="AM74" s="14" t="str">
        <f>IFERROR(__xludf.DUMMYFUNCTION("IFNA(FILTER(IMPORTRANGE(""https://docs.google.com/spreadsheets/d/1kGrh75X1cNR1D7_FcY9zMnHP8iPO4M5RCRjy6nZY0TY/edit#gid=1248694442"",""Table 4: 2nd-line HC or more!O5:O85""), $A74=IMPORTRANGE(""https://docs.google.com/spreadsheets/d/1kGrh75X1cNR1D7_FcY9zMn"&amp;"HP8iPO4M5RCRjy6nZY0TY/edit#gid=1248694442"",""Table 4: 2nd-line HC or more!A5:A85"")),"""")"),"")</f>
        <v/>
      </c>
      <c r="AN74" s="14" t="str">
        <f>IFERROR(__xludf.DUMMYFUNCTION("IFNA(FILTER(IMPORTRANGE(""https://docs.google.com/spreadsheets/d/1kGrh75X1cNR1D7_FcY9zMnHP8iPO4M5RCRjy6nZY0TY/edit#gid=1248694442"",""Table 3: 1st-line HC!AP5:AP111""), $A74=IMPORTRANGE(""https://docs.google.com/spreadsheets/d/1kGrh75X1cNR1D7_FcY9zMnHP8iP"&amp;"O4M5RCRjy6nZY0TY/edit#gid=1248694442"",""Table 3: 1st-line HC!A5:A111"")),"""")"),"")</f>
        <v/>
      </c>
      <c r="AO74" s="14" t="str">
        <f>IFERROR(__xludf.DUMMYFUNCTION("IFNA(FILTER(IMPORTRANGE(""https://docs.google.com/spreadsheets/d/1kGrh75X1cNR1D7_FcY9zMnHP8iPO4M5RCRjy6nZY0TY/edit#gid=1248694442"",""Table 3: 1st-line HC!AO5:AO111""), $A74=IMPORTRANGE(""https://docs.google.com/spreadsheets/d/1kGrh75X1cNR1D7_FcY9zMnHP8iP"&amp;"O4M5RCRjy6nZY0TY/edit#gid=1248694442"",""Table 3: 1st-line HC!A5:A111"")),"""")"),"")</f>
        <v/>
      </c>
      <c r="AP74" s="14">
        <f>IFERROR(__xludf.DUMMYFUNCTION("IFNA(FILTER(IMPORTRANGE(""https://docs.google.com/spreadsheets/d/1kGrh75X1cNR1D7_FcY9zMnHP8iPO4M5RCRjy6nZY0TY/edit#gid=1248694442"",""Table 3: 1st-line HC!AQ5:AQ111""), $A74=IMPORTRANGE(""https://docs.google.com/spreadsheets/d/1kGrh75X1cNR1D7_FcY9zMnHP8iP"&amp;"O4M5RCRjy6nZY0TY/edit#gid=1248694442"",""Table 3: 1st-line HC!A5:A111"")),"""")"),2.0)</f>
        <v>2</v>
      </c>
      <c r="AQ74" s="14" t="str">
        <f>IFERROR(__xludf.DUMMYFUNCTION("IFNA(FILTER(IMPORTRANGE(""https://docs.google.com/spreadsheets/d/1kGrh75X1cNR1D7_FcY9zMnHP8iPO4M5RCRjy6nZY0TY/edit#gid=1248694442"",""Table 2: MMC!T5:T114""), $A74=IMPORTRANGE(""https://docs.google.com/spreadsheets/d/1kGrh75X1cNR1D7_FcY9zMnHP8iPO4M5RCRjy6"&amp;"nZY0TY/edit#gid=1248694442"",""Table 2: MMC!A5:A114"")),"""")"),"")</f>
        <v/>
      </c>
      <c r="AR74" s="14" t="str">
        <f>IFERROR(__xludf.DUMMYFUNCTION("IFNA(FILTER(IMPORTRANGE(""https://docs.google.com/spreadsheets/d/1kGrh75X1cNR1D7_FcY9zMnHP8iPO4M5RCRjy6nZY0TY/edit#gid=1248694442"",""Table 2: MMC!U5:U114""), $A74=IMPORTRANGE(""https://docs.google.com/spreadsheets/d/1kGrh75X1cNR1D7_FcY9zMnHP8iPO4M5RCRjy6"&amp;"nZY0TY/edit#gid=1248694442"",""Table 2: MMC!A5:A114"")),"""")"),"")</f>
        <v/>
      </c>
      <c r="AS74" s="14">
        <f>IFERROR(__xludf.DUMMYFUNCTION("IFNA(FILTER(IMPORTRANGE(""https://docs.google.com/spreadsheets/d/1kGrh75X1cNR1D7_FcY9zMnHP8iPO4M5RCRjy6nZY0TY/edit#gid=1248694442"",""Table 2: MMC!V5:V114""), $A74=IMPORTRANGE(""https://docs.google.com/spreadsheets/d/1kGrh75X1cNR1D7_FcY9zMnHP8iPO4M5RCRjy6"&amp;"nZY0TY/edit#gid=1248694442"",""Table 2: MMC!A5:A114"")),"""")"),3.0)</f>
        <v>3</v>
      </c>
      <c r="AT74" s="4" t="str">
        <f>IFERROR(__xludf.DUMMYFUNCTION("IFNA(FILTER(IMPORTRANGE(""https://docs.google.com/spreadsheets/d/1kGrh75X1cNR1D7_FcY9zMnHP8iPO4M5RCRjy6nZY0TY/edit#gid=1248694442"",""Table 2: MMC!W5:W114""), $A74=IMPORTRANGE(""https://docs.google.com/spreadsheets/d/1kGrh75X1cNR1D7_FcY9zMnHP8iPO4M5RCRjy6"&amp;"nZY0TY/edit#gid=1248694442"",""Table 2: MMC!A5:A114"")),"""")"),"")</f>
        <v/>
      </c>
    </row>
    <row r="75">
      <c r="A75" s="4" t="str">
        <f>IFERROR(__xludf.DUMMYFUNCTION("""COMPUTED_VALUE"""),"ID 161")</f>
        <v>ID 161</v>
      </c>
      <c r="B75" s="20" t="str">
        <f>IFERROR(__xludf.DUMMYFUNCTION("IFNA(FILTER(IMPORTRANGE(""https://docs.google.com/spreadsheets/d/1kGrh75X1cNR1D7_FcY9zMnHP8iPO4M5RCRjy6nZY0TY/edit#gid=1248694442"",""Table 3: 1st-line HC!BK5:BK111""), $A75=IMPORTRANGE(""https://docs.google.com/spreadsheets/d/1kGrh75X1cNR1D7_FcY9zMnHP8iP"&amp;"O4M5RCRjy6nZY0TY/edit#gid=1248694442"",""Table 3: 1st-line HC!A5:A111"")),"""")"),"")</f>
        <v/>
      </c>
      <c r="C75" s="20" t="str">
        <f>IFERROR(__xludf.DUMMYFUNCTION("IFNA(FILTER(IMPORTRANGE(""https://docs.google.com/spreadsheets/d/1kGrh75X1cNR1D7_FcY9zMnHP8iPO4M5RCRjy6nZY0TY/edit#gid=1248694442"",""Subgroup 1: Fr ~ Tx!B3:B20""), $A75=IMPORTRANGE(""https://docs.google.com/spreadsheets/d/1kGrh75X1cNR1D7_FcY9zMnHP8iPO4M5"&amp;"RCRjy6nZY0TY/edit#gid=1248694442"",""Subgroup 1: Fr ~ Tx!A3:A20"")),"""")"),"")</f>
        <v/>
      </c>
      <c r="D75" s="20" t="str">
        <f>IFERROR(__xludf.DUMMYFUNCTION("IFNA(FILTER(IMPORTRANGE(""https://docs.google.com/spreadsheets/d/1kGrh75X1cNR1D7_FcY9zMnHP8iPO4M5RCRjy6nZY0TY/edit#gid=1248694442"",""Subgroup 1: Fr ~ Tx!C3:C20""), $A75=IMPORTRANGE(""https://docs.google.com/spreadsheets/d/1kGrh75X1cNR1D7_FcY9zMnHP8iPO4M5"&amp;"RCRjy6nZY0TY/edit#gid=1248694442"",""Subgroup 1: Fr ~ Tx!A3:A20"")),"""")"),"")</f>
        <v/>
      </c>
      <c r="E75" s="20" t="str">
        <f>IFERROR(__xludf.DUMMYFUNCTION("IFNA(FILTER(IMPORTRANGE(""https://docs.google.com/spreadsheets/d/1kGrh75X1cNR1D7_FcY9zMnHP8iPO4M5RCRjy6nZY0TY/edit#gid=1248694442"",""Subgroup 1: Fr ~ Tx!D3:D20""), $A75=IMPORTRANGE(""https://docs.google.com/spreadsheets/d/1kGrh75X1cNR1D7_FcY9zMnHP8iPO4M5"&amp;"RCRjy6nZY0TY/edit#gid=1248694442"",""Subgroup 1: Fr ~ Tx!A3:A20"")),"""")"),"")</f>
        <v/>
      </c>
      <c r="F75" s="20" t="str">
        <f>IFERROR(__xludf.DUMMYFUNCTION("IFNA(FILTER(IMPORTRANGE(""https://docs.google.com/spreadsheets/d/1kGrh75X1cNR1D7_FcY9zMnHP8iPO4M5RCRjy6nZY0TY/edit#gid=1248694442"",""Subgroup 1: Fr ~ Tx!E3:E20""), $A75=IMPORTRANGE(""https://docs.google.com/spreadsheets/d/1kGrh75X1cNR1D7_FcY9zMnHP8iPO4M5"&amp;"RCRjy6nZY0TY/edit#gid=1248694442"",""Subgroup 1: Fr ~ Tx!A3:A20"")),"""")"),"")</f>
        <v/>
      </c>
      <c r="G75" s="20" t="str">
        <f>IFERROR(__xludf.DUMMYFUNCTION("IFNA(FILTER(IMPORTRANGE(""https://docs.google.com/spreadsheets/d/1kGrh75X1cNR1D7_FcY9zMnHP8iPO4M5RCRjy6nZY0TY/edit#gid=1248694442"",""Subgroup 1: Fr ~ Tx!F3:F20""), $A75=IMPORTRANGE(""https://docs.google.com/spreadsheets/d/1kGrh75X1cNR1D7_FcY9zMnHP8iPO4M5"&amp;"RCRjy6nZY0TY/edit#gid=1248694442"",""Subgroup 1: Fr ~ Tx!A3:A20"")),"""")"),"")</f>
        <v/>
      </c>
      <c r="H75" s="20" t="str">
        <f>IFERROR(__xludf.DUMMYFUNCTION("IFNA(FILTER(IMPORTRANGE(""https://docs.google.com/spreadsheets/d/1kGrh75X1cNR1D7_FcY9zMnHP8iPO4M5RCRjy6nZY0TY/edit#gid=1248694442"",""Table 3: 1st-line HC!BD5:BD111""), $A75=IMPORTRANGE(""https://docs.google.com/spreadsheets/d/1kGrh75X1cNR1D7_FcY9zMnHP8iP"&amp;"O4M5RCRjy6nZY0TY/edit#gid=1248694442"",""Table 3: 1st-line HC!A5:A111"")),"""")"),"")</f>
        <v/>
      </c>
      <c r="I75" s="20" t="str">
        <f>IFERROR(__xludf.DUMMYFUNCTION("IFNA(FILTER(IMPORTRANGE(""https://docs.google.com/spreadsheets/d/1kGrh75X1cNR1D7_FcY9zMnHP8iPO4M5RCRjy6nZY0TY/edit#gid=1248694442"",""Subgroup 5: Tf ~ Tx!B3:B8""), $A75=IMPORTRANGE(""https://docs.google.com/spreadsheets/d/1kGrh75X1cNR1D7_FcY9zMnHP8iPO4M5R"&amp;"CRjy6nZY0TY/edit#gid=1248694442"",""Subgroup 5: Tf ~ Tx!A3:A8"")),"""")"),"")</f>
        <v/>
      </c>
      <c r="J75" s="20" t="str">
        <f>IFERROR(__xludf.DUMMYFUNCTION("IFNA(FILTER(IMPORTRANGE(""https://docs.google.com/spreadsheets/d/1kGrh75X1cNR1D7_FcY9zMnHP8iPO4M5RCRjy6nZY0TY/edit#gid=1248694442"",""Subgroup 5: Tf ~ Tx!C3:C8""), $A75=IMPORTRANGE(""https://docs.google.com/spreadsheets/d/1kGrh75X1cNR1D7_FcY9zMnHP8iPO4M5R"&amp;"CRjy6nZY0TY/edit#gid=1248694442"",""Subgroup 5: Tf ~ Tx!A3:A8"")),"""")"),"")</f>
        <v/>
      </c>
      <c r="K75" s="20" t="str">
        <f>IFERROR(__xludf.DUMMYFUNCTION("IFNA(FILTER(IMPORTRANGE(""https://docs.google.com/spreadsheets/d/1kGrh75X1cNR1D7_FcY9zMnHP8iPO4M5RCRjy6nZY0TY/edit#gid=1248694442"",""Subgroup 5: Tf ~ Tx!D3:D8""), $A75=IMPORTRANGE(""https://docs.google.com/spreadsheets/d/1kGrh75X1cNR1D7_FcY9zMnHP8iPO4M5R"&amp;"CRjy6nZY0TY/edit#gid=1248694442"",""Subgroup 5: Tf ~ Tx!A3:A8"")),"""")"),"")</f>
        <v/>
      </c>
      <c r="L75" s="20" t="str">
        <f>IFERROR(__xludf.DUMMYFUNCTION("IFNA(FILTER(IMPORTRANGE(""https://docs.google.com/spreadsheets/d/1kGrh75X1cNR1D7_FcY9zMnHP8iPO4M5RCRjy6nZY0TY/edit#gid=1248694442"",""Subgroup 5: Tf ~ Tx!E3:E8""), $A75=IMPORTRANGE(""https://docs.google.com/spreadsheets/d/1kGrh75X1cNR1D7_FcY9zMnHP8iPO4M5R"&amp;"CRjy6nZY0TY/edit#gid=1248694442"",""Subgroup 5: Tf ~ Tx!A3:A8"")),"""")"),"")</f>
        <v/>
      </c>
      <c r="M75" s="20" t="str">
        <f>IFERROR(__xludf.DUMMYFUNCTION("IFNA(FILTER(IMPORTRANGE(""https://docs.google.com/spreadsheets/d/1kGrh75X1cNR1D7_FcY9zMnHP8iPO4M5RCRjy6nZY0TY/edit#gid=1248694442"",""Subgroup 5: Tf ~ Tx!F3:F8""), $A75=IMPORTRANGE(""https://docs.google.com/spreadsheets/d/1kGrh75X1cNR1D7_FcY9zMnHP8iPO4M5R"&amp;"CRjy6nZY0TY/edit#gid=1248694442"",""Subgroup 5: Tf ~ Tx!A3:A8"")),"""")"),"")</f>
        <v/>
      </c>
      <c r="N75" s="20" t="str">
        <f>IFERROR(__xludf.DUMMYFUNCTION("IFNA(FILTER(IMPORTRANGE(""https://docs.google.com/spreadsheets/d/1kGrh75X1cNR1D7_FcY9zMnHP8iPO4M5RCRjy6nZY0TY/edit#gid=1248694442"",""Table 3: 1st-line HC!BE5:BE111""), $A75=IMPORTRANGE(""https://docs.google.com/spreadsheets/d/1kGrh75X1cNR1D7_FcY9zMnHP8iP"&amp;"O4M5RCRjy6nZY0TY/edit#gid=1248694442"",""Table 3: 1st-line HC!A5:A111"")),"""")"),"")</f>
        <v/>
      </c>
      <c r="O75" s="20" t="str">
        <f>IFERROR(__xludf.DUMMYFUNCTION("IFNA(FILTER(IMPORTRANGE(""https://docs.google.com/spreadsheets/d/1kGrh75X1cNR1D7_FcY9zMnHP8iPO4M5RCRjy6nZY0TY/edit#gid=1248694442"",""Table 3: 1st-line HC!BF5:BF111""), $A75=IMPORTRANGE(""https://docs.google.com/spreadsheets/d/1kGrh75X1cNR1D7_FcY9zMnHP8iP"&amp;"O4M5RCRjy6nZY0TY/edit#gid=1248694442"",""Table 3: 1st-line HC!A5:A111"")),"""")"),"")</f>
        <v/>
      </c>
      <c r="P75" s="20" t="str">
        <f>IFERROR(__xludf.DUMMYFUNCTION("IFNA(FILTER(IMPORTRANGE(""https://docs.google.com/spreadsheets/d/1kGrh75X1cNR1D7_FcY9zMnHP8iPO4M5RCRjy6nZY0TY/edit#gid=1248694442"",""Table 3: 1st-line HC!BG5:BG111""), $A75=IMPORTRANGE(""https://docs.google.com/spreadsheets/d/1kGrh75X1cNR1D7_FcY9zMnHP8iP"&amp;"O4M5RCRjy6nZY0TY/edit#gid=1248694442"",""Table 3: 1st-line HC!A5:A111"")),"""")"),"")</f>
        <v/>
      </c>
      <c r="Q75" s="21" t="str">
        <f>IFERROR(__xludf.DUMMYFUNCTION("IFNA(FILTER(IMPORTRANGE(""https://docs.google.com/spreadsheets/d/1kGrh75X1cNR1D7_FcY9zMnHP8iPO4M5RCRjy6nZY0TY/edit#gid=1248694442"",""Table 3: 1st-line HC!BH5:BH111""), $A75=IMPORTRANGE(""https://docs.google.com/spreadsheets/d/1kGrh75X1cNR1D7_FcY9zMnHP8iP"&amp;"O4M5RCRjy6nZY0TY/edit#gid=1248694442"",""Table 3: 1st-line HC!A5:A111"")),"""")"),"")</f>
        <v/>
      </c>
      <c r="R75" s="19" t="str">
        <f>IFERROR(__xludf.DUMMYFUNCTION("IFNA(FILTER(IMPORTRANGE(""https://docs.google.com/spreadsheets/d/1kGrh75X1cNR1D7_FcY9zMnHP8iPO4M5RCRjy6nZY0TY/edit#gid=1248694442"",""Table 3: 1st-line HC!AJ5:AJ111""), $A75=IMPORTRANGE(""https://docs.google.com/spreadsheets/d/1kGrh75X1cNR1D7_FcY9zMnHP8iP"&amp;"O4M5RCRjy6nZY0TY/edit#gid=1248694442"",""Table 3: 1st-line HC!A5:A111"")),"""")"),"")</f>
        <v/>
      </c>
      <c r="S75" s="20" t="str">
        <f>IFERROR(__xludf.DUMMYFUNCTION("IFNA(FILTER(IMPORTRANGE(""https://docs.google.com/spreadsheets/d/1kGrh75X1cNR1D7_FcY9zMnHP8iPO4M5RCRjy6nZY0TY/edit#gid=1248694442"",""Subgroup 3: Mi ~ Tx!B3:B17""), $A75=IMPORTRANGE(""https://docs.google.com/spreadsheets/d/1kGrh75X1cNR1D7_FcY9zMnHP8iPO4M5"&amp;"RCRjy6nZY0TY/edit#gid=1248694442"",""Subgroup 3: Mi ~ Tx!A3:A17"")),"""")"),"")</f>
        <v/>
      </c>
      <c r="T75" s="20" t="str">
        <f>IFERROR(__xludf.DUMMYFUNCTION("IFNA(FILTER(IMPORTRANGE(""https://docs.google.com/spreadsheets/d/1kGrh75X1cNR1D7_FcY9zMnHP8iPO4M5RCRjy6nZY0TY/edit#gid=1248694442"",""Subgroup 3: Mi ~ Tx!C3:C17""), $A75=IMPORTRANGE(""https://docs.google.com/spreadsheets/d/1kGrh75X1cNR1D7_FcY9zMnHP8iPO4M5"&amp;"RCRjy6nZY0TY/edit#gid=1248694442"",""Subgroup 3: Mi ~ Tx!A3:A17"")),"""")"),"")</f>
        <v/>
      </c>
      <c r="U75" s="20" t="str">
        <f>IFERROR(__xludf.DUMMYFUNCTION("IFNA(FILTER(IMPORTRANGE(""https://docs.google.com/spreadsheets/d/1kGrh75X1cNR1D7_FcY9zMnHP8iPO4M5RCRjy6nZY0TY/edit#gid=1248694442"",""Subgroup 3: Mi ~ Tx!D3:D17""), $A75=IMPORTRANGE(""https://docs.google.com/spreadsheets/d/1kGrh75X1cNR1D7_FcY9zMnHP8iPO4M5"&amp;"RCRjy6nZY0TY/edit#gid=1248694442"",""Subgroup 3: Mi ~ Tx!A3:A17"")),"""")"),"")</f>
        <v/>
      </c>
      <c r="V75" s="20" t="str">
        <f>IFERROR(__xludf.DUMMYFUNCTION("IFNA(FILTER(IMPORTRANGE(""https://docs.google.com/spreadsheets/d/1kGrh75X1cNR1D7_FcY9zMnHP8iPO4M5RCRjy6nZY0TY/edit#gid=1248694442"",""Subgroup 3: Mi ~ Tx!E3:E17""), $A75=IMPORTRANGE(""https://docs.google.com/spreadsheets/d/1kGrh75X1cNR1D7_FcY9zMnHP8iPO4M5"&amp;"RCRjy6nZY0TY/edit#gid=1248694442"",""Subgroup 3: Mi ~ Tx!A3:A17"")),"""")"),"")</f>
        <v/>
      </c>
      <c r="W75" s="20" t="str">
        <f>IFERROR(__xludf.DUMMYFUNCTION("IFNA(FILTER(IMPORTRANGE(""https://docs.google.com/spreadsheets/d/1kGrh75X1cNR1D7_FcY9zMnHP8iPO4M5RCRjy6nZY0TY/edit#gid=1248694442"",""Subgroup 3: Mi ~ Tx!F3:F17""), $A75=IMPORTRANGE(""https://docs.google.com/spreadsheets/d/1kGrh75X1cNR1D7_FcY9zMnHP8iPO4M5"&amp;"RCRjy6nZY0TY/edit#gid=1248694442"",""Subgroup 3: Mi ~ Tx!A3:A17"")),"""")"),"")</f>
        <v/>
      </c>
      <c r="X75" s="19" t="str">
        <f>IFERROR(__xludf.DUMMYFUNCTION("IFNA(FILTER(IMPORTRANGE(""https://docs.google.com/spreadsheets/d/1kGrh75X1cNR1D7_FcY9zMnHP8iPO4M5RCRjy6nZY0TY/edit#gid=1248694442"",""Table 3: 1st-line HC!AK5:AK111""), $A75=IMPORTRANGE(""https://docs.google.com/spreadsheets/d/1kGrh75X1cNR1D7_FcY9zMnHP8iP"&amp;"O4M5RCRjy6nZY0TY/edit#gid=1248694442"",""Table 3: 1st-line HC!A5:A111"")),"""")"),"")</f>
        <v/>
      </c>
      <c r="Y75" s="20" t="str">
        <f>IFERROR(__xludf.DUMMYFUNCTION("IFNA(FILTER(IMPORTRANGE(""https://docs.google.com/spreadsheets/d/1kGrh75X1cNR1D7_FcY9zMnHP8iPO4M5RCRjy6nZY0TY/edit#gid=1248694442"",""Subgroup 4: Mp ~ Tx!B3:B20""), $A75=IMPORTRANGE(""https://docs.google.com/spreadsheets/d/1kGrh75X1cNR1D7_FcY9zMnHP8iPO4M5"&amp;"RCRjy6nZY0TY/edit#gid=1248694442"",""Subgroup 4: Mp ~ Tx!A3:A20"")),"""")"),"")</f>
        <v/>
      </c>
      <c r="Z75" s="20" t="str">
        <f>IFERROR(__xludf.DUMMYFUNCTION("IFNA(FILTER(IMPORTRANGE(""https://docs.google.com/spreadsheets/d/1kGrh75X1cNR1D7_FcY9zMnHP8iPO4M5RCRjy6nZY0TY/edit#gid=1248694442"",""Subgroup 4: Mp ~ Tx!C3:C20""), $A75=IMPORTRANGE(""https://docs.google.com/spreadsheets/d/1kGrh75X1cNR1D7_FcY9zMnHP8iPO4M5"&amp;"RCRjy6nZY0TY/edit#gid=1248694442"",""Subgroup 4: Mp ~ Tx!A3:A20"")),"""")"),"")</f>
        <v/>
      </c>
      <c r="AA75" s="20" t="str">
        <f>IFERROR(__xludf.DUMMYFUNCTION("IFNA(FILTER(IMPORTRANGE(""https://docs.google.com/spreadsheets/d/1kGrh75X1cNR1D7_FcY9zMnHP8iPO4M5RCRjy6nZY0TY/edit#gid=1248694442"",""Subgroup 4: Mp ~ Tx!D3:D20""), $A75=IMPORTRANGE(""https://docs.google.com/spreadsheets/d/1kGrh75X1cNR1D7_FcY9zMnHP8iPO4M5"&amp;"RCRjy6nZY0TY/edit#gid=1248694442"",""Subgroup 4: Mp ~ Tx!A3:A20"")),"""")"),"")</f>
        <v/>
      </c>
      <c r="AB75" s="20" t="str">
        <f>IFERROR(__xludf.DUMMYFUNCTION("IFNA(FILTER(IMPORTRANGE(""https://docs.google.com/spreadsheets/d/1kGrh75X1cNR1D7_FcY9zMnHP8iPO4M5RCRjy6nZY0TY/edit#gid=1248694442"",""Subgroup 4: Mp ~ Tx!E3:E20""), $A75=IMPORTRANGE(""https://docs.google.com/spreadsheets/d/1kGrh75X1cNR1D7_FcY9zMnHP8iPO4M5"&amp;"RCRjy6nZY0TY/edit#gid=1248694442"",""Subgroup 4: Mp ~ Tx!A3:A20"")),"""")"),"")</f>
        <v/>
      </c>
      <c r="AC75" s="20" t="str">
        <f>IFERROR(__xludf.DUMMYFUNCTION("IFNA(FILTER(IMPORTRANGE(""https://docs.google.com/spreadsheets/d/1kGrh75X1cNR1D7_FcY9zMnHP8iPO4M5RCRjy6nZY0TY/edit#gid=1248694442"",""Subgroup 4: Mp ~ Tx!F3:F20""), $A75=IMPORTRANGE(""https://docs.google.com/spreadsheets/d/1kGrh75X1cNR1D7_FcY9zMnHP8iPO4M5"&amp;"RCRjy6nZY0TY/edit#gid=1248694442"",""Subgroup 4: Mp ~ Tx!A3:A20"")),"""")"),"")</f>
        <v/>
      </c>
      <c r="AD75" s="22" t="str">
        <f>IFERROR(__xludf.DUMMYFUNCTION("IFNA(FILTER(IMPORTRANGE(""https://docs.google.com/spreadsheets/d/1kGrh75X1cNR1D7_FcY9zMnHP8iPO4M5RCRjy6nZY0TY/edit#gid=1248694442"",""Table 3: 1st-line HC!AL5:AL111""), $A75=IMPORTRANGE(""https://docs.google.com/spreadsheets/d/1kGrh75X1cNR1D7_FcY9zMnHP8iP"&amp;"O4M5RCRjy6nZY0TY/edit#gid=1248694442"",""Table 3: 1st-line HC!A5:A111"")),"""")"),"Shunt survival at 6mo post placement=15(Prenatal group=3, postnatal group=12), Shunt survival at 1year post placement=11 (Prenatal group=2, postnatal group=9)")</f>
        <v>Shunt survival at 6mo post placement=15(Prenatal group=3, postnatal group=12), Shunt survival at 1year post placement=11 (Prenatal group=2, postnatal group=9)</v>
      </c>
      <c r="AE75" s="20" t="str">
        <f>IFERROR(__xludf.DUMMYFUNCTION("IFNA(FILTER(IMPORTRANGE(""https://docs.google.com/spreadsheets/d/1kGrh75X1cNR1D7_FcY9zMnHP8iPO4M5RCRjy6nZY0TY/edit#gid=1248694442"",""Table 3: 1st-line HC!BJ5:BJ111""), $A75=IMPORTRANGE(""https://docs.google.com/spreadsheets/d/1kGrh75X1cNR1D7_FcY9zMnHP8iP"&amp;"O4M5RCRjy6nZY0TY/edit#gid=1248694442"",""Table 3: 1st-line HC!A5:A111"")),"""")"),"")</f>
        <v/>
      </c>
      <c r="AF75" s="20" t="str">
        <f>IFERROR(__xludf.DUMMYFUNCTION("IFNA(FILTER(IMPORTRANGE(""https://docs.google.com/spreadsheets/d/1kGrh75X1cNR1D7_FcY9zMnHP8iPO4M5RCRjy6nZY0TY/edit#gid=1248694442"",""Subgroup 2: Cr ~ Tx!B3:B23""), $A75=IMPORTRANGE(""https://docs.google.com/spreadsheets/d/1kGrh75X1cNR1D7_FcY9zMnHP8iPO4M5"&amp;"RCRjy6nZY0TY/edit#gid=1248694442"",""Subgroup 2: Cr ~ Tx!A3:A23"")),"""")"),"")</f>
        <v/>
      </c>
      <c r="AG75" s="20" t="str">
        <f>IFERROR(__xludf.DUMMYFUNCTION("IFNA(FILTER(IMPORTRANGE(""https://docs.google.com/spreadsheets/d/1kGrh75X1cNR1D7_FcY9zMnHP8iPO4M5RCRjy6nZY0TY/edit#gid=1248694442"",""Subgroup 2: Cr ~ Tx!C3:C23""), $A75=IMPORTRANGE(""https://docs.google.com/spreadsheets/d/1kGrh75X1cNR1D7_FcY9zMnHP8iPO4M5"&amp;"RCRjy6nZY0TY/edit#gid=1248694442"",""Subgroup 2: Cr ~ Tx!A3:A23"")),"""")"),"")</f>
        <v/>
      </c>
      <c r="AH75" s="20" t="str">
        <f>IFERROR(__xludf.DUMMYFUNCTION("IFNA(FILTER(IMPORTRANGE(""https://docs.google.com/spreadsheets/d/1kGrh75X1cNR1D7_FcY9zMnHP8iPO4M5RCRjy6nZY0TY/edit#gid=1248694442"",""Subgroup 2: Cr ~ Tx!D3:D23""), $A75=IMPORTRANGE(""https://docs.google.com/spreadsheets/d/1kGrh75X1cNR1D7_FcY9zMnHP8iPO4M5"&amp;"RCRjy6nZY0TY/edit#gid=1248694442"",""Subgroup 2: Cr ~ Tx!A3:A23"")),"""")"),"")</f>
        <v/>
      </c>
      <c r="AI75" s="20" t="str">
        <f>IFERROR(__xludf.DUMMYFUNCTION("IFNA(FILTER(IMPORTRANGE(""https://docs.google.com/spreadsheets/d/1kGrh75X1cNR1D7_FcY9zMnHP8iPO4M5RCRjy6nZY0TY/edit#gid=1248694442"",""Subgroup 2: Cr ~ Tx!E3:E23""), $A75=IMPORTRANGE(""https://docs.google.com/spreadsheets/d/1kGrh75X1cNR1D7_FcY9zMnHP8iPO4M5"&amp;"RCRjy6nZY0TY/edit#gid=1248694442"",""Subgroup 2: Cr ~ Tx!A3:A23"")),"""")"),"")</f>
        <v/>
      </c>
      <c r="AJ75" s="20" t="str">
        <f>IFERROR(__xludf.DUMMYFUNCTION("IFNA(FILTER(IMPORTRANGE(""https://docs.google.com/spreadsheets/d/1kGrh75X1cNR1D7_FcY9zMnHP8iPO4M5RCRjy6nZY0TY/edit#gid=1248694442"",""Subgroup 2: Cr ~ Tx!F3:F23""), $A75=IMPORTRANGE(""https://docs.google.com/spreadsheets/d/1kGrh75X1cNR1D7_FcY9zMnHP8iPO4M5"&amp;"RCRjy6nZY0TY/edit#gid=1248694442"",""Subgroup 2: Cr ~ Tx!A3:A23"")),"""")"),"")</f>
        <v/>
      </c>
      <c r="AK75" s="14" t="str">
        <f>IFERROR(__xludf.DUMMYFUNCTION("IFNA(FILTER(IMPORTRANGE(""https://docs.google.com/spreadsheets/d/1kGrh75X1cNR1D7_FcY9zMnHP8iPO4M5RCRjy6nZY0TY/edit#gid=1248694442"",""Table 4: 2nd-line HC or more!M5:M85""), $A75=IMPORTRANGE(""https://docs.google.com/spreadsheets/d/1kGrh75X1cNR1D7_FcY9zMn"&amp;"HP8iPO4M5RCRjy6nZY0TY/edit#gid=1248694442"",""Table 4: 2nd-line HC or more!A5:A85"")),"""")"),"")</f>
        <v/>
      </c>
      <c r="AL75" s="14" t="str">
        <f>IFERROR(__xludf.DUMMYFUNCTION("IFNA(FILTER(IMPORTRANGE(""https://docs.google.com/spreadsheets/d/1kGrh75X1cNR1D7_FcY9zMnHP8iPO4M5RCRjy6nZY0TY/edit#gid=1248694442"",""Table 4: 2nd-line HC or more!N5:N85""), $A75=IMPORTRANGE(""https://docs.google.com/spreadsheets/d/1kGrh75X1cNR1D7_FcY9zMn"&amp;"HP8iPO4M5RCRjy6nZY0TY/edit#gid=1248694442"",""Table 4: 2nd-line HC or more!A5:A85"")),"""")"),"")</f>
        <v/>
      </c>
      <c r="AM75" s="14" t="str">
        <f>IFERROR(__xludf.DUMMYFUNCTION("IFNA(FILTER(IMPORTRANGE(""https://docs.google.com/spreadsheets/d/1kGrh75X1cNR1D7_FcY9zMnHP8iPO4M5RCRjy6nZY0TY/edit#gid=1248694442"",""Table 4: 2nd-line HC or more!O5:O85""), $A75=IMPORTRANGE(""https://docs.google.com/spreadsheets/d/1kGrh75X1cNR1D7_FcY9zMn"&amp;"HP8iPO4M5RCRjy6nZY0TY/edit#gid=1248694442"",""Table 4: 2nd-line HC or more!A5:A85"")),"""")"),"")</f>
        <v/>
      </c>
      <c r="AN75" s="14" t="str">
        <f>IFERROR(__xludf.DUMMYFUNCTION("IFNA(FILTER(IMPORTRANGE(""https://docs.google.com/spreadsheets/d/1kGrh75X1cNR1D7_FcY9zMnHP8iPO4M5RCRjy6nZY0TY/edit#gid=1248694442"",""Table 3: 1st-line HC!AP5:AP111""), $A75=IMPORTRANGE(""https://docs.google.com/spreadsheets/d/1kGrh75X1cNR1D7_FcY9zMnHP8iP"&amp;"O4M5RCRjy6nZY0TY/edit#gid=1248694442"",""Table 3: 1st-line HC!A5:A111"")),"""")"),"")</f>
        <v/>
      </c>
      <c r="AO75" s="14" t="str">
        <f>IFERROR(__xludf.DUMMYFUNCTION("IFNA(FILTER(IMPORTRANGE(""https://docs.google.com/spreadsheets/d/1kGrh75X1cNR1D7_FcY9zMnHP8iPO4M5RCRjy6nZY0TY/edit#gid=1248694442"",""Table 3: 1st-line HC!AO5:AO111""), $A75=IMPORTRANGE(""https://docs.google.com/spreadsheets/d/1kGrh75X1cNR1D7_FcY9zMnHP8iP"&amp;"O4M5RCRjy6nZY0TY/edit#gid=1248694442"",""Table 3: 1st-line HC!A5:A111"")),"""")"),"")</f>
        <v/>
      </c>
      <c r="AP75" s="14" t="str">
        <f>IFERROR(__xludf.DUMMYFUNCTION("IFNA(FILTER(IMPORTRANGE(""https://docs.google.com/spreadsheets/d/1kGrh75X1cNR1D7_FcY9zMnHP8iPO4M5RCRjy6nZY0TY/edit#gid=1248694442"",""Table 3: 1st-line HC!AQ5:AQ111""), $A75=IMPORTRANGE(""https://docs.google.com/spreadsheets/d/1kGrh75X1cNR1D7_FcY9zMnHP8iP"&amp;"O4M5RCRjy6nZY0TY/edit#gid=1248694442"",""Table 3: 1st-line HC!A5:A111"")),"""")"),"")</f>
        <v/>
      </c>
      <c r="AQ75" s="14">
        <f>IFERROR(__xludf.DUMMYFUNCTION("IFNA(FILTER(IMPORTRANGE(""https://docs.google.com/spreadsheets/d/1kGrh75X1cNR1D7_FcY9zMnHP8iPO4M5RCRjy6nZY0TY/edit#gid=1248694442"",""Table 2: MMC!T5:T114""), $A75=IMPORTRANGE(""https://docs.google.com/spreadsheets/d/1kGrh75X1cNR1D7_FcY9zMnHP8iPO4M5RCRjy6"&amp;"nZY0TY/edit#gid=1248694442"",""Table 2: MMC!A5:A114"")),"""")"),14.0)</f>
        <v>14</v>
      </c>
      <c r="AR75" s="14" t="str">
        <f>IFERROR(__xludf.DUMMYFUNCTION("IFNA(FILTER(IMPORTRANGE(""https://docs.google.com/spreadsheets/d/1kGrh75X1cNR1D7_FcY9zMnHP8iPO4M5RCRjy6nZY0TY/edit#gid=1248694442"",""Table 2: MMC!U5:U114""), $A75=IMPORTRANGE(""https://docs.google.com/spreadsheets/d/1kGrh75X1cNR1D7_FcY9zMnHP8iPO4M5RCRjy6"&amp;"nZY0TY/edit#gid=1248694442"",""Table 2: MMC!A5:A114"")),"""")"),"")</f>
        <v/>
      </c>
      <c r="AS75" s="14" t="str">
        <f>IFERROR(__xludf.DUMMYFUNCTION("IFNA(FILTER(IMPORTRANGE(""https://docs.google.com/spreadsheets/d/1kGrh75X1cNR1D7_FcY9zMnHP8iPO4M5RCRjy6nZY0TY/edit#gid=1248694442"",""Table 2: MMC!V5:V114""), $A75=IMPORTRANGE(""https://docs.google.com/spreadsheets/d/1kGrh75X1cNR1D7_FcY9zMnHP8iPO4M5RCRjy6"&amp;"nZY0TY/edit#gid=1248694442"",""Table 2: MMC!A5:A114"")),"""")"),"")</f>
        <v/>
      </c>
      <c r="AT75" s="4" t="str">
        <f>IFERROR(__xludf.DUMMYFUNCTION("IFNA(FILTER(IMPORTRANGE(""https://docs.google.com/spreadsheets/d/1kGrh75X1cNR1D7_FcY9zMnHP8iPO4M5RCRjy6nZY0TY/edit#gid=1248694442"",""Table 2: MMC!W5:W114""), $A75=IMPORTRANGE(""https://docs.google.com/spreadsheets/d/1kGrh75X1cNR1D7_FcY9zMnHP8iPO4M5RCRjy6"&amp;"nZY0TY/edit#gid=1248694442"",""Table 2: MMC!A5:A114"")),"""")"),"urinary tract infection, fever, and respiratory illnesses = 14; apneic episodes related to Chiari malformation type II and brainstem compression = 1")</f>
        <v>urinary tract infection, fever, and respiratory illnesses = 14; apneic episodes related to Chiari malformation type II and brainstem compression = 1</v>
      </c>
    </row>
    <row r="76">
      <c r="A76" s="4" t="str">
        <f>IFERROR(__xludf.DUMMYFUNCTION("""COMPUTED_VALUE"""),"ID 162")</f>
        <v>ID 162</v>
      </c>
      <c r="B76" s="20" t="str">
        <f>IFERROR(__xludf.DUMMYFUNCTION("IFNA(FILTER(IMPORTRANGE(""https://docs.google.com/spreadsheets/d/1kGrh75X1cNR1D7_FcY9zMnHP8iPO4M5RCRjy6nZY0TY/edit#gid=1248694442"",""Table 3: 1st-line HC!BK5:BK111""), $A76=IMPORTRANGE(""https://docs.google.com/spreadsheets/d/1kGrh75X1cNR1D7_FcY9zMnHP8iP"&amp;"O4M5RCRjy6nZY0TY/edit#gid=1248694442"",""Table 3: 1st-line HC!A5:A111"")),"""")"),"")</f>
        <v/>
      </c>
      <c r="C76" s="20" t="str">
        <f>IFERROR(__xludf.DUMMYFUNCTION("IFNA(FILTER(IMPORTRANGE(""https://docs.google.com/spreadsheets/d/1kGrh75X1cNR1D7_FcY9zMnHP8iPO4M5RCRjy6nZY0TY/edit#gid=1248694442"",""Subgroup 1: Fr ~ Tx!B3:B20""), $A76=IMPORTRANGE(""https://docs.google.com/spreadsheets/d/1kGrh75X1cNR1D7_FcY9zMnHP8iPO4M5"&amp;"RCRjy6nZY0TY/edit#gid=1248694442"",""Subgroup 1: Fr ~ Tx!A3:A20"")),"""")"),"")</f>
        <v/>
      </c>
      <c r="D76" s="20" t="str">
        <f>IFERROR(__xludf.DUMMYFUNCTION("IFNA(FILTER(IMPORTRANGE(""https://docs.google.com/spreadsheets/d/1kGrh75X1cNR1D7_FcY9zMnHP8iPO4M5RCRjy6nZY0TY/edit#gid=1248694442"",""Subgroup 1: Fr ~ Tx!C3:C20""), $A76=IMPORTRANGE(""https://docs.google.com/spreadsheets/d/1kGrh75X1cNR1D7_FcY9zMnHP8iPO4M5"&amp;"RCRjy6nZY0TY/edit#gid=1248694442"",""Subgroup 1: Fr ~ Tx!A3:A20"")),"""")"),"")</f>
        <v/>
      </c>
      <c r="E76" s="20" t="str">
        <f>IFERROR(__xludf.DUMMYFUNCTION("IFNA(FILTER(IMPORTRANGE(""https://docs.google.com/spreadsheets/d/1kGrh75X1cNR1D7_FcY9zMnHP8iPO4M5RCRjy6nZY0TY/edit#gid=1248694442"",""Subgroup 1: Fr ~ Tx!D3:D20""), $A76=IMPORTRANGE(""https://docs.google.com/spreadsheets/d/1kGrh75X1cNR1D7_FcY9zMnHP8iPO4M5"&amp;"RCRjy6nZY0TY/edit#gid=1248694442"",""Subgroup 1: Fr ~ Tx!A3:A20"")),"""")"),"")</f>
        <v/>
      </c>
      <c r="F76" s="20" t="str">
        <f>IFERROR(__xludf.DUMMYFUNCTION("IFNA(FILTER(IMPORTRANGE(""https://docs.google.com/spreadsheets/d/1kGrh75X1cNR1D7_FcY9zMnHP8iPO4M5RCRjy6nZY0TY/edit#gid=1248694442"",""Subgroup 1: Fr ~ Tx!E3:E20""), $A76=IMPORTRANGE(""https://docs.google.com/spreadsheets/d/1kGrh75X1cNR1D7_FcY9zMnHP8iPO4M5"&amp;"RCRjy6nZY0TY/edit#gid=1248694442"",""Subgroup 1: Fr ~ Tx!A3:A20"")),"""")"),"")</f>
        <v/>
      </c>
      <c r="G76" s="20" t="str">
        <f>IFERROR(__xludf.DUMMYFUNCTION("IFNA(FILTER(IMPORTRANGE(""https://docs.google.com/spreadsheets/d/1kGrh75X1cNR1D7_FcY9zMnHP8iPO4M5RCRjy6nZY0TY/edit#gid=1248694442"",""Subgroup 1: Fr ~ Tx!F3:F20""), $A76=IMPORTRANGE(""https://docs.google.com/spreadsheets/d/1kGrh75X1cNR1D7_FcY9zMnHP8iPO4M5"&amp;"RCRjy6nZY0TY/edit#gid=1248694442"",""Subgroup 1: Fr ~ Tx!A3:A20"")),"""")"),"")</f>
        <v/>
      </c>
      <c r="H76" s="20" t="str">
        <f>IFERROR(__xludf.DUMMYFUNCTION("IFNA(FILTER(IMPORTRANGE(""https://docs.google.com/spreadsheets/d/1kGrh75X1cNR1D7_FcY9zMnHP8iPO4M5RCRjy6nZY0TY/edit#gid=1248694442"",""Table 3: 1st-line HC!BD5:BD111""), $A76=IMPORTRANGE(""https://docs.google.com/spreadsheets/d/1kGrh75X1cNR1D7_FcY9zMnHP8iP"&amp;"O4M5RCRjy6nZY0TY/edit#gid=1248694442"",""Table 3: 1st-line HC!A5:A111"")),"""")"),"")</f>
        <v/>
      </c>
      <c r="I76" s="20" t="str">
        <f>IFERROR(__xludf.DUMMYFUNCTION("IFNA(FILTER(IMPORTRANGE(""https://docs.google.com/spreadsheets/d/1kGrh75X1cNR1D7_FcY9zMnHP8iPO4M5RCRjy6nZY0TY/edit#gid=1248694442"",""Subgroup 5: Tf ~ Tx!B3:B8""), $A76=IMPORTRANGE(""https://docs.google.com/spreadsheets/d/1kGrh75X1cNR1D7_FcY9zMnHP8iPO4M5R"&amp;"CRjy6nZY0TY/edit#gid=1248694442"",""Subgroup 5: Tf ~ Tx!A3:A8"")),"""")"),"")</f>
        <v/>
      </c>
      <c r="J76" s="20" t="str">
        <f>IFERROR(__xludf.DUMMYFUNCTION("IFNA(FILTER(IMPORTRANGE(""https://docs.google.com/spreadsheets/d/1kGrh75X1cNR1D7_FcY9zMnHP8iPO4M5RCRjy6nZY0TY/edit#gid=1248694442"",""Subgroup 5: Tf ~ Tx!C3:C8""), $A76=IMPORTRANGE(""https://docs.google.com/spreadsheets/d/1kGrh75X1cNR1D7_FcY9zMnHP8iPO4M5R"&amp;"CRjy6nZY0TY/edit#gid=1248694442"",""Subgroup 5: Tf ~ Tx!A3:A8"")),"""")"),"")</f>
        <v/>
      </c>
      <c r="K76" s="20" t="str">
        <f>IFERROR(__xludf.DUMMYFUNCTION("IFNA(FILTER(IMPORTRANGE(""https://docs.google.com/spreadsheets/d/1kGrh75X1cNR1D7_FcY9zMnHP8iPO4M5RCRjy6nZY0TY/edit#gid=1248694442"",""Subgroup 5: Tf ~ Tx!D3:D8""), $A76=IMPORTRANGE(""https://docs.google.com/spreadsheets/d/1kGrh75X1cNR1D7_FcY9zMnHP8iPO4M5R"&amp;"CRjy6nZY0TY/edit#gid=1248694442"",""Subgroup 5: Tf ~ Tx!A3:A8"")),"""")"),"")</f>
        <v/>
      </c>
      <c r="L76" s="20" t="str">
        <f>IFERROR(__xludf.DUMMYFUNCTION("IFNA(FILTER(IMPORTRANGE(""https://docs.google.com/spreadsheets/d/1kGrh75X1cNR1D7_FcY9zMnHP8iPO4M5RCRjy6nZY0TY/edit#gid=1248694442"",""Subgroup 5: Tf ~ Tx!E3:E8""), $A76=IMPORTRANGE(""https://docs.google.com/spreadsheets/d/1kGrh75X1cNR1D7_FcY9zMnHP8iPO4M5R"&amp;"CRjy6nZY0TY/edit#gid=1248694442"",""Subgroup 5: Tf ~ Tx!A3:A8"")),"""")"),"")</f>
        <v/>
      </c>
      <c r="M76" s="20" t="str">
        <f>IFERROR(__xludf.DUMMYFUNCTION("IFNA(FILTER(IMPORTRANGE(""https://docs.google.com/spreadsheets/d/1kGrh75X1cNR1D7_FcY9zMnHP8iPO4M5RCRjy6nZY0TY/edit#gid=1248694442"",""Subgroup 5: Tf ~ Tx!F3:F8""), $A76=IMPORTRANGE(""https://docs.google.com/spreadsheets/d/1kGrh75X1cNR1D7_FcY9zMnHP8iPO4M5R"&amp;"CRjy6nZY0TY/edit#gid=1248694442"",""Subgroup 5: Tf ~ Tx!A3:A8"")),"""")"),"")</f>
        <v/>
      </c>
      <c r="N76" s="20" t="str">
        <f>IFERROR(__xludf.DUMMYFUNCTION("IFNA(FILTER(IMPORTRANGE(""https://docs.google.com/spreadsheets/d/1kGrh75X1cNR1D7_FcY9zMnHP8iPO4M5RCRjy6nZY0TY/edit#gid=1248694442"",""Table 3: 1st-line HC!BE5:BE111""), $A76=IMPORTRANGE(""https://docs.google.com/spreadsheets/d/1kGrh75X1cNR1D7_FcY9zMnHP8iP"&amp;"O4M5RCRjy6nZY0TY/edit#gid=1248694442"",""Table 3: 1st-line HC!A5:A111"")),"""")"),"")</f>
        <v/>
      </c>
      <c r="O76" s="20" t="str">
        <f>IFERROR(__xludf.DUMMYFUNCTION("IFNA(FILTER(IMPORTRANGE(""https://docs.google.com/spreadsheets/d/1kGrh75X1cNR1D7_FcY9zMnHP8iPO4M5RCRjy6nZY0TY/edit#gid=1248694442"",""Table 3: 1st-line HC!BF5:BF111""), $A76=IMPORTRANGE(""https://docs.google.com/spreadsheets/d/1kGrh75X1cNR1D7_FcY9zMnHP8iP"&amp;"O4M5RCRjy6nZY0TY/edit#gid=1248694442"",""Table 3: 1st-line HC!A5:A111"")),"""")"),"")</f>
        <v/>
      </c>
      <c r="P76" s="20" t="str">
        <f>IFERROR(__xludf.DUMMYFUNCTION("IFNA(FILTER(IMPORTRANGE(""https://docs.google.com/spreadsheets/d/1kGrh75X1cNR1D7_FcY9zMnHP8iPO4M5RCRjy6nZY0TY/edit#gid=1248694442"",""Table 3: 1st-line HC!BG5:BG111""), $A76=IMPORTRANGE(""https://docs.google.com/spreadsheets/d/1kGrh75X1cNR1D7_FcY9zMnHP8iP"&amp;"O4M5RCRjy6nZY0TY/edit#gid=1248694442"",""Table 3: 1st-line HC!A5:A111"")),"""")"),"")</f>
        <v/>
      </c>
      <c r="Q76" s="21" t="str">
        <f>IFERROR(__xludf.DUMMYFUNCTION("IFNA(FILTER(IMPORTRANGE(""https://docs.google.com/spreadsheets/d/1kGrh75X1cNR1D7_FcY9zMnHP8iPO4M5RCRjy6nZY0TY/edit#gid=1248694442"",""Table 3: 1st-line HC!BH5:BH111""), $A76=IMPORTRANGE(""https://docs.google.com/spreadsheets/d/1kGrh75X1cNR1D7_FcY9zMnHP8iP"&amp;"O4M5RCRjy6nZY0TY/edit#gid=1248694442"",""Table 3: 1st-line HC!A5:A111"")),"""")"),"")</f>
        <v/>
      </c>
      <c r="R76" s="19" t="str">
        <f>IFERROR(__xludf.DUMMYFUNCTION("IFNA(FILTER(IMPORTRANGE(""https://docs.google.com/spreadsheets/d/1kGrh75X1cNR1D7_FcY9zMnHP8iPO4M5RCRjy6nZY0TY/edit#gid=1248694442"",""Table 3: 1st-line HC!AJ5:AJ111""), $A76=IMPORTRANGE(""https://docs.google.com/spreadsheets/d/1kGrh75X1cNR1D7_FcY9zMnHP8iP"&amp;"O4M5RCRjy6nZY0TY/edit#gid=1248694442"",""Table 3: 1st-line HC!A5:A111"")),"""")"),"")</f>
        <v/>
      </c>
      <c r="S76" s="20" t="str">
        <f>IFERROR(__xludf.DUMMYFUNCTION("IFNA(FILTER(IMPORTRANGE(""https://docs.google.com/spreadsheets/d/1kGrh75X1cNR1D7_FcY9zMnHP8iPO4M5RCRjy6nZY0TY/edit#gid=1248694442"",""Subgroup 3: Mi ~ Tx!B3:B17""), $A76=IMPORTRANGE(""https://docs.google.com/spreadsheets/d/1kGrh75X1cNR1D7_FcY9zMnHP8iPO4M5"&amp;"RCRjy6nZY0TY/edit#gid=1248694442"",""Subgroup 3: Mi ~ Tx!A3:A17"")),"""")"),"")</f>
        <v/>
      </c>
      <c r="T76" s="20" t="str">
        <f>IFERROR(__xludf.DUMMYFUNCTION("IFNA(FILTER(IMPORTRANGE(""https://docs.google.com/spreadsheets/d/1kGrh75X1cNR1D7_FcY9zMnHP8iPO4M5RCRjy6nZY0TY/edit#gid=1248694442"",""Subgroup 3: Mi ~ Tx!C3:C17""), $A76=IMPORTRANGE(""https://docs.google.com/spreadsheets/d/1kGrh75X1cNR1D7_FcY9zMnHP8iPO4M5"&amp;"RCRjy6nZY0TY/edit#gid=1248694442"",""Subgroup 3: Mi ~ Tx!A3:A17"")),"""")"),"")</f>
        <v/>
      </c>
      <c r="U76" s="20" t="str">
        <f>IFERROR(__xludf.DUMMYFUNCTION("IFNA(FILTER(IMPORTRANGE(""https://docs.google.com/spreadsheets/d/1kGrh75X1cNR1D7_FcY9zMnHP8iPO4M5RCRjy6nZY0TY/edit#gid=1248694442"",""Subgroup 3: Mi ~ Tx!D3:D17""), $A76=IMPORTRANGE(""https://docs.google.com/spreadsheets/d/1kGrh75X1cNR1D7_FcY9zMnHP8iPO4M5"&amp;"RCRjy6nZY0TY/edit#gid=1248694442"",""Subgroup 3: Mi ~ Tx!A3:A17"")),"""")"),"")</f>
        <v/>
      </c>
      <c r="V76" s="20" t="str">
        <f>IFERROR(__xludf.DUMMYFUNCTION("IFNA(FILTER(IMPORTRANGE(""https://docs.google.com/spreadsheets/d/1kGrh75X1cNR1D7_FcY9zMnHP8iPO4M5RCRjy6nZY0TY/edit#gid=1248694442"",""Subgroup 3: Mi ~ Tx!E3:E17""), $A76=IMPORTRANGE(""https://docs.google.com/spreadsheets/d/1kGrh75X1cNR1D7_FcY9zMnHP8iPO4M5"&amp;"RCRjy6nZY0TY/edit#gid=1248694442"",""Subgroup 3: Mi ~ Tx!A3:A17"")),"""")"),"")</f>
        <v/>
      </c>
      <c r="W76" s="20" t="str">
        <f>IFERROR(__xludf.DUMMYFUNCTION("IFNA(FILTER(IMPORTRANGE(""https://docs.google.com/spreadsheets/d/1kGrh75X1cNR1D7_FcY9zMnHP8iPO4M5RCRjy6nZY0TY/edit#gid=1248694442"",""Subgroup 3: Mi ~ Tx!F3:F17""), $A76=IMPORTRANGE(""https://docs.google.com/spreadsheets/d/1kGrh75X1cNR1D7_FcY9zMnHP8iPO4M5"&amp;"RCRjy6nZY0TY/edit#gid=1248694442"",""Subgroup 3: Mi ~ Tx!A3:A17"")),"""")"),"")</f>
        <v/>
      </c>
      <c r="X76" s="19">
        <f>IFERROR(__xludf.DUMMYFUNCTION("IFNA(FILTER(IMPORTRANGE(""https://docs.google.com/spreadsheets/d/1kGrh75X1cNR1D7_FcY9zMnHP8iPO4M5RCRjy6nZY0TY/edit#gid=1248694442"",""Table 3: 1st-line HC!AK5:AK111""), $A76=IMPORTRANGE(""https://docs.google.com/spreadsheets/d/1kGrh75X1cNR1D7_FcY9zMnHP8iP"&amp;"O4M5RCRjy6nZY0TY/edit#gid=1248694442"",""Table 3: 1st-line HC!A5:A111"")),"""")"),1.0)</f>
        <v>1</v>
      </c>
      <c r="Y76" s="20" t="str">
        <f>IFERROR(__xludf.DUMMYFUNCTION("IFNA(FILTER(IMPORTRANGE(""https://docs.google.com/spreadsheets/d/1kGrh75X1cNR1D7_FcY9zMnHP8iPO4M5RCRjy6nZY0TY/edit#gid=1248694442"",""Subgroup 4: Mp ~ Tx!B3:B20""), $A76=IMPORTRANGE(""https://docs.google.com/spreadsheets/d/1kGrh75X1cNR1D7_FcY9zMnHP8iPO4M5"&amp;"RCRjy6nZY0TY/edit#gid=1248694442"",""Subgroup 4: Mp ~ Tx!A3:A20"")),"""")"),"")</f>
        <v/>
      </c>
      <c r="Z76" s="20" t="str">
        <f>IFERROR(__xludf.DUMMYFUNCTION("IFNA(FILTER(IMPORTRANGE(""https://docs.google.com/spreadsheets/d/1kGrh75X1cNR1D7_FcY9zMnHP8iPO4M5RCRjy6nZY0TY/edit#gid=1248694442"",""Subgroup 4: Mp ~ Tx!C3:C20""), $A76=IMPORTRANGE(""https://docs.google.com/spreadsheets/d/1kGrh75X1cNR1D7_FcY9zMnHP8iPO4M5"&amp;"RCRjy6nZY0TY/edit#gid=1248694442"",""Subgroup 4: Mp ~ Tx!A3:A20"")),"""")"),"")</f>
        <v/>
      </c>
      <c r="AA76" s="20" t="str">
        <f>IFERROR(__xludf.DUMMYFUNCTION("IFNA(FILTER(IMPORTRANGE(""https://docs.google.com/spreadsheets/d/1kGrh75X1cNR1D7_FcY9zMnHP8iPO4M5RCRjy6nZY0TY/edit#gid=1248694442"",""Subgroup 4: Mp ~ Tx!D3:D20""), $A76=IMPORTRANGE(""https://docs.google.com/spreadsheets/d/1kGrh75X1cNR1D7_FcY9zMnHP8iPO4M5"&amp;"RCRjy6nZY0TY/edit#gid=1248694442"",""Subgroup 4: Mp ~ Tx!A3:A20"")),"""")"),"")</f>
        <v/>
      </c>
      <c r="AB76" s="20" t="str">
        <f>IFERROR(__xludf.DUMMYFUNCTION("IFNA(FILTER(IMPORTRANGE(""https://docs.google.com/spreadsheets/d/1kGrh75X1cNR1D7_FcY9zMnHP8iPO4M5RCRjy6nZY0TY/edit#gid=1248694442"",""Subgroup 4: Mp ~ Tx!E3:E20""), $A76=IMPORTRANGE(""https://docs.google.com/spreadsheets/d/1kGrh75X1cNR1D7_FcY9zMnHP8iPO4M5"&amp;"RCRjy6nZY0TY/edit#gid=1248694442"",""Subgroup 4: Mp ~ Tx!A3:A20"")),"""")"),"")</f>
        <v/>
      </c>
      <c r="AC76" s="20" t="str">
        <f>IFERROR(__xludf.DUMMYFUNCTION("IFNA(FILTER(IMPORTRANGE(""https://docs.google.com/spreadsheets/d/1kGrh75X1cNR1D7_FcY9zMnHP8iPO4M5RCRjy6nZY0TY/edit#gid=1248694442"",""Subgroup 4: Mp ~ Tx!F3:F20""), $A76=IMPORTRANGE(""https://docs.google.com/spreadsheets/d/1kGrh75X1cNR1D7_FcY9zMnHP8iPO4M5"&amp;"RCRjy6nZY0TY/edit#gid=1248694442"",""Subgroup 4: Mp ~ Tx!A3:A20"")),"""")"),"")</f>
        <v/>
      </c>
      <c r="AD76" s="22" t="str">
        <f>IFERROR(__xludf.DUMMYFUNCTION("IFNA(FILTER(IMPORTRANGE(""https://docs.google.com/spreadsheets/d/1kGrh75X1cNR1D7_FcY9zMnHP8iPO4M5RCRjy6nZY0TY/edit#gid=1248694442"",""Table 3: 1st-line HC!AL5:AL111""), $A76=IMPORTRANGE(""https://docs.google.com/spreadsheets/d/1kGrh75X1cNR1D7_FcY9zMnHP8iP"&amp;"O4M5RCRjy6nZY0TY/edit#gid=1248694442"",""Table 3: 1st-line HC!A5:A111"")),"""")"),"all happened in group 1, 3 weeks post procedure")</f>
        <v>all happened in group 1, 3 weeks post procedure</v>
      </c>
      <c r="AE76" s="20" t="str">
        <f>IFERROR(__xludf.DUMMYFUNCTION("IFNA(FILTER(IMPORTRANGE(""https://docs.google.com/spreadsheets/d/1kGrh75X1cNR1D7_FcY9zMnHP8iPO4M5RCRjy6nZY0TY/edit#gid=1248694442"",""Table 3: 1st-line HC!BJ5:BJ111""), $A76=IMPORTRANGE(""https://docs.google.com/spreadsheets/d/1kGrh75X1cNR1D7_FcY9zMnHP8iP"&amp;"O4M5RCRjy6nZY0TY/edit#gid=1248694442"",""Table 3: 1st-line HC!A5:A111"")),"""")"),"")</f>
        <v/>
      </c>
      <c r="AF76" s="20" t="str">
        <f>IFERROR(__xludf.DUMMYFUNCTION("IFNA(FILTER(IMPORTRANGE(""https://docs.google.com/spreadsheets/d/1kGrh75X1cNR1D7_FcY9zMnHP8iPO4M5RCRjy6nZY0TY/edit#gid=1248694442"",""Subgroup 2: Cr ~ Tx!B3:B23""), $A76=IMPORTRANGE(""https://docs.google.com/spreadsheets/d/1kGrh75X1cNR1D7_FcY9zMnHP8iPO4M5"&amp;"RCRjy6nZY0TY/edit#gid=1248694442"",""Subgroup 2: Cr ~ Tx!A3:A23"")),"""")"),"")</f>
        <v/>
      </c>
      <c r="AG76" s="20" t="str">
        <f>IFERROR(__xludf.DUMMYFUNCTION("IFNA(FILTER(IMPORTRANGE(""https://docs.google.com/spreadsheets/d/1kGrh75X1cNR1D7_FcY9zMnHP8iPO4M5RCRjy6nZY0TY/edit#gid=1248694442"",""Subgroup 2: Cr ~ Tx!C3:C23""), $A76=IMPORTRANGE(""https://docs.google.com/spreadsheets/d/1kGrh75X1cNR1D7_FcY9zMnHP8iPO4M5"&amp;"RCRjy6nZY0TY/edit#gid=1248694442"",""Subgroup 2: Cr ~ Tx!A3:A23"")),"""")"),"")</f>
        <v/>
      </c>
      <c r="AH76" s="20" t="str">
        <f>IFERROR(__xludf.DUMMYFUNCTION("IFNA(FILTER(IMPORTRANGE(""https://docs.google.com/spreadsheets/d/1kGrh75X1cNR1D7_FcY9zMnHP8iPO4M5RCRjy6nZY0TY/edit#gid=1248694442"",""Subgroup 2: Cr ~ Tx!D3:D23""), $A76=IMPORTRANGE(""https://docs.google.com/spreadsheets/d/1kGrh75X1cNR1D7_FcY9zMnHP8iPO4M5"&amp;"RCRjy6nZY0TY/edit#gid=1248694442"",""Subgroup 2: Cr ~ Tx!A3:A23"")),"""")"),"")</f>
        <v/>
      </c>
      <c r="AI76" s="20" t="str">
        <f>IFERROR(__xludf.DUMMYFUNCTION("IFNA(FILTER(IMPORTRANGE(""https://docs.google.com/spreadsheets/d/1kGrh75X1cNR1D7_FcY9zMnHP8iPO4M5RCRjy6nZY0TY/edit#gid=1248694442"",""Subgroup 2: Cr ~ Tx!E3:E23""), $A76=IMPORTRANGE(""https://docs.google.com/spreadsheets/d/1kGrh75X1cNR1D7_FcY9zMnHP8iPO4M5"&amp;"RCRjy6nZY0TY/edit#gid=1248694442"",""Subgroup 2: Cr ~ Tx!A3:A23"")),"""")"),"")</f>
        <v/>
      </c>
      <c r="AJ76" s="20" t="str">
        <f>IFERROR(__xludf.DUMMYFUNCTION("IFNA(FILTER(IMPORTRANGE(""https://docs.google.com/spreadsheets/d/1kGrh75X1cNR1D7_FcY9zMnHP8iPO4M5RCRjy6nZY0TY/edit#gid=1248694442"",""Subgroup 2: Cr ~ Tx!F3:F23""), $A76=IMPORTRANGE(""https://docs.google.com/spreadsheets/d/1kGrh75X1cNR1D7_FcY9zMnHP8iPO4M5"&amp;"RCRjy6nZY0TY/edit#gid=1248694442"",""Subgroup 2: Cr ~ Tx!A3:A23"")),"""")"),"")</f>
        <v/>
      </c>
      <c r="AK76" s="14" t="str">
        <f>IFERROR(__xludf.DUMMYFUNCTION("IFNA(FILTER(IMPORTRANGE(""https://docs.google.com/spreadsheets/d/1kGrh75X1cNR1D7_FcY9zMnHP8iPO4M5RCRjy6nZY0TY/edit#gid=1248694442"",""Table 4: 2nd-line HC or more!M5:M85""), $A76=IMPORTRANGE(""https://docs.google.com/spreadsheets/d/1kGrh75X1cNR1D7_FcY9zMn"&amp;"HP8iPO4M5RCRjy6nZY0TY/edit#gid=1248694442"",""Table 4: 2nd-line HC or more!A5:A85"")),"""")"),"")</f>
        <v/>
      </c>
      <c r="AL76" s="14" t="str">
        <f>IFERROR(__xludf.DUMMYFUNCTION("IFNA(FILTER(IMPORTRANGE(""https://docs.google.com/spreadsheets/d/1kGrh75X1cNR1D7_FcY9zMnHP8iPO4M5RCRjy6nZY0TY/edit#gid=1248694442"",""Table 4: 2nd-line HC or more!N5:N85""), $A76=IMPORTRANGE(""https://docs.google.com/spreadsheets/d/1kGrh75X1cNR1D7_FcY9zMn"&amp;"HP8iPO4M5RCRjy6nZY0TY/edit#gid=1248694442"",""Table 4: 2nd-line HC or more!A5:A85"")),"""")"),"")</f>
        <v/>
      </c>
      <c r="AM76" s="14" t="str">
        <f>IFERROR(__xludf.DUMMYFUNCTION("IFNA(FILTER(IMPORTRANGE(""https://docs.google.com/spreadsheets/d/1kGrh75X1cNR1D7_FcY9zMnHP8iPO4M5RCRjy6nZY0TY/edit#gid=1248694442"",""Table 4: 2nd-line HC or more!O5:O85""), $A76=IMPORTRANGE(""https://docs.google.com/spreadsheets/d/1kGrh75X1cNR1D7_FcY9zMn"&amp;"HP8iPO4M5RCRjy6nZY0TY/edit#gid=1248694442"",""Table 4: 2nd-line HC or more!A5:A85"")),"""")"),"")</f>
        <v/>
      </c>
      <c r="AN76" s="14">
        <f>IFERROR(__xludf.DUMMYFUNCTION("IFNA(FILTER(IMPORTRANGE(""https://docs.google.com/spreadsheets/d/1kGrh75X1cNR1D7_FcY9zMnHP8iPO4M5RCRjy6nZY0TY/edit#gid=1248694442"",""Table 3: 1st-line HC!AP5:AP111""), $A76=IMPORTRANGE(""https://docs.google.com/spreadsheets/d/1kGrh75X1cNR1D7_FcY9zMnHP8iP"&amp;"O4M5RCRjy6nZY0TY/edit#gid=1248694442"",""Table 3: 1st-line HC!A5:A111"")),"""")"),7.0)</f>
        <v>7</v>
      </c>
      <c r="AO76" s="14" t="str">
        <f>IFERROR(__xludf.DUMMYFUNCTION("IFNA(FILTER(IMPORTRANGE(""https://docs.google.com/spreadsheets/d/1kGrh75X1cNR1D7_FcY9zMnHP8iPO4M5RCRjy6nZY0TY/edit#gid=1248694442"",""Table 3: 1st-line HC!AO5:AO111""), $A76=IMPORTRANGE(""https://docs.google.com/spreadsheets/d/1kGrh75X1cNR1D7_FcY9zMnHP8iP"&amp;"O4M5RCRjy6nZY0TY/edit#gid=1248694442"",""Table 3: 1st-line HC!A5:A111"")),"""")"),"")</f>
        <v/>
      </c>
      <c r="AP76" s="14">
        <f>IFERROR(__xludf.DUMMYFUNCTION("IFNA(FILTER(IMPORTRANGE(""https://docs.google.com/spreadsheets/d/1kGrh75X1cNR1D7_FcY9zMnHP8iPO4M5RCRjy6nZY0TY/edit#gid=1248694442"",""Table 3: 1st-line HC!AQ5:AQ111""), $A76=IMPORTRANGE(""https://docs.google.com/spreadsheets/d/1kGrh75X1cNR1D7_FcY9zMnHP8iP"&amp;"O4M5RCRjy6nZY0TY/edit#gid=1248694442"",""Table 3: 1st-line HC!A5:A111"")),"""")"),5.0)</f>
        <v>5</v>
      </c>
      <c r="AQ76" s="14" t="str">
        <f>IFERROR(__xludf.DUMMYFUNCTION("IFNA(FILTER(IMPORTRANGE(""https://docs.google.com/spreadsheets/d/1kGrh75X1cNR1D7_FcY9zMnHP8iPO4M5RCRjy6nZY0TY/edit#gid=1248694442"",""Table 2: MMC!T5:T114""), $A76=IMPORTRANGE(""https://docs.google.com/spreadsheets/d/1kGrh75X1cNR1D7_FcY9zMnHP8iPO4M5RCRjy6"&amp;"nZY0TY/edit#gid=1248694442"",""Table 2: MMC!A5:A114"")),"""")"),"")</f>
        <v/>
      </c>
      <c r="AR76" s="14" t="str">
        <f>IFERROR(__xludf.DUMMYFUNCTION("IFNA(FILTER(IMPORTRANGE(""https://docs.google.com/spreadsheets/d/1kGrh75X1cNR1D7_FcY9zMnHP8iPO4M5RCRjy6nZY0TY/edit#gid=1248694442"",""Table 2: MMC!U5:U114""), $A76=IMPORTRANGE(""https://docs.google.com/spreadsheets/d/1kGrh75X1cNR1D7_FcY9zMnHP8iPO4M5RCRjy6"&amp;"nZY0TY/edit#gid=1248694442"",""Table 2: MMC!A5:A114"")),"""")"),"")</f>
        <v/>
      </c>
      <c r="AS76" s="14" t="str">
        <f>IFERROR(__xludf.DUMMYFUNCTION("IFNA(FILTER(IMPORTRANGE(""https://docs.google.com/spreadsheets/d/1kGrh75X1cNR1D7_FcY9zMnHP8iPO4M5RCRjy6nZY0TY/edit#gid=1248694442"",""Table 2: MMC!V5:V114""), $A76=IMPORTRANGE(""https://docs.google.com/spreadsheets/d/1kGrh75X1cNR1D7_FcY9zMnHP8iPO4M5RCRjy6"&amp;"nZY0TY/edit#gid=1248694442"",""Table 2: MMC!A5:A114"")),"""")"),"")</f>
        <v/>
      </c>
      <c r="AT76" s="4" t="str">
        <f>IFERROR(__xludf.DUMMYFUNCTION("IFNA(FILTER(IMPORTRANGE(""https://docs.google.com/spreadsheets/d/1kGrh75X1cNR1D7_FcY9zMnHP8iPO4M5RCRjy6nZY0TY/edit#gid=1248694442"",""Table 2: MMC!W5:W114""), $A76=IMPORTRANGE(""https://docs.google.com/spreadsheets/d/1kGrh75X1cNR1D7_FcY9zMnHP8iPO4M5RCRjy6"&amp;"nZY0TY/edit#gid=1248694442"",""Table 2: MMC!A5:A114"")),"""")"),"")</f>
        <v/>
      </c>
    </row>
    <row r="77">
      <c r="A77" s="4" t="str">
        <f>IFERROR(__xludf.DUMMYFUNCTION("""COMPUTED_VALUE"""),"ID 163")</f>
        <v>ID 163</v>
      </c>
      <c r="B77" s="20" t="str">
        <f>IFERROR(__xludf.DUMMYFUNCTION("IFNA(FILTER(IMPORTRANGE(""https://docs.google.com/spreadsheets/d/1kGrh75X1cNR1D7_FcY9zMnHP8iPO4M5RCRjy6nZY0TY/edit#gid=1248694442"",""Table 3: 1st-line HC!BK5:BK111""), $A77=IMPORTRANGE(""https://docs.google.com/spreadsheets/d/1kGrh75X1cNR1D7_FcY9zMnHP8iP"&amp;"O4M5RCRjy6nZY0TY/edit#gid=1248694442"",""Table 3: 1st-line HC!A5:A111"")),"""")"),"")</f>
        <v/>
      </c>
      <c r="C77" s="20" t="str">
        <f>IFERROR(__xludf.DUMMYFUNCTION("IFNA(FILTER(IMPORTRANGE(""https://docs.google.com/spreadsheets/d/1kGrh75X1cNR1D7_FcY9zMnHP8iPO4M5RCRjy6nZY0TY/edit#gid=1248694442"",""Subgroup 1: Fr ~ Tx!B3:B20""), $A77=IMPORTRANGE(""https://docs.google.com/spreadsheets/d/1kGrh75X1cNR1D7_FcY9zMnHP8iPO4M5"&amp;"RCRjy6nZY0TY/edit#gid=1248694442"",""Subgroup 1: Fr ~ Tx!A3:A20"")),"""")"),"")</f>
        <v/>
      </c>
      <c r="D77" s="20" t="str">
        <f>IFERROR(__xludf.DUMMYFUNCTION("IFNA(FILTER(IMPORTRANGE(""https://docs.google.com/spreadsheets/d/1kGrh75X1cNR1D7_FcY9zMnHP8iPO4M5RCRjy6nZY0TY/edit#gid=1248694442"",""Subgroup 1: Fr ~ Tx!C3:C20""), $A77=IMPORTRANGE(""https://docs.google.com/spreadsheets/d/1kGrh75X1cNR1D7_FcY9zMnHP8iPO4M5"&amp;"RCRjy6nZY0TY/edit#gid=1248694442"",""Subgroup 1: Fr ~ Tx!A3:A20"")),"""")"),"")</f>
        <v/>
      </c>
      <c r="E77" s="20" t="str">
        <f>IFERROR(__xludf.DUMMYFUNCTION("IFNA(FILTER(IMPORTRANGE(""https://docs.google.com/spreadsheets/d/1kGrh75X1cNR1D7_FcY9zMnHP8iPO4M5RCRjy6nZY0TY/edit#gid=1248694442"",""Subgroup 1: Fr ~ Tx!D3:D20""), $A77=IMPORTRANGE(""https://docs.google.com/spreadsheets/d/1kGrh75X1cNR1D7_FcY9zMnHP8iPO4M5"&amp;"RCRjy6nZY0TY/edit#gid=1248694442"",""Subgroup 1: Fr ~ Tx!A3:A20"")),"""")"),"")</f>
        <v/>
      </c>
      <c r="F77" s="20" t="str">
        <f>IFERROR(__xludf.DUMMYFUNCTION("IFNA(FILTER(IMPORTRANGE(""https://docs.google.com/spreadsheets/d/1kGrh75X1cNR1D7_FcY9zMnHP8iPO4M5RCRjy6nZY0TY/edit#gid=1248694442"",""Subgroup 1: Fr ~ Tx!E3:E20""), $A77=IMPORTRANGE(""https://docs.google.com/spreadsheets/d/1kGrh75X1cNR1D7_FcY9zMnHP8iPO4M5"&amp;"RCRjy6nZY0TY/edit#gid=1248694442"",""Subgroup 1: Fr ~ Tx!A3:A20"")),"""")"),"")</f>
        <v/>
      </c>
      <c r="G77" s="20" t="str">
        <f>IFERROR(__xludf.DUMMYFUNCTION("IFNA(FILTER(IMPORTRANGE(""https://docs.google.com/spreadsheets/d/1kGrh75X1cNR1D7_FcY9zMnHP8iPO4M5RCRjy6nZY0TY/edit#gid=1248694442"",""Subgroup 1: Fr ~ Tx!F3:F20""), $A77=IMPORTRANGE(""https://docs.google.com/spreadsheets/d/1kGrh75X1cNR1D7_FcY9zMnHP8iPO4M5"&amp;"RCRjy6nZY0TY/edit#gid=1248694442"",""Subgroup 1: Fr ~ Tx!A3:A20"")),"""")"),"")</f>
        <v/>
      </c>
      <c r="H77" s="20" t="str">
        <f>IFERROR(__xludf.DUMMYFUNCTION("IFNA(FILTER(IMPORTRANGE(""https://docs.google.com/spreadsheets/d/1kGrh75X1cNR1D7_FcY9zMnHP8iPO4M5RCRjy6nZY0TY/edit#gid=1248694442"",""Table 3: 1st-line HC!BD5:BD111""), $A77=IMPORTRANGE(""https://docs.google.com/spreadsheets/d/1kGrh75X1cNR1D7_FcY9zMnHP8iP"&amp;"O4M5RCRjy6nZY0TY/edit#gid=1248694442"",""Table 3: 1st-line HC!A5:A111"")),"""")"),"")</f>
        <v/>
      </c>
      <c r="I77" s="20" t="str">
        <f>IFERROR(__xludf.DUMMYFUNCTION("IFNA(FILTER(IMPORTRANGE(""https://docs.google.com/spreadsheets/d/1kGrh75X1cNR1D7_FcY9zMnHP8iPO4M5RCRjy6nZY0TY/edit#gid=1248694442"",""Subgroup 5: Tf ~ Tx!B3:B8""), $A77=IMPORTRANGE(""https://docs.google.com/spreadsheets/d/1kGrh75X1cNR1D7_FcY9zMnHP8iPO4M5R"&amp;"CRjy6nZY0TY/edit#gid=1248694442"",""Subgroup 5: Tf ~ Tx!A3:A8"")),"""")"),"")</f>
        <v/>
      </c>
      <c r="J77" s="20" t="str">
        <f>IFERROR(__xludf.DUMMYFUNCTION("IFNA(FILTER(IMPORTRANGE(""https://docs.google.com/spreadsheets/d/1kGrh75X1cNR1D7_FcY9zMnHP8iPO4M5RCRjy6nZY0TY/edit#gid=1248694442"",""Subgroup 5: Tf ~ Tx!C3:C8""), $A77=IMPORTRANGE(""https://docs.google.com/spreadsheets/d/1kGrh75X1cNR1D7_FcY9zMnHP8iPO4M5R"&amp;"CRjy6nZY0TY/edit#gid=1248694442"",""Subgroup 5: Tf ~ Tx!A3:A8"")),"""")"),"")</f>
        <v/>
      </c>
      <c r="K77" s="20" t="str">
        <f>IFERROR(__xludf.DUMMYFUNCTION("IFNA(FILTER(IMPORTRANGE(""https://docs.google.com/spreadsheets/d/1kGrh75X1cNR1D7_FcY9zMnHP8iPO4M5RCRjy6nZY0TY/edit#gid=1248694442"",""Subgroup 5: Tf ~ Tx!D3:D8""), $A77=IMPORTRANGE(""https://docs.google.com/spreadsheets/d/1kGrh75X1cNR1D7_FcY9zMnHP8iPO4M5R"&amp;"CRjy6nZY0TY/edit#gid=1248694442"",""Subgroup 5: Tf ~ Tx!A3:A8"")),"""")"),"")</f>
        <v/>
      </c>
      <c r="L77" s="20" t="str">
        <f>IFERROR(__xludf.DUMMYFUNCTION("IFNA(FILTER(IMPORTRANGE(""https://docs.google.com/spreadsheets/d/1kGrh75X1cNR1D7_FcY9zMnHP8iPO4M5RCRjy6nZY0TY/edit#gid=1248694442"",""Subgroup 5: Tf ~ Tx!E3:E8""), $A77=IMPORTRANGE(""https://docs.google.com/spreadsheets/d/1kGrh75X1cNR1D7_FcY9zMnHP8iPO4M5R"&amp;"CRjy6nZY0TY/edit#gid=1248694442"",""Subgroup 5: Tf ~ Tx!A3:A8"")),"""")"),"")</f>
        <v/>
      </c>
      <c r="M77" s="20" t="str">
        <f>IFERROR(__xludf.DUMMYFUNCTION("IFNA(FILTER(IMPORTRANGE(""https://docs.google.com/spreadsheets/d/1kGrh75X1cNR1D7_FcY9zMnHP8iPO4M5RCRjy6nZY0TY/edit#gid=1248694442"",""Subgroup 5: Tf ~ Tx!F3:F8""), $A77=IMPORTRANGE(""https://docs.google.com/spreadsheets/d/1kGrh75X1cNR1D7_FcY9zMnHP8iPO4M5R"&amp;"CRjy6nZY0TY/edit#gid=1248694442"",""Subgroup 5: Tf ~ Tx!A3:A8"")),"""")"),"")</f>
        <v/>
      </c>
      <c r="N77" s="20" t="str">
        <f>IFERROR(__xludf.DUMMYFUNCTION("IFNA(FILTER(IMPORTRANGE(""https://docs.google.com/spreadsheets/d/1kGrh75X1cNR1D7_FcY9zMnHP8iPO4M5RCRjy6nZY0TY/edit#gid=1248694442"",""Table 3: 1st-line HC!BE5:BE111""), $A77=IMPORTRANGE(""https://docs.google.com/spreadsheets/d/1kGrh75X1cNR1D7_FcY9zMnHP8iP"&amp;"O4M5RCRjy6nZY0TY/edit#gid=1248694442"",""Table 3: 1st-line HC!A5:A111"")),"""")"),"")</f>
        <v/>
      </c>
      <c r="O77" s="20" t="str">
        <f>IFERROR(__xludf.DUMMYFUNCTION("IFNA(FILTER(IMPORTRANGE(""https://docs.google.com/spreadsheets/d/1kGrh75X1cNR1D7_FcY9zMnHP8iPO4M5RCRjy6nZY0TY/edit#gid=1248694442"",""Table 3: 1st-line HC!BF5:BF111""), $A77=IMPORTRANGE(""https://docs.google.com/spreadsheets/d/1kGrh75X1cNR1D7_FcY9zMnHP8iP"&amp;"O4M5RCRjy6nZY0TY/edit#gid=1248694442"",""Table 3: 1st-line HC!A5:A111"")),"""")"),"")</f>
        <v/>
      </c>
      <c r="P77" s="20" t="str">
        <f>IFERROR(__xludf.DUMMYFUNCTION("IFNA(FILTER(IMPORTRANGE(""https://docs.google.com/spreadsheets/d/1kGrh75X1cNR1D7_FcY9zMnHP8iPO4M5RCRjy6nZY0TY/edit#gid=1248694442"",""Table 3: 1st-line HC!BG5:BG111""), $A77=IMPORTRANGE(""https://docs.google.com/spreadsheets/d/1kGrh75X1cNR1D7_FcY9zMnHP8iP"&amp;"O4M5RCRjy6nZY0TY/edit#gid=1248694442"",""Table 3: 1st-line HC!A5:A111"")),"""")"),"")</f>
        <v/>
      </c>
      <c r="Q77" s="21" t="str">
        <f>IFERROR(__xludf.DUMMYFUNCTION("IFNA(FILTER(IMPORTRANGE(""https://docs.google.com/spreadsheets/d/1kGrh75X1cNR1D7_FcY9zMnHP8iPO4M5RCRjy6nZY0TY/edit#gid=1248694442"",""Table 3: 1st-line HC!BH5:BH111""), $A77=IMPORTRANGE(""https://docs.google.com/spreadsheets/d/1kGrh75X1cNR1D7_FcY9zMnHP8iP"&amp;"O4M5RCRjy6nZY0TY/edit#gid=1248694442"",""Table 3: 1st-line HC!A5:A111"")),"""")"),"shunt dysfunction=42")</f>
        <v>shunt dysfunction=42</v>
      </c>
      <c r="R77" s="19" t="str">
        <f>IFERROR(__xludf.DUMMYFUNCTION("IFNA(FILTER(IMPORTRANGE(""https://docs.google.com/spreadsheets/d/1kGrh75X1cNR1D7_FcY9zMnHP8iPO4M5RCRjy6nZY0TY/edit#gid=1248694442"",""Table 3: 1st-line HC!AJ5:AJ111""), $A77=IMPORTRANGE(""https://docs.google.com/spreadsheets/d/1kGrh75X1cNR1D7_FcY9zMnHP8iP"&amp;"O4M5RCRjy6nZY0TY/edit#gid=1248694442"",""Table 3: 1st-line HC!A5:A111"")),"""")"),"")</f>
        <v/>
      </c>
      <c r="S77" s="20" t="str">
        <f>IFERROR(__xludf.DUMMYFUNCTION("IFNA(FILTER(IMPORTRANGE(""https://docs.google.com/spreadsheets/d/1kGrh75X1cNR1D7_FcY9zMnHP8iPO4M5RCRjy6nZY0TY/edit#gid=1248694442"",""Subgroup 3: Mi ~ Tx!B3:B17""), $A77=IMPORTRANGE(""https://docs.google.com/spreadsheets/d/1kGrh75X1cNR1D7_FcY9zMnHP8iPO4M5"&amp;"RCRjy6nZY0TY/edit#gid=1248694442"",""Subgroup 3: Mi ~ Tx!A3:A17"")),"""")"),"")</f>
        <v/>
      </c>
      <c r="T77" s="20" t="str">
        <f>IFERROR(__xludf.DUMMYFUNCTION("IFNA(FILTER(IMPORTRANGE(""https://docs.google.com/spreadsheets/d/1kGrh75X1cNR1D7_FcY9zMnHP8iPO4M5RCRjy6nZY0TY/edit#gid=1248694442"",""Subgroup 3: Mi ~ Tx!C3:C17""), $A77=IMPORTRANGE(""https://docs.google.com/spreadsheets/d/1kGrh75X1cNR1D7_FcY9zMnHP8iPO4M5"&amp;"RCRjy6nZY0TY/edit#gid=1248694442"",""Subgroup 3: Mi ~ Tx!A3:A17"")),"""")"),"")</f>
        <v/>
      </c>
      <c r="U77" s="20" t="str">
        <f>IFERROR(__xludf.DUMMYFUNCTION("IFNA(FILTER(IMPORTRANGE(""https://docs.google.com/spreadsheets/d/1kGrh75X1cNR1D7_FcY9zMnHP8iPO4M5RCRjy6nZY0TY/edit#gid=1248694442"",""Subgroup 3: Mi ~ Tx!D3:D17""), $A77=IMPORTRANGE(""https://docs.google.com/spreadsheets/d/1kGrh75X1cNR1D7_FcY9zMnHP8iPO4M5"&amp;"RCRjy6nZY0TY/edit#gid=1248694442"",""Subgroup 3: Mi ~ Tx!A3:A17"")),"""")"),"")</f>
        <v/>
      </c>
      <c r="V77" s="20" t="str">
        <f>IFERROR(__xludf.DUMMYFUNCTION("IFNA(FILTER(IMPORTRANGE(""https://docs.google.com/spreadsheets/d/1kGrh75X1cNR1D7_FcY9zMnHP8iPO4M5RCRjy6nZY0TY/edit#gid=1248694442"",""Subgroup 3: Mi ~ Tx!E3:E17""), $A77=IMPORTRANGE(""https://docs.google.com/spreadsheets/d/1kGrh75X1cNR1D7_FcY9zMnHP8iPO4M5"&amp;"RCRjy6nZY0TY/edit#gid=1248694442"",""Subgroup 3: Mi ~ Tx!A3:A17"")),"""")"),"")</f>
        <v/>
      </c>
      <c r="W77" s="20" t="str">
        <f>IFERROR(__xludf.DUMMYFUNCTION("IFNA(FILTER(IMPORTRANGE(""https://docs.google.com/spreadsheets/d/1kGrh75X1cNR1D7_FcY9zMnHP8iPO4M5RCRjy6nZY0TY/edit#gid=1248694442"",""Subgroup 3: Mi ~ Tx!F3:F17""), $A77=IMPORTRANGE(""https://docs.google.com/spreadsheets/d/1kGrh75X1cNR1D7_FcY9zMnHP8iPO4M5"&amp;"RCRjy6nZY0TY/edit#gid=1248694442"",""Subgroup 3: Mi ~ Tx!A3:A17"")),"""")"),"")</f>
        <v/>
      </c>
      <c r="X77" s="19" t="str">
        <f>IFERROR(__xludf.DUMMYFUNCTION("IFNA(FILTER(IMPORTRANGE(""https://docs.google.com/spreadsheets/d/1kGrh75X1cNR1D7_FcY9zMnHP8iPO4M5RCRjy6nZY0TY/edit#gid=1248694442"",""Table 3: 1st-line HC!AK5:AK111""), $A77=IMPORTRANGE(""https://docs.google.com/spreadsheets/d/1kGrh75X1cNR1D7_FcY9zMnHP8iP"&amp;"O4M5RCRjy6nZY0TY/edit#gid=1248694442"",""Table 3: 1st-line HC!A5:A111"")),"""")"),"")</f>
        <v/>
      </c>
      <c r="Y77" s="20" t="str">
        <f>IFERROR(__xludf.DUMMYFUNCTION("IFNA(FILTER(IMPORTRANGE(""https://docs.google.com/spreadsheets/d/1kGrh75X1cNR1D7_FcY9zMnHP8iPO4M5RCRjy6nZY0TY/edit#gid=1248694442"",""Subgroup 4: Mp ~ Tx!B3:B20""), $A77=IMPORTRANGE(""https://docs.google.com/spreadsheets/d/1kGrh75X1cNR1D7_FcY9zMnHP8iPO4M5"&amp;"RCRjy6nZY0TY/edit#gid=1248694442"",""Subgroup 4: Mp ~ Tx!A3:A20"")),"""")"),"")</f>
        <v/>
      </c>
      <c r="Z77" s="20" t="str">
        <f>IFERROR(__xludf.DUMMYFUNCTION("IFNA(FILTER(IMPORTRANGE(""https://docs.google.com/spreadsheets/d/1kGrh75X1cNR1D7_FcY9zMnHP8iPO4M5RCRjy6nZY0TY/edit#gid=1248694442"",""Subgroup 4: Mp ~ Tx!C3:C20""), $A77=IMPORTRANGE(""https://docs.google.com/spreadsheets/d/1kGrh75X1cNR1D7_FcY9zMnHP8iPO4M5"&amp;"RCRjy6nZY0TY/edit#gid=1248694442"",""Subgroup 4: Mp ~ Tx!A3:A20"")),"""")"),"")</f>
        <v/>
      </c>
      <c r="AA77" s="20" t="str">
        <f>IFERROR(__xludf.DUMMYFUNCTION("IFNA(FILTER(IMPORTRANGE(""https://docs.google.com/spreadsheets/d/1kGrh75X1cNR1D7_FcY9zMnHP8iPO4M5RCRjy6nZY0TY/edit#gid=1248694442"",""Subgroup 4: Mp ~ Tx!D3:D20""), $A77=IMPORTRANGE(""https://docs.google.com/spreadsheets/d/1kGrh75X1cNR1D7_FcY9zMnHP8iPO4M5"&amp;"RCRjy6nZY0TY/edit#gid=1248694442"",""Subgroup 4: Mp ~ Tx!A3:A20"")),"""")"),"")</f>
        <v/>
      </c>
      <c r="AB77" s="20" t="str">
        <f>IFERROR(__xludf.DUMMYFUNCTION("IFNA(FILTER(IMPORTRANGE(""https://docs.google.com/spreadsheets/d/1kGrh75X1cNR1D7_FcY9zMnHP8iPO4M5RCRjy6nZY0TY/edit#gid=1248694442"",""Subgroup 4: Mp ~ Tx!E3:E20""), $A77=IMPORTRANGE(""https://docs.google.com/spreadsheets/d/1kGrh75X1cNR1D7_FcY9zMnHP8iPO4M5"&amp;"RCRjy6nZY0TY/edit#gid=1248694442"",""Subgroup 4: Mp ~ Tx!A3:A20"")),"""")"),"")</f>
        <v/>
      </c>
      <c r="AC77" s="20" t="str">
        <f>IFERROR(__xludf.DUMMYFUNCTION("IFNA(FILTER(IMPORTRANGE(""https://docs.google.com/spreadsheets/d/1kGrh75X1cNR1D7_FcY9zMnHP8iPO4M5RCRjy6nZY0TY/edit#gid=1248694442"",""Subgroup 4: Mp ~ Tx!F3:F20""), $A77=IMPORTRANGE(""https://docs.google.com/spreadsheets/d/1kGrh75X1cNR1D7_FcY9zMnHP8iPO4M5"&amp;"RCRjy6nZY0TY/edit#gid=1248694442"",""Subgroup 4: Mp ~ Tx!A3:A20"")),"""")"),"")</f>
        <v/>
      </c>
      <c r="AD77" s="22" t="str">
        <f>IFERROR(__xludf.DUMMYFUNCTION("IFNA(FILTER(IMPORTRANGE(""https://docs.google.com/spreadsheets/d/1kGrh75X1cNR1D7_FcY9zMnHP8iPO4M5RCRjy6nZY0TY/edit#gid=1248694442"",""Table 3: 1st-line HC!AL5:AL111""), $A77=IMPORTRANGE(""https://docs.google.com/spreadsheets/d/1kGrh75X1cNR1D7_FcY9zMnHP8iP"&amp;"O4M5RCRjy6nZY0TY/edit#gid=1248694442"",""Table 3: 1st-line HC!A5:A111"")),"""")"),"")</f>
        <v/>
      </c>
      <c r="AE77" s="20" t="str">
        <f>IFERROR(__xludf.DUMMYFUNCTION("IFNA(FILTER(IMPORTRANGE(""https://docs.google.com/spreadsheets/d/1kGrh75X1cNR1D7_FcY9zMnHP8iPO4M5RCRjy6nZY0TY/edit#gid=1248694442"",""Table 3: 1st-line HC!BJ5:BJ111""), $A77=IMPORTRANGE(""https://docs.google.com/spreadsheets/d/1kGrh75X1cNR1D7_FcY9zMnHP8iP"&amp;"O4M5RCRjy6nZY0TY/edit#gid=1248694442"",""Table 3: 1st-line HC!A5:A111"")),"""")"),"")</f>
        <v/>
      </c>
      <c r="AF77" s="20" t="str">
        <f>IFERROR(__xludf.DUMMYFUNCTION("IFNA(FILTER(IMPORTRANGE(""https://docs.google.com/spreadsheets/d/1kGrh75X1cNR1D7_FcY9zMnHP8iPO4M5RCRjy6nZY0TY/edit#gid=1248694442"",""Subgroup 2: Cr ~ Tx!B3:B23""), $A77=IMPORTRANGE(""https://docs.google.com/spreadsheets/d/1kGrh75X1cNR1D7_FcY9zMnHP8iPO4M5"&amp;"RCRjy6nZY0TY/edit#gid=1248694442"",""Subgroup 2: Cr ~ Tx!A3:A23"")),"""")"),"")</f>
        <v/>
      </c>
      <c r="AG77" s="20" t="str">
        <f>IFERROR(__xludf.DUMMYFUNCTION("IFNA(FILTER(IMPORTRANGE(""https://docs.google.com/spreadsheets/d/1kGrh75X1cNR1D7_FcY9zMnHP8iPO4M5RCRjy6nZY0TY/edit#gid=1248694442"",""Subgroup 2: Cr ~ Tx!C3:C23""), $A77=IMPORTRANGE(""https://docs.google.com/spreadsheets/d/1kGrh75X1cNR1D7_FcY9zMnHP8iPO4M5"&amp;"RCRjy6nZY0TY/edit#gid=1248694442"",""Subgroup 2: Cr ~ Tx!A3:A23"")),"""")"),"")</f>
        <v/>
      </c>
      <c r="AH77" s="20" t="str">
        <f>IFERROR(__xludf.DUMMYFUNCTION("IFNA(FILTER(IMPORTRANGE(""https://docs.google.com/spreadsheets/d/1kGrh75X1cNR1D7_FcY9zMnHP8iPO4M5RCRjy6nZY0TY/edit#gid=1248694442"",""Subgroup 2: Cr ~ Tx!D3:D23""), $A77=IMPORTRANGE(""https://docs.google.com/spreadsheets/d/1kGrh75X1cNR1D7_FcY9zMnHP8iPO4M5"&amp;"RCRjy6nZY0TY/edit#gid=1248694442"",""Subgroup 2: Cr ~ Tx!A3:A23"")),"""")"),"")</f>
        <v/>
      </c>
      <c r="AI77" s="20" t="str">
        <f>IFERROR(__xludf.DUMMYFUNCTION("IFNA(FILTER(IMPORTRANGE(""https://docs.google.com/spreadsheets/d/1kGrh75X1cNR1D7_FcY9zMnHP8iPO4M5RCRjy6nZY0TY/edit#gid=1248694442"",""Subgroup 2: Cr ~ Tx!E3:E23""), $A77=IMPORTRANGE(""https://docs.google.com/spreadsheets/d/1kGrh75X1cNR1D7_FcY9zMnHP8iPO4M5"&amp;"RCRjy6nZY0TY/edit#gid=1248694442"",""Subgroup 2: Cr ~ Tx!A3:A23"")),"""")"),"")</f>
        <v/>
      </c>
      <c r="AJ77" s="20" t="str">
        <f>IFERROR(__xludf.DUMMYFUNCTION("IFNA(FILTER(IMPORTRANGE(""https://docs.google.com/spreadsheets/d/1kGrh75X1cNR1D7_FcY9zMnHP8iPO4M5RCRjy6nZY0TY/edit#gid=1248694442"",""Subgroup 2: Cr ~ Tx!F3:F23""), $A77=IMPORTRANGE(""https://docs.google.com/spreadsheets/d/1kGrh75X1cNR1D7_FcY9zMnHP8iPO4M5"&amp;"RCRjy6nZY0TY/edit#gid=1248694442"",""Subgroup 2: Cr ~ Tx!A3:A23"")),"""")"),"")</f>
        <v/>
      </c>
      <c r="AK77" s="14" t="str">
        <f>IFERROR(__xludf.DUMMYFUNCTION("IFNA(FILTER(IMPORTRANGE(""https://docs.google.com/spreadsheets/d/1kGrh75X1cNR1D7_FcY9zMnHP8iPO4M5RCRjy6nZY0TY/edit#gid=1248694442"",""Table 4: 2nd-line HC or more!M5:M85""), $A77=IMPORTRANGE(""https://docs.google.com/spreadsheets/d/1kGrh75X1cNR1D7_FcY9zMn"&amp;"HP8iPO4M5RCRjy6nZY0TY/edit#gid=1248694442"",""Table 4: 2nd-line HC or more!A5:A85"")),"""")"),"")</f>
        <v/>
      </c>
      <c r="AL77" s="14" t="str">
        <f>IFERROR(__xludf.DUMMYFUNCTION("IFNA(FILTER(IMPORTRANGE(""https://docs.google.com/spreadsheets/d/1kGrh75X1cNR1D7_FcY9zMnHP8iPO4M5RCRjy6nZY0TY/edit#gid=1248694442"",""Table 4: 2nd-line HC or more!N5:N85""), $A77=IMPORTRANGE(""https://docs.google.com/spreadsheets/d/1kGrh75X1cNR1D7_FcY9zMn"&amp;"HP8iPO4M5RCRjy6nZY0TY/edit#gid=1248694442"",""Table 4: 2nd-line HC or more!A5:A85"")),"""")"),"")</f>
        <v/>
      </c>
      <c r="AM77" s="14" t="str">
        <f>IFERROR(__xludf.DUMMYFUNCTION("IFNA(FILTER(IMPORTRANGE(""https://docs.google.com/spreadsheets/d/1kGrh75X1cNR1D7_FcY9zMnHP8iPO4M5RCRjy6nZY0TY/edit#gid=1248694442"",""Table 4: 2nd-line HC or more!O5:O85""), $A77=IMPORTRANGE(""https://docs.google.com/spreadsheets/d/1kGrh75X1cNR1D7_FcY9zMn"&amp;"HP8iPO4M5RCRjy6nZY0TY/edit#gid=1248694442"",""Table 4: 2nd-line HC or more!A5:A85"")),"""")"),"")</f>
        <v/>
      </c>
      <c r="AN77" s="14" t="str">
        <f>IFERROR(__xludf.DUMMYFUNCTION("IFNA(FILTER(IMPORTRANGE(""https://docs.google.com/spreadsheets/d/1kGrh75X1cNR1D7_FcY9zMnHP8iPO4M5RCRjy6nZY0TY/edit#gid=1248694442"",""Table 3: 1st-line HC!AP5:AP111""), $A77=IMPORTRANGE(""https://docs.google.com/spreadsheets/d/1kGrh75X1cNR1D7_FcY9zMnHP8iP"&amp;"O4M5RCRjy6nZY0TY/edit#gid=1248694442"",""Table 3: 1st-line HC!A5:A111"")),"""")"),"")</f>
        <v/>
      </c>
      <c r="AO77" s="14" t="str">
        <f>IFERROR(__xludf.DUMMYFUNCTION("IFNA(FILTER(IMPORTRANGE(""https://docs.google.com/spreadsheets/d/1kGrh75X1cNR1D7_FcY9zMnHP8iPO4M5RCRjy6nZY0TY/edit#gid=1248694442"",""Table 3: 1st-line HC!AO5:AO111""), $A77=IMPORTRANGE(""https://docs.google.com/spreadsheets/d/1kGrh75X1cNR1D7_FcY9zMnHP8iP"&amp;"O4M5RCRjy6nZY0TY/edit#gid=1248694442"",""Table 3: 1st-line HC!A5:A111"")),"""")"),"")</f>
        <v/>
      </c>
      <c r="AP77" s="14" t="str">
        <f>IFERROR(__xludf.DUMMYFUNCTION("IFNA(FILTER(IMPORTRANGE(""https://docs.google.com/spreadsheets/d/1kGrh75X1cNR1D7_FcY9zMnHP8iPO4M5RCRjy6nZY0TY/edit#gid=1248694442"",""Table 3: 1st-line HC!AQ5:AQ111""), $A77=IMPORTRANGE(""https://docs.google.com/spreadsheets/d/1kGrh75X1cNR1D7_FcY9zMnHP8iP"&amp;"O4M5RCRjy6nZY0TY/edit#gid=1248694442"",""Table 3: 1st-line HC!A5:A111"")),"""")"),"")</f>
        <v/>
      </c>
      <c r="AQ77" s="14" t="str">
        <f>IFERROR(__xludf.DUMMYFUNCTION("IFNA(FILTER(IMPORTRANGE(""https://docs.google.com/spreadsheets/d/1kGrh75X1cNR1D7_FcY9zMnHP8iPO4M5RCRjy6nZY0TY/edit#gid=1248694442"",""Table 2: MMC!T5:T114""), $A77=IMPORTRANGE(""https://docs.google.com/spreadsheets/d/1kGrh75X1cNR1D7_FcY9zMnHP8iPO4M5RCRjy6"&amp;"nZY0TY/edit#gid=1248694442"",""Table 2: MMC!A5:A114"")),"""")"),"")</f>
        <v/>
      </c>
      <c r="AR77" s="14" t="str">
        <f>IFERROR(__xludf.DUMMYFUNCTION("IFNA(FILTER(IMPORTRANGE(""https://docs.google.com/spreadsheets/d/1kGrh75X1cNR1D7_FcY9zMnHP8iPO4M5RCRjy6nZY0TY/edit#gid=1248694442"",""Table 2: MMC!U5:U114""), $A77=IMPORTRANGE(""https://docs.google.com/spreadsheets/d/1kGrh75X1cNR1D7_FcY9zMnHP8iPO4M5RCRjy6"&amp;"nZY0TY/edit#gid=1248694442"",""Table 2: MMC!A5:A114"")),"""")"),"")</f>
        <v/>
      </c>
      <c r="AS77" s="14" t="str">
        <f>IFERROR(__xludf.DUMMYFUNCTION("IFNA(FILTER(IMPORTRANGE(""https://docs.google.com/spreadsheets/d/1kGrh75X1cNR1D7_FcY9zMnHP8iPO4M5RCRjy6nZY0TY/edit#gid=1248694442"",""Table 2: MMC!V5:V114""), $A77=IMPORTRANGE(""https://docs.google.com/spreadsheets/d/1kGrh75X1cNR1D7_FcY9zMnHP8iPO4M5RCRjy6"&amp;"nZY0TY/edit#gid=1248694442"",""Table 2: MMC!A5:A114"")),"""")"),"")</f>
        <v/>
      </c>
      <c r="AT77" s="4" t="str">
        <f>IFERROR(__xludf.DUMMYFUNCTION("IFNA(FILTER(IMPORTRANGE(""https://docs.google.com/spreadsheets/d/1kGrh75X1cNR1D7_FcY9zMnHP8iPO4M5RCRjy6nZY0TY/edit#gid=1248694442"",""Table 2: MMC!W5:W114""), $A77=IMPORTRANGE(""https://docs.google.com/spreadsheets/d/1kGrh75X1cNR1D7_FcY9zMnHP8iPO4M5RCRjy6"&amp;"nZY0TY/edit#gid=1248694442"",""Table 2: MMC!A5:A114"")),"""")"),"")</f>
        <v/>
      </c>
    </row>
    <row r="78">
      <c r="A78" s="4" t="str">
        <f>IFERROR(__xludf.DUMMYFUNCTION("""COMPUTED_VALUE"""),"ID 164")</f>
        <v>ID 164</v>
      </c>
      <c r="B78" s="20" t="str">
        <f>IFERROR(__xludf.DUMMYFUNCTION("IFNA(FILTER(IMPORTRANGE(""https://docs.google.com/spreadsheets/d/1kGrh75X1cNR1D7_FcY9zMnHP8iPO4M5RCRjy6nZY0TY/edit#gid=1248694442"",""Table 3: 1st-line HC!BK5:BK111""), $A78=IMPORTRANGE(""https://docs.google.com/spreadsheets/d/1kGrh75X1cNR1D7_FcY9zMnHP8iP"&amp;"O4M5RCRjy6nZY0TY/edit#gid=1248694442"",""Table 3: 1st-line HC!A5:A111"")),"""")"),"")</f>
        <v/>
      </c>
      <c r="C78" s="20" t="str">
        <f>IFERROR(__xludf.DUMMYFUNCTION("IFNA(FILTER(IMPORTRANGE(""https://docs.google.com/spreadsheets/d/1kGrh75X1cNR1D7_FcY9zMnHP8iPO4M5RCRjy6nZY0TY/edit#gid=1248694442"",""Subgroup 1: Fr ~ Tx!B3:B20""), $A78=IMPORTRANGE(""https://docs.google.com/spreadsheets/d/1kGrh75X1cNR1D7_FcY9zMnHP8iPO4M5"&amp;"RCRjy6nZY0TY/edit#gid=1248694442"",""Subgroup 1: Fr ~ Tx!A3:A20"")),"""")"),"")</f>
        <v/>
      </c>
      <c r="D78" s="20" t="str">
        <f>IFERROR(__xludf.DUMMYFUNCTION("IFNA(FILTER(IMPORTRANGE(""https://docs.google.com/spreadsheets/d/1kGrh75X1cNR1D7_FcY9zMnHP8iPO4M5RCRjy6nZY0TY/edit#gid=1248694442"",""Subgroup 1: Fr ~ Tx!C3:C20""), $A78=IMPORTRANGE(""https://docs.google.com/spreadsheets/d/1kGrh75X1cNR1D7_FcY9zMnHP8iPO4M5"&amp;"RCRjy6nZY0TY/edit#gid=1248694442"",""Subgroup 1: Fr ~ Tx!A3:A20"")),"""")"),"")</f>
        <v/>
      </c>
      <c r="E78" s="20" t="str">
        <f>IFERROR(__xludf.DUMMYFUNCTION("IFNA(FILTER(IMPORTRANGE(""https://docs.google.com/spreadsheets/d/1kGrh75X1cNR1D7_FcY9zMnHP8iPO4M5RCRjy6nZY0TY/edit#gid=1248694442"",""Subgroup 1: Fr ~ Tx!D3:D20""), $A78=IMPORTRANGE(""https://docs.google.com/spreadsheets/d/1kGrh75X1cNR1D7_FcY9zMnHP8iPO4M5"&amp;"RCRjy6nZY0TY/edit#gid=1248694442"",""Subgroup 1: Fr ~ Tx!A3:A20"")),"""")"),"")</f>
        <v/>
      </c>
      <c r="F78" s="20" t="str">
        <f>IFERROR(__xludf.DUMMYFUNCTION("IFNA(FILTER(IMPORTRANGE(""https://docs.google.com/spreadsheets/d/1kGrh75X1cNR1D7_FcY9zMnHP8iPO4M5RCRjy6nZY0TY/edit#gid=1248694442"",""Subgroup 1: Fr ~ Tx!E3:E20""), $A78=IMPORTRANGE(""https://docs.google.com/spreadsheets/d/1kGrh75X1cNR1D7_FcY9zMnHP8iPO4M5"&amp;"RCRjy6nZY0TY/edit#gid=1248694442"",""Subgroup 1: Fr ~ Tx!A3:A20"")),"""")"),"")</f>
        <v/>
      </c>
      <c r="G78" s="20" t="str">
        <f>IFERROR(__xludf.DUMMYFUNCTION("IFNA(FILTER(IMPORTRANGE(""https://docs.google.com/spreadsheets/d/1kGrh75X1cNR1D7_FcY9zMnHP8iPO4M5RCRjy6nZY0TY/edit#gid=1248694442"",""Subgroup 1: Fr ~ Tx!F3:F20""), $A78=IMPORTRANGE(""https://docs.google.com/spreadsheets/d/1kGrh75X1cNR1D7_FcY9zMnHP8iPO4M5"&amp;"RCRjy6nZY0TY/edit#gid=1248694442"",""Subgroup 1: Fr ~ Tx!A3:A20"")),"""")"),"")</f>
        <v/>
      </c>
      <c r="H78" s="20">
        <f>IFERROR(__xludf.DUMMYFUNCTION("IFNA(FILTER(IMPORTRANGE(""https://docs.google.com/spreadsheets/d/1kGrh75X1cNR1D7_FcY9zMnHP8iPO4M5RCRjy6nZY0TY/edit#gid=1248694442"",""Table 3: 1st-line HC!BD5:BD111""), $A78=IMPORTRANGE(""https://docs.google.com/spreadsheets/d/1kGrh75X1cNR1D7_FcY9zMnHP8iP"&amp;"O4M5RCRjy6nZY0TY/edit#gid=1248694442"",""Table 3: 1st-line HC!A5:A111"")),"""")"),8.0)</f>
        <v>8</v>
      </c>
      <c r="I78" s="20" t="str">
        <f>IFERROR(__xludf.DUMMYFUNCTION("IFNA(FILTER(IMPORTRANGE(""https://docs.google.com/spreadsheets/d/1kGrh75X1cNR1D7_FcY9zMnHP8iPO4M5RCRjy6nZY0TY/edit#gid=1248694442"",""Subgroup 5: Tf ~ Tx!B3:B8""), $A78=IMPORTRANGE(""https://docs.google.com/spreadsheets/d/1kGrh75X1cNR1D7_FcY9zMnHP8iPO4M5R"&amp;"CRjy6nZY0TY/edit#gid=1248694442"",""Subgroup 5: Tf ~ Tx!A3:A8"")),"""")"),"")</f>
        <v/>
      </c>
      <c r="J78" s="20" t="str">
        <f>IFERROR(__xludf.DUMMYFUNCTION("IFNA(FILTER(IMPORTRANGE(""https://docs.google.com/spreadsheets/d/1kGrh75X1cNR1D7_FcY9zMnHP8iPO4M5RCRjy6nZY0TY/edit#gid=1248694442"",""Subgroup 5: Tf ~ Tx!C3:C8""), $A78=IMPORTRANGE(""https://docs.google.com/spreadsheets/d/1kGrh75X1cNR1D7_FcY9zMnHP8iPO4M5R"&amp;"CRjy6nZY0TY/edit#gid=1248694442"",""Subgroup 5: Tf ~ Tx!A3:A8"")),"""")"),"")</f>
        <v/>
      </c>
      <c r="K78" s="20" t="str">
        <f>IFERROR(__xludf.DUMMYFUNCTION("IFNA(FILTER(IMPORTRANGE(""https://docs.google.com/spreadsheets/d/1kGrh75X1cNR1D7_FcY9zMnHP8iPO4M5RCRjy6nZY0TY/edit#gid=1248694442"",""Subgroup 5: Tf ~ Tx!D3:D8""), $A78=IMPORTRANGE(""https://docs.google.com/spreadsheets/d/1kGrh75X1cNR1D7_FcY9zMnHP8iPO4M5R"&amp;"CRjy6nZY0TY/edit#gid=1248694442"",""Subgroup 5: Tf ~ Tx!A3:A8"")),"""")"),"")</f>
        <v/>
      </c>
      <c r="L78" s="20" t="str">
        <f>IFERROR(__xludf.DUMMYFUNCTION("IFNA(FILTER(IMPORTRANGE(""https://docs.google.com/spreadsheets/d/1kGrh75X1cNR1D7_FcY9zMnHP8iPO4M5RCRjy6nZY0TY/edit#gid=1248694442"",""Subgroup 5: Tf ~ Tx!E3:E8""), $A78=IMPORTRANGE(""https://docs.google.com/spreadsheets/d/1kGrh75X1cNR1D7_FcY9zMnHP8iPO4M5R"&amp;"CRjy6nZY0TY/edit#gid=1248694442"",""Subgroup 5: Tf ~ Tx!A3:A8"")),"""")"),"")</f>
        <v/>
      </c>
      <c r="M78" s="20" t="str">
        <f>IFERROR(__xludf.DUMMYFUNCTION("IFNA(FILTER(IMPORTRANGE(""https://docs.google.com/spreadsheets/d/1kGrh75X1cNR1D7_FcY9zMnHP8iPO4M5RCRjy6nZY0TY/edit#gid=1248694442"",""Subgroup 5: Tf ~ Tx!F3:F8""), $A78=IMPORTRANGE(""https://docs.google.com/spreadsheets/d/1kGrh75X1cNR1D7_FcY9zMnHP8iPO4M5R"&amp;"CRjy6nZY0TY/edit#gid=1248694442"",""Subgroup 5: Tf ~ Tx!A3:A8"")),"""")"),"")</f>
        <v/>
      </c>
      <c r="N78" s="20" t="str">
        <f>IFERROR(__xludf.DUMMYFUNCTION("IFNA(FILTER(IMPORTRANGE(""https://docs.google.com/spreadsheets/d/1kGrh75X1cNR1D7_FcY9zMnHP8iPO4M5RCRjy6nZY0TY/edit#gid=1248694442"",""Table 3: 1st-line HC!BE5:BE111""), $A78=IMPORTRANGE(""https://docs.google.com/spreadsheets/d/1kGrh75X1cNR1D7_FcY9zMnHP8iP"&amp;"O4M5RCRjy6nZY0TY/edit#gid=1248694442"",""Table 3: 1st-line HC!A5:A111"")),"""")"),"")</f>
        <v/>
      </c>
      <c r="O78" s="20" t="str">
        <f>IFERROR(__xludf.DUMMYFUNCTION("IFNA(FILTER(IMPORTRANGE(""https://docs.google.com/spreadsheets/d/1kGrh75X1cNR1D7_FcY9zMnHP8iPO4M5RCRjy6nZY0TY/edit#gid=1248694442"",""Table 3: 1st-line HC!BF5:BF111""), $A78=IMPORTRANGE(""https://docs.google.com/spreadsheets/d/1kGrh75X1cNR1D7_FcY9zMnHP8iP"&amp;"O4M5RCRjy6nZY0TY/edit#gid=1248694442"",""Table 3: 1st-line HC!A5:A111"")),"""")"),"")</f>
        <v/>
      </c>
      <c r="P78" s="20" t="str">
        <f>IFERROR(__xludf.DUMMYFUNCTION("IFNA(FILTER(IMPORTRANGE(""https://docs.google.com/spreadsheets/d/1kGrh75X1cNR1D7_FcY9zMnHP8iPO4M5RCRjy6nZY0TY/edit#gid=1248694442"",""Table 3: 1st-line HC!BG5:BG111""), $A78=IMPORTRANGE(""https://docs.google.com/spreadsheets/d/1kGrh75X1cNR1D7_FcY9zMnHP8iP"&amp;"O4M5RCRjy6nZY0TY/edit#gid=1248694442"",""Table 3: 1st-line HC!A5:A111"")),"""")"),"")</f>
        <v/>
      </c>
      <c r="Q78" s="21" t="str">
        <f>IFERROR(__xludf.DUMMYFUNCTION("IFNA(FILTER(IMPORTRANGE(""https://docs.google.com/spreadsheets/d/1kGrh75X1cNR1D7_FcY9zMnHP8iPO4M5RCRjy6nZY0TY/edit#gid=1248694442"",""Table 3: 1st-line HC!BH5:BH111""), $A78=IMPORTRANGE(""https://docs.google.com/spreadsheets/d/1kGrh75X1cNR1D7_FcY9zMnHP8iP"&amp;"O4M5RCRjy6nZY0TY/edit#gid=1248694442"",""Table 3: 1st-line HC!A5:A111"")),"""")"),"catheter displacement")</f>
        <v>catheter displacement</v>
      </c>
      <c r="R78" s="19" t="str">
        <f>IFERROR(__xludf.DUMMYFUNCTION("IFNA(FILTER(IMPORTRANGE(""https://docs.google.com/spreadsheets/d/1kGrh75X1cNR1D7_FcY9zMnHP8iPO4M5RCRjy6nZY0TY/edit#gid=1248694442"",""Table 3: 1st-line HC!AJ5:AJ111""), $A78=IMPORTRANGE(""https://docs.google.com/spreadsheets/d/1kGrh75X1cNR1D7_FcY9zMnHP8iP"&amp;"O4M5RCRjy6nZY0TY/edit#gid=1248694442"",""Table 3: 1st-line HC!A5:A111"")),"""")"),"")</f>
        <v/>
      </c>
      <c r="S78" s="20" t="str">
        <f>IFERROR(__xludf.DUMMYFUNCTION("IFNA(FILTER(IMPORTRANGE(""https://docs.google.com/spreadsheets/d/1kGrh75X1cNR1D7_FcY9zMnHP8iPO4M5RCRjy6nZY0TY/edit#gid=1248694442"",""Subgroup 3: Mi ~ Tx!B3:B17""), $A78=IMPORTRANGE(""https://docs.google.com/spreadsheets/d/1kGrh75X1cNR1D7_FcY9zMnHP8iPO4M5"&amp;"RCRjy6nZY0TY/edit#gid=1248694442"",""Subgroup 3: Mi ~ Tx!A3:A17"")),"""")"),"")</f>
        <v/>
      </c>
      <c r="T78" s="20" t="str">
        <f>IFERROR(__xludf.DUMMYFUNCTION("IFNA(FILTER(IMPORTRANGE(""https://docs.google.com/spreadsheets/d/1kGrh75X1cNR1D7_FcY9zMnHP8iPO4M5RCRjy6nZY0TY/edit#gid=1248694442"",""Subgroup 3: Mi ~ Tx!C3:C17""), $A78=IMPORTRANGE(""https://docs.google.com/spreadsheets/d/1kGrh75X1cNR1D7_FcY9zMnHP8iPO4M5"&amp;"RCRjy6nZY0TY/edit#gid=1248694442"",""Subgroup 3: Mi ~ Tx!A3:A17"")),"""")"),"")</f>
        <v/>
      </c>
      <c r="U78" s="20" t="str">
        <f>IFERROR(__xludf.DUMMYFUNCTION("IFNA(FILTER(IMPORTRANGE(""https://docs.google.com/spreadsheets/d/1kGrh75X1cNR1D7_FcY9zMnHP8iPO4M5RCRjy6nZY0TY/edit#gid=1248694442"",""Subgroup 3: Mi ~ Tx!D3:D17""), $A78=IMPORTRANGE(""https://docs.google.com/spreadsheets/d/1kGrh75X1cNR1D7_FcY9zMnHP8iPO4M5"&amp;"RCRjy6nZY0TY/edit#gid=1248694442"",""Subgroup 3: Mi ~ Tx!A3:A17"")),"""")"),"")</f>
        <v/>
      </c>
      <c r="V78" s="20" t="str">
        <f>IFERROR(__xludf.DUMMYFUNCTION("IFNA(FILTER(IMPORTRANGE(""https://docs.google.com/spreadsheets/d/1kGrh75X1cNR1D7_FcY9zMnHP8iPO4M5RCRjy6nZY0TY/edit#gid=1248694442"",""Subgroup 3: Mi ~ Tx!E3:E17""), $A78=IMPORTRANGE(""https://docs.google.com/spreadsheets/d/1kGrh75X1cNR1D7_FcY9zMnHP8iPO4M5"&amp;"RCRjy6nZY0TY/edit#gid=1248694442"",""Subgroup 3: Mi ~ Tx!A3:A17"")),"""")"),"")</f>
        <v/>
      </c>
      <c r="W78" s="20" t="str">
        <f>IFERROR(__xludf.DUMMYFUNCTION("IFNA(FILTER(IMPORTRANGE(""https://docs.google.com/spreadsheets/d/1kGrh75X1cNR1D7_FcY9zMnHP8iPO4M5RCRjy6nZY0TY/edit#gid=1248694442"",""Subgroup 3: Mi ~ Tx!F3:F17""), $A78=IMPORTRANGE(""https://docs.google.com/spreadsheets/d/1kGrh75X1cNR1D7_FcY9zMnHP8iPO4M5"&amp;"RCRjy6nZY0TY/edit#gid=1248694442"",""Subgroup 3: Mi ~ Tx!A3:A17"")),"""")"),"")</f>
        <v/>
      </c>
      <c r="X78" s="19" t="str">
        <f>IFERROR(__xludf.DUMMYFUNCTION("IFNA(FILTER(IMPORTRANGE(""https://docs.google.com/spreadsheets/d/1kGrh75X1cNR1D7_FcY9zMnHP8iPO4M5RCRjy6nZY0TY/edit#gid=1248694442"",""Table 3: 1st-line HC!AK5:AK111""), $A78=IMPORTRANGE(""https://docs.google.com/spreadsheets/d/1kGrh75X1cNR1D7_FcY9zMnHP8iP"&amp;"O4M5RCRjy6nZY0TY/edit#gid=1248694442"",""Table 3: 1st-line HC!A5:A111"")),"""")"),"")</f>
        <v/>
      </c>
      <c r="Y78" s="20" t="str">
        <f>IFERROR(__xludf.DUMMYFUNCTION("IFNA(FILTER(IMPORTRANGE(""https://docs.google.com/spreadsheets/d/1kGrh75X1cNR1D7_FcY9zMnHP8iPO4M5RCRjy6nZY0TY/edit#gid=1248694442"",""Subgroup 4: Mp ~ Tx!B3:B20""), $A78=IMPORTRANGE(""https://docs.google.com/spreadsheets/d/1kGrh75X1cNR1D7_FcY9zMnHP8iPO4M5"&amp;"RCRjy6nZY0TY/edit#gid=1248694442"",""Subgroup 4: Mp ~ Tx!A3:A20"")),"""")"),"")</f>
        <v/>
      </c>
      <c r="Z78" s="20" t="str">
        <f>IFERROR(__xludf.DUMMYFUNCTION("IFNA(FILTER(IMPORTRANGE(""https://docs.google.com/spreadsheets/d/1kGrh75X1cNR1D7_FcY9zMnHP8iPO4M5RCRjy6nZY0TY/edit#gid=1248694442"",""Subgroup 4: Mp ~ Tx!C3:C20""), $A78=IMPORTRANGE(""https://docs.google.com/spreadsheets/d/1kGrh75X1cNR1D7_FcY9zMnHP8iPO4M5"&amp;"RCRjy6nZY0TY/edit#gid=1248694442"",""Subgroup 4: Mp ~ Tx!A3:A20"")),"""")"),"")</f>
        <v/>
      </c>
      <c r="AA78" s="20" t="str">
        <f>IFERROR(__xludf.DUMMYFUNCTION("IFNA(FILTER(IMPORTRANGE(""https://docs.google.com/spreadsheets/d/1kGrh75X1cNR1D7_FcY9zMnHP8iPO4M5RCRjy6nZY0TY/edit#gid=1248694442"",""Subgroup 4: Mp ~ Tx!D3:D20""), $A78=IMPORTRANGE(""https://docs.google.com/spreadsheets/d/1kGrh75X1cNR1D7_FcY9zMnHP8iPO4M5"&amp;"RCRjy6nZY0TY/edit#gid=1248694442"",""Subgroup 4: Mp ~ Tx!A3:A20"")),"""")"),"")</f>
        <v/>
      </c>
      <c r="AB78" s="20" t="str">
        <f>IFERROR(__xludf.DUMMYFUNCTION("IFNA(FILTER(IMPORTRANGE(""https://docs.google.com/spreadsheets/d/1kGrh75X1cNR1D7_FcY9zMnHP8iPO4M5RCRjy6nZY0TY/edit#gid=1248694442"",""Subgroup 4: Mp ~ Tx!E3:E20""), $A78=IMPORTRANGE(""https://docs.google.com/spreadsheets/d/1kGrh75X1cNR1D7_FcY9zMnHP8iPO4M5"&amp;"RCRjy6nZY0TY/edit#gid=1248694442"",""Subgroup 4: Mp ~ Tx!A3:A20"")),"""")"),"")</f>
        <v/>
      </c>
      <c r="AC78" s="20" t="str">
        <f>IFERROR(__xludf.DUMMYFUNCTION("IFNA(FILTER(IMPORTRANGE(""https://docs.google.com/spreadsheets/d/1kGrh75X1cNR1D7_FcY9zMnHP8iPO4M5RCRjy6nZY0TY/edit#gid=1248694442"",""Subgroup 4: Mp ~ Tx!F3:F20""), $A78=IMPORTRANGE(""https://docs.google.com/spreadsheets/d/1kGrh75X1cNR1D7_FcY9zMnHP8iPO4M5"&amp;"RCRjy6nZY0TY/edit#gid=1248694442"",""Subgroup 4: Mp ~ Tx!A3:A20"")),"""")"),"")</f>
        <v/>
      </c>
      <c r="AD78" s="22" t="str">
        <f>IFERROR(__xludf.DUMMYFUNCTION("IFNA(FILTER(IMPORTRANGE(""https://docs.google.com/spreadsheets/d/1kGrh75X1cNR1D7_FcY9zMnHP8iPO4M5RCRjy6nZY0TY/edit#gid=1248694442"",""Table 3: 1st-line HC!AL5:AL111""), $A78=IMPORTRANGE(""https://docs.google.com/spreadsheets/d/1kGrh75X1cNR1D7_FcY9zMnHP8iP"&amp;"O4M5RCRjy6nZY0TY/edit#gid=1248694442"",""Table 3: 1st-line HC!A5:A111"")),"""")"),"")</f>
        <v/>
      </c>
      <c r="AE78" s="20">
        <f>IFERROR(__xludf.DUMMYFUNCTION("IFNA(FILTER(IMPORTRANGE(""https://docs.google.com/spreadsheets/d/1kGrh75X1cNR1D7_FcY9zMnHP8iPO4M5RCRjy6nZY0TY/edit#gid=1248694442"",""Table 3: 1st-line HC!BJ5:BJ111""), $A78=IMPORTRANGE(""https://docs.google.com/spreadsheets/d/1kGrh75X1cNR1D7_FcY9zMnHP8iP"&amp;"O4M5RCRjy6nZY0TY/edit#gid=1248694442"",""Table 3: 1st-line HC!A5:A111"")),"""")"),0.2)</f>
        <v>0.2</v>
      </c>
      <c r="AF78" s="20" t="str">
        <f>IFERROR(__xludf.DUMMYFUNCTION("IFNA(FILTER(IMPORTRANGE(""https://docs.google.com/spreadsheets/d/1kGrh75X1cNR1D7_FcY9zMnHP8iPO4M5RCRjy6nZY0TY/edit#gid=1248694442"",""Subgroup 2: Cr ~ Tx!B3:B23""), $A78=IMPORTRANGE(""https://docs.google.com/spreadsheets/d/1kGrh75X1cNR1D7_FcY9zMnHP8iPO4M5"&amp;"RCRjy6nZY0TY/edit#gid=1248694442"",""Subgroup 2: Cr ~ Tx!A3:A23"")),"""")"),"")</f>
        <v/>
      </c>
      <c r="AG78" s="20">
        <f>IFERROR(__xludf.DUMMYFUNCTION("IFNA(FILTER(IMPORTRANGE(""https://docs.google.com/spreadsheets/d/1kGrh75X1cNR1D7_FcY9zMnHP8iPO4M5RCRjy6nZY0TY/edit#gid=1248694442"",""Subgroup 2: Cr ~ Tx!C3:C23""), $A78=IMPORTRANGE(""https://docs.google.com/spreadsheets/d/1kGrh75X1cNR1D7_FcY9zMnHP8iPO4M5"&amp;"RCRjy6nZY0TY/edit#gid=1248694442"",""Subgroup 2: Cr ~ Tx!A3:A23"")),"""")"),0.2)</f>
        <v>0.2</v>
      </c>
      <c r="AH78" s="20" t="str">
        <f>IFERROR(__xludf.DUMMYFUNCTION("IFNA(FILTER(IMPORTRANGE(""https://docs.google.com/spreadsheets/d/1kGrh75X1cNR1D7_FcY9zMnHP8iPO4M5RCRjy6nZY0TY/edit#gid=1248694442"",""Subgroup 2: Cr ~ Tx!D3:D23""), $A78=IMPORTRANGE(""https://docs.google.com/spreadsheets/d/1kGrh75X1cNR1D7_FcY9zMnHP8iPO4M5"&amp;"RCRjy6nZY0TY/edit#gid=1248694442"",""Subgroup 2: Cr ~ Tx!A3:A23"")),"""")"),"")</f>
        <v/>
      </c>
      <c r="AI78" s="20" t="str">
        <f>IFERROR(__xludf.DUMMYFUNCTION("IFNA(FILTER(IMPORTRANGE(""https://docs.google.com/spreadsheets/d/1kGrh75X1cNR1D7_FcY9zMnHP8iPO4M5RCRjy6nZY0TY/edit#gid=1248694442"",""Subgroup 2: Cr ~ Tx!E3:E23""), $A78=IMPORTRANGE(""https://docs.google.com/spreadsheets/d/1kGrh75X1cNR1D7_FcY9zMnHP8iPO4M5"&amp;"RCRjy6nZY0TY/edit#gid=1248694442"",""Subgroup 2: Cr ~ Tx!A3:A23"")),"""")"),"")</f>
        <v/>
      </c>
      <c r="AJ78" s="20" t="str">
        <f>IFERROR(__xludf.DUMMYFUNCTION("IFNA(FILTER(IMPORTRANGE(""https://docs.google.com/spreadsheets/d/1kGrh75X1cNR1D7_FcY9zMnHP8iPO4M5RCRjy6nZY0TY/edit#gid=1248694442"",""Subgroup 2: Cr ~ Tx!F3:F23""), $A78=IMPORTRANGE(""https://docs.google.com/spreadsheets/d/1kGrh75X1cNR1D7_FcY9zMnHP8iPO4M5"&amp;"RCRjy6nZY0TY/edit#gid=1248694442"",""Subgroup 2: Cr ~ Tx!A3:A23"")),"""")"),"")</f>
        <v/>
      </c>
      <c r="AK78" s="14" t="str">
        <f>IFERROR(__xludf.DUMMYFUNCTION("IFNA(FILTER(IMPORTRANGE(""https://docs.google.com/spreadsheets/d/1kGrh75X1cNR1D7_FcY9zMnHP8iPO4M5RCRjy6nZY0TY/edit#gid=1248694442"",""Table 4: 2nd-line HC or more!M5:M85""), $A78=IMPORTRANGE(""https://docs.google.com/spreadsheets/d/1kGrh75X1cNR1D7_FcY9zMn"&amp;"HP8iPO4M5RCRjy6nZY0TY/edit#gid=1248694442"",""Table 4: 2nd-line HC or more!A5:A85"")),"""")"),"")</f>
        <v/>
      </c>
      <c r="AL78" s="14" t="str">
        <f>IFERROR(__xludf.DUMMYFUNCTION("IFNA(FILTER(IMPORTRANGE(""https://docs.google.com/spreadsheets/d/1kGrh75X1cNR1D7_FcY9zMnHP8iPO4M5RCRjy6nZY0TY/edit#gid=1248694442"",""Table 4: 2nd-line HC or more!N5:N85""), $A78=IMPORTRANGE(""https://docs.google.com/spreadsheets/d/1kGrh75X1cNR1D7_FcY9zMn"&amp;"HP8iPO4M5RCRjy6nZY0TY/edit#gid=1248694442"",""Table 4: 2nd-line HC or more!A5:A85"")),"""")"),"")</f>
        <v/>
      </c>
      <c r="AM78" s="14" t="str">
        <f>IFERROR(__xludf.DUMMYFUNCTION("IFNA(FILTER(IMPORTRANGE(""https://docs.google.com/spreadsheets/d/1kGrh75X1cNR1D7_FcY9zMnHP8iPO4M5RCRjy6nZY0TY/edit#gid=1248694442"",""Table 4: 2nd-line HC or more!O5:O85""), $A78=IMPORTRANGE(""https://docs.google.com/spreadsheets/d/1kGrh75X1cNR1D7_FcY9zMn"&amp;"HP8iPO4M5RCRjy6nZY0TY/edit#gid=1248694442"",""Table 4: 2nd-line HC or more!A5:A85"")),"""")"),"")</f>
        <v/>
      </c>
      <c r="AN78" s="14" t="str">
        <f>IFERROR(__xludf.DUMMYFUNCTION("IFNA(FILTER(IMPORTRANGE(""https://docs.google.com/spreadsheets/d/1kGrh75X1cNR1D7_FcY9zMnHP8iPO4M5RCRjy6nZY0TY/edit#gid=1248694442"",""Table 3: 1st-line HC!AP5:AP111""), $A78=IMPORTRANGE(""https://docs.google.com/spreadsheets/d/1kGrh75X1cNR1D7_FcY9zMnHP8iP"&amp;"O4M5RCRjy6nZY0TY/edit#gid=1248694442"",""Table 3: 1st-line HC!A5:A111"")),"""")"),"")</f>
        <v/>
      </c>
      <c r="AO78" s="14" t="str">
        <f>IFERROR(__xludf.DUMMYFUNCTION("IFNA(FILTER(IMPORTRANGE(""https://docs.google.com/spreadsheets/d/1kGrh75X1cNR1D7_FcY9zMnHP8iPO4M5RCRjy6nZY0TY/edit#gid=1248694442"",""Table 3: 1st-line HC!AO5:AO111""), $A78=IMPORTRANGE(""https://docs.google.com/spreadsheets/d/1kGrh75X1cNR1D7_FcY9zMnHP8iP"&amp;"O4M5RCRjy6nZY0TY/edit#gid=1248694442"",""Table 3: 1st-line HC!A5:A111"")),"""")"),"")</f>
        <v/>
      </c>
      <c r="AP78" s="14" t="str">
        <f>IFERROR(__xludf.DUMMYFUNCTION("IFNA(FILTER(IMPORTRANGE(""https://docs.google.com/spreadsheets/d/1kGrh75X1cNR1D7_FcY9zMnHP8iPO4M5RCRjy6nZY0TY/edit#gid=1248694442"",""Table 3: 1st-line HC!AQ5:AQ111""), $A78=IMPORTRANGE(""https://docs.google.com/spreadsheets/d/1kGrh75X1cNR1D7_FcY9zMnHP8iP"&amp;"O4M5RCRjy6nZY0TY/edit#gid=1248694442"",""Table 3: 1st-line HC!A5:A111"")),"""")"),"")</f>
        <v/>
      </c>
      <c r="AQ78" s="14" t="str">
        <f>IFERROR(__xludf.DUMMYFUNCTION("IFNA(FILTER(IMPORTRANGE(""https://docs.google.com/spreadsheets/d/1kGrh75X1cNR1D7_FcY9zMnHP8iPO4M5RCRjy6nZY0TY/edit#gid=1248694442"",""Table 2: MMC!T5:T114""), $A78=IMPORTRANGE(""https://docs.google.com/spreadsheets/d/1kGrh75X1cNR1D7_FcY9zMnHP8iPO4M5RCRjy6"&amp;"nZY0TY/edit#gid=1248694442"",""Table 2: MMC!A5:A114"")),"""")"),"")</f>
        <v/>
      </c>
      <c r="AR78" s="14" t="str">
        <f>IFERROR(__xludf.DUMMYFUNCTION("IFNA(FILTER(IMPORTRANGE(""https://docs.google.com/spreadsheets/d/1kGrh75X1cNR1D7_FcY9zMnHP8iPO4M5RCRjy6nZY0TY/edit#gid=1248694442"",""Table 2: MMC!U5:U114""), $A78=IMPORTRANGE(""https://docs.google.com/spreadsheets/d/1kGrh75X1cNR1D7_FcY9zMnHP8iPO4M5RCRjy6"&amp;"nZY0TY/edit#gid=1248694442"",""Table 2: MMC!A5:A114"")),"""")"),"")</f>
        <v/>
      </c>
      <c r="AS78" s="14" t="str">
        <f>IFERROR(__xludf.DUMMYFUNCTION("IFNA(FILTER(IMPORTRANGE(""https://docs.google.com/spreadsheets/d/1kGrh75X1cNR1D7_FcY9zMnHP8iPO4M5RCRjy6nZY0TY/edit#gid=1248694442"",""Table 2: MMC!V5:V114""), $A78=IMPORTRANGE(""https://docs.google.com/spreadsheets/d/1kGrh75X1cNR1D7_FcY9zMnHP8iPO4M5RCRjy6"&amp;"nZY0TY/edit#gid=1248694442"",""Table 2: MMC!A5:A114"")),"""")"),"")</f>
        <v/>
      </c>
      <c r="AT78" s="4" t="str">
        <f>IFERROR(__xludf.DUMMYFUNCTION("IFNA(FILTER(IMPORTRANGE(""https://docs.google.com/spreadsheets/d/1kGrh75X1cNR1D7_FcY9zMnHP8iPO4M5RCRjy6nZY0TY/edit#gid=1248694442"",""Table 2: MMC!W5:W114""), $A78=IMPORTRANGE(""https://docs.google.com/spreadsheets/d/1kGrh75X1cNR1D7_FcY9zMnHP8iPO4M5RCRjy6"&amp;"nZY0TY/edit#gid=1248694442"",""Table 2: MMC!A5:A114"")),"""")"),"")</f>
        <v/>
      </c>
    </row>
    <row r="79">
      <c r="A79" s="4" t="str">
        <f>IFERROR(__xludf.DUMMYFUNCTION("""COMPUTED_VALUE"""),"ID 165")</f>
        <v>ID 165</v>
      </c>
      <c r="B79" s="20" t="str">
        <f>IFERROR(__xludf.DUMMYFUNCTION("IFNA(FILTER(IMPORTRANGE(""https://docs.google.com/spreadsheets/d/1kGrh75X1cNR1D7_FcY9zMnHP8iPO4M5RCRjy6nZY0TY/edit#gid=1248694442"",""Table 3: 1st-line HC!BK5:BK111""), $A79=IMPORTRANGE(""https://docs.google.com/spreadsheets/d/1kGrh75X1cNR1D7_FcY9zMnHP8iP"&amp;"O4M5RCRjy6nZY0TY/edit#gid=1248694442"",""Table 3: 1st-line HC!A5:A111"")),"""")"),"")</f>
        <v/>
      </c>
      <c r="C79" s="20" t="str">
        <f>IFERROR(__xludf.DUMMYFUNCTION("IFNA(FILTER(IMPORTRANGE(""https://docs.google.com/spreadsheets/d/1kGrh75X1cNR1D7_FcY9zMnHP8iPO4M5RCRjy6nZY0TY/edit#gid=1248694442"",""Subgroup 1: Fr ~ Tx!B3:B20""), $A79=IMPORTRANGE(""https://docs.google.com/spreadsheets/d/1kGrh75X1cNR1D7_FcY9zMnHP8iPO4M5"&amp;"RCRjy6nZY0TY/edit#gid=1248694442"",""Subgroup 1: Fr ~ Tx!A3:A20"")),"""")"),"")</f>
        <v/>
      </c>
      <c r="D79" s="20" t="str">
        <f>IFERROR(__xludf.DUMMYFUNCTION("IFNA(FILTER(IMPORTRANGE(""https://docs.google.com/spreadsheets/d/1kGrh75X1cNR1D7_FcY9zMnHP8iPO4M5RCRjy6nZY0TY/edit#gid=1248694442"",""Subgroup 1: Fr ~ Tx!C3:C20""), $A79=IMPORTRANGE(""https://docs.google.com/spreadsheets/d/1kGrh75X1cNR1D7_FcY9zMnHP8iPO4M5"&amp;"RCRjy6nZY0TY/edit#gid=1248694442"",""Subgroup 1: Fr ~ Tx!A3:A20"")),"""")"),"")</f>
        <v/>
      </c>
      <c r="E79" s="20" t="str">
        <f>IFERROR(__xludf.DUMMYFUNCTION("IFNA(FILTER(IMPORTRANGE(""https://docs.google.com/spreadsheets/d/1kGrh75X1cNR1D7_FcY9zMnHP8iPO4M5RCRjy6nZY0TY/edit#gid=1248694442"",""Subgroup 1: Fr ~ Tx!D3:D20""), $A79=IMPORTRANGE(""https://docs.google.com/spreadsheets/d/1kGrh75X1cNR1D7_FcY9zMnHP8iPO4M5"&amp;"RCRjy6nZY0TY/edit#gid=1248694442"",""Subgroup 1: Fr ~ Tx!A3:A20"")),"""")"),"")</f>
        <v/>
      </c>
      <c r="F79" s="20" t="str">
        <f>IFERROR(__xludf.DUMMYFUNCTION("IFNA(FILTER(IMPORTRANGE(""https://docs.google.com/spreadsheets/d/1kGrh75X1cNR1D7_FcY9zMnHP8iPO4M5RCRjy6nZY0TY/edit#gid=1248694442"",""Subgroup 1: Fr ~ Tx!E3:E20""), $A79=IMPORTRANGE(""https://docs.google.com/spreadsheets/d/1kGrh75X1cNR1D7_FcY9zMnHP8iPO4M5"&amp;"RCRjy6nZY0TY/edit#gid=1248694442"",""Subgroup 1: Fr ~ Tx!A3:A20"")),"""")"),"")</f>
        <v/>
      </c>
      <c r="G79" s="20" t="str">
        <f>IFERROR(__xludf.DUMMYFUNCTION("IFNA(FILTER(IMPORTRANGE(""https://docs.google.com/spreadsheets/d/1kGrh75X1cNR1D7_FcY9zMnHP8iPO4M5RCRjy6nZY0TY/edit#gid=1248694442"",""Subgroup 1: Fr ~ Tx!F3:F20""), $A79=IMPORTRANGE(""https://docs.google.com/spreadsheets/d/1kGrh75X1cNR1D7_FcY9zMnHP8iPO4M5"&amp;"RCRjy6nZY0TY/edit#gid=1248694442"",""Subgroup 1: Fr ~ Tx!A3:A20"")),"""")"),"")</f>
        <v/>
      </c>
      <c r="H79" s="20" t="str">
        <f>IFERROR(__xludf.DUMMYFUNCTION("IFNA(FILTER(IMPORTRANGE(""https://docs.google.com/spreadsheets/d/1kGrh75X1cNR1D7_FcY9zMnHP8iPO4M5RCRjy6nZY0TY/edit#gid=1248694442"",""Table 3: 1st-line HC!BD5:BD111""), $A79=IMPORTRANGE(""https://docs.google.com/spreadsheets/d/1kGrh75X1cNR1D7_FcY9zMnHP8iP"&amp;"O4M5RCRjy6nZY0TY/edit#gid=1248694442"",""Table 3: 1st-line HC!A5:A111"")),"""")"),"")</f>
        <v/>
      </c>
      <c r="I79" s="20" t="str">
        <f>IFERROR(__xludf.DUMMYFUNCTION("IFNA(FILTER(IMPORTRANGE(""https://docs.google.com/spreadsheets/d/1kGrh75X1cNR1D7_FcY9zMnHP8iPO4M5RCRjy6nZY0TY/edit#gid=1248694442"",""Subgroup 5: Tf ~ Tx!B3:B8""), $A79=IMPORTRANGE(""https://docs.google.com/spreadsheets/d/1kGrh75X1cNR1D7_FcY9zMnHP8iPO4M5R"&amp;"CRjy6nZY0TY/edit#gid=1248694442"",""Subgroup 5: Tf ~ Tx!A3:A8"")),"""")"),"")</f>
        <v/>
      </c>
      <c r="J79" s="20" t="str">
        <f>IFERROR(__xludf.DUMMYFUNCTION("IFNA(FILTER(IMPORTRANGE(""https://docs.google.com/spreadsheets/d/1kGrh75X1cNR1D7_FcY9zMnHP8iPO4M5RCRjy6nZY0TY/edit#gid=1248694442"",""Subgroup 5: Tf ~ Tx!C3:C8""), $A79=IMPORTRANGE(""https://docs.google.com/spreadsheets/d/1kGrh75X1cNR1D7_FcY9zMnHP8iPO4M5R"&amp;"CRjy6nZY0TY/edit#gid=1248694442"",""Subgroup 5: Tf ~ Tx!A3:A8"")),"""")"),"")</f>
        <v/>
      </c>
      <c r="K79" s="20" t="str">
        <f>IFERROR(__xludf.DUMMYFUNCTION("IFNA(FILTER(IMPORTRANGE(""https://docs.google.com/spreadsheets/d/1kGrh75X1cNR1D7_FcY9zMnHP8iPO4M5RCRjy6nZY0TY/edit#gid=1248694442"",""Subgroup 5: Tf ~ Tx!D3:D8""), $A79=IMPORTRANGE(""https://docs.google.com/spreadsheets/d/1kGrh75X1cNR1D7_FcY9zMnHP8iPO4M5R"&amp;"CRjy6nZY0TY/edit#gid=1248694442"",""Subgroup 5: Tf ~ Tx!A3:A8"")),"""")"),"")</f>
        <v/>
      </c>
      <c r="L79" s="20" t="str">
        <f>IFERROR(__xludf.DUMMYFUNCTION("IFNA(FILTER(IMPORTRANGE(""https://docs.google.com/spreadsheets/d/1kGrh75X1cNR1D7_FcY9zMnHP8iPO4M5RCRjy6nZY0TY/edit#gid=1248694442"",""Subgroup 5: Tf ~ Tx!E3:E8""), $A79=IMPORTRANGE(""https://docs.google.com/spreadsheets/d/1kGrh75X1cNR1D7_FcY9zMnHP8iPO4M5R"&amp;"CRjy6nZY0TY/edit#gid=1248694442"",""Subgroup 5: Tf ~ Tx!A3:A8"")),"""")"),"")</f>
        <v/>
      </c>
      <c r="M79" s="20" t="str">
        <f>IFERROR(__xludf.DUMMYFUNCTION("IFNA(FILTER(IMPORTRANGE(""https://docs.google.com/spreadsheets/d/1kGrh75X1cNR1D7_FcY9zMnHP8iPO4M5RCRjy6nZY0TY/edit#gid=1248694442"",""Subgroup 5: Tf ~ Tx!F3:F8""), $A79=IMPORTRANGE(""https://docs.google.com/spreadsheets/d/1kGrh75X1cNR1D7_FcY9zMnHP8iPO4M5R"&amp;"CRjy6nZY0TY/edit#gid=1248694442"",""Subgroup 5: Tf ~ Tx!A3:A8"")),"""")"),"")</f>
        <v/>
      </c>
      <c r="N79" s="20" t="str">
        <f>IFERROR(__xludf.DUMMYFUNCTION("IFNA(FILTER(IMPORTRANGE(""https://docs.google.com/spreadsheets/d/1kGrh75X1cNR1D7_FcY9zMnHP8iPO4M5RCRjy6nZY0TY/edit#gid=1248694442"",""Table 3: 1st-line HC!BE5:BE111""), $A79=IMPORTRANGE(""https://docs.google.com/spreadsheets/d/1kGrh75X1cNR1D7_FcY9zMnHP8iP"&amp;"O4M5RCRjy6nZY0TY/edit#gid=1248694442"",""Table 3: 1st-line HC!A5:A111"")),"""")"),"")</f>
        <v/>
      </c>
      <c r="O79" s="20" t="str">
        <f>IFERROR(__xludf.DUMMYFUNCTION("IFNA(FILTER(IMPORTRANGE(""https://docs.google.com/spreadsheets/d/1kGrh75X1cNR1D7_FcY9zMnHP8iPO4M5RCRjy6nZY0TY/edit#gid=1248694442"",""Table 3: 1st-line HC!BF5:BF111""), $A79=IMPORTRANGE(""https://docs.google.com/spreadsheets/d/1kGrh75X1cNR1D7_FcY9zMnHP8iP"&amp;"O4M5RCRjy6nZY0TY/edit#gid=1248694442"",""Table 3: 1st-line HC!A5:A111"")),"""")"),"")</f>
        <v/>
      </c>
      <c r="P79" s="20" t="str">
        <f>IFERROR(__xludf.DUMMYFUNCTION("IFNA(FILTER(IMPORTRANGE(""https://docs.google.com/spreadsheets/d/1kGrh75X1cNR1D7_FcY9zMnHP8iPO4M5RCRjy6nZY0TY/edit#gid=1248694442"",""Table 3: 1st-line HC!BG5:BG111""), $A79=IMPORTRANGE(""https://docs.google.com/spreadsheets/d/1kGrh75X1cNR1D7_FcY9zMnHP8iP"&amp;"O4M5RCRjy6nZY0TY/edit#gid=1248694442"",""Table 3: 1st-line HC!A5:A111"")),"""")"),"")</f>
        <v/>
      </c>
      <c r="Q79" s="21" t="str">
        <f>IFERROR(__xludf.DUMMYFUNCTION("IFNA(FILTER(IMPORTRANGE(""https://docs.google.com/spreadsheets/d/1kGrh75X1cNR1D7_FcY9zMnHP8iPO4M5RCRjy6nZY0TY/edit#gid=1248694442"",""Table 3: 1st-line HC!BH5:BH111""), $A79=IMPORTRANGE(""https://docs.google.com/spreadsheets/d/1kGrh75X1cNR1D7_FcY9zMnHP8iP"&amp;"O4M5RCRjy6nZY0TY/edit#gid=1248694442"",""Table 3: 1st-line HC!A5:A111"")),"""")"),"")</f>
        <v/>
      </c>
      <c r="R79" s="19">
        <f>IFERROR(__xludf.DUMMYFUNCTION("IFNA(FILTER(IMPORTRANGE(""https://docs.google.com/spreadsheets/d/1kGrh75X1cNR1D7_FcY9zMnHP8iPO4M5RCRjy6nZY0TY/edit#gid=1248694442"",""Table 3: 1st-line HC!AJ5:AJ111""), $A79=IMPORTRANGE(""https://docs.google.com/spreadsheets/d/1kGrh75X1cNR1D7_FcY9zMnHP8iP"&amp;"O4M5RCRjy6nZY0TY/edit#gid=1248694442"",""Table 3: 1st-line HC!A5:A111"")),"""")"),0.0)</f>
        <v>0</v>
      </c>
      <c r="S79" s="20" t="str">
        <f>IFERROR(__xludf.DUMMYFUNCTION("IFNA(FILTER(IMPORTRANGE(""https://docs.google.com/spreadsheets/d/1kGrh75X1cNR1D7_FcY9zMnHP8iPO4M5RCRjy6nZY0TY/edit#gid=1248694442"",""Subgroup 3: Mi ~ Tx!B3:B17""), $A79=IMPORTRANGE(""https://docs.google.com/spreadsheets/d/1kGrh75X1cNR1D7_FcY9zMnHP8iPO4M5"&amp;"RCRjy6nZY0TY/edit#gid=1248694442"",""Subgroup 3: Mi ~ Tx!A3:A17"")),"""")"),"")</f>
        <v/>
      </c>
      <c r="T79" s="20">
        <f>IFERROR(__xludf.DUMMYFUNCTION("IFNA(FILTER(IMPORTRANGE(""https://docs.google.com/spreadsheets/d/1kGrh75X1cNR1D7_FcY9zMnHP8iPO4M5RCRjy6nZY0TY/edit#gid=1248694442"",""Subgroup 3: Mi ~ Tx!C3:C17""), $A79=IMPORTRANGE(""https://docs.google.com/spreadsheets/d/1kGrh75X1cNR1D7_FcY9zMnHP8iPO4M5"&amp;"RCRjy6nZY0TY/edit#gid=1248694442"",""Subgroup 3: Mi ~ Tx!A3:A17"")),"""")"),0.0)</f>
        <v>0</v>
      </c>
      <c r="U79" s="20" t="str">
        <f>IFERROR(__xludf.DUMMYFUNCTION("IFNA(FILTER(IMPORTRANGE(""https://docs.google.com/spreadsheets/d/1kGrh75X1cNR1D7_FcY9zMnHP8iPO4M5RCRjy6nZY0TY/edit#gid=1248694442"",""Subgroup 3: Mi ~ Tx!D3:D17""), $A79=IMPORTRANGE(""https://docs.google.com/spreadsheets/d/1kGrh75X1cNR1D7_FcY9zMnHP8iPO4M5"&amp;"RCRjy6nZY0TY/edit#gid=1248694442"",""Subgroup 3: Mi ~ Tx!A3:A17"")),"""")"),"")</f>
        <v/>
      </c>
      <c r="V79" s="20" t="str">
        <f>IFERROR(__xludf.DUMMYFUNCTION("IFNA(FILTER(IMPORTRANGE(""https://docs.google.com/spreadsheets/d/1kGrh75X1cNR1D7_FcY9zMnHP8iPO4M5RCRjy6nZY0TY/edit#gid=1248694442"",""Subgroup 3: Mi ~ Tx!E3:E17""), $A79=IMPORTRANGE(""https://docs.google.com/spreadsheets/d/1kGrh75X1cNR1D7_FcY9zMnHP8iPO4M5"&amp;"RCRjy6nZY0TY/edit#gid=1248694442"",""Subgroup 3: Mi ~ Tx!A3:A17"")),"""")"),"")</f>
        <v/>
      </c>
      <c r="W79" s="20" t="str">
        <f>IFERROR(__xludf.DUMMYFUNCTION("IFNA(FILTER(IMPORTRANGE(""https://docs.google.com/spreadsheets/d/1kGrh75X1cNR1D7_FcY9zMnHP8iPO4M5RCRjy6nZY0TY/edit#gid=1248694442"",""Subgroup 3: Mi ~ Tx!F3:F17""), $A79=IMPORTRANGE(""https://docs.google.com/spreadsheets/d/1kGrh75X1cNR1D7_FcY9zMnHP8iPO4M5"&amp;"RCRjy6nZY0TY/edit#gid=1248694442"",""Subgroup 3: Mi ~ Tx!A3:A17"")),"""")"),"")</f>
        <v/>
      </c>
      <c r="X79" s="19">
        <f>IFERROR(__xludf.DUMMYFUNCTION("IFNA(FILTER(IMPORTRANGE(""https://docs.google.com/spreadsheets/d/1kGrh75X1cNR1D7_FcY9zMnHP8iPO4M5RCRjy6nZY0TY/edit#gid=1248694442"",""Table 3: 1st-line HC!AK5:AK111""), $A79=IMPORTRANGE(""https://docs.google.com/spreadsheets/d/1kGrh75X1cNR1D7_FcY9zMnHP8iP"&amp;"O4M5RCRjy6nZY0TY/edit#gid=1248694442"",""Table 3: 1st-line HC!A5:A111"")),"""")"),0.0)</f>
        <v>0</v>
      </c>
      <c r="Y79" s="20" t="str">
        <f>IFERROR(__xludf.DUMMYFUNCTION("IFNA(FILTER(IMPORTRANGE(""https://docs.google.com/spreadsheets/d/1kGrh75X1cNR1D7_FcY9zMnHP8iPO4M5RCRjy6nZY0TY/edit#gid=1248694442"",""Subgroup 4: Mp ~ Tx!B3:B20""), $A79=IMPORTRANGE(""https://docs.google.com/spreadsheets/d/1kGrh75X1cNR1D7_FcY9zMnHP8iPO4M5"&amp;"RCRjy6nZY0TY/edit#gid=1248694442"",""Subgroup 4: Mp ~ Tx!A3:A20"")),"""")"),"")</f>
        <v/>
      </c>
      <c r="Z79" s="20">
        <f>IFERROR(__xludf.DUMMYFUNCTION("IFNA(FILTER(IMPORTRANGE(""https://docs.google.com/spreadsheets/d/1kGrh75X1cNR1D7_FcY9zMnHP8iPO4M5RCRjy6nZY0TY/edit#gid=1248694442"",""Subgroup 4: Mp ~ Tx!C3:C20""), $A79=IMPORTRANGE(""https://docs.google.com/spreadsheets/d/1kGrh75X1cNR1D7_FcY9zMnHP8iPO4M5"&amp;"RCRjy6nZY0TY/edit#gid=1248694442"",""Subgroup 4: Mp ~ Tx!A3:A20"")),"""")"),0.07476635514018691)</f>
        <v>0.07476635514</v>
      </c>
      <c r="AA79" s="20" t="str">
        <f>IFERROR(__xludf.DUMMYFUNCTION("IFNA(FILTER(IMPORTRANGE(""https://docs.google.com/spreadsheets/d/1kGrh75X1cNR1D7_FcY9zMnHP8iPO4M5RCRjy6nZY0TY/edit#gid=1248694442"",""Subgroup 4: Mp ~ Tx!D3:D20""), $A79=IMPORTRANGE(""https://docs.google.com/spreadsheets/d/1kGrh75X1cNR1D7_FcY9zMnHP8iPO4M5"&amp;"RCRjy6nZY0TY/edit#gid=1248694442"",""Subgroup 4: Mp ~ Tx!A3:A20"")),"""")"),"")</f>
        <v/>
      </c>
      <c r="AB79" s="20" t="str">
        <f>IFERROR(__xludf.DUMMYFUNCTION("IFNA(FILTER(IMPORTRANGE(""https://docs.google.com/spreadsheets/d/1kGrh75X1cNR1D7_FcY9zMnHP8iPO4M5RCRjy6nZY0TY/edit#gid=1248694442"",""Subgroup 4: Mp ~ Tx!E3:E20""), $A79=IMPORTRANGE(""https://docs.google.com/spreadsheets/d/1kGrh75X1cNR1D7_FcY9zMnHP8iPO4M5"&amp;"RCRjy6nZY0TY/edit#gid=1248694442"",""Subgroup 4: Mp ~ Tx!A3:A20"")),"""")"),"")</f>
        <v/>
      </c>
      <c r="AC79" s="20" t="str">
        <f>IFERROR(__xludf.DUMMYFUNCTION("IFNA(FILTER(IMPORTRANGE(""https://docs.google.com/spreadsheets/d/1kGrh75X1cNR1D7_FcY9zMnHP8iPO4M5RCRjy6nZY0TY/edit#gid=1248694442"",""Subgroup 4: Mp ~ Tx!F3:F20""), $A79=IMPORTRANGE(""https://docs.google.com/spreadsheets/d/1kGrh75X1cNR1D7_FcY9zMnHP8iPO4M5"&amp;"RCRjy6nZY0TY/edit#gid=1248694442"",""Subgroup 4: Mp ~ Tx!A3:A20"")),"""")"),"")</f>
        <v/>
      </c>
      <c r="AD79" s="22" t="str">
        <f>IFERROR(__xludf.DUMMYFUNCTION("IFNA(FILTER(IMPORTRANGE(""https://docs.google.com/spreadsheets/d/1kGrh75X1cNR1D7_FcY9zMnHP8iPO4M5RCRjy6nZY0TY/edit#gid=1248694442"",""Table 3: 1st-line HC!AL5:AL111""), $A79=IMPORTRANGE(""https://docs.google.com/spreadsheets/d/1kGrh75X1cNR1D7_FcY9zMnHP8iP"&amp;"O4M5RCRjy6nZY0TY/edit#gid=1248694442"",""Table 3: 1st-line HC!A5:A111"")),"""")"),"")</f>
        <v/>
      </c>
      <c r="AE79" s="20" t="str">
        <f>IFERROR(__xludf.DUMMYFUNCTION("IFNA(FILTER(IMPORTRANGE(""https://docs.google.com/spreadsheets/d/1kGrh75X1cNR1D7_FcY9zMnHP8iPO4M5RCRjy6nZY0TY/edit#gid=1248694442"",""Table 3: 1st-line HC!BJ5:BJ111""), $A79=IMPORTRANGE(""https://docs.google.com/spreadsheets/d/1kGrh75X1cNR1D7_FcY9zMnHP8iP"&amp;"O4M5RCRjy6nZY0TY/edit#gid=1248694442"",""Table 3: 1st-line HC!A5:A111"")),"""")"),"")</f>
        <v/>
      </c>
      <c r="AF79" s="20" t="str">
        <f>IFERROR(__xludf.DUMMYFUNCTION("IFNA(FILTER(IMPORTRANGE(""https://docs.google.com/spreadsheets/d/1kGrh75X1cNR1D7_FcY9zMnHP8iPO4M5RCRjy6nZY0TY/edit#gid=1248694442"",""Subgroup 2: Cr ~ Tx!B3:B23""), $A79=IMPORTRANGE(""https://docs.google.com/spreadsheets/d/1kGrh75X1cNR1D7_FcY9zMnHP8iPO4M5"&amp;"RCRjy6nZY0TY/edit#gid=1248694442"",""Subgroup 2: Cr ~ Tx!A3:A23"")),"""")"),"")</f>
        <v/>
      </c>
      <c r="AG79" s="20" t="str">
        <f>IFERROR(__xludf.DUMMYFUNCTION("IFNA(FILTER(IMPORTRANGE(""https://docs.google.com/spreadsheets/d/1kGrh75X1cNR1D7_FcY9zMnHP8iPO4M5RCRjy6nZY0TY/edit#gid=1248694442"",""Subgroup 2: Cr ~ Tx!C3:C23""), $A79=IMPORTRANGE(""https://docs.google.com/spreadsheets/d/1kGrh75X1cNR1D7_FcY9zMnHP8iPO4M5"&amp;"RCRjy6nZY0TY/edit#gid=1248694442"",""Subgroup 2: Cr ~ Tx!A3:A23"")),"""")"),"")</f>
        <v/>
      </c>
      <c r="AH79" s="20" t="str">
        <f>IFERROR(__xludf.DUMMYFUNCTION("IFNA(FILTER(IMPORTRANGE(""https://docs.google.com/spreadsheets/d/1kGrh75X1cNR1D7_FcY9zMnHP8iPO4M5RCRjy6nZY0TY/edit#gid=1248694442"",""Subgroup 2: Cr ~ Tx!D3:D23""), $A79=IMPORTRANGE(""https://docs.google.com/spreadsheets/d/1kGrh75X1cNR1D7_FcY9zMnHP8iPO4M5"&amp;"RCRjy6nZY0TY/edit#gid=1248694442"",""Subgroup 2: Cr ~ Tx!A3:A23"")),"""")"),"")</f>
        <v/>
      </c>
      <c r="AI79" s="20" t="str">
        <f>IFERROR(__xludf.DUMMYFUNCTION("IFNA(FILTER(IMPORTRANGE(""https://docs.google.com/spreadsheets/d/1kGrh75X1cNR1D7_FcY9zMnHP8iPO4M5RCRjy6nZY0TY/edit#gid=1248694442"",""Subgroup 2: Cr ~ Tx!E3:E23""), $A79=IMPORTRANGE(""https://docs.google.com/spreadsheets/d/1kGrh75X1cNR1D7_FcY9zMnHP8iPO4M5"&amp;"RCRjy6nZY0TY/edit#gid=1248694442"",""Subgroup 2: Cr ~ Tx!A3:A23"")),"""")"),"")</f>
        <v/>
      </c>
      <c r="AJ79" s="20" t="str">
        <f>IFERROR(__xludf.DUMMYFUNCTION("IFNA(FILTER(IMPORTRANGE(""https://docs.google.com/spreadsheets/d/1kGrh75X1cNR1D7_FcY9zMnHP8iPO4M5RCRjy6nZY0TY/edit#gid=1248694442"",""Subgroup 2: Cr ~ Tx!F3:F23""), $A79=IMPORTRANGE(""https://docs.google.com/spreadsheets/d/1kGrh75X1cNR1D7_FcY9zMnHP8iPO4M5"&amp;"RCRjy6nZY0TY/edit#gid=1248694442"",""Subgroup 2: Cr ~ Tx!A3:A23"")),"""")"),"")</f>
        <v/>
      </c>
      <c r="AK79" s="14" t="str">
        <f>IFERROR(__xludf.DUMMYFUNCTION("IFNA(FILTER(IMPORTRANGE(""https://docs.google.com/spreadsheets/d/1kGrh75X1cNR1D7_FcY9zMnHP8iPO4M5RCRjy6nZY0TY/edit#gid=1248694442"",""Table 4: 2nd-line HC or more!M5:M85""), $A79=IMPORTRANGE(""https://docs.google.com/spreadsheets/d/1kGrh75X1cNR1D7_FcY9zMn"&amp;"HP8iPO4M5RCRjy6nZY0TY/edit#gid=1248694442"",""Table 4: 2nd-line HC or more!A5:A85"")),"""")"),"")</f>
        <v/>
      </c>
      <c r="AL79" s="14" t="str">
        <f>IFERROR(__xludf.DUMMYFUNCTION("IFNA(FILTER(IMPORTRANGE(""https://docs.google.com/spreadsheets/d/1kGrh75X1cNR1D7_FcY9zMnHP8iPO4M5RCRjy6nZY0TY/edit#gid=1248694442"",""Table 4: 2nd-line HC or more!N5:N85""), $A79=IMPORTRANGE(""https://docs.google.com/spreadsheets/d/1kGrh75X1cNR1D7_FcY9zMn"&amp;"HP8iPO4M5RCRjy6nZY0TY/edit#gid=1248694442"",""Table 4: 2nd-line HC or more!A5:A85"")),"""")"),"")</f>
        <v/>
      </c>
      <c r="AM79" s="14" t="str">
        <f>IFERROR(__xludf.DUMMYFUNCTION("IFNA(FILTER(IMPORTRANGE(""https://docs.google.com/spreadsheets/d/1kGrh75X1cNR1D7_FcY9zMnHP8iPO4M5RCRjy6nZY0TY/edit#gid=1248694442"",""Table 4: 2nd-line HC or more!O5:O85""), $A79=IMPORTRANGE(""https://docs.google.com/spreadsheets/d/1kGrh75X1cNR1D7_FcY9zMn"&amp;"HP8iPO4M5RCRjy6nZY0TY/edit#gid=1248694442"",""Table 4: 2nd-line HC or more!A5:A85"")),"""")"),"")</f>
        <v/>
      </c>
      <c r="AN79" s="14" t="str">
        <f>IFERROR(__xludf.DUMMYFUNCTION("IFNA(FILTER(IMPORTRANGE(""https://docs.google.com/spreadsheets/d/1kGrh75X1cNR1D7_FcY9zMnHP8iPO4M5RCRjy6nZY0TY/edit#gid=1248694442"",""Table 3: 1st-line HC!AP5:AP111""), $A79=IMPORTRANGE(""https://docs.google.com/spreadsheets/d/1kGrh75X1cNR1D7_FcY9zMnHP8iP"&amp;"O4M5RCRjy6nZY0TY/edit#gid=1248694442"",""Table 3: 1st-line HC!A5:A111"")),"""")"),"")</f>
        <v/>
      </c>
      <c r="AO79" s="14">
        <f>IFERROR(__xludf.DUMMYFUNCTION("IFNA(FILTER(IMPORTRANGE(""https://docs.google.com/spreadsheets/d/1kGrh75X1cNR1D7_FcY9zMnHP8iPO4M5RCRjy6nZY0TY/edit#gid=1248694442"",""Table 3: 1st-line HC!AO5:AO111""), $A79=IMPORTRANGE(""https://docs.google.com/spreadsheets/d/1kGrh75X1cNR1D7_FcY9zMnHP8iP"&amp;"O4M5RCRjy6nZY0TY/edit#gid=1248694442"",""Table 3: 1st-line HC!A5:A111"")),"""")"),13.0)</f>
        <v>13</v>
      </c>
      <c r="AP79" s="14" t="str">
        <f>IFERROR(__xludf.DUMMYFUNCTION("IFNA(FILTER(IMPORTRANGE(""https://docs.google.com/spreadsheets/d/1kGrh75X1cNR1D7_FcY9zMnHP8iPO4M5RCRjy6nZY0TY/edit#gid=1248694442"",""Table 3: 1st-line HC!AQ5:AQ111""), $A79=IMPORTRANGE(""https://docs.google.com/spreadsheets/d/1kGrh75X1cNR1D7_FcY9zMnHP8iP"&amp;"O4M5RCRjy6nZY0TY/edit#gid=1248694442"",""Table 3: 1st-line HC!A5:A111"")),"""")"),"")</f>
        <v/>
      </c>
      <c r="AQ79" s="14" t="str">
        <f>IFERROR(__xludf.DUMMYFUNCTION("IFNA(FILTER(IMPORTRANGE(""https://docs.google.com/spreadsheets/d/1kGrh75X1cNR1D7_FcY9zMnHP8iPO4M5RCRjy6nZY0TY/edit#gid=1248694442"",""Table 2: MMC!T5:T114""), $A79=IMPORTRANGE(""https://docs.google.com/spreadsheets/d/1kGrh75X1cNR1D7_FcY9zMnHP8iPO4M5RCRjy6"&amp;"nZY0TY/edit#gid=1248694442"",""Table 2: MMC!A5:A114"")),"""")"),"")</f>
        <v/>
      </c>
      <c r="AR79" s="14" t="str">
        <f>IFERROR(__xludf.DUMMYFUNCTION("IFNA(FILTER(IMPORTRANGE(""https://docs.google.com/spreadsheets/d/1kGrh75X1cNR1D7_FcY9zMnHP8iPO4M5RCRjy6nZY0TY/edit#gid=1248694442"",""Table 2: MMC!U5:U114""), $A79=IMPORTRANGE(""https://docs.google.com/spreadsheets/d/1kGrh75X1cNR1D7_FcY9zMnHP8iPO4M5RCRjy6"&amp;"nZY0TY/edit#gid=1248694442"",""Table 2: MMC!A5:A114"")),"""")"),"")</f>
        <v/>
      </c>
      <c r="AS79" s="14" t="str">
        <f>IFERROR(__xludf.DUMMYFUNCTION("IFNA(FILTER(IMPORTRANGE(""https://docs.google.com/spreadsheets/d/1kGrh75X1cNR1D7_FcY9zMnHP8iPO4M5RCRjy6nZY0TY/edit#gid=1248694442"",""Table 2: MMC!V5:V114""), $A79=IMPORTRANGE(""https://docs.google.com/spreadsheets/d/1kGrh75X1cNR1D7_FcY9zMnHP8iPO4M5RCRjy6"&amp;"nZY0TY/edit#gid=1248694442"",""Table 2: MMC!A5:A114"")),"""")"),"")</f>
        <v/>
      </c>
      <c r="AT79" s="4" t="str">
        <f>IFERROR(__xludf.DUMMYFUNCTION("IFNA(FILTER(IMPORTRANGE(""https://docs.google.com/spreadsheets/d/1kGrh75X1cNR1D7_FcY9zMnHP8iPO4M5RCRjy6nZY0TY/edit#gid=1248694442"",""Table 2: MMC!W5:W114""), $A79=IMPORTRANGE(""https://docs.google.com/spreadsheets/d/1kGrh75X1cNR1D7_FcY9zMnHP8iPO4M5RCRjy6"&amp;"nZY0TY/edit#gid=1248694442"",""Table 2: MMC!A5:A114"")),"""")"),"Wound healing complications (nonspecific)=22")</f>
        <v>Wound healing complications (nonspecific)=22</v>
      </c>
    </row>
    <row r="80">
      <c r="A80" s="4" t="str">
        <f>IFERROR(__xludf.DUMMYFUNCTION("""COMPUTED_VALUE"""),"ID 166")</f>
        <v>ID 166</v>
      </c>
      <c r="B80" s="20" t="str">
        <f>IFERROR(__xludf.DUMMYFUNCTION("IFNA(FILTER(IMPORTRANGE(""https://docs.google.com/spreadsheets/d/1kGrh75X1cNR1D7_FcY9zMnHP8iPO4M5RCRjy6nZY0TY/edit#gid=1248694442"",""Table 3: 1st-line HC!BK5:BK111""), $A80=IMPORTRANGE(""https://docs.google.com/spreadsheets/d/1kGrh75X1cNR1D7_FcY9zMnHP8iP"&amp;"O4M5RCRjy6nZY0TY/edit#gid=1248694442"",""Table 3: 1st-line HC!A5:A111"")),"""")"),"")</f>
        <v/>
      </c>
      <c r="C80" s="20" t="str">
        <f>IFERROR(__xludf.DUMMYFUNCTION("IFNA(FILTER(IMPORTRANGE(""https://docs.google.com/spreadsheets/d/1kGrh75X1cNR1D7_FcY9zMnHP8iPO4M5RCRjy6nZY0TY/edit#gid=1248694442"",""Subgroup 1: Fr ~ Tx!B3:B20""), $A80=IMPORTRANGE(""https://docs.google.com/spreadsheets/d/1kGrh75X1cNR1D7_FcY9zMnHP8iPO4M5"&amp;"RCRjy6nZY0TY/edit#gid=1248694442"",""Subgroup 1: Fr ~ Tx!A3:A20"")),"""")"),"")</f>
        <v/>
      </c>
      <c r="D80" s="20" t="str">
        <f>IFERROR(__xludf.DUMMYFUNCTION("IFNA(FILTER(IMPORTRANGE(""https://docs.google.com/spreadsheets/d/1kGrh75X1cNR1D7_FcY9zMnHP8iPO4M5RCRjy6nZY0TY/edit#gid=1248694442"",""Subgroup 1: Fr ~ Tx!C3:C20""), $A80=IMPORTRANGE(""https://docs.google.com/spreadsheets/d/1kGrh75X1cNR1D7_FcY9zMnHP8iPO4M5"&amp;"RCRjy6nZY0TY/edit#gid=1248694442"",""Subgroup 1: Fr ~ Tx!A3:A20"")),"""")"),"")</f>
        <v/>
      </c>
      <c r="E80" s="20" t="str">
        <f>IFERROR(__xludf.DUMMYFUNCTION("IFNA(FILTER(IMPORTRANGE(""https://docs.google.com/spreadsheets/d/1kGrh75X1cNR1D7_FcY9zMnHP8iPO4M5RCRjy6nZY0TY/edit#gid=1248694442"",""Subgroup 1: Fr ~ Tx!D3:D20""), $A80=IMPORTRANGE(""https://docs.google.com/spreadsheets/d/1kGrh75X1cNR1D7_FcY9zMnHP8iPO4M5"&amp;"RCRjy6nZY0TY/edit#gid=1248694442"",""Subgroup 1: Fr ~ Tx!A3:A20"")),"""")"),"")</f>
        <v/>
      </c>
      <c r="F80" s="20" t="str">
        <f>IFERROR(__xludf.DUMMYFUNCTION("IFNA(FILTER(IMPORTRANGE(""https://docs.google.com/spreadsheets/d/1kGrh75X1cNR1D7_FcY9zMnHP8iPO4M5RCRjy6nZY0TY/edit#gid=1248694442"",""Subgroup 1: Fr ~ Tx!E3:E20""), $A80=IMPORTRANGE(""https://docs.google.com/spreadsheets/d/1kGrh75X1cNR1D7_FcY9zMnHP8iPO4M5"&amp;"RCRjy6nZY0TY/edit#gid=1248694442"",""Subgroup 1: Fr ~ Tx!A3:A20"")),"""")"),"")</f>
        <v/>
      </c>
      <c r="G80" s="20" t="str">
        <f>IFERROR(__xludf.DUMMYFUNCTION("IFNA(FILTER(IMPORTRANGE(""https://docs.google.com/spreadsheets/d/1kGrh75X1cNR1D7_FcY9zMnHP8iPO4M5RCRjy6nZY0TY/edit#gid=1248694442"",""Subgroup 1: Fr ~ Tx!F3:F20""), $A80=IMPORTRANGE(""https://docs.google.com/spreadsheets/d/1kGrh75X1cNR1D7_FcY9zMnHP8iPO4M5"&amp;"RCRjy6nZY0TY/edit#gid=1248694442"",""Subgroup 1: Fr ~ Tx!A3:A20"")),"""")"),"")</f>
        <v/>
      </c>
      <c r="H80" s="20" t="str">
        <f>IFERROR(__xludf.DUMMYFUNCTION("IFNA(FILTER(IMPORTRANGE(""https://docs.google.com/spreadsheets/d/1kGrh75X1cNR1D7_FcY9zMnHP8iPO4M5RCRjy6nZY0TY/edit#gid=1248694442"",""Table 3: 1st-line HC!BD5:BD111""), $A80=IMPORTRANGE(""https://docs.google.com/spreadsheets/d/1kGrh75X1cNR1D7_FcY9zMnHP8iP"&amp;"O4M5RCRjy6nZY0TY/edit#gid=1248694442"",""Table 3: 1st-line HC!A5:A111"")),"""")"),"")</f>
        <v/>
      </c>
      <c r="I80" s="20" t="str">
        <f>IFERROR(__xludf.DUMMYFUNCTION("IFNA(FILTER(IMPORTRANGE(""https://docs.google.com/spreadsheets/d/1kGrh75X1cNR1D7_FcY9zMnHP8iPO4M5RCRjy6nZY0TY/edit#gid=1248694442"",""Subgroup 5: Tf ~ Tx!B3:B8""), $A80=IMPORTRANGE(""https://docs.google.com/spreadsheets/d/1kGrh75X1cNR1D7_FcY9zMnHP8iPO4M5R"&amp;"CRjy6nZY0TY/edit#gid=1248694442"",""Subgroup 5: Tf ~ Tx!A3:A8"")),"""")"),"")</f>
        <v/>
      </c>
      <c r="J80" s="20" t="str">
        <f>IFERROR(__xludf.DUMMYFUNCTION("IFNA(FILTER(IMPORTRANGE(""https://docs.google.com/spreadsheets/d/1kGrh75X1cNR1D7_FcY9zMnHP8iPO4M5RCRjy6nZY0TY/edit#gid=1248694442"",""Subgroup 5: Tf ~ Tx!C3:C8""), $A80=IMPORTRANGE(""https://docs.google.com/spreadsheets/d/1kGrh75X1cNR1D7_FcY9zMnHP8iPO4M5R"&amp;"CRjy6nZY0TY/edit#gid=1248694442"",""Subgroup 5: Tf ~ Tx!A3:A8"")),"""")"),"")</f>
        <v/>
      </c>
      <c r="K80" s="20" t="str">
        <f>IFERROR(__xludf.DUMMYFUNCTION("IFNA(FILTER(IMPORTRANGE(""https://docs.google.com/spreadsheets/d/1kGrh75X1cNR1D7_FcY9zMnHP8iPO4M5RCRjy6nZY0TY/edit#gid=1248694442"",""Subgroup 5: Tf ~ Tx!D3:D8""), $A80=IMPORTRANGE(""https://docs.google.com/spreadsheets/d/1kGrh75X1cNR1D7_FcY9zMnHP8iPO4M5R"&amp;"CRjy6nZY0TY/edit#gid=1248694442"",""Subgroup 5: Tf ~ Tx!A3:A8"")),"""")"),"")</f>
        <v/>
      </c>
      <c r="L80" s="20" t="str">
        <f>IFERROR(__xludf.DUMMYFUNCTION("IFNA(FILTER(IMPORTRANGE(""https://docs.google.com/spreadsheets/d/1kGrh75X1cNR1D7_FcY9zMnHP8iPO4M5RCRjy6nZY0TY/edit#gid=1248694442"",""Subgroup 5: Tf ~ Tx!E3:E8""), $A80=IMPORTRANGE(""https://docs.google.com/spreadsheets/d/1kGrh75X1cNR1D7_FcY9zMnHP8iPO4M5R"&amp;"CRjy6nZY0TY/edit#gid=1248694442"",""Subgroup 5: Tf ~ Tx!A3:A8"")),"""")"),"")</f>
        <v/>
      </c>
      <c r="M80" s="20" t="str">
        <f>IFERROR(__xludf.DUMMYFUNCTION("IFNA(FILTER(IMPORTRANGE(""https://docs.google.com/spreadsheets/d/1kGrh75X1cNR1D7_FcY9zMnHP8iPO4M5RCRjy6nZY0TY/edit#gid=1248694442"",""Subgroup 5: Tf ~ Tx!F3:F8""), $A80=IMPORTRANGE(""https://docs.google.com/spreadsheets/d/1kGrh75X1cNR1D7_FcY9zMnHP8iPO4M5R"&amp;"CRjy6nZY0TY/edit#gid=1248694442"",""Subgroup 5: Tf ~ Tx!A3:A8"")),"""")"),"")</f>
        <v/>
      </c>
      <c r="N80" s="20" t="str">
        <f>IFERROR(__xludf.DUMMYFUNCTION("IFNA(FILTER(IMPORTRANGE(""https://docs.google.com/spreadsheets/d/1kGrh75X1cNR1D7_FcY9zMnHP8iPO4M5RCRjy6nZY0TY/edit#gid=1248694442"",""Table 3: 1st-line HC!BE5:BE111""), $A80=IMPORTRANGE(""https://docs.google.com/spreadsheets/d/1kGrh75X1cNR1D7_FcY9zMnHP8iP"&amp;"O4M5RCRjy6nZY0TY/edit#gid=1248694442"",""Table 3: 1st-line HC!A5:A111"")),"""")"),"")</f>
        <v/>
      </c>
      <c r="O80" s="20" t="str">
        <f>IFERROR(__xludf.DUMMYFUNCTION("IFNA(FILTER(IMPORTRANGE(""https://docs.google.com/spreadsheets/d/1kGrh75X1cNR1D7_FcY9zMnHP8iPO4M5RCRjy6nZY0TY/edit#gid=1248694442"",""Table 3: 1st-line HC!BF5:BF111""), $A80=IMPORTRANGE(""https://docs.google.com/spreadsheets/d/1kGrh75X1cNR1D7_FcY9zMnHP8iP"&amp;"O4M5RCRjy6nZY0TY/edit#gid=1248694442"",""Table 3: 1st-line HC!A5:A111"")),"""")"),"")</f>
        <v/>
      </c>
      <c r="P80" s="20" t="str">
        <f>IFERROR(__xludf.DUMMYFUNCTION("IFNA(FILTER(IMPORTRANGE(""https://docs.google.com/spreadsheets/d/1kGrh75X1cNR1D7_FcY9zMnHP8iPO4M5RCRjy6nZY0TY/edit#gid=1248694442"",""Table 3: 1st-line HC!BG5:BG111""), $A80=IMPORTRANGE(""https://docs.google.com/spreadsheets/d/1kGrh75X1cNR1D7_FcY9zMnHP8iP"&amp;"O4M5RCRjy6nZY0TY/edit#gid=1248694442"",""Table 3: 1st-line HC!A5:A111"")),"""")"),"")</f>
        <v/>
      </c>
      <c r="Q80" s="21" t="str">
        <f>IFERROR(__xludf.DUMMYFUNCTION("IFNA(FILTER(IMPORTRANGE(""https://docs.google.com/spreadsheets/d/1kGrh75X1cNR1D7_FcY9zMnHP8iPO4M5RCRjy6nZY0TY/edit#gid=1248694442"",""Table 3: 1st-line HC!BH5:BH111""), $A80=IMPORTRANGE(""https://docs.google.com/spreadsheets/d/1kGrh75X1cNR1D7_FcY9zMnHP8iP"&amp;"O4M5RCRjy6nZY0TY/edit#gid=1248694442"",""Table 3: 1st-line HC!A5:A111"")),"""")"),"")</f>
        <v/>
      </c>
      <c r="R80" s="19">
        <f>IFERROR(__xludf.DUMMYFUNCTION("IFNA(FILTER(IMPORTRANGE(""https://docs.google.com/spreadsheets/d/1kGrh75X1cNR1D7_FcY9zMnHP8iPO4M5RCRjy6nZY0TY/edit#gid=1248694442"",""Table 3: 1st-line HC!AJ5:AJ111""), $A80=IMPORTRANGE(""https://docs.google.com/spreadsheets/d/1kGrh75X1cNR1D7_FcY9zMnHP8iP"&amp;"O4M5RCRjy6nZY0TY/edit#gid=1248694442"",""Table 3: 1st-line HC!A5:A111"")),"""")"),0.0)</f>
        <v>0</v>
      </c>
      <c r="S80" s="20" t="str">
        <f>IFERROR(__xludf.DUMMYFUNCTION("IFNA(FILTER(IMPORTRANGE(""https://docs.google.com/spreadsheets/d/1kGrh75X1cNR1D7_FcY9zMnHP8iPO4M5RCRjy6nZY0TY/edit#gid=1248694442"",""Subgroup 3: Mi ~ Tx!B3:B17""), $A80=IMPORTRANGE(""https://docs.google.com/spreadsheets/d/1kGrh75X1cNR1D7_FcY9zMnHP8iPO4M5"&amp;"RCRjy6nZY0TY/edit#gid=1248694442"",""Subgroup 3: Mi ~ Tx!A3:A17"")),"""")"),"")</f>
        <v/>
      </c>
      <c r="T80" s="20">
        <f>IFERROR(__xludf.DUMMYFUNCTION("IFNA(FILTER(IMPORTRANGE(""https://docs.google.com/spreadsheets/d/1kGrh75X1cNR1D7_FcY9zMnHP8iPO4M5RCRjy6nZY0TY/edit#gid=1248694442"",""Subgroup 3: Mi ~ Tx!C3:C17""), $A80=IMPORTRANGE(""https://docs.google.com/spreadsheets/d/1kGrh75X1cNR1D7_FcY9zMnHP8iPO4M5"&amp;"RCRjy6nZY0TY/edit#gid=1248694442"",""Subgroup 3: Mi ~ Tx!A3:A17"")),"""")"),0.0)</f>
        <v>0</v>
      </c>
      <c r="U80" s="20" t="str">
        <f>IFERROR(__xludf.DUMMYFUNCTION("IFNA(FILTER(IMPORTRANGE(""https://docs.google.com/spreadsheets/d/1kGrh75X1cNR1D7_FcY9zMnHP8iPO4M5RCRjy6nZY0TY/edit#gid=1248694442"",""Subgroup 3: Mi ~ Tx!D3:D17""), $A80=IMPORTRANGE(""https://docs.google.com/spreadsheets/d/1kGrh75X1cNR1D7_FcY9zMnHP8iPO4M5"&amp;"RCRjy6nZY0TY/edit#gid=1248694442"",""Subgroup 3: Mi ~ Tx!A3:A17"")),"""")"),"")</f>
        <v/>
      </c>
      <c r="V80" s="20" t="str">
        <f>IFERROR(__xludf.DUMMYFUNCTION("IFNA(FILTER(IMPORTRANGE(""https://docs.google.com/spreadsheets/d/1kGrh75X1cNR1D7_FcY9zMnHP8iPO4M5RCRjy6nZY0TY/edit#gid=1248694442"",""Subgroup 3: Mi ~ Tx!E3:E17""), $A80=IMPORTRANGE(""https://docs.google.com/spreadsheets/d/1kGrh75X1cNR1D7_FcY9zMnHP8iPO4M5"&amp;"RCRjy6nZY0TY/edit#gid=1248694442"",""Subgroup 3: Mi ~ Tx!A3:A17"")),"""")"),"")</f>
        <v/>
      </c>
      <c r="W80" s="20" t="str">
        <f>IFERROR(__xludf.DUMMYFUNCTION("IFNA(FILTER(IMPORTRANGE(""https://docs.google.com/spreadsheets/d/1kGrh75X1cNR1D7_FcY9zMnHP8iPO4M5RCRjy6nZY0TY/edit#gid=1248694442"",""Subgroup 3: Mi ~ Tx!F3:F17""), $A80=IMPORTRANGE(""https://docs.google.com/spreadsheets/d/1kGrh75X1cNR1D7_FcY9zMnHP8iPO4M5"&amp;"RCRjy6nZY0TY/edit#gid=1248694442"",""Subgroup 3: Mi ~ Tx!A3:A17"")),"""")"),"")</f>
        <v/>
      </c>
      <c r="X80" s="19" t="str">
        <f>IFERROR(__xludf.DUMMYFUNCTION("IFNA(FILTER(IMPORTRANGE(""https://docs.google.com/spreadsheets/d/1kGrh75X1cNR1D7_FcY9zMnHP8iPO4M5RCRjy6nZY0TY/edit#gid=1248694442"",""Table 3: 1st-line HC!AK5:AK111""), $A80=IMPORTRANGE(""https://docs.google.com/spreadsheets/d/1kGrh75X1cNR1D7_FcY9zMnHP8iP"&amp;"O4M5RCRjy6nZY0TY/edit#gid=1248694442"",""Table 3: 1st-line HC!A5:A111"")),"""")"),"")</f>
        <v/>
      </c>
      <c r="Y80" s="20" t="str">
        <f>IFERROR(__xludf.DUMMYFUNCTION("IFNA(FILTER(IMPORTRANGE(""https://docs.google.com/spreadsheets/d/1kGrh75X1cNR1D7_FcY9zMnHP8iPO4M5RCRjy6nZY0TY/edit#gid=1248694442"",""Subgroup 4: Mp ~ Tx!B3:B20""), $A80=IMPORTRANGE(""https://docs.google.com/spreadsheets/d/1kGrh75X1cNR1D7_FcY9zMnHP8iPO4M5"&amp;"RCRjy6nZY0TY/edit#gid=1248694442"",""Subgroup 4: Mp ~ Tx!A3:A20"")),"""")"),"")</f>
        <v/>
      </c>
      <c r="Z80" s="20" t="str">
        <f>IFERROR(__xludf.DUMMYFUNCTION("IFNA(FILTER(IMPORTRANGE(""https://docs.google.com/spreadsheets/d/1kGrh75X1cNR1D7_FcY9zMnHP8iPO4M5RCRjy6nZY0TY/edit#gid=1248694442"",""Subgroup 4: Mp ~ Tx!C3:C20""), $A80=IMPORTRANGE(""https://docs.google.com/spreadsheets/d/1kGrh75X1cNR1D7_FcY9zMnHP8iPO4M5"&amp;"RCRjy6nZY0TY/edit#gid=1248694442"",""Subgroup 4: Mp ~ Tx!A3:A20"")),"""")"),"")</f>
        <v/>
      </c>
      <c r="AA80" s="20" t="str">
        <f>IFERROR(__xludf.DUMMYFUNCTION("IFNA(FILTER(IMPORTRANGE(""https://docs.google.com/spreadsheets/d/1kGrh75X1cNR1D7_FcY9zMnHP8iPO4M5RCRjy6nZY0TY/edit#gid=1248694442"",""Subgroup 4: Mp ~ Tx!D3:D20""), $A80=IMPORTRANGE(""https://docs.google.com/spreadsheets/d/1kGrh75X1cNR1D7_FcY9zMnHP8iPO4M5"&amp;"RCRjy6nZY0TY/edit#gid=1248694442"",""Subgroup 4: Mp ~ Tx!A3:A20"")),"""")"),"")</f>
        <v/>
      </c>
      <c r="AB80" s="20" t="str">
        <f>IFERROR(__xludf.DUMMYFUNCTION("IFNA(FILTER(IMPORTRANGE(""https://docs.google.com/spreadsheets/d/1kGrh75X1cNR1D7_FcY9zMnHP8iPO4M5RCRjy6nZY0TY/edit#gid=1248694442"",""Subgroup 4: Mp ~ Tx!E3:E20""), $A80=IMPORTRANGE(""https://docs.google.com/spreadsheets/d/1kGrh75X1cNR1D7_FcY9zMnHP8iPO4M5"&amp;"RCRjy6nZY0TY/edit#gid=1248694442"",""Subgroup 4: Mp ~ Tx!A3:A20"")),"""")"),"")</f>
        <v/>
      </c>
      <c r="AC80" s="20" t="str">
        <f>IFERROR(__xludf.DUMMYFUNCTION("IFNA(FILTER(IMPORTRANGE(""https://docs.google.com/spreadsheets/d/1kGrh75X1cNR1D7_FcY9zMnHP8iPO4M5RCRjy6nZY0TY/edit#gid=1248694442"",""Subgroup 4: Mp ~ Tx!F3:F20""), $A80=IMPORTRANGE(""https://docs.google.com/spreadsheets/d/1kGrh75X1cNR1D7_FcY9zMnHP8iPO4M5"&amp;"RCRjy6nZY0TY/edit#gid=1248694442"",""Subgroup 4: Mp ~ Tx!A3:A20"")),"""")"),"")</f>
        <v/>
      </c>
      <c r="AD80" s="22" t="str">
        <f>IFERROR(__xludf.DUMMYFUNCTION("IFNA(FILTER(IMPORTRANGE(""https://docs.google.com/spreadsheets/d/1kGrh75X1cNR1D7_FcY9zMnHP8iPO4M5RCRjy6nZY0TY/edit#gid=1248694442"",""Table 3: 1st-line HC!AL5:AL111""), $A80=IMPORTRANGE(""https://docs.google.com/spreadsheets/d/1kGrh75X1cNR1D7_FcY9zMnHP8iP"&amp;"O4M5RCRjy6nZY0TY/edit#gid=1248694442"",""Table 3: 1st-line HC!A5:A111"")),"""")"),"")</f>
        <v/>
      </c>
      <c r="AE80" s="20" t="str">
        <f>IFERROR(__xludf.DUMMYFUNCTION("IFNA(FILTER(IMPORTRANGE(""https://docs.google.com/spreadsheets/d/1kGrh75X1cNR1D7_FcY9zMnHP8iPO4M5RCRjy6nZY0TY/edit#gid=1248694442"",""Table 3: 1st-line HC!BJ5:BJ111""), $A80=IMPORTRANGE(""https://docs.google.com/spreadsheets/d/1kGrh75X1cNR1D7_FcY9zMnHP8iP"&amp;"O4M5RCRjy6nZY0TY/edit#gid=1248694442"",""Table 3: 1st-line HC!A5:A111"")),"""")"),"")</f>
        <v/>
      </c>
      <c r="AF80" s="20" t="str">
        <f>IFERROR(__xludf.DUMMYFUNCTION("IFNA(FILTER(IMPORTRANGE(""https://docs.google.com/spreadsheets/d/1kGrh75X1cNR1D7_FcY9zMnHP8iPO4M5RCRjy6nZY0TY/edit#gid=1248694442"",""Subgroup 2: Cr ~ Tx!B3:B23""), $A80=IMPORTRANGE(""https://docs.google.com/spreadsheets/d/1kGrh75X1cNR1D7_FcY9zMnHP8iPO4M5"&amp;"RCRjy6nZY0TY/edit#gid=1248694442"",""Subgroup 2: Cr ~ Tx!A3:A23"")),"""")"),"")</f>
        <v/>
      </c>
      <c r="AG80" s="20" t="str">
        <f>IFERROR(__xludf.DUMMYFUNCTION("IFNA(FILTER(IMPORTRANGE(""https://docs.google.com/spreadsheets/d/1kGrh75X1cNR1D7_FcY9zMnHP8iPO4M5RCRjy6nZY0TY/edit#gid=1248694442"",""Subgroup 2: Cr ~ Tx!C3:C23""), $A80=IMPORTRANGE(""https://docs.google.com/spreadsheets/d/1kGrh75X1cNR1D7_FcY9zMnHP8iPO4M5"&amp;"RCRjy6nZY0TY/edit#gid=1248694442"",""Subgroup 2: Cr ~ Tx!A3:A23"")),"""")"),"")</f>
        <v/>
      </c>
      <c r="AH80" s="20" t="str">
        <f>IFERROR(__xludf.DUMMYFUNCTION("IFNA(FILTER(IMPORTRANGE(""https://docs.google.com/spreadsheets/d/1kGrh75X1cNR1D7_FcY9zMnHP8iPO4M5RCRjy6nZY0TY/edit#gid=1248694442"",""Subgroup 2: Cr ~ Tx!D3:D23""), $A80=IMPORTRANGE(""https://docs.google.com/spreadsheets/d/1kGrh75X1cNR1D7_FcY9zMnHP8iPO4M5"&amp;"RCRjy6nZY0TY/edit#gid=1248694442"",""Subgroup 2: Cr ~ Tx!A3:A23"")),"""")"),"")</f>
        <v/>
      </c>
      <c r="AI80" s="20" t="str">
        <f>IFERROR(__xludf.DUMMYFUNCTION("IFNA(FILTER(IMPORTRANGE(""https://docs.google.com/spreadsheets/d/1kGrh75X1cNR1D7_FcY9zMnHP8iPO4M5RCRjy6nZY0TY/edit#gid=1248694442"",""Subgroup 2: Cr ~ Tx!E3:E23""), $A80=IMPORTRANGE(""https://docs.google.com/spreadsheets/d/1kGrh75X1cNR1D7_FcY9zMnHP8iPO4M5"&amp;"RCRjy6nZY0TY/edit#gid=1248694442"",""Subgroup 2: Cr ~ Tx!A3:A23"")),"""")"),"")</f>
        <v/>
      </c>
      <c r="AJ80" s="20" t="str">
        <f>IFERROR(__xludf.DUMMYFUNCTION("IFNA(FILTER(IMPORTRANGE(""https://docs.google.com/spreadsheets/d/1kGrh75X1cNR1D7_FcY9zMnHP8iPO4M5RCRjy6nZY0TY/edit#gid=1248694442"",""Subgroup 2: Cr ~ Tx!F3:F23""), $A80=IMPORTRANGE(""https://docs.google.com/spreadsheets/d/1kGrh75X1cNR1D7_FcY9zMnHP8iPO4M5"&amp;"RCRjy6nZY0TY/edit#gid=1248694442"",""Subgroup 2: Cr ~ Tx!A3:A23"")),"""")"),"")</f>
        <v/>
      </c>
      <c r="AK80" s="14" t="str">
        <f>IFERROR(__xludf.DUMMYFUNCTION("IFNA(FILTER(IMPORTRANGE(""https://docs.google.com/spreadsheets/d/1kGrh75X1cNR1D7_FcY9zMnHP8iPO4M5RCRjy6nZY0TY/edit#gid=1248694442"",""Table 4: 2nd-line HC or more!M5:M85""), $A80=IMPORTRANGE(""https://docs.google.com/spreadsheets/d/1kGrh75X1cNR1D7_FcY9zMn"&amp;"HP8iPO4M5RCRjy6nZY0TY/edit#gid=1248694442"",""Table 4: 2nd-line HC or more!A5:A85"")),"""")"),"")</f>
        <v/>
      </c>
      <c r="AL80" s="14" t="str">
        <f>IFERROR(__xludf.DUMMYFUNCTION("IFNA(FILTER(IMPORTRANGE(""https://docs.google.com/spreadsheets/d/1kGrh75X1cNR1D7_FcY9zMnHP8iPO4M5RCRjy6nZY0TY/edit#gid=1248694442"",""Table 4: 2nd-line HC or more!N5:N85""), $A80=IMPORTRANGE(""https://docs.google.com/spreadsheets/d/1kGrh75X1cNR1D7_FcY9zMn"&amp;"HP8iPO4M5RCRjy6nZY0TY/edit#gid=1248694442"",""Table 4: 2nd-line HC or more!A5:A85"")),"""")"),"")</f>
        <v/>
      </c>
      <c r="AM80" s="14" t="str">
        <f>IFERROR(__xludf.DUMMYFUNCTION("IFNA(FILTER(IMPORTRANGE(""https://docs.google.com/spreadsheets/d/1kGrh75X1cNR1D7_FcY9zMnHP8iPO4M5RCRjy6nZY0TY/edit#gid=1248694442"",""Table 4: 2nd-line HC or more!O5:O85""), $A80=IMPORTRANGE(""https://docs.google.com/spreadsheets/d/1kGrh75X1cNR1D7_FcY9zMn"&amp;"HP8iPO4M5RCRjy6nZY0TY/edit#gid=1248694442"",""Table 4: 2nd-line HC or more!A5:A85"")),"""")"),"")</f>
        <v/>
      </c>
      <c r="AN80" s="14">
        <f>IFERROR(__xludf.DUMMYFUNCTION("IFNA(FILTER(IMPORTRANGE(""https://docs.google.com/spreadsheets/d/1kGrh75X1cNR1D7_FcY9zMnHP8iPO4M5RCRjy6nZY0TY/edit#gid=1248694442"",""Table 3: 1st-line HC!AP5:AP111""), $A80=IMPORTRANGE(""https://docs.google.com/spreadsheets/d/1kGrh75X1cNR1D7_FcY9zMnHP8iP"&amp;"O4M5RCRjy6nZY0TY/edit#gid=1248694442"",""Table 3: 1st-line HC!A5:A111"")),"""")"),3.0)</f>
        <v>3</v>
      </c>
      <c r="AO80" s="14">
        <f>IFERROR(__xludf.DUMMYFUNCTION("IFNA(FILTER(IMPORTRANGE(""https://docs.google.com/spreadsheets/d/1kGrh75X1cNR1D7_FcY9zMnHP8iPO4M5RCRjy6nZY0TY/edit#gid=1248694442"",""Table 3: 1st-line HC!AO5:AO111""), $A80=IMPORTRANGE(""https://docs.google.com/spreadsheets/d/1kGrh75X1cNR1D7_FcY9zMnHP8iP"&amp;"O4M5RCRjy6nZY0TY/edit#gid=1248694442"",""Table 3: 1st-line HC!A5:A111"")),"""")"),6.0)</f>
        <v>6</v>
      </c>
      <c r="AP80" s="14" t="str">
        <f>IFERROR(__xludf.DUMMYFUNCTION("IFNA(FILTER(IMPORTRANGE(""https://docs.google.com/spreadsheets/d/1kGrh75X1cNR1D7_FcY9zMnHP8iPO4M5RCRjy6nZY0TY/edit#gid=1248694442"",""Table 3: 1st-line HC!AQ5:AQ111""), $A80=IMPORTRANGE(""https://docs.google.com/spreadsheets/d/1kGrh75X1cNR1D7_FcY9zMnHP8iP"&amp;"O4M5RCRjy6nZY0TY/edit#gid=1248694442"",""Table 3: 1st-line HC!A5:A111"")),"""")"),"")</f>
        <v/>
      </c>
      <c r="AQ80" s="14" t="str">
        <f>IFERROR(__xludf.DUMMYFUNCTION("IFNA(FILTER(IMPORTRANGE(""https://docs.google.com/spreadsheets/d/1kGrh75X1cNR1D7_FcY9zMnHP8iPO4M5RCRjy6nZY0TY/edit#gid=1248694442"",""Table 2: MMC!T5:T114""), $A80=IMPORTRANGE(""https://docs.google.com/spreadsheets/d/1kGrh75X1cNR1D7_FcY9zMnHP8iPO4M5RCRjy6"&amp;"nZY0TY/edit#gid=1248694442"",""Table 2: MMC!A5:A114"")),"""")"),"")</f>
        <v/>
      </c>
      <c r="AR80" s="14" t="str">
        <f>IFERROR(__xludf.DUMMYFUNCTION("IFNA(FILTER(IMPORTRANGE(""https://docs.google.com/spreadsheets/d/1kGrh75X1cNR1D7_FcY9zMnHP8iPO4M5RCRjy6nZY0TY/edit#gid=1248694442"",""Table 2: MMC!U5:U114""), $A80=IMPORTRANGE(""https://docs.google.com/spreadsheets/d/1kGrh75X1cNR1D7_FcY9zMnHP8iPO4M5RCRjy6"&amp;"nZY0TY/edit#gid=1248694442"",""Table 2: MMC!A5:A114"")),"""")"),"")</f>
        <v/>
      </c>
      <c r="AS80" s="14" t="str">
        <f>IFERROR(__xludf.DUMMYFUNCTION("IFNA(FILTER(IMPORTRANGE(""https://docs.google.com/spreadsheets/d/1kGrh75X1cNR1D7_FcY9zMnHP8iPO4M5RCRjy6nZY0TY/edit#gid=1248694442"",""Table 2: MMC!V5:V114""), $A80=IMPORTRANGE(""https://docs.google.com/spreadsheets/d/1kGrh75X1cNR1D7_FcY9zMnHP8iPO4M5RCRjy6"&amp;"nZY0TY/edit#gid=1248694442"",""Table 2: MMC!A5:A114"")),"""")"),"")</f>
        <v/>
      </c>
      <c r="AT80" s="4" t="str">
        <f>IFERROR(__xludf.DUMMYFUNCTION("IFNA(FILTER(IMPORTRANGE(""https://docs.google.com/spreadsheets/d/1kGrh75X1cNR1D7_FcY9zMnHP8iPO4M5RCRjy6nZY0TY/edit#gid=1248694442"",""Table 2: MMC!W5:W114""), $A80=IMPORTRANGE(""https://docs.google.com/spreadsheets/d/1kGrh75X1cNR1D7_FcY9zMnHP8iPO4M5RCRjy6"&amp;"nZY0TY/edit#gid=1248694442"",""Table 2: MMC!A5:A114"")),"""")"),"")</f>
        <v/>
      </c>
    </row>
    <row r="81">
      <c r="A81" s="4" t="str">
        <f>IFERROR(__xludf.DUMMYFUNCTION("""COMPUTED_VALUE"""),"ID 167")</f>
        <v>ID 167</v>
      </c>
      <c r="B81" s="20" t="str">
        <f>IFERROR(__xludf.DUMMYFUNCTION("IFNA(FILTER(IMPORTRANGE(""https://docs.google.com/spreadsheets/d/1kGrh75X1cNR1D7_FcY9zMnHP8iPO4M5RCRjy6nZY0TY/edit#gid=1248694442"",""Table 3: 1st-line HC!BK5:BK111""), $A81=IMPORTRANGE(""https://docs.google.com/spreadsheets/d/1kGrh75X1cNR1D7_FcY9zMnHP8iP"&amp;"O4M5RCRjy6nZY0TY/edit#gid=1248694442"",""Table 3: 1st-line HC!A5:A111"")),"""")"),"")</f>
        <v/>
      </c>
      <c r="C81" s="20" t="str">
        <f>IFERROR(__xludf.DUMMYFUNCTION("IFNA(FILTER(IMPORTRANGE(""https://docs.google.com/spreadsheets/d/1kGrh75X1cNR1D7_FcY9zMnHP8iPO4M5RCRjy6nZY0TY/edit#gid=1248694442"",""Subgroup 1: Fr ~ Tx!B3:B20""), $A81=IMPORTRANGE(""https://docs.google.com/spreadsheets/d/1kGrh75X1cNR1D7_FcY9zMnHP8iPO4M5"&amp;"RCRjy6nZY0TY/edit#gid=1248694442"",""Subgroup 1: Fr ~ Tx!A3:A20"")),"""")"),"")</f>
        <v/>
      </c>
      <c r="D81" s="20" t="str">
        <f>IFERROR(__xludf.DUMMYFUNCTION("IFNA(FILTER(IMPORTRANGE(""https://docs.google.com/spreadsheets/d/1kGrh75X1cNR1D7_FcY9zMnHP8iPO4M5RCRjy6nZY0TY/edit#gid=1248694442"",""Subgroup 1: Fr ~ Tx!C3:C20""), $A81=IMPORTRANGE(""https://docs.google.com/spreadsheets/d/1kGrh75X1cNR1D7_FcY9zMnHP8iPO4M5"&amp;"RCRjy6nZY0TY/edit#gid=1248694442"",""Subgroup 1: Fr ~ Tx!A3:A20"")),"""")"),"")</f>
        <v/>
      </c>
      <c r="E81" s="20" t="str">
        <f>IFERROR(__xludf.DUMMYFUNCTION("IFNA(FILTER(IMPORTRANGE(""https://docs.google.com/spreadsheets/d/1kGrh75X1cNR1D7_FcY9zMnHP8iPO4M5RCRjy6nZY0TY/edit#gid=1248694442"",""Subgroup 1: Fr ~ Tx!D3:D20""), $A81=IMPORTRANGE(""https://docs.google.com/spreadsheets/d/1kGrh75X1cNR1D7_FcY9zMnHP8iPO4M5"&amp;"RCRjy6nZY0TY/edit#gid=1248694442"",""Subgroup 1: Fr ~ Tx!A3:A20"")),"""")"),"")</f>
        <v/>
      </c>
      <c r="F81" s="20" t="str">
        <f>IFERROR(__xludf.DUMMYFUNCTION("IFNA(FILTER(IMPORTRANGE(""https://docs.google.com/spreadsheets/d/1kGrh75X1cNR1D7_FcY9zMnHP8iPO4M5RCRjy6nZY0TY/edit#gid=1248694442"",""Subgroup 1: Fr ~ Tx!E3:E20""), $A81=IMPORTRANGE(""https://docs.google.com/spreadsheets/d/1kGrh75X1cNR1D7_FcY9zMnHP8iPO4M5"&amp;"RCRjy6nZY0TY/edit#gid=1248694442"",""Subgroup 1: Fr ~ Tx!A3:A20"")),"""")"),"")</f>
        <v/>
      </c>
      <c r="G81" s="20" t="str">
        <f>IFERROR(__xludf.DUMMYFUNCTION("IFNA(FILTER(IMPORTRANGE(""https://docs.google.com/spreadsheets/d/1kGrh75X1cNR1D7_FcY9zMnHP8iPO4M5RCRjy6nZY0TY/edit#gid=1248694442"",""Subgroup 1: Fr ~ Tx!F3:F20""), $A81=IMPORTRANGE(""https://docs.google.com/spreadsheets/d/1kGrh75X1cNR1D7_FcY9zMnHP8iPO4M5"&amp;"RCRjy6nZY0TY/edit#gid=1248694442"",""Subgroup 1: Fr ~ Tx!A3:A20"")),"""")"),"")</f>
        <v/>
      </c>
      <c r="H81" s="20" t="str">
        <f>IFERROR(__xludf.DUMMYFUNCTION("IFNA(FILTER(IMPORTRANGE(""https://docs.google.com/spreadsheets/d/1kGrh75X1cNR1D7_FcY9zMnHP8iPO4M5RCRjy6nZY0TY/edit#gid=1248694442"",""Table 3: 1st-line HC!BD5:BD111""), $A81=IMPORTRANGE(""https://docs.google.com/spreadsheets/d/1kGrh75X1cNR1D7_FcY9zMnHP8iP"&amp;"O4M5RCRjy6nZY0TY/edit#gid=1248694442"",""Table 3: 1st-line HC!A5:A111"")),"""")"),"")</f>
        <v/>
      </c>
      <c r="I81" s="20" t="str">
        <f>IFERROR(__xludf.DUMMYFUNCTION("IFNA(FILTER(IMPORTRANGE(""https://docs.google.com/spreadsheets/d/1kGrh75X1cNR1D7_FcY9zMnHP8iPO4M5RCRjy6nZY0TY/edit#gid=1248694442"",""Subgroup 5: Tf ~ Tx!B3:B8""), $A81=IMPORTRANGE(""https://docs.google.com/spreadsheets/d/1kGrh75X1cNR1D7_FcY9zMnHP8iPO4M5R"&amp;"CRjy6nZY0TY/edit#gid=1248694442"",""Subgroup 5: Tf ~ Tx!A3:A8"")),"""")"),"")</f>
        <v/>
      </c>
      <c r="J81" s="20" t="str">
        <f>IFERROR(__xludf.DUMMYFUNCTION("IFNA(FILTER(IMPORTRANGE(""https://docs.google.com/spreadsheets/d/1kGrh75X1cNR1D7_FcY9zMnHP8iPO4M5RCRjy6nZY0TY/edit#gid=1248694442"",""Subgroup 5: Tf ~ Tx!C3:C8""), $A81=IMPORTRANGE(""https://docs.google.com/spreadsheets/d/1kGrh75X1cNR1D7_FcY9zMnHP8iPO4M5R"&amp;"CRjy6nZY0TY/edit#gid=1248694442"",""Subgroup 5: Tf ~ Tx!A3:A8"")),"""")"),"")</f>
        <v/>
      </c>
      <c r="K81" s="20" t="str">
        <f>IFERROR(__xludf.DUMMYFUNCTION("IFNA(FILTER(IMPORTRANGE(""https://docs.google.com/spreadsheets/d/1kGrh75X1cNR1D7_FcY9zMnHP8iPO4M5RCRjy6nZY0TY/edit#gid=1248694442"",""Subgroup 5: Tf ~ Tx!D3:D8""), $A81=IMPORTRANGE(""https://docs.google.com/spreadsheets/d/1kGrh75X1cNR1D7_FcY9zMnHP8iPO4M5R"&amp;"CRjy6nZY0TY/edit#gid=1248694442"",""Subgroup 5: Tf ~ Tx!A3:A8"")),"""")"),"")</f>
        <v/>
      </c>
      <c r="L81" s="20" t="str">
        <f>IFERROR(__xludf.DUMMYFUNCTION("IFNA(FILTER(IMPORTRANGE(""https://docs.google.com/spreadsheets/d/1kGrh75X1cNR1D7_FcY9zMnHP8iPO4M5RCRjy6nZY0TY/edit#gid=1248694442"",""Subgroup 5: Tf ~ Tx!E3:E8""), $A81=IMPORTRANGE(""https://docs.google.com/spreadsheets/d/1kGrh75X1cNR1D7_FcY9zMnHP8iPO4M5R"&amp;"CRjy6nZY0TY/edit#gid=1248694442"",""Subgroup 5: Tf ~ Tx!A3:A8"")),"""")"),"")</f>
        <v/>
      </c>
      <c r="M81" s="20" t="str">
        <f>IFERROR(__xludf.DUMMYFUNCTION("IFNA(FILTER(IMPORTRANGE(""https://docs.google.com/spreadsheets/d/1kGrh75X1cNR1D7_FcY9zMnHP8iPO4M5RCRjy6nZY0TY/edit#gid=1248694442"",""Subgroup 5: Tf ~ Tx!F3:F8""), $A81=IMPORTRANGE(""https://docs.google.com/spreadsheets/d/1kGrh75X1cNR1D7_FcY9zMnHP8iPO4M5R"&amp;"CRjy6nZY0TY/edit#gid=1248694442"",""Subgroup 5: Tf ~ Tx!A3:A8"")),"""")"),"")</f>
        <v/>
      </c>
      <c r="N81" s="20" t="str">
        <f>IFERROR(__xludf.DUMMYFUNCTION("IFNA(FILTER(IMPORTRANGE(""https://docs.google.com/spreadsheets/d/1kGrh75X1cNR1D7_FcY9zMnHP8iPO4M5RCRjy6nZY0TY/edit#gid=1248694442"",""Table 3: 1st-line HC!BE5:BE111""), $A81=IMPORTRANGE(""https://docs.google.com/spreadsheets/d/1kGrh75X1cNR1D7_FcY9zMnHP8iP"&amp;"O4M5RCRjy6nZY0TY/edit#gid=1248694442"",""Table 3: 1st-line HC!A5:A111"")),"""")"),"")</f>
        <v/>
      </c>
      <c r="O81" s="20" t="str">
        <f>IFERROR(__xludf.DUMMYFUNCTION("IFNA(FILTER(IMPORTRANGE(""https://docs.google.com/spreadsheets/d/1kGrh75X1cNR1D7_FcY9zMnHP8iPO4M5RCRjy6nZY0TY/edit#gid=1248694442"",""Table 3: 1st-line HC!BF5:BF111""), $A81=IMPORTRANGE(""https://docs.google.com/spreadsheets/d/1kGrh75X1cNR1D7_FcY9zMnHP8iP"&amp;"O4M5RCRjy6nZY0TY/edit#gid=1248694442"",""Table 3: 1st-line HC!A5:A111"")),"""")"),"")</f>
        <v/>
      </c>
      <c r="P81" s="20" t="str">
        <f>IFERROR(__xludf.DUMMYFUNCTION("IFNA(FILTER(IMPORTRANGE(""https://docs.google.com/spreadsheets/d/1kGrh75X1cNR1D7_FcY9zMnHP8iPO4M5RCRjy6nZY0TY/edit#gid=1248694442"",""Table 3: 1st-line HC!BG5:BG111""), $A81=IMPORTRANGE(""https://docs.google.com/spreadsheets/d/1kGrh75X1cNR1D7_FcY9zMnHP8iP"&amp;"O4M5RCRjy6nZY0TY/edit#gid=1248694442"",""Table 3: 1st-line HC!A5:A111"")),"""")"),"")</f>
        <v/>
      </c>
      <c r="Q81" s="21" t="str">
        <f>IFERROR(__xludf.DUMMYFUNCTION("IFNA(FILTER(IMPORTRANGE(""https://docs.google.com/spreadsheets/d/1kGrh75X1cNR1D7_FcY9zMnHP8iPO4M5RCRjy6nZY0TY/edit#gid=1248694442"",""Table 3: 1st-line HC!BH5:BH111""), $A81=IMPORTRANGE(""https://docs.google.com/spreadsheets/d/1kGrh75X1cNR1D7_FcY9zMnHP8iP"&amp;"O4M5RCRjy6nZY0TY/edit#gid=1248694442"",""Table 3: 1st-line HC!A5:A111"")),"""")"),"")</f>
        <v/>
      </c>
      <c r="R81" s="19" t="str">
        <f>IFERROR(__xludf.DUMMYFUNCTION("IFNA(FILTER(IMPORTRANGE(""https://docs.google.com/spreadsheets/d/1kGrh75X1cNR1D7_FcY9zMnHP8iPO4M5RCRjy6nZY0TY/edit#gid=1248694442"",""Table 3: 1st-line HC!AJ5:AJ111""), $A81=IMPORTRANGE(""https://docs.google.com/spreadsheets/d/1kGrh75X1cNR1D7_FcY9zMnHP8iP"&amp;"O4M5RCRjy6nZY0TY/edit#gid=1248694442"",""Table 3: 1st-line HC!A5:A111"")),"""")"),"")</f>
        <v/>
      </c>
      <c r="S81" s="20" t="str">
        <f>IFERROR(__xludf.DUMMYFUNCTION("IFNA(FILTER(IMPORTRANGE(""https://docs.google.com/spreadsheets/d/1kGrh75X1cNR1D7_FcY9zMnHP8iPO4M5RCRjy6nZY0TY/edit#gid=1248694442"",""Subgroup 3: Mi ~ Tx!B3:B17""), $A81=IMPORTRANGE(""https://docs.google.com/spreadsheets/d/1kGrh75X1cNR1D7_FcY9zMnHP8iPO4M5"&amp;"RCRjy6nZY0TY/edit#gid=1248694442"",""Subgroup 3: Mi ~ Tx!A3:A17"")),"""")"),"")</f>
        <v/>
      </c>
      <c r="T81" s="20" t="str">
        <f>IFERROR(__xludf.DUMMYFUNCTION("IFNA(FILTER(IMPORTRANGE(""https://docs.google.com/spreadsheets/d/1kGrh75X1cNR1D7_FcY9zMnHP8iPO4M5RCRjy6nZY0TY/edit#gid=1248694442"",""Subgroup 3: Mi ~ Tx!C3:C17""), $A81=IMPORTRANGE(""https://docs.google.com/spreadsheets/d/1kGrh75X1cNR1D7_FcY9zMnHP8iPO4M5"&amp;"RCRjy6nZY0TY/edit#gid=1248694442"",""Subgroup 3: Mi ~ Tx!A3:A17"")),"""")"),"")</f>
        <v/>
      </c>
      <c r="U81" s="20" t="str">
        <f>IFERROR(__xludf.DUMMYFUNCTION("IFNA(FILTER(IMPORTRANGE(""https://docs.google.com/spreadsheets/d/1kGrh75X1cNR1D7_FcY9zMnHP8iPO4M5RCRjy6nZY0TY/edit#gid=1248694442"",""Subgroup 3: Mi ~ Tx!D3:D17""), $A81=IMPORTRANGE(""https://docs.google.com/spreadsheets/d/1kGrh75X1cNR1D7_FcY9zMnHP8iPO4M5"&amp;"RCRjy6nZY0TY/edit#gid=1248694442"",""Subgroup 3: Mi ~ Tx!A3:A17"")),"""")"),"")</f>
        <v/>
      </c>
      <c r="V81" s="20" t="str">
        <f>IFERROR(__xludf.DUMMYFUNCTION("IFNA(FILTER(IMPORTRANGE(""https://docs.google.com/spreadsheets/d/1kGrh75X1cNR1D7_FcY9zMnHP8iPO4M5RCRjy6nZY0TY/edit#gid=1248694442"",""Subgroup 3: Mi ~ Tx!E3:E17""), $A81=IMPORTRANGE(""https://docs.google.com/spreadsheets/d/1kGrh75X1cNR1D7_FcY9zMnHP8iPO4M5"&amp;"RCRjy6nZY0TY/edit#gid=1248694442"",""Subgroup 3: Mi ~ Tx!A3:A17"")),"""")"),"")</f>
        <v/>
      </c>
      <c r="W81" s="20" t="str">
        <f>IFERROR(__xludf.DUMMYFUNCTION("IFNA(FILTER(IMPORTRANGE(""https://docs.google.com/spreadsheets/d/1kGrh75X1cNR1D7_FcY9zMnHP8iPO4M5RCRjy6nZY0TY/edit#gid=1248694442"",""Subgroup 3: Mi ~ Tx!F3:F17""), $A81=IMPORTRANGE(""https://docs.google.com/spreadsheets/d/1kGrh75X1cNR1D7_FcY9zMnHP8iPO4M5"&amp;"RCRjy6nZY0TY/edit#gid=1248694442"",""Subgroup 3: Mi ~ Tx!A3:A17"")),"""")"),"")</f>
        <v/>
      </c>
      <c r="X81" s="19" t="str">
        <f>IFERROR(__xludf.DUMMYFUNCTION("IFNA(FILTER(IMPORTRANGE(""https://docs.google.com/spreadsheets/d/1kGrh75X1cNR1D7_FcY9zMnHP8iPO4M5RCRjy6nZY0TY/edit#gid=1248694442"",""Table 3: 1st-line HC!AK5:AK111""), $A81=IMPORTRANGE(""https://docs.google.com/spreadsheets/d/1kGrh75X1cNR1D7_FcY9zMnHP8iP"&amp;"O4M5RCRjy6nZY0TY/edit#gid=1248694442"",""Table 3: 1st-line HC!A5:A111"")),"""")"),"")</f>
        <v/>
      </c>
      <c r="Y81" s="20" t="str">
        <f>IFERROR(__xludf.DUMMYFUNCTION("IFNA(FILTER(IMPORTRANGE(""https://docs.google.com/spreadsheets/d/1kGrh75X1cNR1D7_FcY9zMnHP8iPO4M5RCRjy6nZY0TY/edit#gid=1248694442"",""Subgroup 4: Mp ~ Tx!B3:B20""), $A81=IMPORTRANGE(""https://docs.google.com/spreadsheets/d/1kGrh75X1cNR1D7_FcY9zMnHP8iPO4M5"&amp;"RCRjy6nZY0TY/edit#gid=1248694442"",""Subgroup 4: Mp ~ Tx!A3:A20"")),"""")"),"")</f>
        <v/>
      </c>
      <c r="Z81" s="20" t="str">
        <f>IFERROR(__xludf.DUMMYFUNCTION("IFNA(FILTER(IMPORTRANGE(""https://docs.google.com/spreadsheets/d/1kGrh75X1cNR1D7_FcY9zMnHP8iPO4M5RCRjy6nZY0TY/edit#gid=1248694442"",""Subgroup 4: Mp ~ Tx!C3:C20""), $A81=IMPORTRANGE(""https://docs.google.com/spreadsheets/d/1kGrh75X1cNR1D7_FcY9zMnHP8iPO4M5"&amp;"RCRjy6nZY0TY/edit#gid=1248694442"",""Subgroup 4: Mp ~ Tx!A3:A20"")),"""")"),"")</f>
        <v/>
      </c>
      <c r="AA81" s="20" t="str">
        <f>IFERROR(__xludf.DUMMYFUNCTION("IFNA(FILTER(IMPORTRANGE(""https://docs.google.com/spreadsheets/d/1kGrh75X1cNR1D7_FcY9zMnHP8iPO4M5RCRjy6nZY0TY/edit#gid=1248694442"",""Subgroup 4: Mp ~ Tx!D3:D20""), $A81=IMPORTRANGE(""https://docs.google.com/spreadsheets/d/1kGrh75X1cNR1D7_FcY9zMnHP8iPO4M5"&amp;"RCRjy6nZY0TY/edit#gid=1248694442"",""Subgroup 4: Mp ~ Tx!A3:A20"")),"""")"),"")</f>
        <v/>
      </c>
      <c r="AB81" s="20" t="str">
        <f>IFERROR(__xludf.DUMMYFUNCTION("IFNA(FILTER(IMPORTRANGE(""https://docs.google.com/spreadsheets/d/1kGrh75X1cNR1D7_FcY9zMnHP8iPO4M5RCRjy6nZY0TY/edit#gid=1248694442"",""Subgroup 4: Mp ~ Tx!E3:E20""), $A81=IMPORTRANGE(""https://docs.google.com/spreadsheets/d/1kGrh75X1cNR1D7_FcY9zMnHP8iPO4M5"&amp;"RCRjy6nZY0TY/edit#gid=1248694442"",""Subgroup 4: Mp ~ Tx!A3:A20"")),"""")"),"")</f>
        <v/>
      </c>
      <c r="AC81" s="20" t="str">
        <f>IFERROR(__xludf.DUMMYFUNCTION("IFNA(FILTER(IMPORTRANGE(""https://docs.google.com/spreadsheets/d/1kGrh75X1cNR1D7_FcY9zMnHP8iPO4M5RCRjy6nZY0TY/edit#gid=1248694442"",""Subgroup 4: Mp ~ Tx!F3:F20""), $A81=IMPORTRANGE(""https://docs.google.com/spreadsheets/d/1kGrh75X1cNR1D7_FcY9zMnHP8iPO4M5"&amp;"RCRjy6nZY0TY/edit#gid=1248694442"",""Subgroup 4: Mp ~ Tx!A3:A20"")),"""")"),"")</f>
        <v/>
      </c>
      <c r="AD81" s="22" t="str">
        <f>IFERROR(__xludf.DUMMYFUNCTION("IFNA(FILTER(IMPORTRANGE(""https://docs.google.com/spreadsheets/d/1kGrh75X1cNR1D7_FcY9zMnHP8iPO4M5RCRjy6nZY0TY/edit#gid=1248694442"",""Table 3: 1st-line HC!AL5:AL111""), $A81=IMPORTRANGE(""https://docs.google.com/spreadsheets/d/1kGrh75X1cNR1D7_FcY9zMnHP8iP"&amp;"O4M5RCRjy6nZY0TY/edit#gid=1248694442"",""Table 3: 1st-line HC!A5:A111"")),"""")"),"")</f>
        <v/>
      </c>
      <c r="AE81" s="20" t="str">
        <f>IFERROR(__xludf.DUMMYFUNCTION("IFNA(FILTER(IMPORTRANGE(""https://docs.google.com/spreadsheets/d/1kGrh75X1cNR1D7_FcY9zMnHP8iPO4M5RCRjy6nZY0TY/edit#gid=1248694442"",""Table 3: 1st-line HC!BJ5:BJ111""), $A81=IMPORTRANGE(""https://docs.google.com/spreadsheets/d/1kGrh75X1cNR1D7_FcY9zMnHP8iP"&amp;"O4M5RCRjy6nZY0TY/edit#gid=1248694442"",""Table 3: 1st-line HC!A5:A111"")),"""")"),"")</f>
        <v/>
      </c>
      <c r="AF81" s="20" t="str">
        <f>IFERROR(__xludf.DUMMYFUNCTION("IFNA(FILTER(IMPORTRANGE(""https://docs.google.com/spreadsheets/d/1kGrh75X1cNR1D7_FcY9zMnHP8iPO4M5RCRjy6nZY0TY/edit#gid=1248694442"",""Subgroup 2: Cr ~ Tx!B3:B23""), $A81=IMPORTRANGE(""https://docs.google.com/spreadsheets/d/1kGrh75X1cNR1D7_FcY9zMnHP8iPO4M5"&amp;"RCRjy6nZY0TY/edit#gid=1248694442"",""Subgroup 2: Cr ~ Tx!A3:A23"")),"""")"),"")</f>
        <v/>
      </c>
      <c r="AG81" s="20" t="str">
        <f>IFERROR(__xludf.DUMMYFUNCTION("IFNA(FILTER(IMPORTRANGE(""https://docs.google.com/spreadsheets/d/1kGrh75X1cNR1D7_FcY9zMnHP8iPO4M5RCRjy6nZY0TY/edit#gid=1248694442"",""Subgroup 2: Cr ~ Tx!C3:C23""), $A81=IMPORTRANGE(""https://docs.google.com/spreadsheets/d/1kGrh75X1cNR1D7_FcY9zMnHP8iPO4M5"&amp;"RCRjy6nZY0TY/edit#gid=1248694442"",""Subgroup 2: Cr ~ Tx!A3:A23"")),"""")"),"")</f>
        <v/>
      </c>
      <c r="AH81" s="20" t="str">
        <f>IFERROR(__xludf.DUMMYFUNCTION("IFNA(FILTER(IMPORTRANGE(""https://docs.google.com/spreadsheets/d/1kGrh75X1cNR1D7_FcY9zMnHP8iPO4M5RCRjy6nZY0TY/edit#gid=1248694442"",""Subgroup 2: Cr ~ Tx!D3:D23""), $A81=IMPORTRANGE(""https://docs.google.com/spreadsheets/d/1kGrh75X1cNR1D7_FcY9zMnHP8iPO4M5"&amp;"RCRjy6nZY0TY/edit#gid=1248694442"",""Subgroup 2: Cr ~ Tx!A3:A23"")),"""")"),"")</f>
        <v/>
      </c>
      <c r="AI81" s="20" t="str">
        <f>IFERROR(__xludf.DUMMYFUNCTION("IFNA(FILTER(IMPORTRANGE(""https://docs.google.com/spreadsheets/d/1kGrh75X1cNR1D7_FcY9zMnHP8iPO4M5RCRjy6nZY0TY/edit#gid=1248694442"",""Subgroup 2: Cr ~ Tx!E3:E23""), $A81=IMPORTRANGE(""https://docs.google.com/spreadsheets/d/1kGrh75X1cNR1D7_FcY9zMnHP8iPO4M5"&amp;"RCRjy6nZY0TY/edit#gid=1248694442"",""Subgroup 2: Cr ~ Tx!A3:A23"")),"""")"),"")</f>
        <v/>
      </c>
      <c r="AJ81" s="20" t="str">
        <f>IFERROR(__xludf.DUMMYFUNCTION("IFNA(FILTER(IMPORTRANGE(""https://docs.google.com/spreadsheets/d/1kGrh75X1cNR1D7_FcY9zMnHP8iPO4M5RCRjy6nZY0TY/edit#gid=1248694442"",""Subgroup 2: Cr ~ Tx!F3:F23""), $A81=IMPORTRANGE(""https://docs.google.com/spreadsheets/d/1kGrh75X1cNR1D7_FcY9zMnHP8iPO4M5"&amp;"RCRjy6nZY0TY/edit#gid=1248694442"",""Subgroup 2: Cr ~ Tx!A3:A23"")),"""")"),"")</f>
        <v/>
      </c>
      <c r="AK81" s="14" t="str">
        <f>IFERROR(__xludf.DUMMYFUNCTION("IFNA(FILTER(IMPORTRANGE(""https://docs.google.com/spreadsheets/d/1kGrh75X1cNR1D7_FcY9zMnHP8iPO4M5RCRjy6nZY0TY/edit#gid=1248694442"",""Table 4: 2nd-line HC or more!M5:M85""), $A81=IMPORTRANGE(""https://docs.google.com/spreadsheets/d/1kGrh75X1cNR1D7_FcY9zMn"&amp;"HP8iPO4M5RCRjy6nZY0TY/edit#gid=1248694442"",""Table 4: 2nd-line HC or more!A5:A85"")),"""")"),"")</f>
        <v/>
      </c>
      <c r="AL81" s="14" t="str">
        <f>IFERROR(__xludf.DUMMYFUNCTION("IFNA(FILTER(IMPORTRANGE(""https://docs.google.com/spreadsheets/d/1kGrh75X1cNR1D7_FcY9zMnHP8iPO4M5RCRjy6nZY0TY/edit#gid=1248694442"",""Table 4: 2nd-line HC or more!N5:N85""), $A81=IMPORTRANGE(""https://docs.google.com/spreadsheets/d/1kGrh75X1cNR1D7_FcY9zMn"&amp;"HP8iPO4M5RCRjy6nZY0TY/edit#gid=1248694442"",""Table 4: 2nd-line HC or more!A5:A85"")),"""")"),"")</f>
        <v/>
      </c>
      <c r="AM81" s="14" t="str">
        <f>IFERROR(__xludf.DUMMYFUNCTION("IFNA(FILTER(IMPORTRANGE(""https://docs.google.com/spreadsheets/d/1kGrh75X1cNR1D7_FcY9zMnHP8iPO4M5RCRjy6nZY0TY/edit#gid=1248694442"",""Table 4: 2nd-line HC or more!O5:O85""), $A81=IMPORTRANGE(""https://docs.google.com/spreadsheets/d/1kGrh75X1cNR1D7_FcY9zMn"&amp;"HP8iPO4M5RCRjy6nZY0TY/edit#gid=1248694442"",""Table 4: 2nd-line HC or more!A5:A85"")),"""")"),"")</f>
        <v/>
      </c>
      <c r="AN81" s="14" t="str">
        <f>IFERROR(__xludf.DUMMYFUNCTION("IFNA(FILTER(IMPORTRANGE(""https://docs.google.com/spreadsheets/d/1kGrh75X1cNR1D7_FcY9zMnHP8iPO4M5RCRjy6nZY0TY/edit#gid=1248694442"",""Table 3: 1st-line HC!AP5:AP111""), $A81=IMPORTRANGE(""https://docs.google.com/spreadsheets/d/1kGrh75X1cNR1D7_FcY9zMnHP8iP"&amp;"O4M5RCRjy6nZY0TY/edit#gid=1248694442"",""Table 3: 1st-line HC!A5:A111"")),"""")"),"")</f>
        <v/>
      </c>
      <c r="AO81" s="14" t="str">
        <f>IFERROR(__xludf.DUMMYFUNCTION("IFNA(FILTER(IMPORTRANGE(""https://docs.google.com/spreadsheets/d/1kGrh75X1cNR1D7_FcY9zMnHP8iPO4M5RCRjy6nZY0TY/edit#gid=1248694442"",""Table 3: 1st-line HC!AO5:AO111""), $A81=IMPORTRANGE(""https://docs.google.com/spreadsheets/d/1kGrh75X1cNR1D7_FcY9zMnHP8iP"&amp;"O4M5RCRjy6nZY0TY/edit#gid=1248694442"",""Table 3: 1st-line HC!A5:A111"")),"""")"),"")</f>
        <v/>
      </c>
      <c r="AP81" s="14" t="str">
        <f>IFERROR(__xludf.DUMMYFUNCTION("IFNA(FILTER(IMPORTRANGE(""https://docs.google.com/spreadsheets/d/1kGrh75X1cNR1D7_FcY9zMnHP8iPO4M5RCRjy6nZY0TY/edit#gid=1248694442"",""Table 3: 1st-line HC!AQ5:AQ111""), $A81=IMPORTRANGE(""https://docs.google.com/spreadsheets/d/1kGrh75X1cNR1D7_FcY9zMnHP8iP"&amp;"O4M5RCRjy6nZY0TY/edit#gid=1248694442"",""Table 3: 1st-line HC!A5:A111"")),"""")"),"")</f>
        <v/>
      </c>
      <c r="AQ81" s="14" t="str">
        <f>IFERROR(__xludf.DUMMYFUNCTION("IFNA(FILTER(IMPORTRANGE(""https://docs.google.com/spreadsheets/d/1kGrh75X1cNR1D7_FcY9zMnHP8iPO4M5RCRjy6nZY0TY/edit#gid=1248694442"",""Table 2: MMC!T5:T114""), $A81=IMPORTRANGE(""https://docs.google.com/spreadsheets/d/1kGrh75X1cNR1D7_FcY9zMnHP8iPO4M5RCRjy6"&amp;"nZY0TY/edit#gid=1248694442"",""Table 2: MMC!A5:A114"")),"""")"),"")</f>
        <v/>
      </c>
      <c r="AR81" s="14" t="str">
        <f>IFERROR(__xludf.DUMMYFUNCTION("IFNA(FILTER(IMPORTRANGE(""https://docs.google.com/spreadsheets/d/1kGrh75X1cNR1D7_FcY9zMnHP8iPO4M5RCRjy6nZY0TY/edit#gid=1248694442"",""Table 2: MMC!U5:U114""), $A81=IMPORTRANGE(""https://docs.google.com/spreadsheets/d/1kGrh75X1cNR1D7_FcY9zMnHP8iPO4M5RCRjy6"&amp;"nZY0TY/edit#gid=1248694442"",""Table 2: MMC!A5:A114"")),"""")"),"")</f>
        <v/>
      </c>
      <c r="AS81" s="14" t="str">
        <f>IFERROR(__xludf.DUMMYFUNCTION("IFNA(FILTER(IMPORTRANGE(""https://docs.google.com/spreadsheets/d/1kGrh75X1cNR1D7_FcY9zMnHP8iPO4M5RCRjy6nZY0TY/edit#gid=1248694442"",""Table 2: MMC!V5:V114""), $A81=IMPORTRANGE(""https://docs.google.com/spreadsheets/d/1kGrh75X1cNR1D7_FcY9zMnHP8iPO4M5RCRjy6"&amp;"nZY0TY/edit#gid=1248694442"",""Table 2: MMC!A5:A114"")),"""")"),"")</f>
        <v/>
      </c>
      <c r="AT81" s="4" t="str">
        <f>IFERROR(__xludf.DUMMYFUNCTION("IFNA(FILTER(IMPORTRANGE(""https://docs.google.com/spreadsheets/d/1kGrh75X1cNR1D7_FcY9zMnHP8iPO4M5RCRjy6nZY0TY/edit#gid=1248694442"",""Table 2: MMC!W5:W114""), $A81=IMPORTRANGE(""https://docs.google.com/spreadsheets/d/1kGrh75X1cNR1D7_FcY9zMnHP8iPO4M5RCRjy6"&amp;"nZY0TY/edit#gid=1248694442"",""Table 2: MMC!A5:A114"")),"""")"),"")</f>
        <v/>
      </c>
    </row>
    <row r="82">
      <c r="A82" s="4" t="str">
        <f>IFERROR(__xludf.DUMMYFUNCTION("""COMPUTED_VALUE"""),"ID 168")</f>
        <v>ID 168</v>
      </c>
      <c r="B82" s="20" t="str">
        <f>IFERROR(__xludf.DUMMYFUNCTION("IFNA(FILTER(IMPORTRANGE(""https://docs.google.com/spreadsheets/d/1kGrh75X1cNR1D7_FcY9zMnHP8iPO4M5RCRjy6nZY0TY/edit#gid=1248694442"",""Table 3: 1st-line HC!BK5:BK111""), $A82=IMPORTRANGE(""https://docs.google.com/spreadsheets/d/1kGrh75X1cNR1D7_FcY9zMnHP8iP"&amp;"O4M5RCRjy6nZY0TY/edit#gid=1248694442"",""Table 3: 1st-line HC!A5:A111"")),"""")"),"")</f>
        <v/>
      </c>
      <c r="C82" s="20" t="str">
        <f>IFERROR(__xludf.DUMMYFUNCTION("IFNA(FILTER(IMPORTRANGE(""https://docs.google.com/spreadsheets/d/1kGrh75X1cNR1D7_FcY9zMnHP8iPO4M5RCRjy6nZY0TY/edit#gid=1248694442"",""Subgroup 1: Fr ~ Tx!B3:B20""), $A82=IMPORTRANGE(""https://docs.google.com/spreadsheets/d/1kGrh75X1cNR1D7_FcY9zMnHP8iPO4M5"&amp;"RCRjy6nZY0TY/edit#gid=1248694442"",""Subgroup 1: Fr ~ Tx!A3:A20"")),"""")"),"")</f>
        <v/>
      </c>
      <c r="D82" s="20" t="str">
        <f>IFERROR(__xludf.DUMMYFUNCTION("IFNA(FILTER(IMPORTRANGE(""https://docs.google.com/spreadsheets/d/1kGrh75X1cNR1D7_FcY9zMnHP8iPO4M5RCRjy6nZY0TY/edit#gid=1248694442"",""Subgroup 1: Fr ~ Tx!C3:C20""), $A82=IMPORTRANGE(""https://docs.google.com/spreadsheets/d/1kGrh75X1cNR1D7_FcY9zMnHP8iPO4M5"&amp;"RCRjy6nZY0TY/edit#gid=1248694442"",""Subgroup 1: Fr ~ Tx!A3:A20"")),"""")"),"")</f>
        <v/>
      </c>
      <c r="E82" s="20" t="str">
        <f>IFERROR(__xludf.DUMMYFUNCTION("IFNA(FILTER(IMPORTRANGE(""https://docs.google.com/spreadsheets/d/1kGrh75X1cNR1D7_FcY9zMnHP8iPO4M5RCRjy6nZY0TY/edit#gid=1248694442"",""Subgroup 1: Fr ~ Tx!D3:D20""), $A82=IMPORTRANGE(""https://docs.google.com/spreadsheets/d/1kGrh75X1cNR1D7_FcY9zMnHP8iPO4M5"&amp;"RCRjy6nZY0TY/edit#gid=1248694442"",""Subgroup 1: Fr ~ Tx!A3:A20"")),"""")"),"")</f>
        <v/>
      </c>
      <c r="F82" s="20" t="str">
        <f>IFERROR(__xludf.DUMMYFUNCTION("IFNA(FILTER(IMPORTRANGE(""https://docs.google.com/spreadsheets/d/1kGrh75X1cNR1D7_FcY9zMnHP8iPO4M5RCRjy6nZY0TY/edit#gid=1248694442"",""Subgroup 1: Fr ~ Tx!E3:E20""), $A82=IMPORTRANGE(""https://docs.google.com/spreadsheets/d/1kGrh75X1cNR1D7_FcY9zMnHP8iPO4M5"&amp;"RCRjy6nZY0TY/edit#gid=1248694442"",""Subgroup 1: Fr ~ Tx!A3:A20"")),"""")"),"")</f>
        <v/>
      </c>
      <c r="G82" s="20" t="str">
        <f>IFERROR(__xludf.DUMMYFUNCTION("IFNA(FILTER(IMPORTRANGE(""https://docs.google.com/spreadsheets/d/1kGrh75X1cNR1D7_FcY9zMnHP8iPO4M5RCRjy6nZY0TY/edit#gid=1248694442"",""Subgroup 1: Fr ~ Tx!F3:F20""), $A82=IMPORTRANGE(""https://docs.google.com/spreadsheets/d/1kGrh75X1cNR1D7_FcY9zMnHP8iPO4M5"&amp;"RCRjy6nZY0TY/edit#gid=1248694442"",""Subgroup 1: Fr ~ Tx!A3:A20"")),"""")"),"")</f>
        <v/>
      </c>
      <c r="H82" s="20">
        <f>IFERROR(__xludf.DUMMYFUNCTION("IFNA(FILTER(IMPORTRANGE(""https://docs.google.com/spreadsheets/d/1kGrh75X1cNR1D7_FcY9zMnHP8iPO4M5RCRjy6nZY0TY/edit#gid=1248694442"",""Table 3: 1st-line HC!BD5:BD111""), $A82=IMPORTRANGE(""https://docs.google.com/spreadsheets/d/1kGrh75X1cNR1D7_FcY9zMnHP8iP"&amp;"O4M5RCRjy6nZY0TY/edit#gid=1248694442"",""Table 3: 1st-line HC!A5:A111"")),"""")"),14.2)</f>
        <v>14.2</v>
      </c>
      <c r="I82" s="20" t="str">
        <f>IFERROR(__xludf.DUMMYFUNCTION("IFNA(FILTER(IMPORTRANGE(""https://docs.google.com/spreadsheets/d/1kGrh75X1cNR1D7_FcY9zMnHP8iPO4M5RCRjy6nZY0TY/edit#gid=1248694442"",""Subgroup 5: Tf ~ Tx!B3:B8""), $A82=IMPORTRANGE(""https://docs.google.com/spreadsheets/d/1kGrh75X1cNR1D7_FcY9zMnHP8iPO4M5R"&amp;"CRjy6nZY0TY/edit#gid=1248694442"",""Subgroup 5: Tf ~ Tx!A3:A8"")),"""")"),"")</f>
        <v/>
      </c>
      <c r="J82" s="20">
        <f>IFERROR(__xludf.DUMMYFUNCTION("IFNA(FILTER(IMPORTRANGE(""https://docs.google.com/spreadsheets/d/1kGrh75X1cNR1D7_FcY9zMnHP8iPO4M5RCRjy6nZY0TY/edit#gid=1248694442"",""Subgroup 5: Tf ~ Tx!C3:C8""), $A82=IMPORTRANGE(""https://docs.google.com/spreadsheets/d/1kGrh75X1cNR1D7_FcY9zMnHP8iPO4M5R"&amp;"CRjy6nZY0TY/edit#gid=1248694442"",""Subgroup 5: Tf ~ Tx!A3:A8"")),"""")"),14.1571428571428)</f>
        <v>14.15714286</v>
      </c>
      <c r="K82" s="20" t="str">
        <f>IFERROR(__xludf.DUMMYFUNCTION("IFNA(FILTER(IMPORTRANGE(""https://docs.google.com/spreadsheets/d/1kGrh75X1cNR1D7_FcY9zMnHP8iPO4M5RCRjy6nZY0TY/edit#gid=1248694442"",""Subgroup 5: Tf ~ Tx!D3:D8""), $A82=IMPORTRANGE(""https://docs.google.com/spreadsheets/d/1kGrh75X1cNR1D7_FcY9zMnHP8iPO4M5R"&amp;"CRjy6nZY0TY/edit#gid=1248694442"",""Subgroup 5: Tf ~ Tx!A3:A8"")),"""")"),"")</f>
        <v/>
      </c>
      <c r="L82" s="20" t="str">
        <f>IFERROR(__xludf.DUMMYFUNCTION("IFNA(FILTER(IMPORTRANGE(""https://docs.google.com/spreadsheets/d/1kGrh75X1cNR1D7_FcY9zMnHP8iPO4M5RCRjy6nZY0TY/edit#gid=1248694442"",""Subgroup 5: Tf ~ Tx!E3:E8""), $A82=IMPORTRANGE(""https://docs.google.com/spreadsheets/d/1kGrh75X1cNR1D7_FcY9zMnHP8iPO4M5R"&amp;"CRjy6nZY0TY/edit#gid=1248694442"",""Subgroup 5: Tf ~ Tx!A3:A8"")),"""")"),"")</f>
        <v/>
      </c>
      <c r="M82" s="20" t="str">
        <f>IFERROR(__xludf.DUMMYFUNCTION("IFNA(FILTER(IMPORTRANGE(""https://docs.google.com/spreadsheets/d/1kGrh75X1cNR1D7_FcY9zMnHP8iPO4M5RCRjy6nZY0TY/edit#gid=1248694442"",""Subgroup 5: Tf ~ Tx!F3:F8""), $A82=IMPORTRANGE(""https://docs.google.com/spreadsheets/d/1kGrh75X1cNR1D7_FcY9zMnHP8iPO4M5R"&amp;"CRjy6nZY0TY/edit#gid=1248694442"",""Subgroup 5: Tf ~ Tx!A3:A8"")),"""")"),"")</f>
        <v/>
      </c>
      <c r="N82" s="20" t="str">
        <f>IFERROR(__xludf.DUMMYFUNCTION("IFNA(FILTER(IMPORTRANGE(""https://docs.google.com/spreadsheets/d/1kGrh75X1cNR1D7_FcY9zMnHP8iPO4M5RCRjy6nZY0TY/edit#gid=1248694442"",""Table 3: 1st-line HC!BE5:BE111""), $A82=IMPORTRANGE(""https://docs.google.com/spreadsheets/d/1kGrh75X1cNR1D7_FcY9zMnHP8iP"&amp;"O4M5RCRjy6nZY0TY/edit#gid=1248694442"",""Table 3: 1st-line HC!A5:A111"")),"""")"),"")</f>
        <v/>
      </c>
      <c r="O82" s="20" t="str">
        <f>IFERROR(__xludf.DUMMYFUNCTION("IFNA(FILTER(IMPORTRANGE(""https://docs.google.com/spreadsheets/d/1kGrh75X1cNR1D7_FcY9zMnHP8iPO4M5RCRjy6nZY0TY/edit#gid=1248694442"",""Table 3: 1st-line HC!BF5:BF111""), $A82=IMPORTRANGE(""https://docs.google.com/spreadsheets/d/1kGrh75X1cNR1D7_FcY9zMnHP8iP"&amp;"O4M5RCRjy6nZY0TY/edit#gid=1248694442"",""Table 3: 1st-line HC!A5:A111"")),"""")"),"")</f>
        <v/>
      </c>
      <c r="P82" s="20" t="str">
        <f>IFERROR(__xludf.DUMMYFUNCTION("IFNA(FILTER(IMPORTRANGE(""https://docs.google.com/spreadsheets/d/1kGrh75X1cNR1D7_FcY9zMnHP8iPO4M5RCRjy6nZY0TY/edit#gid=1248694442"",""Table 3: 1st-line HC!BG5:BG111""), $A82=IMPORTRANGE(""https://docs.google.com/spreadsheets/d/1kGrh75X1cNR1D7_FcY9zMnHP8iP"&amp;"O4M5RCRjy6nZY0TY/edit#gid=1248694442"",""Table 3: 1st-line HC!A5:A111"")),"""")"),"")</f>
        <v/>
      </c>
      <c r="Q82" s="21" t="str">
        <f>IFERROR(__xludf.DUMMYFUNCTION("IFNA(FILTER(IMPORTRANGE(""https://docs.google.com/spreadsheets/d/1kGrh75X1cNR1D7_FcY9zMnHP8iPO4M5RCRjy6nZY0TY/edit#gid=1248694442"",""Table 3: 1st-line HC!BH5:BH111""), $A82=IMPORTRANGE(""https://docs.google.com/spreadsheets/d/1kGrh75X1cNR1D7_FcY9zMnHP8iP"&amp;"O4M5RCRjy6nZY0TY/edit#gid=1248694442"",""Table 3: 1st-line HC!A5:A111"")),"""")"),"")</f>
        <v/>
      </c>
      <c r="R82" s="19" t="str">
        <f>IFERROR(__xludf.DUMMYFUNCTION("IFNA(FILTER(IMPORTRANGE(""https://docs.google.com/spreadsheets/d/1kGrh75X1cNR1D7_FcY9zMnHP8iPO4M5RCRjy6nZY0TY/edit#gid=1248694442"",""Table 3: 1st-line HC!AJ5:AJ111""), $A82=IMPORTRANGE(""https://docs.google.com/spreadsheets/d/1kGrh75X1cNR1D7_FcY9zMnHP8iP"&amp;"O4M5RCRjy6nZY0TY/edit#gid=1248694442"",""Table 3: 1st-line HC!A5:A111"")),"""")"),"")</f>
        <v/>
      </c>
      <c r="S82" s="20" t="str">
        <f>IFERROR(__xludf.DUMMYFUNCTION("IFNA(FILTER(IMPORTRANGE(""https://docs.google.com/spreadsheets/d/1kGrh75X1cNR1D7_FcY9zMnHP8iPO4M5RCRjy6nZY0TY/edit#gid=1248694442"",""Subgroup 3: Mi ~ Tx!B3:B17""), $A82=IMPORTRANGE(""https://docs.google.com/spreadsheets/d/1kGrh75X1cNR1D7_FcY9zMnHP8iPO4M5"&amp;"RCRjy6nZY0TY/edit#gid=1248694442"",""Subgroup 3: Mi ~ Tx!A3:A17"")),"""")"),"")</f>
        <v/>
      </c>
      <c r="T82" s="20" t="str">
        <f>IFERROR(__xludf.DUMMYFUNCTION("IFNA(FILTER(IMPORTRANGE(""https://docs.google.com/spreadsheets/d/1kGrh75X1cNR1D7_FcY9zMnHP8iPO4M5RCRjy6nZY0TY/edit#gid=1248694442"",""Subgroup 3: Mi ~ Tx!C3:C17""), $A82=IMPORTRANGE(""https://docs.google.com/spreadsheets/d/1kGrh75X1cNR1D7_FcY9zMnHP8iPO4M5"&amp;"RCRjy6nZY0TY/edit#gid=1248694442"",""Subgroup 3: Mi ~ Tx!A3:A17"")),"""")"),"")</f>
        <v/>
      </c>
      <c r="U82" s="20" t="str">
        <f>IFERROR(__xludf.DUMMYFUNCTION("IFNA(FILTER(IMPORTRANGE(""https://docs.google.com/spreadsheets/d/1kGrh75X1cNR1D7_FcY9zMnHP8iPO4M5RCRjy6nZY0TY/edit#gid=1248694442"",""Subgroup 3: Mi ~ Tx!D3:D17""), $A82=IMPORTRANGE(""https://docs.google.com/spreadsheets/d/1kGrh75X1cNR1D7_FcY9zMnHP8iPO4M5"&amp;"RCRjy6nZY0TY/edit#gid=1248694442"",""Subgroup 3: Mi ~ Tx!A3:A17"")),"""")"),"")</f>
        <v/>
      </c>
      <c r="V82" s="20" t="str">
        <f>IFERROR(__xludf.DUMMYFUNCTION("IFNA(FILTER(IMPORTRANGE(""https://docs.google.com/spreadsheets/d/1kGrh75X1cNR1D7_FcY9zMnHP8iPO4M5RCRjy6nZY0TY/edit#gid=1248694442"",""Subgroup 3: Mi ~ Tx!E3:E17""), $A82=IMPORTRANGE(""https://docs.google.com/spreadsheets/d/1kGrh75X1cNR1D7_FcY9zMnHP8iPO4M5"&amp;"RCRjy6nZY0TY/edit#gid=1248694442"",""Subgroup 3: Mi ~ Tx!A3:A17"")),"""")"),"")</f>
        <v/>
      </c>
      <c r="W82" s="20" t="str">
        <f>IFERROR(__xludf.DUMMYFUNCTION("IFNA(FILTER(IMPORTRANGE(""https://docs.google.com/spreadsheets/d/1kGrh75X1cNR1D7_FcY9zMnHP8iPO4M5RCRjy6nZY0TY/edit#gid=1248694442"",""Subgroup 3: Mi ~ Tx!F3:F17""), $A82=IMPORTRANGE(""https://docs.google.com/spreadsheets/d/1kGrh75X1cNR1D7_FcY9zMnHP8iPO4M5"&amp;"RCRjy6nZY0TY/edit#gid=1248694442"",""Subgroup 3: Mi ~ Tx!A3:A17"")),"""")"),"")</f>
        <v/>
      </c>
      <c r="X82" s="19" t="str">
        <f>IFERROR(__xludf.DUMMYFUNCTION("IFNA(FILTER(IMPORTRANGE(""https://docs.google.com/spreadsheets/d/1kGrh75X1cNR1D7_FcY9zMnHP8iPO4M5RCRjy6nZY0TY/edit#gid=1248694442"",""Table 3: 1st-line HC!AK5:AK111""), $A82=IMPORTRANGE(""https://docs.google.com/spreadsheets/d/1kGrh75X1cNR1D7_FcY9zMnHP8iP"&amp;"O4M5RCRjy6nZY0TY/edit#gid=1248694442"",""Table 3: 1st-line HC!A5:A111"")),"""")"),"")</f>
        <v/>
      </c>
      <c r="Y82" s="20" t="str">
        <f>IFERROR(__xludf.DUMMYFUNCTION("IFNA(FILTER(IMPORTRANGE(""https://docs.google.com/spreadsheets/d/1kGrh75X1cNR1D7_FcY9zMnHP8iPO4M5RCRjy6nZY0TY/edit#gid=1248694442"",""Subgroup 4: Mp ~ Tx!B3:B20""), $A82=IMPORTRANGE(""https://docs.google.com/spreadsheets/d/1kGrh75X1cNR1D7_FcY9zMnHP8iPO4M5"&amp;"RCRjy6nZY0TY/edit#gid=1248694442"",""Subgroup 4: Mp ~ Tx!A3:A20"")),"""")"),"")</f>
        <v/>
      </c>
      <c r="Z82" s="20" t="str">
        <f>IFERROR(__xludf.DUMMYFUNCTION("IFNA(FILTER(IMPORTRANGE(""https://docs.google.com/spreadsheets/d/1kGrh75X1cNR1D7_FcY9zMnHP8iPO4M5RCRjy6nZY0TY/edit#gid=1248694442"",""Subgroup 4: Mp ~ Tx!C3:C20""), $A82=IMPORTRANGE(""https://docs.google.com/spreadsheets/d/1kGrh75X1cNR1D7_FcY9zMnHP8iPO4M5"&amp;"RCRjy6nZY0TY/edit#gid=1248694442"",""Subgroup 4: Mp ~ Tx!A3:A20"")),"""")"),"")</f>
        <v/>
      </c>
      <c r="AA82" s="20" t="str">
        <f>IFERROR(__xludf.DUMMYFUNCTION("IFNA(FILTER(IMPORTRANGE(""https://docs.google.com/spreadsheets/d/1kGrh75X1cNR1D7_FcY9zMnHP8iPO4M5RCRjy6nZY0TY/edit#gid=1248694442"",""Subgroup 4: Mp ~ Tx!D3:D20""), $A82=IMPORTRANGE(""https://docs.google.com/spreadsheets/d/1kGrh75X1cNR1D7_FcY9zMnHP8iPO4M5"&amp;"RCRjy6nZY0TY/edit#gid=1248694442"",""Subgroup 4: Mp ~ Tx!A3:A20"")),"""")"),"")</f>
        <v/>
      </c>
      <c r="AB82" s="20" t="str">
        <f>IFERROR(__xludf.DUMMYFUNCTION("IFNA(FILTER(IMPORTRANGE(""https://docs.google.com/spreadsheets/d/1kGrh75X1cNR1D7_FcY9zMnHP8iPO4M5RCRjy6nZY0TY/edit#gid=1248694442"",""Subgroup 4: Mp ~ Tx!E3:E20""), $A82=IMPORTRANGE(""https://docs.google.com/spreadsheets/d/1kGrh75X1cNR1D7_FcY9zMnHP8iPO4M5"&amp;"RCRjy6nZY0TY/edit#gid=1248694442"",""Subgroup 4: Mp ~ Tx!A3:A20"")),"""")"),"")</f>
        <v/>
      </c>
      <c r="AC82" s="20" t="str">
        <f>IFERROR(__xludf.DUMMYFUNCTION("IFNA(FILTER(IMPORTRANGE(""https://docs.google.com/spreadsheets/d/1kGrh75X1cNR1D7_FcY9zMnHP8iPO4M5RCRjy6nZY0TY/edit#gid=1248694442"",""Subgroup 4: Mp ~ Tx!F3:F20""), $A82=IMPORTRANGE(""https://docs.google.com/spreadsheets/d/1kGrh75X1cNR1D7_FcY9zMnHP8iPO4M5"&amp;"RCRjy6nZY0TY/edit#gid=1248694442"",""Subgroup 4: Mp ~ Tx!A3:A20"")),"""")"),"")</f>
        <v/>
      </c>
      <c r="AD82" s="22" t="str">
        <f>IFERROR(__xludf.DUMMYFUNCTION("IFNA(FILTER(IMPORTRANGE(""https://docs.google.com/spreadsheets/d/1kGrh75X1cNR1D7_FcY9zMnHP8iPO4M5RCRjy6nZY0TY/edit#gid=1248694442"",""Table 3: 1st-line HC!AL5:AL111""), $A82=IMPORTRANGE(""https://docs.google.com/spreadsheets/d/1kGrh75X1cNR1D7_FcY9zMnHP8iP"&amp;"O4M5RCRjy6nZY0TY/edit#gid=1248694442"",""Table 3: 1st-line HC!A5:A111"")),"""")"),"")</f>
        <v/>
      </c>
      <c r="AE82" s="20" t="str">
        <f>IFERROR(__xludf.DUMMYFUNCTION("IFNA(FILTER(IMPORTRANGE(""https://docs.google.com/spreadsheets/d/1kGrh75X1cNR1D7_FcY9zMnHP8iPO4M5RCRjy6nZY0TY/edit#gid=1248694442"",""Table 3: 1st-line HC!BJ5:BJ111""), $A82=IMPORTRANGE(""https://docs.google.com/spreadsheets/d/1kGrh75X1cNR1D7_FcY9zMnHP8iP"&amp;"O4M5RCRjy6nZY0TY/edit#gid=1248694442"",""Table 3: 1st-line HC!A5:A111"")),"""")"),"")</f>
        <v/>
      </c>
      <c r="AF82" s="20" t="str">
        <f>IFERROR(__xludf.DUMMYFUNCTION("IFNA(FILTER(IMPORTRANGE(""https://docs.google.com/spreadsheets/d/1kGrh75X1cNR1D7_FcY9zMnHP8iPO4M5RCRjy6nZY0TY/edit#gid=1248694442"",""Subgroup 2: Cr ~ Tx!B3:B23""), $A82=IMPORTRANGE(""https://docs.google.com/spreadsheets/d/1kGrh75X1cNR1D7_FcY9zMnHP8iPO4M5"&amp;"RCRjy6nZY0TY/edit#gid=1248694442"",""Subgroup 2: Cr ~ Tx!A3:A23"")),"""")"),"")</f>
        <v/>
      </c>
      <c r="AG82" s="20" t="str">
        <f>IFERROR(__xludf.DUMMYFUNCTION("IFNA(FILTER(IMPORTRANGE(""https://docs.google.com/spreadsheets/d/1kGrh75X1cNR1D7_FcY9zMnHP8iPO4M5RCRjy6nZY0TY/edit#gid=1248694442"",""Subgroup 2: Cr ~ Tx!C3:C23""), $A82=IMPORTRANGE(""https://docs.google.com/spreadsheets/d/1kGrh75X1cNR1D7_FcY9zMnHP8iPO4M5"&amp;"RCRjy6nZY0TY/edit#gid=1248694442"",""Subgroup 2: Cr ~ Tx!A3:A23"")),"""")"),"")</f>
        <v/>
      </c>
      <c r="AH82" s="20" t="str">
        <f>IFERROR(__xludf.DUMMYFUNCTION("IFNA(FILTER(IMPORTRANGE(""https://docs.google.com/spreadsheets/d/1kGrh75X1cNR1D7_FcY9zMnHP8iPO4M5RCRjy6nZY0TY/edit#gid=1248694442"",""Subgroup 2: Cr ~ Tx!D3:D23""), $A82=IMPORTRANGE(""https://docs.google.com/spreadsheets/d/1kGrh75X1cNR1D7_FcY9zMnHP8iPO4M5"&amp;"RCRjy6nZY0TY/edit#gid=1248694442"",""Subgroup 2: Cr ~ Tx!A3:A23"")),"""")"),"")</f>
        <v/>
      </c>
      <c r="AI82" s="20" t="str">
        <f>IFERROR(__xludf.DUMMYFUNCTION("IFNA(FILTER(IMPORTRANGE(""https://docs.google.com/spreadsheets/d/1kGrh75X1cNR1D7_FcY9zMnHP8iPO4M5RCRjy6nZY0TY/edit#gid=1248694442"",""Subgroup 2: Cr ~ Tx!E3:E23""), $A82=IMPORTRANGE(""https://docs.google.com/spreadsheets/d/1kGrh75X1cNR1D7_FcY9zMnHP8iPO4M5"&amp;"RCRjy6nZY0TY/edit#gid=1248694442"",""Subgroup 2: Cr ~ Tx!A3:A23"")),"""")"),"")</f>
        <v/>
      </c>
      <c r="AJ82" s="20" t="str">
        <f>IFERROR(__xludf.DUMMYFUNCTION("IFNA(FILTER(IMPORTRANGE(""https://docs.google.com/spreadsheets/d/1kGrh75X1cNR1D7_FcY9zMnHP8iPO4M5RCRjy6nZY0TY/edit#gid=1248694442"",""Subgroup 2: Cr ~ Tx!F3:F23""), $A82=IMPORTRANGE(""https://docs.google.com/spreadsheets/d/1kGrh75X1cNR1D7_FcY9zMnHP8iPO4M5"&amp;"RCRjy6nZY0TY/edit#gid=1248694442"",""Subgroup 2: Cr ~ Tx!A3:A23"")),"""")"),"")</f>
        <v/>
      </c>
      <c r="AK82" s="14" t="str">
        <f>IFERROR(__xludf.DUMMYFUNCTION("IFNA(FILTER(IMPORTRANGE(""https://docs.google.com/spreadsheets/d/1kGrh75X1cNR1D7_FcY9zMnHP8iPO4M5RCRjy6nZY0TY/edit#gid=1248694442"",""Table 4: 2nd-line HC or more!M5:M85""), $A82=IMPORTRANGE(""https://docs.google.com/spreadsheets/d/1kGrh75X1cNR1D7_FcY9zMn"&amp;"HP8iPO4M5RCRjy6nZY0TY/edit#gid=1248694442"",""Table 4: 2nd-line HC or more!A5:A85"")),"""")"),"")</f>
        <v/>
      </c>
      <c r="AL82" s="14" t="str">
        <f>IFERROR(__xludf.DUMMYFUNCTION("IFNA(FILTER(IMPORTRANGE(""https://docs.google.com/spreadsheets/d/1kGrh75X1cNR1D7_FcY9zMnHP8iPO4M5RCRjy6nZY0TY/edit#gid=1248694442"",""Table 4: 2nd-line HC or more!N5:N85""), $A82=IMPORTRANGE(""https://docs.google.com/spreadsheets/d/1kGrh75X1cNR1D7_FcY9zMn"&amp;"HP8iPO4M5RCRjy6nZY0TY/edit#gid=1248694442"",""Table 4: 2nd-line HC or more!A5:A85"")),"""")"),"")</f>
        <v/>
      </c>
      <c r="AM82" s="14" t="str">
        <f>IFERROR(__xludf.DUMMYFUNCTION("IFNA(FILTER(IMPORTRANGE(""https://docs.google.com/spreadsheets/d/1kGrh75X1cNR1D7_FcY9zMnHP8iPO4M5RCRjy6nZY0TY/edit#gid=1248694442"",""Table 4: 2nd-line HC or more!O5:O85""), $A82=IMPORTRANGE(""https://docs.google.com/spreadsheets/d/1kGrh75X1cNR1D7_FcY9zMn"&amp;"HP8iPO4M5RCRjy6nZY0TY/edit#gid=1248694442"",""Table 4: 2nd-line HC or more!A5:A85"")),"""")"),"")</f>
        <v/>
      </c>
      <c r="AN82" s="14" t="str">
        <f>IFERROR(__xludf.DUMMYFUNCTION("IFNA(FILTER(IMPORTRANGE(""https://docs.google.com/spreadsheets/d/1kGrh75X1cNR1D7_FcY9zMnHP8iPO4M5RCRjy6nZY0TY/edit#gid=1248694442"",""Table 3: 1st-line HC!AP5:AP111""), $A82=IMPORTRANGE(""https://docs.google.com/spreadsheets/d/1kGrh75X1cNR1D7_FcY9zMnHP8iP"&amp;"O4M5RCRjy6nZY0TY/edit#gid=1248694442"",""Table 3: 1st-line HC!A5:A111"")),"""")"),"")</f>
        <v/>
      </c>
      <c r="AO82" s="14" t="str">
        <f>IFERROR(__xludf.DUMMYFUNCTION("IFNA(FILTER(IMPORTRANGE(""https://docs.google.com/spreadsheets/d/1kGrh75X1cNR1D7_FcY9zMnHP8iPO4M5RCRjy6nZY0TY/edit#gid=1248694442"",""Table 3: 1st-line HC!AO5:AO111""), $A82=IMPORTRANGE(""https://docs.google.com/spreadsheets/d/1kGrh75X1cNR1D7_FcY9zMnHP8iP"&amp;"O4M5RCRjy6nZY0TY/edit#gid=1248694442"",""Table 3: 1st-line HC!A5:A111"")),"""")"),"")</f>
        <v/>
      </c>
      <c r="AP82" s="14">
        <f>IFERROR(__xludf.DUMMYFUNCTION("IFNA(FILTER(IMPORTRANGE(""https://docs.google.com/spreadsheets/d/1kGrh75X1cNR1D7_FcY9zMnHP8iPO4M5RCRjy6nZY0TY/edit#gid=1248694442"",""Table 3: 1st-line HC!AQ5:AQ111""), $A82=IMPORTRANGE(""https://docs.google.com/spreadsheets/d/1kGrh75X1cNR1D7_FcY9zMnHP8iP"&amp;"O4M5RCRjy6nZY0TY/edit#gid=1248694442"",""Table 3: 1st-line HC!A5:A111"")),"""")"),1.0)</f>
        <v>1</v>
      </c>
      <c r="AQ82" s="14" t="str">
        <f>IFERROR(__xludf.DUMMYFUNCTION("IFNA(FILTER(IMPORTRANGE(""https://docs.google.com/spreadsheets/d/1kGrh75X1cNR1D7_FcY9zMnHP8iPO4M5RCRjy6nZY0TY/edit#gid=1248694442"",""Table 2: MMC!T5:T114""), $A82=IMPORTRANGE(""https://docs.google.com/spreadsheets/d/1kGrh75X1cNR1D7_FcY9zMnHP8iPO4M5RCRjy6"&amp;"nZY0TY/edit#gid=1248694442"",""Table 2: MMC!A5:A114"")),"""")"),"")</f>
        <v/>
      </c>
      <c r="AR82" s="14" t="str">
        <f>IFERROR(__xludf.DUMMYFUNCTION("IFNA(FILTER(IMPORTRANGE(""https://docs.google.com/spreadsheets/d/1kGrh75X1cNR1D7_FcY9zMnHP8iPO4M5RCRjy6nZY0TY/edit#gid=1248694442"",""Table 2: MMC!U5:U114""), $A82=IMPORTRANGE(""https://docs.google.com/spreadsheets/d/1kGrh75X1cNR1D7_FcY9zMnHP8iPO4M5RCRjy6"&amp;"nZY0TY/edit#gid=1248694442"",""Table 2: MMC!A5:A114"")),"""")"),"")</f>
        <v/>
      </c>
      <c r="AS82" s="14" t="str">
        <f>IFERROR(__xludf.DUMMYFUNCTION("IFNA(FILTER(IMPORTRANGE(""https://docs.google.com/spreadsheets/d/1kGrh75X1cNR1D7_FcY9zMnHP8iPO4M5RCRjy6nZY0TY/edit#gid=1248694442"",""Table 2: MMC!V5:V114""), $A82=IMPORTRANGE(""https://docs.google.com/spreadsheets/d/1kGrh75X1cNR1D7_FcY9zMnHP8iPO4M5RCRjy6"&amp;"nZY0TY/edit#gid=1248694442"",""Table 2: MMC!A5:A114"")),"""")"),"")</f>
        <v/>
      </c>
      <c r="AT82" s="4" t="str">
        <f>IFERROR(__xludf.DUMMYFUNCTION("IFNA(FILTER(IMPORTRANGE(""https://docs.google.com/spreadsheets/d/1kGrh75X1cNR1D7_FcY9zMnHP8iPO4M5RCRjy6nZY0TY/edit#gid=1248694442"",""Table 2: MMC!W5:W114""), $A82=IMPORTRANGE(""https://docs.google.com/spreadsheets/d/1kGrh75X1cNR1D7_FcY9zMnHP8iPO4M5RCRjy6"&amp;"nZY0TY/edit#gid=1248694442"",""Table 2: MMC!A5:A114"")),"""")"),"")</f>
        <v/>
      </c>
    </row>
    <row r="83">
      <c r="A83" s="4" t="str">
        <f>IFERROR(__xludf.DUMMYFUNCTION("""COMPUTED_VALUE"""),"ID 169")</f>
        <v>ID 169</v>
      </c>
      <c r="B83" s="20">
        <f>IFERROR(__xludf.DUMMYFUNCTION("IFNA(FILTER(IMPORTRANGE(""https://docs.google.com/spreadsheets/d/1kGrh75X1cNR1D7_FcY9zMnHP8iPO4M5RCRjy6nZY0TY/edit#gid=1248694442"",""Table 3: 1st-line HC!BK5:BK111""), $A83=IMPORTRANGE(""https://docs.google.com/spreadsheets/d/1kGrh75X1cNR1D7_FcY9zMnHP8iP"&amp;"O4M5RCRjy6nZY0TY/edit#gid=1248694442"",""Table 3: 1st-line HC!A5:A111"")),"""")"),0.6)</f>
        <v>0.6</v>
      </c>
      <c r="C83" s="20" t="str">
        <f>IFERROR(__xludf.DUMMYFUNCTION("IFNA(FILTER(IMPORTRANGE(""https://docs.google.com/spreadsheets/d/1kGrh75X1cNR1D7_FcY9zMnHP8iPO4M5RCRjy6nZY0TY/edit#gid=1248694442"",""Subgroup 1: Fr ~ Tx!B3:B20""), $A83=IMPORTRANGE(""https://docs.google.com/spreadsheets/d/1kGrh75X1cNR1D7_FcY9zMnHP8iPO4M5"&amp;"RCRjy6nZY0TY/edit#gid=1248694442"",""Subgroup 1: Fr ~ Tx!A3:A20"")),"""")"),"")</f>
        <v/>
      </c>
      <c r="D83" s="20" t="str">
        <f>IFERROR(__xludf.DUMMYFUNCTION("IFNA(FILTER(IMPORTRANGE(""https://docs.google.com/spreadsheets/d/1kGrh75X1cNR1D7_FcY9zMnHP8iPO4M5RCRjy6nZY0TY/edit#gid=1248694442"",""Subgroup 1: Fr ~ Tx!C3:C20""), $A83=IMPORTRANGE(""https://docs.google.com/spreadsheets/d/1kGrh75X1cNR1D7_FcY9zMnHP8iPO4M5"&amp;"RCRjy6nZY0TY/edit#gid=1248694442"",""Subgroup 1: Fr ~ Tx!A3:A20"")),"""")"),"")</f>
        <v/>
      </c>
      <c r="E83" s="20" t="str">
        <f>IFERROR(__xludf.DUMMYFUNCTION("IFNA(FILTER(IMPORTRANGE(""https://docs.google.com/spreadsheets/d/1kGrh75X1cNR1D7_FcY9zMnHP8iPO4M5RCRjy6nZY0TY/edit#gid=1248694442"",""Subgroup 1: Fr ~ Tx!D3:D20""), $A83=IMPORTRANGE(""https://docs.google.com/spreadsheets/d/1kGrh75X1cNR1D7_FcY9zMnHP8iPO4M5"&amp;"RCRjy6nZY0TY/edit#gid=1248694442"",""Subgroup 1: Fr ~ Tx!A3:A20"")),"""")"),"")</f>
        <v/>
      </c>
      <c r="F83" s="20" t="str">
        <f>IFERROR(__xludf.DUMMYFUNCTION("IFNA(FILTER(IMPORTRANGE(""https://docs.google.com/spreadsheets/d/1kGrh75X1cNR1D7_FcY9zMnHP8iPO4M5RCRjy6nZY0TY/edit#gid=1248694442"",""Subgroup 1: Fr ~ Tx!E3:E20""), $A83=IMPORTRANGE(""https://docs.google.com/spreadsheets/d/1kGrh75X1cNR1D7_FcY9zMnHP8iPO4M5"&amp;"RCRjy6nZY0TY/edit#gid=1248694442"",""Subgroup 1: Fr ~ Tx!A3:A20"")),"""")"),"")</f>
        <v/>
      </c>
      <c r="G83" s="20" t="str">
        <f>IFERROR(__xludf.DUMMYFUNCTION("IFNA(FILTER(IMPORTRANGE(""https://docs.google.com/spreadsheets/d/1kGrh75X1cNR1D7_FcY9zMnHP8iPO4M5RCRjy6nZY0TY/edit#gid=1248694442"",""Subgroup 1: Fr ~ Tx!F3:F20""), $A83=IMPORTRANGE(""https://docs.google.com/spreadsheets/d/1kGrh75X1cNR1D7_FcY9zMnHP8iPO4M5"&amp;"RCRjy6nZY0TY/edit#gid=1248694442"",""Subgroup 1: Fr ~ Tx!A3:A20"")),"""")"),"")</f>
        <v/>
      </c>
      <c r="H83" s="20" t="str">
        <f>IFERROR(__xludf.DUMMYFUNCTION("IFNA(FILTER(IMPORTRANGE(""https://docs.google.com/spreadsheets/d/1kGrh75X1cNR1D7_FcY9zMnHP8iPO4M5RCRjy6nZY0TY/edit#gid=1248694442"",""Table 3: 1st-line HC!BD5:BD111""), $A83=IMPORTRANGE(""https://docs.google.com/spreadsheets/d/1kGrh75X1cNR1D7_FcY9zMnHP8iP"&amp;"O4M5RCRjy6nZY0TY/edit#gid=1248694442"",""Table 3: 1st-line HC!A5:A111"")),"""")"),"")</f>
        <v/>
      </c>
      <c r="I83" s="20" t="str">
        <f>IFERROR(__xludf.DUMMYFUNCTION("IFNA(FILTER(IMPORTRANGE(""https://docs.google.com/spreadsheets/d/1kGrh75X1cNR1D7_FcY9zMnHP8iPO4M5RCRjy6nZY0TY/edit#gid=1248694442"",""Subgroup 5: Tf ~ Tx!B3:B8""), $A83=IMPORTRANGE(""https://docs.google.com/spreadsheets/d/1kGrh75X1cNR1D7_FcY9zMnHP8iPO4M5R"&amp;"CRjy6nZY0TY/edit#gid=1248694442"",""Subgroup 5: Tf ~ Tx!A3:A8"")),"""")"),"")</f>
        <v/>
      </c>
      <c r="J83" s="20" t="str">
        <f>IFERROR(__xludf.DUMMYFUNCTION("IFNA(FILTER(IMPORTRANGE(""https://docs.google.com/spreadsheets/d/1kGrh75X1cNR1D7_FcY9zMnHP8iPO4M5RCRjy6nZY0TY/edit#gid=1248694442"",""Subgroup 5: Tf ~ Tx!C3:C8""), $A83=IMPORTRANGE(""https://docs.google.com/spreadsheets/d/1kGrh75X1cNR1D7_FcY9zMnHP8iPO4M5R"&amp;"CRjy6nZY0TY/edit#gid=1248694442"",""Subgroup 5: Tf ~ Tx!A3:A8"")),"""")"),"")</f>
        <v/>
      </c>
      <c r="K83" s="20" t="str">
        <f>IFERROR(__xludf.DUMMYFUNCTION("IFNA(FILTER(IMPORTRANGE(""https://docs.google.com/spreadsheets/d/1kGrh75X1cNR1D7_FcY9zMnHP8iPO4M5RCRjy6nZY0TY/edit#gid=1248694442"",""Subgroup 5: Tf ~ Tx!D3:D8""), $A83=IMPORTRANGE(""https://docs.google.com/spreadsheets/d/1kGrh75X1cNR1D7_FcY9zMnHP8iPO4M5R"&amp;"CRjy6nZY0TY/edit#gid=1248694442"",""Subgroup 5: Tf ~ Tx!A3:A8"")),"""")"),"")</f>
        <v/>
      </c>
      <c r="L83" s="20" t="str">
        <f>IFERROR(__xludf.DUMMYFUNCTION("IFNA(FILTER(IMPORTRANGE(""https://docs.google.com/spreadsheets/d/1kGrh75X1cNR1D7_FcY9zMnHP8iPO4M5RCRjy6nZY0TY/edit#gid=1248694442"",""Subgroup 5: Tf ~ Tx!E3:E8""), $A83=IMPORTRANGE(""https://docs.google.com/spreadsheets/d/1kGrh75X1cNR1D7_FcY9zMnHP8iPO4M5R"&amp;"CRjy6nZY0TY/edit#gid=1248694442"",""Subgroup 5: Tf ~ Tx!A3:A8"")),"""")"),"")</f>
        <v/>
      </c>
      <c r="M83" s="20" t="str">
        <f>IFERROR(__xludf.DUMMYFUNCTION("IFNA(FILTER(IMPORTRANGE(""https://docs.google.com/spreadsheets/d/1kGrh75X1cNR1D7_FcY9zMnHP8iPO4M5RCRjy6nZY0TY/edit#gid=1248694442"",""Subgroup 5: Tf ~ Tx!F3:F8""), $A83=IMPORTRANGE(""https://docs.google.com/spreadsheets/d/1kGrh75X1cNR1D7_FcY9zMnHP8iPO4M5R"&amp;"CRjy6nZY0TY/edit#gid=1248694442"",""Subgroup 5: Tf ~ Tx!A3:A8"")),"""")"),"")</f>
        <v/>
      </c>
      <c r="N83" s="20" t="str">
        <f>IFERROR(__xludf.DUMMYFUNCTION("IFNA(FILTER(IMPORTRANGE(""https://docs.google.com/spreadsheets/d/1kGrh75X1cNR1D7_FcY9zMnHP8iPO4M5RCRjy6nZY0TY/edit#gid=1248694442"",""Table 3: 1st-line HC!BE5:BE111""), $A83=IMPORTRANGE(""https://docs.google.com/spreadsheets/d/1kGrh75X1cNR1D7_FcY9zMnHP8iP"&amp;"O4M5RCRjy6nZY0TY/edit#gid=1248694442"",""Table 3: 1st-line HC!A5:A111"")),"""")"),"")</f>
        <v/>
      </c>
      <c r="O83" s="20" t="str">
        <f>IFERROR(__xludf.DUMMYFUNCTION("IFNA(FILTER(IMPORTRANGE(""https://docs.google.com/spreadsheets/d/1kGrh75X1cNR1D7_FcY9zMnHP8iPO4M5RCRjy6nZY0TY/edit#gid=1248694442"",""Table 3: 1st-line HC!BF5:BF111""), $A83=IMPORTRANGE(""https://docs.google.com/spreadsheets/d/1kGrh75X1cNR1D7_FcY9zMnHP8iP"&amp;"O4M5RCRjy6nZY0TY/edit#gid=1248694442"",""Table 3: 1st-line HC!A5:A111"")),"""")"),"")</f>
        <v/>
      </c>
      <c r="P83" s="20" t="str">
        <f>IFERROR(__xludf.DUMMYFUNCTION("IFNA(FILTER(IMPORTRANGE(""https://docs.google.com/spreadsheets/d/1kGrh75X1cNR1D7_FcY9zMnHP8iPO4M5RCRjy6nZY0TY/edit#gid=1248694442"",""Table 3: 1st-line HC!BG5:BG111""), $A83=IMPORTRANGE(""https://docs.google.com/spreadsheets/d/1kGrh75X1cNR1D7_FcY9zMnHP8iP"&amp;"O4M5RCRjy6nZY0TY/edit#gid=1248694442"",""Table 3: 1st-line HC!A5:A111"")),"""")"),"")</f>
        <v/>
      </c>
      <c r="Q83" s="21" t="str">
        <f>IFERROR(__xludf.DUMMYFUNCTION("IFNA(FILTER(IMPORTRANGE(""https://docs.google.com/spreadsheets/d/1kGrh75X1cNR1D7_FcY9zMnHP8iPO4M5RCRjy6nZY0TY/edit#gid=1248694442"",""Table 3: 1st-line HC!BH5:BH111""), $A83=IMPORTRANGE(""https://docs.google.com/spreadsheets/d/1kGrh75X1cNR1D7_FcY9zMnHP8iP"&amp;"O4M5RCRjy6nZY0TY/edit#gid=1248694442"",""Table 3: 1st-line HC!A5:A111"")),"""")"),"Shunt mechanical dysfunction=2")</f>
        <v>Shunt mechanical dysfunction=2</v>
      </c>
      <c r="R83" s="19" t="str">
        <f>IFERROR(__xludf.DUMMYFUNCTION("IFNA(FILTER(IMPORTRANGE(""https://docs.google.com/spreadsheets/d/1kGrh75X1cNR1D7_FcY9zMnHP8iPO4M5RCRjy6nZY0TY/edit#gid=1248694442"",""Table 3: 1st-line HC!AJ5:AJ111""), $A83=IMPORTRANGE(""https://docs.google.com/spreadsheets/d/1kGrh75X1cNR1D7_FcY9zMnHP8iP"&amp;"O4M5RCRjy6nZY0TY/edit#gid=1248694442"",""Table 3: 1st-line HC!A5:A111"")),"""")"),"")</f>
        <v/>
      </c>
      <c r="S83" s="20" t="str">
        <f>IFERROR(__xludf.DUMMYFUNCTION("IFNA(FILTER(IMPORTRANGE(""https://docs.google.com/spreadsheets/d/1kGrh75X1cNR1D7_FcY9zMnHP8iPO4M5RCRjy6nZY0TY/edit#gid=1248694442"",""Subgroup 3: Mi ~ Tx!B3:B17""), $A83=IMPORTRANGE(""https://docs.google.com/spreadsheets/d/1kGrh75X1cNR1D7_FcY9zMnHP8iPO4M5"&amp;"RCRjy6nZY0TY/edit#gid=1248694442"",""Subgroup 3: Mi ~ Tx!A3:A17"")),"""")"),"")</f>
        <v/>
      </c>
      <c r="T83" s="20" t="str">
        <f>IFERROR(__xludf.DUMMYFUNCTION("IFNA(FILTER(IMPORTRANGE(""https://docs.google.com/spreadsheets/d/1kGrh75X1cNR1D7_FcY9zMnHP8iPO4M5RCRjy6nZY0TY/edit#gid=1248694442"",""Subgroup 3: Mi ~ Tx!C3:C17""), $A83=IMPORTRANGE(""https://docs.google.com/spreadsheets/d/1kGrh75X1cNR1D7_FcY9zMnHP8iPO4M5"&amp;"RCRjy6nZY0TY/edit#gid=1248694442"",""Subgroup 3: Mi ~ Tx!A3:A17"")),"""")"),"")</f>
        <v/>
      </c>
      <c r="U83" s="20" t="str">
        <f>IFERROR(__xludf.DUMMYFUNCTION("IFNA(FILTER(IMPORTRANGE(""https://docs.google.com/spreadsheets/d/1kGrh75X1cNR1D7_FcY9zMnHP8iPO4M5RCRjy6nZY0TY/edit#gid=1248694442"",""Subgroup 3: Mi ~ Tx!D3:D17""), $A83=IMPORTRANGE(""https://docs.google.com/spreadsheets/d/1kGrh75X1cNR1D7_FcY9zMnHP8iPO4M5"&amp;"RCRjy6nZY0TY/edit#gid=1248694442"",""Subgroup 3: Mi ~ Tx!A3:A17"")),"""")"),"")</f>
        <v/>
      </c>
      <c r="V83" s="20" t="str">
        <f>IFERROR(__xludf.DUMMYFUNCTION("IFNA(FILTER(IMPORTRANGE(""https://docs.google.com/spreadsheets/d/1kGrh75X1cNR1D7_FcY9zMnHP8iPO4M5RCRjy6nZY0TY/edit#gid=1248694442"",""Subgroup 3: Mi ~ Tx!E3:E17""), $A83=IMPORTRANGE(""https://docs.google.com/spreadsheets/d/1kGrh75X1cNR1D7_FcY9zMnHP8iPO4M5"&amp;"RCRjy6nZY0TY/edit#gid=1248694442"",""Subgroup 3: Mi ~ Tx!A3:A17"")),"""")"),"")</f>
        <v/>
      </c>
      <c r="W83" s="20" t="str">
        <f>IFERROR(__xludf.DUMMYFUNCTION("IFNA(FILTER(IMPORTRANGE(""https://docs.google.com/spreadsheets/d/1kGrh75X1cNR1D7_FcY9zMnHP8iPO4M5RCRjy6nZY0TY/edit#gid=1248694442"",""Subgroup 3: Mi ~ Tx!F3:F17""), $A83=IMPORTRANGE(""https://docs.google.com/spreadsheets/d/1kGrh75X1cNR1D7_FcY9zMnHP8iPO4M5"&amp;"RCRjy6nZY0TY/edit#gid=1248694442"",""Subgroup 3: Mi ~ Tx!A3:A17"")),"""")"),"")</f>
        <v/>
      </c>
      <c r="X83" s="19" t="str">
        <f>IFERROR(__xludf.DUMMYFUNCTION("IFNA(FILTER(IMPORTRANGE(""https://docs.google.com/spreadsheets/d/1kGrh75X1cNR1D7_FcY9zMnHP8iPO4M5RCRjy6nZY0TY/edit#gid=1248694442"",""Table 3: 1st-line HC!AK5:AK111""), $A83=IMPORTRANGE(""https://docs.google.com/spreadsheets/d/1kGrh75X1cNR1D7_FcY9zMnHP8iP"&amp;"O4M5RCRjy6nZY0TY/edit#gid=1248694442"",""Table 3: 1st-line HC!A5:A111"")),"""")"),"")</f>
        <v/>
      </c>
      <c r="Y83" s="20" t="str">
        <f>IFERROR(__xludf.DUMMYFUNCTION("IFNA(FILTER(IMPORTRANGE(""https://docs.google.com/spreadsheets/d/1kGrh75X1cNR1D7_FcY9zMnHP8iPO4M5RCRjy6nZY0TY/edit#gid=1248694442"",""Subgroup 4: Mp ~ Tx!B3:B20""), $A83=IMPORTRANGE(""https://docs.google.com/spreadsheets/d/1kGrh75X1cNR1D7_FcY9zMnHP8iPO4M5"&amp;"RCRjy6nZY0TY/edit#gid=1248694442"",""Subgroup 4: Mp ~ Tx!A3:A20"")),"""")"),"")</f>
        <v/>
      </c>
      <c r="Z83" s="20" t="str">
        <f>IFERROR(__xludf.DUMMYFUNCTION("IFNA(FILTER(IMPORTRANGE(""https://docs.google.com/spreadsheets/d/1kGrh75X1cNR1D7_FcY9zMnHP8iPO4M5RCRjy6nZY0TY/edit#gid=1248694442"",""Subgroup 4: Mp ~ Tx!C3:C20""), $A83=IMPORTRANGE(""https://docs.google.com/spreadsheets/d/1kGrh75X1cNR1D7_FcY9zMnHP8iPO4M5"&amp;"RCRjy6nZY0TY/edit#gid=1248694442"",""Subgroup 4: Mp ~ Tx!A3:A20"")),"""")"),"")</f>
        <v/>
      </c>
      <c r="AA83" s="20" t="str">
        <f>IFERROR(__xludf.DUMMYFUNCTION("IFNA(FILTER(IMPORTRANGE(""https://docs.google.com/spreadsheets/d/1kGrh75X1cNR1D7_FcY9zMnHP8iPO4M5RCRjy6nZY0TY/edit#gid=1248694442"",""Subgroup 4: Mp ~ Tx!D3:D20""), $A83=IMPORTRANGE(""https://docs.google.com/spreadsheets/d/1kGrh75X1cNR1D7_FcY9zMnHP8iPO4M5"&amp;"RCRjy6nZY0TY/edit#gid=1248694442"",""Subgroup 4: Mp ~ Tx!A3:A20"")),"""")"),"")</f>
        <v/>
      </c>
      <c r="AB83" s="20" t="str">
        <f>IFERROR(__xludf.DUMMYFUNCTION("IFNA(FILTER(IMPORTRANGE(""https://docs.google.com/spreadsheets/d/1kGrh75X1cNR1D7_FcY9zMnHP8iPO4M5RCRjy6nZY0TY/edit#gid=1248694442"",""Subgroup 4: Mp ~ Tx!E3:E20""), $A83=IMPORTRANGE(""https://docs.google.com/spreadsheets/d/1kGrh75X1cNR1D7_FcY9zMnHP8iPO4M5"&amp;"RCRjy6nZY0TY/edit#gid=1248694442"",""Subgroup 4: Mp ~ Tx!A3:A20"")),"""")"),"")</f>
        <v/>
      </c>
      <c r="AC83" s="20" t="str">
        <f>IFERROR(__xludf.DUMMYFUNCTION("IFNA(FILTER(IMPORTRANGE(""https://docs.google.com/spreadsheets/d/1kGrh75X1cNR1D7_FcY9zMnHP8iPO4M5RCRjy6nZY0TY/edit#gid=1248694442"",""Subgroup 4: Mp ~ Tx!F3:F20""), $A83=IMPORTRANGE(""https://docs.google.com/spreadsheets/d/1kGrh75X1cNR1D7_FcY9zMnHP8iPO4M5"&amp;"RCRjy6nZY0TY/edit#gid=1248694442"",""Subgroup 4: Mp ~ Tx!A3:A20"")),"""")"),"")</f>
        <v/>
      </c>
      <c r="AD83" s="22" t="str">
        <f>IFERROR(__xludf.DUMMYFUNCTION("IFNA(FILTER(IMPORTRANGE(""https://docs.google.com/spreadsheets/d/1kGrh75X1cNR1D7_FcY9zMnHP8iPO4M5RCRjy6nZY0TY/edit#gid=1248694442"",""Table 3: 1st-line HC!AL5:AL111""), $A83=IMPORTRANGE(""https://docs.google.com/spreadsheets/d/1kGrh75X1cNR1D7_FcY9zMnHP8iP"&amp;"O4M5RCRjy6nZY0TY/edit#gid=1248694442"",""Table 3: 1st-line HC!A5:A111"")),"""")"),"")</f>
        <v/>
      </c>
      <c r="AE83" s="20">
        <f>IFERROR(__xludf.DUMMYFUNCTION("IFNA(FILTER(IMPORTRANGE(""https://docs.google.com/spreadsheets/d/1kGrh75X1cNR1D7_FcY9zMnHP8iPO4M5RCRjy6nZY0TY/edit#gid=1248694442"",""Table 3: 1st-line HC!BJ5:BJ111""), $A83=IMPORTRANGE(""https://docs.google.com/spreadsheets/d/1kGrh75X1cNR1D7_FcY9zMnHP8iP"&amp;"O4M5RCRjy6nZY0TY/edit#gid=1248694442"",""Table 3: 1st-line HC!A5:A111"")),"""")"),1.0)</f>
        <v>1</v>
      </c>
      <c r="AF83" s="20" t="str">
        <f>IFERROR(__xludf.DUMMYFUNCTION("IFNA(FILTER(IMPORTRANGE(""https://docs.google.com/spreadsheets/d/1kGrh75X1cNR1D7_FcY9zMnHP8iPO4M5RCRjy6nZY0TY/edit#gid=1248694442"",""Subgroup 2: Cr ~ Tx!B3:B23""), $A83=IMPORTRANGE(""https://docs.google.com/spreadsheets/d/1kGrh75X1cNR1D7_FcY9zMnHP8iPO4M5"&amp;"RCRjy6nZY0TY/edit#gid=1248694442"",""Subgroup 2: Cr ~ Tx!A3:A23"")),"""")"),"")</f>
        <v/>
      </c>
      <c r="AG83" s="20" t="str">
        <f>IFERROR(__xludf.DUMMYFUNCTION("IFNA(FILTER(IMPORTRANGE(""https://docs.google.com/spreadsheets/d/1kGrh75X1cNR1D7_FcY9zMnHP8iPO4M5RCRjy6nZY0TY/edit#gid=1248694442"",""Subgroup 2: Cr ~ Tx!C3:C23""), $A83=IMPORTRANGE(""https://docs.google.com/spreadsheets/d/1kGrh75X1cNR1D7_FcY9zMnHP8iPO4M5"&amp;"RCRjy6nZY0TY/edit#gid=1248694442"",""Subgroup 2: Cr ~ Tx!A3:A23"")),"""")"),"")</f>
        <v/>
      </c>
      <c r="AH83" s="20" t="str">
        <f>IFERROR(__xludf.DUMMYFUNCTION("IFNA(FILTER(IMPORTRANGE(""https://docs.google.com/spreadsheets/d/1kGrh75X1cNR1D7_FcY9zMnHP8iPO4M5RCRjy6nZY0TY/edit#gid=1248694442"",""Subgroup 2: Cr ~ Tx!D3:D23""), $A83=IMPORTRANGE(""https://docs.google.com/spreadsheets/d/1kGrh75X1cNR1D7_FcY9zMnHP8iPO4M5"&amp;"RCRjy6nZY0TY/edit#gid=1248694442"",""Subgroup 2: Cr ~ Tx!A3:A23"")),"""")"),"")</f>
        <v/>
      </c>
      <c r="AI83" s="20" t="str">
        <f>IFERROR(__xludf.DUMMYFUNCTION("IFNA(FILTER(IMPORTRANGE(""https://docs.google.com/spreadsheets/d/1kGrh75X1cNR1D7_FcY9zMnHP8iPO4M5RCRjy6nZY0TY/edit#gid=1248694442"",""Subgroup 2: Cr ~ Tx!E3:E23""), $A83=IMPORTRANGE(""https://docs.google.com/spreadsheets/d/1kGrh75X1cNR1D7_FcY9zMnHP8iPO4M5"&amp;"RCRjy6nZY0TY/edit#gid=1248694442"",""Subgroup 2: Cr ~ Tx!A3:A23"")),"""")"),"")</f>
        <v/>
      </c>
      <c r="AJ83" s="20" t="str">
        <f>IFERROR(__xludf.DUMMYFUNCTION("IFNA(FILTER(IMPORTRANGE(""https://docs.google.com/spreadsheets/d/1kGrh75X1cNR1D7_FcY9zMnHP8iPO4M5RCRjy6nZY0TY/edit#gid=1248694442"",""Subgroup 2: Cr ~ Tx!F3:F23""), $A83=IMPORTRANGE(""https://docs.google.com/spreadsheets/d/1kGrh75X1cNR1D7_FcY9zMnHP8iPO4M5"&amp;"RCRjy6nZY0TY/edit#gid=1248694442"",""Subgroup 2: Cr ~ Tx!A3:A23"")),"""")"),"")</f>
        <v/>
      </c>
      <c r="AK83" s="14" t="str">
        <f>IFERROR(__xludf.DUMMYFUNCTION("IFNA(FILTER(IMPORTRANGE(""https://docs.google.com/spreadsheets/d/1kGrh75X1cNR1D7_FcY9zMnHP8iPO4M5RCRjy6nZY0TY/edit#gid=1248694442"",""Table 4: 2nd-line HC or more!M5:M85""), $A83=IMPORTRANGE(""https://docs.google.com/spreadsheets/d/1kGrh75X1cNR1D7_FcY9zMn"&amp;"HP8iPO4M5RCRjy6nZY0TY/edit#gid=1248694442"",""Table 4: 2nd-line HC or more!A5:A85"")),"""")"),"")</f>
        <v/>
      </c>
      <c r="AL83" s="14" t="str">
        <f>IFERROR(__xludf.DUMMYFUNCTION("IFNA(FILTER(IMPORTRANGE(""https://docs.google.com/spreadsheets/d/1kGrh75X1cNR1D7_FcY9zMnHP8iPO4M5RCRjy6nZY0TY/edit#gid=1248694442"",""Table 4: 2nd-line HC or more!N5:N85""), $A83=IMPORTRANGE(""https://docs.google.com/spreadsheets/d/1kGrh75X1cNR1D7_FcY9zMn"&amp;"HP8iPO4M5RCRjy6nZY0TY/edit#gid=1248694442"",""Table 4: 2nd-line HC or more!A5:A85"")),"""")"),"")</f>
        <v/>
      </c>
      <c r="AM83" s="14" t="str">
        <f>IFERROR(__xludf.DUMMYFUNCTION("IFNA(FILTER(IMPORTRANGE(""https://docs.google.com/spreadsheets/d/1kGrh75X1cNR1D7_FcY9zMnHP8iPO4M5RCRjy6nZY0TY/edit#gid=1248694442"",""Table 4: 2nd-line HC or more!O5:O85""), $A83=IMPORTRANGE(""https://docs.google.com/spreadsheets/d/1kGrh75X1cNR1D7_FcY9zMn"&amp;"HP8iPO4M5RCRjy6nZY0TY/edit#gid=1248694442"",""Table 4: 2nd-line HC or more!A5:A85"")),"""")"),"")</f>
        <v/>
      </c>
      <c r="AN83" s="14" t="str">
        <f>IFERROR(__xludf.DUMMYFUNCTION("IFNA(FILTER(IMPORTRANGE(""https://docs.google.com/spreadsheets/d/1kGrh75X1cNR1D7_FcY9zMnHP8iPO4M5RCRjy6nZY0TY/edit#gid=1248694442"",""Table 3: 1st-line HC!AP5:AP111""), $A83=IMPORTRANGE(""https://docs.google.com/spreadsheets/d/1kGrh75X1cNR1D7_FcY9zMnHP8iP"&amp;"O4M5RCRjy6nZY0TY/edit#gid=1248694442"",""Table 3: 1st-line HC!A5:A111"")),"""")"),"")</f>
        <v/>
      </c>
      <c r="AO83" s="14" t="str">
        <f>IFERROR(__xludf.DUMMYFUNCTION("IFNA(FILTER(IMPORTRANGE(""https://docs.google.com/spreadsheets/d/1kGrh75X1cNR1D7_FcY9zMnHP8iPO4M5RCRjy6nZY0TY/edit#gid=1248694442"",""Table 3: 1st-line HC!AO5:AO111""), $A83=IMPORTRANGE(""https://docs.google.com/spreadsheets/d/1kGrh75X1cNR1D7_FcY9zMnHP8iP"&amp;"O4M5RCRjy6nZY0TY/edit#gid=1248694442"",""Table 3: 1st-line HC!A5:A111"")),"""")"),"")</f>
        <v/>
      </c>
      <c r="AP83" s="14" t="str">
        <f>IFERROR(__xludf.DUMMYFUNCTION("IFNA(FILTER(IMPORTRANGE(""https://docs.google.com/spreadsheets/d/1kGrh75X1cNR1D7_FcY9zMnHP8iPO4M5RCRjy6nZY0TY/edit#gid=1248694442"",""Table 3: 1st-line HC!AQ5:AQ111""), $A83=IMPORTRANGE(""https://docs.google.com/spreadsheets/d/1kGrh75X1cNR1D7_FcY9zMnHP8iP"&amp;"O4M5RCRjy6nZY0TY/edit#gid=1248694442"",""Table 3: 1st-line HC!A5:A111"")),"""")"),"")</f>
        <v/>
      </c>
      <c r="AQ83" s="14" t="str">
        <f>IFERROR(__xludf.DUMMYFUNCTION("IFNA(FILTER(IMPORTRANGE(""https://docs.google.com/spreadsheets/d/1kGrh75X1cNR1D7_FcY9zMnHP8iPO4M5RCRjy6nZY0TY/edit#gid=1248694442"",""Table 2: MMC!T5:T114""), $A83=IMPORTRANGE(""https://docs.google.com/spreadsheets/d/1kGrh75X1cNR1D7_FcY9zMnHP8iPO4M5RCRjy6"&amp;"nZY0TY/edit#gid=1248694442"",""Table 2: MMC!A5:A114"")),"""")"),"")</f>
        <v/>
      </c>
      <c r="AR83" s="14">
        <f>IFERROR(__xludf.DUMMYFUNCTION("IFNA(FILTER(IMPORTRANGE(""https://docs.google.com/spreadsheets/d/1kGrh75X1cNR1D7_FcY9zMnHP8iPO4M5RCRjy6nZY0TY/edit#gid=1248694442"",""Table 2: MMC!U5:U114""), $A83=IMPORTRANGE(""https://docs.google.com/spreadsheets/d/1kGrh75X1cNR1D7_FcY9zMnHP8iPO4M5RCRjy6"&amp;"nZY0TY/edit#gid=1248694442"",""Table 2: MMC!A5:A114"")),"""")"),1.0)</f>
        <v>1</v>
      </c>
      <c r="AS83" s="14" t="str">
        <f>IFERROR(__xludf.DUMMYFUNCTION("IFNA(FILTER(IMPORTRANGE(""https://docs.google.com/spreadsheets/d/1kGrh75X1cNR1D7_FcY9zMnHP8iPO4M5RCRjy6nZY0TY/edit#gid=1248694442"",""Table 2: MMC!V5:V114""), $A83=IMPORTRANGE(""https://docs.google.com/spreadsheets/d/1kGrh75X1cNR1D7_FcY9zMnHP8iPO4M5RCRjy6"&amp;"nZY0TY/edit#gid=1248694442"",""Table 2: MMC!A5:A114"")),"""")"),"")</f>
        <v/>
      </c>
      <c r="AT83" s="4" t="str">
        <f>IFERROR(__xludf.DUMMYFUNCTION("IFNA(FILTER(IMPORTRANGE(""https://docs.google.com/spreadsheets/d/1kGrh75X1cNR1D7_FcY9zMnHP8iPO4M5RCRjy6nZY0TY/edit#gid=1248694442"",""Table 2: MMC!W5:W114""), $A83=IMPORTRANGE(""https://docs.google.com/spreadsheets/d/1kGrh75X1cNR1D7_FcY9zMnHP8iPO4M5RCRjy6"&amp;"nZY0TY/edit#gid=1248694442"",""Table 2: MMC!A5:A114"")),"""")"),"")</f>
        <v/>
      </c>
    </row>
    <row r="84">
      <c r="A84" s="4" t="str">
        <f>IFERROR(__xludf.DUMMYFUNCTION("""COMPUTED_VALUE"""),"ID 170")</f>
        <v>ID 170</v>
      </c>
      <c r="B84" s="20" t="str">
        <f>IFERROR(__xludf.DUMMYFUNCTION("IFNA(FILTER(IMPORTRANGE(""https://docs.google.com/spreadsheets/d/1kGrh75X1cNR1D7_FcY9zMnHP8iPO4M5RCRjy6nZY0TY/edit#gid=1248694442"",""Table 3: 1st-line HC!BK5:BK111""), $A84=IMPORTRANGE(""https://docs.google.com/spreadsheets/d/1kGrh75X1cNR1D7_FcY9zMnHP8iP"&amp;"O4M5RCRjy6nZY0TY/edit#gid=1248694442"",""Table 3: 1st-line HC!A5:A111"")),"""")"),"")</f>
        <v/>
      </c>
      <c r="C84" s="20" t="str">
        <f>IFERROR(__xludf.DUMMYFUNCTION("IFNA(FILTER(IMPORTRANGE(""https://docs.google.com/spreadsheets/d/1kGrh75X1cNR1D7_FcY9zMnHP8iPO4M5RCRjy6nZY0TY/edit#gid=1248694442"",""Subgroup 1: Fr ~ Tx!B3:B20""), $A84=IMPORTRANGE(""https://docs.google.com/spreadsheets/d/1kGrh75X1cNR1D7_FcY9zMnHP8iPO4M5"&amp;"RCRjy6nZY0TY/edit#gid=1248694442"",""Subgroup 1: Fr ~ Tx!A3:A20"")),"""")"),"")</f>
        <v/>
      </c>
      <c r="D84" s="20" t="str">
        <f>IFERROR(__xludf.DUMMYFUNCTION("IFNA(FILTER(IMPORTRANGE(""https://docs.google.com/spreadsheets/d/1kGrh75X1cNR1D7_FcY9zMnHP8iPO4M5RCRjy6nZY0TY/edit#gid=1248694442"",""Subgroup 1: Fr ~ Tx!C3:C20""), $A84=IMPORTRANGE(""https://docs.google.com/spreadsheets/d/1kGrh75X1cNR1D7_FcY9zMnHP8iPO4M5"&amp;"RCRjy6nZY0TY/edit#gid=1248694442"",""Subgroup 1: Fr ~ Tx!A3:A20"")),"""")"),"")</f>
        <v/>
      </c>
      <c r="E84" s="20" t="str">
        <f>IFERROR(__xludf.DUMMYFUNCTION("IFNA(FILTER(IMPORTRANGE(""https://docs.google.com/spreadsheets/d/1kGrh75X1cNR1D7_FcY9zMnHP8iPO4M5RCRjy6nZY0TY/edit#gid=1248694442"",""Subgroup 1: Fr ~ Tx!D3:D20""), $A84=IMPORTRANGE(""https://docs.google.com/spreadsheets/d/1kGrh75X1cNR1D7_FcY9zMnHP8iPO4M5"&amp;"RCRjy6nZY0TY/edit#gid=1248694442"",""Subgroup 1: Fr ~ Tx!A3:A20"")),"""")"),"")</f>
        <v/>
      </c>
      <c r="F84" s="20" t="str">
        <f>IFERROR(__xludf.DUMMYFUNCTION("IFNA(FILTER(IMPORTRANGE(""https://docs.google.com/spreadsheets/d/1kGrh75X1cNR1D7_FcY9zMnHP8iPO4M5RCRjy6nZY0TY/edit#gid=1248694442"",""Subgroup 1: Fr ~ Tx!E3:E20""), $A84=IMPORTRANGE(""https://docs.google.com/spreadsheets/d/1kGrh75X1cNR1D7_FcY9zMnHP8iPO4M5"&amp;"RCRjy6nZY0TY/edit#gid=1248694442"",""Subgroup 1: Fr ~ Tx!A3:A20"")),"""")"),"")</f>
        <v/>
      </c>
      <c r="G84" s="20" t="str">
        <f>IFERROR(__xludf.DUMMYFUNCTION("IFNA(FILTER(IMPORTRANGE(""https://docs.google.com/spreadsheets/d/1kGrh75X1cNR1D7_FcY9zMnHP8iPO4M5RCRjy6nZY0TY/edit#gid=1248694442"",""Subgroup 1: Fr ~ Tx!F3:F20""), $A84=IMPORTRANGE(""https://docs.google.com/spreadsheets/d/1kGrh75X1cNR1D7_FcY9zMnHP8iPO4M5"&amp;"RCRjy6nZY0TY/edit#gid=1248694442"",""Subgroup 1: Fr ~ Tx!A3:A20"")),"""")"),"")</f>
        <v/>
      </c>
      <c r="H84" s="20" t="str">
        <f>IFERROR(__xludf.DUMMYFUNCTION("IFNA(FILTER(IMPORTRANGE(""https://docs.google.com/spreadsheets/d/1kGrh75X1cNR1D7_FcY9zMnHP8iPO4M5RCRjy6nZY0TY/edit#gid=1248694442"",""Table 3: 1st-line HC!BD5:BD111""), $A84=IMPORTRANGE(""https://docs.google.com/spreadsheets/d/1kGrh75X1cNR1D7_FcY9zMnHP8iP"&amp;"O4M5RCRjy6nZY0TY/edit#gid=1248694442"",""Table 3: 1st-line HC!A5:A111"")),"""")"),"")</f>
        <v/>
      </c>
      <c r="I84" s="20" t="str">
        <f>IFERROR(__xludf.DUMMYFUNCTION("IFNA(FILTER(IMPORTRANGE(""https://docs.google.com/spreadsheets/d/1kGrh75X1cNR1D7_FcY9zMnHP8iPO4M5RCRjy6nZY0TY/edit#gid=1248694442"",""Subgroup 5: Tf ~ Tx!B3:B8""), $A84=IMPORTRANGE(""https://docs.google.com/spreadsheets/d/1kGrh75X1cNR1D7_FcY9zMnHP8iPO4M5R"&amp;"CRjy6nZY0TY/edit#gid=1248694442"",""Subgroup 5: Tf ~ Tx!A3:A8"")),"""")"),"")</f>
        <v/>
      </c>
      <c r="J84" s="20" t="str">
        <f>IFERROR(__xludf.DUMMYFUNCTION("IFNA(FILTER(IMPORTRANGE(""https://docs.google.com/spreadsheets/d/1kGrh75X1cNR1D7_FcY9zMnHP8iPO4M5RCRjy6nZY0TY/edit#gid=1248694442"",""Subgroup 5: Tf ~ Tx!C3:C8""), $A84=IMPORTRANGE(""https://docs.google.com/spreadsheets/d/1kGrh75X1cNR1D7_FcY9zMnHP8iPO4M5R"&amp;"CRjy6nZY0TY/edit#gid=1248694442"",""Subgroup 5: Tf ~ Tx!A3:A8"")),"""")"),"")</f>
        <v/>
      </c>
      <c r="K84" s="20" t="str">
        <f>IFERROR(__xludf.DUMMYFUNCTION("IFNA(FILTER(IMPORTRANGE(""https://docs.google.com/spreadsheets/d/1kGrh75X1cNR1D7_FcY9zMnHP8iPO4M5RCRjy6nZY0TY/edit#gid=1248694442"",""Subgroup 5: Tf ~ Tx!D3:D8""), $A84=IMPORTRANGE(""https://docs.google.com/spreadsheets/d/1kGrh75X1cNR1D7_FcY9zMnHP8iPO4M5R"&amp;"CRjy6nZY0TY/edit#gid=1248694442"",""Subgroup 5: Tf ~ Tx!A3:A8"")),"""")"),"")</f>
        <v/>
      </c>
      <c r="L84" s="20" t="str">
        <f>IFERROR(__xludf.DUMMYFUNCTION("IFNA(FILTER(IMPORTRANGE(""https://docs.google.com/spreadsheets/d/1kGrh75X1cNR1D7_FcY9zMnHP8iPO4M5RCRjy6nZY0TY/edit#gid=1248694442"",""Subgroup 5: Tf ~ Tx!E3:E8""), $A84=IMPORTRANGE(""https://docs.google.com/spreadsheets/d/1kGrh75X1cNR1D7_FcY9zMnHP8iPO4M5R"&amp;"CRjy6nZY0TY/edit#gid=1248694442"",""Subgroup 5: Tf ~ Tx!A3:A8"")),"""")"),"")</f>
        <v/>
      </c>
      <c r="M84" s="20" t="str">
        <f>IFERROR(__xludf.DUMMYFUNCTION("IFNA(FILTER(IMPORTRANGE(""https://docs.google.com/spreadsheets/d/1kGrh75X1cNR1D7_FcY9zMnHP8iPO4M5RCRjy6nZY0TY/edit#gid=1248694442"",""Subgroup 5: Tf ~ Tx!F3:F8""), $A84=IMPORTRANGE(""https://docs.google.com/spreadsheets/d/1kGrh75X1cNR1D7_FcY9zMnHP8iPO4M5R"&amp;"CRjy6nZY0TY/edit#gid=1248694442"",""Subgroup 5: Tf ~ Tx!A3:A8"")),"""")"),"")</f>
        <v/>
      </c>
      <c r="N84" s="20" t="str">
        <f>IFERROR(__xludf.DUMMYFUNCTION("IFNA(FILTER(IMPORTRANGE(""https://docs.google.com/spreadsheets/d/1kGrh75X1cNR1D7_FcY9zMnHP8iPO4M5RCRjy6nZY0TY/edit#gid=1248694442"",""Table 3: 1st-line HC!BE5:BE111""), $A84=IMPORTRANGE(""https://docs.google.com/spreadsheets/d/1kGrh75X1cNR1D7_FcY9zMnHP8iP"&amp;"O4M5RCRjy6nZY0TY/edit#gid=1248694442"",""Table 3: 1st-line HC!A5:A111"")),"""")"),"")</f>
        <v/>
      </c>
      <c r="O84" s="20" t="str">
        <f>IFERROR(__xludf.DUMMYFUNCTION("IFNA(FILTER(IMPORTRANGE(""https://docs.google.com/spreadsheets/d/1kGrh75X1cNR1D7_FcY9zMnHP8iPO4M5RCRjy6nZY0TY/edit#gid=1248694442"",""Table 3: 1st-line HC!BF5:BF111""), $A84=IMPORTRANGE(""https://docs.google.com/spreadsheets/d/1kGrh75X1cNR1D7_FcY9zMnHP8iP"&amp;"O4M5RCRjy6nZY0TY/edit#gid=1248694442"",""Table 3: 1st-line HC!A5:A111"")),"""")"),"")</f>
        <v/>
      </c>
      <c r="P84" s="20" t="str">
        <f>IFERROR(__xludf.DUMMYFUNCTION("IFNA(FILTER(IMPORTRANGE(""https://docs.google.com/spreadsheets/d/1kGrh75X1cNR1D7_FcY9zMnHP8iPO4M5RCRjy6nZY0TY/edit#gid=1248694442"",""Table 3: 1st-line HC!BG5:BG111""), $A84=IMPORTRANGE(""https://docs.google.com/spreadsheets/d/1kGrh75X1cNR1D7_FcY9zMnHP8iP"&amp;"O4M5RCRjy6nZY0TY/edit#gid=1248694442"",""Table 3: 1st-line HC!A5:A111"")),"""")"),"")</f>
        <v/>
      </c>
      <c r="Q84" s="21" t="str">
        <f>IFERROR(__xludf.DUMMYFUNCTION("IFNA(FILTER(IMPORTRANGE(""https://docs.google.com/spreadsheets/d/1kGrh75X1cNR1D7_FcY9zMnHP8iPO4M5RCRjy6nZY0TY/edit#gid=1248694442"",""Table 3: 1st-line HC!BH5:BH111""), $A84=IMPORTRANGE(""https://docs.google.com/spreadsheets/d/1kGrh75X1cNR1D7_FcY9zMnHP8iP"&amp;"O4M5RCRjy6nZY0TY/edit#gid=1248694442"",""Table 3: 1st-line HC!A5:A111"")),"""")"),"Shunt mechanical dysfunction=5")</f>
        <v>Shunt mechanical dysfunction=5</v>
      </c>
      <c r="R84" s="19" t="str">
        <f>IFERROR(__xludf.DUMMYFUNCTION("IFNA(FILTER(IMPORTRANGE(""https://docs.google.com/spreadsheets/d/1kGrh75X1cNR1D7_FcY9zMnHP8iPO4M5RCRjy6nZY0TY/edit#gid=1248694442"",""Table 3: 1st-line HC!AJ5:AJ111""), $A84=IMPORTRANGE(""https://docs.google.com/spreadsheets/d/1kGrh75X1cNR1D7_FcY9zMnHP8iP"&amp;"O4M5RCRjy6nZY0TY/edit#gid=1248694442"",""Table 3: 1st-line HC!A5:A111"")),"""")"),"")</f>
        <v/>
      </c>
      <c r="S84" s="20" t="str">
        <f>IFERROR(__xludf.DUMMYFUNCTION("IFNA(FILTER(IMPORTRANGE(""https://docs.google.com/spreadsheets/d/1kGrh75X1cNR1D7_FcY9zMnHP8iPO4M5RCRjy6nZY0TY/edit#gid=1248694442"",""Subgroup 3: Mi ~ Tx!B3:B17""), $A84=IMPORTRANGE(""https://docs.google.com/spreadsheets/d/1kGrh75X1cNR1D7_FcY9zMnHP8iPO4M5"&amp;"RCRjy6nZY0TY/edit#gid=1248694442"",""Subgroup 3: Mi ~ Tx!A3:A17"")),"""")"),"")</f>
        <v/>
      </c>
      <c r="T84" s="20" t="str">
        <f>IFERROR(__xludf.DUMMYFUNCTION("IFNA(FILTER(IMPORTRANGE(""https://docs.google.com/spreadsheets/d/1kGrh75X1cNR1D7_FcY9zMnHP8iPO4M5RCRjy6nZY0TY/edit#gid=1248694442"",""Subgroup 3: Mi ~ Tx!C3:C17""), $A84=IMPORTRANGE(""https://docs.google.com/spreadsheets/d/1kGrh75X1cNR1D7_FcY9zMnHP8iPO4M5"&amp;"RCRjy6nZY0TY/edit#gid=1248694442"",""Subgroup 3: Mi ~ Tx!A3:A17"")),"""")"),"")</f>
        <v/>
      </c>
      <c r="U84" s="20" t="str">
        <f>IFERROR(__xludf.DUMMYFUNCTION("IFNA(FILTER(IMPORTRANGE(""https://docs.google.com/spreadsheets/d/1kGrh75X1cNR1D7_FcY9zMnHP8iPO4M5RCRjy6nZY0TY/edit#gid=1248694442"",""Subgroup 3: Mi ~ Tx!D3:D17""), $A84=IMPORTRANGE(""https://docs.google.com/spreadsheets/d/1kGrh75X1cNR1D7_FcY9zMnHP8iPO4M5"&amp;"RCRjy6nZY0TY/edit#gid=1248694442"",""Subgroup 3: Mi ~ Tx!A3:A17"")),"""")"),"")</f>
        <v/>
      </c>
      <c r="V84" s="20" t="str">
        <f>IFERROR(__xludf.DUMMYFUNCTION("IFNA(FILTER(IMPORTRANGE(""https://docs.google.com/spreadsheets/d/1kGrh75X1cNR1D7_FcY9zMnHP8iPO4M5RCRjy6nZY0TY/edit#gid=1248694442"",""Subgroup 3: Mi ~ Tx!E3:E17""), $A84=IMPORTRANGE(""https://docs.google.com/spreadsheets/d/1kGrh75X1cNR1D7_FcY9zMnHP8iPO4M5"&amp;"RCRjy6nZY0TY/edit#gid=1248694442"",""Subgroup 3: Mi ~ Tx!A3:A17"")),"""")"),"")</f>
        <v/>
      </c>
      <c r="W84" s="20" t="str">
        <f>IFERROR(__xludf.DUMMYFUNCTION("IFNA(FILTER(IMPORTRANGE(""https://docs.google.com/spreadsheets/d/1kGrh75X1cNR1D7_FcY9zMnHP8iPO4M5RCRjy6nZY0TY/edit#gid=1248694442"",""Subgroup 3: Mi ~ Tx!F3:F17""), $A84=IMPORTRANGE(""https://docs.google.com/spreadsheets/d/1kGrh75X1cNR1D7_FcY9zMnHP8iPO4M5"&amp;"RCRjy6nZY0TY/edit#gid=1248694442"",""Subgroup 3: Mi ~ Tx!A3:A17"")),"""")"),"")</f>
        <v/>
      </c>
      <c r="X84" s="19" t="str">
        <f>IFERROR(__xludf.DUMMYFUNCTION("IFNA(FILTER(IMPORTRANGE(""https://docs.google.com/spreadsheets/d/1kGrh75X1cNR1D7_FcY9zMnHP8iPO4M5RCRjy6nZY0TY/edit#gid=1248694442"",""Table 3: 1st-line HC!AK5:AK111""), $A84=IMPORTRANGE(""https://docs.google.com/spreadsheets/d/1kGrh75X1cNR1D7_FcY9zMnHP8iP"&amp;"O4M5RCRjy6nZY0TY/edit#gid=1248694442"",""Table 3: 1st-line HC!A5:A111"")),"""")"),"")</f>
        <v/>
      </c>
      <c r="Y84" s="20" t="str">
        <f>IFERROR(__xludf.DUMMYFUNCTION("IFNA(FILTER(IMPORTRANGE(""https://docs.google.com/spreadsheets/d/1kGrh75X1cNR1D7_FcY9zMnHP8iPO4M5RCRjy6nZY0TY/edit#gid=1248694442"",""Subgroup 4: Mp ~ Tx!B3:B20""), $A84=IMPORTRANGE(""https://docs.google.com/spreadsheets/d/1kGrh75X1cNR1D7_FcY9zMnHP8iPO4M5"&amp;"RCRjy6nZY0TY/edit#gid=1248694442"",""Subgroup 4: Mp ~ Tx!A3:A20"")),"""")"),"")</f>
        <v/>
      </c>
      <c r="Z84" s="20" t="str">
        <f>IFERROR(__xludf.DUMMYFUNCTION("IFNA(FILTER(IMPORTRANGE(""https://docs.google.com/spreadsheets/d/1kGrh75X1cNR1D7_FcY9zMnHP8iPO4M5RCRjy6nZY0TY/edit#gid=1248694442"",""Subgroup 4: Mp ~ Tx!C3:C20""), $A84=IMPORTRANGE(""https://docs.google.com/spreadsheets/d/1kGrh75X1cNR1D7_FcY9zMnHP8iPO4M5"&amp;"RCRjy6nZY0TY/edit#gid=1248694442"",""Subgroup 4: Mp ~ Tx!A3:A20"")),"""")"),"")</f>
        <v/>
      </c>
      <c r="AA84" s="20" t="str">
        <f>IFERROR(__xludf.DUMMYFUNCTION("IFNA(FILTER(IMPORTRANGE(""https://docs.google.com/spreadsheets/d/1kGrh75X1cNR1D7_FcY9zMnHP8iPO4M5RCRjy6nZY0TY/edit#gid=1248694442"",""Subgroup 4: Mp ~ Tx!D3:D20""), $A84=IMPORTRANGE(""https://docs.google.com/spreadsheets/d/1kGrh75X1cNR1D7_FcY9zMnHP8iPO4M5"&amp;"RCRjy6nZY0TY/edit#gid=1248694442"",""Subgroup 4: Mp ~ Tx!A3:A20"")),"""")"),"")</f>
        <v/>
      </c>
      <c r="AB84" s="20" t="str">
        <f>IFERROR(__xludf.DUMMYFUNCTION("IFNA(FILTER(IMPORTRANGE(""https://docs.google.com/spreadsheets/d/1kGrh75X1cNR1D7_FcY9zMnHP8iPO4M5RCRjy6nZY0TY/edit#gid=1248694442"",""Subgroup 4: Mp ~ Tx!E3:E20""), $A84=IMPORTRANGE(""https://docs.google.com/spreadsheets/d/1kGrh75X1cNR1D7_FcY9zMnHP8iPO4M5"&amp;"RCRjy6nZY0TY/edit#gid=1248694442"",""Subgroup 4: Mp ~ Tx!A3:A20"")),"""")"),"")</f>
        <v/>
      </c>
      <c r="AC84" s="20" t="str">
        <f>IFERROR(__xludf.DUMMYFUNCTION("IFNA(FILTER(IMPORTRANGE(""https://docs.google.com/spreadsheets/d/1kGrh75X1cNR1D7_FcY9zMnHP8iPO4M5RCRjy6nZY0TY/edit#gid=1248694442"",""Subgroup 4: Mp ~ Tx!F3:F20""), $A84=IMPORTRANGE(""https://docs.google.com/spreadsheets/d/1kGrh75X1cNR1D7_FcY9zMnHP8iPO4M5"&amp;"RCRjy6nZY0TY/edit#gid=1248694442"",""Subgroup 4: Mp ~ Tx!A3:A20"")),"""")"),"")</f>
        <v/>
      </c>
      <c r="AD84" s="22" t="str">
        <f>IFERROR(__xludf.DUMMYFUNCTION("IFNA(FILTER(IMPORTRANGE(""https://docs.google.com/spreadsheets/d/1kGrh75X1cNR1D7_FcY9zMnHP8iPO4M5RCRjy6nZY0TY/edit#gid=1248694442"",""Table 3: 1st-line HC!AL5:AL111""), $A84=IMPORTRANGE(""https://docs.google.com/spreadsheets/d/1kGrh75X1cNR1D7_FcY9zMnHP8iP"&amp;"O4M5RCRjy6nZY0TY/edit#gid=1248694442"",""Table 3: 1st-line HC!A5:A111"")),"""")"),"")</f>
        <v/>
      </c>
      <c r="AE84" s="20">
        <f>IFERROR(__xludf.DUMMYFUNCTION("IFNA(FILTER(IMPORTRANGE(""https://docs.google.com/spreadsheets/d/1kGrh75X1cNR1D7_FcY9zMnHP8iPO4M5RCRjy6nZY0TY/edit#gid=1248694442"",""Table 3: 1st-line HC!BJ5:BJ111""), $A84=IMPORTRANGE(""https://docs.google.com/spreadsheets/d/1kGrh75X1cNR1D7_FcY9zMnHP8iP"&amp;"O4M5RCRjy6nZY0TY/edit#gid=1248694442"",""Table 3: 1st-line HC!A5:A111"")),"""")"),0.03)</f>
        <v>0.03</v>
      </c>
      <c r="AF84" s="20" t="str">
        <f>IFERROR(__xludf.DUMMYFUNCTION("IFNA(FILTER(IMPORTRANGE(""https://docs.google.com/spreadsheets/d/1kGrh75X1cNR1D7_FcY9zMnHP8iPO4M5RCRjy6nZY0TY/edit#gid=1248694442"",""Subgroup 2: Cr ~ Tx!B3:B23""), $A84=IMPORTRANGE(""https://docs.google.com/spreadsheets/d/1kGrh75X1cNR1D7_FcY9zMnHP8iPO4M5"&amp;"RCRjy6nZY0TY/edit#gid=1248694442"",""Subgroup 2: Cr ~ Tx!A3:A23"")),"""")"),"")</f>
        <v/>
      </c>
      <c r="AG84" s="20" t="str">
        <f>IFERROR(__xludf.DUMMYFUNCTION("IFNA(FILTER(IMPORTRANGE(""https://docs.google.com/spreadsheets/d/1kGrh75X1cNR1D7_FcY9zMnHP8iPO4M5RCRjy6nZY0TY/edit#gid=1248694442"",""Subgroup 2: Cr ~ Tx!C3:C23""), $A84=IMPORTRANGE(""https://docs.google.com/spreadsheets/d/1kGrh75X1cNR1D7_FcY9zMnHP8iPO4M5"&amp;"RCRjy6nZY0TY/edit#gid=1248694442"",""Subgroup 2: Cr ~ Tx!A3:A23"")),"""")"),"")</f>
        <v/>
      </c>
      <c r="AH84" s="20" t="str">
        <f>IFERROR(__xludf.DUMMYFUNCTION("IFNA(FILTER(IMPORTRANGE(""https://docs.google.com/spreadsheets/d/1kGrh75X1cNR1D7_FcY9zMnHP8iPO4M5RCRjy6nZY0TY/edit#gid=1248694442"",""Subgroup 2: Cr ~ Tx!D3:D23""), $A84=IMPORTRANGE(""https://docs.google.com/spreadsheets/d/1kGrh75X1cNR1D7_FcY9zMnHP8iPO4M5"&amp;"RCRjy6nZY0TY/edit#gid=1248694442"",""Subgroup 2: Cr ~ Tx!A3:A23"")),"""")"),"")</f>
        <v/>
      </c>
      <c r="AI84" s="20" t="str">
        <f>IFERROR(__xludf.DUMMYFUNCTION("IFNA(FILTER(IMPORTRANGE(""https://docs.google.com/spreadsheets/d/1kGrh75X1cNR1D7_FcY9zMnHP8iPO4M5RCRjy6nZY0TY/edit#gid=1248694442"",""Subgroup 2: Cr ~ Tx!E3:E23""), $A84=IMPORTRANGE(""https://docs.google.com/spreadsheets/d/1kGrh75X1cNR1D7_FcY9zMnHP8iPO4M5"&amp;"RCRjy6nZY0TY/edit#gid=1248694442"",""Subgroup 2: Cr ~ Tx!A3:A23"")),"""")"),"")</f>
        <v/>
      </c>
      <c r="AJ84" s="20" t="str">
        <f>IFERROR(__xludf.DUMMYFUNCTION("IFNA(FILTER(IMPORTRANGE(""https://docs.google.com/spreadsheets/d/1kGrh75X1cNR1D7_FcY9zMnHP8iPO4M5RCRjy6nZY0TY/edit#gid=1248694442"",""Subgroup 2: Cr ~ Tx!F3:F23""), $A84=IMPORTRANGE(""https://docs.google.com/spreadsheets/d/1kGrh75X1cNR1D7_FcY9zMnHP8iPO4M5"&amp;"RCRjy6nZY0TY/edit#gid=1248694442"",""Subgroup 2: Cr ~ Tx!A3:A23"")),"""")"),"")</f>
        <v/>
      </c>
      <c r="AK84" s="14" t="str">
        <f>IFERROR(__xludf.DUMMYFUNCTION("IFNA(FILTER(IMPORTRANGE(""https://docs.google.com/spreadsheets/d/1kGrh75X1cNR1D7_FcY9zMnHP8iPO4M5RCRjy6nZY0TY/edit#gid=1248694442"",""Table 4: 2nd-line HC or more!M5:M85""), $A84=IMPORTRANGE(""https://docs.google.com/spreadsheets/d/1kGrh75X1cNR1D7_FcY9zMn"&amp;"HP8iPO4M5RCRjy6nZY0TY/edit#gid=1248694442"",""Table 4: 2nd-line HC or more!A5:A85"")),"""")"),"")</f>
        <v/>
      </c>
      <c r="AL84" s="14" t="str">
        <f>IFERROR(__xludf.DUMMYFUNCTION("IFNA(FILTER(IMPORTRANGE(""https://docs.google.com/spreadsheets/d/1kGrh75X1cNR1D7_FcY9zMnHP8iPO4M5RCRjy6nZY0TY/edit#gid=1248694442"",""Table 4: 2nd-line HC or more!N5:N85""), $A84=IMPORTRANGE(""https://docs.google.com/spreadsheets/d/1kGrh75X1cNR1D7_FcY9zMn"&amp;"HP8iPO4M5RCRjy6nZY0TY/edit#gid=1248694442"",""Table 4: 2nd-line HC or more!A5:A85"")),"""")"),"")</f>
        <v/>
      </c>
      <c r="AM84" s="14" t="str">
        <f>IFERROR(__xludf.DUMMYFUNCTION("IFNA(FILTER(IMPORTRANGE(""https://docs.google.com/spreadsheets/d/1kGrh75X1cNR1D7_FcY9zMnHP8iPO4M5RCRjy6nZY0TY/edit#gid=1248694442"",""Table 4: 2nd-line HC or more!O5:O85""), $A84=IMPORTRANGE(""https://docs.google.com/spreadsheets/d/1kGrh75X1cNR1D7_FcY9zMn"&amp;"HP8iPO4M5RCRjy6nZY0TY/edit#gid=1248694442"",""Table 4: 2nd-line HC or more!A5:A85"")),"""")"),"")</f>
        <v/>
      </c>
      <c r="AN84" s="14" t="str">
        <f>IFERROR(__xludf.DUMMYFUNCTION("IFNA(FILTER(IMPORTRANGE(""https://docs.google.com/spreadsheets/d/1kGrh75X1cNR1D7_FcY9zMnHP8iPO4M5RCRjy6nZY0TY/edit#gid=1248694442"",""Table 3: 1st-line HC!AP5:AP111""), $A84=IMPORTRANGE(""https://docs.google.com/spreadsheets/d/1kGrh75X1cNR1D7_FcY9zMnHP8iP"&amp;"O4M5RCRjy6nZY0TY/edit#gid=1248694442"",""Table 3: 1st-line HC!A5:A111"")),"""")"),"")</f>
        <v/>
      </c>
      <c r="AO84" s="14" t="str">
        <f>IFERROR(__xludf.DUMMYFUNCTION("IFNA(FILTER(IMPORTRANGE(""https://docs.google.com/spreadsheets/d/1kGrh75X1cNR1D7_FcY9zMnHP8iPO4M5RCRjy6nZY0TY/edit#gid=1248694442"",""Table 3: 1st-line HC!AO5:AO111""), $A84=IMPORTRANGE(""https://docs.google.com/spreadsheets/d/1kGrh75X1cNR1D7_FcY9zMnHP8iP"&amp;"O4M5RCRjy6nZY0TY/edit#gid=1248694442"",""Table 3: 1st-line HC!A5:A111"")),"""")"),"")</f>
        <v/>
      </c>
      <c r="AP84" s="14">
        <f>IFERROR(__xludf.DUMMYFUNCTION("IFNA(FILTER(IMPORTRANGE(""https://docs.google.com/spreadsheets/d/1kGrh75X1cNR1D7_FcY9zMnHP8iPO4M5RCRjy6nZY0TY/edit#gid=1248694442"",""Table 3: 1st-line HC!AQ5:AQ111""), $A84=IMPORTRANGE(""https://docs.google.com/spreadsheets/d/1kGrh75X1cNR1D7_FcY9zMnHP8iP"&amp;"O4M5RCRjy6nZY0TY/edit#gid=1248694442"",""Table 3: 1st-line HC!A5:A111"")),"""")"),1.0)</f>
        <v>1</v>
      </c>
      <c r="AQ84" s="14" t="str">
        <f>IFERROR(__xludf.DUMMYFUNCTION("IFNA(FILTER(IMPORTRANGE(""https://docs.google.com/spreadsheets/d/1kGrh75X1cNR1D7_FcY9zMnHP8iPO4M5RCRjy6nZY0TY/edit#gid=1248694442"",""Table 2: MMC!T5:T114""), $A84=IMPORTRANGE(""https://docs.google.com/spreadsheets/d/1kGrh75X1cNR1D7_FcY9zMnHP8iPO4M5RCRjy6"&amp;"nZY0TY/edit#gid=1248694442"",""Table 2: MMC!A5:A114"")),"""")"),"")</f>
        <v/>
      </c>
      <c r="AR84" s="14" t="str">
        <f>IFERROR(__xludf.DUMMYFUNCTION("IFNA(FILTER(IMPORTRANGE(""https://docs.google.com/spreadsheets/d/1kGrh75X1cNR1D7_FcY9zMnHP8iPO4M5RCRjy6nZY0TY/edit#gid=1248694442"",""Table 2: MMC!U5:U114""), $A84=IMPORTRANGE(""https://docs.google.com/spreadsheets/d/1kGrh75X1cNR1D7_FcY9zMnHP8iPO4M5RCRjy6"&amp;"nZY0TY/edit#gid=1248694442"",""Table 2: MMC!A5:A114"")),"""")"),"")</f>
        <v/>
      </c>
      <c r="AS84" s="14" t="str">
        <f>IFERROR(__xludf.DUMMYFUNCTION("IFNA(FILTER(IMPORTRANGE(""https://docs.google.com/spreadsheets/d/1kGrh75X1cNR1D7_FcY9zMnHP8iPO4M5RCRjy6nZY0TY/edit#gid=1248694442"",""Table 2: MMC!V5:V114""), $A84=IMPORTRANGE(""https://docs.google.com/spreadsheets/d/1kGrh75X1cNR1D7_FcY9zMnHP8iPO4M5RCRjy6"&amp;"nZY0TY/edit#gid=1248694442"",""Table 2: MMC!A5:A114"")),"""")"),"")</f>
        <v/>
      </c>
      <c r="AT84" s="4" t="str">
        <f>IFERROR(__xludf.DUMMYFUNCTION("IFNA(FILTER(IMPORTRANGE(""https://docs.google.com/spreadsheets/d/1kGrh75X1cNR1D7_FcY9zMnHP8iPO4M5RCRjy6nZY0TY/edit#gid=1248694442"",""Table 2: MMC!W5:W114""), $A84=IMPORTRANGE(""https://docs.google.com/spreadsheets/d/1kGrh75X1cNR1D7_FcY9zMnHP8iPO4M5RCRjy6"&amp;"nZY0TY/edit#gid=1248694442"",""Table 2: MMC!A5:A114"")),"""")"),"")</f>
        <v/>
      </c>
    </row>
    <row r="85">
      <c r="A85" s="4" t="str">
        <f>IFERROR(__xludf.DUMMYFUNCTION("""COMPUTED_VALUE"""),"ID 172")</f>
        <v>ID 172</v>
      </c>
      <c r="B85" s="20">
        <f>IFERROR(__xludf.DUMMYFUNCTION("IFNA(FILTER(IMPORTRANGE(""https://docs.google.com/spreadsheets/d/1kGrh75X1cNR1D7_FcY9zMnHP8iPO4M5RCRjy6nZY0TY/edit#gid=1248694442"",""Table 3: 1st-line HC!BK5:BK111""), $A85=IMPORTRANGE(""https://docs.google.com/spreadsheets/d/1kGrh75X1cNR1D7_FcY9zMnHP8iP"&amp;"O4M5RCRjy6nZY0TY/edit#gid=1248694442"",""Table 3: 1st-line HC!A5:A111"")),"""")"),0.0)</f>
        <v>0</v>
      </c>
      <c r="C85" s="20" t="str">
        <f>IFERROR(__xludf.DUMMYFUNCTION("IFNA(FILTER(IMPORTRANGE(""https://docs.google.com/spreadsheets/d/1kGrh75X1cNR1D7_FcY9zMnHP8iPO4M5RCRjy6nZY0TY/edit#gid=1248694442"",""Subgroup 1: Fr ~ Tx!B3:B20""), $A85=IMPORTRANGE(""https://docs.google.com/spreadsheets/d/1kGrh75X1cNR1D7_FcY9zMnHP8iPO4M5"&amp;"RCRjy6nZY0TY/edit#gid=1248694442"",""Subgroup 1: Fr ~ Tx!A3:A20"")),"""")"),"")</f>
        <v/>
      </c>
      <c r="D85" s="20" t="str">
        <f>IFERROR(__xludf.DUMMYFUNCTION("IFNA(FILTER(IMPORTRANGE(""https://docs.google.com/spreadsheets/d/1kGrh75X1cNR1D7_FcY9zMnHP8iPO4M5RCRjy6nZY0TY/edit#gid=1248694442"",""Subgroup 1: Fr ~ Tx!C3:C20""), $A85=IMPORTRANGE(""https://docs.google.com/spreadsheets/d/1kGrh75X1cNR1D7_FcY9zMnHP8iPO4M5"&amp;"RCRjy6nZY0TY/edit#gid=1248694442"",""Subgroup 1: Fr ~ Tx!A3:A20"")),"""")"),"")</f>
        <v/>
      </c>
      <c r="E85" s="20">
        <f>IFERROR(__xludf.DUMMYFUNCTION("IFNA(FILTER(IMPORTRANGE(""https://docs.google.com/spreadsheets/d/1kGrh75X1cNR1D7_FcY9zMnHP8iPO4M5RCRjy6nZY0TY/edit#gid=1248694442"",""Subgroup 1: Fr ~ Tx!D3:D20""), $A85=IMPORTRANGE(""https://docs.google.com/spreadsheets/d/1kGrh75X1cNR1D7_FcY9zMnHP8iPO4M5"&amp;"RCRjy6nZY0TY/edit#gid=1248694442"",""Subgroup 1: Fr ~ Tx!A3:A20"")),"""")"),0.0)</f>
        <v>0</v>
      </c>
      <c r="F85" s="20" t="str">
        <f>IFERROR(__xludf.DUMMYFUNCTION("IFNA(FILTER(IMPORTRANGE(""https://docs.google.com/spreadsheets/d/1kGrh75X1cNR1D7_FcY9zMnHP8iPO4M5RCRjy6nZY0TY/edit#gid=1248694442"",""Subgroup 1: Fr ~ Tx!E3:E20""), $A85=IMPORTRANGE(""https://docs.google.com/spreadsheets/d/1kGrh75X1cNR1D7_FcY9zMnHP8iPO4M5"&amp;"RCRjy6nZY0TY/edit#gid=1248694442"",""Subgroup 1: Fr ~ Tx!A3:A20"")),"""")"),"")</f>
        <v/>
      </c>
      <c r="G85" s="20" t="str">
        <f>IFERROR(__xludf.DUMMYFUNCTION("IFNA(FILTER(IMPORTRANGE(""https://docs.google.com/spreadsheets/d/1kGrh75X1cNR1D7_FcY9zMnHP8iPO4M5RCRjy6nZY0TY/edit#gid=1248694442"",""Subgroup 1: Fr ~ Tx!F3:F20""), $A85=IMPORTRANGE(""https://docs.google.com/spreadsheets/d/1kGrh75X1cNR1D7_FcY9zMnHP8iPO4M5"&amp;"RCRjy6nZY0TY/edit#gid=1248694442"",""Subgroup 1: Fr ~ Tx!A3:A20"")),"""")"),"")</f>
        <v/>
      </c>
      <c r="H85" s="20">
        <f>IFERROR(__xludf.DUMMYFUNCTION("IFNA(FILTER(IMPORTRANGE(""https://docs.google.com/spreadsheets/d/1kGrh75X1cNR1D7_FcY9zMnHP8iPO4M5RCRjy6nZY0TY/edit#gid=1248694442"",""Table 3: 1st-line HC!BD5:BD111""), $A85=IMPORTRANGE(""https://docs.google.com/spreadsheets/d/1kGrh75X1cNR1D7_FcY9zMnHP8iP"&amp;"O4M5RCRjy6nZY0TY/edit#gid=1248694442"",""Table 3: 1st-line HC!A5:A111"")),"""")"),0.0)</f>
        <v>0</v>
      </c>
      <c r="I85" s="20" t="str">
        <f>IFERROR(__xludf.DUMMYFUNCTION("IFNA(FILTER(IMPORTRANGE(""https://docs.google.com/spreadsheets/d/1kGrh75X1cNR1D7_FcY9zMnHP8iPO4M5RCRjy6nZY0TY/edit#gid=1248694442"",""Subgroup 5: Tf ~ Tx!B3:B8""), $A85=IMPORTRANGE(""https://docs.google.com/spreadsheets/d/1kGrh75X1cNR1D7_FcY9zMnHP8iPO4M5R"&amp;"CRjy6nZY0TY/edit#gid=1248694442"",""Subgroup 5: Tf ~ Tx!A3:A8"")),"""")"),"")</f>
        <v/>
      </c>
      <c r="J85" s="20">
        <f>IFERROR(__xludf.DUMMYFUNCTION("IFNA(FILTER(IMPORTRANGE(""https://docs.google.com/spreadsheets/d/1kGrh75X1cNR1D7_FcY9zMnHP8iPO4M5RCRjy6nZY0TY/edit#gid=1248694442"",""Subgroup 5: Tf ~ Tx!C3:C8""), $A85=IMPORTRANGE(""https://docs.google.com/spreadsheets/d/1kGrh75X1cNR1D7_FcY9zMnHP8iPO4M5R"&amp;"CRjy6nZY0TY/edit#gid=1248694442"",""Subgroup 5: Tf ~ Tx!A3:A8"")),"""")"),0.0)</f>
        <v>0</v>
      </c>
      <c r="K85" s="20" t="str">
        <f>IFERROR(__xludf.DUMMYFUNCTION("IFNA(FILTER(IMPORTRANGE(""https://docs.google.com/spreadsheets/d/1kGrh75X1cNR1D7_FcY9zMnHP8iPO4M5RCRjy6nZY0TY/edit#gid=1248694442"",""Subgroup 5: Tf ~ Tx!D3:D8""), $A85=IMPORTRANGE(""https://docs.google.com/spreadsheets/d/1kGrh75X1cNR1D7_FcY9zMnHP8iPO4M5R"&amp;"CRjy6nZY0TY/edit#gid=1248694442"",""Subgroup 5: Tf ~ Tx!A3:A8"")),"""")"),"")</f>
        <v/>
      </c>
      <c r="L85" s="20" t="str">
        <f>IFERROR(__xludf.DUMMYFUNCTION("IFNA(FILTER(IMPORTRANGE(""https://docs.google.com/spreadsheets/d/1kGrh75X1cNR1D7_FcY9zMnHP8iPO4M5RCRjy6nZY0TY/edit#gid=1248694442"",""Subgroup 5: Tf ~ Tx!E3:E8""), $A85=IMPORTRANGE(""https://docs.google.com/spreadsheets/d/1kGrh75X1cNR1D7_FcY9zMnHP8iPO4M5R"&amp;"CRjy6nZY0TY/edit#gid=1248694442"",""Subgroup 5: Tf ~ Tx!A3:A8"")),"""")"),"")</f>
        <v/>
      </c>
      <c r="M85" s="20" t="str">
        <f>IFERROR(__xludf.DUMMYFUNCTION("IFNA(FILTER(IMPORTRANGE(""https://docs.google.com/spreadsheets/d/1kGrh75X1cNR1D7_FcY9zMnHP8iPO4M5RCRjy6nZY0TY/edit#gid=1248694442"",""Subgroup 5: Tf ~ Tx!F3:F8""), $A85=IMPORTRANGE(""https://docs.google.com/spreadsheets/d/1kGrh75X1cNR1D7_FcY9zMnHP8iPO4M5R"&amp;"CRjy6nZY0TY/edit#gid=1248694442"",""Subgroup 5: Tf ~ Tx!A3:A8"")),"""")"),"")</f>
        <v/>
      </c>
      <c r="N85" s="20" t="str">
        <f>IFERROR(__xludf.DUMMYFUNCTION("IFNA(FILTER(IMPORTRANGE(""https://docs.google.com/spreadsheets/d/1kGrh75X1cNR1D7_FcY9zMnHP8iPO4M5RCRjy6nZY0TY/edit#gid=1248694442"",""Table 3: 1st-line HC!BE5:BE111""), $A85=IMPORTRANGE(""https://docs.google.com/spreadsheets/d/1kGrh75X1cNR1D7_FcY9zMnHP8iP"&amp;"O4M5RCRjy6nZY0TY/edit#gid=1248694442"",""Table 3: 1st-line HC!A5:A111"")),"""")"),"")</f>
        <v/>
      </c>
      <c r="O85" s="20" t="str">
        <f>IFERROR(__xludf.DUMMYFUNCTION("IFNA(FILTER(IMPORTRANGE(""https://docs.google.com/spreadsheets/d/1kGrh75X1cNR1D7_FcY9zMnHP8iPO4M5RCRjy6nZY0TY/edit#gid=1248694442"",""Table 3: 1st-line HC!BF5:BF111""), $A85=IMPORTRANGE(""https://docs.google.com/spreadsheets/d/1kGrh75X1cNR1D7_FcY9zMnHP8iP"&amp;"O4M5RCRjy6nZY0TY/edit#gid=1248694442"",""Table 3: 1st-line HC!A5:A111"")),"""")"),"")</f>
        <v/>
      </c>
      <c r="P85" s="20" t="str">
        <f>IFERROR(__xludf.DUMMYFUNCTION("IFNA(FILTER(IMPORTRANGE(""https://docs.google.com/spreadsheets/d/1kGrh75X1cNR1D7_FcY9zMnHP8iPO4M5RCRjy6nZY0TY/edit#gid=1248694442"",""Table 3: 1st-line HC!BG5:BG111""), $A85=IMPORTRANGE(""https://docs.google.com/spreadsheets/d/1kGrh75X1cNR1D7_FcY9zMnHP8iP"&amp;"O4M5RCRjy6nZY0TY/edit#gid=1248694442"",""Table 3: 1st-line HC!A5:A111"")),"""")"),"")</f>
        <v/>
      </c>
      <c r="Q85" s="21" t="str">
        <f>IFERROR(__xludf.DUMMYFUNCTION("IFNA(FILTER(IMPORTRANGE(""https://docs.google.com/spreadsheets/d/1kGrh75X1cNR1D7_FcY9zMnHP8iPO4M5RCRjy6nZY0TY/edit#gid=1248694442"",""Table 3: 1st-line HC!BH5:BH111""), $A85=IMPORTRANGE(""https://docs.google.com/spreadsheets/d/1kGrh75X1cNR1D7_FcY9zMnHP8iP"&amp;"O4M5RCRjy6nZY0TY/edit#gid=1248694442"",""Table 3: 1st-line HC!A5:A111"")),"""")"),"")</f>
        <v/>
      </c>
      <c r="R85" s="19">
        <f>IFERROR(__xludf.DUMMYFUNCTION("IFNA(FILTER(IMPORTRANGE(""https://docs.google.com/spreadsheets/d/1kGrh75X1cNR1D7_FcY9zMnHP8iPO4M5RCRjy6nZY0TY/edit#gid=1248694442"",""Table 3: 1st-line HC!AJ5:AJ111""), $A85=IMPORTRANGE(""https://docs.google.com/spreadsheets/d/1kGrh75X1cNR1D7_FcY9zMnHP8iP"&amp;"O4M5RCRjy6nZY0TY/edit#gid=1248694442"",""Table 3: 1st-line HC!A5:A111"")),"""")"),0.0)</f>
        <v>0</v>
      </c>
      <c r="S85" s="20" t="str">
        <f>IFERROR(__xludf.DUMMYFUNCTION("IFNA(FILTER(IMPORTRANGE(""https://docs.google.com/spreadsheets/d/1kGrh75X1cNR1D7_FcY9zMnHP8iPO4M5RCRjy6nZY0TY/edit#gid=1248694442"",""Subgroup 3: Mi ~ Tx!B3:B17""), $A85=IMPORTRANGE(""https://docs.google.com/spreadsheets/d/1kGrh75X1cNR1D7_FcY9zMnHP8iPO4M5"&amp;"RCRjy6nZY0TY/edit#gid=1248694442"",""Subgroup 3: Mi ~ Tx!A3:A17"")),"""")"),"")</f>
        <v/>
      </c>
      <c r="T85" s="20" t="str">
        <f>IFERROR(__xludf.DUMMYFUNCTION("IFNA(FILTER(IMPORTRANGE(""https://docs.google.com/spreadsheets/d/1kGrh75X1cNR1D7_FcY9zMnHP8iPO4M5RCRjy6nZY0TY/edit#gid=1248694442"",""Subgroup 3: Mi ~ Tx!C3:C17""), $A85=IMPORTRANGE(""https://docs.google.com/spreadsheets/d/1kGrh75X1cNR1D7_FcY9zMnHP8iPO4M5"&amp;"RCRjy6nZY0TY/edit#gid=1248694442"",""Subgroup 3: Mi ~ Tx!A3:A17"")),"""")"),"")</f>
        <v/>
      </c>
      <c r="U85" s="20">
        <f>IFERROR(__xludf.DUMMYFUNCTION("IFNA(FILTER(IMPORTRANGE(""https://docs.google.com/spreadsheets/d/1kGrh75X1cNR1D7_FcY9zMnHP8iPO4M5RCRjy6nZY0TY/edit#gid=1248694442"",""Subgroup 3: Mi ~ Tx!D3:D17""), $A85=IMPORTRANGE(""https://docs.google.com/spreadsheets/d/1kGrh75X1cNR1D7_FcY9zMnHP8iPO4M5"&amp;"RCRjy6nZY0TY/edit#gid=1248694442"",""Subgroup 3: Mi ~ Tx!A3:A17"")),"""")"),0.0)</f>
        <v>0</v>
      </c>
      <c r="V85" s="20" t="str">
        <f>IFERROR(__xludf.DUMMYFUNCTION("IFNA(FILTER(IMPORTRANGE(""https://docs.google.com/spreadsheets/d/1kGrh75X1cNR1D7_FcY9zMnHP8iPO4M5RCRjy6nZY0TY/edit#gid=1248694442"",""Subgroup 3: Mi ~ Tx!E3:E17""), $A85=IMPORTRANGE(""https://docs.google.com/spreadsheets/d/1kGrh75X1cNR1D7_FcY9zMnHP8iPO4M5"&amp;"RCRjy6nZY0TY/edit#gid=1248694442"",""Subgroup 3: Mi ~ Tx!A3:A17"")),"""")"),"")</f>
        <v/>
      </c>
      <c r="W85" s="20" t="str">
        <f>IFERROR(__xludf.DUMMYFUNCTION("IFNA(FILTER(IMPORTRANGE(""https://docs.google.com/spreadsheets/d/1kGrh75X1cNR1D7_FcY9zMnHP8iPO4M5RCRjy6nZY0TY/edit#gid=1248694442"",""Subgroup 3: Mi ~ Tx!F3:F17""), $A85=IMPORTRANGE(""https://docs.google.com/spreadsheets/d/1kGrh75X1cNR1D7_FcY9zMnHP8iPO4M5"&amp;"RCRjy6nZY0TY/edit#gid=1248694442"",""Subgroup 3: Mi ~ Tx!A3:A17"")),"""")"),"")</f>
        <v/>
      </c>
      <c r="X85" s="19">
        <f>IFERROR(__xludf.DUMMYFUNCTION("IFNA(FILTER(IMPORTRANGE(""https://docs.google.com/spreadsheets/d/1kGrh75X1cNR1D7_FcY9zMnHP8iPO4M5RCRjy6nZY0TY/edit#gid=1248694442"",""Table 3: 1st-line HC!AK5:AK111""), $A85=IMPORTRANGE(""https://docs.google.com/spreadsheets/d/1kGrh75X1cNR1D7_FcY9zMnHP8iP"&amp;"O4M5RCRjy6nZY0TY/edit#gid=1248694442"",""Table 3: 1st-line HC!A5:A111"")),"""")"),0.0)</f>
        <v>0</v>
      </c>
      <c r="Y85" s="20" t="str">
        <f>IFERROR(__xludf.DUMMYFUNCTION("IFNA(FILTER(IMPORTRANGE(""https://docs.google.com/spreadsheets/d/1kGrh75X1cNR1D7_FcY9zMnHP8iPO4M5RCRjy6nZY0TY/edit#gid=1248694442"",""Subgroup 4: Mp ~ Tx!B3:B20""), $A85=IMPORTRANGE(""https://docs.google.com/spreadsheets/d/1kGrh75X1cNR1D7_FcY9zMnHP8iPO4M5"&amp;"RCRjy6nZY0TY/edit#gid=1248694442"",""Subgroup 4: Mp ~ Tx!A3:A20"")),"""")"),"")</f>
        <v/>
      </c>
      <c r="Z85" s="20" t="str">
        <f>IFERROR(__xludf.DUMMYFUNCTION("IFNA(FILTER(IMPORTRANGE(""https://docs.google.com/spreadsheets/d/1kGrh75X1cNR1D7_FcY9zMnHP8iPO4M5RCRjy6nZY0TY/edit#gid=1248694442"",""Subgroup 4: Mp ~ Tx!C3:C20""), $A85=IMPORTRANGE(""https://docs.google.com/spreadsheets/d/1kGrh75X1cNR1D7_FcY9zMnHP8iPO4M5"&amp;"RCRjy6nZY0TY/edit#gid=1248694442"",""Subgroup 4: Mp ~ Tx!A3:A20"")),"""")"),"")</f>
        <v/>
      </c>
      <c r="AA85" s="20">
        <f>IFERROR(__xludf.DUMMYFUNCTION("IFNA(FILTER(IMPORTRANGE(""https://docs.google.com/spreadsheets/d/1kGrh75X1cNR1D7_FcY9zMnHP8iPO4M5RCRjy6nZY0TY/edit#gid=1248694442"",""Subgroup 4: Mp ~ Tx!D3:D20""), $A85=IMPORTRANGE(""https://docs.google.com/spreadsheets/d/1kGrh75X1cNR1D7_FcY9zMnHP8iPO4M5"&amp;"RCRjy6nZY0TY/edit#gid=1248694442"",""Subgroup 4: Mp ~ Tx!A3:A20"")),"""")"),0.0)</f>
        <v>0</v>
      </c>
      <c r="AB85" s="20" t="str">
        <f>IFERROR(__xludf.DUMMYFUNCTION("IFNA(FILTER(IMPORTRANGE(""https://docs.google.com/spreadsheets/d/1kGrh75X1cNR1D7_FcY9zMnHP8iPO4M5RCRjy6nZY0TY/edit#gid=1248694442"",""Subgroup 4: Mp ~ Tx!E3:E20""), $A85=IMPORTRANGE(""https://docs.google.com/spreadsheets/d/1kGrh75X1cNR1D7_FcY9zMnHP8iPO4M5"&amp;"RCRjy6nZY0TY/edit#gid=1248694442"",""Subgroup 4: Mp ~ Tx!A3:A20"")),"""")"),"")</f>
        <v/>
      </c>
      <c r="AC85" s="20" t="str">
        <f>IFERROR(__xludf.DUMMYFUNCTION("IFNA(FILTER(IMPORTRANGE(""https://docs.google.com/spreadsheets/d/1kGrh75X1cNR1D7_FcY9zMnHP8iPO4M5RCRjy6nZY0TY/edit#gid=1248694442"",""Subgroup 4: Mp ~ Tx!F3:F20""), $A85=IMPORTRANGE(""https://docs.google.com/spreadsheets/d/1kGrh75X1cNR1D7_FcY9zMnHP8iPO4M5"&amp;"RCRjy6nZY0TY/edit#gid=1248694442"",""Subgroup 4: Mp ~ Tx!A3:A20"")),"""")"),"")</f>
        <v/>
      </c>
      <c r="AD85" s="22" t="str">
        <f>IFERROR(__xludf.DUMMYFUNCTION("IFNA(FILTER(IMPORTRANGE(""https://docs.google.com/spreadsheets/d/1kGrh75X1cNR1D7_FcY9zMnHP8iPO4M5RCRjy6nZY0TY/edit#gid=1248694442"",""Table 3: 1st-line HC!AL5:AL111""), $A85=IMPORTRANGE(""https://docs.google.com/spreadsheets/d/1kGrh75X1cNR1D7_FcY9zMnHP8iP"&amp;"O4M5RCRjy6nZY0TY/edit#gid=1248694442"",""Table 3: 1st-line HC!A5:A111"")),"""")"),"")</f>
        <v/>
      </c>
      <c r="AE85" s="20">
        <f>IFERROR(__xludf.DUMMYFUNCTION("IFNA(FILTER(IMPORTRANGE(""https://docs.google.com/spreadsheets/d/1kGrh75X1cNR1D7_FcY9zMnHP8iPO4M5RCRjy6nZY0TY/edit#gid=1248694442"",""Table 3: 1st-line HC!BJ5:BJ111""), $A85=IMPORTRANGE(""https://docs.google.com/spreadsheets/d/1kGrh75X1cNR1D7_FcY9zMnHP8iP"&amp;"O4M5RCRjy6nZY0TY/edit#gid=1248694442"",""Table 3: 1st-line HC!A5:A111"")),"""")"),0.0)</f>
        <v>0</v>
      </c>
      <c r="AF85" s="20" t="str">
        <f>IFERROR(__xludf.DUMMYFUNCTION("IFNA(FILTER(IMPORTRANGE(""https://docs.google.com/spreadsheets/d/1kGrh75X1cNR1D7_FcY9zMnHP8iPO4M5RCRjy6nZY0TY/edit#gid=1248694442"",""Subgroup 2: Cr ~ Tx!B3:B23""), $A85=IMPORTRANGE(""https://docs.google.com/spreadsheets/d/1kGrh75X1cNR1D7_FcY9zMnHP8iPO4M5"&amp;"RCRjy6nZY0TY/edit#gid=1248694442"",""Subgroup 2: Cr ~ Tx!A3:A23"")),"""")"),"")</f>
        <v/>
      </c>
      <c r="AG85" s="20" t="str">
        <f>IFERROR(__xludf.DUMMYFUNCTION("IFNA(FILTER(IMPORTRANGE(""https://docs.google.com/spreadsheets/d/1kGrh75X1cNR1D7_FcY9zMnHP8iPO4M5RCRjy6nZY0TY/edit#gid=1248694442"",""Subgroup 2: Cr ~ Tx!C3:C23""), $A85=IMPORTRANGE(""https://docs.google.com/spreadsheets/d/1kGrh75X1cNR1D7_FcY9zMnHP8iPO4M5"&amp;"RCRjy6nZY0TY/edit#gid=1248694442"",""Subgroup 2: Cr ~ Tx!A3:A23"")),"""")"),"")</f>
        <v/>
      </c>
      <c r="AH85" s="20">
        <f>IFERROR(__xludf.DUMMYFUNCTION("IFNA(FILTER(IMPORTRANGE(""https://docs.google.com/spreadsheets/d/1kGrh75X1cNR1D7_FcY9zMnHP8iPO4M5RCRjy6nZY0TY/edit#gid=1248694442"",""Subgroup 2: Cr ~ Tx!D3:D23""), $A85=IMPORTRANGE(""https://docs.google.com/spreadsheets/d/1kGrh75X1cNR1D7_FcY9zMnHP8iPO4M5"&amp;"RCRjy6nZY0TY/edit#gid=1248694442"",""Subgroup 2: Cr ~ Tx!A3:A23"")),"""")"),0.0)</f>
        <v>0</v>
      </c>
      <c r="AI85" s="20" t="str">
        <f>IFERROR(__xludf.DUMMYFUNCTION("IFNA(FILTER(IMPORTRANGE(""https://docs.google.com/spreadsheets/d/1kGrh75X1cNR1D7_FcY9zMnHP8iPO4M5RCRjy6nZY0TY/edit#gid=1248694442"",""Subgroup 2: Cr ~ Tx!E3:E23""), $A85=IMPORTRANGE(""https://docs.google.com/spreadsheets/d/1kGrh75X1cNR1D7_FcY9zMnHP8iPO4M5"&amp;"RCRjy6nZY0TY/edit#gid=1248694442"",""Subgroup 2: Cr ~ Tx!A3:A23"")),"""")"),"")</f>
        <v/>
      </c>
      <c r="AJ85" s="20" t="str">
        <f>IFERROR(__xludf.DUMMYFUNCTION("IFNA(FILTER(IMPORTRANGE(""https://docs.google.com/spreadsheets/d/1kGrh75X1cNR1D7_FcY9zMnHP8iPO4M5RCRjy6nZY0TY/edit#gid=1248694442"",""Subgroup 2: Cr ~ Tx!F3:F23""), $A85=IMPORTRANGE(""https://docs.google.com/spreadsheets/d/1kGrh75X1cNR1D7_FcY9zMnHP8iPO4M5"&amp;"RCRjy6nZY0TY/edit#gid=1248694442"",""Subgroup 2: Cr ~ Tx!A3:A23"")),"""")"),"")</f>
        <v/>
      </c>
      <c r="AK85" s="14" t="str">
        <f>IFERROR(__xludf.DUMMYFUNCTION("IFNA(FILTER(IMPORTRANGE(""https://docs.google.com/spreadsheets/d/1kGrh75X1cNR1D7_FcY9zMnHP8iPO4M5RCRjy6nZY0TY/edit#gid=1248694442"",""Table 4: 2nd-line HC or more!M5:M85""), $A85=IMPORTRANGE(""https://docs.google.com/spreadsheets/d/1kGrh75X1cNR1D7_FcY9zMn"&amp;"HP8iPO4M5RCRjy6nZY0TY/edit#gid=1248694442"",""Table 4: 2nd-line HC or more!A5:A85"")),"""")"),"")</f>
        <v/>
      </c>
      <c r="AL85" s="14" t="str">
        <f>IFERROR(__xludf.DUMMYFUNCTION("IFNA(FILTER(IMPORTRANGE(""https://docs.google.com/spreadsheets/d/1kGrh75X1cNR1D7_FcY9zMnHP8iPO4M5RCRjy6nZY0TY/edit#gid=1248694442"",""Table 4: 2nd-line HC or more!N5:N85""), $A85=IMPORTRANGE(""https://docs.google.com/spreadsheets/d/1kGrh75X1cNR1D7_FcY9zMn"&amp;"HP8iPO4M5RCRjy6nZY0TY/edit#gid=1248694442"",""Table 4: 2nd-line HC or more!A5:A85"")),"""")"),"")</f>
        <v/>
      </c>
      <c r="AM85" s="14" t="str">
        <f>IFERROR(__xludf.DUMMYFUNCTION("IFNA(FILTER(IMPORTRANGE(""https://docs.google.com/spreadsheets/d/1kGrh75X1cNR1D7_FcY9zMnHP8iPO4M5RCRjy6nZY0TY/edit#gid=1248694442"",""Table 4: 2nd-line HC or more!O5:O85""), $A85=IMPORTRANGE(""https://docs.google.com/spreadsheets/d/1kGrh75X1cNR1D7_FcY9zMn"&amp;"HP8iPO4M5RCRjy6nZY0TY/edit#gid=1248694442"",""Table 4: 2nd-line HC or more!A5:A85"")),"""")"),"")</f>
        <v/>
      </c>
      <c r="AN85" s="14" t="str">
        <f>IFERROR(__xludf.DUMMYFUNCTION("IFNA(FILTER(IMPORTRANGE(""https://docs.google.com/spreadsheets/d/1kGrh75X1cNR1D7_FcY9zMnHP8iPO4M5RCRjy6nZY0TY/edit#gid=1248694442"",""Table 3: 1st-line HC!AP5:AP111""), $A85=IMPORTRANGE(""https://docs.google.com/spreadsheets/d/1kGrh75X1cNR1D7_FcY9zMnHP8iP"&amp;"O4M5RCRjy6nZY0TY/edit#gid=1248694442"",""Table 3: 1st-line HC!A5:A111"")),"""")"),"")</f>
        <v/>
      </c>
      <c r="AO85" s="14" t="str">
        <f>IFERROR(__xludf.DUMMYFUNCTION("IFNA(FILTER(IMPORTRANGE(""https://docs.google.com/spreadsheets/d/1kGrh75X1cNR1D7_FcY9zMnHP8iPO4M5RCRjy6nZY0TY/edit#gid=1248694442"",""Table 3: 1st-line HC!AO5:AO111""), $A85=IMPORTRANGE(""https://docs.google.com/spreadsheets/d/1kGrh75X1cNR1D7_FcY9zMnHP8iP"&amp;"O4M5RCRjy6nZY0TY/edit#gid=1248694442"",""Table 3: 1st-line HC!A5:A111"")),"""")"),"")</f>
        <v/>
      </c>
      <c r="AP85" s="14" t="str">
        <f>IFERROR(__xludf.DUMMYFUNCTION("IFNA(FILTER(IMPORTRANGE(""https://docs.google.com/spreadsheets/d/1kGrh75X1cNR1D7_FcY9zMnHP8iPO4M5RCRjy6nZY0TY/edit#gid=1248694442"",""Table 3: 1st-line HC!AQ5:AQ111""), $A85=IMPORTRANGE(""https://docs.google.com/spreadsheets/d/1kGrh75X1cNR1D7_FcY9zMnHP8iP"&amp;"O4M5RCRjy6nZY0TY/edit#gid=1248694442"",""Table 3: 1st-line HC!A5:A111"")),"""")"),"")</f>
        <v/>
      </c>
      <c r="AQ85" s="14" t="str">
        <f>IFERROR(__xludf.DUMMYFUNCTION("IFNA(FILTER(IMPORTRANGE(""https://docs.google.com/spreadsheets/d/1kGrh75X1cNR1D7_FcY9zMnHP8iPO4M5RCRjy6nZY0TY/edit#gid=1248694442"",""Table 2: MMC!T5:T114""), $A85=IMPORTRANGE(""https://docs.google.com/spreadsheets/d/1kGrh75X1cNR1D7_FcY9zMnHP8iPO4M5RCRjy6"&amp;"nZY0TY/edit#gid=1248694442"",""Table 2: MMC!A5:A114"")),"""")"),"")</f>
        <v/>
      </c>
      <c r="AR85" s="14" t="str">
        <f>IFERROR(__xludf.DUMMYFUNCTION("IFNA(FILTER(IMPORTRANGE(""https://docs.google.com/spreadsheets/d/1kGrh75X1cNR1D7_FcY9zMnHP8iPO4M5RCRjy6nZY0TY/edit#gid=1248694442"",""Table 2: MMC!U5:U114""), $A85=IMPORTRANGE(""https://docs.google.com/spreadsheets/d/1kGrh75X1cNR1D7_FcY9zMnHP8iPO4M5RCRjy6"&amp;"nZY0TY/edit#gid=1248694442"",""Table 2: MMC!A5:A114"")),"""")"),"")</f>
        <v/>
      </c>
      <c r="AS85" s="14" t="str">
        <f>IFERROR(__xludf.DUMMYFUNCTION("IFNA(FILTER(IMPORTRANGE(""https://docs.google.com/spreadsheets/d/1kGrh75X1cNR1D7_FcY9zMnHP8iPO4M5RCRjy6nZY0TY/edit#gid=1248694442"",""Table 2: MMC!V5:V114""), $A85=IMPORTRANGE(""https://docs.google.com/spreadsheets/d/1kGrh75X1cNR1D7_FcY9zMnHP8iPO4M5RCRjy6"&amp;"nZY0TY/edit#gid=1248694442"",""Table 2: MMC!A5:A114"")),"""")"),"")</f>
        <v/>
      </c>
      <c r="AT85" s="4" t="str">
        <f>IFERROR(__xludf.DUMMYFUNCTION("IFNA(FILTER(IMPORTRANGE(""https://docs.google.com/spreadsheets/d/1kGrh75X1cNR1D7_FcY9zMnHP8iPO4M5RCRjy6nZY0TY/edit#gid=1248694442"",""Table 2: MMC!W5:W114""), $A85=IMPORTRANGE(""https://docs.google.com/spreadsheets/d/1kGrh75X1cNR1D7_FcY9zMnHP8iPO4M5RCRjy6"&amp;"nZY0TY/edit#gid=1248694442"",""Table 2: MMC!A5:A114"")),"""")"),"")</f>
        <v/>
      </c>
    </row>
  </sheetData>
  <drawing r:id="rId1"/>
</worksheet>
</file>